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hidePivotFieldList="1" autoCompressPictures="0" defaultThemeVersion="124226"/>
  <mc:AlternateContent xmlns:mc="http://schemas.openxmlformats.org/markup-compatibility/2006">
    <mc:Choice Requires="x15">
      <x15ac:absPath xmlns:x15ac="http://schemas.microsoft.com/office/spreadsheetml/2010/11/ac" url="C:\Users\JDutcher01\Desktop\"/>
    </mc:Choice>
  </mc:AlternateContent>
  <xr:revisionPtr revIDLastSave="0" documentId="8_{A87BABDC-BC6C-4A41-A9B7-5E64279E1F8E}" xr6:coauthVersionLast="47" xr6:coauthVersionMax="47" xr10:uidLastSave="{00000000-0000-0000-0000-000000000000}"/>
  <bookViews>
    <workbookView xWindow="3450" yWindow="2490" windowWidth="22425" windowHeight="11835" tabRatio="919" firstSheet="2" activeTab="2" xr2:uid="{00000000-000D-0000-FFFF-FFFF00000000}"/>
  </bookViews>
  <sheets>
    <sheet name="Payment and IGT Summary by SDA" sheetId="65" r:id="rId1"/>
    <sheet name="1. UC Assumptions" sheetId="5" r:id="rId2"/>
    <sheet name="2.  State Hospitals" sheetId="46" r:id="rId3"/>
    <sheet name="3.  UC Calculations by Hospital" sheetId="1" r:id="rId4"/>
    <sheet name="IGT Commitments by Provider" sheetId="85" r:id="rId5"/>
    <sheet name="Recoupments" sheetId="66" r:id="rId6"/>
    <sheet name="Removed-No Active Affiliation" sheetId="42" r:id="rId7"/>
    <sheet name="Old Calc Tab" sheetId="43"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A">#REF!</definedName>
    <definedName name="\B">#REF!</definedName>
    <definedName name="\d">#REF!</definedName>
    <definedName name="\e">#N/A</definedName>
    <definedName name="\h">#REF!</definedName>
    <definedName name="\o">#REF!</definedName>
    <definedName name="\s">#N/A</definedName>
    <definedName name="\t">#REF!</definedName>
    <definedName name="\x">#N/A</definedName>
    <definedName name="\y">#REF!</definedName>
    <definedName name="_1\B">#REF!</definedName>
    <definedName name="_1_10_DSH_UPL_OP_COST">#REF!</definedName>
    <definedName name="_1_2005_BR_Provider_Totals">#REF!</definedName>
    <definedName name="_1Prov_Ident_Nbr_with_Suffi">#N/A</definedName>
    <definedName name="_2_10_DSH_UPL_OP_COST">#REF!</definedName>
    <definedName name="_2_DOCS">'[1]SFY 2008 DSH Urban TZG'!#REF!</definedName>
    <definedName name="_2Provider_City_Name">#N/A</definedName>
    <definedName name="_3Provider_Combined_Name">#N/A</definedName>
    <definedName name="_401_HHSC">#REF!</definedName>
    <definedName name="_4Provider_Street_Address_1">#N/A</definedName>
    <definedName name="_A">[2]A83I!#REF!</definedName>
    <definedName name="_Fill" hidden="1">#REF!</definedName>
    <definedName name="_xlnm._FilterDatabase" localSheetId="2" hidden="1">'2.  State Hospitals'!$A$3:$AA$23</definedName>
    <definedName name="_xlnm._FilterDatabase" localSheetId="3" hidden="1">'3.  UC Calculations by Hospital'!$B$1:$BO$398</definedName>
    <definedName name="_xlnm._FilterDatabase" localSheetId="4" hidden="1">'IGT Commitments by Provider'!$A$1:$AG$386</definedName>
    <definedName name="_xlnm._FilterDatabase" localSheetId="7" hidden="1">'Old Calc Tab'!$A$2:$CQ$367</definedName>
    <definedName name="_xlnm._FilterDatabase" localSheetId="6" hidden="1">'Removed-No Active Affiliation'!$A$1:$H$1</definedName>
    <definedName name="_SDA2004">#N/A</definedName>
    <definedName name="_whatisthis">[3]DIS00!#REF!</definedName>
    <definedName name="aaaaaa">[2]A83I!#REF!</definedName>
    <definedName name="adj_fact">#REF!</definedName>
    <definedName name="Aggregate_Cap_BR_Only">#REF!</definedName>
    <definedName name="ahsc">#REF!</definedName>
    <definedName name="AHSC_NPI_Data">#REF!</definedName>
    <definedName name="AHSC_NPI_Sheet">#REF!</definedName>
    <definedName name="AHSC_NPI_TIN_name">#REF!</definedName>
    <definedName name="AHSC_UPL_Truven__TX">#REF!</definedName>
    <definedName name="All_SDAs_for_DSH_Hospital_Listing">#REF!</definedName>
    <definedName name="AP87_">#REF!</definedName>
    <definedName name="B_1BD1">#REF!</definedName>
    <definedName name="B_1BD2">#REF!</definedName>
    <definedName name="B_1BD3">#REF!</definedName>
    <definedName name="B_1BD4">#REF!</definedName>
    <definedName name="B_1PG1">#REF!</definedName>
    <definedName name="B_1PG2">#N/A</definedName>
    <definedName name="B_1PG3">#REF!</definedName>
    <definedName name="B_1PG4">#REF!</definedName>
    <definedName name="Base18">'[4]Base Payment Calculation'!$P$7</definedName>
    <definedName name="Base19">'[4]Base Payment Calculation'!$P$16</definedName>
    <definedName name="Base20">'[4]Base Payment Calculation'!$P$25</definedName>
    <definedName name="Base21">'[4]Base Payment Calculation'!$P$34</definedName>
    <definedName name="Base22">'[4]Base Payment Calculation'!$B$44</definedName>
    <definedName name="Base23">'[4]Base Payment Calculation'!$E$44</definedName>
    <definedName name="Base24">'[4]Base Payment Calculation'!$H$44</definedName>
    <definedName name="bbbbb">[3]DIS00!#REF!</definedName>
    <definedName name="BBDRP5_8">#N/A</definedName>
    <definedName name="BBDRREST">#N/A</definedName>
    <definedName name="BexarTotal">'[5]Bexar Actuarial Adjustment'!$M$19</definedName>
    <definedName name="BPT1P2_4">#N/A</definedName>
    <definedName name="BPT1P5_8">#N/A</definedName>
    <definedName name="BPT1PG1">#REF!</definedName>
    <definedName name="BPT1REST">#N/A</definedName>
    <definedName name="BURDEN">#N/A</definedName>
    <definedName name="ccccc" hidden="1">#REF!</definedName>
    <definedName name="cccccc">[3]DIS00!#REF!</definedName>
    <definedName name="Cert_CCN">[6]Certification!$C$9</definedName>
    <definedName name="Cert_County">[6]Certification!$E$15</definedName>
    <definedName name="Cert_Hospital">[6]Certification!$C$5</definedName>
    <definedName name="Cert_NPI">[6]Certification!$C$11</definedName>
    <definedName name="Cert_TPI">[6]Certification!$C$13</definedName>
    <definedName name="Childrens_Adjustments">'[6]Medicaid Claims Data'!#REF!</definedName>
    <definedName name="combined_cap">#REF!</definedName>
    <definedName name="Component_3_data">#REF!</definedName>
    <definedName name="COPYMsUMMARY">#REF!</definedName>
    <definedName name="COUNTY">#N/A</definedName>
    <definedName name="Create_Summary_by_TPI">#REF!</definedName>
    <definedName name="CstRpt_B">[6]Certification!$E$32</definedName>
    <definedName name="CstRpt_E">[6]Certification!$E$34</definedName>
    <definedName name="CstRpt_S">[6]Certification!$E$36</definedName>
    <definedName name="Data_Year">[6]Certification!$C$42</definedName>
    <definedName name="_xlnm.Database">#REF!</definedName>
    <definedName name="Demo_Year">[6]Certification!$C$36</definedName>
    <definedName name="Documentation">'[7]3 - Review Tracker'!#REF!</definedName>
    <definedName name="DSH_Flag">[7]Checks!$L$3</definedName>
    <definedName name="DSH_IND">[8]Checks!$J$3</definedName>
    <definedName name="DSH_INFLATOR">'[6]Sched 4-DSH State Pmt Cap'!$B$24</definedName>
    <definedName name="DY_Begin">'[9]Austin Summary'!$N$22</definedName>
    <definedName name="DY_End">'[9]Austin Summary'!$P$22</definedName>
    <definedName name="DY11_">#REF!</definedName>
    <definedName name="eeeeee">#REF!</definedName>
    <definedName name="Estimated_HSL">'[10]Estimated HSL FFY 2011'!$A$2:$D$185</definedName>
    <definedName name="ExportDataSource">#REF!</definedName>
    <definedName name="fdsfd">#REF!</definedName>
    <definedName name="fff">#REF!</definedName>
    <definedName name="Final_Datasheet_03_05_2013">#REF!</definedName>
    <definedName name="FMAP_StateShr">#REF!</definedName>
    <definedName name="FYEnd">[6]Certification!$E$38</definedName>
    <definedName name="GENERAL">#REF!</definedName>
    <definedName name="HD_Tot_State_Local">'[6]Hospital Data'!$I$64+'[6]Hospital Data'!$I$85+'[6]Hospital Data'!$I$105</definedName>
    <definedName name="HD_TotRev_Allowable">'[6]Hospital Data'!$G$125</definedName>
    <definedName name="HOME">#REF!</definedName>
    <definedName name="HospitalClass">'[11]Hospital Classes'!$B$2:$B$9</definedName>
    <definedName name="I_2">#N/A</definedName>
    <definedName name="I_2_2">#N/A</definedName>
    <definedName name="I_2_3">#N/A</definedName>
    <definedName name="I_2_4">#N/A</definedName>
    <definedName name="I_2_5">#N/A</definedName>
    <definedName name="I_2_6">#N/A</definedName>
    <definedName name="I_2_7">#N/A</definedName>
    <definedName name="I_3">#N/A</definedName>
    <definedName name="I_4">#N/A</definedName>
    <definedName name="IME_NPI_Data">#REF!</definedName>
    <definedName name="IME_NPI_Sheet">#REF!</definedName>
    <definedName name="IME_NPI_TIN_name">#REF!</definedName>
    <definedName name="IME_UPL_Truven__TX">#REF!</definedName>
    <definedName name="imppuf_091001">#REF!</definedName>
    <definedName name="inf_0304">#REF!</definedName>
    <definedName name="inf_0405">#REF!</definedName>
    <definedName name="INRR_614_PRELIM">#REF!</definedName>
    <definedName name="INRR_614_W_EFFECTIVE_DATES">#REF!</definedName>
    <definedName name="INRR_625B">#REF!</definedName>
    <definedName name="INRR615__PROV_PDI_PRELIM_4">#REF!</definedName>
    <definedName name="INRR625_DRGS">#REF!</definedName>
    <definedName name="INRR625D_080310">#REF!</definedName>
    <definedName name="LARRY">#REF!</definedName>
    <definedName name="LINE69">#REF!</definedName>
    <definedName name="MAP">#REF!</definedName>
    <definedName name="MCO_AdminFee">[12]FeeCalc!$B$7</definedName>
    <definedName name="MCO_PremiumTax">[12]FeeCalc!$B$8</definedName>
    <definedName name="nbdgd">#REF!</definedName>
    <definedName name="NPI_Ind">[8]Checks!$F$35</definedName>
    <definedName name="OffsetValue">#REF!</definedName>
    <definedName name="Ownership_List">#REF!</definedName>
    <definedName name="PAGE1">#REF!</definedName>
    <definedName name="PAGE2">#REF!</definedName>
    <definedName name="PARTI">#N/A</definedName>
    <definedName name="PARTII">#N/A</definedName>
    <definedName name="PARTIII_1">#N/A</definedName>
    <definedName name="PARTIII_2">#N/A</definedName>
    <definedName name="PARTIV">#REF!</definedName>
    <definedName name="PG1BDR">#N/A</definedName>
    <definedName name="PG2_4BDR">#REF!</definedName>
    <definedName name="PG5_8BDR">#REF!</definedName>
    <definedName name="Prgm_Year">[6]Certification!$C$38</definedName>
    <definedName name="_xlnm.Print_Area">#REF!</definedName>
    <definedName name="Print_Area_1">#REF!</definedName>
    <definedName name="Print_Area_MI">#REF!</definedName>
    <definedName name="_xlnm.Print_Titles">#REF!</definedName>
    <definedName name="Q02a___Rebasing_TPI_Rural_Cnt">#REF!</definedName>
    <definedName name="qry_OP_UPL">#REF!</definedName>
    <definedName name="qry_total_IP_days">#REF!</definedName>
    <definedName name="regions">#REF!</definedName>
    <definedName name="RENAL">#REF!</definedName>
    <definedName name="RESTBDR">#REF!</definedName>
    <definedName name="RiskMargin_STAR">[12]FeeCalc!$B$5</definedName>
    <definedName name="RiskMargin_STARPLUS">[12]FeeCalc!$B$6</definedName>
    <definedName name="rrrrrr">#REF!</definedName>
    <definedName name="SCH1A">#REF!</definedName>
    <definedName name="SDA_RATES_FOR_MAILOUT_II">#REF!</definedName>
    <definedName name="selection_adj">[13]Assumptions!$L$25</definedName>
    <definedName name="sort1_beg">#REF!</definedName>
    <definedName name="sort1_col">#REF!</definedName>
    <definedName name="sort1_end">#REF!</definedName>
    <definedName name="sort10_beg">#REF!</definedName>
    <definedName name="sort10_col">#REF!</definedName>
    <definedName name="sort10_end">#REF!</definedName>
    <definedName name="sort11_beg">#REF!</definedName>
    <definedName name="sort11_col">#REF!</definedName>
    <definedName name="sort11_end">#REF!</definedName>
    <definedName name="sort2_beg">#REF!</definedName>
    <definedName name="sort2_col">#REF!</definedName>
    <definedName name="sort2_end">#REF!</definedName>
    <definedName name="sort3_beg">#REF!</definedName>
    <definedName name="sort3_col">#REF!</definedName>
    <definedName name="sort3_end">#REF!</definedName>
    <definedName name="sort4_beg">#REF!</definedName>
    <definedName name="sort4_col">#REF!</definedName>
    <definedName name="sort4_end">#REF!</definedName>
    <definedName name="sort5_beg">#REF!</definedName>
    <definedName name="sort5_col">#REF!</definedName>
    <definedName name="sort5_end">#REF!</definedName>
    <definedName name="sort6_beg">#REF!</definedName>
    <definedName name="sort6_col">#REF!</definedName>
    <definedName name="sort6_end">#REF!</definedName>
    <definedName name="sort7_beg">#REF!</definedName>
    <definedName name="sort7_col">#REF!</definedName>
    <definedName name="sort7_end">#REF!</definedName>
    <definedName name="sort8_beg">#REF!</definedName>
    <definedName name="sort8_col">#REF!</definedName>
    <definedName name="sort8_end">#REF!</definedName>
    <definedName name="sort9_beg">#REF!</definedName>
    <definedName name="sort9_col">#REF!</definedName>
    <definedName name="sort9_end">#REF!</definedName>
    <definedName name="STAR_Fee">[12]FeeCalc!$B$10</definedName>
    <definedName name="STAR_MCO_Factor">[14]assumptions!$B$7</definedName>
    <definedName name="STARPLUS_Fee">[12]FeeCalc!$B$11</definedName>
    <definedName name="STARPLUS_MCO_Factor">[14]assumptions!$B$8</definedName>
    <definedName name="STATE_OWNED_with_Outlier_and_Inflation">#REF!</definedName>
    <definedName name="StateMatch">'[15]DSH Assumptions'!$B$10</definedName>
    <definedName name="STBI4D2">#REF!</definedName>
    <definedName name="STBI4D8">#REF!</definedName>
    <definedName name="STBICRNA">#N/A</definedName>
    <definedName name="STBII">#N/A</definedName>
    <definedName name="STMEDED">#N/A</definedName>
    <definedName name="STOREBI">#N/A</definedName>
    <definedName name="tm_4093645015">#REF!</definedName>
    <definedName name="tm_4093645264">#REF!</definedName>
    <definedName name="tm_4093645314">#REF!</definedName>
    <definedName name="tm_4093645323">#REF!</definedName>
    <definedName name="tm_4093645391">#REF!</definedName>
    <definedName name="tm_4093645417">#REF!</definedName>
    <definedName name="tm_4093645453">#REF!</definedName>
    <definedName name="tm_4093645454">#REF!</definedName>
    <definedName name="Total_MCO_Payments_and_Charges">#REF!</definedName>
    <definedName name="Traditional_Settlements_Between_1_1_2011___12_31_2011_Rebasing">#REF!</definedName>
    <definedName name="Traditional_Settlements_Between_1_1_2012___12_31_2012">#REF!</definedName>
    <definedName name="Traditional_Settlements_Between_10_1_2013___9_30_2014">'[16]Cost Report Settlements'!#REF!</definedName>
    <definedName name="trend">[13]Assumptions!$A$14:$D$19</definedName>
    <definedName name="tttttt">#REF!</definedName>
    <definedName name="UP">#REF!</definedName>
    <definedName name="YEAR_BEGIN_1">'[10]DSH Year Totals'!$A$4</definedName>
    <definedName name="YEAR_END_1">'[10]DSH Year Totals'!$B$4</definedName>
    <definedName name="YR2QRTS">#REF!</definedName>
    <definedName name="YR3QRTS">#REF!</definedName>
  </definedNames>
  <calcPr calcId="191028"/>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46" l="1"/>
  <c r="M6" i="46"/>
  <c r="M7" i="46"/>
  <c r="M8" i="46"/>
  <c r="M9" i="46"/>
  <c r="M10" i="46"/>
  <c r="M11" i="46"/>
  <c r="M12" i="46"/>
  <c r="M13" i="46"/>
  <c r="M14" i="46"/>
  <c r="M15" i="46"/>
  <c r="M16" i="46"/>
  <c r="M17" i="46"/>
  <c r="M18" i="46"/>
  <c r="M19" i="46"/>
  <c r="M20" i="46"/>
  <c r="M4" i="46"/>
  <c r="L5" i="46"/>
  <c r="L6" i="46"/>
  <c r="L7" i="46"/>
  <c r="L8" i="46"/>
  <c r="L9" i="46"/>
  <c r="L10" i="46"/>
  <c r="L11" i="46"/>
  <c r="L12" i="46"/>
  <c r="L13" i="46"/>
  <c r="L14" i="46"/>
  <c r="L15" i="46"/>
  <c r="L16" i="46"/>
  <c r="L17" i="46"/>
  <c r="L18" i="46"/>
  <c r="L19" i="46"/>
  <c r="L20" i="46"/>
  <c r="L4" i="46"/>
  <c r="K5" i="46"/>
  <c r="K6" i="46"/>
  <c r="K7" i="46"/>
  <c r="K8" i="46"/>
  <c r="K9" i="46"/>
  <c r="K10" i="46"/>
  <c r="N10" i="46" s="1"/>
  <c r="K11" i="46"/>
  <c r="K12" i="46"/>
  <c r="K13" i="46"/>
  <c r="K14" i="46"/>
  <c r="K15" i="46"/>
  <c r="K16" i="46"/>
  <c r="K17" i="46"/>
  <c r="K18" i="46"/>
  <c r="K19" i="46"/>
  <c r="K20" i="46"/>
  <c r="K4" i="46"/>
  <c r="J5" i="46"/>
  <c r="J6" i="46"/>
  <c r="J7" i="46"/>
  <c r="J8" i="46"/>
  <c r="J9" i="46"/>
  <c r="J10" i="46"/>
  <c r="J11" i="46"/>
  <c r="J12" i="46"/>
  <c r="J13" i="46"/>
  <c r="J14" i="46"/>
  <c r="J15" i="46"/>
  <c r="J16" i="46"/>
  <c r="J17" i="46"/>
  <c r="J18" i="46"/>
  <c r="J19" i="46"/>
  <c r="J20" i="46"/>
  <c r="J4" i="46"/>
  <c r="I5" i="46"/>
  <c r="I6" i="46"/>
  <c r="I7" i="46"/>
  <c r="I8" i="46"/>
  <c r="I9" i="46"/>
  <c r="I10" i="46"/>
  <c r="I11" i="46"/>
  <c r="I12" i="46"/>
  <c r="I13" i="46"/>
  <c r="I14" i="46"/>
  <c r="I15" i="46"/>
  <c r="I16" i="46"/>
  <c r="I17" i="46"/>
  <c r="I18" i="46"/>
  <c r="I19" i="46"/>
  <c r="I20" i="46"/>
  <c r="I4" i="46"/>
  <c r="H5" i="46"/>
  <c r="H6" i="46"/>
  <c r="H7" i="46"/>
  <c r="H8" i="46"/>
  <c r="H9" i="46"/>
  <c r="H10" i="46"/>
  <c r="H11" i="46"/>
  <c r="N11" i="46" s="1"/>
  <c r="O11" i="46" s="1"/>
  <c r="P11" i="46" s="1"/>
  <c r="Q11" i="46" s="1"/>
  <c r="U11" i="46" s="1"/>
  <c r="H12" i="46"/>
  <c r="H13" i="46"/>
  <c r="H14" i="46"/>
  <c r="H15" i="46"/>
  <c r="H16" i="46"/>
  <c r="H17" i="46"/>
  <c r="H18" i="46"/>
  <c r="H19" i="46"/>
  <c r="H20" i="46"/>
  <c r="H4" i="46"/>
  <c r="G5" i="46"/>
  <c r="G6" i="46"/>
  <c r="G7" i="46"/>
  <c r="G8" i="46"/>
  <c r="G9" i="46"/>
  <c r="G10" i="46"/>
  <c r="G11" i="46"/>
  <c r="G12" i="46"/>
  <c r="G13" i="46"/>
  <c r="G14" i="46"/>
  <c r="G15" i="46"/>
  <c r="G16" i="46"/>
  <c r="G17" i="46"/>
  <c r="G18" i="46"/>
  <c r="G19" i="46"/>
  <c r="G20" i="46"/>
  <c r="G4" i="46"/>
  <c r="F5" i="46"/>
  <c r="F6" i="46"/>
  <c r="F7" i="46"/>
  <c r="F8" i="46"/>
  <c r="F9" i="46"/>
  <c r="F10" i="46"/>
  <c r="F11" i="46"/>
  <c r="F12" i="46"/>
  <c r="F13" i="46"/>
  <c r="F14" i="46"/>
  <c r="F15" i="46"/>
  <c r="F16" i="46"/>
  <c r="F17" i="46"/>
  <c r="F18" i="46"/>
  <c r="F19" i="46"/>
  <c r="F20" i="46"/>
  <c r="F4" i="46"/>
  <c r="E5" i="46"/>
  <c r="E6" i="46"/>
  <c r="E7" i="46"/>
  <c r="E8" i="46"/>
  <c r="E9" i="46"/>
  <c r="E10" i="46"/>
  <c r="E11" i="46"/>
  <c r="E12" i="46"/>
  <c r="E13" i="46"/>
  <c r="E14" i="46"/>
  <c r="E15" i="46"/>
  <c r="E16" i="46"/>
  <c r="E17" i="46"/>
  <c r="E18" i="46"/>
  <c r="E19" i="46"/>
  <c r="E20" i="46"/>
  <c r="E4" i="46"/>
  <c r="D5" i="46"/>
  <c r="D6" i="46"/>
  <c r="D7" i="46"/>
  <c r="D8" i="46"/>
  <c r="D9" i="46"/>
  <c r="D10" i="46"/>
  <c r="D11" i="46"/>
  <c r="D12" i="46"/>
  <c r="D13" i="46"/>
  <c r="D14" i="46"/>
  <c r="D15" i="46"/>
  <c r="D16" i="46"/>
  <c r="D17" i="46"/>
  <c r="D18" i="46"/>
  <c r="D19" i="46"/>
  <c r="D20" i="46"/>
  <c r="D4" i="46"/>
  <c r="C5" i="46"/>
  <c r="C6" i="46"/>
  <c r="C7" i="46"/>
  <c r="C8" i="46"/>
  <c r="C9" i="46"/>
  <c r="C10" i="46"/>
  <c r="C11" i="46"/>
  <c r="C12" i="46"/>
  <c r="C13" i="46"/>
  <c r="C14" i="46"/>
  <c r="C15" i="46"/>
  <c r="C16" i="46"/>
  <c r="C17" i="46"/>
  <c r="C18" i="46"/>
  <c r="C19" i="46"/>
  <c r="C20" i="46"/>
  <c r="C4" i="46"/>
  <c r="T4" i="46"/>
  <c r="N5" i="46"/>
  <c r="O5" i="46" s="1"/>
  <c r="P5" i="46" s="1"/>
  <c r="T5" i="46"/>
  <c r="N6" i="46"/>
  <c r="O6" i="46" s="1"/>
  <c r="P6" i="46" s="1"/>
  <c r="T6" i="46"/>
  <c r="N7" i="46"/>
  <c r="O7" i="46" s="1"/>
  <c r="P7" i="46" s="1"/>
  <c r="T7" i="46"/>
  <c r="N8" i="46"/>
  <c r="O8" i="46"/>
  <c r="P8" i="46" s="1"/>
  <c r="T8" i="46"/>
  <c r="N9" i="46"/>
  <c r="O9" i="46" s="1"/>
  <c r="P9" i="46" s="1"/>
  <c r="T9" i="46"/>
  <c r="T10" i="46"/>
  <c r="T11" i="46"/>
  <c r="T12" i="46"/>
  <c r="N13" i="46"/>
  <c r="O13" i="46" s="1"/>
  <c r="P13" i="46" s="1"/>
  <c r="T13" i="46"/>
  <c r="N14" i="46"/>
  <c r="O14" i="46" s="1"/>
  <c r="P14" i="46" s="1"/>
  <c r="T14" i="46"/>
  <c r="N15" i="46"/>
  <c r="O15" i="46" s="1"/>
  <c r="P15" i="46" s="1"/>
  <c r="T15" i="46"/>
  <c r="N16" i="46"/>
  <c r="O16" i="46" s="1"/>
  <c r="P16" i="46" s="1"/>
  <c r="T16" i="46"/>
  <c r="N17" i="46"/>
  <c r="T17" i="46"/>
  <c r="T18" i="46"/>
  <c r="T19" i="46"/>
  <c r="T20" i="46"/>
  <c r="O10" i="46" l="1"/>
  <c r="P10" i="46" s="1"/>
  <c r="O17" i="46"/>
  <c r="P17" i="46" s="1"/>
  <c r="Q17" i="46" s="1"/>
  <c r="U17" i="46" s="1"/>
  <c r="N20" i="46"/>
  <c r="O20" i="46" s="1"/>
  <c r="P20" i="46" s="1"/>
  <c r="Q20" i="46" s="1"/>
  <c r="U20" i="46" s="1"/>
  <c r="N12" i="46"/>
  <c r="O12" i="46" s="1"/>
  <c r="P12" i="46" s="1"/>
  <c r="Q12" i="46" s="1"/>
  <c r="U12" i="46" s="1"/>
  <c r="N19" i="46"/>
  <c r="O19" i="46" s="1"/>
  <c r="P19" i="46" s="1"/>
  <c r="Q19" i="46" s="1"/>
  <c r="U19" i="46" s="1"/>
  <c r="V19" i="46" s="1"/>
  <c r="N18" i="46"/>
  <c r="O18" i="46" s="1"/>
  <c r="P18" i="46" s="1"/>
  <c r="Q18" i="46" s="1"/>
  <c r="U18" i="46" s="1"/>
  <c r="N4" i="46"/>
  <c r="O4" i="46" s="1"/>
  <c r="P4" i="46" s="1"/>
  <c r="Q4" i="46" s="1"/>
  <c r="U4" i="46" s="1"/>
  <c r="Q16" i="46"/>
  <c r="U16" i="46" s="1"/>
  <c r="Q10" i="46"/>
  <c r="U10" i="46" s="1"/>
  <c r="Q7" i="46"/>
  <c r="U7" i="46" s="1"/>
  <c r="Q13" i="46"/>
  <c r="U13" i="46" s="1"/>
  <c r="Q6" i="46"/>
  <c r="U6" i="46" s="1"/>
  <c r="Q15" i="46"/>
  <c r="U15" i="46" s="1"/>
  <c r="Q9" i="46"/>
  <c r="U9" i="46" s="1"/>
  <c r="V11" i="46"/>
  <c r="W11" i="46"/>
  <c r="X11" i="46" s="1"/>
  <c r="Y11" i="46" s="1"/>
  <c r="Z11" i="46" s="1"/>
  <c r="AA11" i="46" s="1"/>
  <c r="Q5" i="46"/>
  <c r="U5" i="46" s="1"/>
  <c r="Q14" i="46"/>
  <c r="U14" i="46" s="1"/>
  <c r="Q8" i="46"/>
  <c r="U8" i="46" s="1"/>
  <c r="R19" i="46"/>
  <c r="R11" i="46"/>
  <c r="R13" i="46" l="1"/>
  <c r="W19" i="46"/>
  <c r="X19" i="46" s="1"/>
  <c r="Y19" i="46" s="1"/>
  <c r="Z19" i="46" s="1"/>
  <c r="AA19" i="46" s="1"/>
  <c r="R12" i="46"/>
  <c r="W5" i="46"/>
  <c r="X5" i="46" s="1"/>
  <c r="Y5" i="46" s="1"/>
  <c r="Z5" i="46" s="1"/>
  <c r="AA5" i="46" s="1"/>
  <c r="V5" i="46"/>
  <c r="R8" i="46"/>
  <c r="W12" i="46"/>
  <c r="X12" i="46" s="1"/>
  <c r="Y12" i="46" s="1"/>
  <c r="Z12" i="46" s="1"/>
  <c r="AA12" i="46" s="1"/>
  <c r="V12" i="46"/>
  <c r="R18" i="46"/>
  <c r="R7" i="46"/>
  <c r="V8" i="46"/>
  <c r="W8" i="46"/>
  <c r="X8" i="46" s="1"/>
  <c r="Y8" i="46" s="1"/>
  <c r="Z8" i="46" s="1"/>
  <c r="AA8" i="46" s="1"/>
  <c r="R15" i="46"/>
  <c r="V14" i="46"/>
  <c r="W14" i="46"/>
  <c r="X14" i="46" s="1"/>
  <c r="Y14" i="46" s="1"/>
  <c r="Z14" i="46" s="1"/>
  <c r="AA14" i="46" s="1"/>
  <c r="V7" i="46"/>
  <c r="W7" i="46"/>
  <c r="X7" i="46" s="1"/>
  <c r="Y7" i="46" s="1"/>
  <c r="Z7" i="46" s="1"/>
  <c r="AA7" i="46" s="1"/>
  <c r="V15" i="46"/>
  <c r="W15" i="46"/>
  <c r="X15" i="46" s="1"/>
  <c r="Y15" i="46" s="1"/>
  <c r="Z15" i="46" s="1"/>
  <c r="AA15" i="46" s="1"/>
  <c r="R14" i="46"/>
  <c r="W18" i="46"/>
  <c r="X18" i="46" s="1"/>
  <c r="Y18" i="46" s="1"/>
  <c r="Z18" i="46" s="1"/>
  <c r="AA18" i="46" s="1"/>
  <c r="V18" i="46"/>
  <c r="R4" i="46"/>
  <c r="R20" i="46"/>
  <c r="R6" i="46"/>
  <c r="R10" i="46"/>
  <c r="V6" i="46"/>
  <c r="W6" i="46"/>
  <c r="X6" i="46" s="1"/>
  <c r="Y6" i="46" s="1"/>
  <c r="Z6" i="46" s="1"/>
  <c r="AA6" i="46" s="1"/>
  <c r="V10" i="46"/>
  <c r="W10" i="46"/>
  <c r="X10" i="46" s="1"/>
  <c r="Y10" i="46" s="1"/>
  <c r="Z10" i="46" s="1"/>
  <c r="AA10" i="46" s="1"/>
  <c r="W4" i="46"/>
  <c r="X4" i="46" s="1"/>
  <c r="Y4" i="46" s="1"/>
  <c r="Z4" i="46" s="1"/>
  <c r="AA4" i="46" s="1"/>
  <c r="V4" i="46"/>
  <c r="V17" i="46"/>
  <c r="W17" i="46"/>
  <c r="X17" i="46" s="1"/>
  <c r="Y17" i="46" s="1"/>
  <c r="Z17" i="46" s="1"/>
  <c r="AA17" i="46" s="1"/>
  <c r="V9" i="46"/>
  <c r="W9" i="46"/>
  <c r="X9" i="46" s="1"/>
  <c r="Y9" i="46" s="1"/>
  <c r="Z9" i="46" s="1"/>
  <c r="AA9" i="46" s="1"/>
  <c r="V16" i="46"/>
  <c r="W16" i="46"/>
  <c r="X16" i="46" s="1"/>
  <c r="Y16" i="46" s="1"/>
  <c r="Z16" i="46" s="1"/>
  <c r="AA16" i="46" s="1"/>
  <c r="W20" i="46"/>
  <c r="X20" i="46" s="1"/>
  <c r="Y20" i="46" s="1"/>
  <c r="Z20" i="46" s="1"/>
  <c r="AA20" i="46" s="1"/>
  <c r="V20" i="46"/>
  <c r="R17" i="46"/>
  <c r="R5" i="46"/>
  <c r="R9" i="46"/>
  <c r="V13" i="46"/>
  <c r="W13" i="46"/>
  <c r="X13" i="46" s="1"/>
  <c r="Y13" i="46" s="1"/>
  <c r="Z13" i="46" s="1"/>
  <c r="AA13" i="46" s="1"/>
  <c r="R16" i="46"/>
  <c r="AA390" i="1" l="1"/>
  <c r="AM375" i="1" l="1"/>
  <c r="S375" i="1"/>
  <c r="R390" i="1"/>
  <c r="T375" i="1" l="1"/>
  <c r="P375" i="1"/>
  <c r="AK375" i="1"/>
  <c r="Z375" i="1" l="1"/>
  <c r="AB375" i="1" s="1"/>
  <c r="AT375" i="1"/>
  <c r="AV375" i="1"/>
  <c r="BD375" i="1"/>
  <c r="AX375" i="1"/>
  <c r="BF375" i="1"/>
  <c r="BB375" i="1"/>
  <c r="AW375" i="1"/>
  <c r="AY375" i="1"/>
  <c r="BA375" i="1"/>
  <c r="BC375" i="1"/>
  <c r="BE375" i="1"/>
  <c r="AZ375" i="1"/>
  <c r="S373" i="1"/>
  <c r="AN375" i="1" l="1"/>
  <c r="AT373" i="1"/>
  <c r="AU373" i="1"/>
  <c r="AV373" i="1"/>
  <c r="AW373" i="1"/>
  <c r="AX373" i="1"/>
  <c r="AY373" i="1"/>
  <c r="AZ373" i="1"/>
  <c r="BA373" i="1"/>
  <c r="BB373" i="1"/>
  <c r="BD373" i="1"/>
  <c r="BE373" i="1"/>
  <c r="BF373" i="1"/>
  <c r="AK373" i="1"/>
  <c r="AO375" i="1" l="1"/>
  <c r="AQ375" i="1" s="1"/>
  <c r="AR375" i="1" s="1"/>
  <c r="AS375" i="1" s="1"/>
  <c r="AP375" i="1"/>
  <c r="Z388" i="1" l="1"/>
  <c r="Z389" i="1"/>
  <c r="T389" i="1"/>
  <c r="S4" i="1" l="1"/>
  <c r="AK4" i="1"/>
  <c r="S9" i="1"/>
  <c r="S12" i="1"/>
  <c r="S13" i="1"/>
  <c r="S16" i="1"/>
  <c r="S18" i="1"/>
  <c r="S21" i="1"/>
  <c r="S22" i="1"/>
  <c r="S23" i="1"/>
  <c r="S24" i="1"/>
  <c r="S25" i="1"/>
  <c r="S26" i="1"/>
  <c r="S27" i="1"/>
  <c r="S29" i="1"/>
  <c r="S30" i="1"/>
  <c r="S37" i="1"/>
  <c r="S38" i="1"/>
  <c r="S39" i="1"/>
  <c r="S40" i="1"/>
  <c r="S42" i="1"/>
  <c r="S43" i="1"/>
  <c r="S47" i="1"/>
  <c r="S52" i="1"/>
  <c r="S53" i="1"/>
  <c r="S54" i="1"/>
  <c r="S56" i="1"/>
  <c r="S57" i="1"/>
  <c r="S58" i="1"/>
  <c r="S61" i="1"/>
  <c r="S62" i="1"/>
  <c r="S63" i="1"/>
  <c r="S64" i="1"/>
  <c r="S67" i="1"/>
  <c r="S68" i="1"/>
  <c r="S69" i="1"/>
  <c r="S71" i="1"/>
  <c r="S74" i="1"/>
  <c r="S75" i="1"/>
  <c r="S76" i="1"/>
  <c r="S77" i="1"/>
  <c r="S78" i="1"/>
  <c r="S80" i="1"/>
  <c r="S82" i="1"/>
  <c r="S85" i="1"/>
  <c r="S87" i="1"/>
  <c r="AT91" i="1"/>
  <c r="AU91" i="1"/>
  <c r="AV91" i="1"/>
  <c r="AW91" i="1"/>
  <c r="AX91" i="1"/>
  <c r="AY91" i="1"/>
  <c r="AZ91" i="1"/>
  <c r="BA91" i="1"/>
  <c r="BB91" i="1"/>
  <c r="BD91" i="1"/>
  <c r="BE91" i="1"/>
  <c r="BF91" i="1"/>
  <c r="S92" i="1"/>
  <c r="S94" i="1"/>
  <c r="S95" i="1"/>
  <c r="S96" i="1"/>
  <c r="S98" i="1"/>
  <c r="S99" i="1"/>
  <c r="S100" i="1"/>
  <c r="S101" i="1"/>
  <c r="S103" i="1"/>
  <c r="S105" i="1"/>
  <c r="S106" i="1"/>
  <c r="S109" i="1"/>
  <c r="S113" i="1"/>
  <c r="S114" i="1"/>
  <c r="AK115" i="1"/>
  <c r="AT115" i="1"/>
  <c r="AU115" i="1"/>
  <c r="AV115" i="1"/>
  <c r="AW115" i="1"/>
  <c r="AX115" i="1"/>
  <c r="AY115" i="1"/>
  <c r="AZ115" i="1"/>
  <c r="BA115" i="1"/>
  <c r="BB115" i="1"/>
  <c r="BD115" i="1"/>
  <c r="BE115" i="1"/>
  <c r="BF115" i="1"/>
  <c r="S118" i="1"/>
  <c r="S123" i="1"/>
  <c r="S124" i="1"/>
  <c r="S125" i="1"/>
  <c r="S129" i="1"/>
  <c r="AT130" i="1"/>
  <c r="AU130" i="1"/>
  <c r="AV130" i="1"/>
  <c r="AX130" i="1"/>
  <c r="AY130" i="1"/>
  <c r="AZ130" i="1"/>
  <c r="BA130" i="1"/>
  <c r="BC130" i="1"/>
  <c r="BD130" i="1"/>
  <c r="BE130" i="1"/>
  <c r="BF130" i="1"/>
  <c r="S131" i="1"/>
  <c r="S133" i="1"/>
  <c r="S134" i="1"/>
  <c r="S135" i="1"/>
  <c r="S136" i="1"/>
  <c r="S139" i="1"/>
  <c r="S142" i="1"/>
  <c r="S143" i="1"/>
  <c r="S145" i="1"/>
  <c r="S146" i="1"/>
  <c r="S147" i="1"/>
  <c r="S150" i="1"/>
  <c r="S151" i="1"/>
  <c r="S152" i="1"/>
  <c r="S154" i="1"/>
  <c r="S155" i="1"/>
  <c r="S158" i="1"/>
  <c r="S162" i="1"/>
  <c r="S164" i="1"/>
  <c r="S166" i="1"/>
  <c r="AK168" i="1"/>
  <c r="AK169" i="1"/>
  <c r="S171" i="1"/>
  <c r="S173" i="1"/>
  <c r="S175" i="1"/>
  <c r="S178" i="1"/>
  <c r="S182" i="1"/>
  <c r="S184" i="1"/>
  <c r="S185" i="1"/>
  <c r="S189" i="1"/>
  <c r="S191" i="1"/>
  <c r="S192" i="1"/>
  <c r="S193" i="1"/>
  <c r="S194" i="1"/>
  <c r="S196" i="1"/>
  <c r="S198" i="1"/>
  <c r="S199" i="1"/>
  <c r="S200" i="1"/>
  <c r="S203" i="1"/>
  <c r="S204" i="1"/>
  <c r="S209" i="1"/>
  <c r="S210" i="1"/>
  <c r="S212" i="1"/>
  <c r="S214" i="1"/>
  <c r="S216" i="1"/>
  <c r="S217" i="1"/>
  <c r="S221" i="1"/>
  <c r="S224" i="1"/>
  <c r="S230" i="1"/>
  <c r="S233" i="1"/>
  <c r="S235" i="1"/>
  <c r="S236" i="1"/>
  <c r="S237" i="1"/>
  <c r="S238" i="1"/>
  <c r="S239" i="1"/>
  <c r="S240" i="1"/>
  <c r="S241" i="1"/>
  <c r="S242" i="1"/>
  <c r="S243" i="1"/>
  <c r="S244" i="1"/>
  <c r="S245" i="1"/>
  <c r="S247" i="1"/>
  <c r="S251" i="1"/>
  <c r="S253" i="1"/>
  <c r="S256" i="1"/>
  <c r="S257" i="1"/>
  <c r="AT257" i="1"/>
  <c r="AU257" i="1"/>
  <c r="AV257" i="1"/>
  <c r="AW257" i="1"/>
  <c r="AX257" i="1"/>
  <c r="AY257" i="1"/>
  <c r="AZ257" i="1"/>
  <c r="BA257" i="1"/>
  <c r="BB257" i="1"/>
  <c r="BC257" i="1"/>
  <c r="BD257" i="1"/>
  <c r="BE257" i="1"/>
  <c r="S258" i="1"/>
  <c r="S259" i="1"/>
  <c r="S261" i="1"/>
  <c r="S262" i="1"/>
  <c r="S263" i="1"/>
  <c r="S264" i="1"/>
  <c r="S266" i="1"/>
  <c r="S267" i="1"/>
  <c r="S268" i="1"/>
  <c r="S269" i="1"/>
  <c r="S270" i="1"/>
  <c r="S271" i="1"/>
  <c r="S273" i="1"/>
  <c r="S275" i="1"/>
  <c r="S277" i="1"/>
  <c r="S278" i="1"/>
  <c r="S279" i="1"/>
  <c r="S280" i="1"/>
  <c r="S283" i="1"/>
  <c r="S284" i="1"/>
  <c r="S285" i="1"/>
  <c r="S286" i="1"/>
  <c r="S288" i="1"/>
  <c r="S289" i="1"/>
  <c r="S290" i="1"/>
  <c r="AT291" i="1"/>
  <c r="AU291" i="1"/>
  <c r="AV291" i="1"/>
  <c r="AW291" i="1"/>
  <c r="AX291" i="1"/>
  <c r="AY291" i="1"/>
  <c r="AZ291" i="1"/>
  <c r="BA291" i="1"/>
  <c r="BB291" i="1"/>
  <c r="BD291" i="1"/>
  <c r="BE291" i="1"/>
  <c r="BF291" i="1"/>
  <c r="S292" i="1"/>
  <c r="S293" i="1"/>
  <c r="S294" i="1"/>
  <c r="AK294" i="1"/>
  <c r="S295" i="1"/>
  <c r="S296" i="1"/>
  <c r="S297" i="1"/>
  <c r="S298" i="1"/>
  <c r="S299" i="1"/>
  <c r="S300" i="1"/>
  <c r="S301" i="1"/>
  <c r="AT301" i="1"/>
  <c r="AU301" i="1"/>
  <c r="AV301" i="1"/>
  <c r="AW301" i="1"/>
  <c r="AX301" i="1"/>
  <c r="AY301" i="1"/>
  <c r="AZ301" i="1"/>
  <c r="BA301" i="1"/>
  <c r="BB301" i="1"/>
  <c r="BC301" i="1"/>
  <c r="BD301" i="1"/>
  <c r="BE301" i="1"/>
  <c r="S302" i="1"/>
  <c r="S303" i="1"/>
  <c r="S305" i="1"/>
  <c r="S307" i="1"/>
  <c r="S308" i="1"/>
  <c r="S309" i="1"/>
  <c r="S310" i="1"/>
  <c r="S312" i="1"/>
  <c r="S313" i="1"/>
  <c r="S317" i="1"/>
  <c r="S318" i="1"/>
  <c r="S319" i="1"/>
  <c r="S320" i="1"/>
  <c r="S321" i="1"/>
  <c r="S322" i="1"/>
  <c r="S324" i="1"/>
  <c r="S325" i="1"/>
  <c r="S326" i="1"/>
  <c r="S329" i="1"/>
  <c r="S331" i="1"/>
  <c r="S332" i="1"/>
  <c r="S333" i="1"/>
  <c r="S338" i="1"/>
  <c r="S340" i="1"/>
  <c r="S342" i="1"/>
  <c r="AT342" i="1"/>
  <c r="AU342" i="1"/>
  <c r="AV342" i="1"/>
  <c r="AW342" i="1"/>
  <c r="AX342" i="1"/>
  <c r="AY342" i="1"/>
  <c r="AZ342" i="1"/>
  <c r="BB342" i="1"/>
  <c r="BC342" i="1"/>
  <c r="BD342" i="1"/>
  <c r="BE342" i="1"/>
  <c r="BF342" i="1"/>
  <c r="S343" i="1"/>
  <c r="S344" i="1"/>
  <c r="S345" i="1"/>
  <c r="AU346" i="1"/>
  <c r="AV346" i="1"/>
  <c r="AW346" i="1"/>
  <c r="AX346" i="1"/>
  <c r="AY346" i="1"/>
  <c r="AZ346" i="1"/>
  <c r="BA346" i="1"/>
  <c r="BB346" i="1"/>
  <c r="BC346" i="1"/>
  <c r="BD346" i="1"/>
  <c r="BE346" i="1"/>
  <c r="BF346" i="1"/>
  <c r="S347" i="1"/>
  <c r="AT347" i="1"/>
  <c r="AU347" i="1"/>
  <c r="AV347" i="1"/>
  <c r="AW347" i="1"/>
  <c r="AX347" i="1"/>
  <c r="AY347" i="1"/>
  <c r="AZ347" i="1"/>
  <c r="BA347" i="1"/>
  <c r="BB347" i="1"/>
  <c r="BC347" i="1"/>
  <c r="BD347" i="1"/>
  <c r="BF347" i="1"/>
  <c r="S348" i="1"/>
  <c r="S352" i="1"/>
  <c r="AK352" i="1"/>
  <c r="S354" i="1"/>
  <c r="S355" i="1"/>
  <c r="S356" i="1"/>
  <c r="S357" i="1"/>
  <c r="S358" i="1"/>
  <c r="S359" i="1"/>
  <c r="AT359" i="1"/>
  <c r="AU359" i="1"/>
  <c r="AV359" i="1"/>
  <c r="AW359" i="1"/>
  <c r="AX359" i="1"/>
  <c r="AY359" i="1"/>
  <c r="AZ359" i="1"/>
  <c r="BA359" i="1"/>
  <c r="BC359" i="1"/>
  <c r="BD359" i="1"/>
  <c r="BE359" i="1"/>
  <c r="BF359" i="1"/>
  <c r="S360" i="1"/>
  <c r="S363" i="1"/>
  <c r="AT363" i="1"/>
  <c r="AU363" i="1"/>
  <c r="AV363" i="1"/>
  <c r="AW363" i="1"/>
  <c r="AX363" i="1"/>
  <c r="AY363" i="1"/>
  <c r="AZ363" i="1"/>
  <c r="BA363" i="1"/>
  <c r="BB363" i="1"/>
  <c r="BD363" i="1"/>
  <c r="BE363" i="1"/>
  <c r="BF363" i="1"/>
  <c r="S364" i="1"/>
  <c r="AK364" i="1"/>
  <c r="S365" i="1"/>
  <c r="AK366" i="1"/>
  <c r="S367" i="1"/>
  <c r="S368" i="1"/>
  <c r="AK368" i="1"/>
  <c r="AK369" i="1"/>
  <c r="S370" i="1"/>
  <c r="S371" i="1"/>
  <c r="AT371" i="1"/>
  <c r="AU371" i="1"/>
  <c r="AV371" i="1"/>
  <c r="AW371" i="1"/>
  <c r="AX371" i="1"/>
  <c r="AY371" i="1"/>
  <c r="AZ371" i="1"/>
  <c r="BA371" i="1"/>
  <c r="BB371" i="1"/>
  <c r="BC371" i="1"/>
  <c r="BD371" i="1"/>
  <c r="BE371" i="1"/>
  <c r="S372" i="1"/>
  <c r="S374" i="1"/>
  <c r="AK374" i="1"/>
  <c r="P376" i="1"/>
  <c r="S376" i="1"/>
  <c r="Z376" i="1"/>
  <c r="AK376" i="1"/>
  <c r="P377" i="1"/>
  <c r="S377" i="1"/>
  <c r="Z377" i="1"/>
  <c r="AK377" i="1"/>
  <c r="P378" i="1"/>
  <c r="S378" i="1"/>
  <c r="Z378" i="1"/>
  <c r="AK378" i="1"/>
  <c r="P379" i="1"/>
  <c r="S379" i="1"/>
  <c r="Z379" i="1"/>
  <c r="AK379" i="1"/>
  <c r="P380" i="1"/>
  <c r="S380" i="1"/>
  <c r="Z380" i="1"/>
  <c r="AK380" i="1"/>
  <c r="P381" i="1"/>
  <c r="S381" i="1"/>
  <c r="Z381" i="1"/>
  <c r="AK381" i="1"/>
  <c r="P382" i="1"/>
  <c r="S382" i="1"/>
  <c r="Z382" i="1"/>
  <c r="AK382" i="1"/>
  <c r="P383" i="1"/>
  <c r="S383" i="1"/>
  <c r="Z383" i="1"/>
  <c r="AK383" i="1"/>
  <c r="P384" i="1"/>
  <c r="S384" i="1"/>
  <c r="Z384" i="1"/>
  <c r="AK384" i="1"/>
  <c r="P385" i="1"/>
  <c r="S385" i="1"/>
  <c r="Z385" i="1"/>
  <c r="AK385" i="1"/>
  <c r="P386" i="1"/>
  <c r="S386" i="1"/>
  <c r="Z386" i="1"/>
  <c r="AK386" i="1"/>
  <c r="P387" i="1"/>
  <c r="S387" i="1"/>
  <c r="Z387" i="1"/>
  <c r="AK387" i="1"/>
  <c r="P388" i="1"/>
  <c r="S388" i="1"/>
  <c r="AK388" i="1"/>
  <c r="AB389" i="1"/>
  <c r="AN389" i="1" s="1"/>
  <c r="AK389" i="1"/>
  <c r="AT389" i="1"/>
  <c r="AU389" i="1"/>
  <c r="AV389" i="1"/>
  <c r="AW389" i="1"/>
  <c r="AX389" i="1"/>
  <c r="AY389" i="1"/>
  <c r="AZ389" i="1"/>
  <c r="BB389" i="1"/>
  <c r="BC389" i="1"/>
  <c r="BD389" i="1"/>
  <c r="BE389" i="1"/>
  <c r="BF389" i="1"/>
  <c r="T388" i="1" l="1"/>
  <c r="T380" i="1"/>
  <c r="T386" i="1"/>
  <c r="T383" i="1"/>
  <c r="T382" i="1"/>
  <c r="T385" i="1"/>
  <c r="T377" i="1"/>
  <c r="T379" i="1"/>
  <c r="T378" i="1"/>
  <c r="T384" i="1"/>
  <c r="T381" i="1"/>
  <c r="T376" i="1"/>
  <c r="T387" i="1"/>
  <c r="AP389" i="1"/>
  <c r="BN390" i="1" l="1"/>
  <c r="AL390" i="1"/>
  <c r="T373" i="1" l="1"/>
  <c r="Z373" i="1" l="1"/>
  <c r="P373" i="1"/>
  <c r="AT382" i="1" l="1"/>
  <c r="BC382" i="1"/>
  <c r="AV382" i="1"/>
  <c r="BE382" i="1"/>
  <c r="AY382" i="1"/>
  <c r="AZ382" i="1"/>
  <c r="AU382" i="1"/>
  <c r="AX382" i="1"/>
  <c r="BA382" i="1"/>
  <c r="BB382" i="1"/>
  <c r="BD382" i="1"/>
  <c r="BF382" i="1"/>
  <c r="AX381" i="1"/>
  <c r="BF381" i="1"/>
  <c r="AZ381" i="1"/>
  <c r="BB381" i="1"/>
  <c r="AU381" i="1"/>
  <c r="BC381" i="1"/>
  <c r="BE381" i="1"/>
  <c r="AV381" i="1"/>
  <c r="AW381" i="1"/>
  <c r="AY381" i="1"/>
  <c r="BA381" i="1"/>
  <c r="BD381" i="1"/>
  <c r="AV388" i="1"/>
  <c r="BE388" i="1"/>
  <c r="BC388" i="1"/>
  <c r="AT388" i="1"/>
  <c r="BD388" i="1"/>
  <c r="AU388" i="1"/>
  <c r="BF388" i="1"/>
  <c r="AX388" i="1"/>
  <c r="AW388" i="1"/>
  <c r="AY388" i="1"/>
  <c r="BB388" i="1"/>
  <c r="BA388" i="1"/>
  <c r="BA380" i="1"/>
  <c r="AU380" i="1"/>
  <c r="BC380" i="1"/>
  <c r="AV380" i="1"/>
  <c r="BD380" i="1"/>
  <c r="AW380" i="1"/>
  <c r="BE380" i="1"/>
  <c r="AX380" i="1"/>
  <c r="BF380" i="1"/>
  <c r="AY380" i="1"/>
  <c r="AZ380" i="1"/>
  <c r="BB380" i="1"/>
  <c r="AT387" i="1"/>
  <c r="BC387" i="1"/>
  <c r="AX387" i="1"/>
  <c r="BD387" i="1"/>
  <c r="BE387" i="1"/>
  <c r="AU387" i="1"/>
  <c r="BF387" i="1"/>
  <c r="AW387" i="1"/>
  <c r="AV387" i="1"/>
  <c r="AY387" i="1"/>
  <c r="BB387" i="1"/>
  <c r="BA387" i="1"/>
  <c r="AW386" i="1"/>
  <c r="BF386" i="1"/>
  <c r="BA386" i="1"/>
  <c r="BB386" i="1"/>
  <c r="BC386" i="1"/>
  <c r="AT386" i="1"/>
  <c r="BD386" i="1"/>
  <c r="AV386" i="1"/>
  <c r="AU386" i="1"/>
  <c r="AX386" i="1"/>
  <c r="AY386" i="1"/>
  <c r="AZ386" i="1"/>
  <c r="AT379" i="1"/>
  <c r="BC379" i="1"/>
  <c r="AV379" i="1"/>
  <c r="BE379" i="1"/>
  <c r="AW379" i="1"/>
  <c r="BF379" i="1"/>
  <c r="AX379" i="1"/>
  <c r="AY379" i="1"/>
  <c r="BA379" i="1"/>
  <c r="BB379" i="1"/>
  <c r="BD379" i="1"/>
  <c r="AU379" i="1"/>
  <c r="BB385" i="1"/>
  <c r="AX385" i="1"/>
  <c r="BF385" i="1"/>
  <c r="BC385" i="1"/>
  <c r="BD385" i="1"/>
  <c r="AT385" i="1"/>
  <c r="BE385" i="1"/>
  <c r="AV385" i="1"/>
  <c r="AW385" i="1"/>
  <c r="AY385" i="1"/>
  <c r="AZ385" i="1"/>
  <c r="BA385" i="1"/>
  <c r="AW378" i="1"/>
  <c r="BE378" i="1"/>
  <c r="AY378" i="1"/>
  <c r="AZ378" i="1"/>
  <c r="BA378" i="1"/>
  <c r="BB378" i="1"/>
  <c r="BF378" i="1"/>
  <c r="AU378" i="1"/>
  <c r="AT378" i="1"/>
  <c r="AX378" i="1"/>
  <c r="BC378" i="1"/>
  <c r="BD378" i="1"/>
  <c r="AW384" i="1"/>
  <c r="BF384" i="1"/>
  <c r="BB384" i="1"/>
  <c r="BC384" i="1"/>
  <c r="BD384" i="1"/>
  <c r="AT384" i="1"/>
  <c r="BE384" i="1"/>
  <c r="AV384" i="1"/>
  <c r="AU384" i="1"/>
  <c r="AX384" i="1"/>
  <c r="AY384" i="1"/>
  <c r="AZ384" i="1"/>
  <c r="BA376" i="1"/>
  <c r="AT376" i="1"/>
  <c r="BB376" i="1"/>
  <c r="AU376" i="1"/>
  <c r="BD376" i="1"/>
  <c r="AV376" i="1"/>
  <c r="BE376" i="1"/>
  <c r="AW376" i="1"/>
  <c r="BF376" i="1"/>
  <c r="AX376" i="1"/>
  <c r="AY376" i="1"/>
  <c r="AZ376" i="1"/>
  <c r="BA383" i="1"/>
  <c r="AT383" i="1"/>
  <c r="BC383" i="1"/>
  <c r="AV383" i="1"/>
  <c r="BE383" i="1"/>
  <c r="BB383" i="1"/>
  <c r="BD383" i="1"/>
  <c r="BF383" i="1"/>
  <c r="AU383" i="1"/>
  <c r="AX383" i="1"/>
  <c r="AY383" i="1"/>
  <c r="AZ383" i="1"/>
  <c r="AY377" i="1"/>
  <c r="BB377" i="1"/>
  <c r="AT377" i="1"/>
  <c r="BC377" i="1"/>
  <c r="AU377" i="1"/>
  <c r="BD377" i="1"/>
  <c r="AV377" i="1"/>
  <c r="BE377" i="1"/>
  <c r="AW377" i="1"/>
  <c r="AX377" i="1"/>
  <c r="BA377" i="1"/>
  <c r="BF377" i="1"/>
  <c r="T103" i="1" l="1"/>
  <c r="T194" i="1"/>
  <c r="T305" i="1"/>
  <c r="T357" i="1"/>
  <c r="T333" i="1"/>
  <c r="T154" i="1"/>
  <c r="AB384" i="1"/>
  <c r="AB373" i="1" l="1"/>
  <c r="AN373" i="1" s="1"/>
  <c r="P17" i="1"/>
  <c r="AK41" i="1"/>
  <c r="AK57" i="1"/>
  <c r="AK97" i="1"/>
  <c r="AK11" i="1"/>
  <c r="AK19" i="1"/>
  <c r="AK50" i="1"/>
  <c r="AK90" i="1"/>
  <c r="T114" i="1"/>
  <c r="AK145" i="1"/>
  <c r="T233" i="1"/>
  <c r="T257" i="1"/>
  <c r="AK27" i="1"/>
  <c r="AK35" i="1"/>
  <c r="AK5" i="1"/>
  <c r="AK21" i="1"/>
  <c r="AK36" i="1"/>
  <c r="T68" i="1"/>
  <c r="AK76" i="1"/>
  <c r="AK100" i="1"/>
  <c r="AK108" i="1"/>
  <c r="T131" i="1"/>
  <c r="AK227" i="1"/>
  <c r="T235" i="1"/>
  <c r="AK259" i="1"/>
  <c r="AK267" i="1"/>
  <c r="AK275" i="1"/>
  <c r="AK307" i="1"/>
  <c r="AK315" i="1"/>
  <c r="P361" i="1"/>
  <c r="AK300" i="1"/>
  <c r="T331" i="1"/>
  <c r="AK356" i="1"/>
  <c r="AK207" i="1"/>
  <c r="AK160" i="1"/>
  <c r="T184" i="1"/>
  <c r="AK288" i="1"/>
  <c r="T288" i="1"/>
  <c r="AK358" i="1"/>
  <c r="T297" i="1"/>
  <c r="T313" i="1"/>
  <c r="AK146" i="1"/>
  <c r="AK14" i="1"/>
  <c r="T22" i="1"/>
  <c r="T29" i="1"/>
  <c r="T37" i="1"/>
  <c r="AK69" i="1"/>
  <c r="AK101" i="1"/>
  <c r="T101" i="1"/>
  <c r="T109" i="1"/>
  <c r="AK244" i="1"/>
  <c r="T365" i="1"/>
  <c r="AK30" i="1"/>
  <c r="T38" i="1"/>
  <c r="T133" i="1"/>
  <c r="AK181" i="1"/>
  <c r="AK189" i="1"/>
  <c r="AK237" i="1"/>
  <c r="AK245" i="1"/>
  <c r="T293" i="1"/>
  <c r="T317" i="1"/>
  <c r="AK324" i="1"/>
  <c r="AK355" i="1"/>
  <c r="AK138" i="1"/>
  <c r="AK162" i="1"/>
  <c r="T178" i="1"/>
  <c r="T242" i="1"/>
  <c r="T266" i="1"/>
  <c r="T57" i="1"/>
  <c r="AK120" i="1"/>
  <c r="T42" i="1"/>
  <c r="AK66" i="1"/>
  <c r="T74" i="1"/>
  <c r="AK98" i="1"/>
  <c r="T98" i="1"/>
  <c r="AK114" i="1"/>
  <c r="AK121" i="1"/>
  <c r="T185" i="1"/>
  <c r="T217" i="1"/>
  <c r="AK257" i="1"/>
  <c r="T67" i="1"/>
  <c r="AK99" i="1"/>
  <c r="T99" i="1"/>
  <c r="AK28" i="1"/>
  <c r="T76" i="1"/>
  <c r="T123" i="1"/>
  <c r="T139" i="1"/>
  <c r="AK163" i="1"/>
  <c r="T171" i="1"/>
  <c r="T203" i="1"/>
  <c r="AK235" i="1"/>
  <c r="T267" i="1"/>
  <c r="T307" i="1"/>
  <c r="AK337" i="1"/>
  <c r="AK331" i="1"/>
  <c r="T356" i="1"/>
  <c r="AK144" i="1"/>
  <c r="AK327" i="1"/>
  <c r="AK297" i="1"/>
  <c r="AK313" i="1"/>
  <c r="T258" i="1"/>
  <c r="AK329" i="1"/>
  <c r="AK37" i="1"/>
  <c r="T61" i="1"/>
  <c r="AK109" i="1"/>
  <c r="AK140" i="1"/>
  <c r="AK148" i="1"/>
  <c r="AK228" i="1"/>
  <c r="T284" i="1"/>
  <c r="AK167" i="1"/>
  <c r="AK303" i="1"/>
  <c r="T30" i="1"/>
  <c r="AK38" i="1"/>
  <c r="T62" i="1"/>
  <c r="T78" i="1"/>
  <c r="T94" i="1"/>
  <c r="AK110" i="1"/>
  <c r="AK149" i="1"/>
  <c r="T285" i="1"/>
  <c r="AK293" i="1"/>
  <c r="T355" i="1"/>
  <c r="AK371" i="1"/>
  <c r="AK218" i="1"/>
  <c r="AK242" i="1"/>
  <c r="AK266" i="1"/>
  <c r="AK16" i="1"/>
  <c r="T39" i="1"/>
  <c r="AK134" i="1"/>
  <c r="AK222" i="1"/>
  <c r="AK318" i="1"/>
  <c r="AK325" i="1"/>
  <c r="T364" i="1"/>
  <c r="T175" i="1"/>
  <c r="AK295" i="1"/>
  <c r="AK26" i="1"/>
  <c r="AK42" i="1"/>
  <c r="AK58" i="1"/>
  <c r="AK74" i="1"/>
  <c r="AK185" i="1"/>
  <c r="T193" i="1"/>
  <c r="AK201" i="1"/>
  <c r="AK217" i="1"/>
  <c r="T43" i="1"/>
  <c r="AK67" i="1"/>
  <c r="T75" i="1"/>
  <c r="AK122" i="1"/>
  <c r="AK68" i="1"/>
  <c r="T100" i="1"/>
  <c r="AK147" i="1"/>
  <c r="AK171" i="1"/>
  <c r="AK179" i="1"/>
  <c r="AK203" i="1"/>
  <c r="AK299" i="1"/>
  <c r="AK308" i="1"/>
  <c r="AK159" i="1"/>
  <c r="T263" i="1"/>
  <c r="T240" i="1"/>
  <c r="AK272" i="1"/>
  <c r="AK328" i="1"/>
  <c r="AK186" i="1"/>
  <c r="AK258" i="1"/>
  <c r="AK6" i="1"/>
  <c r="AK29" i="1"/>
  <c r="AK61" i="1"/>
  <c r="AK93" i="1"/>
  <c r="P109" i="1"/>
  <c r="AK116" i="1"/>
  <c r="T164" i="1"/>
  <c r="AK268" i="1"/>
  <c r="AK284" i="1"/>
  <c r="AK143" i="1"/>
  <c r="AK215" i="1"/>
  <c r="T303" i="1"/>
  <c r="AK62" i="1"/>
  <c r="AK70" i="1"/>
  <c r="P78" i="1"/>
  <c r="AK94" i="1"/>
  <c r="AK102" i="1"/>
  <c r="P110" i="1"/>
  <c r="T125" i="1"/>
  <c r="AK229" i="1"/>
  <c r="T269" i="1"/>
  <c r="AK285" i="1"/>
  <c r="AK339" i="1"/>
  <c r="T371" i="1"/>
  <c r="T16" i="1"/>
  <c r="AK31" i="1"/>
  <c r="AK39" i="1"/>
  <c r="AK63" i="1"/>
  <c r="P79" i="1"/>
  <c r="T95" i="1"/>
  <c r="T150" i="1"/>
  <c r="AK190" i="1"/>
  <c r="T230" i="1"/>
  <c r="T270" i="1"/>
  <c r="T286" i="1"/>
  <c r="AK175" i="1"/>
  <c r="T295" i="1"/>
  <c r="AK33" i="1"/>
  <c r="AK49" i="1"/>
  <c r="AK81" i="1"/>
  <c r="T105" i="1"/>
  <c r="AK128" i="1"/>
  <c r="P42" i="1"/>
  <c r="T58" i="1"/>
  <c r="T129" i="1"/>
  <c r="AK161" i="1"/>
  <c r="AK193" i="1"/>
  <c r="AK43" i="1"/>
  <c r="AK59" i="1"/>
  <c r="AK75" i="1"/>
  <c r="AK131" i="1"/>
  <c r="AK139" i="1"/>
  <c r="AK187" i="1"/>
  <c r="AK195" i="1"/>
  <c r="AK211" i="1"/>
  <c r="AK219" i="1"/>
  <c r="T299" i="1"/>
  <c r="T292" i="1"/>
  <c r="T308" i="1"/>
  <c r="T340" i="1"/>
  <c r="T135" i="1"/>
  <c r="AK239" i="1"/>
  <c r="AK263" i="1"/>
  <c r="T224" i="1"/>
  <c r="T296" i="1"/>
  <c r="T343" i="1"/>
  <c r="T146" i="1"/>
  <c r="AK306" i="1"/>
  <c r="T69" i="1"/>
  <c r="T124" i="1"/>
  <c r="AK164" i="1"/>
  <c r="T204" i="1"/>
  <c r="T268" i="1"/>
  <c r="AK255" i="1"/>
  <c r="AK133" i="1"/>
  <c r="AK141" i="1"/>
  <c r="T253" i="1"/>
  <c r="T261" i="1"/>
  <c r="AK269" i="1"/>
  <c r="T332" i="1"/>
  <c r="AK10" i="1"/>
  <c r="T18" i="1"/>
  <c r="T25" i="1"/>
  <c r="AK105" i="1"/>
  <c r="T82" i="1"/>
  <c r="T106" i="1"/>
  <c r="AK129" i="1"/>
  <c r="AK177" i="1"/>
  <c r="AK209" i="1"/>
  <c r="T209" i="1"/>
  <c r="AK233" i="1"/>
  <c r="T13" i="1"/>
  <c r="AK44" i="1"/>
  <c r="AK52" i="1"/>
  <c r="AK60" i="1"/>
  <c r="AK84" i="1"/>
  <c r="T147" i="1"/>
  <c r="T243" i="1"/>
  <c r="AK330" i="1"/>
  <c r="AK345" i="1"/>
  <c r="AK353" i="1"/>
  <c r="AK292" i="1"/>
  <c r="AK323" i="1"/>
  <c r="AK346" i="1"/>
  <c r="T309" i="1"/>
  <c r="AK340" i="1"/>
  <c r="AK135" i="1"/>
  <c r="AK183" i="1"/>
  <c r="AK224" i="1"/>
  <c r="AK240" i="1"/>
  <c r="T256" i="1"/>
  <c r="AK296" i="1"/>
  <c r="T312" i="1"/>
  <c r="T273" i="1"/>
  <c r="AK289" i="1"/>
  <c r="T289" i="1"/>
  <c r="T210" i="1"/>
  <c r="AK22" i="1"/>
  <c r="T85" i="1"/>
  <c r="T196" i="1"/>
  <c r="AK204" i="1"/>
  <c r="T212" i="1"/>
  <c r="T236" i="1"/>
  <c r="AK252" i="1"/>
  <c r="AK276" i="1"/>
  <c r="AK279" i="1"/>
  <c r="AK15" i="1"/>
  <c r="AK117" i="1"/>
  <c r="AK165" i="1"/>
  <c r="AK173" i="1"/>
  <c r="AK253" i="1"/>
  <c r="AK261" i="1"/>
  <c r="AK277" i="1"/>
  <c r="T277" i="1"/>
  <c r="AK332" i="1"/>
  <c r="AK18" i="1"/>
  <c r="AK25" i="1"/>
  <c r="AK89" i="1"/>
  <c r="T113" i="1"/>
  <c r="T374" i="1"/>
  <c r="AK82" i="1"/>
  <c r="AK106" i="1"/>
  <c r="AK225" i="1"/>
  <c r="T241" i="1"/>
  <c r="AK12" i="1"/>
  <c r="AK51" i="1"/>
  <c r="AK13" i="1"/>
  <c r="T155" i="1"/>
  <c r="AK243" i="1"/>
  <c r="T322" i="1"/>
  <c r="T345" i="1"/>
  <c r="T338" i="1"/>
  <c r="AK362" i="1"/>
  <c r="T370" i="1"/>
  <c r="AK309" i="1"/>
  <c r="AK348" i="1"/>
  <c r="AK311" i="1"/>
  <c r="T326" i="1"/>
  <c r="AK341" i="1"/>
  <c r="AK256" i="1"/>
  <c r="AK273" i="1"/>
  <c r="AK343" i="1"/>
  <c r="AK367" i="1"/>
  <c r="P146" i="1"/>
  <c r="AK210" i="1"/>
  <c r="AK45" i="1"/>
  <c r="AK53" i="1"/>
  <c r="AK85" i="1"/>
  <c r="AK188" i="1"/>
  <c r="AK196" i="1"/>
  <c r="AK212" i="1"/>
  <c r="AK260" i="1"/>
  <c r="T143" i="1"/>
  <c r="T279" i="1"/>
  <c r="AK7" i="1"/>
  <c r="AK46" i="1"/>
  <c r="AK54" i="1"/>
  <c r="AK78" i="1"/>
  <c r="T173" i="1"/>
  <c r="AK205" i="1"/>
  <c r="T301" i="1"/>
  <c r="T347" i="1"/>
  <c r="AK202" i="1"/>
  <c r="AK298" i="1"/>
  <c r="AK344" i="1"/>
  <c r="AK360" i="1"/>
  <c r="T87" i="1"/>
  <c r="AK126" i="1"/>
  <c r="AK113" i="1"/>
  <c r="AK34" i="1"/>
  <c r="AK137" i="1"/>
  <c r="AK241" i="1"/>
  <c r="T12" i="1"/>
  <c r="AK83" i="1"/>
  <c r="AK107" i="1"/>
  <c r="T52" i="1"/>
  <c r="T92" i="1"/>
  <c r="T251" i="1"/>
  <c r="T283" i="1"/>
  <c r="AK291" i="1"/>
  <c r="AK322" i="1"/>
  <c r="AK316" i="1"/>
  <c r="AK338" i="1"/>
  <c r="AK354" i="1"/>
  <c r="AK370" i="1"/>
  <c r="T348" i="1"/>
  <c r="AK372" i="1"/>
  <c r="AK287" i="1"/>
  <c r="AK326" i="1"/>
  <c r="T367" i="1"/>
  <c r="AK234" i="1"/>
  <c r="AK282" i="1"/>
  <c r="T329" i="1"/>
  <c r="T77" i="1"/>
  <c r="AK156" i="1"/>
  <c r="P188" i="1"/>
  <c r="AK191" i="1"/>
  <c r="AK231" i="1"/>
  <c r="AK157" i="1"/>
  <c r="T189" i="1"/>
  <c r="AK213" i="1"/>
  <c r="T221" i="1"/>
  <c r="T237" i="1"/>
  <c r="AK301" i="1"/>
  <c r="AK347" i="1"/>
  <c r="AK363" i="1"/>
  <c r="T63" i="1"/>
  <c r="AK87" i="1"/>
  <c r="T118" i="1"/>
  <c r="T142" i="1"/>
  <c r="AK158" i="1"/>
  <c r="AK182" i="1"/>
  <c r="T214" i="1"/>
  <c r="AK254" i="1"/>
  <c r="T310" i="1"/>
  <c r="AK333" i="1"/>
  <c r="T271" i="1"/>
  <c r="AK319" i="1"/>
  <c r="AK232" i="1"/>
  <c r="AK351" i="1"/>
  <c r="T290" i="1"/>
  <c r="T368" i="1"/>
  <c r="AK40" i="1"/>
  <c r="AK64" i="1"/>
  <c r="AK104" i="1"/>
  <c r="AK65" i="1"/>
  <c r="AK73" i="1"/>
  <c r="T26" i="1"/>
  <c r="T145" i="1"/>
  <c r="AK153" i="1"/>
  <c r="AK249" i="1"/>
  <c r="T4" i="1"/>
  <c r="AK20" i="1"/>
  <c r="T27" i="1"/>
  <c r="AK91" i="1"/>
  <c r="T21" i="1"/>
  <c r="AK92" i="1"/>
  <c r="AK123" i="1"/>
  <c r="AK155" i="1"/>
  <c r="AK251" i="1"/>
  <c r="T259" i="1"/>
  <c r="T275" i="1"/>
  <c r="AK283" i="1"/>
  <c r="AK361" i="1"/>
  <c r="T300" i="1"/>
  <c r="T354" i="1"/>
  <c r="P370" i="1"/>
  <c r="T372" i="1"/>
  <c r="T239" i="1"/>
  <c r="AK184" i="1"/>
  <c r="AK208" i="1"/>
  <c r="AK312" i="1"/>
  <c r="T358" i="1"/>
  <c r="T53" i="1"/>
  <c r="AK77" i="1"/>
  <c r="AK124" i="1"/>
  <c r="AK132" i="1"/>
  <c r="AK172" i="1"/>
  <c r="AK180" i="1"/>
  <c r="AK220" i="1"/>
  <c r="AK236" i="1"/>
  <c r="T244" i="1"/>
  <c r="T191" i="1"/>
  <c r="AK365" i="1"/>
  <c r="T54" i="1"/>
  <c r="AK86" i="1"/>
  <c r="AK125" i="1"/>
  <c r="AK197" i="1"/>
  <c r="AK221" i="1"/>
  <c r="T245" i="1"/>
  <c r="AK317" i="1"/>
  <c r="T324" i="1"/>
  <c r="T363" i="1"/>
  <c r="T162" i="1"/>
  <c r="AK178" i="1"/>
  <c r="AK55" i="1"/>
  <c r="AK174" i="1"/>
  <c r="T182" i="1"/>
  <c r="AK214" i="1"/>
  <c r="T238" i="1"/>
  <c r="AK223" i="1"/>
  <c r="AK271" i="1"/>
  <c r="AK349" i="1"/>
  <c r="T216" i="1"/>
  <c r="T298" i="1"/>
  <c r="T344" i="1"/>
  <c r="T360" i="1"/>
  <c r="T23" i="1"/>
  <c r="AK47" i="1"/>
  <c r="T71" i="1"/>
  <c r="AK111" i="1"/>
  <c r="AK118" i="1"/>
  <c r="P150" i="1"/>
  <c r="AK166" i="1"/>
  <c r="AK230" i="1"/>
  <c r="T262" i="1"/>
  <c r="AK278" i="1"/>
  <c r="T302" i="1"/>
  <c r="AK151" i="1"/>
  <c r="AK247" i="1"/>
  <c r="T136" i="1"/>
  <c r="T152" i="1"/>
  <c r="T280" i="1"/>
  <c r="AK304" i="1"/>
  <c r="AK320" i="1"/>
  <c r="AK335" i="1"/>
  <c r="T342" i="1"/>
  <c r="AK305" i="1"/>
  <c r="AK321" i="1"/>
  <c r="T359" i="1"/>
  <c r="AK170" i="1"/>
  <c r="P9" i="1"/>
  <c r="AK17" i="1"/>
  <c r="AK24" i="1"/>
  <c r="AK88" i="1"/>
  <c r="AK127" i="1"/>
  <c r="AK238" i="1"/>
  <c r="AK262" i="1"/>
  <c r="T278" i="1"/>
  <c r="AK302" i="1"/>
  <c r="AK310" i="1"/>
  <c r="T319" i="1"/>
  <c r="AK136" i="1"/>
  <c r="AK152" i="1"/>
  <c r="AK280" i="1"/>
  <c r="AK342" i="1"/>
  <c r="AK281" i="1"/>
  <c r="AK250" i="1"/>
  <c r="AK290" i="1"/>
  <c r="T9" i="1"/>
  <c r="T40" i="1"/>
  <c r="T64" i="1"/>
  <c r="AK112" i="1"/>
  <c r="AK130" i="1"/>
  <c r="AK226" i="1"/>
  <c r="AK8" i="1"/>
  <c r="AK23" i="1"/>
  <c r="AK71" i="1"/>
  <c r="AK79" i="1"/>
  <c r="T158" i="1"/>
  <c r="AK198" i="1"/>
  <c r="T198" i="1"/>
  <c r="AK206" i="1"/>
  <c r="T294" i="1"/>
  <c r="T318" i="1"/>
  <c r="T325" i="1"/>
  <c r="AK199" i="1"/>
  <c r="T199" i="1"/>
  <c r="AK357" i="1"/>
  <c r="AK216" i="1"/>
  <c r="T264" i="1"/>
  <c r="AK72" i="1"/>
  <c r="AK96" i="1"/>
  <c r="AK248" i="1"/>
  <c r="AK264" i="1"/>
  <c r="AK350" i="1"/>
  <c r="AK265" i="1"/>
  <c r="AK194" i="1"/>
  <c r="AK274" i="1"/>
  <c r="T56" i="1"/>
  <c r="AK80" i="1"/>
  <c r="T96" i="1"/>
  <c r="T192" i="1"/>
  <c r="T200" i="1"/>
  <c r="AK336" i="1"/>
  <c r="AK32" i="1"/>
  <c r="AK48" i="1"/>
  <c r="AK56" i="1"/>
  <c r="T80" i="1"/>
  <c r="AK119" i="1"/>
  <c r="T47" i="1"/>
  <c r="AK95" i="1"/>
  <c r="AK103" i="1"/>
  <c r="T134" i="1"/>
  <c r="AK142" i="1"/>
  <c r="AK150" i="1"/>
  <c r="T166" i="1"/>
  <c r="AK246" i="1"/>
  <c r="AK270" i="1"/>
  <c r="AK286" i="1"/>
  <c r="T151" i="1"/>
  <c r="T247" i="1"/>
  <c r="AK334" i="1"/>
  <c r="AK176" i="1"/>
  <c r="AK192" i="1"/>
  <c r="AK200" i="1"/>
  <c r="T320" i="1"/>
  <c r="T321" i="1"/>
  <c r="AK359" i="1"/>
  <c r="AK154" i="1"/>
  <c r="AK314" i="1"/>
  <c r="T352" i="1"/>
  <c r="AK9" i="1"/>
  <c r="T24" i="1"/>
  <c r="P156" i="1"/>
  <c r="P324" i="1"/>
  <c r="P285" i="1"/>
  <c r="P339" i="1"/>
  <c r="P371" i="1"/>
  <c r="P297" i="1"/>
  <c r="P86" i="1"/>
  <c r="P197" i="1"/>
  <c r="P363" i="1"/>
  <c r="P173" i="1"/>
  <c r="P329" i="1"/>
  <c r="P37" i="1"/>
  <c r="P101" i="1"/>
  <c r="P314" i="1"/>
  <c r="P290" i="1"/>
  <c r="P368" i="1"/>
  <c r="P40" i="1"/>
  <c r="P64" i="1"/>
  <c r="P21" i="1"/>
  <c r="P71" i="1"/>
  <c r="P102" i="1"/>
  <c r="P19" i="1"/>
  <c r="P66" i="1"/>
  <c r="Z27" i="1"/>
  <c r="P338" i="1"/>
  <c r="P309" i="1"/>
  <c r="P313" i="1"/>
  <c r="P69" i="1"/>
  <c r="P317" i="1"/>
  <c r="P347" i="1"/>
  <c r="P344" i="1"/>
  <c r="P47" i="1"/>
  <c r="P238" i="1"/>
  <c r="P27" i="1"/>
  <c r="P187" i="1"/>
  <c r="P360" i="1"/>
  <c r="P31" i="1"/>
  <c r="P208" i="1"/>
  <c r="P52" i="1"/>
  <c r="P268" i="1"/>
  <c r="P277" i="1"/>
  <c r="P89" i="1"/>
  <c r="Z97" i="1"/>
  <c r="Z120" i="1"/>
  <c r="Z26" i="1"/>
  <c r="Z90" i="1"/>
  <c r="Z153" i="1"/>
  <c r="P177" i="1"/>
  <c r="P217" i="1"/>
  <c r="Z249" i="1"/>
  <c r="P80" i="1"/>
  <c r="P247" i="1"/>
  <c r="P130" i="1"/>
  <c r="Z127" i="1"/>
  <c r="P98" i="1"/>
  <c r="P185" i="1"/>
  <c r="P99" i="1"/>
  <c r="P36" i="1"/>
  <c r="P100" i="1"/>
  <c r="P123" i="1"/>
  <c r="P251" i="1"/>
  <c r="P283" i="1"/>
  <c r="P354" i="1"/>
  <c r="P159" i="1"/>
  <c r="P272" i="1"/>
  <c r="P343" i="1"/>
  <c r="P14" i="1"/>
  <c r="P143" i="1"/>
  <c r="P279" i="1"/>
  <c r="Z355" i="1"/>
  <c r="Z218" i="1"/>
  <c r="Z242" i="1"/>
  <c r="P128" i="1"/>
  <c r="P241" i="1"/>
  <c r="P326" i="1"/>
  <c r="P16" i="1"/>
  <c r="P70" i="1"/>
  <c r="BD57" i="1"/>
  <c r="AT109" i="1"/>
  <c r="P10" i="1"/>
  <c r="P105" i="1"/>
  <c r="P34" i="1"/>
  <c r="P50" i="1"/>
  <c r="P129" i="1"/>
  <c r="P120" i="1"/>
  <c r="BB32" i="1"/>
  <c r="AU327" i="1"/>
  <c r="AT289" i="1"/>
  <c r="AW167" i="1"/>
  <c r="AV29" i="1"/>
  <c r="Z34" i="1"/>
  <c r="Z66" i="1"/>
  <c r="Z82" i="1"/>
  <c r="Z209" i="1"/>
  <c r="Z225" i="1"/>
  <c r="P233" i="1"/>
  <c r="Z13" i="1"/>
  <c r="P44" i="1"/>
  <c r="Z147" i="1"/>
  <c r="Z291" i="1"/>
  <c r="P337" i="1"/>
  <c r="Z239" i="1"/>
  <c r="Z287" i="1"/>
  <c r="P33" i="1"/>
  <c r="P49" i="1"/>
  <c r="P81" i="1"/>
  <c r="P114" i="1"/>
  <c r="P153" i="1"/>
  <c r="Z139" i="1"/>
  <c r="P259" i="1"/>
  <c r="P275" i="1"/>
  <c r="Z283" i="1"/>
  <c r="P307" i="1"/>
  <c r="P331" i="1"/>
  <c r="BF203" i="1"/>
  <c r="P161" i="1"/>
  <c r="P122" i="1"/>
  <c r="P179" i="1"/>
  <c r="P288" i="1"/>
  <c r="P29" i="1"/>
  <c r="Z252" i="1"/>
  <c r="P46" i="1"/>
  <c r="Z102" i="1"/>
  <c r="Z157" i="1"/>
  <c r="P181" i="1"/>
  <c r="P8" i="1"/>
  <c r="P39" i="1"/>
  <c r="Z55" i="1"/>
  <c r="P103" i="1"/>
  <c r="P111" i="1"/>
  <c r="Z182" i="1"/>
  <c r="Z206" i="1"/>
  <c r="Z214" i="1"/>
  <c r="P175" i="1"/>
  <c r="P295" i="1"/>
  <c r="P357" i="1"/>
  <c r="P216" i="1"/>
  <c r="P264" i="1"/>
  <c r="P304" i="1"/>
  <c r="P265" i="1"/>
  <c r="Z281" i="1"/>
  <c r="Z170" i="1"/>
  <c r="P72" i="1"/>
  <c r="P253" i="1"/>
  <c r="P261" i="1"/>
  <c r="P332" i="1"/>
  <c r="P63" i="1"/>
  <c r="P95" i="1"/>
  <c r="P126" i="1"/>
  <c r="P134" i="1"/>
  <c r="Z318" i="1"/>
  <c r="Z325" i="1"/>
  <c r="P334" i="1"/>
  <c r="Z342" i="1"/>
  <c r="Z351" i="1"/>
  <c r="P194" i="1"/>
  <c r="Z352" i="1"/>
  <c r="Z17" i="1"/>
  <c r="Z24" i="1"/>
  <c r="P132" i="1"/>
  <c r="Z125" i="1"/>
  <c r="P59" i="1"/>
  <c r="Z91" i="1"/>
  <c r="Z122" i="1"/>
  <c r="P13" i="1"/>
  <c r="Z21" i="1"/>
  <c r="Z60" i="1"/>
  <c r="P68" i="1"/>
  <c r="Z92" i="1"/>
  <c r="P131" i="1"/>
  <c r="P155" i="1"/>
  <c r="Z179" i="1"/>
  <c r="Z187" i="1"/>
  <c r="P195" i="1"/>
  <c r="P203" i="1"/>
  <c r="P211" i="1"/>
  <c r="Z259" i="1"/>
  <c r="P299" i="1"/>
  <c r="Z361" i="1"/>
  <c r="Z300" i="1"/>
  <c r="P340" i="1"/>
  <c r="Z207" i="1"/>
  <c r="P263" i="1"/>
  <c r="Z184" i="1"/>
  <c r="Z240" i="1"/>
  <c r="Z312" i="1"/>
  <c r="Z328" i="1"/>
  <c r="Z343" i="1"/>
  <c r="Z367" i="1"/>
  <c r="Z210" i="1"/>
  <c r="Z53" i="1"/>
  <c r="Z77" i="1"/>
  <c r="Z85" i="1"/>
  <c r="P116" i="1"/>
  <c r="Z172" i="1"/>
  <c r="Z188" i="1"/>
  <c r="Z212" i="1"/>
  <c r="P228" i="1"/>
  <c r="P231" i="1"/>
  <c r="Z165" i="1"/>
  <c r="Z173" i="1"/>
  <c r="P237" i="1"/>
  <c r="Z253" i="1"/>
  <c r="Z261" i="1"/>
  <c r="Z269" i="1"/>
  <c r="Z332" i="1"/>
  <c r="Z138" i="1"/>
  <c r="P178" i="1"/>
  <c r="Z202" i="1"/>
  <c r="Z103" i="1"/>
  <c r="P166" i="1"/>
  <c r="P174" i="1"/>
  <c r="P254" i="1"/>
  <c r="P262" i="1"/>
  <c r="Z364" i="1"/>
  <c r="P151" i="1"/>
  <c r="Z175" i="1"/>
  <c r="P223" i="1"/>
  <c r="Z295" i="1"/>
  <c r="Z357" i="1"/>
  <c r="P176" i="1"/>
  <c r="P192" i="1"/>
  <c r="Z216" i="1"/>
  <c r="P232" i="1"/>
  <c r="P281" i="1"/>
  <c r="P359" i="1"/>
  <c r="P154" i="1"/>
  <c r="P250" i="1"/>
  <c r="Z274" i="1"/>
  <c r="Z40" i="1"/>
  <c r="P193" i="1"/>
  <c r="Z59" i="1"/>
  <c r="P67" i="1"/>
  <c r="P84" i="1"/>
  <c r="P227" i="1"/>
  <c r="P330" i="1"/>
  <c r="P292" i="1"/>
  <c r="P308" i="1"/>
  <c r="P316" i="1"/>
  <c r="P362" i="1"/>
  <c r="P224" i="1"/>
  <c r="P258" i="1"/>
  <c r="P282" i="1"/>
  <c r="P236" i="1"/>
  <c r="P252" i="1"/>
  <c r="P118" i="1"/>
  <c r="P142" i="1"/>
  <c r="P206" i="1"/>
  <c r="P294" i="1"/>
  <c r="P302" i="1"/>
  <c r="P333" i="1"/>
  <c r="P320" i="1"/>
  <c r="P305" i="1"/>
  <c r="P56" i="1"/>
  <c r="P88" i="1"/>
  <c r="P96" i="1"/>
  <c r="P83" i="1"/>
  <c r="P5" i="1"/>
  <c r="P28" i="1"/>
  <c r="P235" i="1"/>
  <c r="S361" i="1"/>
  <c r="Z37" i="1"/>
  <c r="P180" i="1"/>
  <c r="P7" i="1"/>
  <c r="P248" i="1"/>
  <c r="P350" i="1"/>
  <c r="P274" i="1"/>
  <c r="AT74" i="1"/>
  <c r="BC74" i="1"/>
  <c r="AX74" i="1"/>
  <c r="AY74" i="1"/>
  <c r="BB210" i="1"/>
  <c r="BD210" i="1"/>
  <c r="AV210" i="1"/>
  <c r="AW210" i="1"/>
  <c r="AX210" i="1"/>
  <c r="AY210" i="1"/>
  <c r="AU201" i="1"/>
  <c r="AU80" i="1"/>
  <c r="BA42" i="1"/>
  <c r="BB42" i="1"/>
  <c r="AT42" i="1"/>
  <c r="BD42" i="1"/>
  <c r="AV42" i="1"/>
  <c r="BE42" i="1"/>
  <c r="AX42" i="1"/>
  <c r="BF42" i="1"/>
  <c r="AZ42" i="1"/>
  <c r="AY42" i="1"/>
  <c r="AX242" i="1"/>
  <c r="BF242" i="1"/>
  <c r="BB242" i="1"/>
  <c r="AT242" i="1"/>
  <c r="AB386" i="1"/>
  <c r="AB383" i="1"/>
  <c r="Z73" i="1"/>
  <c r="Z113" i="1"/>
  <c r="Z374" i="1"/>
  <c r="Z11" i="1"/>
  <c r="Z19" i="1"/>
  <c r="P58" i="1"/>
  <c r="Z241" i="1"/>
  <c r="Z12" i="1"/>
  <c r="P43" i="1"/>
  <c r="Z83" i="1"/>
  <c r="P115" i="1"/>
  <c r="Z5" i="1"/>
  <c r="Z52" i="1"/>
  <c r="Z155" i="1"/>
  <c r="Z322" i="1"/>
  <c r="Z345" i="1"/>
  <c r="Z369" i="1"/>
  <c r="Z316" i="1"/>
  <c r="Z338" i="1"/>
  <c r="Z370" i="1"/>
  <c r="Z311" i="1"/>
  <c r="Z341" i="1"/>
  <c r="Z144" i="1"/>
  <c r="Z208" i="1"/>
  <c r="Z256" i="1"/>
  <c r="Z313" i="1"/>
  <c r="P367" i="1"/>
  <c r="P234" i="1"/>
  <c r="P22" i="1"/>
  <c r="P77" i="1"/>
  <c r="Z124" i="1"/>
  <c r="P140" i="1"/>
  <c r="P148" i="1"/>
  <c r="Z204" i="1"/>
  <c r="Z260" i="1"/>
  <c r="Z268" i="1"/>
  <c r="Z276" i="1"/>
  <c r="P167" i="1"/>
  <c r="Z231" i="1"/>
  <c r="Z7" i="1"/>
  <c r="Z15" i="1"/>
  <c r="Z38" i="1"/>
  <c r="Z133" i="1"/>
  <c r="P141" i="1"/>
  <c r="P165" i="1"/>
  <c r="P205" i="1"/>
  <c r="S205" i="1" s="1"/>
  <c r="Z285" i="1"/>
  <c r="Z293" i="1"/>
  <c r="Z339" i="1"/>
  <c r="Z371" i="1"/>
  <c r="Z266" i="1"/>
  <c r="Z23" i="1"/>
  <c r="Z79" i="1"/>
  <c r="Z222" i="1"/>
  <c r="P278" i="1"/>
  <c r="Z349" i="1"/>
  <c r="Z280" i="1"/>
  <c r="AV173" i="1"/>
  <c r="BE173" i="1"/>
  <c r="AW173" i="1"/>
  <c r="BF173" i="1"/>
  <c r="AX173" i="1"/>
  <c r="AY173" i="1"/>
  <c r="AZ173" i="1"/>
  <c r="BB173" i="1"/>
  <c r="AT173" i="1"/>
  <c r="AU173" i="1"/>
  <c r="BC173" i="1"/>
  <c r="BD173" i="1"/>
  <c r="AX205" i="1"/>
  <c r="AY205" i="1"/>
  <c r="AT205" i="1"/>
  <c r="BB205" i="1"/>
  <c r="BE271" i="1"/>
  <c r="AB379" i="1"/>
  <c r="Z41" i="1"/>
  <c r="P57" i="1"/>
  <c r="P121" i="1"/>
  <c r="P137" i="1"/>
  <c r="Z145" i="1"/>
  <c r="P169" i="1"/>
  <c r="P201" i="1"/>
  <c r="P257" i="1"/>
  <c r="Z20" i="1"/>
  <c r="Z35" i="1"/>
  <c r="Z43" i="1"/>
  <c r="Z51" i="1"/>
  <c r="P75" i="1"/>
  <c r="Z107" i="1"/>
  <c r="Z28" i="1"/>
  <c r="P60" i="1"/>
  <c r="P76" i="1"/>
  <c r="Z108" i="1"/>
  <c r="P171" i="1"/>
  <c r="P219" i="1"/>
  <c r="Z227" i="1"/>
  <c r="Z251" i="1"/>
  <c r="P267" i="1"/>
  <c r="Z275" i="1"/>
  <c r="P353" i="1"/>
  <c r="P323" i="1"/>
  <c r="P346" i="1"/>
  <c r="Z354" i="1"/>
  <c r="Z348" i="1"/>
  <c r="P356" i="1"/>
  <c r="Z372" i="1"/>
  <c r="P183" i="1"/>
  <c r="Z160" i="1"/>
  <c r="P168" i="1"/>
  <c r="P296" i="1"/>
  <c r="P358" i="1"/>
  <c r="Z273" i="1"/>
  <c r="Z289" i="1"/>
  <c r="Z282" i="1"/>
  <c r="Z45" i="1"/>
  <c r="P93" i="1"/>
  <c r="Z196" i="1"/>
  <c r="Z236" i="1"/>
  <c r="P244" i="1"/>
  <c r="P191" i="1"/>
  <c r="Z279" i="1"/>
  <c r="P365" i="1"/>
  <c r="P54" i="1"/>
  <c r="Z117" i="1"/>
  <c r="P133" i="1"/>
  <c r="P189" i="1"/>
  <c r="P213" i="1"/>
  <c r="Z229" i="1"/>
  <c r="P301" i="1"/>
  <c r="P298" i="1"/>
  <c r="Z95" i="1"/>
  <c r="Z158" i="1"/>
  <c r="Z190" i="1"/>
  <c r="Z198" i="1"/>
  <c r="P230" i="1"/>
  <c r="Z294" i="1"/>
  <c r="Z199" i="1"/>
  <c r="P319" i="1"/>
  <c r="P200" i="1"/>
  <c r="P335" i="1"/>
  <c r="Z350" i="1"/>
  <c r="Z366" i="1"/>
  <c r="P321" i="1"/>
  <c r="Z226" i="1"/>
  <c r="Z290" i="1"/>
  <c r="Z9" i="1"/>
  <c r="P48" i="1"/>
  <c r="Z64" i="1"/>
  <c r="Z104" i="1"/>
  <c r="P119" i="1"/>
  <c r="P127" i="1"/>
  <c r="AB387" i="1"/>
  <c r="Z163" i="1"/>
  <c r="Z327" i="1"/>
  <c r="Z180" i="1"/>
  <c r="Z8" i="1"/>
  <c r="Z16" i="1"/>
  <c r="Z39" i="1"/>
  <c r="Z134" i="1"/>
  <c r="Z246" i="1"/>
  <c r="AU238" i="1"/>
  <c r="BD238" i="1"/>
  <c r="AW238" i="1"/>
  <c r="BF238" i="1"/>
  <c r="BE238" i="1"/>
  <c r="AT238" i="1"/>
  <c r="AV238" i="1"/>
  <c r="AY238" i="1"/>
  <c r="AZ238" i="1"/>
  <c r="BC238" i="1"/>
  <c r="AU270" i="1"/>
  <c r="BD270" i="1"/>
  <c r="AW270" i="1"/>
  <c r="BE270" i="1"/>
  <c r="AY270" i="1"/>
  <c r="AZ270" i="1"/>
  <c r="AT270" i="1"/>
  <c r="BA270" i="1"/>
  <c r="BB270" i="1"/>
  <c r="BB280" i="1"/>
  <c r="AY280" i="1"/>
  <c r="BF120" i="1"/>
  <c r="BD120" i="1"/>
  <c r="AV114" i="1"/>
  <c r="BA209" i="1"/>
  <c r="AT209" i="1"/>
  <c r="BB209" i="1"/>
  <c r="AU209" i="1"/>
  <c r="BC209" i="1"/>
  <c r="AV209" i="1"/>
  <c r="BD209" i="1"/>
  <c r="AW209" i="1"/>
  <c r="BE209" i="1"/>
  <c r="AX209" i="1"/>
  <c r="AY209" i="1"/>
  <c r="AZ209" i="1"/>
  <c r="AW154" i="1"/>
  <c r="AZ358" i="1"/>
  <c r="BA358" i="1"/>
  <c r="BB358" i="1"/>
  <c r="AT358" i="1"/>
  <c r="BC358" i="1"/>
  <c r="AV358" i="1"/>
  <c r="BD358" i="1"/>
  <c r="AW358" i="1"/>
  <c r="BE358" i="1"/>
  <c r="AX358" i="1"/>
  <c r="BF358" i="1"/>
  <c r="AY358" i="1"/>
  <c r="AX12" i="1"/>
  <c r="AY108" i="1"/>
  <c r="AZ108" i="1"/>
  <c r="BA108" i="1"/>
  <c r="AT108" i="1"/>
  <c r="BB108" i="1"/>
  <c r="BF108" i="1"/>
  <c r="AX108" i="1"/>
  <c r="BE108" i="1"/>
  <c r="AX147" i="1"/>
  <c r="BF147" i="1"/>
  <c r="AT147" i="1"/>
  <c r="BC147" i="1"/>
  <c r="BF275" i="1"/>
  <c r="AZ369" i="1"/>
  <c r="AU324" i="1"/>
  <c r="AV324" i="1"/>
  <c r="BE324" i="1"/>
  <c r="AX324" i="1"/>
  <c r="AY324" i="1"/>
  <c r="AZ324" i="1"/>
  <c r="BE355" i="1"/>
  <c r="AW355" i="1"/>
  <c r="AY355" i="1"/>
  <c r="AZ355" i="1"/>
  <c r="AV312" i="1"/>
  <c r="BE312" i="1"/>
  <c r="AW312" i="1"/>
  <c r="BF312" i="1"/>
  <c r="AX312" i="1"/>
  <c r="AY312" i="1"/>
  <c r="BB312" i="1"/>
  <c r="AT312" i="1"/>
  <c r="BC312" i="1"/>
  <c r="AU312" i="1"/>
  <c r="BD312" i="1"/>
  <c r="BA312" i="1"/>
  <c r="BA140" i="1"/>
  <c r="BB140" i="1"/>
  <c r="AX140" i="1"/>
  <c r="AT140" i="1"/>
  <c r="AZ172" i="1"/>
  <c r="BA172" i="1"/>
  <c r="BC172" i="1"/>
  <c r="AU172" i="1"/>
  <c r="AB380" i="1"/>
  <c r="Z33" i="1"/>
  <c r="Z57" i="1"/>
  <c r="Z74" i="1"/>
  <c r="Z114" i="1"/>
  <c r="Z121" i="1"/>
  <c r="Z169" i="1"/>
  <c r="P51" i="1"/>
  <c r="Z36" i="1"/>
  <c r="Z235" i="1"/>
  <c r="P291" i="1"/>
  <c r="Z307" i="1"/>
  <c r="Z315" i="1"/>
  <c r="Z337" i="1"/>
  <c r="Z331" i="1"/>
  <c r="Z356" i="1"/>
  <c r="P311" i="1"/>
  <c r="P144" i="1"/>
  <c r="Z272" i="1"/>
  <c r="Z288" i="1"/>
  <c r="Z358" i="1"/>
  <c r="P186" i="1"/>
  <c r="Z234" i="1"/>
  <c r="Z14" i="1"/>
  <c r="P124" i="1"/>
  <c r="Z140" i="1"/>
  <c r="Z220" i="1"/>
  <c r="P284" i="1"/>
  <c r="Z191" i="1"/>
  <c r="P215" i="1"/>
  <c r="P255" i="1"/>
  <c r="P303" i="1"/>
  <c r="P30" i="1"/>
  <c r="Z46" i="1"/>
  <c r="Z62" i="1"/>
  <c r="Z78" i="1"/>
  <c r="P94" i="1"/>
  <c r="Z205" i="1"/>
  <c r="P221" i="1"/>
  <c r="Z277" i="1"/>
  <c r="P162" i="1"/>
  <c r="Z298" i="1"/>
  <c r="Z31" i="1"/>
  <c r="Z63" i="1"/>
  <c r="Z111" i="1"/>
  <c r="Z150" i="1"/>
  <c r="Z286" i="1"/>
  <c r="Z334" i="1"/>
  <c r="Z248" i="1"/>
  <c r="Z264" i="1"/>
  <c r="P366" i="1"/>
  <c r="Z321" i="1"/>
  <c r="Z194" i="1"/>
  <c r="Z368" i="1"/>
  <c r="Z32" i="1"/>
  <c r="Z112" i="1"/>
  <c r="AT111" i="1"/>
  <c r="BB111" i="1"/>
  <c r="AU111" i="1"/>
  <c r="BD111" i="1"/>
  <c r="AV111" i="1"/>
  <c r="BE111" i="1"/>
  <c r="AW111" i="1"/>
  <c r="BF111" i="1"/>
  <c r="AX111" i="1"/>
  <c r="AZ111" i="1"/>
  <c r="AY111" i="1"/>
  <c r="BA111" i="1"/>
  <c r="AT142" i="1"/>
  <c r="BC142" i="1"/>
  <c r="AU142" i="1"/>
  <c r="BD142" i="1"/>
  <c r="AZ142" i="1"/>
  <c r="AV142" i="1"/>
  <c r="AX142" i="1"/>
  <c r="AY142" i="1"/>
  <c r="BA142" i="1"/>
  <c r="BE142" i="1"/>
  <c r="BF142" i="1"/>
  <c r="BB142" i="1"/>
  <c r="AY349" i="1"/>
  <c r="AZ349" i="1"/>
  <c r="AZ282" i="1"/>
  <c r="AY64" i="1"/>
  <c r="BA64" i="1"/>
  <c r="BB64" i="1"/>
  <c r="AV64" i="1"/>
  <c r="BE64" i="1"/>
  <c r="AU64" i="1"/>
  <c r="AW64" i="1"/>
  <c r="AX64" i="1"/>
  <c r="BC64" i="1"/>
  <c r="BD64" i="1"/>
  <c r="BF64" i="1"/>
  <c r="AT64" i="1"/>
  <c r="AY96" i="1"/>
  <c r="AZ96" i="1"/>
  <c r="BA96" i="1"/>
  <c r="AT96" i="1"/>
  <c r="BB96" i="1"/>
  <c r="AU96" i="1"/>
  <c r="BD96" i="1"/>
  <c r="AW96" i="1"/>
  <c r="BF96" i="1"/>
  <c r="AX96" i="1"/>
  <c r="BE96" i="1"/>
  <c r="AV96" i="1"/>
  <c r="BA65" i="1"/>
  <c r="BB65" i="1"/>
  <c r="AT65" i="1"/>
  <c r="BC65" i="1"/>
  <c r="AW65" i="1"/>
  <c r="BF65" i="1"/>
  <c r="AV65" i="1"/>
  <c r="AY65" i="1"/>
  <c r="AZ65" i="1"/>
  <c r="AT97" i="1"/>
  <c r="BB97" i="1"/>
  <c r="AU97" i="1"/>
  <c r="AV97" i="1"/>
  <c r="BE97" i="1"/>
  <c r="AW97" i="1"/>
  <c r="BF97" i="1"/>
  <c r="AY97" i="1"/>
  <c r="AX97" i="1"/>
  <c r="AT58" i="1"/>
  <c r="BB58" i="1"/>
  <c r="AW185" i="1"/>
  <c r="BF185" i="1"/>
  <c r="AY185" i="1"/>
  <c r="AZ185" i="1"/>
  <c r="BB185" i="1"/>
  <c r="AT185" i="1"/>
  <c r="BC185" i="1"/>
  <c r="AU185" i="1"/>
  <c r="AV185" i="1"/>
  <c r="AX185" i="1"/>
  <c r="BD185" i="1"/>
  <c r="BE185" i="1"/>
  <c r="AY217" i="1"/>
  <c r="AZ217" i="1"/>
  <c r="BA217" i="1"/>
  <c r="BB217" i="1"/>
  <c r="AT217" i="1"/>
  <c r="BC217" i="1"/>
  <c r="AU217" i="1"/>
  <c r="BD217" i="1"/>
  <c r="AV217" i="1"/>
  <c r="BE217" i="1"/>
  <c r="AX217" i="1"/>
  <c r="BF217" i="1"/>
  <c r="BD313" i="1"/>
  <c r="BF313" i="1"/>
  <c r="AX313" i="1"/>
  <c r="AZ313" i="1"/>
  <c r="BA313" i="1"/>
  <c r="AT313" i="1"/>
  <c r="AY313" i="1"/>
  <c r="AT343" i="1"/>
  <c r="BC343" i="1"/>
  <c r="AV343" i="1"/>
  <c r="BE343" i="1"/>
  <c r="AY343" i="1"/>
  <c r="AZ343" i="1"/>
  <c r="BA343" i="1"/>
  <c r="BB343" i="1"/>
  <c r="BA226" i="1"/>
  <c r="AZ226" i="1"/>
  <c r="AB388" i="1"/>
  <c r="P18" i="1"/>
  <c r="Z25" i="1"/>
  <c r="Z49" i="1"/>
  <c r="Z65" i="1"/>
  <c r="Z81" i="1"/>
  <c r="Z128" i="1"/>
  <c r="P374" i="1"/>
  <c r="Z42" i="1"/>
  <c r="P82" i="1"/>
  <c r="Z129" i="1"/>
  <c r="Z161" i="1"/>
  <c r="Z185" i="1"/>
  <c r="P209" i="1"/>
  <c r="Z217" i="1"/>
  <c r="P225" i="1"/>
  <c r="Z257" i="1"/>
  <c r="Z4" i="1"/>
  <c r="Z67" i="1"/>
  <c r="Z99" i="1"/>
  <c r="Z68" i="1"/>
  <c r="Z100" i="1"/>
  <c r="Z123" i="1"/>
  <c r="P139" i="1"/>
  <c r="P147" i="1"/>
  <c r="P163" i="1"/>
  <c r="Z171" i="1"/>
  <c r="Z203" i="1"/>
  <c r="Z267" i="1"/>
  <c r="Z159" i="1"/>
  <c r="P341" i="1"/>
  <c r="Z224" i="1"/>
  <c r="P240" i="1"/>
  <c r="P256" i="1"/>
  <c r="P306" i="1"/>
  <c r="P45" i="1"/>
  <c r="P61" i="1"/>
  <c r="Z132" i="1"/>
  <c r="Z244" i="1"/>
  <c r="P260" i="1"/>
  <c r="P276" i="1"/>
  <c r="Z167" i="1"/>
  <c r="Z365" i="1"/>
  <c r="P15" i="1"/>
  <c r="P38" i="1"/>
  <c r="Z70" i="1"/>
  <c r="Z110" i="1"/>
  <c r="P117" i="1"/>
  <c r="P149" i="1"/>
  <c r="P157" i="1"/>
  <c r="Z181" i="1"/>
  <c r="Z213" i="1"/>
  <c r="P245" i="1"/>
  <c r="P293" i="1"/>
  <c r="Z301" i="1"/>
  <c r="Z347" i="1"/>
  <c r="P355" i="1"/>
  <c r="P218" i="1"/>
  <c r="P242" i="1"/>
  <c r="P266" i="1"/>
  <c r="P55" i="1"/>
  <c r="Z71" i="1"/>
  <c r="P87" i="1"/>
  <c r="Z142" i="1"/>
  <c r="Z166" i="1"/>
  <c r="P214" i="1"/>
  <c r="P222" i="1"/>
  <c r="Z238" i="1"/>
  <c r="Z270" i="1"/>
  <c r="P310" i="1"/>
  <c r="Z151" i="1"/>
  <c r="Z247" i="1"/>
  <c r="Z319" i="1"/>
  <c r="P136" i="1"/>
  <c r="P152" i="1"/>
  <c r="P342" i="1"/>
  <c r="Z265" i="1"/>
  <c r="Z336" i="1"/>
  <c r="P170" i="1"/>
  <c r="Z314" i="1"/>
  <c r="P352" i="1"/>
  <c r="AV31" i="1"/>
  <c r="BE31" i="1"/>
  <c r="AX31" i="1"/>
  <c r="BF31" i="1"/>
  <c r="AY31" i="1"/>
  <c r="BA31" i="1"/>
  <c r="AT31" i="1"/>
  <c r="BC31" i="1"/>
  <c r="AU31" i="1"/>
  <c r="AZ31" i="1"/>
  <c r="BB31" i="1"/>
  <c r="AX63" i="1"/>
  <c r="AU63" i="1"/>
  <c r="BC63" i="1"/>
  <c r="BB63" i="1"/>
  <c r="AZ190" i="1"/>
  <c r="AU84" i="1"/>
  <c r="AZ84" i="1"/>
  <c r="BD219" i="1"/>
  <c r="BA251" i="1"/>
  <c r="AT370" i="1"/>
  <c r="AX370" i="1"/>
  <c r="AU207" i="1"/>
  <c r="BA116" i="1"/>
  <c r="AX116" i="1"/>
  <c r="BB244" i="1"/>
  <c r="AZ30" i="1"/>
  <c r="AV253" i="1"/>
  <c r="AW253" i="1"/>
  <c r="BE253" i="1"/>
  <c r="AX253" i="1"/>
  <c r="AY253" i="1"/>
  <c r="BF253" i="1"/>
  <c r="AY285" i="1"/>
  <c r="AZ285" i="1"/>
  <c r="BC285" i="1"/>
  <c r="AU285" i="1"/>
  <c r="AB377" i="1"/>
  <c r="AB381" i="1"/>
  <c r="P25" i="1"/>
  <c r="P41" i="1"/>
  <c r="P65" i="1"/>
  <c r="P113" i="1"/>
  <c r="P11" i="1"/>
  <c r="P26" i="1"/>
  <c r="Z58" i="1"/>
  <c r="P106" i="1"/>
  <c r="Z137" i="1"/>
  <c r="Z193" i="1"/>
  <c r="Z201" i="1"/>
  <c r="P35" i="1"/>
  <c r="P107" i="1"/>
  <c r="Z115" i="1"/>
  <c r="Z44" i="1"/>
  <c r="P108" i="1"/>
  <c r="Z195" i="1"/>
  <c r="Z219" i="1"/>
  <c r="P243" i="1"/>
  <c r="Z299" i="1"/>
  <c r="P345" i="1"/>
  <c r="Z353" i="1"/>
  <c r="P369" i="1"/>
  <c r="P300" i="1"/>
  <c r="Z308" i="1"/>
  <c r="Z323" i="1"/>
  <c r="Z346" i="1"/>
  <c r="Z340" i="1"/>
  <c r="Z183" i="1"/>
  <c r="P239" i="1"/>
  <c r="Z263" i="1"/>
  <c r="P287" i="1"/>
  <c r="P160" i="1"/>
  <c r="Z168" i="1"/>
  <c r="P184" i="1"/>
  <c r="P289" i="1"/>
  <c r="Z297" i="1"/>
  <c r="P328" i="1"/>
  <c r="Z186" i="1"/>
  <c r="Z329" i="1"/>
  <c r="Z6" i="1"/>
  <c r="Z22" i="1"/>
  <c r="Z29" i="1"/>
  <c r="Z93" i="1"/>
  <c r="Z101" i="1"/>
  <c r="Z109" i="1"/>
  <c r="Z148" i="1"/>
  <c r="Z156" i="1"/>
  <c r="P204" i="1"/>
  <c r="Z86" i="1"/>
  <c r="Z149" i="1"/>
  <c r="Z189" i="1"/>
  <c r="Z197" i="1"/>
  <c r="Z237" i="1"/>
  <c r="Z363" i="1"/>
  <c r="P138" i="1"/>
  <c r="Z360" i="1"/>
  <c r="P23" i="1"/>
  <c r="Z118" i="1"/>
  <c r="Z126" i="1"/>
  <c r="P182" i="1"/>
  <c r="P190" i="1"/>
  <c r="P198" i="1"/>
  <c r="Z230" i="1"/>
  <c r="Z262" i="1"/>
  <c r="Z302" i="1"/>
  <c r="Z310" i="1"/>
  <c r="Z223" i="1"/>
  <c r="P271" i="1"/>
  <c r="P349" i="1"/>
  <c r="Z176" i="1"/>
  <c r="Z192" i="1"/>
  <c r="Z200" i="1"/>
  <c r="Z232" i="1"/>
  <c r="P280" i="1"/>
  <c r="Z304" i="1"/>
  <c r="Z335" i="1"/>
  <c r="P336" i="1"/>
  <c r="P351" i="1"/>
  <c r="Z154" i="1"/>
  <c r="P226" i="1"/>
  <c r="P24" i="1"/>
  <c r="P32" i="1"/>
  <c r="Z48" i="1"/>
  <c r="Z72" i="1"/>
  <c r="Z96" i="1"/>
  <c r="P104" i="1"/>
  <c r="Z119" i="1"/>
  <c r="AY73" i="1"/>
  <c r="AZ73" i="1"/>
  <c r="BA73" i="1"/>
  <c r="AV73" i="1"/>
  <c r="BE73" i="1"/>
  <c r="AT73" i="1"/>
  <c r="AU73" i="1"/>
  <c r="AW73" i="1"/>
  <c r="AX73" i="1"/>
  <c r="BB73" i="1"/>
  <c r="BD73" i="1"/>
  <c r="BF73" i="1"/>
  <c r="AB385" i="1"/>
  <c r="AB382" i="1"/>
  <c r="Z10" i="1"/>
  <c r="P73" i="1"/>
  <c r="Z89" i="1"/>
  <c r="P97" i="1"/>
  <c r="Z105" i="1"/>
  <c r="P90" i="1"/>
  <c r="Z98" i="1"/>
  <c r="P145" i="1"/>
  <c r="Z177" i="1"/>
  <c r="Z233" i="1"/>
  <c r="P249" i="1"/>
  <c r="P4" i="1"/>
  <c r="P12" i="1"/>
  <c r="P20" i="1"/>
  <c r="P91" i="1"/>
  <c r="P92" i="1"/>
  <c r="Z131" i="1"/>
  <c r="Z211" i="1"/>
  <c r="P315" i="1"/>
  <c r="P322" i="1"/>
  <c r="Z309" i="1"/>
  <c r="P348" i="1"/>
  <c r="P372" i="1"/>
  <c r="P135" i="1"/>
  <c r="P207" i="1"/>
  <c r="Z296" i="1"/>
  <c r="P312" i="1"/>
  <c r="P327" i="1"/>
  <c r="P273" i="1"/>
  <c r="P210" i="1"/>
  <c r="Z258" i="1"/>
  <c r="P6" i="1"/>
  <c r="Z61" i="1"/>
  <c r="Z69" i="1"/>
  <c r="P85" i="1"/>
  <c r="Z116" i="1"/>
  <c r="Z164" i="1"/>
  <c r="P172" i="1"/>
  <c r="P196" i="1"/>
  <c r="P212" i="1"/>
  <c r="P220" i="1"/>
  <c r="Z228" i="1"/>
  <c r="Z284" i="1"/>
  <c r="Z143" i="1"/>
  <c r="Z215" i="1"/>
  <c r="Z303" i="1"/>
  <c r="Z30" i="1"/>
  <c r="Z54" i="1"/>
  <c r="P62" i="1"/>
  <c r="Z94" i="1"/>
  <c r="P125" i="1"/>
  <c r="Z141" i="1"/>
  <c r="Z221" i="1"/>
  <c r="P229" i="1"/>
  <c r="Z245" i="1"/>
  <c r="P269" i="1"/>
  <c r="Z317" i="1"/>
  <c r="Z324" i="1"/>
  <c r="Z162" i="1"/>
  <c r="Z178" i="1"/>
  <c r="P202" i="1"/>
  <c r="Z344" i="1"/>
  <c r="Z87" i="1"/>
  <c r="P158" i="1"/>
  <c r="Z174" i="1"/>
  <c r="P246" i="1"/>
  <c r="Z254" i="1"/>
  <c r="P270" i="1"/>
  <c r="Z278" i="1"/>
  <c r="P286" i="1"/>
  <c r="P318" i="1"/>
  <c r="P325" i="1"/>
  <c r="Z333" i="1"/>
  <c r="P364" i="1"/>
  <c r="P199" i="1"/>
  <c r="Z136" i="1"/>
  <c r="Z320" i="1"/>
  <c r="Z305" i="1"/>
  <c r="Z359" i="1"/>
  <c r="Z250" i="1"/>
  <c r="Z56" i="1"/>
  <c r="Z80" i="1"/>
  <c r="AV39" i="1"/>
  <c r="BE39" i="1"/>
  <c r="AX39" i="1"/>
  <c r="BF39" i="1"/>
  <c r="AY39" i="1"/>
  <c r="AZ39" i="1"/>
  <c r="BA39" i="1"/>
  <c r="BB39" i="1"/>
  <c r="AT39" i="1"/>
  <c r="BC39" i="1"/>
  <c r="BD39" i="1"/>
  <c r="AU39" i="1"/>
  <c r="AT325" i="1"/>
  <c r="BC325" i="1"/>
  <c r="AU325" i="1"/>
  <c r="BD325" i="1"/>
  <c r="AV325" i="1"/>
  <c r="BE325" i="1"/>
  <c r="AX325" i="1"/>
  <c r="BF325" i="1"/>
  <c r="AZ325" i="1"/>
  <c r="BA325" i="1"/>
  <c r="BB325" i="1"/>
  <c r="AY325" i="1"/>
  <c r="BB200" i="1"/>
  <c r="AT200" i="1"/>
  <c r="BC200" i="1"/>
  <c r="AU200" i="1"/>
  <c r="AV200" i="1"/>
  <c r="BE200" i="1"/>
  <c r="AW200" i="1"/>
  <c r="BF200" i="1"/>
  <c r="AX200" i="1"/>
  <c r="AY200" i="1"/>
  <c r="AZ200" i="1"/>
  <c r="AZ264" i="1"/>
  <c r="BA264" i="1"/>
  <c r="AW264" i="1"/>
  <c r="BE264" i="1"/>
  <c r="AX368" i="1"/>
  <c r="AY368" i="1"/>
  <c r="AZ368" i="1"/>
  <c r="BB368" i="1"/>
  <c r="AT368" i="1"/>
  <c r="BC368" i="1"/>
  <c r="AU368" i="1"/>
  <c r="BD368" i="1"/>
  <c r="AV368" i="1"/>
  <c r="BE368" i="1"/>
  <c r="AW368" i="1"/>
  <c r="BF368" i="1"/>
  <c r="BA27" i="1"/>
  <c r="AT27" i="1"/>
  <c r="BB27" i="1"/>
  <c r="AU27" i="1"/>
  <c r="BC27" i="1"/>
  <c r="AW27" i="1"/>
  <c r="BF27" i="1"/>
  <c r="AY27" i="1"/>
  <c r="BE27" i="1"/>
  <c r="AV27" i="1"/>
  <c r="AX27" i="1"/>
  <c r="AZ27" i="1"/>
  <c r="AX59" i="1"/>
  <c r="BF59" i="1"/>
  <c r="AY59" i="1"/>
  <c r="AZ59" i="1"/>
  <c r="BA59" i="1"/>
  <c r="AU59" i="1"/>
  <c r="BC59" i="1"/>
  <c r="AV59" i="1"/>
  <c r="AW59" i="1"/>
  <c r="BB59" i="1"/>
  <c r="BD59" i="1"/>
  <c r="BE59" i="1"/>
  <c r="AU60" i="1"/>
  <c r="BE60" i="1"/>
  <c r="AT60" i="1"/>
  <c r="AV60" i="1"/>
  <c r="AW60" i="1"/>
  <c r="BB60" i="1"/>
  <c r="AU92" i="1"/>
  <c r="BD92" i="1"/>
  <c r="AV92" i="1"/>
  <c r="AW92" i="1"/>
  <c r="BF92" i="1"/>
  <c r="AX92" i="1"/>
  <c r="AY92" i="1"/>
  <c r="AZ92" i="1"/>
  <c r="BA92" i="1"/>
  <c r="AT92" i="1"/>
  <c r="AX195" i="1"/>
  <c r="AY195" i="1"/>
  <c r="BB195" i="1"/>
  <c r="AX353" i="1"/>
  <c r="AY353" i="1"/>
  <c r="AZ353" i="1"/>
  <c r="BA353" i="1"/>
  <c r="AT353" i="1"/>
  <c r="BC353" i="1"/>
  <c r="AU353" i="1"/>
  <c r="BD353" i="1"/>
  <c r="AV353" i="1"/>
  <c r="BE353" i="1"/>
  <c r="AW353" i="1"/>
  <c r="BF353" i="1"/>
  <c r="AX284" i="1"/>
  <c r="BF284" i="1"/>
  <c r="AY284" i="1"/>
  <c r="AZ284" i="1"/>
  <c r="BA284" i="1"/>
  <c r="BB284" i="1"/>
  <c r="AT284" i="1"/>
  <c r="BC284" i="1"/>
  <c r="AW284" i="1"/>
  <c r="BD284" i="1"/>
  <c r="BE284" i="1"/>
  <c r="AV284" i="1"/>
  <c r="AZ339" i="1"/>
  <c r="AV339" i="1"/>
  <c r="AW339" i="1"/>
  <c r="BF339" i="1"/>
  <c r="AX339" i="1"/>
  <c r="AY339" i="1"/>
  <c r="AZ364" i="1"/>
  <c r="BA364" i="1"/>
  <c r="AT364" i="1"/>
  <c r="AU364" i="1"/>
  <c r="BD364" i="1"/>
  <c r="AV364" i="1"/>
  <c r="BE364" i="1"/>
  <c r="AW364" i="1"/>
  <c r="BF364" i="1"/>
  <c r="BA160" i="1"/>
  <c r="BE160" i="1"/>
  <c r="AX61" i="1"/>
  <c r="AY61" i="1"/>
  <c r="AZ61" i="1"/>
  <c r="BA61" i="1"/>
  <c r="AU61" i="1"/>
  <c r="BD61" i="1"/>
  <c r="BC61" i="1"/>
  <c r="BE61" i="1"/>
  <c r="BF61" i="1"/>
  <c r="AT61" i="1"/>
  <c r="AV61" i="1"/>
  <c r="AW61" i="1"/>
  <c r="AW93" i="1"/>
  <c r="BF93" i="1"/>
  <c r="AX93" i="1"/>
  <c r="AZ93" i="1"/>
  <c r="BA93" i="1"/>
  <c r="BB93" i="1"/>
  <c r="BE93" i="1"/>
  <c r="AT93" i="1"/>
  <c r="AU93" i="1"/>
  <c r="BC93" i="1"/>
  <c r="AV93" i="1"/>
  <c r="BD93" i="1"/>
  <c r="BA188" i="1"/>
  <c r="AW188" i="1"/>
  <c r="BE188" i="1"/>
  <c r="AX188" i="1"/>
  <c r="AU188" i="1"/>
  <c r="AY188" i="1"/>
  <c r="BE220" i="1"/>
  <c r="AW220" i="1"/>
  <c r="BF220" i="1"/>
  <c r="BA261" i="1"/>
  <c r="BE261" i="1"/>
  <c r="AW326" i="1"/>
  <c r="AB378" i="1"/>
  <c r="AB376" i="1"/>
  <c r="Z18" i="1"/>
  <c r="Z50" i="1"/>
  <c r="P74" i="1"/>
  <c r="Z106" i="1"/>
  <c r="Z75" i="1"/>
  <c r="Z76" i="1"/>
  <c r="Z84" i="1"/>
  <c r="Z243" i="1"/>
  <c r="Z330" i="1"/>
  <c r="Z292" i="1"/>
  <c r="Z362" i="1"/>
  <c r="Z135" i="1"/>
  <c r="Z326" i="1"/>
  <c r="Z146" i="1"/>
  <c r="Z306" i="1"/>
  <c r="P53" i="1"/>
  <c r="P164" i="1"/>
  <c r="Z255" i="1"/>
  <c r="Z47" i="1"/>
  <c r="Z271" i="1"/>
  <c r="Z152" i="1"/>
  <c r="Z130" i="1"/>
  <c r="Z88" i="1"/>
  <c r="P112" i="1"/>
  <c r="Q390" i="1"/>
  <c r="AJ390" i="1"/>
  <c r="N390" i="1"/>
  <c r="X390" i="1"/>
  <c r="M390" i="1"/>
  <c r="W390" i="1"/>
  <c r="Y390" i="1"/>
  <c r="V390" i="1"/>
  <c r="U390" i="1"/>
  <c r="O390" i="1"/>
  <c r="AU148" i="1" l="1"/>
  <c r="BC350" i="1"/>
  <c r="AW279" i="1"/>
  <c r="AZ38" i="1"/>
  <c r="AY145" i="1"/>
  <c r="BF293" i="1"/>
  <c r="BE334" i="1"/>
  <c r="BC145" i="1"/>
  <c r="BE350" i="1"/>
  <c r="BB123" i="1"/>
  <c r="AY314" i="1"/>
  <c r="AU71" i="1"/>
  <c r="BA277" i="1"/>
  <c r="AZ19" i="1"/>
  <c r="AT298" i="1"/>
  <c r="AU332" i="1"/>
  <c r="BD186" i="1"/>
  <c r="AV283" i="1"/>
  <c r="AU136" i="1"/>
  <c r="AZ103" i="1"/>
  <c r="BE283" i="1"/>
  <c r="AU21" i="1"/>
  <c r="BD336" i="1"/>
  <c r="AU25" i="1"/>
  <c r="AV197" i="1"/>
  <c r="BB103" i="1"/>
  <c r="AZ283" i="1"/>
  <c r="BD21" i="1"/>
  <c r="AV336" i="1"/>
  <c r="BF25" i="1"/>
  <c r="BE53" i="1"/>
  <c r="AY283" i="1"/>
  <c r="BE21" i="1"/>
  <c r="BF336" i="1"/>
  <c r="BB25" i="1"/>
  <c r="AU330" i="1"/>
  <c r="AY70" i="1"/>
  <c r="AW53" i="1"/>
  <c r="AV21" i="1"/>
  <c r="AX336" i="1"/>
  <c r="AT25" i="1"/>
  <c r="AT24" i="1"/>
  <c r="AT344" i="1"/>
  <c r="BD197" i="1"/>
  <c r="AT103" i="1"/>
  <c r="BC136" i="1"/>
  <c r="AU360" i="1"/>
  <c r="BD177" i="1"/>
  <c r="BE24" i="1"/>
  <c r="AX103" i="1"/>
  <c r="AU70" i="1"/>
  <c r="AW70" i="1"/>
  <c r="BD230" i="1"/>
  <c r="BB136" i="1"/>
  <c r="AU308" i="1"/>
  <c r="BB360" i="1"/>
  <c r="AU177" i="1"/>
  <c r="AZ24" i="1"/>
  <c r="BD70" i="1"/>
  <c r="AU230" i="1"/>
  <c r="BD136" i="1"/>
  <c r="BC308" i="1"/>
  <c r="AW320" i="1"/>
  <c r="BF210" i="1"/>
  <c r="AZ140" i="1"/>
  <c r="BE210" i="1"/>
  <c r="BF140" i="1"/>
  <c r="AW116" i="1"/>
  <c r="AY84" i="1"/>
  <c r="AX326" i="1"/>
  <c r="AV244" i="1"/>
  <c r="AZ244" i="1"/>
  <c r="BF116" i="1"/>
  <c r="BF207" i="1"/>
  <c r="BB207" i="1"/>
  <c r="BD370" i="1"/>
  <c r="AX219" i="1"/>
  <c r="AT219" i="1"/>
  <c r="BF84" i="1"/>
  <c r="BC282" i="1"/>
  <c r="BE282" i="1"/>
  <c r="BA154" i="1"/>
  <c r="BC154" i="1"/>
  <c r="AT114" i="1"/>
  <c r="BA114" i="1"/>
  <c r="AZ120" i="1"/>
  <c r="AV120" i="1"/>
  <c r="AW280" i="1"/>
  <c r="AX261" i="1"/>
  <c r="AT244" i="1"/>
  <c r="AZ116" i="1"/>
  <c r="BC207" i="1"/>
  <c r="BF370" i="1"/>
  <c r="BA370" i="1"/>
  <c r="AU219" i="1"/>
  <c r="BC84" i="1"/>
  <c r="BD261" i="1"/>
  <c r="BA326" i="1"/>
  <c r="AU326" i="1"/>
  <c r="AV261" i="1"/>
  <c r="BD41" i="1"/>
  <c r="BE244" i="1"/>
  <c r="AY244" i="1"/>
  <c r="BE116" i="1"/>
  <c r="AW207" i="1"/>
  <c r="BA207" i="1"/>
  <c r="AV370" i="1"/>
  <c r="BF219" i="1"/>
  <c r="BB219" i="1"/>
  <c r="AW84" i="1"/>
  <c r="AV282" i="1"/>
  <c r="AW282" i="1"/>
  <c r="AX154" i="1"/>
  <c r="AU154" i="1"/>
  <c r="BF114" i="1"/>
  <c r="AZ114" i="1"/>
  <c r="AY120" i="1"/>
  <c r="BE280" i="1"/>
  <c r="BC326" i="1"/>
  <c r="AZ326" i="1"/>
  <c r="BB326" i="1"/>
  <c r="BC261" i="1"/>
  <c r="BD244" i="1"/>
  <c r="AX244" i="1"/>
  <c r="AV116" i="1"/>
  <c r="BE207" i="1"/>
  <c r="AY207" i="1"/>
  <c r="BC370" i="1"/>
  <c r="AW219" i="1"/>
  <c r="BA219" i="1"/>
  <c r="BE84" i="1"/>
  <c r="BB282" i="1"/>
  <c r="AZ154" i="1"/>
  <c r="BB154" i="1"/>
  <c r="BE114" i="1"/>
  <c r="AY114" i="1"/>
  <c r="AT120" i="1"/>
  <c r="AV280" i="1"/>
  <c r="AY326" i="1"/>
  <c r="AT261" i="1"/>
  <c r="BC244" i="1"/>
  <c r="BB116" i="1"/>
  <c r="AV207" i="1"/>
  <c r="AU370" i="1"/>
  <c r="BE219" i="1"/>
  <c r="AV84" i="1"/>
  <c r="AT282" i="1"/>
  <c r="AY154" i="1"/>
  <c r="AT154" i="1"/>
  <c r="BC114" i="1"/>
  <c r="AX114" i="1"/>
  <c r="BA120" i="1"/>
  <c r="BD280" i="1"/>
  <c r="BE326" i="1"/>
  <c r="BF261" i="1"/>
  <c r="BB261" i="1"/>
  <c r="AU138" i="1"/>
  <c r="AU244" i="1"/>
  <c r="BD116" i="1"/>
  <c r="AT116" i="1"/>
  <c r="BD207" i="1"/>
  <c r="AY370" i="1"/>
  <c r="BB370" i="1"/>
  <c r="AV219" i="1"/>
  <c r="BA84" i="1"/>
  <c r="BD84" i="1"/>
  <c r="BA282" i="1"/>
  <c r="BF154" i="1"/>
  <c r="AW114" i="1"/>
  <c r="AX120" i="1"/>
  <c r="AZ280" i="1"/>
  <c r="AU280" i="1"/>
  <c r="AZ261" i="1"/>
  <c r="BD326" i="1"/>
  <c r="AU282" i="1"/>
  <c r="AY282" i="1"/>
  <c r="BD154" i="1"/>
  <c r="BD114" i="1"/>
  <c r="AU120" i="1"/>
  <c r="AW120" i="1"/>
  <c r="AX280" i="1"/>
  <c r="AT280" i="1"/>
  <c r="BF326" i="1"/>
  <c r="AV326" i="1"/>
  <c r="AW261" i="1"/>
  <c r="AY261" i="1"/>
  <c r="AW244" i="1"/>
  <c r="BA244" i="1"/>
  <c r="AU116" i="1"/>
  <c r="AY116" i="1"/>
  <c r="AX207" i="1"/>
  <c r="AT207" i="1"/>
  <c r="AW370" i="1"/>
  <c r="AZ370" i="1"/>
  <c r="AZ219" i="1"/>
  <c r="BC219" i="1"/>
  <c r="AX84" i="1"/>
  <c r="AT84" i="1"/>
  <c r="BD282" i="1"/>
  <c r="AX282" i="1"/>
  <c r="BF278" i="1"/>
  <c r="AV154" i="1"/>
  <c r="AU114" i="1"/>
  <c r="BB120" i="1"/>
  <c r="BE120" i="1"/>
  <c r="BF280" i="1"/>
  <c r="BA280" i="1"/>
  <c r="BA132" i="1"/>
  <c r="AU245" i="1"/>
  <c r="AY79" i="1"/>
  <c r="AT138" i="1"/>
  <c r="BF41" i="1"/>
  <c r="AU54" i="1"/>
  <c r="AT278" i="1"/>
  <c r="BB132" i="1"/>
  <c r="BE340" i="1"/>
  <c r="BC68" i="1"/>
  <c r="AZ138" i="1"/>
  <c r="BF138" i="1"/>
  <c r="AW41" i="1"/>
  <c r="AW245" i="1"/>
  <c r="AT54" i="1"/>
  <c r="BA278" i="1"/>
  <c r="BD87" i="1"/>
  <c r="AX132" i="1"/>
  <c r="AU340" i="1"/>
  <c r="AU68" i="1"/>
  <c r="BE138" i="1"/>
  <c r="AX41" i="1"/>
  <c r="BE245" i="1"/>
  <c r="AZ278" i="1"/>
  <c r="AU87" i="1"/>
  <c r="BF132" i="1"/>
  <c r="AT340" i="1"/>
  <c r="BB68" i="1"/>
  <c r="BC138" i="1"/>
  <c r="BE41" i="1"/>
  <c r="BD245" i="1"/>
  <c r="AY278" i="1"/>
  <c r="BF87" i="1"/>
  <c r="AW132" i="1"/>
  <c r="BB340" i="1"/>
  <c r="AT68" i="1"/>
  <c r="BD138" i="1"/>
  <c r="AV41" i="1"/>
  <c r="BE320" i="1"/>
  <c r="BC245" i="1"/>
  <c r="AX278" i="1"/>
  <c r="AW87" i="1"/>
  <c r="BC132" i="1"/>
  <c r="BC330" i="1"/>
  <c r="BC344" i="1"/>
  <c r="AY138" i="1"/>
  <c r="AU41" i="1"/>
  <c r="AY320" i="1"/>
  <c r="BB245" i="1"/>
  <c r="AW278" i="1"/>
  <c r="BE232" i="1"/>
  <c r="BA68" i="1"/>
  <c r="BE344" i="1"/>
  <c r="AX320" i="1"/>
  <c r="AT245" i="1"/>
  <c r="BE278" i="1"/>
  <c r="BA232" i="1"/>
  <c r="AZ68" i="1"/>
  <c r="AV344" i="1"/>
  <c r="BA138" i="1"/>
  <c r="BC129" i="1"/>
  <c r="AT41" i="1"/>
  <c r="BA245" i="1"/>
  <c r="AV278" i="1"/>
  <c r="BA340" i="1"/>
  <c r="AX68" i="1"/>
  <c r="AX138" i="1"/>
  <c r="BB41" i="1"/>
  <c r="AV138" i="1"/>
  <c r="AT129" i="1"/>
  <c r="BA41" i="1"/>
  <c r="AZ245" i="1"/>
  <c r="BD278" i="1"/>
  <c r="AY340" i="1"/>
  <c r="AW68" i="1"/>
  <c r="AY245" i="1"/>
  <c r="AU278" i="1"/>
  <c r="BF340" i="1"/>
  <c r="AY68" i="1"/>
  <c r="BF129" i="1"/>
  <c r="AZ41" i="1"/>
  <c r="AW138" i="1"/>
  <c r="AX129" i="1"/>
  <c r="AY41" i="1"/>
  <c r="AX245" i="1"/>
  <c r="BC278" i="1"/>
  <c r="AX340" i="1"/>
  <c r="BD68" i="1"/>
  <c r="AU16" i="1"/>
  <c r="BB216" i="1"/>
  <c r="AY14" i="1"/>
  <c r="AV78" i="1"/>
  <c r="AT70" i="1"/>
  <c r="AY230" i="1"/>
  <c r="AZ53" i="1"/>
  <c r="AX136" i="1"/>
  <c r="AT308" i="1"/>
  <c r="BD283" i="1"/>
  <c r="BC21" i="1"/>
  <c r="AX360" i="1"/>
  <c r="AT360" i="1"/>
  <c r="BD320" i="1"/>
  <c r="AY232" i="1"/>
  <c r="BA330" i="1"/>
  <c r="BB344" i="1"/>
  <c r="BD344" i="1"/>
  <c r="BC177" i="1"/>
  <c r="BD25" i="1"/>
  <c r="BA25" i="1"/>
  <c r="BE87" i="1"/>
  <c r="AY53" i="1"/>
  <c r="AV53" i="1"/>
  <c r="AW136" i="1"/>
  <c r="AZ308" i="1"/>
  <c r="AW283" i="1"/>
  <c r="AX283" i="1"/>
  <c r="AT21" i="1"/>
  <c r="BE360" i="1"/>
  <c r="BA360" i="1"/>
  <c r="AV320" i="1"/>
  <c r="AT336" i="1"/>
  <c r="AY177" i="1"/>
  <c r="AT177" i="1"/>
  <c r="AY25" i="1"/>
  <c r="AZ25" i="1"/>
  <c r="AY54" i="1"/>
  <c r="AT87" i="1"/>
  <c r="AV87" i="1"/>
  <c r="AX24" i="1"/>
  <c r="AX232" i="1"/>
  <c r="AZ330" i="1"/>
  <c r="BA344" i="1"/>
  <c r="AU344" i="1"/>
  <c r="AU197" i="1"/>
  <c r="AV70" i="1"/>
  <c r="BA230" i="1"/>
  <c r="BE103" i="1"/>
  <c r="AW129" i="1"/>
  <c r="AY197" i="1"/>
  <c r="AT197" i="1"/>
  <c r="BB70" i="1"/>
  <c r="AT230" i="1"/>
  <c r="BF230" i="1"/>
  <c r="BD103" i="1"/>
  <c r="BD129" i="1"/>
  <c r="BF53" i="1"/>
  <c r="BC53" i="1"/>
  <c r="BA136" i="1"/>
  <c r="BB308" i="1"/>
  <c r="AY308" i="1"/>
  <c r="BC283" i="1"/>
  <c r="BA21" i="1"/>
  <c r="AW360" i="1"/>
  <c r="AZ360" i="1"/>
  <c r="BC320" i="1"/>
  <c r="BB336" i="1"/>
  <c r="BF177" i="1"/>
  <c r="BB177" i="1"/>
  <c r="AW25" i="1"/>
  <c r="BF54" i="1"/>
  <c r="BB87" i="1"/>
  <c r="BD24" i="1"/>
  <c r="BB232" i="1"/>
  <c r="AY330" i="1"/>
  <c r="AZ344" i="1"/>
  <c r="BC336" i="1"/>
  <c r="BC197" i="1"/>
  <c r="AV230" i="1"/>
  <c r="AW103" i="1"/>
  <c r="BF197" i="1"/>
  <c r="BB197" i="1"/>
  <c r="BA70" i="1"/>
  <c r="BE230" i="1"/>
  <c r="AX230" i="1"/>
  <c r="AV103" i="1"/>
  <c r="BB129" i="1"/>
  <c r="BB53" i="1"/>
  <c r="AT53" i="1"/>
  <c r="AY136" i="1"/>
  <c r="BE308" i="1"/>
  <c r="AX308" i="1"/>
  <c r="AT283" i="1"/>
  <c r="AY21" i="1"/>
  <c r="BD360" i="1"/>
  <c r="AY360" i="1"/>
  <c r="AU320" i="1"/>
  <c r="BA336" i="1"/>
  <c r="AW177" i="1"/>
  <c r="AZ177" i="1"/>
  <c r="AX25" i="1"/>
  <c r="BD54" i="1"/>
  <c r="AW54" i="1"/>
  <c r="AZ87" i="1"/>
  <c r="BC24" i="1"/>
  <c r="AU24" i="1"/>
  <c r="BB330" i="1"/>
  <c r="BF330" i="1"/>
  <c r="AY344" i="1"/>
  <c r="AY129" i="1"/>
  <c r="BE129" i="1"/>
  <c r="BD53" i="1"/>
  <c r="BF283" i="1"/>
  <c r="AX177" i="1"/>
  <c r="BB54" i="1"/>
  <c r="BC87" i="1"/>
  <c r="BF24" i="1"/>
  <c r="AZ197" i="1"/>
  <c r="BC70" i="1"/>
  <c r="AZ230" i="1"/>
  <c r="AV129" i="1"/>
  <c r="AW197" i="1"/>
  <c r="BA197" i="1"/>
  <c r="AX70" i="1"/>
  <c r="BC230" i="1"/>
  <c r="BA103" i="1"/>
  <c r="BC103" i="1"/>
  <c r="BA129" i="1"/>
  <c r="BA53" i="1"/>
  <c r="BF136" i="1"/>
  <c r="BE136" i="1"/>
  <c r="AV308" i="1"/>
  <c r="BF308" i="1"/>
  <c r="BB283" i="1"/>
  <c r="BB21" i="1"/>
  <c r="BF21" i="1"/>
  <c r="AV360" i="1"/>
  <c r="BB320" i="1"/>
  <c r="BA320" i="1"/>
  <c r="BE336" i="1"/>
  <c r="AZ336" i="1"/>
  <c r="BE177" i="1"/>
  <c r="BE25" i="1"/>
  <c r="BC54" i="1"/>
  <c r="BE54" i="1"/>
  <c r="AY87" i="1"/>
  <c r="AY24" i="1"/>
  <c r="BB24" i="1"/>
  <c r="BE330" i="1"/>
  <c r="BF344" i="1"/>
  <c r="BE197" i="1"/>
  <c r="AZ70" i="1"/>
  <c r="BE70" i="1"/>
  <c r="BB230" i="1"/>
  <c r="AY103" i="1"/>
  <c r="AU103" i="1"/>
  <c r="AZ129" i="1"/>
  <c r="AX53" i="1"/>
  <c r="AT136" i="1"/>
  <c r="AV136" i="1"/>
  <c r="BD308" i="1"/>
  <c r="AW308" i="1"/>
  <c r="BA283" i="1"/>
  <c r="AZ21" i="1"/>
  <c r="AX21" i="1"/>
  <c r="BC360" i="1"/>
  <c r="AT320" i="1"/>
  <c r="AZ320" i="1"/>
  <c r="AW336" i="1"/>
  <c r="AY336" i="1"/>
  <c r="AV177" i="1"/>
  <c r="AV25" i="1"/>
  <c r="BA54" i="1"/>
  <c r="AV54" i="1"/>
  <c r="AX87" i="1"/>
  <c r="AV24" i="1"/>
  <c r="BA24" i="1"/>
  <c r="AW232" i="1"/>
  <c r="AW330" i="1"/>
  <c r="AX344" i="1"/>
  <c r="AU307" i="1"/>
  <c r="BF259" i="1"/>
  <c r="AT131" i="1"/>
  <c r="BB302" i="1"/>
  <c r="AT43" i="1"/>
  <c r="AX290" i="1"/>
  <c r="AT94" i="1"/>
  <c r="AX163" i="1"/>
  <c r="BB7" i="1"/>
  <c r="BA231" i="1"/>
  <c r="BD259" i="1"/>
  <c r="AX222" i="1"/>
  <c r="BC121" i="1"/>
  <c r="AY43" i="1"/>
  <c r="BC240" i="1"/>
  <c r="BE47" i="1"/>
  <c r="BC252" i="1"/>
  <c r="BF131" i="1"/>
  <c r="AU288" i="1"/>
  <c r="AX259" i="1"/>
  <c r="BC131" i="1"/>
  <c r="AX183" i="1"/>
  <c r="BB121" i="1"/>
  <c r="BF43" i="1"/>
  <c r="AT240" i="1"/>
  <c r="BD122" i="1"/>
  <c r="BA302" i="1"/>
  <c r="AW128" i="1"/>
  <c r="AZ302" i="1"/>
  <c r="BA341" i="1"/>
  <c r="BC113" i="1"/>
  <c r="BF252" i="1"/>
  <c r="BF231" i="1"/>
  <c r="BA162" i="1"/>
  <c r="BC128" i="1"/>
  <c r="AZ341" i="1"/>
  <c r="BD365" i="1"/>
  <c r="AT47" i="1"/>
  <c r="BF112" i="1"/>
  <c r="AY122" i="1"/>
  <c r="AV162" i="1"/>
  <c r="AV128" i="1"/>
  <c r="AU341" i="1"/>
  <c r="AV365" i="1"/>
  <c r="BD47" i="1"/>
  <c r="AW112" i="1"/>
  <c r="BD231" i="1"/>
  <c r="AT252" i="1"/>
  <c r="AV231" i="1"/>
  <c r="AW131" i="1"/>
  <c r="AY222" i="1"/>
  <c r="BC162" i="1"/>
  <c r="BE249" i="1"/>
  <c r="BD128" i="1"/>
  <c r="AY365" i="1"/>
  <c r="AW47" i="1"/>
  <c r="AV293" i="1"/>
  <c r="AY293" i="1"/>
  <c r="BC293" i="1"/>
  <c r="BB38" i="1"/>
  <c r="BD38" i="1"/>
  <c r="AU334" i="1"/>
  <c r="BA334" i="1"/>
  <c r="BA71" i="1"/>
  <c r="BE71" i="1"/>
  <c r="AV148" i="1"/>
  <c r="AX279" i="1"/>
  <c r="AV332" i="1"/>
  <c r="AT251" i="1"/>
  <c r="BC123" i="1"/>
  <c r="AT248" i="1"/>
  <c r="AT314" i="1"/>
  <c r="BE186" i="1"/>
  <c r="AT145" i="1"/>
  <c r="BD145" i="1"/>
  <c r="BD350" i="1"/>
  <c r="BF350" i="1"/>
  <c r="AZ55" i="1"/>
  <c r="AY19" i="1"/>
  <c r="BB19" i="1"/>
  <c r="AX293" i="1"/>
  <c r="AT293" i="1"/>
  <c r="BA38" i="1"/>
  <c r="AV38" i="1"/>
  <c r="AX334" i="1"/>
  <c r="AY334" i="1"/>
  <c r="AZ71" i="1"/>
  <c r="AV71" i="1"/>
  <c r="BD148" i="1"/>
  <c r="BE279" i="1"/>
  <c r="BD332" i="1"/>
  <c r="BB251" i="1"/>
  <c r="AT123" i="1"/>
  <c r="BA314" i="1"/>
  <c r="BA186" i="1"/>
  <c r="BB145" i="1"/>
  <c r="AV145" i="1"/>
  <c r="AU350" i="1"/>
  <c r="AW350" i="1"/>
  <c r="AV55" i="1"/>
  <c r="AW19" i="1"/>
  <c r="AT19" i="1"/>
  <c r="BE168" i="1"/>
  <c r="AY38" i="1"/>
  <c r="AW334" i="1"/>
  <c r="BE298" i="1"/>
  <c r="BC148" i="1"/>
  <c r="BB279" i="1"/>
  <c r="BA332" i="1"/>
  <c r="AY251" i="1"/>
  <c r="AY123" i="1"/>
  <c r="AX314" i="1"/>
  <c r="AU186" i="1"/>
  <c r="BA145" i="1"/>
  <c r="AU145" i="1"/>
  <c r="AT350" i="1"/>
  <c r="AV350" i="1"/>
  <c r="AX19" i="1"/>
  <c r="BC299" i="1"/>
  <c r="AT71" i="1"/>
  <c r="BB148" i="1"/>
  <c r="BD279" i="1"/>
  <c r="BB332" i="1"/>
  <c r="AV251" i="1"/>
  <c r="AZ123" i="1"/>
  <c r="BE293" i="1"/>
  <c r="BF38" i="1"/>
  <c r="BD334" i="1"/>
  <c r="BB71" i="1"/>
  <c r="BC170" i="1"/>
  <c r="AT148" i="1"/>
  <c r="BA148" i="1"/>
  <c r="BA279" i="1"/>
  <c r="AV279" i="1"/>
  <c r="AT332" i="1"/>
  <c r="AZ332" i="1"/>
  <c r="AU251" i="1"/>
  <c r="AX251" i="1"/>
  <c r="BE123" i="1"/>
  <c r="AX123" i="1"/>
  <c r="AZ314" i="1"/>
  <c r="BF314" i="1"/>
  <c r="AY186" i="1"/>
  <c r="BB186" i="1"/>
  <c r="AZ145" i="1"/>
  <c r="BA350" i="1"/>
  <c r="BE19" i="1"/>
  <c r="BD299" i="1"/>
  <c r="BF148" i="1"/>
  <c r="AY332" i="1"/>
  <c r="BE251" i="1"/>
  <c r="BD123" i="1"/>
  <c r="BD314" i="1"/>
  <c r="AW314" i="1"/>
  <c r="AW186" i="1"/>
  <c r="AT186" i="1"/>
  <c r="AX145" i="1"/>
  <c r="AZ350" i="1"/>
  <c r="AV19" i="1"/>
  <c r="BF100" i="1"/>
  <c r="AX38" i="1"/>
  <c r="AW170" i="1"/>
  <c r="AY148" i="1"/>
  <c r="AZ279" i="1"/>
  <c r="BC279" i="1"/>
  <c r="BF332" i="1"/>
  <c r="BF251" i="1"/>
  <c r="BF123" i="1"/>
  <c r="BA293" i="1"/>
  <c r="BD293" i="1"/>
  <c r="BC38" i="1"/>
  <c r="BE38" i="1"/>
  <c r="BC334" i="1"/>
  <c r="BB334" i="1"/>
  <c r="BD71" i="1"/>
  <c r="BF71" i="1"/>
  <c r="AX98" i="1"/>
  <c r="AW148" i="1"/>
  <c r="AX148" i="1"/>
  <c r="AY279" i="1"/>
  <c r="AU279" i="1"/>
  <c r="AW332" i="1"/>
  <c r="AX332" i="1"/>
  <c r="BD251" i="1"/>
  <c r="AW251" i="1"/>
  <c r="AV123" i="1"/>
  <c r="AW123" i="1"/>
  <c r="AU314" i="1"/>
  <c r="BE314" i="1"/>
  <c r="AV186" i="1"/>
  <c r="AZ186" i="1"/>
  <c r="BF145" i="1"/>
  <c r="AY350" i="1"/>
  <c r="BC310" i="1"/>
  <c r="BF19" i="1"/>
  <c r="BC19" i="1"/>
  <c r="AW293" i="1"/>
  <c r="AV334" i="1"/>
  <c r="AY71" i="1"/>
  <c r="AZ293" i="1"/>
  <c r="AU293" i="1"/>
  <c r="AU38" i="1"/>
  <c r="AW38" i="1"/>
  <c r="AZ334" i="1"/>
  <c r="AT334" i="1"/>
  <c r="BC71" i="1"/>
  <c r="AX71" i="1"/>
  <c r="AU98" i="1"/>
  <c r="BE148" i="1"/>
  <c r="BF279" i="1"/>
  <c r="BE332" i="1"/>
  <c r="BC251" i="1"/>
  <c r="AU123" i="1"/>
  <c r="BF248" i="1"/>
  <c r="BB314" i="1"/>
  <c r="AV314" i="1"/>
  <c r="BF186" i="1"/>
  <c r="AX186" i="1"/>
  <c r="AW145" i="1"/>
  <c r="AX350" i="1"/>
  <c r="AX310" i="1"/>
  <c r="BA19" i="1"/>
  <c r="AU19" i="1"/>
  <c r="BD216" i="1"/>
  <c r="AU298" i="1"/>
  <c r="BB98" i="1"/>
  <c r="AU216" i="1"/>
  <c r="BC298" i="1"/>
  <c r="BA98" i="1"/>
  <c r="AY248" i="1"/>
  <c r="BC16" i="1"/>
  <c r="BE55" i="1"/>
  <c r="AZ15" i="1"/>
  <c r="AZ299" i="1"/>
  <c r="AY227" i="1"/>
  <c r="BB298" i="1"/>
  <c r="AZ98" i="1"/>
  <c r="AW248" i="1"/>
  <c r="AU258" i="1"/>
  <c r="BA16" i="1"/>
  <c r="BA55" i="1"/>
  <c r="BD168" i="1"/>
  <c r="AV299" i="1"/>
  <c r="BE248" i="1"/>
  <c r="BD258" i="1"/>
  <c r="AU55" i="1"/>
  <c r="AZ227" i="1"/>
  <c r="BF98" i="1"/>
  <c r="AY298" i="1"/>
  <c r="AW98" i="1"/>
  <c r="AV248" i="1"/>
  <c r="AV258" i="1"/>
  <c r="AZ90" i="1"/>
  <c r="AT55" i="1"/>
  <c r="AW227" i="1"/>
  <c r="AX298" i="1"/>
  <c r="BE98" i="1"/>
  <c r="BD157" i="1"/>
  <c r="BD248" i="1"/>
  <c r="BF90" i="1"/>
  <c r="BD55" i="1"/>
  <c r="BA298" i="1"/>
  <c r="BF298" i="1"/>
  <c r="AV98" i="1"/>
  <c r="BC157" i="1"/>
  <c r="AU248" i="1"/>
  <c r="BA90" i="1"/>
  <c r="BC55" i="1"/>
  <c r="AW298" i="1"/>
  <c r="BD98" i="1"/>
  <c r="BC248" i="1"/>
  <c r="BB55" i="1"/>
  <c r="AV298" i="1"/>
  <c r="BC98" i="1"/>
  <c r="BB248" i="1"/>
  <c r="AW318" i="1"/>
  <c r="BF176" i="1"/>
  <c r="AX55" i="1"/>
  <c r="BD78" i="1"/>
  <c r="AU299" i="1"/>
  <c r="BD298" i="1"/>
  <c r="AT98" i="1"/>
  <c r="BA248" i="1"/>
  <c r="BC300" i="1"/>
  <c r="BE176" i="1"/>
  <c r="BF55" i="1"/>
  <c r="BB78" i="1"/>
  <c r="BB299" i="1"/>
  <c r="AZ248" i="1"/>
  <c r="BB300" i="1"/>
  <c r="AZ176" i="1"/>
  <c r="AW55" i="1"/>
  <c r="AX15" i="1"/>
  <c r="AT299" i="1"/>
  <c r="AP373" i="1"/>
  <c r="AU286" i="1"/>
  <c r="AT165" i="1"/>
  <c r="BA369" i="1"/>
  <c r="AU49" i="1"/>
  <c r="BB198" i="1"/>
  <c r="BD183" i="1"/>
  <c r="BD107" i="1"/>
  <c r="AZ182" i="1"/>
  <c r="AW46" i="1"/>
  <c r="AU225" i="1"/>
  <c r="BD22" i="1"/>
  <c r="AV305" i="1"/>
  <c r="BE46" i="1"/>
  <c r="BE297" i="1"/>
  <c r="AW72" i="1"/>
  <c r="AV276" i="1"/>
  <c r="BE119" i="1"/>
  <c r="AW297" i="1"/>
  <c r="BE83" i="1"/>
  <c r="BA216" i="1"/>
  <c r="BF22" i="1"/>
  <c r="AT258" i="1"/>
  <c r="AV182" i="1"/>
  <c r="AZ305" i="1"/>
  <c r="BB165" i="1"/>
  <c r="AV216" i="1"/>
  <c r="BA227" i="1"/>
  <c r="BF28" i="1"/>
  <c r="AT264" i="1"/>
  <c r="AT198" i="1"/>
  <c r="BD225" i="1"/>
  <c r="BA72" i="1"/>
  <c r="BD285" i="1"/>
  <c r="BA22" i="1"/>
  <c r="BE276" i="1"/>
  <c r="AW83" i="1"/>
  <c r="BF318" i="1"/>
  <c r="BD63" i="1"/>
  <c r="AW258" i="1"/>
  <c r="AT90" i="1"/>
  <c r="AW16" i="1"/>
  <c r="AV172" i="1"/>
  <c r="BA355" i="1"/>
  <c r="BA147" i="1"/>
  <c r="BA176" i="1"/>
  <c r="BA182" i="1"/>
  <c r="BE305" i="1"/>
  <c r="AW119" i="1"/>
  <c r="AU205" i="1"/>
  <c r="BE78" i="1"/>
  <c r="BC242" i="1"/>
  <c r="BD74" i="1"/>
  <c r="AZ81" i="1"/>
  <c r="BD276" i="1"/>
  <c r="AZ165" i="1"/>
  <c r="BC216" i="1"/>
  <c r="BD167" i="1"/>
  <c r="AX227" i="1"/>
  <c r="AY264" i="1"/>
  <c r="AZ198" i="1"/>
  <c r="BB170" i="1"/>
  <c r="AT225" i="1"/>
  <c r="AT72" i="1"/>
  <c r="AT285" i="1"/>
  <c r="AY157" i="1"/>
  <c r="BB22" i="1"/>
  <c r="AU276" i="1"/>
  <c r="BD83" i="1"/>
  <c r="AZ63" i="1"/>
  <c r="BC258" i="1"/>
  <c r="AY90" i="1"/>
  <c r="BB16" i="1"/>
  <c r="AT172" i="1"/>
  <c r="AZ14" i="1"/>
  <c r="AX355" i="1"/>
  <c r="AZ300" i="1"/>
  <c r="BB147" i="1"/>
  <c r="AY176" i="1"/>
  <c r="AT310" i="1"/>
  <c r="BF182" i="1"/>
  <c r="AT305" i="1"/>
  <c r="BD119" i="1"/>
  <c r="BA205" i="1"/>
  <c r="AU78" i="1"/>
  <c r="AY100" i="1"/>
  <c r="AZ328" i="1"/>
  <c r="BA242" i="1"/>
  <c r="BF74" i="1"/>
  <c r="AY165" i="1"/>
  <c r="AT216" i="1"/>
  <c r="AZ167" i="1"/>
  <c r="BF227" i="1"/>
  <c r="AX264" i="1"/>
  <c r="AX198" i="1"/>
  <c r="AX170" i="1"/>
  <c r="BB225" i="1"/>
  <c r="BF72" i="1"/>
  <c r="BB285" i="1"/>
  <c r="AX157" i="1"/>
  <c r="AZ22" i="1"/>
  <c r="BC276" i="1"/>
  <c r="AU83" i="1"/>
  <c r="AY63" i="1"/>
  <c r="BB258" i="1"/>
  <c r="AX90" i="1"/>
  <c r="AT16" i="1"/>
  <c r="BD277" i="1"/>
  <c r="BB172" i="1"/>
  <c r="AT184" i="1"/>
  <c r="BF355" i="1"/>
  <c r="AX300" i="1"/>
  <c r="AY147" i="1"/>
  <c r="AX176" i="1"/>
  <c r="BB310" i="1"/>
  <c r="AX182" i="1"/>
  <c r="BB305" i="1"/>
  <c r="AU119" i="1"/>
  <c r="AZ205" i="1"/>
  <c r="BC78" i="1"/>
  <c r="AW100" i="1"/>
  <c r="AU328" i="1"/>
  <c r="AZ242" i="1"/>
  <c r="AW74" i="1"/>
  <c r="AT276" i="1"/>
  <c r="AZ16" i="1"/>
  <c r="BC225" i="1"/>
  <c r="AV22" i="1"/>
  <c r="BC305" i="1"/>
  <c r="AV119" i="1"/>
  <c r="BE72" i="1"/>
  <c r="BD149" i="1"/>
  <c r="AT13" i="1"/>
  <c r="BB119" i="1"/>
  <c r="BF165" i="1"/>
  <c r="BE227" i="1"/>
  <c r="AW198" i="1"/>
  <c r="BB276" i="1"/>
  <c r="AW90" i="1"/>
  <c r="AX13" i="1"/>
  <c r="BF67" i="1"/>
  <c r="BE165" i="1"/>
  <c r="BB156" i="1"/>
  <c r="AZ216" i="1"/>
  <c r="AV227" i="1"/>
  <c r="BD264" i="1"/>
  <c r="BE198" i="1"/>
  <c r="AV225" i="1"/>
  <c r="AU105" i="1"/>
  <c r="BC72" i="1"/>
  <c r="AX22" i="1"/>
  <c r="BA276" i="1"/>
  <c r="BB83" i="1"/>
  <c r="BA63" i="1"/>
  <c r="BA258" i="1"/>
  <c r="BE90" i="1"/>
  <c r="AX206" i="1"/>
  <c r="AY16" i="1"/>
  <c r="BC149" i="1"/>
  <c r="AY172" i="1"/>
  <c r="BD337" i="1"/>
  <c r="BE147" i="1"/>
  <c r="BD176" i="1"/>
  <c r="BC182" i="1"/>
  <c r="AU305" i="1"/>
  <c r="AZ119" i="1"/>
  <c r="BF205" i="1"/>
  <c r="AZ78" i="1"/>
  <c r="BA37" i="1"/>
  <c r="AV372" i="1"/>
  <c r="BE323" i="1"/>
  <c r="AZ100" i="1"/>
  <c r="AY67" i="1"/>
  <c r="BD265" i="1"/>
  <c r="BA74" i="1"/>
  <c r="AW157" i="1"/>
  <c r="BB328" i="1"/>
  <c r="BB72" i="1"/>
  <c r="AW323" i="1"/>
  <c r="AW165" i="1"/>
  <c r="AY216" i="1"/>
  <c r="AY309" i="1"/>
  <c r="BD227" i="1"/>
  <c r="AV264" i="1"/>
  <c r="AV198" i="1"/>
  <c r="BE225" i="1"/>
  <c r="BC105" i="1"/>
  <c r="AU72" i="1"/>
  <c r="AV285" i="1"/>
  <c r="AW22" i="1"/>
  <c r="AX276" i="1"/>
  <c r="AZ83" i="1"/>
  <c r="BA318" i="1"/>
  <c r="AW63" i="1"/>
  <c r="AZ258" i="1"/>
  <c r="AV90" i="1"/>
  <c r="BD16" i="1"/>
  <c r="BA149" i="1"/>
  <c r="BD355" i="1"/>
  <c r="AW147" i="1"/>
  <c r="AV176" i="1"/>
  <c r="BB182" i="1"/>
  <c r="BD305" i="1"/>
  <c r="BA119" i="1"/>
  <c r="AW205" i="1"/>
  <c r="AT78" i="1"/>
  <c r="AY37" i="1"/>
  <c r="AU372" i="1"/>
  <c r="AV323" i="1"/>
  <c r="AW67" i="1"/>
  <c r="AV242" i="1"/>
  <c r="BD18" i="1"/>
  <c r="AZ74" i="1"/>
  <c r="BA165" i="1"/>
  <c r="AU170" i="1"/>
  <c r="AT83" i="1"/>
  <c r="AT119" i="1"/>
  <c r="BA78" i="1"/>
  <c r="AY328" i="1"/>
  <c r="AV165" i="1"/>
  <c r="BF216" i="1"/>
  <c r="AU227" i="1"/>
  <c r="BC264" i="1"/>
  <c r="BD198" i="1"/>
  <c r="AX225" i="1"/>
  <c r="AT105" i="1"/>
  <c r="AZ72" i="1"/>
  <c r="BF285" i="1"/>
  <c r="AT22" i="1"/>
  <c r="AY276" i="1"/>
  <c r="AY83" i="1"/>
  <c r="BD318" i="1"/>
  <c r="AV63" i="1"/>
  <c r="AY258" i="1"/>
  <c r="BD90" i="1"/>
  <c r="AX16" i="1"/>
  <c r="AY149" i="1"/>
  <c r="BF172" i="1"/>
  <c r="AU355" i="1"/>
  <c r="BC176" i="1"/>
  <c r="AW182" i="1"/>
  <c r="AY305" i="1"/>
  <c r="AX119" i="1"/>
  <c r="BE205" i="1"/>
  <c r="AY78" i="1"/>
  <c r="AU37" i="1"/>
  <c r="AX372" i="1"/>
  <c r="BD323" i="1"/>
  <c r="AX67" i="1"/>
  <c r="AU242" i="1"/>
  <c r="BD81" i="1"/>
  <c r="BA198" i="1"/>
  <c r="AY182" i="1"/>
  <c r="AY22" i="1"/>
  <c r="BC83" i="1"/>
  <c r="BA305" i="1"/>
  <c r="AW176" i="1"/>
  <c r="AT100" i="1"/>
  <c r="BD165" i="1"/>
  <c r="AX216" i="1"/>
  <c r="BB227" i="1"/>
  <c r="AU264" i="1"/>
  <c r="AU198" i="1"/>
  <c r="BF225" i="1"/>
  <c r="BF105" i="1"/>
  <c r="AY72" i="1"/>
  <c r="BE285" i="1"/>
  <c r="BE22" i="1"/>
  <c r="BF276" i="1"/>
  <c r="AX83" i="1"/>
  <c r="AV318" i="1"/>
  <c r="AT63" i="1"/>
  <c r="AX258" i="1"/>
  <c r="AU90" i="1"/>
  <c r="AV16" i="1"/>
  <c r="BE172" i="1"/>
  <c r="BC355" i="1"/>
  <c r="AV147" i="1"/>
  <c r="AT176" i="1"/>
  <c r="AT182" i="1"/>
  <c r="BF305" i="1"/>
  <c r="AY119" i="1"/>
  <c r="AV205" i="1"/>
  <c r="BF78" i="1"/>
  <c r="AT37" i="1"/>
  <c r="BB323" i="1"/>
  <c r="BC67" i="1"/>
  <c r="BE242" i="1"/>
  <c r="AV74" i="1"/>
  <c r="BC81" i="1"/>
  <c r="AV72" i="1"/>
  <c r="AV83" i="1"/>
  <c r="AX165" i="1"/>
  <c r="BF198" i="1"/>
  <c r="AZ225" i="1"/>
  <c r="BD182" i="1"/>
  <c r="AY225" i="1"/>
  <c r="BE149" i="1"/>
  <c r="AW310" i="1"/>
  <c r="AU165" i="1"/>
  <c r="BE216" i="1"/>
  <c r="AT227" i="1"/>
  <c r="BB264" i="1"/>
  <c r="BC198" i="1"/>
  <c r="AW225" i="1"/>
  <c r="BE105" i="1"/>
  <c r="AX72" i="1"/>
  <c r="AX285" i="1"/>
  <c r="BC22" i="1"/>
  <c r="AW276" i="1"/>
  <c r="BF83" i="1"/>
  <c r="AU318" i="1"/>
  <c r="BF63" i="1"/>
  <c r="BF258" i="1"/>
  <c r="BB90" i="1"/>
  <c r="BE16" i="1"/>
  <c r="AX172" i="1"/>
  <c r="AT355" i="1"/>
  <c r="BD147" i="1"/>
  <c r="BB176" i="1"/>
  <c r="BE182" i="1"/>
  <c r="AX305" i="1"/>
  <c r="BF119" i="1"/>
  <c r="BD205" i="1"/>
  <c r="AW78" i="1"/>
  <c r="BB67" i="1"/>
  <c r="BD242" i="1"/>
  <c r="BE74" i="1"/>
  <c r="BB81" i="1"/>
  <c r="AU268" i="1"/>
  <c r="AV215" i="1"/>
  <c r="BC215" i="1"/>
  <c r="BA215" i="1"/>
  <c r="AY215" i="1"/>
  <c r="BB110" i="1"/>
  <c r="AY48" i="1"/>
  <c r="AU44" i="1"/>
  <c r="BC268" i="1"/>
  <c r="BA44" i="1"/>
  <c r="BB215" i="1"/>
  <c r="BE48" i="1"/>
  <c r="AY169" i="1"/>
  <c r="AV188" i="1"/>
  <c r="AY288" i="1"/>
  <c r="BE339" i="1"/>
  <c r="BC60" i="1"/>
  <c r="BD253" i="1"/>
  <c r="BF157" i="1"/>
  <c r="BC318" i="1"/>
  <c r="AW313" i="1"/>
  <c r="BE140" i="1"/>
  <c r="BC45" i="1"/>
  <c r="BC341" i="1"/>
  <c r="BD324" i="1"/>
  <c r="BF300" i="1"/>
  <c r="AV108" i="1"/>
  <c r="AW13" i="1"/>
  <c r="BA43" i="1"/>
  <c r="AZ215" i="1"/>
  <c r="AT328" i="1"/>
  <c r="AX48" i="1"/>
  <c r="BF113" i="1"/>
  <c r="AU210" i="1"/>
  <c r="BA60" i="1"/>
  <c r="AT303" i="1"/>
  <c r="BC253" i="1"/>
  <c r="AV157" i="1"/>
  <c r="BB318" i="1"/>
  <c r="AT158" i="1"/>
  <c r="BF290" i="1"/>
  <c r="AV313" i="1"/>
  <c r="AU65" i="1"/>
  <c r="BD140" i="1"/>
  <c r="AV14" i="1"/>
  <c r="AZ191" i="1"/>
  <c r="BB324" i="1"/>
  <c r="AW108" i="1"/>
  <c r="BE13" i="1"/>
  <c r="AT352" i="1"/>
  <c r="BF215" i="1"/>
  <c r="AW328" i="1"/>
  <c r="AU233" i="1"/>
  <c r="AT210" i="1"/>
  <c r="BC158" i="1"/>
  <c r="BA191" i="1"/>
  <c r="AZ60" i="1"/>
  <c r="AT253" i="1"/>
  <c r="AX158" i="1"/>
  <c r="BF14" i="1"/>
  <c r="BF188" i="1"/>
  <c r="BC288" i="1"/>
  <c r="BD339" i="1"/>
  <c r="BD188" i="1"/>
  <c r="AU339" i="1"/>
  <c r="AY303" i="1"/>
  <c r="AT318" i="1"/>
  <c r="AT290" i="1"/>
  <c r="BC313" i="1"/>
  <c r="BE65" i="1"/>
  <c r="BC140" i="1"/>
  <c r="BF191" i="1"/>
  <c r="AT324" i="1"/>
  <c r="BD108" i="1"/>
  <c r="BD13" i="1"/>
  <c r="BB352" i="1"/>
  <c r="BB238" i="1"/>
  <c r="AX215" i="1"/>
  <c r="BE328" i="1"/>
  <c r="AU42" i="1"/>
  <c r="BE233" i="1"/>
  <c r="BA210" i="1"/>
  <c r="AX137" i="1"/>
  <c r="BC188" i="1"/>
  <c r="BC339" i="1"/>
  <c r="AY60" i="1"/>
  <c r="BD200" i="1"/>
  <c r="BB239" i="1"/>
  <c r="BA285" i="1"/>
  <c r="BB253" i="1"/>
  <c r="AT62" i="1"/>
  <c r="AZ318" i="1"/>
  <c r="BD31" i="1"/>
  <c r="AU313" i="1"/>
  <c r="BD65" i="1"/>
  <c r="AV245" i="1"/>
  <c r="BF149" i="1"/>
  <c r="AX54" i="1"/>
  <c r="BD172" i="1"/>
  <c r="AY140" i="1"/>
  <c r="BD14" i="1"/>
  <c r="BA348" i="1"/>
  <c r="AV355" i="1"/>
  <c r="BA324" i="1"/>
  <c r="BD307" i="1"/>
  <c r="AZ147" i="1"/>
  <c r="AU108" i="1"/>
  <c r="BA13" i="1"/>
  <c r="AY352" i="1"/>
  <c r="AX238" i="1"/>
  <c r="BE215" i="1"/>
  <c r="AZ110" i="1"/>
  <c r="AV132" i="1"/>
  <c r="BC232" i="1"/>
  <c r="AW340" i="1"/>
  <c r="AV330" i="1"/>
  <c r="AW299" i="1"/>
  <c r="BF68" i="1"/>
  <c r="BD49" i="1"/>
  <c r="AY242" i="1"/>
  <c r="BC42" i="1"/>
  <c r="AZ233" i="1"/>
  <c r="AZ210" i="1"/>
  <c r="AU74" i="1"/>
  <c r="AY81" i="1"/>
  <c r="BC303" i="1"/>
  <c r="BF146" i="1"/>
  <c r="BB188" i="1"/>
  <c r="AX60" i="1"/>
  <c r="BD62" i="1"/>
  <c r="AY318" i="1"/>
  <c r="AW140" i="1"/>
  <c r="AT14" i="1"/>
  <c r="BF324" i="1"/>
  <c r="BE300" i="1"/>
  <c r="AZ13" i="1"/>
  <c r="AW215" i="1"/>
  <c r="AX110" i="1"/>
  <c r="BF81" i="1"/>
  <c r="AT339" i="1"/>
  <c r="BA253" i="1"/>
  <c r="AZ188" i="1"/>
  <c r="BA339" i="1"/>
  <c r="BD60" i="1"/>
  <c r="AZ253" i="1"/>
  <c r="AU62" i="1"/>
  <c r="AX318" i="1"/>
  <c r="BB313" i="1"/>
  <c r="AV140" i="1"/>
  <c r="BB14" i="1"/>
  <c r="AW324" i="1"/>
  <c r="AU300" i="1"/>
  <c r="BF13" i="1"/>
  <c r="BD215" i="1"/>
  <c r="AT110" i="1"/>
  <c r="AZ17" i="1"/>
  <c r="AV81" i="1"/>
  <c r="AV243" i="1"/>
  <c r="AW311" i="1"/>
  <c r="BD243" i="1"/>
  <c r="BC169" i="1"/>
  <c r="BB157" i="1"/>
  <c r="BA268" i="1"/>
  <c r="BA300" i="1"/>
  <c r="AW243" i="1"/>
  <c r="AT215" i="1"/>
  <c r="BD328" i="1"/>
  <c r="BB169" i="1"/>
  <c r="AT81" i="1"/>
  <c r="BA303" i="1"/>
  <c r="BC311" i="1"/>
  <c r="BA158" i="1"/>
  <c r="BB268" i="1"/>
  <c r="AY191" i="1"/>
  <c r="AU243" i="1"/>
  <c r="AZ44" i="1"/>
  <c r="BA352" i="1"/>
  <c r="AZ214" i="1"/>
  <c r="AY99" i="1"/>
  <c r="BF48" i="1"/>
  <c r="AU146" i="1"/>
  <c r="BA169" i="1"/>
  <c r="AW113" i="1"/>
  <c r="AZ303" i="1"/>
  <c r="AT311" i="1"/>
  <c r="AY158" i="1"/>
  <c r="AT268" i="1"/>
  <c r="AX191" i="1"/>
  <c r="BE243" i="1"/>
  <c r="BD44" i="1"/>
  <c r="AZ352" i="1"/>
  <c r="AW48" i="1"/>
  <c r="AX146" i="1"/>
  <c r="AZ169" i="1"/>
  <c r="BF158" i="1"/>
  <c r="AZ268" i="1"/>
  <c r="BB45" i="1"/>
  <c r="AW191" i="1"/>
  <c r="BC243" i="1"/>
  <c r="BF352" i="1"/>
  <c r="AV48" i="1"/>
  <c r="BF169" i="1"/>
  <c r="AW303" i="1"/>
  <c r="AW158" i="1"/>
  <c r="AY268" i="1"/>
  <c r="AW45" i="1"/>
  <c r="BE191" i="1"/>
  <c r="AT243" i="1"/>
  <c r="AX352" i="1"/>
  <c r="BC48" i="1"/>
  <c r="AX169" i="1"/>
  <c r="AW321" i="1"/>
  <c r="BB303" i="1"/>
  <c r="BE158" i="1"/>
  <c r="AX268" i="1"/>
  <c r="BD45" i="1"/>
  <c r="AV191" i="1"/>
  <c r="BB243" i="1"/>
  <c r="BE352" i="1"/>
  <c r="AU48" i="1"/>
  <c r="BE169" i="1"/>
  <c r="BE303" i="1"/>
  <c r="AV158" i="1"/>
  <c r="BE268" i="1"/>
  <c r="BD191" i="1"/>
  <c r="BA243" i="1"/>
  <c r="AW352" i="1"/>
  <c r="BB48" i="1"/>
  <c r="AW169" i="1"/>
  <c r="BF303" i="1"/>
  <c r="AV303" i="1"/>
  <c r="AZ158" i="1"/>
  <c r="BD181" i="1"/>
  <c r="AW268" i="1"/>
  <c r="AU191" i="1"/>
  <c r="BD331" i="1"/>
  <c r="AZ243" i="1"/>
  <c r="BD352" i="1"/>
  <c r="AT48" i="1"/>
  <c r="BD169" i="1"/>
  <c r="AZ192" i="1"/>
  <c r="BD303" i="1"/>
  <c r="AX189" i="1"/>
  <c r="AU158" i="1"/>
  <c r="BD268" i="1"/>
  <c r="BB191" i="1"/>
  <c r="AU331" i="1"/>
  <c r="AY243" i="1"/>
  <c r="AV352" i="1"/>
  <c r="BA48" i="1"/>
  <c r="AV169" i="1"/>
  <c r="AU303" i="1"/>
  <c r="BF189" i="1"/>
  <c r="BD158" i="1"/>
  <c r="AV268" i="1"/>
  <c r="AT191" i="1"/>
  <c r="BF243" i="1"/>
  <c r="BC352" i="1"/>
  <c r="AZ48" i="1"/>
  <c r="AU169" i="1"/>
  <c r="BD113" i="1"/>
  <c r="AV321" i="1"/>
  <c r="AY104" i="1"/>
  <c r="AY192" i="1"/>
  <c r="AY214" i="1"/>
  <c r="AV99" i="1"/>
  <c r="BA321" i="1"/>
  <c r="AX104" i="1"/>
  <c r="AX192" i="1"/>
  <c r="AX214" i="1"/>
  <c r="BA319" i="1"/>
  <c r="BD99" i="1"/>
  <c r="AX266" i="1"/>
  <c r="AZ321" i="1"/>
  <c r="AV104" i="1"/>
  <c r="BF192" i="1"/>
  <c r="BF214" i="1"/>
  <c r="AT354" i="1"/>
  <c r="AW266" i="1"/>
  <c r="AV66" i="1"/>
  <c r="BD104" i="1"/>
  <c r="AW192" i="1"/>
  <c r="AW214" i="1"/>
  <c r="AX354" i="1"/>
  <c r="AV266" i="1"/>
  <c r="BD66" i="1"/>
  <c r="BE192" i="1"/>
  <c r="BE214" i="1"/>
  <c r="AV260" i="1"/>
  <c r="BF354" i="1"/>
  <c r="AW235" i="1"/>
  <c r="BC266" i="1"/>
  <c r="BC66" i="1"/>
  <c r="AV192" i="1"/>
  <c r="AV214" i="1"/>
  <c r="AZ235" i="1"/>
  <c r="AT66" i="1"/>
  <c r="BD192" i="1"/>
  <c r="BD214" i="1"/>
  <c r="AY235" i="1"/>
  <c r="AU192" i="1"/>
  <c r="AU214" i="1"/>
  <c r="BB192" i="1"/>
  <c r="BB214" i="1"/>
  <c r="AT192" i="1"/>
  <c r="AT214" i="1"/>
  <c r="BA192" i="1"/>
  <c r="BA214" i="1"/>
  <c r="S17" i="1"/>
  <c r="T17" i="1" s="1"/>
  <c r="BB30" i="1"/>
  <c r="BA190" i="1"/>
  <c r="BF12" i="1"/>
  <c r="AX271" i="1"/>
  <c r="BD80" i="1"/>
  <c r="AV201" i="1"/>
  <c r="AV220" i="1"/>
  <c r="AX30" i="1"/>
  <c r="AY190" i="1"/>
  <c r="BF263" i="1"/>
  <c r="AY275" i="1"/>
  <c r="BE12" i="1"/>
  <c r="AW271" i="1"/>
  <c r="BB80" i="1"/>
  <c r="BB201" i="1"/>
  <c r="AX263" i="1"/>
  <c r="AX275" i="1"/>
  <c r="AV12" i="1"/>
  <c r="BD271" i="1"/>
  <c r="BA80" i="1"/>
  <c r="AT201" i="1"/>
  <c r="BD220" i="1"/>
  <c r="AT30" i="1"/>
  <c r="AX190" i="1"/>
  <c r="AU220" i="1"/>
  <c r="BB364" i="1"/>
  <c r="BE92" i="1"/>
  <c r="BA30" i="1"/>
  <c r="BF190" i="1"/>
  <c r="BF343" i="1"/>
  <c r="BD97" i="1"/>
  <c r="AV263" i="1"/>
  <c r="BE275" i="1"/>
  <c r="AX270" i="1"/>
  <c r="AV271" i="1"/>
  <c r="AZ80" i="1"/>
  <c r="BB220" i="1"/>
  <c r="AY30" i="1"/>
  <c r="AW190" i="1"/>
  <c r="AX343" i="1"/>
  <c r="AU263" i="1"/>
  <c r="AW275" i="1"/>
  <c r="BB12" i="1"/>
  <c r="BC271" i="1"/>
  <c r="AY80" i="1"/>
  <c r="BB263" i="1"/>
  <c r="BD275" i="1"/>
  <c r="AU12" i="1"/>
  <c r="BB271" i="1"/>
  <c r="AX80" i="1"/>
  <c r="BF30" i="1"/>
  <c r="BE190" i="1"/>
  <c r="BA220" i="1"/>
  <c r="AW30" i="1"/>
  <c r="AV190" i="1"/>
  <c r="AT263" i="1"/>
  <c r="AU275" i="1"/>
  <c r="BC12" i="1"/>
  <c r="AT271" i="1"/>
  <c r="BA201" i="1"/>
  <c r="AZ220" i="1"/>
  <c r="BB366" i="1"/>
  <c r="AY364" i="1"/>
  <c r="BB92" i="1"/>
  <c r="BD30" i="1"/>
  <c r="BD190" i="1"/>
  <c r="BD343" i="1"/>
  <c r="BA97" i="1"/>
  <c r="AY263" i="1"/>
  <c r="AT275" i="1"/>
  <c r="AT12" i="1"/>
  <c r="AV270" i="1"/>
  <c r="BA271" i="1"/>
  <c r="AW80" i="1"/>
  <c r="AZ201" i="1"/>
  <c r="AY220" i="1"/>
  <c r="AX364" i="1"/>
  <c r="AV30" i="1"/>
  <c r="AU190" i="1"/>
  <c r="AU343" i="1"/>
  <c r="AZ97" i="1"/>
  <c r="BB77" i="1"/>
  <c r="BB275" i="1"/>
  <c r="BA12" i="1"/>
  <c r="BC270" i="1"/>
  <c r="AZ271" i="1"/>
  <c r="BF80" i="1"/>
  <c r="AX201" i="1"/>
  <c r="AT220" i="1"/>
  <c r="AX220" i="1"/>
  <c r="BC30" i="1"/>
  <c r="BB190" i="1"/>
  <c r="BA275" i="1"/>
  <c r="AZ12" i="1"/>
  <c r="AY271" i="1"/>
  <c r="BE80" i="1"/>
  <c r="BF201" i="1"/>
  <c r="AU30" i="1"/>
  <c r="AT190" i="1"/>
  <c r="AZ275" i="1"/>
  <c r="AY12" i="1"/>
  <c r="BF271" i="1"/>
  <c r="AV80" i="1"/>
  <c r="AW201" i="1"/>
  <c r="AZ7" i="1"/>
  <c r="AT156" i="1"/>
  <c r="BD322" i="1"/>
  <c r="AW163" i="1"/>
  <c r="BD28" i="1"/>
  <c r="BC144" i="1"/>
  <c r="AX239" i="1"/>
  <c r="BC194" i="1"/>
  <c r="AX153" i="1"/>
  <c r="BA33" i="1"/>
  <c r="BF206" i="1"/>
  <c r="BB184" i="1"/>
  <c r="AY135" i="1"/>
  <c r="AU337" i="1"/>
  <c r="BC17" i="1"/>
  <c r="AU265" i="1"/>
  <c r="BF178" i="1"/>
  <c r="BB137" i="1"/>
  <c r="AV7" i="1"/>
  <c r="AY126" i="1"/>
  <c r="AU194" i="1"/>
  <c r="BE153" i="1"/>
  <c r="AZ33" i="1"/>
  <c r="AT206" i="1"/>
  <c r="AX269" i="1"/>
  <c r="AT178" i="1"/>
  <c r="BF137" i="1"/>
  <c r="AX144" i="1"/>
  <c r="AT126" i="1"/>
  <c r="AU26" i="1"/>
  <c r="BA206" i="1"/>
  <c r="BD362" i="1"/>
  <c r="AX211" i="1"/>
  <c r="BC75" i="1"/>
  <c r="BF333" i="1"/>
  <c r="BE269" i="1"/>
  <c r="BC322" i="1"/>
  <c r="AY366" i="1"/>
  <c r="AZ295" i="1"/>
  <c r="AT322" i="1"/>
  <c r="BD329" i="1"/>
  <c r="AW221" i="1"/>
  <c r="AY254" i="1"/>
  <c r="BB126" i="1"/>
  <c r="AX26" i="1"/>
  <c r="AV76" i="1"/>
  <c r="BE75" i="1"/>
  <c r="AU296" i="1"/>
  <c r="AW333" i="1"/>
  <c r="AW141" i="1"/>
  <c r="BC11" i="1"/>
  <c r="BF366" i="1"/>
  <c r="AV295" i="1"/>
  <c r="BA309" i="1"/>
  <c r="BC329" i="1"/>
  <c r="BF254" i="1"/>
  <c r="BA126" i="1"/>
  <c r="AT76" i="1"/>
  <c r="BC296" i="1"/>
  <c r="AY333" i="1"/>
  <c r="AV141" i="1"/>
  <c r="AZ11" i="1"/>
  <c r="AW156" i="1"/>
  <c r="AT295" i="1"/>
  <c r="BE322" i="1"/>
  <c r="BD163" i="1"/>
  <c r="AU28" i="1"/>
  <c r="AU7" i="1"/>
  <c r="BA295" i="1"/>
  <c r="BE144" i="1"/>
  <c r="AW366" i="1"/>
  <c r="AU295" i="1"/>
  <c r="BB309" i="1"/>
  <c r="AT329" i="1"/>
  <c r="AT254" i="1"/>
  <c r="AY281" i="1"/>
  <c r="BA236" i="1"/>
  <c r="AX296" i="1"/>
  <c r="BE79" i="1"/>
  <c r="BA265" i="1"/>
  <c r="AY11" i="1"/>
  <c r="AV156" i="1"/>
  <c r="BA7" i="1"/>
  <c r="BD156" i="1"/>
  <c r="BC366" i="1"/>
  <c r="AZ309" i="1"/>
  <c r="AY163" i="1"/>
  <c r="AV28" i="1"/>
  <c r="AX329" i="1"/>
  <c r="BC94" i="1"/>
  <c r="BB254" i="1"/>
  <c r="AX281" i="1"/>
  <c r="AU77" i="1"/>
  <c r="BE296" i="1"/>
  <c r="AV79" i="1"/>
  <c r="BF17" i="1"/>
  <c r="AZ265" i="1"/>
  <c r="AW18" i="1"/>
  <c r="AW306" i="1"/>
  <c r="BB62" i="1"/>
  <c r="AV290" i="1"/>
  <c r="AY162" i="1"/>
  <c r="AT162" i="1"/>
  <c r="AZ128" i="1"/>
  <c r="BD302" i="1"/>
  <c r="AX302" i="1"/>
  <c r="BF204" i="1"/>
  <c r="AZ331" i="1"/>
  <c r="AZ307" i="1"/>
  <c r="AW110" i="1"/>
  <c r="AZ47" i="1"/>
  <c r="BD252" i="1"/>
  <c r="AZ189" i="1"/>
  <c r="AX311" i="1"/>
  <c r="AU252" i="1"/>
  <c r="BD288" i="1"/>
  <c r="BE231" i="1"/>
  <c r="AY259" i="1"/>
  <c r="AU131" i="1"/>
  <c r="AY189" i="1"/>
  <c r="AV62" i="1"/>
  <c r="AV311" i="1"/>
  <c r="BE311" i="1"/>
  <c r="AZ222" i="1"/>
  <c r="AY290" i="1"/>
  <c r="BB290" i="1"/>
  <c r="BD162" i="1"/>
  <c r="AW249" i="1"/>
  <c r="BE121" i="1"/>
  <c r="BF128" i="1"/>
  <c r="BE128" i="1"/>
  <c r="AT302" i="1"/>
  <c r="AT45" i="1"/>
  <c r="BE45" i="1"/>
  <c r="BD341" i="1"/>
  <c r="AV331" i="1"/>
  <c r="AV307" i="1"/>
  <c r="AV44" i="1"/>
  <c r="AX43" i="1"/>
  <c r="BB43" i="1"/>
  <c r="BB240" i="1"/>
  <c r="AW365" i="1"/>
  <c r="AZ365" i="1"/>
  <c r="BF110" i="1"/>
  <c r="BC110" i="1"/>
  <c r="AT132" i="1"/>
  <c r="AZ132" i="1"/>
  <c r="BD232" i="1"/>
  <c r="AZ232" i="1"/>
  <c r="AZ340" i="1"/>
  <c r="BC340" i="1"/>
  <c r="BB47" i="1"/>
  <c r="BF47" i="1"/>
  <c r="AY146" i="1"/>
  <c r="AV233" i="1"/>
  <c r="BB233" i="1"/>
  <c r="AU113" i="1"/>
  <c r="AX113" i="1"/>
  <c r="AX112" i="1"/>
  <c r="AX252" i="1"/>
  <c r="BB252" i="1"/>
  <c r="BE124" i="1"/>
  <c r="AX288" i="1"/>
  <c r="AT288" i="1"/>
  <c r="BC231" i="1"/>
  <c r="AZ231" i="1"/>
  <c r="BF316" i="1"/>
  <c r="BB259" i="1"/>
  <c r="AW259" i="1"/>
  <c r="BB131" i="1"/>
  <c r="BA131" i="1"/>
  <c r="BF122" i="1"/>
  <c r="AW189" i="1"/>
  <c r="BF62" i="1"/>
  <c r="AZ62" i="1"/>
  <c r="BB311" i="1"/>
  <c r="BD222" i="1"/>
  <c r="BF222" i="1"/>
  <c r="BB95" i="1"/>
  <c r="AW290" i="1"/>
  <c r="AX162" i="1"/>
  <c r="AU162" i="1"/>
  <c r="AT121" i="1"/>
  <c r="BA128" i="1"/>
  <c r="AU128" i="1"/>
  <c r="BE302" i="1"/>
  <c r="AY302" i="1"/>
  <c r="BA45" i="1"/>
  <c r="AU45" i="1"/>
  <c r="AY341" i="1"/>
  <c r="AT341" i="1"/>
  <c r="BC331" i="1"/>
  <c r="BB331" i="1"/>
  <c r="BC307" i="1"/>
  <c r="BB307" i="1"/>
  <c r="AY44" i="1"/>
  <c r="BC44" i="1"/>
  <c r="AW43" i="1"/>
  <c r="AZ43" i="1"/>
  <c r="AZ240" i="1"/>
  <c r="AY240" i="1"/>
  <c r="BB174" i="1"/>
  <c r="BC365" i="1"/>
  <c r="AY110" i="1"/>
  <c r="BA110" i="1"/>
  <c r="BD132" i="1"/>
  <c r="BF232" i="1"/>
  <c r="AU47" i="1"/>
  <c r="AV47" i="1"/>
  <c r="BA274" i="1"/>
  <c r="BD146" i="1"/>
  <c r="AW146" i="1"/>
  <c r="BD233" i="1"/>
  <c r="BA113" i="1"/>
  <c r="AT112" i="1"/>
  <c r="BE112" i="1"/>
  <c r="AW252" i="1"/>
  <c r="BA252" i="1"/>
  <c r="BD124" i="1"/>
  <c r="BF288" i="1"/>
  <c r="BB288" i="1"/>
  <c r="AY231" i="1"/>
  <c r="AX231" i="1"/>
  <c r="AW316" i="1"/>
  <c r="AU259" i="1"/>
  <c r="BE259" i="1"/>
  <c r="AX131" i="1"/>
  <c r="AY131" i="1"/>
  <c r="BB189" i="1"/>
  <c r="BE189" i="1"/>
  <c r="BE62" i="1"/>
  <c r="AY62" i="1"/>
  <c r="AZ311" i="1"/>
  <c r="BA222" i="1"/>
  <c r="AW222" i="1"/>
  <c r="BD290" i="1"/>
  <c r="AZ162" i="1"/>
  <c r="BB162" i="1"/>
  <c r="BD121" i="1"/>
  <c r="AY121" i="1"/>
  <c r="AT128" i="1"/>
  <c r="AW302" i="1"/>
  <c r="BF302" i="1"/>
  <c r="AZ45" i="1"/>
  <c r="BF341" i="1"/>
  <c r="BB341" i="1"/>
  <c r="AT331" i="1"/>
  <c r="BA331" i="1"/>
  <c r="AT307" i="1"/>
  <c r="BA307" i="1"/>
  <c r="AX44" i="1"/>
  <c r="AT44" i="1"/>
  <c r="BD43" i="1"/>
  <c r="AW240" i="1"/>
  <c r="AX240" i="1"/>
  <c r="BA174" i="1"/>
  <c r="AU365" i="1"/>
  <c r="AU237" i="1"/>
  <c r="BE110" i="1"/>
  <c r="BA47" i="1"/>
  <c r="AZ274" i="1"/>
  <c r="AZ146" i="1"/>
  <c r="BE146" i="1"/>
  <c r="BF233" i="1"/>
  <c r="BB113" i="1"/>
  <c r="BB112" i="1"/>
  <c r="AV112" i="1"/>
  <c r="AZ252" i="1"/>
  <c r="AV189" i="1"/>
  <c r="AZ121" i="1"/>
  <c r="AY45" i="1"/>
  <c r="AW341" i="1"/>
  <c r="BF44" i="1"/>
  <c r="AV43" i="1"/>
  <c r="BE240" i="1"/>
  <c r="BC146" i="1"/>
  <c r="AX233" i="1"/>
  <c r="AZ112" i="1"/>
  <c r="BE252" i="1"/>
  <c r="AW288" i="1"/>
  <c r="AW231" i="1"/>
  <c r="AT259" i="1"/>
  <c r="BE131" i="1"/>
  <c r="AT189" i="1"/>
  <c r="AX62" i="1"/>
  <c r="AY311" i="1"/>
  <c r="AU222" i="1"/>
  <c r="BE222" i="1"/>
  <c r="AX121" i="1"/>
  <c r="BF331" i="1"/>
  <c r="BF307" i="1"/>
  <c r="AU240" i="1"/>
  <c r="BB365" i="1"/>
  <c r="AT237" i="1"/>
  <c r="AV252" i="1"/>
  <c r="BE288" i="1"/>
  <c r="AU231" i="1"/>
  <c r="BA259" i="1"/>
  <c r="AV131" i="1"/>
  <c r="BA189" i="1"/>
  <c r="BD189" i="1"/>
  <c r="BA62" i="1"/>
  <c r="BA311" i="1"/>
  <c r="BF311" i="1"/>
  <c r="BB222" i="1"/>
  <c r="AV222" i="1"/>
  <c r="BA290" i="1"/>
  <c r="BC290" i="1"/>
  <c r="BF162" i="1"/>
  <c r="AV121" i="1"/>
  <c r="BF121" i="1"/>
  <c r="AY128" i="1"/>
  <c r="BD127" i="1"/>
  <c r="AU302" i="1"/>
  <c r="BF45" i="1"/>
  <c r="BE341" i="1"/>
  <c r="AX331" i="1"/>
  <c r="AY331" i="1"/>
  <c r="AX307" i="1"/>
  <c r="AY307" i="1"/>
  <c r="AW44" i="1"/>
  <c r="BC43" i="1"/>
  <c r="BF240" i="1"/>
  <c r="AV240" i="1"/>
  <c r="AX365" i="1"/>
  <c r="AT365" i="1"/>
  <c r="BD110" i="1"/>
  <c r="AY132" i="1"/>
  <c r="AU132" i="1"/>
  <c r="AV232" i="1"/>
  <c r="AT232" i="1"/>
  <c r="BD340" i="1"/>
  <c r="BD330" i="1"/>
  <c r="AX330" i="1"/>
  <c r="AV68" i="1"/>
  <c r="AY47" i="1"/>
  <c r="AT146" i="1"/>
  <c r="BA233" i="1"/>
  <c r="BC233" i="1"/>
  <c r="AZ113" i="1"/>
  <c r="BA112" i="1"/>
  <c r="AU112" i="1"/>
  <c r="AZ288" i="1"/>
  <c r="AY316" i="1"/>
  <c r="AV259" i="1"/>
  <c r="AV146" i="1"/>
  <c r="AT113" i="1"/>
  <c r="BD112" i="1"/>
  <c r="AV288" i="1"/>
  <c r="AT231" i="1"/>
  <c r="AZ259" i="1"/>
  <c r="BD131" i="1"/>
  <c r="AU189" i="1"/>
  <c r="AW62" i="1"/>
  <c r="BD311" i="1"/>
  <c r="AT222" i="1"/>
  <c r="AZ290" i="1"/>
  <c r="AU290" i="1"/>
  <c r="AW162" i="1"/>
  <c r="AU121" i="1"/>
  <c r="AW121" i="1"/>
  <c r="AX128" i="1"/>
  <c r="AZ127" i="1"/>
  <c r="BC302" i="1"/>
  <c r="AX45" i="1"/>
  <c r="AV341" i="1"/>
  <c r="BE331" i="1"/>
  <c r="BE307" i="1"/>
  <c r="BE44" i="1"/>
  <c r="AU43" i="1"/>
  <c r="BD240" i="1"/>
  <c r="BE365" i="1"/>
  <c r="BA365" i="1"/>
  <c r="AU110" i="1"/>
  <c r="AX47" i="1"/>
  <c r="BA146" i="1"/>
  <c r="AY233" i="1"/>
  <c r="AT233" i="1"/>
  <c r="AV113" i="1"/>
  <c r="AY113" i="1"/>
  <c r="AY112" i="1"/>
  <c r="BB69" i="1"/>
  <c r="AZ69" i="1"/>
  <c r="BE69" i="1"/>
  <c r="BF287" i="1"/>
  <c r="BD287" i="1"/>
  <c r="AV287" i="1"/>
  <c r="BF181" i="1"/>
  <c r="AZ181" i="1"/>
  <c r="AT260" i="1"/>
  <c r="AZ319" i="1"/>
  <c r="BB260" i="1"/>
  <c r="AW319" i="1"/>
  <c r="S110" i="1"/>
  <c r="T110" i="1" s="1"/>
  <c r="AU32" i="1"/>
  <c r="AY167" i="1"/>
  <c r="BF167" i="1"/>
  <c r="BE167" i="1"/>
  <c r="AV167" i="1"/>
  <c r="AT167" i="1"/>
  <c r="BA167" i="1"/>
  <c r="BA157" i="1"/>
  <c r="BF236" i="1"/>
  <c r="AU14" i="1"/>
  <c r="BC263" i="1"/>
  <c r="AV300" i="1"/>
  <c r="AV13" i="1"/>
  <c r="AX328" i="1"/>
  <c r="BC201" i="1"/>
  <c r="BB178" i="1"/>
  <c r="AW81" i="1"/>
  <c r="AU157" i="1"/>
  <c r="BC14" i="1"/>
  <c r="BD300" i="1"/>
  <c r="BB13" i="1"/>
  <c r="BF328" i="1"/>
  <c r="BE81" i="1"/>
  <c r="BD109" i="1"/>
  <c r="AT157" i="1"/>
  <c r="BD32" i="1"/>
  <c r="AT77" i="1"/>
  <c r="BA14" i="1"/>
  <c r="AZ263" i="1"/>
  <c r="AT300" i="1"/>
  <c r="BE211" i="1"/>
  <c r="AY13" i="1"/>
  <c r="AV328" i="1"/>
  <c r="BE11" i="1"/>
  <c r="BF306" i="1"/>
  <c r="AU81" i="1"/>
  <c r="BE14" i="1"/>
  <c r="BD135" i="1"/>
  <c r="AX289" i="1"/>
  <c r="BE221" i="1"/>
  <c r="BE157" i="1"/>
  <c r="AW14" i="1"/>
  <c r="BD263" i="1"/>
  <c r="AU362" i="1"/>
  <c r="AW300" i="1"/>
  <c r="BC275" i="1"/>
  <c r="BC13" i="1"/>
  <c r="BD12" i="1"/>
  <c r="BA328" i="1"/>
  <c r="AT17" i="1"/>
  <c r="AT80" i="1"/>
  <c r="BE201" i="1"/>
  <c r="AW178" i="1"/>
  <c r="AX81" i="1"/>
  <c r="BD170" i="1"/>
  <c r="BB105" i="1"/>
  <c r="AV310" i="1"/>
  <c r="AW164" i="1"/>
  <c r="AT170" i="1"/>
  <c r="AZ105" i="1"/>
  <c r="AZ277" i="1"/>
  <c r="AZ310" i="1"/>
  <c r="AY15" i="1"/>
  <c r="AW372" i="1"/>
  <c r="AX100" i="1"/>
  <c r="BA170" i="1"/>
  <c r="AY105" i="1"/>
  <c r="BF277" i="1"/>
  <c r="AY310" i="1"/>
  <c r="AV100" i="1"/>
  <c r="BA272" i="1"/>
  <c r="AY170" i="1"/>
  <c r="AX105" i="1"/>
  <c r="AV277" i="1"/>
  <c r="BF310" i="1"/>
  <c r="AT15" i="1"/>
  <c r="BF299" i="1"/>
  <c r="BB100" i="1"/>
  <c r="BF170" i="1"/>
  <c r="AW105" i="1"/>
  <c r="BB277" i="1"/>
  <c r="BE310" i="1"/>
  <c r="BA100" i="1"/>
  <c r="BE170" i="1"/>
  <c r="AV105" i="1"/>
  <c r="BA310" i="1"/>
  <c r="AV170" i="1"/>
  <c r="BD105" i="1"/>
  <c r="BD310" i="1"/>
  <c r="AX164" i="1"/>
  <c r="BA289" i="1"/>
  <c r="BD289" i="1"/>
  <c r="AB139" i="1"/>
  <c r="BF88" i="1"/>
  <c r="AW109" i="1"/>
  <c r="BF199" i="1"/>
  <c r="AY203" i="1"/>
  <c r="AY32" i="1"/>
  <c r="AX32" i="1"/>
  <c r="AW32" i="1"/>
  <c r="BA32" i="1"/>
  <c r="AZ32" i="1"/>
  <c r="AV32" i="1"/>
  <c r="AX57" i="1"/>
  <c r="AY306" i="1"/>
  <c r="AT32" i="1"/>
  <c r="BF32" i="1"/>
  <c r="BC32" i="1"/>
  <c r="S156" i="1"/>
  <c r="T156" i="1" s="1"/>
  <c r="BB289" i="1"/>
  <c r="BB109" i="1"/>
  <c r="BA109" i="1"/>
  <c r="AZ289" i="1"/>
  <c r="AZ109" i="1"/>
  <c r="AY289" i="1"/>
  <c r="BE109" i="1"/>
  <c r="BF289" i="1"/>
  <c r="AY109" i="1"/>
  <c r="BE289" i="1"/>
  <c r="BF109" i="1"/>
  <c r="AZ77" i="1"/>
  <c r="BA263" i="1"/>
  <c r="AY201" i="1"/>
  <c r="AV289" i="1"/>
  <c r="AX109" i="1"/>
  <c r="AU289" i="1"/>
  <c r="AV109" i="1"/>
  <c r="BC289" i="1"/>
  <c r="BC109" i="1"/>
  <c r="AW263" i="1"/>
  <c r="S228" i="1"/>
  <c r="T228" i="1" s="1"/>
  <c r="AU167" i="1"/>
  <c r="BB167" i="1"/>
  <c r="AB82" i="1"/>
  <c r="AN82" i="1" s="1"/>
  <c r="AX167" i="1"/>
  <c r="AX203" i="1"/>
  <c r="S34" i="1"/>
  <c r="T34" i="1" s="1"/>
  <c r="BE287" i="1"/>
  <c r="BE181" i="1"/>
  <c r="AU260" i="1"/>
  <c r="AY69" i="1"/>
  <c r="AX319" i="1"/>
  <c r="AZ354" i="1"/>
  <c r="BF235" i="1"/>
  <c r="AW99" i="1"/>
  <c r="BD266" i="1"/>
  <c r="BB321" i="1"/>
  <c r="AU66" i="1"/>
  <c r="BE104" i="1"/>
  <c r="AW287" i="1"/>
  <c r="AW181" i="1"/>
  <c r="AV107" i="1"/>
  <c r="BC260" i="1"/>
  <c r="AX69" i="1"/>
  <c r="BF319" i="1"/>
  <c r="AY354" i="1"/>
  <c r="BC235" i="1"/>
  <c r="BE99" i="1"/>
  <c r="AU266" i="1"/>
  <c r="AY321" i="1"/>
  <c r="BB66" i="1"/>
  <c r="AU104" i="1"/>
  <c r="BC287" i="1"/>
  <c r="BC181" i="1"/>
  <c r="AY256" i="1"/>
  <c r="BA260" i="1"/>
  <c r="AW69" i="1"/>
  <c r="BE319" i="1"/>
  <c r="AW354" i="1"/>
  <c r="BE235" i="1"/>
  <c r="AU99" i="1"/>
  <c r="AZ106" i="1"/>
  <c r="BB266" i="1"/>
  <c r="BC321" i="1"/>
  <c r="BF66" i="1"/>
  <c r="BC104" i="1"/>
  <c r="AU287" i="1"/>
  <c r="AX181" i="1"/>
  <c r="AX256" i="1"/>
  <c r="AZ260" i="1"/>
  <c r="BD69" i="1"/>
  <c r="AV319" i="1"/>
  <c r="BE354" i="1"/>
  <c r="AV235" i="1"/>
  <c r="BB99" i="1"/>
  <c r="AY106" i="1"/>
  <c r="BA266" i="1"/>
  <c r="AT321" i="1"/>
  <c r="BE66" i="1"/>
  <c r="BA104" i="1"/>
  <c r="BB125" i="1"/>
  <c r="BB287" i="1"/>
  <c r="AV181" i="1"/>
  <c r="AY260" i="1"/>
  <c r="AV69" i="1"/>
  <c r="BD319" i="1"/>
  <c r="AV354" i="1"/>
  <c r="BD235" i="1"/>
  <c r="AT99" i="1"/>
  <c r="AT266" i="1"/>
  <c r="BF321" i="1"/>
  <c r="BA66" i="1"/>
  <c r="AT104" i="1"/>
  <c r="AT125" i="1"/>
  <c r="BA287" i="1"/>
  <c r="AU181" i="1"/>
  <c r="BF260" i="1"/>
  <c r="BC69" i="1"/>
  <c r="AU319" i="1"/>
  <c r="BD354" i="1"/>
  <c r="AU235" i="1"/>
  <c r="BA99" i="1"/>
  <c r="AZ266" i="1"/>
  <c r="AX321" i="1"/>
  <c r="AZ66" i="1"/>
  <c r="BB104" i="1"/>
  <c r="AZ287" i="1"/>
  <c r="BB181" i="1"/>
  <c r="AW179" i="1"/>
  <c r="BE260" i="1"/>
  <c r="AT69" i="1"/>
  <c r="BC319" i="1"/>
  <c r="AU354" i="1"/>
  <c r="BA235" i="1"/>
  <c r="AZ99" i="1"/>
  <c r="BA335" i="1"/>
  <c r="AX335" i="1"/>
  <c r="AY266" i="1"/>
  <c r="BE321" i="1"/>
  <c r="AX66" i="1"/>
  <c r="AZ104" i="1"/>
  <c r="AT95" i="1"/>
  <c r="AY287" i="1"/>
  <c r="BA181" i="1"/>
  <c r="BE179" i="1"/>
  <c r="AX260" i="1"/>
  <c r="BF69" i="1"/>
  <c r="AT319" i="1"/>
  <c r="BC354" i="1"/>
  <c r="AX235" i="1"/>
  <c r="AX99" i="1"/>
  <c r="BE266" i="1"/>
  <c r="BD321" i="1"/>
  <c r="AY66" i="1"/>
  <c r="BF104" i="1"/>
  <c r="BD286" i="1"/>
  <c r="AX287" i="1"/>
  <c r="AY181" i="1"/>
  <c r="AW204" i="1"/>
  <c r="AZ348" i="1"/>
  <c r="BD260" i="1"/>
  <c r="BA69" i="1"/>
  <c r="AY319" i="1"/>
  <c r="BA354" i="1"/>
  <c r="AT235" i="1"/>
  <c r="BF99" i="1"/>
  <c r="AB27" i="1"/>
  <c r="AN27" i="1" s="1"/>
  <c r="S188" i="1"/>
  <c r="T188" i="1" s="1"/>
  <c r="AX180" i="1"/>
  <c r="BA50" i="1"/>
  <c r="BC152" i="1"/>
  <c r="AZ202" i="1"/>
  <c r="AX345" i="1"/>
  <c r="BA193" i="1"/>
  <c r="AW155" i="1"/>
  <c r="BD133" i="1"/>
  <c r="BA374" i="1"/>
  <c r="AW51" i="1"/>
  <c r="AT6" i="1"/>
  <c r="AX356" i="1"/>
  <c r="BA40" i="1"/>
  <c r="BC143" i="1"/>
  <c r="BA292" i="1"/>
  <c r="BD139" i="1"/>
  <c r="AT117" i="1"/>
  <c r="BA151" i="1"/>
  <c r="AZ175" i="1"/>
  <c r="AY166" i="1"/>
  <c r="BF218" i="1"/>
  <c r="BA150" i="1"/>
  <c r="BC273" i="1"/>
  <c r="BD196" i="1"/>
  <c r="AV35" i="1"/>
  <c r="AZ150" i="1"/>
  <c r="AT152" i="1"/>
  <c r="BA199" i="1"/>
  <c r="BC202" i="1"/>
  <c r="BC193" i="1"/>
  <c r="BD374" i="1"/>
  <c r="AU40" i="1"/>
  <c r="BB183" i="1"/>
  <c r="AW125" i="1"/>
  <c r="BA180" i="1"/>
  <c r="BC272" i="1"/>
  <c r="AT356" i="1"/>
  <c r="BA345" i="1"/>
  <c r="AX155" i="1"/>
  <c r="AY51" i="1"/>
  <c r="BF286" i="1"/>
  <c r="AW95" i="1"/>
  <c r="BC58" i="1"/>
  <c r="BC127" i="1"/>
  <c r="AX273" i="1"/>
  <c r="AZ88" i="1"/>
  <c r="AU349" i="1"/>
  <c r="AV117" i="1"/>
  <c r="AX199" i="1"/>
  <c r="AZ133" i="1"/>
  <c r="BF124" i="1"/>
  <c r="BB160" i="1"/>
  <c r="AT316" i="1"/>
  <c r="AZ195" i="1"/>
  <c r="BE122" i="1"/>
  <c r="BC335" i="1"/>
  <c r="AZ166" i="1"/>
  <c r="BA202" i="1"/>
  <c r="AT193" i="1"/>
  <c r="AT374" i="1"/>
  <c r="AT40" i="1"/>
  <c r="AY183" i="1"/>
  <c r="AU125" i="1"/>
  <c r="AY180" i="1"/>
  <c r="BB272" i="1"/>
  <c r="AY356" i="1"/>
  <c r="BF345" i="1"/>
  <c r="BF155" i="1"/>
  <c r="BF51" i="1"/>
  <c r="AV286" i="1"/>
  <c r="BC95" i="1"/>
  <c r="AT226" i="1"/>
  <c r="BF249" i="1"/>
  <c r="AU58" i="1"/>
  <c r="AY127" i="1"/>
  <c r="AX218" i="1"/>
  <c r="BD273" i="1"/>
  <c r="AZ50" i="1"/>
  <c r="AW88" i="1"/>
  <c r="BA349" i="1"/>
  <c r="AU143" i="1"/>
  <c r="BB117" i="1"/>
  <c r="AX204" i="1"/>
  <c r="AZ256" i="1"/>
  <c r="AT348" i="1"/>
  <c r="BB369" i="1"/>
  <c r="BF179" i="1"/>
  <c r="BE107" i="1"/>
  <c r="AT151" i="1"/>
  <c r="AT150" i="1"/>
  <c r="AU152" i="1"/>
  <c r="AT174" i="1"/>
  <c r="BC237" i="1"/>
  <c r="BF46" i="1"/>
  <c r="AV196" i="1"/>
  <c r="BC6" i="1"/>
  <c r="BB175" i="1"/>
  <c r="BB292" i="1"/>
  <c r="BA203" i="1"/>
  <c r="BE139" i="1"/>
  <c r="BE35" i="1"/>
  <c r="AV49" i="1"/>
  <c r="AT106" i="1"/>
  <c r="AT274" i="1"/>
  <c r="BF297" i="1"/>
  <c r="AT143" i="1"/>
  <c r="BB6" i="1"/>
  <c r="BE199" i="1"/>
  <c r="AV133" i="1"/>
  <c r="AU124" i="1"/>
  <c r="AZ160" i="1"/>
  <c r="BE316" i="1"/>
  <c r="BF195" i="1"/>
  <c r="AV122" i="1"/>
  <c r="AT335" i="1"/>
  <c r="BE166" i="1"/>
  <c r="BF202" i="1"/>
  <c r="AY193" i="1"/>
  <c r="AY374" i="1"/>
  <c r="AY40" i="1"/>
  <c r="AV183" i="1"/>
  <c r="BA125" i="1"/>
  <c r="AW180" i="1"/>
  <c r="AY272" i="1"/>
  <c r="AW356" i="1"/>
  <c r="AV345" i="1"/>
  <c r="AV155" i="1"/>
  <c r="AV51" i="1"/>
  <c r="BC286" i="1"/>
  <c r="BA95" i="1"/>
  <c r="AX226" i="1"/>
  <c r="AV249" i="1"/>
  <c r="AZ58" i="1"/>
  <c r="AU127" i="1"/>
  <c r="BE218" i="1"/>
  <c r="AU273" i="1"/>
  <c r="AX50" i="1"/>
  <c r="AV88" i="1"/>
  <c r="AX349" i="1"/>
  <c r="BA143" i="1"/>
  <c r="AY117" i="1"/>
  <c r="BE204" i="1"/>
  <c r="BF256" i="1"/>
  <c r="AY348" i="1"/>
  <c r="AX369" i="1"/>
  <c r="AV179" i="1"/>
  <c r="BB107" i="1"/>
  <c r="AY151" i="1"/>
  <c r="AY150" i="1"/>
  <c r="BB152" i="1"/>
  <c r="AY174" i="1"/>
  <c r="BD237" i="1"/>
  <c r="AV46" i="1"/>
  <c r="BB196" i="1"/>
  <c r="AZ6" i="1"/>
  <c r="AX175" i="1"/>
  <c r="AY292" i="1"/>
  <c r="AW203" i="1"/>
  <c r="AY139" i="1"/>
  <c r="AU35" i="1"/>
  <c r="BC49" i="1"/>
  <c r="AX106" i="1"/>
  <c r="AY274" i="1"/>
  <c r="AV297" i="1"/>
  <c r="AZ272" i="1"/>
  <c r="BF356" i="1"/>
  <c r="BE345" i="1"/>
  <c r="BE51" i="1"/>
  <c r="BD35" i="1"/>
  <c r="AX202" i="1"/>
  <c r="AX193" i="1"/>
  <c r="AX374" i="1"/>
  <c r="AX40" i="1"/>
  <c r="AW183" i="1"/>
  <c r="AY125" i="1"/>
  <c r="BD180" i="1"/>
  <c r="BF272" i="1"/>
  <c r="BE356" i="1"/>
  <c r="BD345" i="1"/>
  <c r="BC155" i="1"/>
  <c r="BD51" i="1"/>
  <c r="AT286" i="1"/>
  <c r="AX95" i="1"/>
  <c r="AY226" i="1"/>
  <c r="BD249" i="1"/>
  <c r="AY58" i="1"/>
  <c r="AX127" i="1"/>
  <c r="AV218" i="1"/>
  <c r="BB273" i="1"/>
  <c r="BF50" i="1"/>
  <c r="BC88" i="1"/>
  <c r="BF349" i="1"/>
  <c r="BF143" i="1"/>
  <c r="AW117" i="1"/>
  <c r="AV204" i="1"/>
  <c r="AW256" i="1"/>
  <c r="AX348" i="1"/>
  <c r="BF369" i="1"/>
  <c r="BD179" i="1"/>
  <c r="BA107" i="1"/>
  <c r="AV151" i="1"/>
  <c r="AV150" i="1"/>
  <c r="BA152" i="1"/>
  <c r="AX174" i="1"/>
  <c r="BB237" i="1"/>
  <c r="BC46" i="1"/>
  <c r="AT196" i="1"/>
  <c r="BA6" i="1"/>
  <c r="BF175" i="1"/>
  <c r="BF292" i="1"/>
  <c r="AV203" i="1"/>
  <c r="AX139" i="1"/>
  <c r="BB35" i="1"/>
  <c r="AT49" i="1"/>
  <c r="BF106" i="1"/>
  <c r="BF274" i="1"/>
  <c r="BD297" i="1"/>
  <c r="AZ193" i="1"/>
  <c r="BB124" i="1"/>
  <c r="BC199" i="1"/>
  <c r="BF133" i="1"/>
  <c r="AT124" i="1"/>
  <c r="AY160" i="1"/>
  <c r="BD316" i="1"/>
  <c r="BE195" i="1"/>
  <c r="AT122" i="1"/>
  <c r="AY335" i="1"/>
  <c r="AW166" i="1"/>
  <c r="BE202" i="1"/>
  <c r="BF193" i="1"/>
  <c r="BF374" i="1"/>
  <c r="BF40" i="1"/>
  <c r="AU183" i="1"/>
  <c r="AX125" i="1"/>
  <c r="AV180" i="1"/>
  <c r="AX272" i="1"/>
  <c r="AV356" i="1"/>
  <c r="AU345" i="1"/>
  <c r="AU155" i="1"/>
  <c r="AU51" i="1"/>
  <c r="BB286" i="1"/>
  <c r="BF95" i="1"/>
  <c r="BF226" i="1"/>
  <c r="AU249" i="1"/>
  <c r="AX58" i="1"/>
  <c r="BF127" i="1"/>
  <c r="BD218" i="1"/>
  <c r="AT273" i="1"/>
  <c r="AW50" i="1"/>
  <c r="AU88" i="1"/>
  <c r="AW349" i="1"/>
  <c r="BE143" i="1"/>
  <c r="BF117" i="1"/>
  <c r="BD204" i="1"/>
  <c r="BE256" i="1"/>
  <c r="BF348" i="1"/>
  <c r="AW369" i="1"/>
  <c r="AU179" i="1"/>
  <c r="AZ107" i="1"/>
  <c r="BE151" i="1"/>
  <c r="BE150" i="1"/>
  <c r="AX152" i="1"/>
  <c r="BF174" i="1"/>
  <c r="AZ237" i="1"/>
  <c r="AU46" i="1"/>
  <c r="BA196" i="1"/>
  <c r="AY6" i="1"/>
  <c r="BE175" i="1"/>
  <c r="AX292" i="1"/>
  <c r="BB139" i="1"/>
  <c r="AT35" i="1"/>
  <c r="BB49" i="1"/>
  <c r="AW106" i="1"/>
  <c r="AX274" i="1"/>
  <c r="AU297" i="1"/>
  <c r="AV273" i="1"/>
  <c r="AU196" i="1"/>
  <c r="AV199" i="1"/>
  <c r="AV160" i="1"/>
  <c r="AW195" i="1"/>
  <c r="BB122" i="1"/>
  <c r="AZ335" i="1"/>
  <c r="AU199" i="1"/>
  <c r="AX133" i="1"/>
  <c r="BA124" i="1"/>
  <c r="BF160" i="1"/>
  <c r="AU316" i="1"/>
  <c r="AV195" i="1"/>
  <c r="BA122" i="1"/>
  <c r="BE335" i="1"/>
  <c r="BD166" i="1"/>
  <c r="AW202" i="1"/>
  <c r="AW193" i="1"/>
  <c r="AW374" i="1"/>
  <c r="AW40" i="1"/>
  <c r="AT183" i="1"/>
  <c r="BF125" i="1"/>
  <c r="BB180" i="1"/>
  <c r="BE272" i="1"/>
  <c r="BD356" i="1"/>
  <c r="BC345" i="1"/>
  <c r="BB155" i="1"/>
  <c r="BB51" i="1"/>
  <c r="AZ286" i="1"/>
  <c r="AZ95" i="1"/>
  <c r="AW226" i="1"/>
  <c r="BC249" i="1"/>
  <c r="BE58" i="1"/>
  <c r="AW127" i="1"/>
  <c r="AU218" i="1"/>
  <c r="BA273" i="1"/>
  <c r="BE50" i="1"/>
  <c r="BB88" i="1"/>
  <c r="BE349" i="1"/>
  <c r="AZ143" i="1"/>
  <c r="AZ117" i="1"/>
  <c r="AU204" i="1"/>
  <c r="AV256" i="1"/>
  <c r="AW348" i="1"/>
  <c r="BE369" i="1"/>
  <c r="BB179" i="1"/>
  <c r="AY107" i="1"/>
  <c r="AX151" i="1"/>
  <c r="AX150" i="1"/>
  <c r="BF152" i="1"/>
  <c r="AW174" i="1"/>
  <c r="AY237" i="1"/>
  <c r="AT46" i="1"/>
  <c r="AZ196" i="1"/>
  <c r="BF6" i="1"/>
  <c r="AW175" i="1"/>
  <c r="BE292" i="1"/>
  <c r="AW139" i="1"/>
  <c r="BA35" i="1"/>
  <c r="AZ49" i="1"/>
  <c r="BE106" i="1"/>
  <c r="AW274" i="1"/>
  <c r="BC297" i="1"/>
  <c r="AY50" i="1"/>
  <c r="AY175" i="1"/>
  <c r="AY133" i="1"/>
  <c r="AV316" i="1"/>
  <c r="AX166" i="1"/>
  <c r="BB199" i="1"/>
  <c r="AW133" i="1"/>
  <c r="AY124" i="1"/>
  <c r="AX160" i="1"/>
  <c r="BA316" i="1"/>
  <c r="BD195" i="1"/>
  <c r="AZ122" i="1"/>
  <c r="AW335" i="1"/>
  <c r="AU166" i="1"/>
  <c r="BD202" i="1"/>
  <c r="BD193" i="1"/>
  <c r="BE374" i="1"/>
  <c r="BD40" i="1"/>
  <c r="BE183" i="1"/>
  <c r="BE125" i="1"/>
  <c r="AT180" i="1"/>
  <c r="AV272" i="1"/>
  <c r="AU356" i="1"/>
  <c r="AT345" i="1"/>
  <c r="AT155" i="1"/>
  <c r="AT51" i="1"/>
  <c r="AY286" i="1"/>
  <c r="AY95" i="1"/>
  <c r="BE226" i="1"/>
  <c r="BB249" i="1"/>
  <c r="AW58" i="1"/>
  <c r="BE127" i="1"/>
  <c r="BC218" i="1"/>
  <c r="AZ273" i="1"/>
  <c r="AV50" i="1"/>
  <c r="AT88" i="1"/>
  <c r="AV349" i="1"/>
  <c r="AX143" i="1"/>
  <c r="AX117" i="1"/>
  <c r="BB204" i="1"/>
  <c r="BD256" i="1"/>
  <c r="BE348" i="1"/>
  <c r="AV369" i="1"/>
  <c r="BC179" i="1"/>
  <c r="BF107" i="1"/>
  <c r="BF151" i="1"/>
  <c r="BF150" i="1"/>
  <c r="AZ152" i="1"/>
  <c r="BE174" i="1"/>
  <c r="BA237" i="1"/>
  <c r="BD46" i="1"/>
  <c r="AY196" i="1"/>
  <c r="AX6" i="1"/>
  <c r="AV175" i="1"/>
  <c r="AW292" i="1"/>
  <c r="BA139" i="1"/>
  <c r="AZ35" i="1"/>
  <c r="AY49" i="1"/>
  <c r="AV106" i="1"/>
  <c r="BE274" i="1"/>
  <c r="AT297" i="1"/>
  <c r="BD88" i="1"/>
  <c r="AT199" i="1"/>
  <c r="BC133" i="1"/>
  <c r="AX124" i="1"/>
  <c r="BD160" i="1"/>
  <c r="AZ316" i="1"/>
  <c r="AU195" i="1"/>
  <c r="AX122" i="1"/>
  <c r="BD335" i="1"/>
  <c r="BC166" i="1"/>
  <c r="AV202" i="1"/>
  <c r="AV193" i="1"/>
  <c r="AV374" i="1"/>
  <c r="AV40" i="1"/>
  <c r="BC183" i="1"/>
  <c r="AZ125" i="1"/>
  <c r="BC180" i="1"/>
  <c r="BD272" i="1"/>
  <c r="BC356" i="1"/>
  <c r="BB345" i="1"/>
  <c r="BA155" i="1"/>
  <c r="AX51" i="1"/>
  <c r="AW286" i="1"/>
  <c r="BE95" i="1"/>
  <c r="AV226" i="1"/>
  <c r="AT249" i="1"/>
  <c r="BD58" i="1"/>
  <c r="AV127" i="1"/>
  <c r="AT218" i="1"/>
  <c r="AY273" i="1"/>
  <c r="BD50" i="1"/>
  <c r="BA88" i="1"/>
  <c r="BD349" i="1"/>
  <c r="AW143" i="1"/>
  <c r="BE117" i="1"/>
  <c r="AT204" i="1"/>
  <c r="AU256" i="1"/>
  <c r="AV348" i="1"/>
  <c r="BD369" i="1"/>
  <c r="BA179" i="1"/>
  <c r="AX107" i="1"/>
  <c r="AW151" i="1"/>
  <c r="AW150" i="1"/>
  <c r="AY152" i="1"/>
  <c r="BD174" i="1"/>
  <c r="BF237" i="1"/>
  <c r="BB46" i="1"/>
  <c r="AX196" i="1"/>
  <c r="BE6" i="1"/>
  <c r="BD175" i="1"/>
  <c r="BD292" i="1"/>
  <c r="AZ139" i="1"/>
  <c r="AY35" i="1"/>
  <c r="BF49" i="1"/>
  <c r="AU106" i="1"/>
  <c r="AV274" i="1"/>
  <c r="BB297" i="1"/>
  <c r="BF180" i="1"/>
  <c r="BD155" i="1"/>
  <c r="AZ292" i="1"/>
  <c r="AU160" i="1"/>
  <c r="AV335" i="1"/>
  <c r="AV143" i="1"/>
  <c r="AT256" i="1"/>
  <c r="AU369" i="1"/>
  <c r="BC107" i="1"/>
  <c r="BD151" i="1"/>
  <c r="AX237" i="1"/>
  <c r="BA46" i="1"/>
  <c r="BF196" i="1"/>
  <c r="AV6" i="1"/>
  <c r="AU175" i="1"/>
  <c r="AV292" i="1"/>
  <c r="AV139" i="1"/>
  <c r="AX35" i="1"/>
  <c r="AT133" i="1"/>
  <c r="BD226" i="1"/>
  <c r="BA249" i="1"/>
  <c r="BB218" i="1"/>
  <c r="AU50" i="1"/>
  <c r="BA204" i="1"/>
  <c r="BD348" i="1"/>
  <c r="AZ179" i="1"/>
  <c r="BD150" i="1"/>
  <c r="BE152" i="1"/>
  <c r="AV174" i="1"/>
  <c r="AZ199" i="1"/>
  <c r="BB133" i="1"/>
  <c r="AW124" i="1"/>
  <c r="BC160" i="1"/>
  <c r="AX316" i="1"/>
  <c r="AT195" i="1"/>
  <c r="AW122" i="1"/>
  <c r="BB335" i="1"/>
  <c r="BB166" i="1"/>
  <c r="AU202" i="1"/>
  <c r="AU193" i="1"/>
  <c r="AU374" i="1"/>
  <c r="BE40" i="1"/>
  <c r="BA183" i="1"/>
  <c r="AV125" i="1"/>
  <c r="AZ180" i="1"/>
  <c r="AU272" i="1"/>
  <c r="BA356" i="1"/>
  <c r="AZ345" i="1"/>
  <c r="AZ155" i="1"/>
  <c r="BA51" i="1"/>
  <c r="AX286" i="1"/>
  <c r="BD95" i="1"/>
  <c r="AU226" i="1"/>
  <c r="AZ249" i="1"/>
  <c r="BA58" i="1"/>
  <c r="AT127" i="1"/>
  <c r="BA218" i="1"/>
  <c r="BE273" i="1"/>
  <c r="BB50" i="1"/>
  <c r="AY88" i="1"/>
  <c r="BC349" i="1"/>
  <c r="AY143" i="1"/>
  <c r="BC117" i="1"/>
  <c r="AZ204" i="1"/>
  <c r="BB256" i="1"/>
  <c r="AU348" i="1"/>
  <c r="BC369" i="1"/>
  <c r="AT179" i="1"/>
  <c r="AW107" i="1"/>
  <c r="AU151" i="1"/>
  <c r="AU150" i="1"/>
  <c r="AW152" i="1"/>
  <c r="AU174" i="1"/>
  <c r="BE237" i="1"/>
  <c r="AZ46" i="1"/>
  <c r="AW196" i="1"/>
  <c r="BD6" i="1"/>
  <c r="BC175" i="1"/>
  <c r="BC292" i="1"/>
  <c r="AT203" i="1"/>
  <c r="AT139" i="1"/>
  <c r="BF35" i="1"/>
  <c r="AW49" i="1"/>
  <c r="BA106" i="1"/>
  <c r="AU274" i="1"/>
  <c r="AY297" i="1"/>
  <c r="AW199" i="1"/>
  <c r="BA133" i="1"/>
  <c r="BF166" i="1"/>
  <c r="AY202" i="1"/>
  <c r="AZ374" i="1"/>
  <c r="AZ40" i="1"/>
  <c r="AW218" i="1"/>
  <c r="BA117" i="1"/>
  <c r="AZ151" i="1"/>
  <c r="AU139" i="1"/>
  <c r="AZ124" i="1"/>
  <c r="AT166" i="1"/>
  <c r="AX49" i="1"/>
  <c r="BD106" i="1"/>
  <c r="BD274" i="1"/>
  <c r="AZ297" i="1"/>
  <c r="AY199" i="1"/>
  <c r="BE133" i="1"/>
  <c r="AV124" i="1"/>
  <c r="AT160" i="1"/>
  <c r="BB316" i="1"/>
  <c r="BA195" i="1"/>
  <c r="AU122" i="1"/>
  <c r="BF335" i="1"/>
  <c r="BA166" i="1"/>
  <c r="BB202" i="1"/>
  <c r="BB193" i="1"/>
  <c r="BB374" i="1"/>
  <c r="BB40" i="1"/>
  <c r="AZ183" i="1"/>
  <c r="BD125" i="1"/>
  <c r="AU180" i="1"/>
  <c r="AT272" i="1"/>
  <c r="AZ356" i="1"/>
  <c r="AY345" i="1"/>
  <c r="AY155" i="1"/>
  <c r="AZ51" i="1"/>
  <c r="BE286" i="1"/>
  <c r="AV95" i="1"/>
  <c r="BC226" i="1"/>
  <c r="AY249" i="1"/>
  <c r="AV58" i="1"/>
  <c r="BB127" i="1"/>
  <c r="AY218" i="1"/>
  <c r="AW273" i="1"/>
  <c r="AT50" i="1"/>
  <c r="AX88" i="1"/>
  <c r="AT349" i="1"/>
  <c r="BD143" i="1"/>
  <c r="AU117" i="1"/>
  <c r="AY204" i="1"/>
  <c r="BA256" i="1"/>
  <c r="BC348" i="1"/>
  <c r="AT369" i="1"/>
  <c r="AY179" i="1"/>
  <c r="AU107" i="1"/>
  <c r="BB151" i="1"/>
  <c r="BB150" i="1"/>
  <c r="BD152" i="1"/>
  <c r="BC174" i="1"/>
  <c r="AV237" i="1"/>
  <c r="AY46" i="1"/>
  <c r="BE196" i="1"/>
  <c r="AU6" i="1"/>
  <c r="AT175" i="1"/>
  <c r="AT292" i="1"/>
  <c r="BB203" i="1"/>
  <c r="BF139" i="1"/>
  <c r="AW35" i="1"/>
  <c r="BE49" i="1"/>
  <c r="BB106" i="1"/>
  <c r="BC274" i="1"/>
  <c r="AX297" i="1"/>
  <c r="BE203" i="1"/>
  <c r="AB192" i="1"/>
  <c r="BD203" i="1"/>
  <c r="AU203" i="1"/>
  <c r="BC203" i="1"/>
  <c r="S72" i="1"/>
  <c r="AY7" i="1"/>
  <c r="BA156" i="1"/>
  <c r="BE366" i="1"/>
  <c r="AY295" i="1"/>
  <c r="BD309" i="1"/>
  <c r="AX309" i="1"/>
  <c r="AU322" i="1"/>
  <c r="BB322" i="1"/>
  <c r="BB163" i="1"/>
  <c r="AV163" i="1"/>
  <c r="BE28" i="1"/>
  <c r="BB28" i="1"/>
  <c r="AZ144" i="1"/>
  <c r="AV144" i="1"/>
  <c r="BA329" i="1"/>
  <c r="BE239" i="1"/>
  <c r="BF239" i="1"/>
  <c r="BB221" i="1"/>
  <c r="BD221" i="1"/>
  <c r="AW94" i="1"/>
  <c r="BB94" i="1"/>
  <c r="AX254" i="1"/>
  <c r="BF126" i="1"/>
  <c r="BB194" i="1"/>
  <c r="BF281" i="1"/>
  <c r="AV153" i="1"/>
  <c r="BE26" i="1"/>
  <c r="AY33" i="1"/>
  <c r="AW206" i="1"/>
  <c r="AZ206" i="1"/>
  <c r="AX236" i="1"/>
  <c r="BF77" i="1"/>
  <c r="AY77" i="1"/>
  <c r="AZ184" i="1"/>
  <c r="AX135" i="1"/>
  <c r="BC362" i="1"/>
  <c r="BC337" i="1"/>
  <c r="AV211" i="1"/>
  <c r="BD76" i="1"/>
  <c r="AW75" i="1"/>
  <c r="AT296" i="1"/>
  <c r="AV296" i="1"/>
  <c r="BD333" i="1"/>
  <c r="BD79" i="1"/>
  <c r="AV269" i="1"/>
  <c r="AU141" i="1"/>
  <c r="AX17" i="1"/>
  <c r="BB17" i="1"/>
  <c r="AY265" i="1"/>
  <c r="BB265" i="1"/>
  <c r="AW11" i="1"/>
  <c r="BF11" i="1"/>
  <c r="AV18" i="1"/>
  <c r="AZ178" i="1"/>
  <c r="BA178" i="1"/>
  <c r="BE306" i="1"/>
  <c r="AU137" i="1"/>
  <c r="AW137" i="1"/>
  <c r="BF7" i="1"/>
  <c r="BF295" i="1"/>
  <c r="BA163" i="1"/>
  <c r="AT28" i="1"/>
  <c r="AT144" i="1"/>
  <c r="BD144" i="1"/>
  <c r="BB329" i="1"/>
  <c r="AZ329" i="1"/>
  <c r="BC239" i="1"/>
  <c r="AW239" i="1"/>
  <c r="BA221" i="1"/>
  <c r="AV221" i="1"/>
  <c r="AV94" i="1"/>
  <c r="BA94" i="1"/>
  <c r="BE254" i="1"/>
  <c r="AX126" i="1"/>
  <c r="AT194" i="1"/>
  <c r="AW281" i="1"/>
  <c r="BD153" i="1"/>
  <c r="AV26" i="1"/>
  <c r="AX33" i="1"/>
  <c r="BE206" i="1"/>
  <c r="AY206" i="1"/>
  <c r="BD236" i="1"/>
  <c r="BE236" i="1"/>
  <c r="BD77" i="1"/>
  <c r="BF184" i="1"/>
  <c r="AY184" i="1"/>
  <c r="AV135" i="1"/>
  <c r="BC135" i="1"/>
  <c r="AX362" i="1"/>
  <c r="AT362" i="1"/>
  <c r="AY337" i="1"/>
  <c r="AT337" i="1"/>
  <c r="BB211" i="1"/>
  <c r="BD211" i="1"/>
  <c r="BF76" i="1"/>
  <c r="AU76" i="1"/>
  <c r="AY75" i="1"/>
  <c r="BB75" i="1"/>
  <c r="BB296" i="1"/>
  <c r="AV333" i="1"/>
  <c r="AU79" i="1"/>
  <c r="BB269" i="1"/>
  <c r="BD269" i="1"/>
  <c r="BF141" i="1"/>
  <c r="AX141" i="1"/>
  <c r="AY17" i="1"/>
  <c r="BA17" i="1"/>
  <c r="AX265" i="1"/>
  <c r="AT265" i="1"/>
  <c r="AT11" i="1"/>
  <c r="AX11" i="1"/>
  <c r="BC18" i="1"/>
  <c r="AX178" i="1"/>
  <c r="AY178" i="1"/>
  <c r="AV306" i="1"/>
  <c r="AT137" i="1"/>
  <c r="BE137" i="1"/>
  <c r="AV309" i="1"/>
  <c r="BF309" i="1"/>
  <c r="AY322" i="1"/>
  <c r="BA322" i="1"/>
  <c r="BC163" i="1"/>
  <c r="AZ28" i="1"/>
  <c r="AX156" i="1"/>
  <c r="BD366" i="1"/>
  <c r="AX295" i="1"/>
  <c r="AW309" i="1"/>
  <c r="BF322" i="1"/>
  <c r="AZ322" i="1"/>
  <c r="AZ163" i="1"/>
  <c r="AT163" i="1"/>
  <c r="AX28" i="1"/>
  <c r="BA28" i="1"/>
  <c r="BB144" i="1"/>
  <c r="AU144" i="1"/>
  <c r="BE329" i="1"/>
  <c r="AY329" i="1"/>
  <c r="BA239" i="1"/>
  <c r="BD239" i="1"/>
  <c r="AZ221" i="1"/>
  <c r="BC221" i="1"/>
  <c r="BF94" i="1"/>
  <c r="AZ94" i="1"/>
  <c r="AW254" i="1"/>
  <c r="BE126" i="1"/>
  <c r="BE194" i="1"/>
  <c r="BA194" i="1"/>
  <c r="BC281" i="1"/>
  <c r="BE281" i="1"/>
  <c r="BF153" i="1"/>
  <c r="AU153" i="1"/>
  <c r="BF26" i="1"/>
  <c r="BC26" i="1"/>
  <c r="AU33" i="1"/>
  <c r="BE33" i="1"/>
  <c r="AV206" i="1"/>
  <c r="BB236" i="1"/>
  <c r="AV236" i="1"/>
  <c r="BC77" i="1"/>
  <c r="BD184" i="1"/>
  <c r="AX184" i="1"/>
  <c r="BA135" i="1"/>
  <c r="AU135" i="1"/>
  <c r="BF362" i="1"/>
  <c r="BB362" i="1"/>
  <c r="BF337" i="1"/>
  <c r="BB337" i="1"/>
  <c r="BA211" i="1"/>
  <c r="AU211" i="1"/>
  <c r="BE76" i="1"/>
  <c r="AZ76" i="1"/>
  <c r="AX75" i="1"/>
  <c r="AT75" i="1"/>
  <c r="BA296" i="1"/>
  <c r="BB333" i="1"/>
  <c r="BC79" i="1"/>
  <c r="BA269" i="1"/>
  <c r="AU269" i="1"/>
  <c r="AZ141" i="1"/>
  <c r="BB141" i="1"/>
  <c r="BE17" i="1"/>
  <c r="BF265" i="1"/>
  <c r="BD11" i="1"/>
  <c r="AZ18" i="1"/>
  <c r="AU18" i="1"/>
  <c r="BE178" i="1"/>
  <c r="BB306" i="1"/>
  <c r="BD137" i="1"/>
  <c r="AV137" i="1"/>
  <c r="AY156" i="1"/>
  <c r="AV366" i="1"/>
  <c r="AX7" i="1"/>
  <c r="BC309" i="1"/>
  <c r="BC7" i="1"/>
  <c r="BE7" i="1"/>
  <c r="AU156" i="1"/>
  <c r="BF156" i="1"/>
  <c r="BA366" i="1"/>
  <c r="AU366" i="1"/>
  <c r="BC295" i="1"/>
  <c r="BE295" i="1"/>
  <c r="AU309" i="1"/>
  <c r="AX322" i="1"/>
  <c r="BF163" i="1"/>
  <c r="AY28" i="1"/>
  <c r="BA144" i="1"/>
  <c r="AV329" i="1"/>
  <c r="BF329" i="1"/>
  <c r="AZ239" i="1"/>
  <c r="AU239" i="1"/>
  <c r="AY221" i="1"/>
  <c r="AU221" i="1"/>
  <c r="BE94" i="1"/>
  <c r="AY94" i="1"/>
  <c r="BD254" i="1"/>
  <c r="AV126" i="1"/>
  <c r="AW194" i="1"/>
  <c r="AZ194" i="1"/>
  <c r="BA281" i="1"/>
  <c r="AV281" i="1"/>
  <c r="AZ153" i="1"/>
  <c r="BC153" i="1"/>
  <c r="BD26" i="1"/>
  <c r="AT26" i="1"/>
  <c r="BC33" i="1"/>
  <c r="AW33" i="1"/>
  <c r="BD206" i="1"/>
  <c r="AZ236" i="1"/>
  <c r="BC236" i="1"/>
  <c r="AX77" i="1"/>
  <c r="BC184" i="1"/>
  <c r="BE184" i="1"/>
  <c r="AZ135" i="1"/>
  <c r="BB135" i="1"/>
  <c r="AW362" i="1"/>
  <c r="AZ362" i="1"/>
  <c r="AX337" i="1"/>
  <c r="BA337" i="1"/>
  <c r="AZ211" i="1"/>
  <c r="BC211" i="1"/>
  <c r="BB76" i="1"/>
  <c r="AY76" i="1"/>
  <c r="AV75" i="1"/>
  <c r="BA75" i="1"/>
  <c r="AZ296" i="1"/>
  <c r="AU333" i="1"/>
  <c r="AT333" i="1"/>
  <c r="AX79" i="1"/>
  <c r="AT79" i="1"/>
  <c r="AZ269" i="1"/>
  <c r="BC269" i="1"/>
  <c r="BE141" i="1"/>
  <c r="AT141" i="1"/>
  <c r="AW17" i="1"/>
  <c r="AW265" i="1"/>
  <c r="AV11" i="1"/>
  <c r="AX18" i="1"/>
  <c r="BB18" i="1"/>
  <c r="AV178" i="1"/>
  <c r="BD306" i="1"/>
  <c r="AT306" i="1"/>
  <c r="BC137" i="1"/>
  <c r="AY144" i="1"/>
  <c r="AV239" i="1"/>
  <c r="BF221" i="1"/>
  <c r="BD94" i="1"/>
  <c r="BA254" i="1"/>
  <c r="AV254" i="1"/>
  <c r="BC126" i="1"/>
  <c r="BD126" i="1"/>
  <c r="BD194" i="1"/>
  <c r="AY194" i="1"/>
  <c r="AT281" i="1"/>
  <c r="BD281" i="1"/>
  <c r="AW153" i="1"/>
  <c r="AT153" i="1"/>
  <c r="AY26" i="1"/>
  <c r="BB26" i="1"/>
  <c r="BB33" i="1"/>
  <c r="BD33" i="1"/>
  <c r="AU206" i="1"/>
  <c r="AY236" i="1"/>
  <c r="AT236" i="1"/>
  <c r="BE77" i="1"/>
  <c r="AW184" i="1"/>
  <c r="AV184" i="1"/>
  <c r="AW135" i="1"/>
  <c r="AT135" i="1"/>
  <c r="BE362" i="1"/>
  <c r="AY362" i="1"/>
  <c r="BE337" i="1"/>
  <c r="AZ337" i="1"/>
  <c r="AY211" i="1"/>
  <c r="AT211" i="1"/>
  <c r="BA76" i="1"/>
  <c r="AX76" i="1"/>
  <c r="AU75" i="1"/>
  <c r="AZ75" i="1"/>
  <c r="AY296" i="1"/>
  <c r="BC333" i="1"/>
  <c r="BA333" i="1"/>
  <c r="BF79" i="1"/>
  <c r="BA79" i="1"/>
  <c r="AY269" i="1"/>
  <c r="AT269" i="1"/>
  <c r="BD141" i="1"/>
  <c r="BA141" i="1"/>
  <c r="BD17" i="1"/>
  <c r="BE265" i="1"/>
  <c r="BB11" i="1"/>
  <c r="AY18" i="1"/>
  <c r="AT18" i="1"/>
  <c r="BD178" i="1"/>
  <c r="AU306" i="1"/>
  <c r="BA306" i="1"/>
  <c r="AZ137" i="1"/>
  <c r="AT7" i="1"/>
  <c r="BD7" i="1"/>
  <c r="AZ156" i="1"/>
  <c r="BE156" i="1"/>
  <c r="AX366" i="1"/>
  <c r="AT366" i="1"/>
  <c r="BB295" i="1"/>
  <c r="BD295" i="1"/>
  <c r="AT309" i="1"/>
  <c r="AV322" i="1"/>
  <c r="BE163" i="1"/>
  <c r="AW28" i="1"/>
  <c r="BF144" i="1"/>
  <c r="AU329" i="1"/>
  <c r="AT239" i="1"/>
  <c r="AX221" i="1"/>
  <c r="AX94" i="1"/>
  <c r="AZ254" i="1"/>
  <c r="BC254" i="1"/>
  <c r="AZ126" i="1"/>
  <c r="AU126" i="1"/>
  <c r="AV194" i="1"/>
  <c r="AX194" i="1"/>
  <c r="AZ281" i="1"/>
  <c r="AU281" i="1"/>
  <c r="AY153" i="1"/>
  <c r="BA153" i="1"/>
  <c r="AW26" i="1"/>
  <c r="AZ26" i="1"/>
  <c r="AT33" i="1"/>
  <c r="AV33" i="1"/>
  <c r="BB206" i="1"/>
  <c r="AU236" i="1"/>
  <c r="AW77" i="1"/>
  <c r="AV77" i="1"/>
  <c r="AU184" i="1"/>
  <c r="BF135" i="1"/>
  <c r="AV362" i="1"/>
  <c r="AV337" i="1"/>
  <c r="BF211" i="1"/>
  <c r="AW76" i="1"/>
  <c r="BD75" i="1"/>
  <c r="BD296" i="1"/>
  <c r="BF296" i="1"/>
  <c r="AX333" i="1"/>
  <c r="AZ333" i="1"/>
  <c r="AW79" i="1"/>
  <c r="AZ79" i="1"/>
  <c r="BF269" i="1"/>
  <c r="AY141" i="1"/>
  <c r="AV17" i="1"/>
  <c r="AV265" i="1"/>
  <c r="BA11" i="1"/>
  <c r="BF18" i="1"/>
  <c r="BA18" i="1"/>
  <c r="AU178" i="1"/>
  <c r="AX306" i="1"/>
  <c r="AZ306" i="1"/>
  <c r="AY137" i="1"/>
  <c r="AB37" i="1"/>
  <c r="AN37" i="1" s="1"/>
  <c r="AB9" i="1"/>
  <c r="AN9" i="1" s="1"/>
  <c r="S330" i="1"/>
  <c r="T330" i="1" s="1"/>
  <c r="AB318" i="1"/>
  <c r="AN318" i="1" s="1"/>
  <c r="AB24" i="1"/>
  <c r="BE277" i="1"/>
  <c r="AU149" i="1"/>
  <c r="BB149" i="1"/>
  <c r="AU15" i="1"/>
  <c r="BB164" i="1"/>
  <c r="AU164" i="1"/>
  <c r="AV37" i="1"/>
  <c r="BF168" i="1"/>
  <c r="BB168" i="1"/>
  <c r="AZ372" i="1"/>
  <c r="AY323" i="1"/>
  <c r="BA323" i="1"/>
  <c r="AX299" i="1"/>
  <c r="AU100" i="1"/>
  <c r="AZ67" i="1"/>
  <c r="BA67" i="1"/>
  <c r="BF15" i="1"/>
  <c r="BB15" i="1"/>
  <c r="BA164" i="1"/>
  <c r="BB37" i="1"/>
  <c r="BD37" i="1"/>
  <c r="AW168" i="1"/>
  <c r="BD372" i="1"/>
  <c r="AY372" i="1"/>
  <c r="AX323" i="1"/>
  <c r="AB209" i="1"/>
  <c r="AB244" i="1"/>
  <c r="AN244" i="1" s="1"/>
  <c r="AB40" i="1"/>
  <c r="AN40" i="1" s="1"/>
  <c r="AY277" i="1"/>
  <c r="AU277" i="1"/>
  <c r="AW149" i="1"/>
  <c r="AW15" i="1"/>
  <c r="BA15" i="1"/>
  <c r="BF164" i="1"/>
  <c r="AZ37" i="1"/>
  <c r="BC37" i="1"/>
  <c r="AV168" i="1"/>
  <c r="BC372" i="1"/>
  <c r="BE372" i="1"/>
  <c r="S88" i="1"/>
  <c r="T88" i="1" s="1"/>
  <c r="AX277" i="1"/>
  <c r="AT277" i="1"/>
  <c r="AV149" i="1"/>
  <c r="AB325" i="1"/>
  <c r="AN325" i="1" s="1"/>
  <c r="BD15" i="1"/>
  <c r="AZ164" i="1"/>
  <c r="BE164" i="1"/>
  <c r="BF37" i="1"/>
  <c r="AZ168" i="1"/>
  <c r="AU168" i="1"/>
  <c r="BB372" i="1"/>
  <c r="BF323" i="1"/>
  <c r="AU323" i="1"/>
  <c r="BA299" i="1"/>
  <c r="BE100" i="1"/>
  <c r="AV67" i="1"/>
  <c r="AU67" i="1"/>
  <c r="AV15" i="1"/>
  <c r="AY164" i="1"/>
  <c r="AV164" i="1"/>
  <c r="AW37" i="1"/>
  <c r="AY168" i="1"/>
  <c r="BC168" i="1"/>
  <c r="AT372" i="1"/>
  <c r="S272" i="1"/>
  <c r="T272" i="1" s="1"/>
  <c r="AB239" i="1"/>
  <c r="AN239" i="1" s="1"/>
  <c r="AW277" i="1"/>
  <c r="AX149" i="1"/>
  <c r="AT149" i="1"/>
  <c r="BC15" i="1"/>
  <c r="AT164" i="1"/>
  <c r="BC164" i="1"/>
  <c r="BE37" i="1"/>
  <c r="AX168" i="1"/>
  <c r="AT168" i="1"/>
  <c r="BA372" i="1"/>
  <c r="AZ323" i="1"/>
  <c r="AT323" i="1"/>
  <c r="AY299" i="1"/>
  <c r="BD100" i="1"/>
  <c r="BD67" i="1"/>
  <c r="AT67" i="1"/>
  <c r="S252" i="1"/>
  <c r="T252" i="1" s="1"/>
  <c r="AB247" i="1"/>
  <c r="AU134" i="1"/>
  <c r="S130" i="1"/>
  <c r="AB26" i="1"/>
  <c r="S70" i="1"/>
  <c r="T70" i="1" s="1"/>
  <c r="BC262" i="1"/>
  <c r="AB155" i="1"/>
  <c r="AN155" i="1" s="1"/>
  <c r="AZ338" i="1"/>
  <c r="AB114" i="1"/>
  <c r="AB78" i="1"/>
  <c r="AN78" i="1" s="1"/>
  <c r="AB191" i="1"/>
  <c r="AN191" i="1" s="1"/>
  <c r="AB210" i="1"/>
  <c r="AN210" i="1" s="1"/>
  <c r="AB279" i="1"/>
  <c r="AN279" i="1" s="1"/>
  <c r="S19" i="1"/>
  <c r="T19" i="1" s="1"/>
  <c r="AU20" i="1"/>
  <c r="BA327" i="1"/>
  <c r="AW229" i="1"/>
  <c r="AV8" i="1"/>
  <c r="AV101" i="1"/>
  <c r="BF255" i="1"/>
  <c r="AV134" i="1"/>
  <c r="AV213" i="1"/>
  <c r="BE255" i="1"/>
  <c r="BB262" i="1"/>
  <c r="BC9" i="1"/>
  <c r="AB134" i="1"/>
  <c r="AT159" i="1"/>
  <c r="AY52" i="1"/>
  <c r="AU223" i="1"/>
  <c r="BD118" i="1"/>
  <c r="AV4" i="1"/>
  <c r="S339" i="1"/>
  <c r="T339" i="1" s="1"/>
  <c r="BD34" i="1"/>
  <c r="BE9" i="1"/>
  <c r="AX159" i="1"/>
  <c r="AU52" i="1"/>
  <c r="BF224" i="1"/>
  <c r="AX223" i="1"/>
  <c r="BD250" i="1"/>
  <c r="BD247" i="1"/>
  <c r="AZ4" i="1"/>
  <c r="BD351" i="1"/>
  <c r="BD10" i="1"/>
  <c r="AB251" i="1"/>
  <c r="AN251" i="1" s="1"/>
  <c r="BF208" i="1"/>
  <c r="AX187" i="1"/>
  <c r="BD89" i="1"/>
  <c r="BB224" i="1"/>
  <c r="AW250" i="1"/>
  <c r="BF228" i="1"/>
  <c r="AY5" i="1"/>
  <c r="BF102" i="1"/>
  <c r="BF351" i="1"/>
  <c r="BF10" i="1"/>
  <c r="AY85" i="1"/>
  <c r="BB208" i="1"/>
  <c r="AY187" i="1"/>
  <c r="BD367" i="1"/>
  <c r="BC56" i="1"/>
  <c r="AV246" i="1"/>
  <c r="AY241" i="1"/>
  <c r="AB289" i="1"/>
  <c r="AN289" i="1" s="1"/>
  <c r="BD361" i="1"/>
  <c r="AT5" i="1"/>
  <c r="BE102" i="1"/>
  <c r="BB8" i="1"/>
  <c r="BF234" i="1"/>
  <c r="AX161" i="1"/>
  <c r="BC315" i="1"/>
  <c r="AB194" i="1"/>
  <c r="AN194" i="1" s="1"/>
  <c r="AY367" i="1"/>
  <c r="BE56" i="1"/>
  <c r="AT86" i="1"/>
  <c r="AV304" i="1"/>
  <c r="AU171" i="1"/>
  <c r="AV234" i="1"/>
  <c r="AV315" i="1"/>
  <c r="BC82" i="1"/>
  <c r="AV86" i="1"/>
  <c r="BE171" i="1"/>
  <c r="AB308" i="1"/>
  <c r="AN308" i="1" s="1"/>
  <c r="BC229" i="1"/>
  <c r="AY262" i="1"/>
  <c r="AX134" i="1"/>
  <c r="AU8" i="1"/>
  <c r="AB23" i="1"/>
  <c r="AN23" i="1" s="1"/>
  <c r="AX212" i="1"/>
  <c r="AW338" i="1"/>
  <c r="AT20" i="1"/>
  <c r="AT213" i="1"/>
  <c r="AV357" i="1"/>
  <c r="AT317" i="1"/>
  <c r="AB292" i="1"/>
  <c r="S6" i="1"/>
  <c r="S73" i="1"/>
  <c r="S11" i="1"/>
  <c r="AB169" i="1"/>
  <c r="AB354" i="1"/>
  <c r="AB283" i="1"/>
  <c r="S33" i="1"/>
  <c r="AB58" i="1"/>
  <c r="AV255" i="1"/>
  <c r="AT229" i="1"/>
  <c r="AV102" i="1"/>
  <c r="AX262" i="1"/>
  <c r="BA262" i="1"/>
  <c r="BE134" i="1"/>
  <c r="BB134" i="1"/>
  <c r="BA8" i="1"/>
  <c r="BC8" i="1"/>
  <c r="AB56" i="1"/>
  <c r="AB278" i="1"/>
  <c r="AB344" i="1"/>
  <c r="S229" i="1"/>
  <c r="AB303" i="1"/>
  <c r="S172" i="1"/>
  <c r="AB258" i="1"/>
  <c r="S91" i="1"/>
  <c r="BC234" i="1"/>
  <c r="BD234" i="1"/>
  <c r="AU351" i="1"/>
  <c r="AW351" i="1"/>
  <c r="BE161" i="1"/>
  <c r="AU34" i="1"/>
  <c r="BB10" i="1"/>
  <c r="AX10" i="1"/>
  <c r="BA9" i="1"/>
  <c r="AW9" i="1"/>
  <c r="AN247" i="1"/>
  <c r="AB237" i="1"/>
  <c r="AB29" i="1"/>
  <c r="S35" i="1"/>
  <c r="BF212" i="1"/>
  <c r="BF85" i="1"/>
  <c r="AW208" i="1"/>
  <c r="BE159" i="1"/>
  <c r="BE338" i="1"/>
  <c r="AT315" i="1"/>
  <c r="AW187" i="1"/>
  <c r="AT52" i="1"/>
  <c r="BA20" i="1"/>
  <c r="AB238" i="1"/>
  <c r="AB16" i="1"/>
  <c r="AB110" i="1"/>
  <c r="AB224" i="1"/>
  <c r="AB4" i="1"/>
  <c r="AV367" i="1"/>
  <c r="AX367" i="1"/>
  <c r="AU82" i="1"/>
  <c r="AU89" i="1"/>
  <c r="BA56" i="1"/>
  <c r="AW56" i="1"/>
  <c r="BD224" i="1"/>
  <c r="BA224" i="1"/>
  <c r="AB368" i="1"/>
  <c r="AB150" i="1"/>
  <c r="S144" i="1"/>
  <c r="AB307" i="1"/>
  <c r="BD223" i="1"/>
  <c r="BA213" i="1"/>
  <c r="BB86" i="1"/>
  <c r="BA357" i="1"/>
  <c r="BD357" i="1"/>
  <c r="AZ246" i="1"/>
  <c r="BC246" i="1"/>
  <c r="BF118" i="1"/>
  <c r="AV118" i="1"/>
  <c r="BC250" i="1"/>
  <c r="AV241" i="1"/>
  <c r="BF241" i="1"/>
  <c r="S102" i="1"/>
  <c r="AB196" i="1"/>
  <c r="S168" i="1"/>
  <c r="S346" i="1"/>
  <c r="AB43" i="1"/>
  <c r="S121" i="1"/>
  <c r="AX228" i="1"/>
  <c r="BD101" i="1"/>
  <c r="BC304" i="1"/>
  <c r="AU247" i="1"/>
  <c r="AZ317" i="1"/>
  <c r="AU361" i="1"/>
  <c r="AT171" i="1"/>
  <c r="AV171" i="1"/>
  <c r="BF5" i="1"/>
  <c r="BA5" i="1"/>
  <c r="BF4" i="1"/>
  <c r="AY4" i="1"/>
  <c r="AB266" i="1"/>
  <c r="AB133" i="1"/>
  <c r="AB338" i="1"/>
  <c r="S7" i="1"/>
  <c r="S206" i="1"/>
  <c r="S362" i="1"/>
  <c r="S232" i="1"/>
  <c r="AB85" i="1"/>
  <c r="AB240" i="1"/>
  <c r="AB259" i="1"/>
  <c r="AB92" i="1"/>
  <c r="AB125" i="1"/>
  <c r="S334" i="1"/>
  <c r="S36" i="1"/>
  <c r="S55" i="1"/>
  <c r="S117" i="1"/>
  <c r="S163" i="1"/>
  <c r="AB25" i="1"/>
  <c r="AB95" i="1"/>
  <c r="S219" i="1"/>
  <c r="AB268" i="1"/>
  <c r="S281" i="1"/>
  <c r="AB175" i="1"/>
  <c r="S116" i="1"/>
  <c r="S14" i="1"/>
  <c r="AB152" i="1"/>
  <c r="AB146" i="1"/>
  <c r="AB243" i="1"/>
  <c r="BB255" i="1"/>
  <c r="BD255" i="1"/>
  <c r="BF229" i="1"/>
  <c r="AY229" i="1"/>
  <c r="BB102" i="1"/>
  <c r="BD102" i="1"/>
  <c r="BE262" i="1"/>
  <c r="AZ262" i="1"/>
  <c r="BA134" i="1"/>
  <c r="AT134" i="1"/>
  <c r="AY8" i="1"/>
  <c r="AT8" i="1"/>
  <c r="AB136" i="1"/>
  <c r="S202" i="1"/>
  <c r="AB221" i="1"/>
  <c r="AB215" i="1"/>
  <c r="AB164" i="1"/>
  <c r="S20" i="1"/>
  <c r="AB98" i="1"/>
  <c r="AN382" i="1"/>
  <c r="AZ234" i="1"/>
  <c r="AU234" i="1"/>
  <c r="BC351" i="1"/>
  <c r="BE351" i="1"/>
  <c r="AV161" i="1"/>
  <c r="BB34" i="1"/>
  <c r="AV10" i="1"/>
  <c r="BE10" i="1"/>
  <c r="AU9" i="1"/>
  <c r="BD9" i="1"/>
  <c r="S32" i="1"/>
  <c r="AB223" i="1"/>
  <c r="AB22" i="1"/>
  <c r="S65" i="1"/>
  <c r="AW212" i="1"/>
  <c r="AX85" i="1"/>
  <c r="BE208" i="1"/>
  <c r="AV159" i="1"/>
  <c r="AV338" i="1"/>
  <c r="BB315" i="1"/>
  <c r="AT187" i="1"/>
  <c r="AX52" i="1"/>
  <c r="AY20" i="1"/>
  <c r="S222" i="1"/>
  <c r="AB298" i="1"/>
  <c r="S341" i="1"/>
  <c r="AB257" i="1"/>
  <c r="AB42" i="1"/>
  <c r="AN388" i="1"/>
  <c r="BC367" i="1"/>
  <c r="AY82" i="1"/>
  <c r="BB82" i="1"/>
  <c r="AZ89" i="1"/>
  <c r="BC89" i="1"/>
  <c r="AV56" i="1"/>
  <c r="AB52" i="1"/>
  <c r="AX224" i="1"/>
  <c r="AZ224" i="1"/>
  <c r="S311" i="1"/>
  <c r="S291" i="1"/>
  <c r="AV223" i="1"/>
  <c r="AZ213" i="1"/>
  <c r="BA86" i="1"/>
  <c r="AZ357" i="1"/>
  <c r="AU357" i="1"/>
  <c r="AY246" i="1"/>
  <c r="AU246" i="1"/>
  <c r="BA118" i="1"/>
  <c r="BC118" i="1"/>
  <c r="AT250" i="1"/>
  <c r="AT241" i="1"/>
  <c r="AX241" i="1"/>
  <c r="AN387" i="1"/>
  <c r="AB290" i="1"/>
  <c r="S93" i="1"/>
  <c r="S323" i="1"/>
  <c r="AB35" i="1"/>
  <c r="AB113" i="1"/>
  <c r="BC228" i="1"/>
  <c r="BE228" i="1"/>
  <c r="BA101" i="1"/>
  <c r="AU101" i="1"/>
  <c r="BD304" i="1"/>
  <c r="AT304" i="1"/>
  <c r="AZ247" i="1"/>
  <c r="BC247" i="1"/>
  <c r="BB317" i="1"/>
  <c r="AY317" i="1"/>
  <c r="AY361" i="1"/>
  <c r="BC361" i="1"/>
  <c r="BA171" i="1"/>
  <c r="AW5" i="1"/>
  <c r="AW4" i="1"/>
  <c r="S314" i="1"/>
  <c r="AB371" i="1"/>
  <c r="AB38" i="1"/>
  <c r="AB204" i="1"/>
  <c r="AB313" i="1"/>
  <c r="S115" i="1"/>
  <c r="S180" i="1"/>
  <c r="S316" i="1"/>
  <c r="AB216" i="1"/>
  <c r="AB364" i="1"/>
  <c r="AB138" i="1"/>
  <c r="AB77" i="1"/>
  <c r="AB184" i="1"/>
  <c r="S211" i="1"/>
  <c r="S132" i="1"/>
  <c r="S120" i="1"/>
  <c r="S128" i="1"/>
  <c r="S89" i="1"/>
  <c r="S187" i="1"/>
  <c r="AB245" i="1"/>
  <c r="AB270" i="1"/>
  <c r="AB301" i="1"/>
  <c r="S260" i="1"/>
  <c r="AB67" i="1"/>
  <c r="AB277" i="1"/>
  <c r="AN380" i="1"/>
  <c r="S141" i="1"/>
  <c r="S234" i="1"/>
  <c r="AB173" i="1"/>
  <c r="AB312" i="1"/>
  <c r="AB271" i="1"/>
  <c r="AB18" i="1"/>
  <c r="BA255" i="1"/>
  <c r="AU102" i="1"/>
  <c r="AW262" i="1"/>
  <c r="AZ134" i="1"/>
  <c r="BF8" i="1"/>
  <c r="AB254" i="1"/>
  <c r="AB178" i="1"/>
  <c r="AB143" i="1"/>
  <c r="AB309" i="1"/>
  <c r="S90" i="1"/>
  <c r="AN385" i="1"/>
  <c r="AX234" i="1"/>
  <c r="BB234" i="1"/>
  <c r="AT351" i="1"/>
  <c r="AV351" i="1"/>
  <c r="BD161" i="1"/>
  <c r="AT34" i="1"/>
  <c r="BC10" i="1"/>
  <c r="AW10" i="1"/>
  <c r="BB9" i="1"/>
  <c r="AV9" i="1"/>
  <c r="AB310" i="1"/>
  <c r="AB189" i="1"/>
  <c r="S160" i="1"/>
  <c r="AB203" i="1"/>
  <c r="AB193" i="1"/>
  <c r="S41" i="1"/>
  <c r="BB212" i="1"/>
  <c r="BE212" i="1"/>
  <c r="BC85" i="1"/>
  <c r="BE85" i="1"/>
  <c r="AV208" i="1"/>
  <c r="BD159" i="1"/>
  <c r="BD338" i="1"/>
  <c r="AY315" i="1"/>
  <c r="BE187" i="1"/>
  <c r="BF52" i="1"/>
  <c r="BF20" i="1"/>
  <c r="AB123" i="1"/>
  <c r="S225" i="1"/>
  <c r="AN384" i="1"/>
  <c r="AU367" i="1"/>
  <c r="AX82" i="1"/>
  <c r="AT82" i="1"/>
  <c r="AY89" i="1"/>
  <c r="AT89" i="1"/>
  <c r="BB56" i="1"/>
  <c r="AB286" i="1"/>
  <c r="AV224" i="1"/>
  <c r="AY224" i="1"/>
  <c r="AB321" i="1"/>
  <c r="S79" i="1"/>
  <c r="S255" i="1"/>
  <c r="AB235" i="1"/>
  <c r="AB74" i="1"/>
  <c r="BB223" i="1"/>
  <c r="AY213" i="1"/>
  <c r="AZ86" i="1"/>
  <c r="AY357" i="1"/>
  <c r="BC357" i="1"/>
  <c r="BF246" i="1"/>
  <c r="BB246" i="1"/>
  <c r="AZ118" i="1"/>
  <c r="AT118" i="1"/>
  <c r="BA250" i="1"/>
  <c r="BD241" i="1"/>
  <c r="BE241" i="1"/>
  <c r="AB269" i="1"/>
  <c r="S127" i="1"/>
  <c r="AB294" i="1"/>
  <c r="S183" i="1"/>
  <c r="S353" i="1"/>
  <c r="BA228" i="1"/>
  <c r="AW228" i="1"/>
  <c r="AY101" i="1"/>
  <c r="BC101" i="1"/>
  <c r="AU304" i="1"/>
  <c r="BB304" i="1"/>
  <c r="AY247" i="1"/>
  <c r="AT247" i="1"/>
  <c r="BE317" i="1"/>
  <c r="AX317" i="1"/>
  <c r="AX361" i="1"/>
  <c r="AT361" i="1"/>
  <c r="AZ171" i="1"/>
  <c r="BE5" i="1"/>
  <c r="BD4" i="1"/>
  <c r="AB280" i="1"/>
  <c r="S148" i="1"/>
  <c r="AB256" i="1"/>
  <c r="AB374" i="1"/>
  <c r="AB332" i="1"/>
  <c r="S231" i="1"/>
  <c r="AB53" i="1"/>
  <c r="S337" i="1"/>
  <c r="AB242" i="1"/>
  <c r="S159" i="1"/>
  <c r="S177" i="1"/>
  <c r="S190" i="1"/>
  <c r="AB340" i="1"/>
  <c r="S59" i="1"/>
  <c r="AB342" i="1"/>
  <c r="AB296" i="1"/>
  <c r="AB326" i="1"/>
  <c r="BC255" i="1"/>
  <c r="BB229" i="1"/>
  <c r="BE229" i="1"/>
  <c r="BA102" i="1"/>
  <c r="AW134" i="1"/>
  <c r="AX8" i="1"/>
  <c r="S246" i="1"/>
  <c r="AB162" i="1"/>
  <c r="AB284" i="1"/>
  <c r="S327" i="1"/>
  <c r="AW234" i="1"/>
  <c r="BA351" i="1"/>
  <c r="BF161" i="1"/>
  <c r="AU161" i="1"/>
  <c r="BF34" i="1"/>
  <c r="BA34" i="1"/>
  <c r="AU10" i="1"/>
  <c r="AZ9" i="1"/>
  <c r="S226" i="1"/>
  <c r="AB200" i="1"/>
  <c r="AB302" i="1"/>
  <c r="AB118" i="1"/>
  <c r="S157" i="1"/>
  <c r="AB329" i="1"/>
  <c r="S287" i="1"/>
  <c r="AT212" i="1"/>
  <c r="AV212" i="1"/>
  <c r="AT85" i="1"/>
  <c r="AV85" i="1"/>
  <c r="BD208" i="1"/>
  <c r="AU159" i="1"/>
  <c r="AU338" i="1"/>
  <c r="AX315" i="1"/>
  <c r="AV187" i="1"/>
  <c r="AW52" i="1"/>
  <c r="AW20" i="1"/>
  <c r="AB319" i="1"/>
  <c r="AB166" i="1"/>
  <c r="S15" i="1"/>
  <c r="S45" i="1"/>
  <c r="AB100" i="1"/>
  <c r="AB217" i="1"/>
  <c r="BB367" i="1"/>
  <c r="BF82" i="1"/>
  <c r="BA82" i="1"/>
  <c r="BF89" i="1"/>
  <c r="BB89" i="1"/>
  <c r="AT56" i="1"/>
  <c r="BE224" i="1"/>
  <c r="S366" i="1"/>
  <c r="AB63" i="1"/>
  <c r="S215" i="1"/>
  <c r="AB356" i="1"/>
  <c r="BA223" i="1"/>
  <c r="AX213" i="1"/>
  <c r="AY86" i="1"/>
  <c r="AX357" i="1"/>
  <c r="AT357" i="1"/>
  <c r="AX246" i="1"/>
  <c r="BA246" i="1"/>
  <c r="AX118" i="1"/>
  <c r="BB118" i="1"/>
  <c r="AZ250" i="1"/>
  <c r="BC241" i="1"/>
  <c r="AW241" i="1"/>
  <c r="AB199" i="1"/>
  <c r="S119" i="1"/>
  <c r="AB372" i="1"/>
  <c r="AB275" i="1"/>
  <c r="S60" i="1"/>
  <c r="AT228" i="1"/>
  <c r="BD228" i="1"/>
  <c r="AZ101" i="1"/>
  <c r="AT101" i="1"/>
  <c r="AY304" i="1"/>
  <c r="BA304" i="1"/>
  <c r="BF247" i="1"/>
  <c r="BB247" i="1"/>
  <c r="AV317" i="1"/>
  <c r="BF317" i="1"/>
  <c r="BF361" i="1"/>
  <c r="BA361" i="1"/>
  <c r="AY171" i="1"/>
  <c r="AV5" i="1"/>
  <c r="AU4" i="1"/>
  <c r="AB293" i="1"/>
  <c r="S140" i="1"/>
  <c r="AB345" i="1"/>
  <c r="T361" i="1"/>
  <c r="S176" i="1"/>
  <c r="S254" i="1"/>
  <c r="S195" i="1"/>
  <c r="AB21" i="1"/>
  <c r="S8" i="1"/>
  <c r="S153" i="1"/>
  <c r="S50" i="1"/>
  <c r="AB129" i="1"/>
  <c r="AB39" i="1"/>
  <c r="AB236" i="1"/>
  <c r="S46" i="1"/>
  <c r="AU255" i="1"/>
  <c r="BD229" i="1"/>
  <c r="AX229" i="1"/>
  <c r="AZ102" i="1"/>
  <c r="AK390" i="1"/>
  <c r="AB47" i="1"/>
  <c r="AB76" i="1"/>
  <c r="AN376" i="1"/>
  <c r="AZ255" i="1"/>
  <c r="BC102" i="1"/>
  <c r="BD262" i="1"/>
  <c r="AB359" i="1"/>
  <c r="AB135" i="1"/>
  <c r="AB75" i="1"/>
  <c r="AN378" i="1"/>
  <c r="AY255" i="1"/>
  <c r="AT255" i="1"/>
  <c r="AZ229" i="1"/>
  <c r="AV229" i="1"/>
  <c r="AY102" i="1"/>
  <c r="AT102" i="1"/>
  <c r="AV262" i="1"/>
  <c r="AY134" i="1"/>
  <c r="BE8" i="1"/>
  <c r="AB305" i="1"/>
  <c r="AB333" i="1"/>
  <c r="AB324" i="1"/>
  <c r="AB94" i="1"/>
  <c r="S315" i="1"/>
  <c r="S249" i="1"/>
  <c r="AB105" i="1"/>
  <c r="AT234" i="1"/>
  <c r="AZ351" i="1"/>
  <c r="AZ161" i="1"/>
  <c r="BC161" i="1"/>
  <c r="AW34" i="1"/>
  <c r="AZ34" i="1"/>
  <c r="BA10" i="1"/>
  <c r="AY9" i="1"/>
  <c r="AB154" i="1"/>
  <c r="AB262" i="1"/>
  <c r="AB263" i="1"/>
  <c r="S369" i="1"/>
  <c r="S108" i="1"/>
  <c r="AN381" i="1"/>
  <c r="BA212" i="1"/>
  <c r="BC212" i="1"/>
  <c r="BB85" i="1"/>
  <c r="BD85" i="1"/>
  <c r="AZ208" i="1"/>
  <c r="AU208" i="1"/>
  <c r="BF159" i="1"/>
  <c r="BA159" i="1"/>
  <c r="AY338" i="1"/>
  <c r="BB338" i="1"/>
  <c r="BA315" i="1"/>
  <c r="BF315" i="1"/>
  <c r="BF187" i="1"/>
  <c r="BD187" i="1"/>
  <c r="BA52" i="1"/>
  <c r="BE52" i="1"/>
  <c r="BC20" i="1"/>
  <c r="BE20" i="1"/>
  <c r="S170" i="1"/>
  <c r="AB142" i="1"/>
  <c r="S218" i="1"/>
  <c r="AB365" i="1"/>
  <c r="AB267" i="1"/>
  <c r="AB68" i="1"/>
  <c r="AT367" i="1"/>
  <c r="AW82" i="1"/>
  <c r="AZ82" i="1"/>
  <c r="AW89" i="1"/>
  <c r="BA89" i="1"/>
  <c r="AZ56" i="1"/>
  <c r="AW224" i="1"/>
  <c r="AB264" i="1"/>
  <c r="AB31" i="1"/>
  <c r="S186" i="1"/>
  <c r="AB331" i="1"/>
  <c r="BE223" i="1"/>
  <c r="AZ223" i="1"/>
  <c r="BC213" i="1"/>
  <c r="BF213" i="1"/>
  <c r="BD86" i="1"/>
  <c r="BF86" i="1"/>
  <c r="BF357" i="1"/>
  <c r="BE246" i="1"/>
  <c r="AY118" i="1"/>
  <c r="AV250" i="1"/>
  <c r="AY250" i="1"/>
  <c r="BB241" i="1"/>
  <c r="AB198" i="1"/>
  <c r="S213" i="1"/>
  <c r="S201" i="1"/>
  <c r="AN379" i="1"/>
  <c r="BB228" i="1"/>
  <c r="AU228" i="1"/>
  <c r="BF101" i="1"/>
  <c r="BB101" i="1"/>
  <c r="BF304" i="1"/>
  <c r="AZ304" i="1"/>
  <c r="AX247" i="1"/>
  <c r="BA247" i="1"/>
  <c r="BD317" i="1"/>
  <c r="AW317" i="1"/>
  <c r="AW361" i="1"/>
  <c r="AZ361" i="1"/>
  <c r="AX171" i="1"/>
  <c r="BC5" i="1"/>
  <c r="BC4" i="1"/>
  <c r="AB285" i="1"/>
  <c r="AB124" i="1"/>
  <c r="AB322" i="1"/>
  <c r="AB12" i="1"/>
  <c r="S250" i="1"/>
  <c r="AB357" i="1"/>
  <c r="S174" i="1"/>
  <c r="AB261" i="1"/>
  <c r="AB212" i="1"/>
  <c r="AB367" i="1"/>
  <c r="AB352" i="1"/>
  <c r="S126" i="1"/>
  <c r="AB214" i="1"/>
  <c r="S181" i="1"/>
  <c r="S179" i="1"/>
  <c r="AB147" i="1"/>
  <c r="AB34" i="1"/>
  <c r="AB355" i="1"/>
  <c r="AB80" i="1"/>
  <c r="AB30" i="1"/>
  <c r="S107" i="1"/>
  <c r="S137" i="1"/>
  <c r="S248" i="1"/>
  <c r="S83" i="1"/>
  <c r="AB320" i="1"/>
  <c r="AB317" i="1"/>
  <c r="S220" i="1"/>
  <c r="AB69" i="1"/>
  <c r="AB233" i="1"/>
  <c r="AB360" i="1"/>
  <c r="S328" i="1"/>
  <c r="AU212" i="1"/>
  <c r="AU85" i="1"/>
  <c r="AY208" i="1"/>
  <c r="BB159" i="1"/>
  <c r="AX338" i="1"/>
  <c r="AT338" i="1"/>
  <c r="AW315" i="1"/>
  <c r="BB187" i="1"/>
  <c r="AU187" i="1"/>
  <c r="BB52" i="1"/>
  <c r="AV52" i="1"/>
  <c r="AZ20" i="1"/>
  <c r="AV20" i="1"/>
  <c r="BE367" i="1"/>
  <c r="BA367" i="1"/>
  <c r="BD82" i="1"/>
  <c r="BE89" i="1"/>
  <c r="AU56" i="1"/>
  <c r="AY56" i="1"/>
  <c r="BC224" i="1"/>
  <c r="AB62" i="1"/>
  <c r="AB358" i="1"/>
  <c r="S51" i="1"/>
  <c r="AB57" i="1"/>
  <c r="BC223" i="1"/>
  <c r="AY223" i="1"/>
  <c r="AU213" i="1"/>
  <c r="AW213" i="1"/>
  <c r="AU86" i="1"/>
  <c r="AX86" i="1"/>
  <c r="AW357" i="1"/>
  <c r="AW246" i="1"/>
  <c r="BE118" i="1"/>
  <c r="AU250" i="1"/>
  <c r="AX250" i="1"/>
  <c r="BA241" i="1"/>
  <c r="AB64" i="1"/>
  <c r="AB273" i="1"/>
  <c r="AB348" i="1"/>
  <c r="S169" i="1"/>
  <c r="AZ228" i="1"/>
  <c r="AX101" i="1"/>
  <c r="AW304" i="1"/>
  <c r="BE247" i="1"/>
  <c r="AU317" i="1"/>
  <c r="BE361" i="1"/>
  <c r="BD171" i="1"/>
  <c r="BF171" i="1"/>
  <c r="AZ5" i="1"/>
  <c r="AU5" i="1"/>
  <c r="BE4" i="1"/>
  <c r="AT4" i="1"/>
  <c r="S167" i="1"/>
  <c r="AB241" i="1"/>
  <c r="AN383" i="1"/>
  <c r="S274" i="1"/>
  <c r="S28" i="1"/>
  <c r="S282" i="1"/>
  <c r="S227" i="1"/>
  <c r="AB295" i="1"/>
  <c r="AB253" i="1"/>
  <c r="AB343" i="1"/>
  <c r="AB300" i="1"/>
  <c r="S265" i="1"/>
  <c r="S122" i="1"/>
  <c r="S81" i="1"/>
  <c r="S44" i="1"/>
  <c r="S208" i="1"/>
  <c r="S66" i="1"/>
  <c r="S197" i="1"/>
  <c r="AB363" i="1"/>
  <c r="AB299" i="1"/>
  <c r="S111" i="1"/>
  <c r="S112" i="1"/>
  <c r="S97" i="1"/>
  <c r="AY234" i="1"/>
  <c r="AY351" i="1"/>
  <c r="AW161" i="1"/>
  <c r="AT161" i="1"/>
  <c r="BE34" i="1"/>
  <c r="AY34" i="1"/>
  <c r="AZ10" i="1"/>
  <c r="BF9" i="1"/>
  <c r="S104" i="1"/>
  <c r="S351" i="1"/>
  <c r="AB230" i="1"/>
  <c r="AB86" i="1"/>
  <c r="AB109" i="1"/>
  <c r="AN377" i="1"/>
  <c r="AZ212" i="1"/>
  <c r="BA85" i="1"/>
  <c r="BC208" i="1"/>
  <c r="AZ159" i="1"/>
  <c r="BD315" i="1"/>
  <c r="AB151" i="1"/>
  <c r="S306" i="1"/>
  <c r="AB106" i="1"/>
  <c r="AX255" i="1"/>
  <c r="AU229" i="1"/>
  <c r="AW102" i="1"/>
  <c r="BF262" i="1"/>
  <c r="AT262" i="1"/>
  <c r="BF134" i="1"/>
  <c r="BD134" i="1"/>
  <c r="AZ8" i="1"/>
  <c r="BD8" i="1"/>
  <c r="AB87" i="1"/>
  <c r="AB54" i="1"/>
  <c r="AB61" i="1"/>
  <c r="S207" i="1"/>
  <c r="AB131" i="1"/>
  <c r="BE234" i="1"/>
  <c r="AX351" i="1"/>
  <c r="AY161" i="1"/>
  <c r="BA161" i="1"/>
  <c r="AV34" i="1"/>
  <c r="AX34" i="1"/>
  <c r="AY10" i="1"/>
  <c r="AX9" i="1"/>
  <c r="AB96" i="1"/>
  <c r="S336" i="1"/>
  <c r="S349" i="1"/>
  <c r="S138" i="1"/>
  <c r="AB101" i="1"/>
  <c r="AB297" i="1"/>
  <c r="AY212" i="1"/>
  <c r="AZ85" i="1"/>
  <c r="AX208" i="1"/>
  <c r="AT208" i="1"/>
  <c r="AW159" i="1"/>
  <c r="AY159" i="1"/>
  <c r="BF338" i="1"/>
  <c r="BA338" i="1"/>
  <c r="AU315" i="1"/>
  <c r="BE315" i="1"/>
  <c r="AZ187" i="1"/>
  <c r="BA187" i="1"/>
  <c r="AZ52" i="1"/>
  <c r="BD52" i="1"/>
  <c r="AX20" i="1"/>
  <c r="BD20" i="1"/>
  <c r="AB185" i="1"/>
  <c r="AB71" i="1"/>
  <c r="AB347" i="1"/>
  <c r="S149" i="1"/>
  <c r="S276" i="1"/>
  <c r="AB171" i="1"/>
  <c r="AB99" i="1"/>
  <c r="AW367" i="1"/>
  <c r="AZ367" i="1"/>
  <c r="AV82" i="1"/>
  <c r="AV89" i="1"/>
  <c r="BD56" i="1"/>
  <c r="AX56" i="1"/>
  <c r="AT224" i="1"/>
  <c r="AB288" i="1"/>
  <c r="AB33" i="1"/>
  <c r="AW223" i="1"/>
  <c r="BF223" i="1"/>
  <c r="BB213" i="1"/>
  <c r="BE213" i="1"/>
  <c r="BC86" i="1"/>
  <c r="BE86" i="1"/>
  <c r="BE357" i="1"/>
  <c r="BD246" i="1"/>
  <c r="AW118" i="1"/>
  <c r="BE250" i="1"/>
  <c r="BF250" i="1"/>
  <c r="AZ241" i="1"/>
  <c r="S48" i="1"/>
  <c r="S335" i="1"/>
  <c r="AB158" i="1"/>
  <c r="AB370" i="1"/>
  <c r="AB145" i="1"/>
  <c r="AY228" i="1"/>
  <c r="BE101" i="1"/>
  <c r="BE304" i="1"/>
  <c r="AV247" i="1"/>
  <c r="BC317" i="1"/>
  <c r="AV361" i="1"/>
  <c r="BC171" i="1"/>
  <c r="AW171" i="1"/>
  <c r="AX5" i="1"/>
  <c r="BB5" i="1"/>
  <c r="AX4" i="1"/>
  <c r="BB4" i="1"/>
  <c r="S165" i="1"/>
  <c r="AN139" i="1"/>
  <c r="AN386" i="1"/>
  <c r="S350" i="1"/>
  <c r="S5" i="1"/>
  <c r="S84" i="1"/>
  <c r="S223" i="1"/>
  <c r="AB103" i="1"/>
  <c r="S304" i="1"/>
  <c r="AB182" i="1"/>
  <c r="S161" i="1"/>
  <c r="S49" i="1"/>
  <c r="AB13" i="1"/>
  <c r="S10" i="1"/>
  <c r="S31" i="1"/>
  <c r="S86" i="1"/>
  <c r="BF29" i="1"/>
  <c r="BD29" i="1"/>
  <c r="AZ327" i="1"/>
  <c r="BB29" i="1"/>
  <c r="AU29" i="1"/>
  <c r="AX327" i="1"/>
  <c r="AZ29" i="1"/>
  <c r="BC29" i="1"/>
  <c r="BE327" i="1"/>
  <c r="AW29" i="1"/>
  <c r="AT29" i="1"/>
  <c r="AW327" i="1"/>
  <c r="BA29" i="1"/>
  <c r="AY327" i="1"/>
  <c r="BD327" i="1"/>
  <c r="AX29" i="1"/>
  <c r="BB327" i="1"/>
  <c r="AV327" i="1"/>
  <c r="BE29" i="1"/>
  <c r="AT327" i="1"/>
  <c r="BC327" i="1"/>
  <c r="AZ267" i="1"/>
  <c r="AT294" i="1"/>
  <c r="AV294" i="1"/>
  <c r="AV23" i="1"/>
  <c r="AZ57" i="1"/>
  <c r="BE57" i="1"/>
  <c r="AY57" i="1"/>
  <c r="BA57" i="1"/>
  <c r="BF57" i="1"/>
  <c r="AV57" i="1"/>
  <c r="AW57" i="1"/>
  <c r="AU57" i="1"/>
  <c r="BB57" i="1"/>
  <c r="AT57" i="1"/>
  <c r="AX267" i="1"/>
  <c r="BC267" i="1"/>
  <c r="BE267" i="1"/>
  <c r="BB267" i="1"/>
  <c r="AW267" i="1"/>
  <c r="AT267" i="1"/>
  <c r="BD267" i="1"/>
  <c r="BA267" i="1"/>
  <c r="AU267" i="1"/>
  <c r="AY267" i="1"/>
  <c r="BF267" i="1"/>
  <c r="BB294" i="1"/>
  <c r="BD294" i="1"/>
  <c r="BE23" i="1"/>
  <c r="AZ294" i="1"/>
  <c r="AU294" i="1"/>
  <c r="AW23" i="1"/>
  <c r="AY294" i="1"/>
  <c r="BC23" i="1"/>
  <c r="AX294" i="1"/>
  <c r="BF23" i="1"/>
  <c r="AT23" i="1"/>
  <c r="BF294" i="1"/>
  <c r="BD23" i="1"/>
  <c r="BA23" i="1"/>
  <c r="AW294" i="1"/>
  <c r="BB23" i="1"/>
  <c r="AZ23" i="1"/>
  <c r="BC294" i="1"/>
  <c r="BE294" i="1"/>
  <c r="AX23" i="1"/>
  <c r="AY23" i="1"/>
  <c r="AX36" i="1"/>
  <c r="BE36" i="1"/>
  <c r="AV36" i="1"/>
  <c r="BD36" i="1"/>
  <c r="BA36" i="1"/>
  <c r="AU36" i="1"/>
  <c r="AZ36" i="1"/>
  <c r="BC36" i="1"/>
  <c r="AY36" i="1"/>
  <c r="AT36" i="1"/>
  <c r="BF36" i="1"/>
  <c r="BB36" i="1"/>
  <c r="Z390" i="1"/>
  <c r="P390" i="1"/>
  <c r="AB394" i="1"/>
  <c r="AB393" i="1"/>
  <c r="E15" i="5" s="1"/>
  <c r="C4" i="5"/>
  <c r="AC394" i="1" l="1"/>
  <c r="AN209" i="1"/>
  <c r="T72" i="1"/>
  <c r="AP387" i="1"/>
  <c r="AN26" i="1"/>
  <c r="AB228" i="1"/>
  <c r="AN228" i="1" s="1"/>
  <c r="AN134" i="1"/>
  <c r="AP385" i="1"/>
  <c r="AB272" i="1"/>
  <c r="T130" i="1"/>
  <c r="AP318" i="1"/>
  <c r="AN24" i="1"/>
  <c r="AN192" i="1"/>
  <c r="AB188" i="1"/>
  <c r="AN188" i="1" s="1"/>
  <c r="AP239" i="1"/>
  <c r="AP381" i="1"/>
  <c r="AN114" i="1"/>
  <c r="AB17" i="1"/>
  <c r="AN17" i="1" s="1"/>
  <c r="AP384" i="1"/>
  <c r="AP27" i="1"/>
  <c r="AB361" i="1"/>
  <c r="AN361" i="1" s="1"/>
  <c r="AP378" i="1"/>
  <c r="AP251" i="1"/>
  <c r="AP78" i="1"/>
  <c r="AP382" i="1"/>
  <c r="AP279" i="1"/>
  <c r="AP388" i="1"/>
  <c r="AP155" i="1"/>
  <c r="AP247" i="1"/>
  <c r="AP380" i="1"/>
  <c r="AB252" i="1"/>
  <c r="AN252" i="1" s="1"/>
  <c r="AP210" i="1"/>
  <c r="AP191" i="1"/>
  <c r="AP40" i="1"/>
  <c r="AP244" i="1"/>
  <c r="AP9" i="1"/>
  <c r="AB330" i="1"/>
  <c r="AN330" i="1" s="1"/>
  <c r="AP386" i="1"/>
  <c r="AB88" i="1"/>
  <c r="AN88" i="1" s="1"/>
  <c r="AP289" i="1"/>
  <c r="AP194" i="1"/>
  <c r="AP23" i="1"/>
  <c r="AB156" i="1"/>
  <c r="AN156" i="1" s="1"/>
  <c r="AB70" i="1"/>
  <c r="AN70" i="1" s="1"/>
  <c r="AP70" i="1" s="1"/>
  <c r="AP82" i="1"/>
  <c r="AP376" i="1"/>
  <c r="AP379" i="1"/>
  <c r="AP209" i="1"/>
  <c r="T328" i="1"/>
  <c r="T248" i="1"/>
  <c r="AN34" i="1"/>
  <c r="T181" i="1"/>
  <c r="AN357" i="1"/>
  <c r="AN124" i="1"/>
  <c r="AN302" i="1"/>
  <c r="T327" i="1"/>
  <c r="AN164" i="1"/>
  <c r="AN146" i="1"/>
  <c r="AN238" i="1"/>
  <c r="T31" i="1"/>
  <c r="AN182" i="1"/>
  <c r="T276" i="1"/>
  <c r="AN151" i="1"/>
  <c r="AN198" i="1"/>
  <c r="AN331" i="1"/>
  <c r="AN236" i="1"/>
  <c r="T50" i="1"/>
  <c r="AN21" i="1"/>
  <c r="AN356" i="1"/>
  <c r="T287" i="1"/>
  <c r="AN342" i="1"/>
  <c r="AN53" i="1"/>
  <c r="AN256" i="1"/>
  <c r="AN286" i="1"/>
  <c r="AN189" i="1"/>
  <c r="T90" i="1"/>
  <c r="AN178" i="1"/>
  <c r="T323" i="1"/>
  <c r="T311" i="1"/>
  <c r="T222" i="1"/>
  <c r="AN307" i="1"/>
  <c r="AN4" i="1"/>
  <c r="AN237" i="1"/>
  <c r="AN258" i="1"/>
  <c r="AN344" i="1"/>
  <c r="T33" i="1"/>
  <c r="T11" i="1"/>
  <c r="T60" i="1"/>
  <c r="T183" i="1"/>
  <c r="AN42" i="1"/>
  <c r="T84" i="1"/>
  <c r="T48" i="1"/>
  <c r="AN33" i="1"/>
  <c r="AN297" i="1"/>
  <c r="T349" i="1"/>
  <c r="T207" i="1"/>
  <c r="T351" i="1"/>
  <c r="T112" i="1"/>
  <c r="T197" i="1"/>
  <c r="T81" i="1"/>
  <c r="AN343" i="1"/>
  <c r="T282" i="1"/>
  <c r="AN241" i="1"/>
  <c r="AN64" i="1"/>
  <c r="AN57" i="1"/>
  <c r="AN360" i="1"/>
  <c r="AN317" i="1"/>
  <c r="T137" i="1"/>
  <c r="AN355" i="1"/>
  <c r="AN147" i="1"/>
  <c r="AN214" i="1"/>
  <c r="AN212" i="1"/>
  <c r="T250" i="1"/>
  <c r="AN285" i="1"/>
  <c r="AN365" i="1"/>
  <c r="AN263" i="1"/>
  <c r="AN105" i="1"/>
  <c r="AN324" i="1"/>
  <c r="AN275" i="1"/>
  <c r="AN217" i="1"/>
  <c r="AN166" i="1"/>
  <c r="AN200" i="1"/>
  <c r="AN284" i="1"/>
  <c r="AN294" i="1"/>
  <c r="T41" i="1"/>
  <c r="AN312" i="1"/>
  <c r="T260" i="1"/>
  <c r="AN245" i="1"/>
  <c r="T89" i="1"/>
  <c r="T211" i="1"/>
  <c r="AN138" i="1"/>
  <c r="T180" i="1"/>
  <c r="AN38" i="1"/>
  <c r="AN257" i="1"/>
  <c r="AN215" i="1"/>
  <c r="AN152" i="1"/>
  <c r="T281" i="1"/>
  <c r="AN95" i="1"/>
  <c r="T55" i="1"/>
  <c r="T334" i="1"/>
  <c r="AN240" i="1"/>
  <c r="T206" i="1"/>
  <c r="AN133" i="1"/>
  <c r="T121" i="1"/>
  <c r="AN196" i="1"/>
  <c r="T138" i="1"/>
  <c r="AN131" i="1"/>
  <c r="T44" i="1"/>
  <c r="AN300" i="1"/>
  <c r="T227" i="1"/>
  <c r="AN273" i="1"/>
  <c r="AN62" i="1"/>
  <c r="T220" i="1"/>
  <c r="AN80" i="1"/>
  <c r="AN367" i="1"/>
  <c r="T15" i="1"/>
  <c r="T362" i="1"/>
  <c r="AN338" i="1"/>
  <c r="T168" i="1"/>
  <c r="AP308" i="1"/>
  <c r="AP377" i="1"/>
  <c r="T149" i="1"/>
  <c r="AN106" i="1"/>
  <c r="AP325" i="1"/>
  <c r="T186" i="1"/>
  <c r="AN75" i="1"/>
  <c r="T153" i="1"/>
  <c r="T195" i="1"/>
  <c r="AN345" i="1"/>
  <c r="T215" i="1"/>
  <c r="AN329" i="1"/>
  <c r="T59" i="1"/>
  <c r="T177" i="1"/>
  <c r="T231" i="1"/>
  <c r="T148" i="1"/>
  <c r="T255" i="1"/>
  <c r="T225" i="1"/>
  <c r="AN310" i="1"/>
  <c r="AN309" i="1"/>
  <c r="AN254" i="1"/>
  <c r="T93" i="1"/>
  <c r="T102" i="1"/>
  <c r="T144" i="1"/>
  <c r="AN224" i="1"/>
  <c r="T35" i="1"/>
  <c r="T172" i="1"/>
  <c r="AN278" i="1"/>
  <c r="AN283" i="1"/>
  <c r="T73" i="1"/>
  <c r="AN154" i="1"/>
  <c r="AN47" i="1"/>
  <c r="AN271" i="1"/>
  <c r="T141" i="1"/>
  <c r="AN67" i="1"/>
  <c r="T187" i="1"/>
  <c r="T132" i="1"/>
  <c r="T316" i="1"/>
  <c r="AN204" i="1"/>
  <c r="AN136" i="1"/>
  <c r="AN175" i="1"/>
  <c r="T219" i="1"/>
  <c r="T117" i="1"/>
  <c r="T36" i="1"/>
  <c r="AN259" i="1"/>
  <c r="AN13" i="1"/>
  <c r="T304" i="1"/>
  <c r="T5" i="1"/>
  <c r="AP139" i="1"/>
  <c r="AN145" i="1"/>
  <c r="AP37" i="1"/>
  <c r="AB19" i="1"/>
  <c r="AN370" i="1"/>
  <c r="AN101" i="1"/>
  <c r="T336" i="1"/>
  <c r="AN61" i="1"/>
  <c r="AN109" i="1"/>
  <c r="T104" i="1"/>
  <c r="T111" i="1"/>
  <c r="T66" i="1"/>
  <c r="T122" i="1"/>
  <c r="AN253" i="1"/>
  <c r="T28" i="1"/>
  <c r="T167" i="1"/>
  <c r="T169" i="1"/>
  <c r="T51" i="1"/>
  <c r="AN233" i="1"/>
  <c r="AN320" i="1"/>
  <c r="T107" i="1"/>
  <c r="T126" i="1"/>
  <c r="AN261" i="1"/>
  <c r="AN12" i="1"/>
  <c r="AN68" i="1"/>
  <c r="T218" i="1"/>
  <c r="T249" i="1"/>
  <c r="AN333" i="1"/>
  <c r="AN372" i="1"/>
  <c r="AN100" i="1"/>
  <c r="AN319" i="1"/>
  <c r="T157" i="1"/>
  <c r="T226" i="1"/>
  <c r="AN162" i="1"/>
  <c r="T127" i="1"/>
  <c r="T79" i="1"/>
  <c r="AN193" i="1"/>
  <c r="AN173" i="1"/>
  <c r="AN277" i="1"/>
  <c r="AN301" i="1"/>
  <c r="T128" i="1"/>
  <c r="AN184" i="1"/>
  <c r="AN364" i="1"/>
  <c r="T115" i="1"/>
  <c r="AN371" i="1"/>
  <c r="T341" i="1"/>
  <c r="T65" i="1"/>
  <c r="AN223" i="1"/>
  <c r="AN98" i="1"/>
  <c r="AN221" i="1"/>
  <c r="T14" i="1"/>
  <c r="AN25" i="1"/>
  <c r="AN125" i="1"/>
  <c r="AN85" i="1"/>
  <c r="T7" i="1"/>
  <c r="AN266" i="1"/>
  <c r="AN43" i="1"/>
  <c r="T335" i="1"/>
  <c r="T170" i="1"/>
  <c r="T369" i="1"/>
  <c r="AN94" i="1"/>
  <c r="AP383" i="1"/>
  <c r="T10" i="1"/>
  <c r="T350" i="1"/>
  <c r="AN99" i="1"/>
  <c r="AN347" i="1"/>
  <c r="T201" i="1"/>
  <c r="AN31" i="1"/>
  <c r="AN135" i="1"/>
  <c r="AN39" i="1"/>
  <c r="T254" i="1"/>
  <c r="T140" i="1"/>
  <c r="AN63" i="1"/>
  <c r="AN340" i="1"/>
  <c r="T159" i="1"/>
  <c r="T337" i="1"/>
  <c r="AN332" i="1"/>
  <c r="AN280" i="1"/>
  <c r="AN269" i="1"/>
  <c r="AN74" i="1"/>
  <c r="AN123" i="1"/>
  <c r="AN203" i="1"/>
  <c r="T314" i="1"/>
  <c r="AN113" i="1"/>
  <c r="AN150" i="1"/>
  <c r="AN110" i="1"/>
  <c r="AN29" i="1"/>
  <c r="AN303" i="1"/>
  <c r="AN56" i="1"/>
  <c r="AN354" i="1"/>
  <c r="T6" i="1"/>
  <c r="AN288" i="1"/>
  <c r="AN185" i="1"/>
  <c r="AN87" i="1"/>
  <c r="AN230" i="1"/>
  <c r="AN363" i="1"/>
  <c r="T49" i="1"/>
  <c r="AN103" i="1"/>
  <c r="T165" i="1"/>
  <c r="AN158" i="1"/>
  <c r="AN96" i="1"/>
  <c r="AN54" i="1"/>
  <c r="AN86" i="1"/>
  <c r="T97" i="1"/>
  <c r="AN299" i="1"/>
  <c r="T208" i="1"/>
  <c r="T265" i="1"/>
  <c r="AN295" i="1"/>
  <c r="T274" i="1"/>
  <c r="T205" i="1"/>
  <c r="AN348" i="1"/>
  <c r="AN358" i="1"/>
  <c r="AN69" i="1"/>
  <c r="T83" i="1"/>
  <c r="AN30" i="1"/>
  <c r="T179" i="1"/>
  <c r="AN352" i="1"/>
  <c r="T174" i="1"/>
  <c r="AN322" i="1"/>
  <c r="AN267" i="1"/>
  <c r="AN142" i="1"/>
  <c r="T108" i="1"/>
  <c r="AN262" i="1"/>
  <c r="T315" i="1"/>
  <c r="AN305" i="1"/>
  <c r="AN76" i="1"/>
  <c r="T119" i="1"/>
  <c r="T45" i="1"/>
  <c r="AN118" i="1"/>
  <c r="T246" i="1"/>
  <c r="AN326" i="1"/>
  <c r="T353" i="1"/>
  <c r="AN321" i="1"/>
  <c r="AN18" i="1"/>
  <c r="T234" i="1"/>
  <c r="AN270" i="1"/>
  <c r="T120" i="1"/>
  <c r="AN77" i="1"/>
  <c r="AN216" i="1"/>
  <c r="AN313" i="1"/>
  <c r="AN52" i="1"/>
  <c r="AN22" i="1"/>
  <c r="T32" i="1"/>
  <c r="T20" i="1"/>
  <c r="T202" i="1"/>
  <c r="AN243" i="1"/>
  <c r="T116" i="1"/>
  <c r="AN268" i="1"/>
  <c r="T163" i="1"/>
  <c r="AB339" i="1"/>
  <c r="AN92" i="1"/>
  <c r="T232" i="1"/>
  <c r="T346" i="1"/>
  <c r="AN16" i="1"/>
  <c r="T86" i="1"/>
  <c r="T161" i="1"/>
  <c r="T223" i="1"/>
  <c r="AN171" i="1"/>
  <c r="AN71" i="1"/>
  <c r="T306" i="1"/>
  <c r="T213" i="1"/>
  <c r="AN264" i="1"/>
  <c r="AN359" i="1"/>
  <c r="T46" i="1"/>
  <c r="AN129" i="1"/>
  <c r="T8" i="1"/>
  <c r="T176" i="1"/>
  <c r="AN293" i="1"/>
  <c r="AN199" i="1"/>
  <c r="T366" i="1"/>
  <c r="AN296" i="1"/>
  <c r="T190" i="1"/>
  <c r="AN242" i="1"/>
  <c r="AN374" i="1"/>
  <c r="AN235" i="1"/>
  <c r="T160" i="1"/>
  <c r="AN143" i="1"/>
  <c r="AN35" i="1"/>
  <c r="AN290" i="1"/>
  <c r="T291" i="1"/>
  <c r="AN298" i="1"/>
  <c r="AN368" i="1"/>
  <c r="T91" i="1"/>
  <c r="T229" i="1"/>
  <c r="AN58" i="1"/>
  <c r="AN169" i="1"/>
  <c r="AN292" i="1"/>
  <c r="S390" i="1"/>
  <c r="AB395" i="1"/>
  <c r="AB72" i="1" l="1"/>
  <c r="AN72" i="1" s="1"/>
  <c r="AP72" i="1" s="1"/>
  <c r="AN272" i="1"/>
  <c r="AP134" i="1"/>
  <c r="AB130" i="1"/>
  <c r="AN130" i="1" s="1"/>
  <c r="AP130" i="1" s="1"/>
  <c r="AP26" i="1"/>
  <c r="AP24" i="1"/>
  <c r="AP192" i="1"/>
  <c r="AP114" i="1"/>
  <c r="AP88" i="1"/>
  <c r="AP156" i="1"/>
  <c r="AP228" i="1"/>
  <c r="AP330" i="1"/>
  <c r="AP310" i="1"/>
  <c r="AB231" i="1"/>
  <c r="AP138" i="1"/>
  <c r="AB260" i="1"/>
  <c r="AP294" i="1"/>
  <c r="AP217" i="1"/>
  <c r="AP361" i="1"/>
  <c r="AB84" i="1"/>
  <c r="AP4" i="1"/>
  <c r="AB5" i="1"/>
  <c r="AB229" i="1"/>
  <c r="AP298" i="1"/>
  <c r="AP199" i="1"/>
  <c r="AP129" i="1"/>
  <c r="AP76" i="1"/>
  <c r="AB108" i="1"/>
  <c r="AB174" i="1"/>
  <c r="AB83" i="1"/>
  <c r="AB208" i="1"/>
  <c r="AP54" i="1"/>
  <c r="AP113" i="1"/>
  <c r="AP74" i="1"/>
  <c r="AB140" i="1"/>
  <c r="AP31" i="1"/>
  <c r="AB350" i="1"/>
  <c r="AB336" i="1"/>
  <c r="AP370" i="1"/>
  <c r="AB219" i="1"/>
  <c r="AB316" i="1"/>
  <c r="AP67" i="1"/>
  <c r="AP154" i="1"/>
  <c r="AP278" i="1"/>
  <c r="AP224" i="1"/>
  <c r="AB168" i="1"/>
  <c r="AP62" i="1"/>
  <c r="AB44" i="1"/>
  <c r="AB121" i="1"/>
  <c r="AB334" i="1"/>
  <c r="AP152" i="1"/>
  <c r="AP257" i="1"/>
  <c r="AP263" i="1"/>
  <c r="AP285" i="1"/>
  <c r="AP147" i="1"/>
  <c r="AP360" i="1"/>
  <c r="AB282" i="1"/>
  <c r="AB112" i="1"/>
  <c r="AP297" i="1"/>
  <c r="AP189" i="1"/>
  <c r="AP256" i="1"/>
  <c r="AB287" i="1"/>
  <c r="AP236" i="1"/>
  <c r="AP151" i="1"/>
  <c r="AB327" i="1"/>
  <c r="AB181" i="1"/>
  <c r="AB335" i="1"/>
  <c r="AP85" i="1"/>
  <c r="AB65" i="1"/>
  <c r="AP364" i="1"/>
  <c r="AP301" i="1"/>
  <c r="AB79" i="1"/>
  <c r="AB157" i="1"/>
  <c r="AB218" i="1"/>
  <c r="AB111" i="1"/>
  <c r="AP235" i="1"/>
  <c r="AB190" i="1"/>
  <c r="AB213" i="1"/>
  <c r="AP171" i="1"/>
  <c r="AB202" i="1"/>
  <c r="AP77" i="1"/>
  <c r="AP103" i="1"/>
  <c r="AP230" i="1"/>
  <c r="AB6" i="1"/>
  <c r="AP29" i="1"/>
  <c r="AB201" i="1"/>
  <c r="AB369" i="1"/>
  <c r="AP43" i="1"/>
  <c r="AP125" i="1"/>
  <c r="AP221" i="1"/>
  <c r="AB341" i="1"/>
  <c r="AP184" i="1"/>
  <c r="AP277" i="1"/>
  <c r="AB127" i="1"/>
  <c r="AP319" i="1"/>
  <c r="AP333" i="1"/>
  <c r="AP68" i="1"/>
  <c r="AB107" i="1"/>
  <c r="AP253" i="1"/>
  <c r="AB104" i="1"/>
  <c r="AN19" i="1"/>
  <c r="AB304" i="1"/>
  <c r="AB141" i="1"/>
  <c r="AB93" i="1"/>
  <c r="AB225" i="1"/>
  <c r="AB177" i="1"/>
  <c r="AP345" i="1"/>
  <c r="AP75" i="1"/>
  <c r="AP106" i="1"/>
  <c r="AB211" i="1"/>
  <c r="AP284" i="1"/>
  <c r="AP275" i="1"/>
  <c r="AP188" i="1"/>
  <c r="AP42" i="1"/>
  <c r="AP344" i="1"/>
  <c r="AP307" i="1"/>
  <c r="AP243" i="1"/>
  <c r="AP22" i="1"/>
  <c r="AP216" i="1"/>
  <c r="AP321" i="1"/>
  <c r="AP292" i="1"/>
  <c r="AB91" i="1"/>
  <c r="AB291" i="1"/>
  <c r="AP293" i="1"/>
  <c r="AB46" i="1"/>
  <c r="AB120" i="1"/>
  <c r="AB353" i="1"/>
  <c r="AP118" i="1"/>
  <c r="AP305" i="1"/>
  <c r="AP142" i="1"/>
  <c r="AP352" i="1"/>
  <c r="AP69" i="1"/>
  <c r="AB274" i="1"/>
  <c r="AP299" i="1"/>
  <c r="AP96" i="1"/>
  <c r="AB314" i="1"/>
  <c r="AP269" i="1"/>
  <c r="AB159" i="1"/>
  <c r="AB10" i="1"/>
  <c r="AB128" i="1"/>
  <c r="AP101" i="1"/>
  <c r="AP259" i="1"/>
  <c r="AP175" i="1"/>
  <c r="AB132" i="1"/>
  <c r="AB172" i="1"/>
  <c r="AB144" i="1"/>
  <c r="AP338" i="1"/>
  <c r="AP367" i="1"/>
  <c r="AP273" i="1"/>
  <c r="AP131" i="1"/>
  <c r="AP133" i="1"/>
  <c r="AB55" i="1"/>
  <c r="AP215" i="1"/>
  <c r="AP365" i="1"/>
  <c r="AB250" i="1"/>
  <c r="AP355" i="1"/>
  <c r="AP57" i="1"/>
  <c r="AP343" i="1"/>
  <c r="AB351" i="1"/>
  <c r="AP33" i="1"/>
  <c r="AB323" i="1"/>
  <c r="AP53" i="1"/>
  <c r="AP356" i="1"/>
  <c r="AB276" i="1"/>
  <c r="AP238" i="1"/>
  <c r="AP302" i="1"/>
  <c r="AP34" i="1"/>
  <c r="AP71" i="1"/>
  <c r="AP143" i="1"/>
  <c r="AP296" i="1"/>
  <c r="AB176" i="1"/>
  <c r="AP252" i="1"/>
  <c r="AB232" i="1"/>
  <c r="AP268" i="1"/>
  <c r="AB20" i="1"/>
  <c r="AP52" i="1"/>
  <c r="AP18" i="1"/>
  <c r="AB49" i="1"/>
  <c r="AP87" i="1"/>
  <c r="AP354" i="1"/>
  <c r="AP110" i="1"/>
  <c r="AB170" i="1"/>
  <c r="AP266" i="1"/>
  <c r="AP25" i="1"/>
  <c r="AP98" i="1"/>
  <c r="AP371" i="1"/>
  <c r="AP173" i="1"/>
  <c r="AP162" i="1"/>
  <c r="AP100" i="1"/>
  <c r="AB249" i="1"/>
  <c r="AP12" i="1"/>
  <c r="AP320" i="1"/>
  <c r="AB122" i="1"/>
  <c r="AP109" i="1"/>
  <c r="AP254" i="1"/>
  <c r="AB255" i="1"/>
  <c r="AB59" i="1"/>
  <c r="AB195" i="1"/>
  <c r="AB186" i="1"/>
  <c r="AB149" i="1"/>
  <c r="AP38" i="1"/>
  <c r="AB89" i="1"/>
  <c r="AP312" i="1"/>
  <c r="AP200" i="1"/>
  <c r="AB137" i="1"/>
  <c r="AB183" i="1"/>
  <c r="AP258" i="1"/>
  <c r="AB248" i="1"/>
  <c r="AP264" i="1"/>
  <c r="AB161" i="1"/>
  <c r="AB346" i="1"/>
  <c r="AP363" i="1"/>
  <c r="AP288" i="1"/>
  <c r="AP303" i="1"/>
  <c r="AB337" i="1"/>
  <c r="AP94" i="1"/>
  <c r="AB51" i="1"/>
  <c r="AP169" i="1"/>
  <c r="AP290" i="1"/>
  <c r="AP359" i="1"/>
  <c r="AP326" i="1"/>
  <c r="AB45" i="1"/>
  <c r="AB315" i="1"/>
  <c r="AP267" i="1"/>
  <c r="AB179" i="1"/>
  <c r="AP358" i="1"/>
  <c r="AP295" i="1"/>
  <c r="AB97" i="1"/>
  <c r="AP203" i="1"/>
  <c r="AP280" i="1"/>
  <c r="AP340" i="1"/>
  <c r="AP39" i="1"/>
  <c r="AP347" i="1"/>
  <c r="AB167" i="1"/>
  <c r="AP145" i="1"/>
  <c r="AP13" i="1"/>
  <c r="AB36" i="1"/>
  <c r="AP136" i="1"/>
  <c r="AB187" i="1"/>
  <c r="AP271" i="1"/>
  <c r="AB73" i="1"/>
  <c r="AB102" i="1"/>
  <c r="AB362" i="1"/>
  <c r="AP80" i="1"/>
  <c r="AB227" i="1"/>
  <c r="AB206" i="1"/>
  <c r="AP95" i="1"/>
  <c r="AP324" i="1"/>
  <c r="AP212" i="1"/>
  <c r="AP64" i="1"/>
  <c r="AB81" i="1"/>
  <c r="AB207" i="1"/>
  <c r="AB48" i="1"/>
  <c r="AB222" i="1"/>
  <c r="AP178" i="1"/>
  <c r="AP286" i="1"/>
  <c r="AP21" i="1"/>
  <c r="AP331" i="1"/>
  <c r="AP146" i="1"/>
  <c r="AP124" i="1"/>
  <c r="AB160" i="1"/>
  <c r="AP242" i="1"/>
  <c r="AB205" i="1"/>
  <c r="AB163" i="1"/>
  <c r="AB234" i="1"/>
  <c r="AB306" i="1"/>
  <c r="AP185" i="1"/>
  <c r="AP56" i="1"/>
  <c r="AP150" i="1"/>
  <c r="AB7" i="1"/>
  <c r="AP223" i="1"/>
  <c r="AB115" i="1"/>
  <c r="AP193" i="1"/>
  <c r="AB226" i="1"/>
  <c r="AP372" i="1"/>
  <c r="AP261" i="1"/>
  <c r="AP233" i="1"/>
  <c r="AB66" i="1"/>
  <c r="AP309" i="1"/>
  <c r="AB148" i="1"/>
  <c r="AP329" i="1"/>
  <c r="AB153" i="1"/>
  <c r="AB180" i="1"/>
  <c r="AP245" i="1"/>
  <c r="AB41" i="1"/>
  <c r="AP166" i="1"/>
  <c r="AB60" i="1"/>
  <c r="AB11" i="1"/>
  <c r="AP237" i="1"/>
  <c r="AB14" i="1"/>
  <c r="AB126" i="1"/>
  <c r="AP374" i="1"/>
  <c r="AP16" i="1"/>
  <c r="AP92" i="1"/>
  <c r="AB116" i="1"/>
  <c r="AB32" i="1"/>
  <c r="AP313" i="1"/>
  <c r="AP270" i="1"/>
  <c r="AP58" i="1"/>
  <c r="AP368" i="1"/>
  <c r="AP35" i="1"/>
  <c r="AB366" i="1"/>
  <c r="AB8" i="1"/>
  <c r="AN339" i="1"/>
  <c r="AB246" i="1"/>
  <c r="AB119" i="1"/>
  <c r="AP262" i="1"/>
  <c r="AP322" i="1"/>
  <c r="AP30" i="1"/>
  <c r="AP348" i="1"/>
  <c r="AB265" i="1"/>
  <c r="AP86" i="1"/>
  <c r="AP158" i="1"/>
  <c r="AB165" i="1"/>
  <c r="AP123" i="1"/>
  <c r="AP332" i="1"/>
  <c r="AP63" i="1"/>
  <c r="AP135" i="1"/>
  <c r="AP99" i="1"/>
  <c r="AB28" i="1"/>
  <c r="AP61" i="1"/>
  <c r="AP17" i="1"/>
  <c r="AB117" i="1"/>
  <c r="AP204" i="1"/>
  <c r="AP47" i="1"/>
  <c r="AP283" i="1"/>
  <c r="AB15" i="1"/>
  <c r="AB220" i="1"/>
  <c r="AP300" i="1"/>
  <c r="AP196" i="1"/>
  <c r="AP240" i="1"/>
  <c r="AB281" i="1"/>
  <c r="AP105" i="1"/>
  <c r="AP214" i="1"/>
  <c r="AP317" i="1"/>
  <c r="AP241" i="1"/>
  <c r="AB197" i="1"/>
  <c r="AB349" i="1"/>
  <c r="AB311" i="1"/>
  <c r="AB90" i="1"/>
  <c r="AP342" i="1"/>
  <c r="AB50" i="1"/>
  <c r="AP198" i="1"/>
  <c r="AP182" i="1"/>
  <c r="AP164" i="1"/>
  <c r="AP357" i="1"/>
  <c r="AB328" i="1"/>
  <c r="T390" i="1"/>
  <c r="AB392" i="1" l="1"/>
  <c r="AP272" i="1"/>
  <c r="AN116" i="1"/>
  <c r="AN234" i="1"/>
  <c r="AN183" i="1"/>
  <c r="AN144" i="1"/>
  <c r="AN10" i="1"/>
  <c r="AN211" i="1"/>
  <c r="AN225" i="1"/>
  <c r="AN304" i="1"/>
  <c r="AN341" i="1"/>
  <c r="AN369" i="1"/>
  <c r="AN213" i="1"/>
  <c r="AN335" i="1"/>
  <c r="AN316" i="1"/>
  <c r="AN260" i="1"/>
  <c r="AN148" i="1"/>
  <c r="AN81" i="1"/>
  <c r="AN73" i="1"/>
  <c r="AN36" i="1"/>
  <c r="AN45" i="1"/>
  <c r="AN161" i="1"/>
  <c r="AN149" i="1"/>
  <c r="AN255" i="1"/>
  <c r="AN170" i="1"/>
  <c r="AN291" i="1"/>
  <c r="AN107" i="1"/>
  <c r="AN127" i="1"/>
  <c r="AN111" i="1"/>
  <c r="AN112" i="1"/>
  <c r="AN336" i="1"/>
  <c r="AN108" i="1"/>
  <c r="AN5" i="1"/>
  <c r="AB396" i="1"/>
  <c r="E7" i="5"/>
  <c r="C7" i="5" s="1"/>
  <c r="AC373" i="1" s="1"/>
  <c r="AN165" i="1"/>
  <c r="AN349" i="1"/>
  <c r="AP339" i="1"/>
  <c r="AN60" i="1"/>
  <c r="AN66" i="1"/>
  <c r="AN7" i="1"/>
  <c r="AN163" i="1"/>
  <c r="AN222" i="1"/>
  <c r="AN249" i="1"/>
  <c r="AN20" i="1"/>
  <c r="AN250" i="1"/>
  <c r="AN172" i="1"/>
  <c r="AN128" i="1"/>
  <c r="AN159" i="1"/>
  <c r="AN93" i="1"/>
  <c r="AN201" i="1"/>
  <c r="AN190" i="1"/>
  <c r="AN218" i="1"/>
  <c r="AN219" i="1"/>
  <c r="AN119" i="1"/>
  <c r="AN281" i="1"/>
  <c r="AN220" i="1"/>
  <c r="AN246" i="1"/>
  <c r="AN41" i="1"/>
  <c r="AN226" i="1"/>
  <c r="AN160" i="1"/>
  <c r="AN362" i="1"/>
  <c r="AN179" i="1"/>
  <c r="AN137" i="1"/>
  <c r="AN89" i="1"/>
  <c r="AN186" i="1"/>
  <c r="AN122" i="1"/>
  <c r="AN176" i="1"/>
  <c r="AN323" i="1"/>
  <c r="AN351" i="1"/>
  <c r="AN55" i="1"/>
  <c r="AN353" i="1"/>
  <c r="AN46" i="1"/>
  <c r="AP19" i="1"/>
  <c r="AN282" i="1"/>
  <c r="AN334" i="1"/>
  <c r="AN168" i="1"/>
  <c r="AN350" i="1"/>
  <c r="AN208" i="1"/>
  <c r="AN84" i="1"/>
  <c r="AN197" i="1"/>
  <c r="AN126" i="1"/>
  <c r="AN51" i="1"/>
  <c r="AN132" i="1"/>
  <c r="AN91" i="1"/>
  <c r="AN141" i="1"/>
  <c r="AN202" i="1"/>
  <c r="AN157" i="1"/>
  <c r="AN181" i="1"/>
  <c r="AN287" i="1"/>
  <c r="AN50" i="1"/>
  <c r="AN90" i="1"/>
  <c r="AN8" i="1"/>
  <c r="AN153" i="1"/>
  <c r="AN306" i="1"/>
  <c r="AN48" i="1"/>
  <c r="AN206" i="1"/>
  <c r="AN187" i="1"/>
  <c r="AN195" i="1"/>
  <c r="AN104" i="1"/>
  <c r="AN65" i="1"/>
  <c r="AN121" i="1"/>
  <c r="AN83" i="1"/>
  <c r="AN328" i="1"/>
  <c r="AN15" i="1"/>
  <c r="AN28" i="1"/>
  <c r="AN32" i="1"/>
  <c r="AN14" i="1"/>
  <c r="AN180" i="1"/>
  <c r="AN115" i="1"/>
  <c r="AN205" i="1"/>
  <c r="AN97" i="1"/>
  <c r="AN49" i="1"/>
  <c r="AN232" i="1"/>
  <c r="AN276" i="1"/>
  <c r="AN314" i="1"/>
  <c r="AN177" i="1"/>
  <c r="AN6" i="1"/>
  <c r="AN327" i="1"/>
  <c r="AN229" i="1"/>
  <c r="AN311" i="1"/>
  <c r="AN117" i="1"/>
  <c r="AN265" i="1"/>
  <c r="AN366" i="1"/>
  <c r="AN11" i="1"/>
  <c r="AN207" i="1"/>
  <c r="AN227" i="1"/>
  <c r="AN102" i="1"/>
  <c r="AN167" i="1"/>
  <c r="AN315" i="1"/>
  <c r="AN337" i="1"/>
  <c r="AN346" i="1"/>
  <c r="AN248" i="1"/>
  <c r="AN59" i="1"/>
  <c r="AN274" i="1"/>
  <c r="AN120" i="1"/>
  <c r="AN79" i="1"/>
  <c r="AN44" i="1"/>
  <c r="AN140" i="1"/>
  <c r="AN174" i="1"/>
  <c r="AN231" i="1"/>
  <c r="AB390" i="1"/>
  <c r="AD373" i="1" l="1"/>
  <c r="AE373" i="1" s="1"/>
  <c r="AG373" i="1" s="1"/>
  <c r="AC374" i="1"/>
  <c r="AD374" i="1" s="1"/>
  <c r="AE374" i="1" s="1"/>
  <c r="AC40" i="1"/>
  <c r="AD40" i="1" s="1"/>
  <c r="AE40" i="1" s="1"/>
  <c r="AC63" i="1"/>
  <c r="AD63" i="1" s="1"/>
  <c r="AE63" i="1" s="1"/>
  <c r="AC93" i="1"/>
  <c r="AD93" i="1" s="1"/>
  <c r="AE93" i="1" s="1"/>
  <c r="AC116" i="1"/>
  <c r="AD116" i="1" s="1"/>
  <c r="AE116" i="1" s="1"/>
  <c r="AC136" i="1"/>
  <c r="AD136" i="1" s="1"/>
  <c r="AE136" i="1" s="1"/>
  <c r="AC159" i="1"/>
  <c r="AD159" i="1" s="1"/>
  <c r="AE159" i="1" s="1"/>
  <c r="AC181" i="1"/>
  <c r="AD181" i="1" s="1"/>
  <c r="AE181" i="1" s="1"/>
  <c r="AC200" i="1"/>
  <c r="AD200" i="1" s="1"/>
  <c r="AE200" i="1" s="1"/>
  <c r="AC231" i="1"/>
  <c r="AD231" i="1" s="1"/>
  <c r="AE231" i="1" s="1"/>
  <c r="AC276" i="1"/>
  <c r="AD276" i="1" s="1"/>
  <c r="AE276" i="1" s="1"/>
  <c r="AC312" i="1"/>
  <c r="AD312" i="1" s="1"/>
  <c r="AE312" i="1" s="1"/>
  <c r="AC184" i="1"/>
  <c r="AD184" i="1" s="1"/>
  <c r="AE184" i="1" s="1"/>
  <c r="AC277" i="1"/>
  <c r="AD277" i="1" s="1"/>
  <c r="AE277" i="1" s="1"/>
  <c r="AC235" i="1"/>
  <c r="AD235" i="1" s="1"/>
  <c r="AE235" i="1" s="1"/>
  <c r="AC280" i="1"/>
  <c r="AD280" i="1" s="1"/>
  <c r="AE280" i="1" s="1"/>
  <c r="AC41" i="1"/>
  <c r="AD41" i="1" s="1"/>
  <c r="AE41" i="1" s="1"/>
  <c r="AC64" i="1"/>
  <c r="AD64" i="1" s="1"/>
  <c r="AE64" i="1" s="1"/>
  <c r="AC95" i="1"/>
  <c r="AD95" i="1" s="1"/>
  <c r="AE95" i="1" s="1"/>
  <c r="AC119" i="1"/>
  <c r="AD119" i="1" s="1"/>
  <c r="AE119" i="1" s="1"/>
  <c r="AC160" i="1"/>
  <c r="AD160" i="1" s="1"/>
  <c r="AE160" i="1" s="1"/>
  <c r="AC234" i="1"/>
  <c r="AD234" i="1" s="1"/>
  <c r="AE234" i="1" s="1"/>
  <c r="AC349" i="1"/>
  <c r="AD349" i="1" s="1"/>
  <c r="AE349" i="1" s="1"/>
  <c r="AC278" i="1"/>
  <c r="AD278" i="1" s="1"/>
  <c r="AE278" i="1" s="1"/>
  <c r="AC351" i="1"/>
  <c r="AD351" i="1" s="1"/>
  <c r="AE351" i="1" s="1"/>
  <c r="AC319" i="1"/>
  <c r="AD319" i="1" s="1"/>
  <c r="AE319" i="1" s="1"/>
  <c r="AC47" i="1"/>
  <c r="AD47" i="1" s="1"/>
  <c r="AE47" i="1" s="1"/>
  <c r="AC72" i="1"/>
  <c r="AD72" i="1" s="1"/>
  <c r="AE72" i="1" s="1"/>
  <c r="AC96" i="1"/>
  <c r="AD96" i="1" s="1"/>
  <c r="AE96" i="1" s="1"/>
  <c r="AC120" i="1"/>
  <c r="AD120" i="1" s="1"/>
  <c r="AE120" i="1" s="1"/>
  <c r="AC141" i="1"/>
  <c r="AD141" i="1" s="1"/>
  <c r="AE141" i="1" s="1"/>
  <c r="AC161" i="1"/>
  <c r="AD161" i="1" s="1"/>
  <c r="AE161" i="1" s="1"/>
  <c r="AC185" i="1"/>
  <c r="AD185" i="1" s="1"/>
  <c r="AE185" i="1" s="1"/>
  <c r="AC204" i="1"/>
  <c r="AD204" i="1" s="1"/>
  <c r="AE204" i="1" s="1"/>
  <c r="AC316" i="1"/>
  <c r="AD316" i="1" s="1"/>
  <c r="AE316" i="1" s="1"/>
  <c r="AC4" i="1"/>
  <c r="AD4" i="1" s="1"/>
  <c r="AE4" i="1" s="1"/>
  <c r="AC50" i="1"/>
  <c r="AD50" i="1" s="1"/>
  <c r="AE50" i="1" s="1"/>
  <c r="AC73" i="1"/>
  <c r="AD73" i="1" s="1"/>
  <c r="AE73" i="1" s="1"/>
  <c r="AC97" i="1"/>
  <c r="AD97" i="1" s="1"/>
  <c r="AE97" i="1" s="1"/>
  <c r="AC121" i="1"/>
  <c r="AD121" i="1" s="1"/>
  <c r="AE121" i="1" s="1"/>
  <c r="AC143" i="1"/>
  <c r="AD143" i="1" s="1"/>
  <c r="AE143" i="1" s="1"/>
  <c r="AC165" i="1"/>
  <c r="AD165" i="1" s="1"/>
  <c r="AE165" i="1" s="1"/>
  <c r="AC189" i="1"/>
  <c r="AD189" i="1" s="1"/>
  <c r="AE189" i="1" s="1"/>
  <c r="AC205" i="1"/>
  <c r="AD205" i="1" s="1"/>
  <c r="AE205" i="1" s="1"/>
  <c r="AC238" i="1"/>
  <c r="AD238" i="1" s="1"/>
  <c r="AE238" i="1" s="1"/>
  <c r="AC354" i="1"/>
  <c r="AD354" i="1" s="1"/>
  <c r="AE354" i="1" s="1"/>
  <c r="AC5" i="1"/>
  <c r="AD5" i="1" s="1"/>
  <c r="AE5" i="1" s="1"/>
  <c r="AC51" i="1"/>
  <c r="AD51" i="1" s="1"/>
  <c r="AE51" i="1" s="1"/>
  <c r="AC76" i="1"/>
  <c r="AD76" i="1" s="1"/>
  <c r="AE76" i="1" s="1"/>
  <c r="AC98" i="1"/>
  <c r="AD98" i="1" s="1"/>
  <c r="AE98" i="1" s="1"/>
  <c r="AC122" i="1"/>
  <c r="AD122" i="1" s="1"/>
  <c r="AE122" i="1" s="1"/>
  <c r="AC146" i="1"/>
  <c r="AD146" i="1" s="1"/>
  <c r="AE146" i="1" s="1"/>
  <c r="AC167" i="1"/>
  <c r="AD167" i="1" s="1"/>
  <c r="AE167" i="1" s="1"/>
  <c r="AC191" i="1"/>
  <c r="AD191" i="1" s="1"/>
  <c r="AE191" i="1" s="1"/>
  <c r="AC206" i="1"/>
  <c r="AD206" i="1" s="1"/>
  <c r="AE206" i="1" s="1"/>
  <c r="AC239" i="1"/>
  <c r="AD239" i="1" s="1"/>
  <c r="AE239" i="1" s="1"/>
  <c r="AC286" i="1"/>
  <c r="AD286" i="1" s="1"/>
  <c r="AE286" i="1" s="1"/>
  <c r="AC324" i="1"/>
  <c r="AD324" i="1" s="1"/>
  <c r="AE324" i="1" s="1"/>
  <c r="AC355" i="1"/>
  <c r="AD355" i="1" s="1"/>
  <c r="AE355" i="1" s="1"/>
  <c r="AC80" i="1"/>
  <c r="AD80" i="1" s="1"/>
  <c r="AE80" i="1" s="1"/>
  <c r="AC124" i="1"/>
  <c r="AD124" i="1" s="1"/>
  <c r="AE124" i="1" s="1"/>
  <c r="AC194" i="1"/>
  <c r="AD194" i="1" s="1"/>
  <c r="AE194" i="1" s="1"/>
  <c r="AC288" i="1"/>
  <c r="AD288" i="1" s="1"/>
  <c r="AE288" i="1" s="1"/>
  <c r="AC361" i="1"/>
  <c r="AD361" i="1" s="1"/>
  <c r="AE361" i="1" s="1"/>
  <c r="AC338" i="1"/>
  <c r="AD338" i="1" s="1"/>
  <c r="AE338" i="1" s="1"/>
  <c r="AC300" i="1"/>
  <c r="AD300" i="1" s="1"/>
  <c r="AE300" i="1" s="1"/>
  <c r="AC91" i="1"/>
  <c r="AD91" i="1" s="1"/>
  <c r="AE91" i="1" s="1"/>
  <c r="AC226" i="1"/>
  <c r="AD226" i="1" s="1"/>
  <c r="AE226" i="1" s="1"/>
  <c r="AC24" i="1"/>
  <c r="AD24" i="1" s="1"/>
  <c r="AE24" i="1" s="1"/>
  <c r="AC52" i="1"/>
  <c r="AD52" i="1" s="1"/>
  <c r="AE52" i="1" s="1"/>
  <c r="AC78" i="1"/>
  <c r="AD78" i="1" s="1"/>
  <c r="AE78" i="1" s="1"/>
  <c r="AC99" i="1"/>
  <c r="AD99" i="1" s="1"/>
  <c r="AE99" i="1" s="1"/>
  <c r="AC123" i="1"/>
  <c r="AD123" i="1" s="1"/>
  <c r="AE123" i="1" s="1"/>
  <c r="AC148" i="1"/>
  <c r="AD148" i="1" s="1"/>
  <c r="AE148" i="1" s="1"/>
  <c r="AC168" i="1"/>
  <c r="AD168" i="1" s="1"/>
  <c r="AE168" i="1" s="1"/>
  <c r="AC192" i="1"/>
  <c r="AD192" i="1" s="1"/>
  <c r="AE192" i="1" s="1"/>
  <c r="AC210" i="1"/>
  <c r="AD210" i="1" s="1"/>
  <c r="AE210" i="1" s="1"/>
  <c r="AC240" i="1"/>
  <c r="AD240" i="1" s="1"/>
  <c r="AE240" i="1" s="1"/>
  <c r="AC287" i="1"/>
  <c r="AD287" i="1" s="1"/>
  <c r="AE287" i="1" s="1"/>
  <c r="AC328" i="1"/>
  <c r="AD328" i="1" s="1"/>
  <c r="AE328" i="1" s="1"/>
  <c r="AC359" i="1"/>
  <c r="AD359" i="1" s="1"/>
  <c r="AE359" i="1" s="1"/>
  <c r="AC54" i="1"/>
  <c r="AD54" i="1" s="1"/>
  <c r="AE54" i="1" s="1"/>
  <c r="AC151" i="1"/>
  <c r="AD151" i="1" s="1"/>
  <c r="AE151" i="1" s="1"/>
  <c r="AC242" i="1"/>
  <c r="AD242" i="1" s="1"/>
  <c r="AE242" i="1" s="1"/>
  <c r="AC257" i="1"/>
  <c r="AD257" i="1" s="1"/>
  <c r="AE257" i="1" s="1"/>
  <c r="AC61" i="1"/>
  <c r="AD61" i="1" s="1"/>
  <c r="AE61" i="1" s="1"/>
  <c r="AC198" i="1"/>
  <c r="AD198" i="1" s="1"/>
  <c r="AE198" i="1" s="1"/>
  <c r="AC25" i="1"/>
  <c r="AD25" i="1" s="1"/>
  <c r="AE25" i="1" s="1"/>
  <c r="AC105" i="1"/>
  <c r="AD105" i="1" s="1"/>
  <c r="AE105" i="1" s="1"/>
  <c r="AC170" i="1"/>
  <c r="AD170" i="1" s="1"/>
  <c r="AE170" i="1" s="1"/>
  <c r="AC213" i="1"/>
  <c r="AD213" i="1" s="1"/>
  <c r="AE213" i="1" s="1"/>
  <c r="AC332" i="1"/>
  <c r="AD332" i="1" s="1"/>
  <c r="AE332" i="1" s="1"/>
  <c r="AC363" i="1"/>
  <c r="AD363" i="1" s="1"/>
  <c r="AE363" i="1" s="1"/>
  <c r="AC114" i="1"/>
  <c r="AD114" i="1" s="1"/>
  <c r="AE114" i="1" s="1"/>
  <c r="AC177" i="1"/>
  <c r="AD177" i="1" s="1"/>
  <c r="AE177" i="1" s="1"/>
  <c r="AC342" i="1"/>
  <c r="AD342" i="1" s="1"/>
  <c r="AE342" i="1" s="1"/>
  <c r="AC26" i="1"/>
  <c r="AD26" i="1" s="1"/>
  <c r="AE26" i="1" s="1"/>
  <c r="AC56" i="1"/>
  <c r="AD56" i="1" s="1"/>
  <c r="AE56" i="1" s="1"/>
  <c r="AC83" i="1"/>
  <c r="AD83" i="1" s="1"/>
  <c r="AE83" i="1" s="1"/>
  <c r="AC106" i="1"/>
  <c r="AD106" i="1" s="1"/>
  <c r="AE106" i="1" s="1"/>
  <c r="AC125" i="1"/>
  <c r="AD125" i="1" s="1"/>
  <c r="AE125" i="1" s="1"/>
  <c r="AC153" i="1"/>
  <c r="AD153" i="1" s="1"/>
  <c r="AE153" i="1" s="1"/>
  <c r="AC173" i="1"/>
  <c r="AD173" i="1" s="1"/>
  <c r="AE173" i="1" s="1"/>
  <c r="AC195" i="1"/>
  <c r="AD195" i="1" s="1"/>
  <c r="AE195" i="1" s="1"/>
  <c r="AC220" i="1"/>
  <c r="AD220" i="1" s="1"/>
  <c r="AE220" i="1" s="1"/>
  <c r="AC250" i="1"/>
  <c r="AD250" i="1" s="1"/>
  <c r="AE250" i="1" s="1"/>
  <c r="AC291" i="1"/>
  <c r="AD291" i="1" s="1"/>
  <c r="AE291" i="1" s="1"/>
  <c r="AC334" i="1"/>
  <c r="AD334" i="1" s="1"/>
  <c r="AE334" i="1" s="1"/>
  <c r="AC362" i="1"/>
  <c r="AD362" i="1" s="1"/>
  <c r="AE362" i="1" s="1"/>
  <c r="AC174" i="1"/>
  <c r="AD174" i="1" s="1"/>
  <c r="AE174" i="1" s="1"/>
  <c r="AC222" i="1"/>
  <c r="AD222" i="1" s="1"/>
  <c r="AE222" i="1" s="1"/>
  <c r="AC297" i="1"/>
  <c r="AD297" i="1" s="1"/>
  <c r="AE297" i="1" s="1"/>
  <c r="AC339" i="1"/>
  <c r="AD339" i="1" s="1"/>
  <c r="AE339" i="1" s="1"/>
  <c r="AC131" i="1"/>
  <c r="AD131" i="1" s="1"/>
  <c r="AE131" i="1" s="1"/>
  <c r="AC306" i="1"/>
  <c r="AD306" i="1" s="1"/>
  <c r="AE306" i="1" s="1"/>
  <c r="AC27" i="1"/>
  <c r="AD27" i="1" s="1"/>
  <c r="AE27" i="1" s="1"/>
  <c r="AC57" i="1"/>
  <c r="AD57" i="1" s="1"/>
  <c r="AE57" i="1" s="1"/>
  <c r="AC87" i="1"/>
  <c r="AD87" i="1" s="1"/>
  <c r="AE87" i="1" s="1"/>
  <c r="AC111" i="1"/>
  <c r="AD111" i="1" s="1"/>
  <c r="AE111" i="1" s="1"/>
  <c r="AC127" i="1"/>
  <c r="AD127" i="1" s="1"/>
  <c r="AE127" i="1" s="1"/>
  <c r="AC154" i="1"/>
  <c r="AD154" i="1" s="1"/>
  <c r="AE154" i="1" s="1"/>
  <c r="AC196" i="1"/>
  <c r="AD196" i="1" s="1"/>
  <c r="AE196" i="1" s="1"/>
  <c r="AC256" i="1"/>
  <c r="AD256" i="1" s="1"/>
  <c r="AE256" i="1" s="1"/>
  <c r="AC29" i="1"/>
  <c r="AD29" i="1" s="1"/>
  <c r="AE29" i="1" s="1"/>
  <c r="AC259" i="1"/>
  <c r="AD259" i="1" s="1"/>
  <c r="AE259" i="1" s="1"/>
  <c r="AC28" i="1"/>
  <c r="AD28" i="1" s="1"/>
  <c r="AE28" i="1" s="1"/>
  <c r="AC58" i="1"/>
  <c r="AD58" i="1" s="1"/>
  <c r="AE58" i="1" s="1"/>
  <c r="AC90" i="1"/>
  <c r="AD90" i="1" s="1"/>
  <c r="AE90" i="1" s="1"/>
  <c r="AC112" i="1"/>
  <c r="AD112" i="1" s="1"/>
  <c r="AE112" i="1" s="1"/>
  <c r="AC128" i="1"/>
  <c r="AD128" i="1" s="1"/>
  <c r="AE128" i="1" s="1"/>
  <c r="AC156" i="1"/>
  <c r="AD156" i="1" s="1"/>
  <c r="AE156" i="1" s="1"/>
  <c r="AC175" i="1"/>
  <c r="AD175" i="1" s="1"/>
  <c r="AE175" i="1" s="1"/>
  <c r="AC197" i="1"/>
  <c r="AD197" i="1" s="1"/>
  <c r="AE197" i="1" s="1"/>
  <c r="AC225" i="1"/>
  <c r="AD225" i="1" s="1"/>
  <c r="AE225" i="1" s="1"/>
  <c r="AC364" i="1"/>
  <c r="AD364" i="1" s="1"/>
  <c r="AE364" i="1" s="1"/>
  <c r="AC157" i="1"/>
  <c r="AD157" i="1" s="1"/>
  <c r="AE157" i="1" s="1"/>
  <c r="AC39" i="1"/>
  <c r="AD39" i="1" s="1"/>
  <c r="AE39" i="1" s="1"/>
  <c r="AC62" i="1"/>
  <c r="AD62" i="1" s="1"/>
  <c r="AE62" i="1" s="1"/>
  <c r="AC92" i="1"/>
  <c r="AD92" i="1" s="1"/>
  <c r="AE92" i="1" s="1"/>
  <c r="AC115" i="1"/>
  <c r="AD115" i="1" s="1"/>
  <c r="AE115" i="1" s="1"/>
  <c r="AC134" i="1"/>
  <c r="AD134" i="1" s="1"/>
  <c r="AE134" i="1" s="1"/>
  <c r="AC158" i="1"/>
  <c r="AD158" i="1" s="1"/>
  <c r="AE158" i="1" s="1"/>
  <c r="AC178" i="1"/>
  <c r="AD178" i="1" s="1"/>
  <c r="AE178" i="1" s="1"/>
  <c r="AC199" i="1"/>
  <c r="AD199" i="1" s="1"/>
  <c r="AE199" i="1" s="1"/>
  <c r="AC227" i="1"/>
  <c r="AD227" i="1" s="1"/>
  <c r="AE227" i="1" s="1"/>
  <c r="AC265" i="1"/>
  <c r="AD265" i="1" s="1"/>
  <c r="AE265" i="1" s="1"/>
  <c r="AC307" i="1"/>
  <c r="AD307" i="1" s="1"/>
  <c r="AE307" i="1" s="1"/>
  <c r="AC346" i="1"/>
  <c r="AD346" i="1" s="1"/>
  <c r="AE346" i="1" s="1"/>
  <c r="AC348" i="1"/>
  <c r="AD348" i="1" s="1"/>
  <c r="AE348" i="1" s="1"/>
  <c r="AC139" i="1"/>
  <c r="AD139" i="1" s="1"/>
  <c r="AE139" i="1" s="1"/>
  <c r="AC201" i="1"/>
  <c r="AD201" i="1" s="1"/>
  <c r="AE201" i="1" s="1"/>
  <c r="AC314" i="1"/>
  <c r="AD314" i="1" s="1"/>
  <c r="AE314" i="1" s="1"/>
  <c r="AP108" i="1"/>
  <c r="AP112" i="1"/>
  <c r="AP111" i="1"/>
  <c r="AP45" i="1"/>
  <c r="AP120" i="1"/>
  <c r="AP102" i="1"/>
  <c r="AP14" i="1"/>
  <c r="AP28" i="1"/>
  <c r="AP83" i="1"/>
  <c r="AP187" i="1"/>
  <c r="AP306" i="1"/>
  <c r="AP8" i="1"/>
  <c r="AP90" i="1"/>
  <c r="AP181" i="1"/>
  <c r="AP132" i="1"/>
  <c r="AP353" i="1"/>
  <c r="AP323" i="1"/>
  <c r="AP137" i="1"/>
  <c r="AP362" i="1"/>
  <c r="AP349" i="1"/>
  <c r="AP255" i="1"/>
  <c r="AP81" i="1"/>
  <c r="AP213" i="1"/>
  <c r="AP211" i="1"/>
  <c r="AP10" i="1"/>
  <c r="AP234" i="1"/>
  <c r="AP11" i="1"/>
  <c r="AP220" i="1"/>
  <c r="AP128" i="1"/>
  <c r="AP250" i="1"/>
  <c r="AP249" i="1"/>
  <c r="AP229" i="1"/>
  <c r="AP115" i="1"/>
  <c r="AP104" i="1"/>
  <c r="AP226" i="1"/>
  <c r="AP246" i="1"/>
  <c r="AP281" i="1"/>
  <c r="AP119" i="1"/>
  <c r="AP172" i="1"/>
  <c r="AP7" i="1"/>
  <c r="AP336" i="1"/>
  <c r="AP265" i="1"/>
  <c r="AP121" i="1"/>
  <c r="AP201" i="1"/>
  <c r="AP163" i="1"/>
  <c r="AP274" i="1"/>
  <c r="AP227" i="1"/>
  <c r="AP232" i="1"/>
  <c r="AP97" i="1"/>
  <c r="AP32" i="1"/>
  <c r="AP15" i="1"/>
  <c r="AP206" i="1"/>
  <c r="AP50" i="1"/>
  <c r="AP157" i="1"/>
  <c r="AP91" i="1"/>
  <c r="AP84" i="1"/>
  <c r="AP168" i="1"/>
  <c r="AP122" i="1"/>
  <c r="AP179" i="1"/>
  <c r="AP20" i="1"/>
  <c r="AP165" i="1"/>
  <c r="AP291" i="1"/>
  <c r="AP149" i="1"/>
  <c r="AP260" i="1"/>
  <c r="AP369" i="1"/>
  <c r="AP304" i="1"/>
  <c r="AP144" i="1"/>
  <c r="AP44" i="1"/>
  <c r="AP117" i="1"/>
  <c r="AP327" i="1"/>
  <c r="AP126" i="1"/>
  <c r="AP41" i="1"/>
  <c r="AP218" i="1"/>
  <c r="AP66" i="1"/>
  <c r="AP127" i="1"/>
  <c r="AP36" i="1"/>
  <c r="AP337" i="1"/>
  <c r="AP65" i="1"/>
  <c r="AP174" i="1"/>
  <c r="AP315" i="1"/>
  <c r="AP207" i="1"/>
  <c r="AP49" i="1"/>
  <c r="AP180" i="1"/>
  <c r="AP48" i="1"/>
  <c r="AP202" i="1"/>
  <c r="AP141" i="1"/>
  <c r="AP208" i="1"/>
  <c r="AP334" i="1"/>
  <c r="AP55" i="1"/>
  <c r="AP176" i="1"/>
  <c r="AP186" i="1"/>
  <c r="AP93" i="1"/>
  <c r="AP148" i="1"/>
  <c r="AP341" i="1"/>
  <c r="AP225" i="1"/>
  <c r="AP183" i="1"/>
  <c r="AP116" i="1"/>
  <c r="AP79" i="1"/>
  <c r="AP346" i="1"/>
  <c r="AP205" i="1"/>
  <c r="AP195" i="1"/>
  <c r="AP153" i="1"/>
  <c r="AP197" i="1"/>
  <c r="AP219" i="1"/>
  <c r="AP190" i="1"/>
  <c r="AP159" i="1"/>
  <c r="AP222" i="1"/>
  <c r="AP5" i="1"/>
  <c r="AP107" i="1"/>
  <c r="AP161" i="1"/>
  <c r="AP73" i="1"/>
  <c r="AP140" i="1"/>
  <c r="AP311" i="1"/>
  <c r="AP248" i="1"/>
  <c r="AP366" i="1"/>
  <c r="AP314" i="1"/>
  <c r="AP231" i="1"/>
  <c r="AP59" i="1"/>
  <c r="AP167" i="1"/>
  <c r="AP6" i="1"/>
  <c r="AP177" i="1"/>
  <c r="AP276" i="1"/>
  <c r="AP328" i="1"/>
  <c r="AP287" i="1"/>
  <c r="AP51" i="1"/>
  <c r="AP350" i="1"/>
  <c r="AP282" i="1"/>
  <c r="AP46" i="1"/>
  <c r="AP351" i="1"/>
  <c r="AP89" i="1"/>
  <c r="AP160" i="1"/>
  <c r="AP60" i="1"/>
  <c r="AP170" i="1"/>
  <c r="AP316" i="1"/>
  <c r="AP335" i="1"/>
  <c r="AN390" i="1"/>
  <c r="AH373" i="1" l="1"/>
  <c r="AP390" i="1"/>
  <c r="C23" i="5" l="1"/>
  <c r="AM373" i="1" l="1"/>
  <c r="AM12" i="1"/>
  <c r="AM36" i="1"/>
  <c r="AM52" i="1"/>
  <c r="AM59" i="1"/>
  <c r="AM74" i="1"/>
  <c r="AM81" i="1"/>
  <c r="AM90" i="1"/>
  <c r="AM113" i="1"/>
  <c r="AM122" i="1"/>
  <c r="AM130" i="1"/>
  <c r="AM137" i="1"/>
  <c r="AM145" i="1"/>
  <c r="AM152" i="1"/>
  <c r="AM161" i="1"/>
  <c r="AM177" i="1"/>
  <c r="AM185" i="1"/>
  <c r="AM193" i="1"/>
  <c r="AM200" i="1"/>
  <c r="AM209" i="1"/>
  <c r="AM226" i="1"/>
  <c r="AM235" i="1"/>
  <c r="AM241" i="1"/>
  <c r="AM248" i="1"/>
  <c r="AM263" i="1"/>
  <c r="AM277" i="1"/>
  <c r="AM284" i="1"/>
  <c r="AM291" i="1"/>
  <c r="AM324" i="1"/>
  <c r="AM340" i="1"/>
  <c r="AM347" i="1"/>
  <c r="AM361" i="1"/>
  <c r="AM367" i="1"/>
  <c r="AM377" i="1"/>
  <c r="AM387" i="1"/>
  <c r="AM11" i="1"/>
  <c r="AM199" i="1"/>
  <c r="AM262" i="1"/>
  <c r="AM346" i="1"/>
  <c r="AM21" i="1"/>
  <c r="AM27" i="1"/>
  <c r="AM43" i="1"/>
  <c r="AM60" i="1"/>
  <c r="AM67" i="1"/>
  <c r="AM91" i="1"/>
  <c r="AM98" i="1"/>
  <c r="AM105" i="1"/>
  <c r="AM138" i="1"/>
  <c r="AM153" i="1"/>
  <c r="AM169" i="1"/>
  <c r="AM186" i="1"/>
  <c r="AM201" i="1"/>
  <c r="AM217" i="1"/>
  <c r="AM227" i="1"/>
  <c r="AM249" i="1"/>
  <c r="AM257" i="1"/>
  <c r="AM270" i="1"/>
  <c r="AM297" i="1"/>
  <c r="AM303" i="1"/>
  <c r="AM310" i="1"/>
  <c r="AM318" i="1"/>
  <c r="AM332" i="1"/>
  <c r="AM341" i="1"/>
  <c r="AM355" i="1"/>
  <c r="AM362" i="1"/>
  <c r="AM382" i="1"/>
  <c r="AM51" i="1"/>
  <c r="AM120" i="1"/>
  <c r="AM184" i="1"/>
  <c r="AM379" i="1"/>
  <c r="AM4" i="1"/>
  <c r="AM13" i="1"/>
  <c r="AM28" i="1"/>
  <c r="AM37" i="1"/>
  <c r="AM44" i="1"/>
  <c r="AM53" i="1"/>
  <c r="AM75" i="1"/>
  <c r="AM82" i="1"/>
  <c r="AM114" i="1"/>
  <c r="AM123" i="1"/>
  <c r="AM131" i="1"/>
  <c r="AM146" i="1"/>
  <c r="AM162" i="1"/>
  <c r="AM170" i="1"/>
  <c r="AM178" i="1"/>
  <c r="AM187" i="1"/>
  <c r="AM194" i="1"/>
  <c r="AM202" i="1"/>
  <c r="AM210" i="1"/>
  <c r="AM218" i="1"/>
  <c r="AM228" i="1"/>
  <c r="AM236" i="1"/>
  <c r="AM242" i="1"/>
  <c r="AM250" i="1"/>
  <c r="AM264" i="1"/>
  <c r="AM278" i="1"/>
  <c r="AM285" i="1"/>
  <c r="AM292" i="1"/>
  <c r="AM304" i="1"/>
  <c r="AM311" i="1"/>
  <c r="AM325" i="1"/>
  <c r="AM348" i="1"/>
  <c r="AM374" i="1"/>
  <c r="AM234" i="1"/>
  <c r="AM5" i="1"/>
  <c r="AM14" i="1"/>
  <c r="AM22" i="1"/>
  <c r="AM45" i="1"/>
  <c r="AM61" i="1"/>
  <c r="AM68" i="1"/>
  <c r="AM83" i="1"/>
  <c r="AM92" i="1"/>
  <c r="AM99" i="1"/>
  <c r="AM106" i="1"/>
  <c r="AM132" i="1"/>
  <c r="AM139" i="1"/>
  <c r="AM154" i="1"/>
  <c r="AM163" i="1"/>
  <c r="AM179" i="1"/>
  <c r="AM188" i="1"/>
  <c r="AM195" i="1"/>
  <c r="AM211" i="1"/>
  <c r="AM219" i="1"/>
  <c r="AM229" i="1"/>
  <c r="AM258" i="1"/>
  <c r="AM265" i="1"/>
  <c r="AM271" i="1"/>
  <c r="AM298" i="1"/>
  <c r="AM319" i="1"/>
  <c r="AM333" i="1"/>
  <c r="AM342" i="1"/>
  <c r="AM349" i="1"/>
  <c r="AM356" i="1"/>
  <c r="AM363" i="1"/>
  <c r="AM368" i="1"/>
  <c r="AM380" i="1"/>
  <c r="AM276" i="1"/>
  <c r="AM323" i="1"/>
  <c r="AM366" i="1"/>
  <c r="AM6" i="1"/>
  <c r="AM15" i="1"/>
  <c r="AM29" i="1"/>
  <c r="AM38" i="1"/>
  <c r="AM46" i="1"/>
  <c r="AM54" i="1"/>
  <c r="AM76" i="1"/>
  <c r="AM84" i="1"/>
  <c r="AM93" i="1"/>
  <c r="AM107" i="1"/>
  <c r="AM115" i="1"/>
  <c r="AM124" i="1"/>
  <c r="AM140" i="1"/>
  <c r="AM147" i="1"/>
  <c r="AM171" i="1"/>
  <c r="AM180" i="1"/>
  <c r="AM203" i="1"/>
  <c r="AM220" i="1"/>
  <c r="AM237" i="1"/>
  <c r="AM243" i="1"/>
  <c r="AM251" i="1"/>
  <c r="AM272" i="1"/>
  <c r="AM279" i="1"/>
  <c r="AM286" i="1"/>
  <c r="AM293" i="1"/>
  <c r="AM305" i="1"/>
  <c r="AM312" i="1"/>
  <c r="AM326" i="1"/>
  <c r="AM334" i="1"/>
  <c r="AM350" i="1"/>
  <c r="AM385" i="1"/>
  <c r="AM383" i="1"/>
  <c r="AM388" i="1"/>
  <c r="AM96" i="1"/>
  <c r="AM144" i="1"/>
  <c r="AM224" i="1"/>
  <c r="AM7" i="1"/>
  <c r="AM23" i="1"/>
  <c r="AM55" i="1"/>
  <c r="AM62" i="1"/>
  <c r="AM69" i="1"/>
  <c r="AM100" i="1"/>
  <c r="AM108" i="1"/>
  <c r="AM116" i="1"/>
  <c r="AM133" i="1"/>
  <c r="AM141" i="1"/>
  <c r="AM148" i="1"/>
  <c r="AM155" i="1"/>
  <c r="AM164" i="1"/>
  <c r="AM172" i="1"/>
  <c r="AM181" i="1"/>
  <c r="AM189" i="1"/>
  <c r="AM196" i="1"/>
  <c r="AM212" i="1"/>
  <c r="AM230" i="1"/>
  <c r="AM252" i="1"/>
  <c r="AM259" i="1"/>
  <c r="AM266" i="1"/>
  <c r="AM287" i="1"/>
  <c r="AM299" i="1"/>
  <c r="AM306" i="1"/>
  <c r="AM320" i="1"/>
  <c r="AM327" i="1"/>
  <c r="AM335" i="1"/>
  <c r="AM343" i="1"/>
  <c r="AM351" i="1"/>
  <c r="AM357" i="1"/>
  <c r="AM369" i="1"/>
  <c r="AM378" i="1"/>
  <c r="AM389" i="1"/>
  <c r="AM34" i="1"/>
  <c r="AM8" i="1"/>
  <c r="AM16" i="1"/>
  <c r="AM30" i="1"/>
  <c r="AM39" i="1"/>
  <c r="AM47" i="1"/>
  <c r="AM70" i="1"/>
  <c r="AM77" i="1"/>
  <c r="AM85" i="1"/>
  <c r="AM94" i="1"/>
  <c r="AM117" i="1"/>
  <c r="AM125" i="1"/>
  <c r="AM149" i="1"/>
  <c r="AM156" i="1"/>
  <c r="AM165" i="1"/>
  <c r="AM190" i="1"/>
  <c r="AM197" i="1"/>
  <c r="AM204" i="1"/>
  <c r="AM213" i="1"/>
  <c r="AM221" i="1"/>
  <c r="AM231" i="1"/>
  <c r="AM238" i="1"/>
  <c r="AM244" i="1"/>
  <c r="AM260" i="1"/>
  <c r="AM273" i="1"/>
  <c r="AM280" i="1"/>
  <c r="AM313" i="1"/>
  <c r="AM328" i="1"/>
  <c r="AM336" i="1"/>
  <c r="AM364" i="1"/>
  <c r="AM65" i="1"/>
  <c r="AM151" i="1"/>
  <c r="AM283" i="1"/>
  <c r="AM17" i="1"/>
  <c r="AM24" i="1"/>
  <c r="AM31" i="1"/>
  <c r="AM48" i="1"/>
  <c r="AM56" i="1"/>
  <c r="AM63" i="1"/>
  <c r="AM86" i="1"/>
  <c r="AM101" i="1"/>
  <c r="AM109" i="1"/>
  <c r="AM126" i="1"/>
  <c r="AM134" i="1"/>
  <c r="AM142" i="1"/>
  <c r="AM157" i="1"/>
  <c r="AM173" i="1"/>
  <c r="AM182" i="1"/>
  <c r="AM205" i="1"/>
  <c r="AM222" i="1"/>
  <c r="AM232" i="1"/>
  <c r="AM253" i="1"/>
  <c r="AM267" i="1"/>
  <c r="AM274" i="1"/>
  <c r="AM281" i="1"/>
  <c r="AM288" i="1"/>
  <c r="AM294" i="1"/>
  <c r="AM300" i="1"/>
  <c r="AM307" i="1"/>
  <c r="AM314" i="1"/>
  <c r="AM321" i="1"/>
  <c r="AM337" i="1"/>
  <c r="AM344" i="1"/>
  <c r="AM358" i="1"/>
  <c r="AM370" i="1"/>
  <c r="AM376" i="1"/>
  <c r="AM88" i="1"/>
  <c r="AM103" i="1"/>
  <c r="AM175" i="1"/>
  <c r="AM9" i="1"/>
  <c r="AM32" i="1"/>
  <c r="AM40" i="1"/>
  <c r="AM49" i="1"/>
  <c r="AM71" i="1"/>
  <c r="AM78" i="1"/>
  <c r="AM95" i="1"/>
  <c r="AM102" i="1"/>
  <c r="AM110" i="1"/>
  <c r="AM118" i="1"/>
  <c r="AM127" i="1"/>
  <c r="AM150" i="1"/>
  <c r="AM166" i="1"/>
  <c r="AM174" i="1"/>
  <c r="AM183" i="1"/>
  <c r="AM191" i="1"/>
  <c r="AM198" i="1"/>
  <c r="AM206" i="1"/>
  <c r="AM214" i="1"/>
  <c r="AM223" i="1"/>
  <c r="AM239" i="1"/>
  <c r="AM245" i="1"/>
  <c r="AM254" i="1"/>
  <c r="AM261" i="1"/>
  <c r="AM282" i="1"/>
  <c r="AM315" i="1"/>
  <c r="AM329" i="1"/>
  <c r="AM352" i="1"/>
  <c r="AM365" i="1"/>
  <c r="AM381" i="1"/>
  <c r="AM208" i="1"/>
  <c r="AM10" i="1"/>
  <c r="AM18" i="1"/>
  <c r="AM25" i="1"/>
  <c r="AM33" i="1"/>
  <c r="AM41" i="1"/>
  <c r="AM50" i="1"/>
  <c r="AM57" i="1"/>
  <c r="AM64" i="1"/>
  <c r="AM72" i="1"/>
  <c r="AM79" i="1"/>
  <c r="AM87" i="1"/>
  <c r="AM111" i="1"/>
  <c r="AM119" i="1"/>
  <c r="AM128" i="1"/>
  <c r="AM135" i="1"/>
  <c r="AM143" i="1"/>
  <c r="AM158" i="1"/>
  <c r="AM167" i="1"/>
  <c r="AM207" i="1"/>
  <c r="AM215" i="1"/>
  <c r="AM233" i="1"/>
  <c r="AM246" i="1"/>
  <c r="AM255" i="1"/>
  <c r="AM268" i="1"/>
  <c r="AM275" i="1"/>
  <c r="AM289" i="1"/>
  <c r="AM295" i="1"/>
  <c r="AM301" i="1"/>
  <c r="AM308" i="1"/>
  <c r="AM316" i="1"/>
  <c r="AM322" i="1"/>
  <c r="AM330" i="1"/>
  <c r="AM338" i="1"/>
  <c r="AM345" i="1"/>
  <c r="AM353" i="1"/>
  <c r="AM359" i="1"/>
  <c r="AM371" i="1"/>
  <c r="AM73" i="1"/>
  <c r="AM192" i="1"/>
  <c r="AM20" i="1"/>
  <c r="AM26" i="1"/>
  <c r="AM35" i="1"/>
  <c r="AM42" i="1"/>
  <c r="AM58" i="1"/>
  <c r="AM66" i="1"/>
  <c r="AM80" i="1"/>
  <c r="AM89" i="1"/>
  <c r="AM97" i="1"/>
  <c r="AM104" i="1"/>
  <c r="AM121" i="1"/>
  <c r="AM129" i="1"/>
  <c r="AM136" i="1"/>
  <c r="AM160" i="1"/>
  <c r="AM168" i="1"/>
  <c r="AM176" i="1"/>
  <c r="AM216" i="1"/>
  <c r="AM225" i="1"/>
  <c r="AM247" i="1"/>
  <c r="AM256" i="1"/>
  <c r="AM269" i="1"/>
  <c r="AM290" i="1"/>
  <c r="AM296" i="1"/>
  <c r="AM302" i="1"/>
  <c r="AM309" i="1"/>
  <c r="AM317" i="1"/>
  <c r="AM331" i="1"/>
  <c r="AM354" i="1"/>
  <c r="AM360" i="1"/>
  <c r="AM372" i="1"/>
  <c r="AM384" i="1"/>
  <c r="AM386" i="1"/>
  <c r="AM19" i="1"/>
  <c r="AM112" i="1"/>
  <c r="AM159" i="1"/>
  <c r="AM240" i="1"/>
  <c r="AM339" i="1"/>
  <c r="AO389" i="1"/>
  <c r="AQ389" i="1" s="1"/>
  <c r="AR389" i="1" s="1"/>
  <c r="AS389" i="1" s="1"/>
  <c r="AO373" i="1"/>
  <c r="AQ373" i="1" s="1"/>
  <c r="AO382" i="1"/>
  <c r="AQ382" i="1" s="1"/>
  <c r="AR382" i="1" s="1"/>
  <c r="AS382" i="1" s="1"/>
  <c r="AO209" i="1"/>
  <c r="AQ209" i="1" s="1"/>
  <c r="AO247" i="1"/>
  <c r="AQ247" i="1" s="1"/>
  <c r="AO191" i="1"/>
  <c r="AQ191" i="1" s="1"/>
  <c r="AO378" i="1"/>
  <c r="AQ378" i="1" s="1"/>
  <c r="AO210" i="1"/>
  <c r="AQ210" i="1" s="1"/>
  <c r="AO279" i="1"/>
  <c r="AQ279" i="1" s="1"/>
  <c r="AO23" i="1"/>
  <c r="AQ23" i="1" s="1"/>
  <c r="AO381" i="1"/>
  <c r="AQ381" i="1" s="1"/>
  <c r="AO9" i="1"/>
  <c r="AQ9" i="1" s="1"/>
  <c r="AO387" i="1"/>
  <c r="AQ387" i="1" s="1"/>
  <c r="AO318" i="1"/>
  <c r="AQ318" i="1" s="1"/>
  <c r="AO308" i="1"/>
  <c r="AQ308" i="1" s="1"/>
  <c r="AO40" i="1"/>
  <c r="AQ40" i="1" s="1"/>
  <c r="AO37" i="1"/>
  <c r="AQ37" i="1" s="1"/>
  <c r="AO244" i="1"/>
  <c r="AQ244" i="1" s="1"/>
  <c r="AO380" i="1"/>
  <c r="AQ380" i="1" s="1"/>
  <c r="AR380" i="1" s="1"/>
  <c r="AS380" i="1" s="1"/>
  <c r="AO82" i="1"/>
  <c r="AQ82" i="1" s="1"/>
  <c r="AO139" i="1"/>
  <c r="AQ139" i="1" s="1"/>
  <c r="AO251" i="1"/>
  <c r="AQ251" i="1" s="1"/>
  <c r="AO377" i="1"/>
  <c r="AQ377" i="1" s="1"/>
  <c r="AO155" i="1"/>
  <c r="AQ155" i="1" s="1"/>
  <c r="AO376" i="1"/>
  <c r="AQ376" i="1" s="1"/>
  <c r="AO384" i="1"/>
  <c r="AQ384" i="1" s="1"/>
  <c r="AO239" i="1"/>
  <c r="AQ239" i="1" s="1"/>
  <c r="AO388" i="1"/>
  <c r="AQ388" i="1" s="1"/>
  <c r="AO325" i="1"/>
  <c r="AQ325" i="1" s="1"/>
  <c r="AO27" i="1"/>
  <c r="AQ27" i="1" s="1"/>
  <c r="AO383" i="1"/>
  <c r="AQ383" i="1" s="1"/>
  <c r="AO78" i="1"/>
  <c r="AQ78" i="1" s="1"/>
  <c r="AO289" i="1"/>
  <c r="AQ289" i="1" s="1"/>
  <c r="AO379" i="1"/>
  <c r="AQ379" i="1" s="1"/>
  <c r="AO386" i="1"/>
  <c r="AQ386" i="1" s="1"/>
  <c r="AO385" i="1"/>
  <c r="AQ385" i="1" s="1"/>
  <c r="AO194" i="1"/>
  <c r="AQ194" i="1" s="1"/>
  <c r="AO24" i="1"/>
  <c r="AQ24" i="1" s="1"/>
  <c r="AO217" i="1"/>
  <c r="AQ217" i="1" s="1"/>
  <c r="AO298" i="1"/>
  <c r="AQ298" i="1" s="1"/>
  <c r="AO31" i="1"/>
  <c r="AO62" i="1"/>
  <c r="AQ62" i="1" s="1"/>
  <c r="AO230" i="1"/>
  <c r="AQ230" i="1" s="1"/>
  <c r="AO125" i="1"/>
  <c r="AQ125" i="1" s="1"/>
  <c r="AO319" i="1"/>
  <c r="AQ319" i="1" s="1"/>
  <c r="AO345" i="1"/>
  <c r="AQ345" i="1" s="1"/>
  <c r="AO188" i="1"/>
  <c r="AQ188" i="1" s="1"/>
  <c r="AO216" i="1"/>
  <c r="AQ216" i="1" s="1"/>
  <c r="AO352" i="1"/>
  <c r="AQ352" i="1" s="1"/>
  <c r="AO269" i="1"/>
  <c r="AQ269" i="1" s="1"/>
  <c r="AO175" i="1"/>
  <c r="AQ175" i="1" s="1"/>
  <c r="AO273" i="1"/>
  <c r="AQ273" i="1" s="1"/>
  <c r="AO34" i="1"/>
  <c r="AO87" i="1"/>
  <c r="AQ87" i="1" s="1"/>
  <c r="AO98" i="1"/>
  <c r="AQ98" i="1" s="1"/>
  <c r="AO12" i="1"/>
  <c r="AQ12" i="1" s="1"/>
  <c r="AO312" i="1"/>
  <c r="AQ312" i="1" s="1"/>
  <c r="AO264" i="1"/>
  <c r="AQ264" i="1" s="1"/>
  <c r="AO326" i="1"/>
  <c r="AQ326" i="1" s="1"/>
  <c r="AO295" i="1"/>
  <c r="AQ295" i="1" s="1"/>
  <c r="AO347" i="1"/>
  <c r="AQ347" i="1" s="1"/>
  <c r="AO21" i="1"/>
  <c r="AQ21" i="1" s="1"/>
  <c r="AO61" i="1"/>
  <c r="AQ61" i="1" s="1"/>
  <c r="AO166" i="1"/>
  <c r="AQ166" i="1" s="1"/>
  <c r="AO374" i="1"/>
  <c r="AQ374" i="1" s="1"/>
  <c r="AO105" i="1"/>
  <c r="AQ105" i="1" s="1"/>
  <c r="AO164" i="1"/>
  <c r="AQ164" i="1" s="1"/>
  <c r="AO330" i="1"/>
  <c r="AQ330" i="1" s="1"/>
  <c r="AO67" i="1"/>
  <c r="AQ67" i="1" s="1"/>
  <c r="AO285" i="1"/>
  <c r="AQ285" i="1" s="1"/>
  <c r="AO189" i="1"/>
  <c r="AQ189" i="1" s="1"/>
  <c r="AO150" i="1"/>
  <c r="AO348" i="1"/>
  <c r="AQ348" i="1" s="1"/>
  <c r="AO332" i="1"/>
  <c r="AQ332" i="1" s="1"/>
  <c r="AO317" i="1"/>
  <c r="AQ317" i="1" s="1"/>
  <c r="AO134" i="1"/>
  <c r="AQ134" i="1" s="1"/>
  <c r="AO310" i="1"/>
  <c r="AQ310" i="1" s="1"/>
  <c r="AO361" i="1"/>
  <c r="AQ361" i="1" s="1"/>
  <c r="AO199" i="1"/>
  <c r="AQ199" i="1" s="1"/>
  <c r="AO221" i="1"/>
  <c r="AQ221" i="1" s="1"/>
  <c r="AO333" i="1"/>
  <c r="AQ333" i="1" s="1"/>
  <c r="AO42" i="1"/>
  <c r="AO321" i="1"/>
  <c r="AQ321" i="1" s="1"/>
  <c r="AO131" i="1"/>
  <c r="AQ131" i="1" s="1"/>
  <c r="AO355" i="1"/>
  <c r="AQ355" i="1" s="1"/>
  <c r="AO71" i="1"/>
  <c r="AQ71" i="1" s="1"/>
  <c r="AO268" i="1"/>
  <c r="AQ268" i="1" s="1"/>
  <c r="AO354" i="1"/>
  <c r="AQ354" i="1" s="1"/>
  <c r="AO371" i="1"/>
  <c r="AQ371" i="1" s="1"/>
  <c r="AO200" i="1"/>
  <c r="AQ200" i="1" s="1"/>
  <c r="AO271" i="1"/>
  <c r="AQ271" i="1" s="1"/>
  <c r="AO331" i="1"/>
  <c r="AQ331" i="1" s="1"/>
  <c r="AO372" i="1"/>
  <c r="AQ372" i="1" s="1"/>
  <c r="AO270" i="1"/>
  <c r="AQ270" i="1" s="1"/>
  <c r="AO17" i="1"/>
  <c r="AQ17" i="1" s="1"/>
  <c r="AO342" i="1"/>
  <c r="AQ342" i="1" s="1"/>
  <c r="AO26" i="1"/>
  <c r="AQ26" i="1" s="1"/>
  <c r="AO147" i="1"/>
  <c r="AQ147" i="1" s="1"/>
  <c r="AO256" i="1"/>
  <c r="AQ256" i="1" s="1"/>
  <c r="AO171" i="1"/>
  <c r="AO75" i="1"/>
  <c r="AQ75" i="1" s="1"/>
  <c r="AO69" i="1"/>
  <c r="AQ69" i="1" s="1"/>
  <c r="AO53" i="1"/>
  <c r="AQ53" i="1" s="1"/>
  <c r="AO320" i="1"/>
  <c r="AQ320" i="1" s="1"/>
  <c r="AO94" i="1"/>
  <c r="AQ94" i="1" s="1"/>
  <c r="AO329" i="1"/>
  <c r="AQ329" i="1" s="1"/>
  <c r="AO16" i="1"/>
  <c r="AQ16" i="1" s="1"/>
  <c r="AO58" i="1"/>
  <c r="AQ58" i="1" s="1"/>
  <c r="AO63" i="1"/>
  <c r="AQ63" i="1" s="1"/>
  <c r="AO214" i="1"/>
  <c r="AO357" i="1"/>
  <c r="AQ357" i="1" s="1"/>
  <c r="AO228" i="1"/>
  <c r="AQ228" i="1" s="1"/>
  <c r="AO129" i="1"/>
  <c r="AQ129" i="1" s="1"/>
  <c r="AO54" i="1"/>
  <c r="AQ54" i="1" s="1"/>
  <c r="AO154" i="1"/>
  <c r="AQ154" i="1" s="1"/>
  <c r="AO29" i="1"/>
  <c r="AQ29" i="1" s="1"/>
  <c r="AO68" i="1"/>
  <c r="AQ68" i="1" s="1"/>
  <c r="AO344" i="1"/>
  <c r="AQ344" i="1" s="1"/>
  <c r="AO292" i="1"/>
  <c r="AQ292" i="1" s="1"/>
  <c r="AO133" i="1"/>
  <c r="AQ133" i="1" s="1"/>
  <c r="AO57" i="1"/>
  <c r="AQ57" i="1" s="1"/>
  <c r="AO356" i="1"/>
  <c r="AQ356" i="1" s="1"/>
  <c r="AO143" i="1"/>
  <c r="AQ143" i="1" s="1"/>
  <c r="AO110" i="1"/>
  <c r="AO173" i="1"/>
  <c r="AQ173" i="1" s="1"/>
  <c r="AO203" i="1"/>
  <c r="AQ203" i="1" s="1"/>
  <c r="AO145" i="1"/>
  <c r="AQ145" i="1" s="1"/>
  <c r="AO95" i="1"/>
  <c r="AQ95" i="1" s="1"/>
  <c r="AO146" i="1"/>
  <c r="AQ146" i="1" s="1"/>
  <c r="AO261" i="1"/>
  <c r="AQ261" i="1" s="1"/>
  <c r="AO300" i="1"/>
  <c r="AQ300" i="1" s="1"/>
  <c r="AO86" i="1"/>
  <c r="AO114" i="1"/>
  <c r="AQ114" i="1" s="1"/>
  <c r="AO70" i="1"/>
  <c r="AQ70" i="1" s="1"/>
  <c r="AO278" i="1"/>
  <c r="AQ278" i="1" s="1"/>
  <c r="AO360" i="1"/>
  <c r="AQ360" i="1" s="1"/>
  <c r="AO85" i="1"/>
  <c r="AQ85" i="1" s="1"/>
  <c r="AO106" i="1"/>
  <c r="AQ106" i="1" s="1"/>
  <c r="AO92" i="1"/>
  <c r="AQ92" i="1" s="1"/>
  <c r="AO368" i="1"/>
  <c r="AQ368" i="1" s="1"/>
  <c r="AO135" i="1"/>
  <c r="AQ135" i="1" s="1"/>
  <c r="AO192" i="1"/>
  <c r="AQ192" i="1" s="1"/>
  <c r="AO138" i="1"/>
  <c r="AQ138" i="1" s="1"/>
  <c r="AO4" i="1"/>
  <c r="AQ4" i="1" s="1"/>
  <c r="AO76" i="1"/>
  <c r="AQ76" i="1" s="1"/>
  <c r="AO113" i="1"/>
  <c r="AQ113" i="1" s="1"/>
  <c r="AO370" i="1"/>
  <c r="AQ370" i="1" s="1"/>
  <c r="AO184" i="1"/>
  <c r="AQ184" i="1" s="1"/>
  <c r="AO307" i="1"/>
  <c r="AQ307" i="1" s="1"/>
  <c r="AO118" i="1"/>
  <c r="AQ118" i="1" s="1"/>
  <c r="AO299" i="1"/>
  <c r="AQ299" i="1" s="1"/>
  <c r="AO343" i="1"/>
  <c r="AQ343" i="1" s="1"/>
  <c r="AO296" i="1"/>
  <c r="AQ296" i="1" s="1"/>
  <c r="AO52" i="1"/>
  <c r="AQ52" i="1" s="1"/>
  <c r="AO162" i="1"/>
  <c r="AQ162" i="1" s="1"/>
  <c r="AO109" i="1"/>
  <c r="AQ109" i="1" s="1"/>
  <c r="AO363" i="1"/>
  <c r="AQ363" i="1" s="1"/>
  <c r="AO169" i="1"/>
  <c r="AO280" i="1"/>
  <c r="AQ280" i="1" s="1"/>
  <c r="AO324" i="1"/>
  <c r="AQ324" i="1" s="1"/>
  <c r="AO223" i="1"/>
  <c r="AQ223" i="1" s="1"/>
  <c r="AO196" i="1"/>
  <c r="AQ196" i="1" s="1"/>
  <c r="AO35" i="1"/>
  <c r="AO262" i="1"/>
  <c r="AQ262" i="1" s="1"/>
  <c r="AO99" i="1"/>
  <c r="AQ99" i="1" s="1"/>
  <c r="AO204" i="1"/>
  <c r="AQ204" i="1" s="1"/>
  <c r="AO241" i="1"/>
  <c r="AQ241" i="1" s="1"/>
  <c r="AO123" i="1"/>
  <c r="AQ123" i="1" s="1"/>
  <c r="AO88" i="1"/>
  <c r="AQ88" i="1" s="1"/>
  <c r="AO224" i="1"/>
  <c r="AQ224" i="1" s="1"/>
  <c r="AO152" i="1"/>
  <c r="AQ152" i="1" s="1"/>
  <c r="AO236" i="1"/>
  <c r="AQ236" i="1" s="1"/>
  <c r="AO77" i="1"/>
  <c r="AO267" i="1"/>
  <c r="AQ267" i="1" s="1"/>
  <c r="AO13" i="1"/>
  <c r="AQ13" i="1" s="1"/>
  <c r="AO124" i="1"/>
  <c r="AQ124" i="1" s="1"/>
  <c r="AO233" i="1"/>
  <c r="AQ233" i="1" s="1"/>
  <c r="AO237" i="1"/>
  <c r="AQ237" i="1" s="1"/>
  <c r="AO158" i="1"/>
  <c r="AQ158" i="1" s="1"/>
  <c r="AO182" i="1"/>
  <c r="AQ182" i="1" s="1"/>
  <c r="AO74" i="1"/>
  <c r="AQ74" i="1" s="1"/>
  <c r="AO72" i="1"/>
  <c r="AQ72" i="1" s="1"/>
  <c r="AO277" i="1"/>
  <c r="AQ277" i="1" s="1"/>
  <c r="AO253" i="1"/>
  <c r="AQ253" i="1" s="1"/>
  <c r="AO284" i="1"/>
  <c r="AQ284" i="1" s="1"/>
  <c r="AO243" i="1"/>
  <c r="AQ243" i="1" s="1"/>
  <c r="AO305" i="1"/>
  <c r="AQ305" i="1" s="1"/>
  <c r="AO96" i="1"/>
  <c r="AQ96" i="1" s="1"/>
  <c r="AO101" i="1"/>
  <c r="AQ101" i="1" s="1"/>
  <c r="AO338" i="1"/>
  <c r="AQ338" i="1" s="1"/>
  <c r="AO215" i="1"/>
  <c r="AQ215" i="1" s="1"/>
  <c r="AO18" i="1"/>
  <c r="AQ18" i="1" s="1"/>
  <c r="AO266" i="1"/>
  <c r="AQ266" i="1" s="1"/>
  <c r="AO100" i="1"/>
  <c r="AQ100" i="1" s="1"/>
  <c r="AO254" i="1"/>
  <c r="AO38" i="1"/>
  <c r="AQ38" i="1" s="1"/>
  <c r="AO258" i="1"/>
  <c r="AQ258" i="1" s="1"/>
  <c r="AO288" i="1"/>
  <c r="AQ288" i="1" s="1"/>
  <c r="AO290" i="1"/>
  <c r="AQ290" i="1" s="1"/>
  <c r="AO340" i="1"/>
  <c r="AQ340" i="1" s="1"/>
  <c r="AO212" i="1"/>
  <c r="AQ212" i="1" s="1"/>
  <c r="AO178" i="1"/>
  <c r="AQ178" i="1" s="1"/>
  <c r="AO47" i="1"/>
  <c r="AQ47" i="1" s="1"/>
  <c r="AO240" i="1"/>
  <c r="AQ240" i="1" s="1"/>
  <c r="AO245" i="1"/>
  <c r="AQ245" i="1" s="1"/>
  <c r="AO156" i="1"/>
  <c r="AQ156" i="1" s="1"/>
  <c r="AO257" i="1"/>
  <c r="AQ257" i="1" s="1"/>
  <c r="AO151" i="1"/>
  <c r="AQ151" i="1" s="1"/>
  <c r="AO364" i="1"/>
  <c r="AQ364" i="1" s="1"/>
  <c r="AO235" i="1"/>
  <c r="AQ235" i="1" s="1"/>
  <c r="AO238" i="1"/>
  <c r="AQ238" i="1" s="1"/>
  <c r="AO185" i="1"/>
  <c r="AQ185" i="1" s="1"/>
  <c r="AO322" i="1"/>
  <c r="AQ322" i="1" s="1"/>
  <c r="AO198" i="1"/>
  <c r="AQ198" i="1" s="1"/>
  <c r="AO30" i="1"/>
  <c r="AQ30" i="1" s="1"/>
  <c r="AO294" i="1"/>
  <c r="AQ294" i="1" s="1"/>
  <c r="AO103" i="1"/>
  <c r="AQ103" i="1" s="1"/>
  <c r="AO43" i="1"/>
  <c r="AQ43" i="1" s="1"/>
  <c r="AO275" i="1"/>
  <c r="AQ275" i="1" s="1"/>
  <c r="AO22" i="1"/>
  <c r="AQ22" i="1" s="1"/>
  <c r="AO293" i="1"/>
  <c r="AQ293" i="1" s="1"/>
  <c r="AO142" i="1"/>
  <c r="AQ142" i="1" s="1"/>
  <c r="AO259" i="1"/>
  <c r="AQ259" i="1" s="1"/>
  <c r="AO367" i="1"/>
  <c r="AQ367" i="1" s="1"/>
  <c r="AO365" i="1"/>
  <c r="AQ365" i="1" s="1"/>
  <c r="AO33" i="1"/>
  <c r="AO252" i="1"/>
  <c r="AQ252" i="1" s="1"/>
  <c r="AO25" i="1"/>
  <c r="AQ25" i="1" s="1"/>
  <c r="AO303" i="1"/>
  <c r="AQ303" i="1" s="1"/>
  <c r="AO359" i="1"/>
  <c r="AQ359" i="1" s="1"/>
  <c r="AO39" i="1"/>
  <c r="AQ39" i="1" s="1"/>
  <c r="AO136" i="1"/>
  <c r="AQ136" i="1" s="1"/>
  <c r="AO80" i="1"/>
  <c r="AQ80" i="1" s="1"/>
  <c r="AO286" i="1"/>
  <c r="AQ286" i="1" s="1"/>
  <c r="AO193" i="1"/>
  <c r="AQ193" i="1" s="1"/>
  <c r="AO309" i="1"/>
  <c r="AQ309" i="1" s="1"/>
  <c r="AO283" i="1"/>
  <c r="AQ283" i="1" s="1"/>
  <c r="AO242" i="1"/>
  <c r="AQ242" i="1" s="1"/>
  <c r="AO263" i="1"/>
  <c r="AQ263" i="1" s="1"/>
  <c r="AO297" i="1"/>
  <c r="AQ297" i="1" s="1"/>
  <c r="AO301" i="1"/>
  <c r="AQ301" i="1" s="1"/>
  <c r="AO302" i="1"/>
  <c r="AQ302" i="1" s="1"/>
  <c r="AO358" i="1"/>
  <c r="AQ358" i="1" s="1"/>
  <c r="AO64" i="1"/>
  <c r="AQ64" i="1" s="1"/>
  <c r="AO56" i="1"/>
  <c r="AQ56" i="1" s="1"/>
  <c r="AO313" i="1"/>
  <c r="AQ313" i="1" s="1"/>
  <c r="AO272" i="1"/>
  <c r="AQ272" i="1" s="1"/>
  <c r="AO19" i="1"/>
  <c r="AQ19" i="1" s="1"/>
  <c r="AO130" i="1"/>
  <c r="AQ130" i="1" s="1"/>
  <c r="AO339" i="1"/>
  <c r="AQ339" i="1" s="1"/>
  <c r="AO112" i="1"/>
  <c r="AQ112" i="1" s="1"/>
  <c r="AO181" i="1"/>
  <c r="AQ181" i="1" s="1"/>
  <c r="AO234" i="1"/>
  <c r="AQ234" i="1" s="1"/>
  <c r="AO229" i="1"/>
  <c r="AQ229" i="1" s="1"/>
  <c r="AO97" i="1"/>
  <c r="AQ97" i="1" s="1"/>
  <c r="AO165" i="1"/>
  <c r="AQ165" i="1" s="1"/>
  <c r="AO65" i="1"/>
  <c r="AQ65" i="1" s="1"/>
  <c r="AO28" i="1"/>
  <c r="AQ28" i="1" s="1"/>
  <c r="AO349" i="1"/>
  <c r="AQ349" i="1" s="1"/>
  <c r="AO119" i="1"/>
  <c r="AQ119" i="1" s="1"/>
  <c r="AO201" i="1"/>
  <c r="AQ201" i="1" s="1"/>
  <c r="AO32" i="1"/>
  <c r="AQ32" i="1" s="1"/>
  <c r="AO84" i="1"/>
  <c r="AQ84" i="1" s="1"/>
  <c r="AO144" i="1"/>
  <c r="AQ144" i="1" s="1"/>
  <c r="AO218" i="1"/>
  <c r="AQ218" i="1" s="1"/>
  <c r="AO174" i="1"/>
  <c r="AQ174" i="1" s="1"/>
  <c r="AO202" i="1"/>
  <c r="AQ202" i="1" s="1"/>
  <c r="AO186" i="1"/>
  <c r="AQ186" i="1" s="1"/>
  <c r="AO116" i="1"/>
  <c r="AQ116" i="1" s="1"/>
  <c r="AO197" i="1"/>
  <c r="AQ197" i="1" s="1"/>
  <c r="AO107" i="1"/>
  <c r="AQ107" i="1" s="1"/>
  <c r="AO366" i="1"/>
  <c r="AQ366" i="1" s="1"/>
  <c r="AO177" i="1"/>
  <c r="AQ177" i="1" s="1"/>
  <c r="AO170" i="1"/>
  <c r="AQ170" i="1" s="1"/>
  <c r="AO121" i="1"/>
  <c r="AQ121" i="1" s="1"/>
  <c r="AO48" i="1"/>
  <c r="AQ48" i="1" s="1"/>
  <c r="AO248" i="1"/>
  <c r="AQ248" i="1" s="1"/>
  <c r="AO111" i="1"/>
  <c r="AQ111" i="1" s="1"/>
  <c r="AO83" i="1"/>
  <c r="AQ83" i="1" s="1"/>
  <c r="AO132" i="1"/>
  <c r="AQ132" i="1" s="1"/>
  <c r="AO11" i="1"/>
  <c r="AQ11" i="1" s="1"/>
  <c r="AO115" i="1"/>
  <c r="AQ115" i="1" s="1"/>
  <c r="AO282" i="1"/>
  <c r="AQ282" i="1" s="1"/>
  <c r="AO255" i="1"/>
  <c r="AQ255" i="1" s="1"/>
  <c r="AO172" i="1"/>
  <c r="AQ172" i="1" s="1"/>
  <c r="AO163" i="1"/>
  <c r="AQ163" i="1" s="1"/>
  <c r="AO15" i="1"/>
  <c r="AQ15" i="1" s="1"/>
  <c r="AO168" i="1"/>
  <c r="AQ168" i="1" s="1"/>
  <c r="AO291" i="1"/>
  <c r="AQ291" i="1" s="1"/>
  <c r="AO44" i="1"/>
  <c r="AQ44" i="1" s="1"/>
  <c r="AO66" i="1"/>
  <c r="AQ66" i="1" s="1"/>
  <c r="AO315" i="1"/>
  <c r="AQ315" i="1" s="1"/>
  <c r="AO141" i="1"/>
  <c r="AQ141" i="1" s="1"/>
  <c r="AO93" i="1"/>
  <c r="AQ93" i="1" s="1"/>
  <c r="AO79" i="1"/>
  <c r="AQ79" i="1" s="1"/>
  <c r="AO219" i="1"/>
  <c r="AQ219" i="1" s="1"/>
  <c r="AO161" i="1"/>
  <c r="AQ161" i="1" s="1"/>
  <c r="AO314" i="1"/>
  <c r="AQ314" i="1" s="1"/>
  <c r="AO276" i="1"/>
  <c r="AQ276" i="1" s="1"/>
  <c r="AO46" i="1"/>
  <c r="AQ46" i="1" s="1"/>
  <c r="AO316" i="1"/>
  <c r="AQ316" i="1" s="1"/>
  <c r="AO183" i="1"/>
  <c r="AQ183" i="1" s="1"/>
  <c r="AO45" i="1"/>
  <c r="AQ45" i="1" s="1"/>
  <c r="AO187" i="1"/>
  <c r="AQ187" i="1" s="1"/>
  <c r="AO353" i="1"/>
  <c r="AQ353" i="1" s="1"/>
  <c r="AO81" i="1"/>
  <c r="AQ81" i="1" s="1"/>
  <c r="AO220" i="1"/>
  <c r="AQ220" i="1" s="1"/>
  <c r="AO104" i="1"/>
  <c r="AQ104" i="1" s="1"/>
  <c r="AO140" i="1"/>
  <c r="AQ140" i="1" s="1"/>
  <c r="AO7" i="1"/>
  <c r="AQ7" i="1" s="1"/>
  <c r="AO274" i="1"/>
  <c r="AQ274" i="1" s="1"/>
  <c r="AO206" i="1"/>
  <c r="AQ206" i="1" s="1"/>
  <c r="AO122" i="1"/>
  <c r="AQ122" i="1" s="1"/>
  <c r="AO117" i="1"/>
  <c r="AQ117" i="1" s="1"/>
  <c r="AO127" i="1"/>
  <c r="AQ127" i="1" s="1"/>
  <c r="AO207" i="1"/>
  <c r="AQ207" i="1" s="1"/>
  <c r="AO208" i="1"/>
  <c r="AQ208" i="1" s="1"/>
  <c r="AO148" i="1"/>
  <c r="AQ148" i="1" s="1"/>
  <c r="AO346" i="1"/>
  <c r="AQ346" i="1" s="1"/>
  <c r="AO190" i="1"/>
  <c r="AQ190" i="1" s="1"/>
  <c r="AO231" i="1"/>
  <c r="AQ231" i="1" s="1"/>
  <c r="AO328" i="1"/>
  <c r="AQ328" i="1" s="1"/>
  <c r="AO351" i="1"/>
  <c r="AQ351" i="1" s="1"/>
  <c r="AO335" i="1"/>
  <c r="AQ335" i="1" s="1"/>
  <c r="AO73" i="1"/>
  <c r="AQ73" i="1" s="1"/>
  <c r="AO120" i="1"/>
  <c r="AQ120" i="1" s="1"/>
  <c r="AO323" i="1"/>
  <c r="AQ323" i="1" s="1"/>
  <c r="AO213" i="1"/>
  <c r="AQ213" i="1" s="1"/>
  <c r="AO128" i="1"/>
  <c r="AQ128" i="1" s="1"/>
  <c r="AO149" i="1"/>
  <c r="AQ149" i="1" s="1"/>
  <c r="AO91" i="1"/>
  <c r="AQ91" i="1" s="1"/>
  <c r="AO350" i="1"/>
  <c r="AQ350" i="1" s="1"/>
  <c r="AO306" i="1"/>
  <c r="AQ306" i="1" s="1"/>
  <c r="AO226" i="1"/>
  <c r="AQ226" i="1" s="1"/>
  <c r="AO336" i="1"/>
  <c r="AQ336" i="1" s="1"/>
  <c r="AO227" i="1"/>
  <c r="AQ227" i="1" s="1"/>
  <c r="AO50" i="1"/>
  <c r="AQ50" i="1" s="1"/>
  <c r="AO179" i="1"/>
  <c r="AQ179" i="1" s="1"/>
  <c r="AO260" i="1"/>
  <c r="AQ260" i="1" s="1"/>
  <c r="AO327" i="1"/>
  <c r="AQ327" i="1" s="1"/>
  <c r="AO36" i="1"/>
  <c r="AQ36" i="1" s="1"/>
  <c r="AO49" i="1"/>
  <c r="AQ49" i="1" s="1"/>
  <c r="AO205" i="1"/>
  <c r="AQ205" i="1" s="1"/>
  <c r="AO159" i="1"/>
  <c r="AQ159" i="1" s="1"/>
  <c r="AO59" i="1"/>
  <c r="AQ59" i="1" s="1"/>
  <c r="AO287" i="1"/>
  <c r="AQ287" i="1" s="1"/>
  <c r="AO89" i="1"/>
  <c r="AQ89" i="1" s="1"/>
  <c r="AO6" i="1"/>
  <c r="AQ6" i="1" s="1"/>
  <c r="AO8" i="1"/>
  <c r="AQ8" i="1" s="1"/>
  <c r="AO137" i="1"/>
  <c r="AQ137" i="1" s="1"/>
  <c r="AO250" i="1"/>
  <c r="AQ250" i="1" s="1"/>
  <c r="AO334" i="1"/>
  <c r="AQ334" i="1" s="1"/>
  <c r="AO341" i="1"/>
  <c r="AQ341" i="1" s="1"/>
  <c r="AO362" i="1"/>
  <c r="AQ362" i="1" s="1"/>
  <c r="AO41" i="1"/>
  <c r="AQ41" i="1" s="1"/>
  <c r="AO153" i="1"/>
  <c r="AQ153" i="1" s="1"/>
  <c r="AO102" i="1"/>
  <c r="AQ102" i="1" s="1"/>
  <c r="AO211" i="1"/>
  <c r="AQ211" i="1" s="1"/>
  <c r="AO246" i="1"/>
  <c r="AQ246" i="1" s="1"/>
  <c r="AO265" i="1"/>
  <c r="AQ265" i="1" s="1"/>
  <c r="AO157" i="1"/>
  <c r="AQ157" i="1" s="1"/>
  <c r="AO369" i="1"/>
  <c r="AQ369" i="1" s="1"/>
  <c r="AO126" i="1"/>
  <c r="AQ126" i="1" s="1"/>
  <c r="AO337" i="1"/>
  <c r="AQ337" i="1" s="1"/>
  <c r="AO180" i="1"/>
  <c r="AQ180" i="1" s="1"/>
  <c r="AO55" i="1"/>
  <c r="AQ55" i="1" s="1"/>
  <c r="AO225" i="1"/>
  <c r="AQ225" i="1" s="1"/>
  <c r="AO195" i="1"/>
  <c r="AQ195" i="1" s="1"/>
  <c r="AO222" i="1"/>
  <c r="AQ222" i="1" s="1"/>
  <c r="AO311" i="1"/>
  <c r="AQ311" i="1" s="1"/>
  <c r="AO167" i="1"/>
  <c r="AQ167" i="1" s="1"/>
  <c r="AO51" i="1"/>
  <c r="AQ51" i="1" s="1"/>
  <c r="AO160" i="1"/>
  <c r="AQ160" i="1" s="1"/>
  <c r="AO90" i="1"/>
  <c r="AQ90" i="1" s="1"/>
  <c r="AO281" i="1"/>
  <c r="AQ281" i="1" s="1"/>
  <c r="AO304" i="1"/>
  <c r="AQ304" i="1" s="1"/>
  <c r="AO176" i="1"/>
  <c r="AQ176" i="1" s="1"/>
  <c r="AO5" i="1"/>
  <c r="AQ5" i="1" s="1"/>
  <c r="AO60" i="1"/>
  <c r="AQ60" i="1" s="1"/>
  <c r="AO108" i="1"/>
  <c r="AQ108" i="1" s="1"/>
  <c r="AO10" i="1"/>
  <c r="AQ10" i="1" s="1"/>
  <c r="AO249" i="1"/>
  <c r="AQ249" i="1" s="1"/>
  <c r="AO232" i="1"/>
  <c r="AQ232" i="1" s="1"/>
  <c r="AO20" i="1"/>
  <c r="AQ20" i="1" s="1"/>
  <c r="AO14" i="1"/>
  <c r="AQ14" i="1" s="1"/>
  <c r="AI373" i="1"/>
  <c r="AQ34" i="1" l="1"/>
  <c r="AQ35" i="1"/>
  <c r="AQ254" i="1"/>
  <c r="AR373" i="1"/>
  <c r="AS373" i="1" s="1"/>
  <c r="AQ31" i="1"/>
  <c r="AQ33" i="1"/>
  <c r="AQ86" i="1"/>
  <c r="AQ169" i="1"/>
  <c r="AR169" i="1" s="1"/>
  <c r="AS169" i="1" s="1"/>
  <c r="AQ171" i="1"/>
  <c r="AQ150" i="1"/>
  <c r="AQ214" i="1"/>
  <c r="AQ77" i="1"/>
  <c r="AQ42" i="1"/>
  <c r="AR339" i="1"/>
  <c r="AS339" i="1" s="1"/>
  <c r="AR159" i="1"/>
  <c r="AS159" i="1" s="1"/>
  <c r="AR232" i="1"/>
  <c r="AS232" i="1" s="1"/>
  <c r="AR167" i="1"/>
  <c r="AS167" i="1" s="1"/>
  <c r="AR246" i="1"/>
  <c r="AS246" i="1" s="1"/>
  <c r="AR89" i="1"/>
  <c r="AS89" i="1" s="1"/>
  <c r="AR336" i="1"/>
  <c r="AS336" i="1" s="1"/>
  <c r="AR351" i="1"/>
  <c r="AS351" i="1" s="1"/>
  <c r="AR274" i="1"/>
  <c r="AS274" i="1" s="1"/>
  <c r="AR276" i="1"/>
  <c r="AS276" i="1" s="1"/>
  <c r="AR15" i="1"/>
  <c r="AS15" i="1" s="1"/>
  <c r="AR121" i="1"/>
  <c r="AS121" i="1" s="1"/>
  <c r="AR84" i="1"/>
  <c r="AS84" i="1" s="1"/>
  <c r="AR112" i="1"/>
  <c r="AS112" i="1" s="1"/>
  <c r="AR263" i="1"/>
  <c r="AS263" i="1" s="1"/>
  <c r="AR252" i="1"/>
  <c r="AS252" i="1" s="1"/>
  <c r="AR30" i="1"/>
  <c r="AS30" i="1" s="1"/>
  <c r="AR47" i="1"/>
  <c r="AS47" i="1" s="1"/>
  <c r="AR215" i="1"/>
  <c r="AS215" i="1" s="1"/>
  <c r="AR158" i="1"/>
  <c r="AS158" i="1" s="1"/>
  <c r="AR241" i="1"/>
  <c r="AS241" i="1" s="1"/>
  <c r="AR162" i="1"/>
  <c r="AS162" i="1" s="1"/>
  <c r="AR138" i="1"/>
  <c r="AS138" i="1" s="1"/>
  <c r="AR300" i="1"/>
  <c r="AS300" i="1" s="1"/>
  <c r="AR292" i="1"/>
  <c r="AS292" i="1" s="1"/>
  <c r="AR16" i="1"/>
  <c r="AS16" i="1" s="1"/>
  <c r="AR17" i="1"/>
  <c r="AS17" i="1" s="1"/>
  <c r="AR321" i="1"/>
  <c r="AS321" i="1" s="1"/>
  <c r="AR189" i="1"/>
  <c r="AS189" i="1" s="1"/>
  <c r="AR326" i="1"/>
  <c r="AS326" i="1" s="1"/>
  <c r="AR188" i="1"/>
  <c r="AS188" i="1" s="1"/>
  <c r="AR386" i="1"/>
  <c r="AS386" i="1" s="1"/>
  <c r="AR377" i="1"/>
  <c r="AS377" i="1" s="1"/>
  <c r="AR381" i="1"/>
  <c r="AS381" i="1" s="1"/>
  <c r="AR163" i="1"/>
  <c r="AS163" i="1" s="1"/>
  <c r="AR261" i="1"/>
  <c r="AS261" i="1" s="1"/>
  <c r="AR10" i="1"/>
  <c r="AS10" i="1" s="1"/>
  <c r="AR222" i="1"/>
  <c r="AS222" i="1" s="1"/>
  <c r="AR102" i="1"/>
  <c r="AS102" i="1" s="1"/>
  <c r="AR59" i="1"/>
  <c r="AS59" i="1" s="1"/>
  <c r="AR306" i="1"/>
  <c r="AS306" i="1" s="1"/>
  <c r="AR231" i="1"/>
  <c r="AS231" i="1" s="1"/>
  <c r="AR140" i="1"/>
  <c r="AS140" i="1" s="1"/>
  <c r="AR161" i="1"/>
  <c r="AS161" i="1" s="1"/>
  <c r="AR172" i="1"/>
  <c r="AS172" i="1" s="1"/>
  <c r="AR177" i="1"/>
  <c r="AS177" i="1" s="1"/>
  <c r="AR201" i="1"/>
  <c r="AS201" i="1" s="1"/>
  <c r="AR130" i="1"/>
  <c r="AS130" i="1" s="1"/>
  <c r="AR283" i="1"/>
  <c r="AS283" i="1" s="1"/>
  <c r="AR365" i="1"/>
  <c r="AS365" i="1" s="1"/>
  <c r="AR322" i="1"/>
  <c r="AS322" i="1" s="1"/>
  <c r="AR212" i="1"/>
  <c r="AS212" i="1" s="1"/>
  <c r="AR101" i="1"/>
  <c r="AS101" i="1" s="1"/>
  <c r="AR233" i="1"/>
  <c r="AS233" i="1" s="1"/>
  <c r="AR99" i="1"/>
  <c r="AS99" i="1" s="1"/>
  <c r="AR296" i="1"/>
  <c r="AS296" i="1" s="1"/>
  <c r="AR135" i="1"/>
  <c r="AS135" i="1" s="1"/>
  <c r="AR146" i="1"/>
  <c r="AS146" i="1" s="1"/>
  <c r="AR68" i="1"/>
  <c r="AS68" i="1" s="1"/>
  <c r="AR94" i="1"/>
  <c r="AS94" i="1" s="1"/>
  <c r="AR372" i="1"/>
  <c r="AS372" i="1" s="1"/>
  <c r="AR333" i="1"/>
  <c r="AS333" i="1" s="1"/>
  <c r="AR67" i="1"/>
  <c r="AS67" i="1" s="1"/>
  <c r="AR312" i="1"/>
  <c r="AS312" i="1" s="1"/>
  <c r="AR319" i="1"/>
  <c r="AS319" i="1" s="1"/>
  <c r="AR289" i="1"/>
  <c r="AS289" i="1" s="1"/>
  <c r="AR139" i="1"/>
  <c r="AS139" i="1" s="1"/>
  <c r="AR279" i="1"/>
  <c r="AS279" i="1" s="1"/>
  <c r="AR249" i="1"/>
  <c r="AS249" i="1" s="1"/>
  <c r="AR329" i="1"/>
  <c r="AS329" i="1" s="1"/>
  <c r="AR153" i="1"/>
  <c r="AS153" i="1" s="1"/>
  <c r="AR119" i="1"/>
  <c r="AS119" i="1" s="1"/>
  <c r="AR367" i="1"/>
  <c r="AS367" i="1" s="1"/>
  <c r="AR185" i="1"/>
  <c r="AS185" i="1" s="1"/>
  <c r="AR340" i="1"/>
  <c r="AS340" i="1" s="1"/>
  <c r="AR96" i="1"/>
  <c r="AS96" i="1" s="1"/>
  <c r="AR124" i="1"/>
  <c r="AS124" i="1" s="1"/>
  <c r="AR262" i="1"/>
  <c r="AS262" i="1" s="1"/>
  <c r="AR343" i="1"/>
  <c r="AS343" i="1" s="1"/>
  <c r="AR368" i="1"/>
  <c r="AS368" i="1" s="1"/>
  <c r="AR95" i="1"/>
  <c r="AS95" i="1" s="1"/>
  <c r="AR29" i="1"/>
  <c r="AS29" i="1" s="1"/>
  <c r="AR320" i="1"/>
  <c r="AS320" i="1" s="1"/>
  <c r="AR331" i="1"/>
  <c r="AS331" i="1" s="1"/>
  <c r="AR221" i="1"/>
  <c r="AS221" i="1" s="1"/>
  <c r="AR330" i="1"/>
  <c r="AS330" i="1" s="1"/>
  <c r="AR12" i="1"/>
  <c r="AS12" i="1" s="1"/>
  <c r="AR125" i="1"/>
  <c r="AS125" i="1" s="1"/>
  <c r="AR78" i="1"/>
  <c r="AS78" i="1" s="1"/>
  <c r="AR82" i="1"/>
  <c r="AS82" i="1" s="1"/>
  <c r="AR210" i="1"/>
  <c r="AS210" i="1" s="1"/>
  <c r="AR311" i="1"/>
  <c r="AS311" i="1" s="1"/>
  <c r="AR32" i="1"/>
  <c r="AS32" i="1" s="1"/>
  <c r="AR52" i="1"/>
  <c r="AS52" i="1" s="1"/>
  <c r="AR379" i="1"/>
  <c r="AS379" i="1" s="1"/>
  <c r="AR19" i="1"/>
  <c r="AS19" i="1" s="1"/>
  <c r="AR225" i="1"/>
  <c r="AS225" i="1" s="1"/>
  <c r="AR205" i="1"/>
  <c r="AS205" i="1" s="1"/>
  <c r="AR91" i="1"/>
  <c r="AS91" i="1" s="1"/>
  <c r="AR346" i="1"/>
  <c r="AS346" i="1" s="1"/>
  <c r="AR220" i="1"/>
  <c r="AS220" i="1" s="1"/>
  <c r="AR79" i="1"/>
  <c r="AS79" i="1" s="1"/>
  <c r="AR282" i="1"/>
  <c r="AS282" i="1" s="1"/>
  <c r="AR107" i="1"/>
  <c r="AS107" i="1" s="1"/>
  <c r="AR349" i="1"/>
  <c r="AS349" i="1" s="1"/>
  <c r="AR272" i="1"/>
  <c r="AS272" i="1" s="1"/>
  <c r="AR193" i="1"/>
  <c r="AS193" i="1" s="1"/>
  <c r="AR259" i="1"/>
  <c r="AS259" i="1" s="1"/>
  <c r="AR238" i="1"/>
  <c r="AS238" i="1" s="1"/>
  <c r="AR290" i="1"/>
  <c r="AS290" i="1" s="1"/>
  <c r="AR305" i="1"/>
  <c r="AS305" i="1" s="1"/>
  <c r="AR13" i="1"/>
  <c r="AS13" i="1" s="1"/>
  <c r="AR35" i="1"/>
  <c r="AS35" i="1" s="1"/>
  <c r="AR299" i="1"/>
  <c r="AS299" i="1" s="1"/>
  <c r="AR92" i="1"/>
  <c r="AS92" i="1" s="1"/>
  <c r="AR145" i="1"/>
  <c r="AS145" i="1" s="1"/>
  <c r="AR154" i="1"/>
  <c r="AS154" i="1" s="1"/>
  <c r="AR53" i="1"/>
  <c r="AS53" i="1" s="1"/>
  <c r="AR271" i="1"/>
  <c r="AS271" i="1" s="1"/>
  <c r="AR199" i="1"/>
  <c r="AS199" i="1" s="1"/>
  <c r="AR164" i="1"/>
  <c r="AS164" i="1" s="1"/>
  <c r="AR98" i="1"/>
  <c r="AS98" i="1" s="1"/>
  <c r="AR230" i="1"/>
  <c r="AS230" i="1" s="1"/>
  <c r="AR383" i="1"/>
  <c r="AS383" i="1" s="1"/>
  <c r="AR378" i="1"/>
  <c r="AS378" i="1" s="1"/>
  <c r="AR314" i="1"/>
  <c r="AS314" i="1" s="1"/>
  <c r="AR204" i="1"/>
  <c r="AS204" i="1" s="1"/>
  <c r="AR285" i="1"/>
  <c r="AS285" i="1" s="1"/>
  <c r="AR309" i="1"/>
  <c r="AS309" i="1" s="1"/>
  <c r="AR60" i="1"/>
  <c r="AS60" i="1" s="1"/>
  <c r="AR41" i="1"/>
  <c r="AS41" i="1" s="1"/>
  <c r="AR5" i="1"/>
  <c r="AS5" i="1" s="1"/>
  <c r="AR55" i="1"/>
  <c r="AS55" i="1" s="1"/>
  <c r="AR362" i="1"/>
  <c r="AS362" i="1" s="1"/>
  <c r="AR49" i="1"/>
  <c r="AS49" i="1" s="1"/>
  <c r="AR149" i="1"/>
  <c r="AS149" i="1" s="1"/>
  <c r="AR148" i="1"/>
  <c r="AS148" i="1" s="1"/>
  <c r="AR81" i="1"/>
  <c r="AS81" i="1" s="1"/>
  <c r="AR93" i="1"/>
  <c r="AS93" i="1" s="1"/>
  <c r="AR115" i="1"/>
  <c r="AS115" i="1" s="1"/>
  <c r="AR197" i="1"/>
  <c r="AS197" i="1" s="1"/>
  <c r="AR28" i="1"/>
  <c r="AS28" i="1" s="1"/>
  <c r="AR313" i="1"/>
  <c r="AS313" i="1" s="1"/>
  <c r="AR286" i="1"/>
  <c r="AS286" i="1" s="1"/>
  <c r="AR142" i="1"/>
  <c r="AS142" i="1" s="1"/>
  <c r="AR235" i="1"/>
  <c r="AS235" i="1" s="1"/>
  <c r="AR288" i="1"/>
  <c r="AS288" i="1" s="1"/>
  <c r="AR243" i="1"/>
  <c r="AS243" i="1" s="1"/>
  <c r="AR267" i="1"/>
  <c r="AS267" i="1" s="1"/>
  <c r="AR196" i="1"/>
  <c r="AS196" i="1" s="1"/>
  <c r="AR118" i="1"/>
  <c r="AS118" i="1" s="1"/>
  <c r="AR106" i="1"/>
  <c r="AS106" i="1" s="1"/>
  <c r="AR203" i="1"/>
  <c r="AS203" i="1" s="1"/>
  <c r="AR54" i="1"/>
  <c r="AS54" i="1" s="1"/>
  <c r="AR69" i="1"/>
  <c r="AS69" i="1" s="1"/>
  <c r="AR200" i="1"/>
  <c r="AS200" i="1" s="1"/>
  <c r="AR361" i="1"/>
  <c r="AS361" i="1" s="1"/>
  <c r="AR105" i="1"/>
  <c r="AS105" i="1" s="1"/>
  <c r="AR87" i="1"/>
  <c r="AS87" i="1" s="1"/>
  <c r="AR62" i="1"/>
  <c r="AS62" i="1" s="1"/>
  <c r="AR27" i="1"/>
  <c r="AS27" i="1" s="1"/>
  <c r="AR244" i="1"/>
  <c r="AS244" i="1" s="1"/>
  <c r="AR191" i="1"/>
  <c r="AS191" i="1" s="1"/>
  <c r="AR211" i="1"/>
  <c r="AS211" i="1" s="1"/>
  <c r="AR198" i="1"/>
  <c r="AS198" i="1" s="1"/>
  <c r="AR270" i="1"/>
  <c r="AS270" i="1" s="1"/>
  <c r="AR195" i="1"/>
  <c r="AS195" i="1" s="1"/>
  <c r="AR366" i="1"/>
  <c r="AS366" i="1" s="1"/>
  <c r="AR176" i="1"/>
  <c r="AS176" i="1" s="1"/>
  <c r="AR180" i="1"/>
  <c r="AS180" i="1" s="1"/>
  <c r="AR341" i="1"/>
  <c r="AS341" i="1" s="1"/>
  <c r="AR36" i="1"/>
  <c r="AS36" i="1" s="1"/>
  <c r="AR128" i="1"/>
  <c r="AS128" i="1" s="1"/>
  <c r="AR208" i="1"/>
  <c r="AS208" i="1" s="1"/>
  <c r="AR353" i="1"/>
  <c r="AS353" i="1" s="1"/>
  <c r="AR141" i="1"/>
  <c r="AS141" i="1" s="1"/>
  <c r="AR11" i="1"/>
  <c r="AS11" i="1" s="1"/>
  <c r="AR116" i="1"/>
  <c r="AS116" i="1" s="1"/>
  <c r="AR65" i="1"/>
  <c r="AS65" i="1" s="1"/>
  <c r="AR56" i="1"/>
  <c r="AS56" i="1" s="1"/>
  <c r="AR80" i="1"/>
  <c r="AS80" i="1" s="1"/>
  <c r="AR293" i="1"/>
  <c r="AS293" i="1" s="1"/>
  <c r="AR364" i="1"/>
  <c r="AS364" i="1" s="1"/>
  <c r="AR258" i="1"/>
  <c r="AS258" i="1" s="1"/>
  <c r="AR284" i="1"/>
  <c r="AS284" i="1" s="1"/>
  <c r="AR77" i="1"/>
  <c r="AS77" i="1" s="1"/>
  <c r="AR223" i="1"/>
  <c r="AS223" i="1" s="1"/>
  <c r="AR307" i="1"/>
  <c r="AS307" i="1" s="1"/>
  <c r="AR85" i="1"/>
  <c r="AS85" i="1" s="1"/>
  <c r="AR173" i="1"/>
  <c r="AS173" i="1" s="1"/>
  <c r="AR129" i="1"/>
  <c r="AS129" i="1" s="1"/>
  <c r="AR75" i="1"/>
  <c r="AS75" i="1" s="1"/>
  <c r="AR371" i="1"/>
  <c r="AS371" i="1" s="1"/>
  <c r="AR310" i="1"/>
  <c r="AS310" i="1" s="1"/>
  <c r="AR374" i="1"/>
  <c r="AS374" i="1" s="1"/>
  <c r="AR34" i="1"/>
  <c r="AS34" i="1" s="1"/>
  <c r="AR31" i="1"/>
  <c r="AS31" i="1" s="1"/>
  <c r="AR325" i="1"/>
  <c r="AS325" i="1" s="1"/>
  <c r="AR37" i="1"/>
  <c r="AS37" i="1" s="1"/>
  <c r="AR247" i="1"/>
  <c r="AS247" i="1" s="1"/>
  <c r="AR328" i="1"/>
  <c r="AS328" i="1" s="1"/>
  <c r="AR237" i="1"/>
  <c r="AS237" i="1" s="1"/>
  <c r="AR251" i="1"/>
  <c r="AS251" i="1" s="1"/>
  <c r="AR104" i="1"/>
  <c r="AS104" i="1" s="1"/>
  <c r="AR337" i="1"/>
  <c r="AS337" i="1" s="1"/>
  <c r="AR334" i="1"/>
  <c r="AS334" i="1" s="1"/>
  <c r="AR327" i="1"/>
  <c r="AS327" i="1" s="1"/>
  <c r="AR213" i="1"/>
  <c r="AS213" i="1" s="1"/>
  <c r="AR207" i="1"/>
  <c r="AS207" i="1" s="1"/>
  <c r="AR187" i="1"/>
  <c r="AS187" i="1" s="1"/>
  <c r="AR315" i="1"/>
  <c r="AS315" i="1" s="1"/>
  <c r="AR132" i="1"/>
  <c r="AS132" i="1" s="1"/>
  <c r="AR186" i="1"/>
  <c r="AS186" i="1" s="1"/>
  <c r="AR165" i="1"/>
  <c r="AS165" i="1" s="1"/>
  <c r="AR64" i="1"/>
  <c r="AS64" i="1" s="1"/>
  <c r="AR136" i="1"/>
  <c r="AS136" i="1" s="1"/>
  <c r="AR22" i="1"/>
  <c r="AS22" i="1" s="1"/>
  <c r="AR151" i="1"/>
  <c r="AS151" i="1" s="1"/>
  <c r="AR38" i="1"/>
  <c r="AS38" i="1" s="1"/>
  <c r="AR253" i="1"/>
  <c r="AS253" i="1" s="1"/>
  <c r="AR236" i="1"/>
  <c r="AS236" i="1" s="1"/>
  <c r="AR324" i="1"/>
  <c r="AS324" i="1" s="1"/>
  <c r="AR184" i="1"/>
  <c r="AS184" i="1" s="1"/>
  <c r="AR360" i="1"/>
  <c r="AS360" i="1" s="1"/>
  <c r="AQ110" i="1"/>
  <c r="AR228" i="1"/>
  <c r="AS228" i="1" s="1"/>
  <c r="AR354" i="1"/>
  <c r="AS354" i="1" s="1"/>
  <c r="AR134" i="1"/>
  <c r="AS134" i="1" s="1"/>
  <c r="AR166" i="1"/>
  <c r="AS166" i="1" s="1"/>
  <c r="AR273" i="1"/>
  <c r="AS273" i="1" s="1"/>
  <c r="AR298" i="1"/>
  <c r="AS298" i="1" s="1"/>
  <c r="AR388" i="1"/>
  <c r="AS388" i="1" s="1"/>
  <c r="AR40" i="1"/>
  <c r="AS40" i="1" s="1"/>
  <c r="AR209" i="1"/>
  <c r="AS209" i="1" s="1"/>
  <c r="AR170" i="1"/>
  <c r="AS170" i="1" s="1"/>
  <c r="AR192" i="1"/>
  <c r="AS192" i="1" s="1"/>
  <c r="AR190" i="1"/>
  <c r="AS190" i="1" s="1"/>
  <c r="AR304" i="1"/>
  <c r="AS304" i="1" s="1"/>
  <c r="AR281" i="1"/>
  <c r="AS281" i="1" s="1"/>
  <c r="AR126" i="1"/>
  <c r="AS126" i="1" s="1"/>
  <c r="AR250" i="1"/>
  <c r="AS250" i="1" s="1"/>
  <c r="AR260" i="1"/>
  <c r="AS260" i="1" s="1"/>
  <c r="AR323" i="1"/>
  <c r="AS323" i="1" s="1"/>
  <c r="AR127" i="1"/>
  <c r="AS127" i="1" s="1"/>
  <c r="AR45" i="1"/>
  <c r="AS45" i="1" s="1"/>
  <c r="AR66" i="1"/>
  <c r="AS66" i="1" s="1"/>
  <c r="AR83" i="1"/>
  <c r="AS83" i="1" s="1"/>
  <c r="AR202" i="1"/>
  <c r="AS202" i="1" s="1"/>
  <c r="AR97" i="1"/>
  <c r="AS97" i="1" s="1"/>
  <c r="AR358" i="1"/>
  <c r="AS358" i="1" s="1"/>
  <c r="AR39" i="1"/>
  <c r="AS39" i="1" s="1"/>
  <c r="AR275" i="1"/>
  <c r="AS275" i="1" s="1"/>
  <c r="AR257" i="1"/>
  <c r="AS257" i="1" s="1"/>
  <c r="AR254" i="1"/>
  <c r="AS254" i="1" s="1"/>
  <c r="AR277" i="1"/>
  <c r="AS277" i="1" s="1"/>
  <c r="AR152" i="1"/>
  <c r="AS152" i="1" s="1"/>
  <c r="AR280" i="1"/>
  <c r="AS280" i="1" s="1"/>
  <c r="AR370" i="1"/>
  <c r="AS370" i="1" s="1"/>
  <c r="AR278" i="1"/>
  <c r="AS278" i="1" s="1"/>
  <c r="AR143" i="1"/>
  <c r="AS143" i="1" s="1"/>
  <c r="AR357" i="1"/>
  <c r="AS357" i="1" s="1"/>
  <c r="AR256" i="1"/>
  <c r="AS256" i="1" s="1"/>
  <c r="AR268" i="1"/>
  <c r="AS268" i="1" s="1"/>
  <c r="AR317" i="1"/>
  <c r="AS317" i="1" s="1"/>
  <c r="AR61" i="1"/>
  <c r="AS61" i="1" s="1"/>
  <c r="AR175" i="1"/>
  <c r="AS175" i="1" s="1"/>
  <c r="AR217" i="1"/>
  <c r="AS217" i="1" s="1"/>
  <c r="AR239" i="1"/>
  <c r="AS239" i="1" s="1"/>
  <c r="AR308" i="1"/>
  <c r="AS308" i="1" s="1"/>
  <c r="AR226" i="1"/>
  <c r="AS226" i="1" s="1"/>
  <c r="AR178" i="1"/>
  <c r="AS178" i="1" s="1"/>
  <c r="AR264" i="1"/>
  <c r="AS264" i="1" s="1"/>
  <c r="AR255" i="1"/>
  <c r="AS255" i="1" s="1"/>
  <c r="AR369" i="1"/>
  <c r="AS369" i="1" s="1"/>
  <c r="AR179" i="1"/>
  <c r="AS179" i="1" s="1"/>
  <c r="AR120" i="1"/>
  <c r="AS120" i="1" s="1"/>
  <c r="AR117" i="1"/>
  <c r="AS117" i="1" s="1"/>
  <c r="AR183" i="1"/>
  <c r="AS183" i="1" s="1"/>
  <c r="AR44" i="1"/>
  <c r="AS44" i="1" s="1"/>
  <c r="AR111" i="1"/>
  <c r="AS111" i="1" s="1"/>
  <c r="AR174" i="1"/>
  <c r="AS174" i="1" s="1"/>
  <c r="AR229" i="1"/>
  <c r="AS229" i="1" s="1"/>
  <c r="AR302" i="1"/>
  <c r="AS302" i="1" s="1"/>
  <c r="AR359" i="1"/>
  <c r="AS359" i="1" s="1"/>
  <c r="AR43" i="1"/>
  <c r="AS43" i="1" s="1"/>
  <c r="AR156" i="1"/>
  <c r="AS156" i="1" s="1"/>
  <c r="AR100" i="1"/>
  <c r="AS100" i="1" s="1"/>
  <c r="AR72" i="1"/>
  <c r="AS72" i="1" s="1"/>
  <c r="AR224" i="1"/>
  <c r="AS224" i="1" s="1"/>
  <c r="AR113" i="1"/>
  <c r="AS113" i="1" s="1"/>
  <c r="AR70" i="1"/>
  <c r="AS70" i="1" s="1"/>
  <c r="AR356" i="1"/>
  <c r="AS356" i="1" s="1"/>
  <c r="AR214" i="1"/>
  <c r="AS214" i="1" s="1"/>
  <c r="AR147" i="1"/>
  <c r="AS147" i="1" s="1"/>
  <c r="AR71" i="1"/>
  <c r="AS71" i="1" s="1"/>
  <c r="AR332" i="1"/>
  <c r="AS332" i="1" s="1"/>
  <c r="AR21" i="1"/>
  <c r="AS21" i="1" s="1"/>
  <c r="AR269" i="1"/>
  <c r="AS269" i="1" s="1"/>
  <c r="AR24" i="1"/>
  <c r="AS24" i="1" s="1"/>
  <c r="AR384" i="1"/>
  <c r="AS384" i="1" s="1"/>
  <c r="AR318" i="1"/>
  <c r="AS318" i="1" s="1"/>
  <c r="AR7" i="1"/>
  <c r="AS7" i="1" s="1"/>
  <c r="AR338" i="1"/>
  <c r="AS338" i="1" s="1"/>
  <c r="AR345" i="1"/>
  <c r="AS345" i="1" s="1"/>
  <c r="AR350" i="1"/>
  <c r="AS350" i="1" s="1"/>
  <c r="AR90" i="1"/>
  <c r="AS90" i="1" s="1"/>
  <c r="AR137" i="1"/>
  <c r="AS137" i="1" s="1"/>
  <c r="AR14" i="1"/>
  <c r="AS14" i="1" s="1"/>
  <c r="AR160" i="1"/>
  <c r="AS160" i="1" s="1"/>
  <c r="AR157" i="1"/>
  <c r="AS157" i="1" s="1"/>
  <c r="AR8" i="1"/>
  <c r="AS8" i="1" s="1"/>
  <c r="AR50" i="1"/>
  <c r="AS50" i="1" s="1"/>
  <c r="AR73" i="1"/>
  <c r="AS73" i="1" s="1"/>
  <c r="AR122" i="1"/>
  <c r="AS122" i="1" s="1"/>
  <c r="AR316" i="1"/>
  <c r="AS316" i="1" s="1"/>
  <c r="AR291" i="1"/>
  <c r="AS291" i="1" s="1"/>
  <c r="AR248" i="1"/>
  <c r="AS248" i="1" s="1"/>
  <c r="AR218" i="1"/>
  <c r="AS218" i="1" s="1"/>
  <c r="AR234" i="1"/>
  <c r="AS234" i="1" s="1"/>
  <c r="AR301" i="1"/>
  <c r="AS301" i="1" s="1"/>
  <c r="AR303" i="1"/>
  <c r="AS303" i="1" s="1"/>
  <c r="AR103" i="1"/>
  <c r="AS103" i="1" s="1"/>
  <c r="AR245" i="1"/>
  <c r="AS245" i="1" s="1"/>
  <c r="AR266" i="1"/>
  <c r="AS266" i="1" s="1"/>
  <c r="AR74" i="1"/>
  <c r="AS74" i="1" s="1"/>
  <c r="AR88" i="1"/>
  <c r="AS88" i="1" s="1"/>
  <c r="AR363" i="1"/>
  <c r="AS363" i="1" s="1"/>
  <c r="AR76" i="1"/>
  <c r="AS76" i="1" s="1"/>
  <c r="AR114" i="1"/>
  <c r="AS114" i="1" s="1"/>
  <c r="AR57" i="1"/>
  <c r="AS57" i="1" s="1"/>
  <c r="AR63" i="1"/>
  <c r="AS63" i="1" s="1"/>
  <c r="AR26" i="1"/>
  <c r="AS26" i="1" s="1"/>
  <c r="AR355" i="1"/>
  <c r="AS355" i="1" s="1"/>
  <c r="AR348" i="1"/>
  <c r="AS348" i="1" s="1"/>
  <c r="AR347" i="1"/>
  <c r="AS347" i="1" s="1"/>
  <c r="AR352" i="1"/>
  <c r="AS352" i="1" s="1"/>
  <c r="AR194" i="1"/>
  <c r="AS194" i="1" s="1"/>
  <c r="AR376" i="1"/>
  <c r="AS376" i="1" s="1"/>
  <c r="AR387" i="1"/>
  <c r="AS387" i="1" s="1"/>
  <c r="AR287" i="1"/>
  <c r="AS287" i="1" s="1"/>
  <c r="AR242" i="1"/>
  <c r="AS242" i="1" s="1"/>
  <c r="AR344" i="1"/>
  <c r="AS344" i="1" s="1"/>
  <c r="AR23" i="1"/>
  <c r="AS23" i="1" s="1"/>
  <c r="AR108" i="1"/>
  <c r="AS108" i="1" s="1"/>
  <c r="AR219" i="1"/>
  <c r="AS219" i="1" s="1"/>
  <c r="AR20" i="1"/>
  <c r="AS20" i="1" s="1"/>
  <c r="AR51" i="1"/>
  <c r="AS51" i="1" s="1"/>
  <c r="AR265" i="1"/>
  <c r="AS265" i="1" s="1"/>
  <c r="AR6" i="1"/>
  <c r="AS6" i="1" s="1"/>
  <c r="AR227" i="1"/>
  <c r="AS227" i="1" s="1"/>
  <c r="AR335" i="1"/>
  <c r="AS335" i="1" s="1"/>
  <c r="AR206" i="1"/>
  <c r="AS206" i="1" s="1"/>
  <c r="AR46" i="1"/>
  <c r="AS46" i="1" s="1"/>
  <c r="AR168" i="1"/>
  <c r="AS168" i="1" s="1"/>
  <c r="AR48" i="1"/>
  <c r="AS48" i="1" s="1"/>
  <c r="AR144" i="1"/>
  <c r="AS144" i="1" s="1"/>
  <c r="AR181" i="1"/>
  <c r="AS181" i="1" s="1"/>
  <c r="AR297" i="1"/>
  <c r="AS297" i="1" s="1"/>
  <c r="AR25" i="1"/>
  <c r="AS25" i="1" s="1"/>
  <c r="AR294" i="1"/>
  <c r="AS294" i="1" s="1"/>
  <c r="AR240" i="1"/>
  <c r="AS240" i="1" s="1"/>
  <c r="AR18" i="1"/>
  <c r="AS18" i="1" s="1"/>
  <c r="AR182" i="1"/>
  <c r="AS182" i="1" s="1"/>
  <c r="AR123" i="1"/>
  <c r="AS123" i="1" s="1"/>
  <c r="AR109" i="1"/>
  <c r="AS109" i="1" s="1"/>
  <c r="AR4" i="1"/>
  <c r="AS4" i="1" s="1"/>
  <c r="AR133" i="1"/>
  <c r="AS133" i="1" s="1"/>
  <c r="AR58" i="1"/>
  <c r="AS58" i="1" s="1"/>
  <c r="AR342" i="1"/>
  <c r="AS342" i="1" s="1"/>
  <c r="AR131" i="1"/>
  <c r="AS131" i="1" s="1"/>
  <c r="AR150" i="1"/>
  <c r="AS150" i="1" s="1"/>
  <c r="AR295" i="1"/>
  <c r="AS295" i="1" s="1"/>
  <c r="AR216" i="1"/>
  <c r="AS216" i="1" s="1"/>
  <c r="AR385" i="1"/>
  <c r="AS385" i="1" s="1"/>
  <c r="AR155" i="1"/>
  <c r="AS155" i="1" s="1"/>
  <c r="AR9" i="1"/>
  <c r="AS9" i="1" s="1"/>
  <c r="AO390" i="1"/>
  <c r="AM390" i="1"/>
  <c r="AR33" i="1" l="1"/>
  <c r="AS33" i="1" s="1"/>
  <c r="AR86" i="1"/>
  <c r="AS86" i="1" s="1"/>
  <c r="AR171" i="1"/>
  <c r="AS171" i="1" s="1"/>
  <c r="AR42" i="1"/>
  <c r="AS42" i="1" s="1"/>
  <c r="AR110" i="1"/>
  <c r="AS110" i="1" s="1"/>
  <c r="AQ390" i="1"/>
  <c r="S21" i="46"/>
  <c r="J3" i="43"/>
  <c r="K3" i="43"/>
  <c r="N3" i="43"/>
  <c r="AF3" i="43"/>
  <c r="AK3" i="43"/>
  <c r="AL3" i="43"/>
  <c r="AM3" i="43"/>
  <c r="AN3" i="43"/>
  <c r="AO3" i="43"/>
  <c r="AP3" i="43"/>
  <c r="AQ3" i="43"/>
  <c r="AR3" i="43"/>
  <c r="AS3" i="43"/>
  <c r="AT3" i="43"/>
  <c r="AU3" i="43"/>
  <c r="AV3" i="43"/>
  <c r="AX3" i="43"/>
  <c r="AY3" i="43"/>
  <c r="AZ3" i="43"/>
  <c r="BA3" i="43"/>
  <c r="BB3" i="43"/>
  <c r="BC3" i="43"/>
  <c r="BD3" i="43"/>
  <c r="BE3" i="43"/>
  <c r="BF3" i="43"/>
  <c r="BG3" i="43"/>
  <c r="BH3" i="43"/>
  <c r="BI3" i="43"/>
  <c r="J4" i="43"/>
  <c r="K4" i="43"/>
  <c r="N4" i="43"/>
  <c r="AF4" i="43"/>
  <c r="AK4" i="43"/>
  <c r="AL4" i="43"/>
  <c r="AM4" i="43"/>
  <c r="AN4" i="43"/>
  <c r="AO4" i="43"/>
  <c r="AP4" i="43"/>
  <c r="AQ4" i="43"/>
  <c r="AR4" i="43"/>
  <c r="AS4" i="43"/>
  <c r="AT4" i="43"/>
  <c r="AU4" i="43"/>
  <c r="AV4" i="43"/>
  <c r="AX4" i="43"/>
  <c r="AY4" i="43"/>
  <c r="AZ4" i="43"/>
  <c r="BA4" i="43"/>
  <c r="BB4" i="43"/>
  <c r="BC4" i="43"/>
  <c r="BD4" i="43"/>
  <c r="BE4" i="43"/>
  <c r="BF4" i="43"/>
  <c r="BG4" i="43"/>
  <c r="BH4" i="43"/>
  <c r="BI4" i="43"/>
  <c r="J5" i="43"/>
  <c r="K5" i="43"/>
  <c r="N5" i="43"/>
  <c r="AF5" i="43"/>
  <c r="AK5" i="43"/>
  <c r="AL5" i="43"/>
  <c r="AM5" i="43"/>
  <c r="AN5" i="43"/>
  <c r="AO5" i="43"/>
  <c r="AP5" i="43"/>
  <c r="AQ5" i="43"/>
  <c r="AR5" i="43"/>
  <c r="AS5" i="43"/>
  <c r="AT5" i="43"/>
  <c r="AU5" i="43"/>
  <c r="AV5" i="43"/>
  <c r="AX5" i="43"/>
  <c r="AY5" i="43"/>
  <c r="AZ5" i="43"/>
  <c r="BA5" i="43"/>
  <c r="BB5" i="43"/>
  <c r="BC5" i="43"/>
  <c r="BD5" i="43"/>
  <c r="BE5" i="43"/>
  <c r="BF5" i="43"/>
  <c r="BG5" i="43"/>
  <c r="BH5" i="43"/>
  <c r="BI5" i="43"/>
  <c r="J6" i="43"/>
  <c r="K6" i="43"/>
  <c r="N6" i="43"/>
  <c r="AF6" i="43"/>
  <c r="AK6" i="43"/>
  <c r="AL6" i="43"/>
  <c r="AM6" i="43"/>
  <c r="AN6" i="43"/>
  <c r="AO6" i="43"/>
  <c r="AP6" i="43"/>
  <c r="AQ6" i="43"/>
  <c r="AR6" i="43"/>
  <c r="AS6" i="43"/>
  <c r="AT6" i="43"/>
  <c r="AU6" i="43"/>
  <c r="AV6" i="43"/>
  <c r="AX6" i="43"/>
  <c r="AY6" i="43"/>
  <c r="AZ6" i="43"/>
  <c r="BA6" i="43"/>
  <c r="BB6" i="43"/>
  <c r="BC6" i="43"/>
  <c r="BD6" i="43"/>
  <c r="BE6" i="43"/>
  <c r="BF6" i="43"/>
  <c r="BG6" i="43"/>
  <c r="BH6" i="43"/>
  <c r="BI6" i="43"/>
  <c r="J7" i="43"/>
  <c r="K7" i="43"/>
  <c r="N7" i="43"/>
  <c r="AF7" i="43"/>
  <c r="AK7" i="43"/>
  <c r="AL7" i="43"/>
  <c r="AM7" i="43"/>
  <c r="AN7" i="43"/>
  <c r="AO7" i="43"/>
  <c r="AP7" i="43"/>
  <c r="AQ7" i="43"/>
  <c r="AR7" i="43"/>
  <c r="AS7" i="43"/>
  <c r="AT7" i="43"/>
  <c r="AU7" i="43"/>
  <c r="AV7" i="43"/>
  <c r="AX7" i="43"/>
  <c r="AY7" i="43"/>
  <c r="AZ7" i="43"/>
  <c r="BA7" i="43"/>
  <c r="BB7" i="43"/>
  <c r="BC7" i="43"/>
  <c r="BD7" i="43"/>
  <c r="BE7" i="43"/>
  <c r="BF7" i="43"/>
  <c r="BG7" i="43"/>
  <c r="BH7" i="43"/>
  <c r="BI7" i="43"/>
  <c r="J8" i="43"/>
  <c r="K8" i="43"/>
  <c r="N8" i="43"/>
  <c r="AF8" i="43"/>
  <c r="AK8" i="43"/>
  <c r="AL8" i="43"/>
  <c r="AM8" i="43"/>
  <c r="AN8" i="43"/>
  <c r="AO8" i="43"/>
  <c r="AP8" i="43"/>
  <c r="AQ8" i="43"/>
  <c r="AR8" i="43"/>
  <c r="AS8" i="43"/>
  <c r="AT8" i="43"/>
  <c r="AU8" i="43"/>
  <c r="AV8" i="43"/>
  <c r="AX8" i="43"/>
  <c r="AY8" i="43"/>
  <c r="AZ8" i="43"/>
  <c r="BA8" i="43"/>
  <c r="BB8" i="43"/>
  <c r="BC8" i="43"/>
  <c r="BD8" i="43"/>
  <c r="BE8" i="43"/>
  <c r="BF8" i="43"/>
  <c r="BG8" i="43"/>
  <c r="BH8" i="43"/>
  <c r="BI8" i="43"/>
  <c r="J9" i="43"/>
  <c r="K9" i="43"/>
  <c r="N9" i="43"/>
  <c r="AF9" i="43"/>
  <c r="AK9" i="43"/>
  <c r="AL9" i="43"/>
  <c r="AM9" i="43"/>
  <c r="AN9" i="43"/>
  <c r="AO9" i="43"/>
  <c r="AP9" i="43"/>
  <c r="AQ9" i="43"/>
  <c r="AR9" i="43"/>
  <c r="AS9" i="43"/>
  <c r="AT9" i="43"/>
  <c r="AU9" i="43"/>
  <c r="AV9" i="43"/>
  <c r="AX9" i="43"/>
  <c r="AY9" i="43"/>
  <c r="AZ9" i="43"/>
  <c r="BA9" i="43"/>
  <c r="BB9" i="43"/>
  <c r="BC9" i="43"/>
  <c r="BD9" i="43"/>
  <c r="BE9" i="43"/>
  <c r="BF9" i="43"/>
  <c r="BG9" i="43"/>
  <c r="BH9" i="43"/>
  <c r="BI9" i="43"/>
  <c r="J10" i="43"/>
  <c r="K10" i="43"/>
  <c r="N10" i="43"/>
  <c r="AF10" i="43"/>
  <c r="AK10" i="43"/>
  <c r="AL10" i="43"/>
  <c r="AM10" i="43"/>
  <c r="AN10" i="43"/>
  <c r="AO10" i="43"/>
  <c r="AP10" i="43"/>
  <c r="AQ10" i="43"/>
  <c r="AR10" i="43"/>
  <c r="AS10" i="43"/>
  <c r="AT10" i="43"/>
  <c r="AU10" i="43"/>
  <c r="AV10" i="43"/>
  <c r="AX10" i="43"/>
  <c r="AY10" i="43"/>
  <c r="AZ10" i="43"/>
  <c r="BA10" i="43"/>
  <c r="BB10" i="43"/>
  <c r="BC10" i="43"/>
  <c r="BD10" i="43"/>
  <c r="BE10" i="43"/>
  <c r="BF10" i="43"/>
  <c r="BG10" i="43"/>
  <c r="BH10" i="43"/>
  <c r="BI10" i="43"/>
  <c r="J11" i="43"/>
  <c r="K11" i="43"/>
  <c r="N11" i="43"/>
  <c r="AF11" i="43"/>
  <c r="AK11" i="43"/>
  <c r="AL11" i="43"/>
  <c r="AM11" i="43"/>
  <c r="AN11" i="43"/>
  <c r="AO11" i="43"/>
  <c r="AP11" i="43"/>
  <c r="AQ11" i="43"/>
  <c r="AR11" i="43"/>
  <c r="AS11" i="43"/>
  <c r="AT11" i="43"/>
  <c r="AU11" i="43"/>
  <c r="AV11" i="43"/>
  <c r="AX11" i="43"/>
  <c r="AY11" i="43"/>
  <c r="AZ11" i="43"/>
  <c r="BA11" i="43"/>
  <c r="BB11" i="43"/>
  <c r="BC11" i="43"/>
  <c r="BD11" i="43"/>
  <c r="BE11" i="43"/>
  <c r="BF11" i="43"/>
  <c r="BG11" i="43"/>
  <c r="BH11" i="43"/>
  <c r="BI11" i="43"/>
  <c r="J12" i="43"/>
  <c r="K12" i="43"/>
  <c r="N12" i="43"/>
  <c r="AF12" i="43"/>
  <c r="AK12" i="43"/>
  <c r="AL12" i="43"/>
  <c r="AM12" i="43"/>
  <c r="AN12" i="43"/>
  <c r="AO12" i="43"/>
  <c r="AP12" i="43"/>
  <c r="AQ12" i="43"/>
  <c r="AR12" i="43"/>
  <c r="AS12" i="43"/>
  <c r="AT12" i="43"/>
  <c r="AU12" i="43"/>
  <c r="AV12" i="43"/>
  <c r="AX12" i="43"/>
  <c r="AY12" i="43"/>
  <c r="AZ12" i="43"/>
  <c r="BA12" i="43"/>
  <c r="BB12" i="43"/>
  <c r="BC12" i="43"/>
  <c r="BD12" i="43"/>
  <c r="BE12" i="43"/>
  <c r="BF12" i="43"/>
  <c r="BG12" i="43"/>
  <c r="BH12" i="43"/>
  <c r="BI12" i="43"/>
  <c r="J13" i="43"/>
  <c r="K13" i="43"/>
  <c r="N13" i="43"/>
  <c r="AF13" i="43"/>
  <c r="AK13" i="43"/>
  <c r="AL13" i="43"/>
  <c r="AM13" i="43"/>
  <c r="AN13" i="43"/>
  <c r="AO13" i="43"/>
  <c r="AP13" i="43"/>
  <c r="AQ13" i="43"/>
  <c r="AR13" i="43"/>
  <c r="AS13" i="43"/>
  <c r="AT13" i="43"/>
  <c r="AU13" i="43"/>
  <c r="AV13" i="43"/>
  <c r="AX13" i="43"/>
  <c r="AY13" i="43"/>
  <c r="AZ13" i="43"/>
  <c r="BA13" i="43"/>
  <c r="BB13" i="43"/>
  <c r="BC13" i="43"/>
  <c r="BD13" i="43"/>
  <c r="BE13" i="43"/>
  <c r="BF13" i="43"/>
  <c r="BG13" i="43"/>
  <c r="BH13" i="43"/>
  <c r="BI13" i="43"/>
  <c r="J14" i="43"/>
  <c r="K14" i="43"/>
  <c r="N14" i="43"/>
  <c r="AF14" i="43"/>
  <c r="AK14" i="43"/>
  <c r="AL14" i="43"/>
  <c r="AM14" i="43"/>
  <c r="AN14" i="43"/>
  <c r="AO14" i="43"/>
  <c r="AP14" i="43"/>
  <c r="AQ14" i="43"/>
  <c r="AR14" i="43"/>
  <c r="AS14" i="43"/>
  <c r="AT14" i="43"/>
  <c r="AU14" i="43"/>
  <c r="AV14" i="43"/>
  <c r="AX14" i="43"/>
  <c r="AY14" i="43"/>
  <c r="AZ14" i="43"/>
  <c r="BA14" i="43"/>
  <c r="BB14" i="43"/>
  <c r="BC14" i="43"/>
  <c r="BD14" i="43"/>
  <c r="BE14" i="43"/>
  <c r="BF14" i="43"/>
  <c r="BG14" i="43"/>
  <c r="BH14" i="43"/>
  <c r="BI14" i="43"/>
  <c r="J15" i="43"/>
  <c r="K15" i="43"/>
  <c r="N15" i="43"/>
  <c r="AF15" i="43"/>
  <c r="AK15" i="43"/>
  <c r="AL15" i="43"/>
  <c r="AM15" i="43"/>
  <c r="AN15" i="43"/>
  <c r="AO15" i="43"/>
  <c r="AP15" i="43"/>
  <c r="AQ15" i="43"/>
  <c r="AR15" i="43"/>
  <c r="AS15" i="43"/>
  <c r="AT15" i="43"/>
  <c r="AU15" i="43"/>
  <c r="AV15" i="43"/>
  <c r="AX15" i="43"/>
  <c r="AY15" i="43"/>
  <c r="AZ15" i="43"/>
  <c r="BA15" i="43"/>
  <c r="BB15" i="43"/>
  <c r="BC15" i="43"/>
  <c r="BD15" i="43"/>
  <c r="BE15" i="43"/>
  <c r="BF15" i="43"/>
  <c r="BG15" i="43"/>
  <c r="BH15" i="43"/>
  <c r="BI15" i="43"/>
  <c r="J16" i="43"/>
  <c r="K16" i="43"/>
  <c r="N16" i="43"/>
  <c r="AF16" i="43"/>
  <c r="AK16" i="43"/>
  <c r="AL16" i="43"/>
  <c r="AM16" i="43"/>
  <c r="AN16" i="43"/>
  <c r="AO16" i="43"/>
  <c r="AP16" i="43"/>
  <c r="AQ16" i="43"/>
  <c r="AR16" i="43"/>
  <c r="AS16" i="43"/>
  <c r="AT16" i="43"/>
  <c r="AU16" i="43"/>
  <c r="AV16" i="43"/>
  <c r="AX16" i="43"/>
  <c r="AY16" i="43"/>
  <c r="AZ16" i="43"/>
  <c r="BA16" i="43"/>
  <c r="BB16" i="43"/>
  <c r="BC16" i="43"/>
  <c r="BD16" i="43"/>
  <c r="BE16" i="43"/>
  <c r="BF16" i="43"/>
  <c r="BG16" i="43"/>
  <c r="BH16" i="43"/>
  <c r="BI16" i="43"/>
  <c r="J17" i="43"/>
  <c r="K17" i="43"/>
  <c r="N17" i="43"/>
  <c r="AF17" i="43"/>
  <c r="AK17" i="43"/>
  <c r="AL17" i="43"/>
  <c r="AM17" i="43"/>
  <c r="AN17" i="43"/>
  <c r="AO17" i="43"/>
  <c r="AP17" i="43"/>
  <c r="AQ17" i="43"/>
  <c r="AR17" i="43"/>
  <c r="AS17" i="43"/>
  <c r="AT17" i="43"/>
  <c r="AU17" i="43"/>
  <c r="AV17" i="43"/>
  <c r="AX17" i="43"/>
  <c r="AY17" i="43"/>
  <c r="AZ17" i="43"/>
  <c r="BA17" i="43"/>
  <c r="BB17" i="43"/>
  <c r="BC17" i="43"/>
  <c r="BD17" i="43"/>
  <c r="BE17" i="43"/>
  <c r="BF17" i="43"/>
  <c r="BG17" i="43"/>
  <c r="BH17" i="43"/>
  <c r="BI17" i="43"/>
  <c r="J18" i="43"/>
  <c r="K18" i="43"/>
  <c r="N18" i="43"/>
  <c r="AF18" i="43"/>
  <c r="AK18" i="43"/>
  <c r="AL18" i="43"/>
  <c r="AM18" i="43"/>
  <c r="AN18" i="43"/>
  <c r="AO18" i="43"/>
  <c r="AP18" i="43"/>
  <c r="AQ18" i="43"/>
  <c r="AR18" i="43"/>
  <c r="AS18" i="43"/>
  <c r="AT18" i="43"/>
  <c r="AU18" i="43"/>
  <c r="AV18" i="43"/>
  <c r="AX18" i="43"/>
  <c r="AY18" i="43"/>
  <c r="AZ18" i="43"/>
  <c r="BA18" i="43"/>
  <c r="BB18" i="43"/>
  <c r="BC18" i="43"/>
  <c r="BD18" i="43"/>
  <c r="BE18" i="43"/>
  <c r="BF18" i="43"/>
  <c r="BG18" i="43"/>
  <c r="BH18" i="43"/>
  <c r="BI18" i="43"/>
  <c r="J19" i="43"/>
  <c r="K19" i="43"/>
  <c r="N19" i="43"/>
  <c r="AF19" i="43"/>
  <c r="AK19" i="43"/>
  <c r="AL19" i="43"/>
  <c r="AM19" i="43"/>
  <c r="AN19" i="43"/>
  <c r="AO19" i="43"/>
  <c r="AP19" i="43"/>
  <c r="AQ19" i="43"/>
  <c r="AR19" i="43"/>
  <c r="AS19" i="43"/>
  <c r="AT19" i="43"/>
  <c r="AU19" i="43"/>
  <c r="AV19" i="43"/>
  <c r="AX19" i="43"/>
  <c r="AY19" i="43"/>
  <c r="AZ19" i="43"/>
  <c r="BA19" i="43"/>
  <c r="BB19" i="43"/>
  <c r="BC19" i="43"/>
  <c r="BD19" i="43"/>
  <c r="BE19" i="43"/>
  <c r="BF19" i="43"/>
  <c r="BG19" i="43"/>
  <c r="BH19" i="43"/>
  <c r="BI19" i="43"/>
  <c r="J20" i="43"/>
  <c r="K20" i="43"/>
  <c r="N20" i="43"/>
  <c r="AF20" i="43"/>
  <c r="AK20" i="43"/>
  <c r="AL20" i="43"/>
  <c r="AM20" i="43"/>
  <c r="AN20" i="43"/>
  <c r="AO20" i="43"/>
  <c r="AP20" i="43"/>
  <c r="AQ20" i="43"/>
  <c r="AR20" i="43"/>
  <c r="AS20" i="43"/>
  <c r="AT20" i="43"/>
  <c r="AU20" i="43"/>
  <c r="AV20" i="43"/>
  <c r="AX20" i="43"/>
  <c r="AY20" i="43"/>
  <c r="AZ20" i="43"/>
  <c r="BA20" i="43"/>
  <c r="BB20" i="43"/>
  <c r="BC20" i="43"/>
  <c r="BD20" i="43"/>
  <c r="BE20" i="43"/>
  <c r="BF20" i="43"/>
  <c r="BG20" i="43"/>
  <c r="BH20" i="43"/>
  <c r="BI20" i="43"/>
  <c r="J21" i="43"/>
  <c r="K21" i="43"/>
  <c r="N21" i="43"/>
  <c r="AF21" i="43"/>
  <c r="AK21" i="43"/>
  <c r="AL21" i="43"/>
  <c r="AM21" i="43"/>
  <c r="AN21" i="43"/>
  <c r="AO21" i="43"/>
  <c r="AP21" i="43"/>
  <c r="AQ21" i="43"/>
  <c r="AR21" i="43"/>
  <c r="AS21" i="43"/>
  <c r="AT21" i="43"/>
  <c r="AU21" i="43"/>
  <c r="AV21" i="43"/>
  <c r="AX21" i="43"/>
  <c r="AY21" i="43"/>
  <c r="AZ21" i="43"/>
  <c r="BA21" i="43"/>
  <c r="BB21" i="43"/>
  <c r="BC21" i="43"/>
  <c r="BD21" i="43"/>
  <c r="BE21" i="43"/>
  <c r="BF21" i="43"/>
  <c r="BG21" i="43"/>
  <c r="BH21" i="43"/>
  <c r="BI21" i="43"/>
  <c r="J22" i="43"/>
  <c r="K22" i="43"/>
  <c r="N22" i="43"/>
  <c r="AF22" i="43"/>
  <c r="AJ22" i="43"/>
  <c r="AL22" i="43"/>
  <c r="AM22" i="43"/>
  <c r="AN22" i="43"/>
  <c r="AO22" i="43"/>
  <c r="AP22" i="43"/>
  <c r="AQ22" i="43"/>
  <c r="AR22" i="43"/>
  <c r="AS22" i="43"/>
  <c r="AT22" i="43"/>
  <c r="AU22" i="43"/>
  <c r="AV22" i="43"/>
  <c r="AW22" i="43"/>
  <c r="AY22" i="43"/>
  <c r="AZ22" i="43"/>
  <c r="BA22" i="43"/>
  <c r="BB22" i="43"/>
  <c r="BC22" i="43"/>
  <c r="BD22" i="43"/>
  <c r="BE22" i="43"/>
  <c r="BF22" i="43"/>
  <c r="BG22" i="43"/>
  <c r="BH22" i="43"/>
  <c r="BI22" i="43"/>
  <c r="J23" i="43"/>
  <c r="K23" i="43"/>
  <c r="N23" i="43"/>
  <c r="AF23" i="43"/>
  <c r="AJ23" i="43"/>
  <c r="AL23" i="43"/>
  <c r="AM23" i="43"/>
  <c r="AN23" i="43"/>
  <c r="AO23" i="43"/>
  <c r="AP23" i="43"/>
  <c r="AQ23" i="43"/>
  <c r="AR23" i="43"/>
  <c r="AS23" i="43"/>
  <c r="AT23" i="43"/>
  <c r="AU23" i="43"/>
  <c r="AV23" i="43"/>
  <c r="AW23" i="43"/>
  <c r="AY23" i="43"/>
  <c r="AZ23" i="43"/>
  <c r="BA23" i="43"/>
  <c r="BB23" i="43"/>
  <c r="BC23" i="43"/>
  <c r="BD23" i="43"/>
  <c r="BE23" i="43"/>
  <c r="BF23" i="43"/>
  <c r="BG23" i="43"/>
  <c r="BH23" i="43"/>
  <c r="BI23" i="43"/>
  <c r="J24" i="43"/>
  <c r="K24" i="43"/>
  <c r="N24" i="43"/>
  <c r="AF24" i="43"/>
  <c r="AJ24" i="43"/>
  <c r="AL24" i="43"/>
  <c r="AM24" i="43"/>
  <c r="AN24" i="43"/>
  <c r="AO24" i="43"/>
  <c r="AP24" i="43"/>
  <c r="AQ24" i="43"/>
  <c r="AR24" i="43"/>
  <c r="AS24" i="43"/>
  <c r="AT24" i="43"/>
  <c r="AU24" i="43"/>
  <c r="AV24" i="43"/>
  <c r="AW24" i="43"/>
  <c r="AY24" i="43"/>
  <c r="AZ24" i="43"/>
  <c r="BA24" i="43"/>
  <c r="BB24" i="43"/>
  <c r="BC24" i="43"/>
  <c r="BD24" i="43"/>
  <c r="BE24" i="43"/>
  <c r="BF24" i="43"/>
  <c r="BG24" i="43"/>
  <c r="BH24" i="43"/>
  <c r="BI24" i="43"/>
  <c r="J25" i="43"/>
  <c r="K25" i="43"/>
  <c r="N25" i="43"/>
  <c r="AF25" i="43"/>
  <c r="AJ25" i="43"/>
  <c r="AL25" i="43"/>
  <c r="AM25" i="43"/>
  <c r="AN25" i="43"/>
  <c r="AO25" i="43"/>
  <c r="AP25" i="43"/>
  <c r="AQ25" i="43"/>
  <c r="AR25" i="43"/>
  <c r="AS25" i="43"/>
  <c r="AT25" i="43"/>
  <c r="AU25" i="43"/>
  <c r="AV25" i="43"/>
  <c r="AW25" i="43"/>
  <c r="AY25" i="43"/>
  <c r="AZ25" i="43"/>
  <c r="BA25" i="43"/>
  <c r="BB25" i="43"/>
  <c r="BC25" i="43"/>
  <c r="BD25" i="43"/>
  <c r="BE25" i="43"/>
  <c r="BF25" i="43"/>
  <c r="BG25" i="43"/>
  <c r="BH25" i="43"/>
  <c r="BI25" i="43"/>
  <c r="J26" i="43"/>
  <c r="K26" i="43"/>
  <c r="N26" i="43"/>
  <c r="AF26" i="43"/>
  <c r="AJ26" i="43"/>
  <c r="AL26" i="43"/>
  <c r="AM26" i="43"/>
  <c r="AN26" i="43"/>
  <c r="AO26" i="43"/>
  <c r="AP26" i="43"/>
  <c r="AQ26" i="43"/>
  <c r="AR26" i="43"/>
  <c r="AS26" i="43"/>
  <c r="AT26" i="43"/>
  <c r="AU26" i="43"/>
  <c r="AV26" i="43"/>
  <c r="AW26" i="43"/>
  <c r="AY26" i="43"/>
  <c r="AZ26" i="43"/>
  <c r="BA26" i="43"/>
  <c r="BB26" i="43"/>
  <c r="BC26" i="43"/>
  <c r="BD26" i="43"/>
  <c r="BE26" i="43"/>
  <c r="BF26" i="43"/>
  <c r="BG26" i="43"/>
  <c r="BH26" i="43"/>
  <c r="BI26" i="43"/>
  <c r="J27" i="43"/>
  <c r="K27" i="43"/>
  <c r="N27" i="43"/>
  <c r="AF27" i="43"/>
  <c r="AJ27" i="43"/>
  <c r="AL27" i="43"/>
  <c r="AM27" i="43"/>
  <c r="AN27" i="43"/>
  <c r="AO27" i="43"/>
  <c r="AP27" i="43"/>
  <c r="AQ27" i="43"/>
  <c r="AR27" i="43"/>
  <c r="AS27" i="43"/>
  <c r="AT27" i="43"/>
  <c r="AU27" i="43"/>
  <c r="AV27" i="43"/>
  <c r="AW27" i="43"/>
  <c r="AY27" i="43"/>
  <c r="AZ27" i="43"/>
  <c r="BA27" i="43"/>
  <c r="BB27" i="43"/>
  <c r="BC27" i="43"/>
  <c r="BD27" i="43"/>
  <c r="BE27" i="43"/>
  <c r="BF27" i="43"/>
  <c r="BG27" i="43"/>
  <c r="BH27" i="43"/>
  <c r="BI27" i="43"/>
  <c r="J28" i="43"/>
  <c r="K28" i="43"/>
  <c r="N28" i="43"/>
  <c r="AF28" i="43"/>
  <c r="AJ28" i="43"/>
  <c r="AL28" i="43"/>
  <c r="AM28" i="43"/>
  <c r="AN28" i="43"/>
  <c r="AO28" i="43"/>
  <c r="AP28" i="43"/>
  <c r="AQ28" i="43"/>
  <c r="AR28" i="43"/>
  <c r="AS28" i="43"/>
  <c r="AT28" i="43"/>
  <c r="AU28" i="43"/>
  <c r="AV28" i="43"/>
  <c r="AW28" i="43"/>
  <c r="AY28" i="43"/>
  <c r="AZ28" i="43"/>
  <c r="BA28" i="43"/>
  <c r="BB28" i="43"/>
  <c r="BC28" i="43"/>
  <c r="BD28" i="43"/>
  <c r="BE28" i="43"/>
  <c r="BF28" i="43"/>
  <c r="BG28" i="43"/>
  <c r="BH28" i="43"/>
  <c r="BI28" i="43"/>
  <c r="J29" i="43"/>
  <c r="K29" i="43"/>
  <c r="N29" i="43"/>
  <c r="AF29" i="43"/>
  <c r="AJ29" i="43"/>
  <c r="AL29" i="43"/>
  <c r="AM29" i="43"/>
  <c r="AN29" i="43"/>
  <c r="AO29" i="43"/>
  <c r="AP29" i="43"/>
  <c r="AQ29" i="43"/>
  <c r="AR29" i="43"/>
  <c r="AS29" i="43"/>
  <c r="AT29" i="43"/>
  <c r="AU29" i="43"/>
  <c r="AV29" i="43"/>
  <c r="AW29" i="43"/>
  <c r="AY29" i="43"/>
  <c r="AZ29" i="43"/>
  <c r="BA29" i="43"/>
  <c r="BB29" i="43"/>
  <c r="BC29" i="43"/>
  <c r="BD29" i="43"/>
  <c r="BE29" i="43"/>
  <c r="BF29" i="43"/>
  <c r="BG29" i="43"/>
  <c r="BH29" i="43"/>
  <c r="BI29" i="43"/>
  <c r="J30" i="43"/>
  <c r="K30" i="43"/>
  <c r="N30" i="43"/>
  <c r="AF30" i="43"/>
  <c r="AJ30" i="43"/>
  <c r="AL30" i="43"/>
  <c r="AM30" i="43"/>
  <c r="AN30" i="43"/>
  <c r="AO30" i="43"/>
  <c r="AP30" i="43"/>
  <c r="AQ30" i="43"/>
  <c r="AR30" i="43"/>
  <c r="AS30" i="43"/>
  <c r="AT30" i="43"/>
  <c r="AU30" i="43"/>
  <c r="AV30" i="43"/>
  <c r="AW30" i="43"/>
  <c r="AY30" i="43"/>
  <c r="AZ30" i="43"/>
  <c r="BA30" i="43"/>
  <c r="BB30" i="43"/>
  <c r="BC30" i="43"/>
  <c r="BD30" i="43"/>
  <c r="BE30" i="43"/>
  <c r="BF30" i="43"/>
  <c r="BG30" i="43"/>
  <c r="BH30" i="43"/>
  <c r="BI30" i="43"/>
  <c r="J31" i="43"/>
  <c r="K31" i="43"/>
  <c r="N31" i="43"/>
  <c r="AF31" i="43"/>
  <c r="AJ31" i="43"/>
  <c r="AL31" i="43"/>
  <c r="AM31" i="43"/>
  <c r="AN31" i="43"/>
  <c r="AO31" i="43"/>
  <c r="AP31" i="43"/>
  <c r="AQ31" i="43"/>
  <c r="AR31" i="43"/>
  <c r="AS31" i="43"/>
  <c r="AT31" i="43"/>
  <c r="AU31" i="43"/>
  <c r="AV31" i="43"/>
  <c r="AW31" i="43"/>
  <c r="AY31" i="43"/>
  <c r="AZ31" i="43"/>
  <c r="BA31" i="43"/>
  <c r="BB31" i="43"/>
  <c r="BC31" i="43"/>
  <c r="BD31" i="43"/>
  <c r="BE31" i="43"/>
  <c r="BF31" i="43"/>
  <c r="BG31" i="43"/>
  <c r="BH31" i="43"/>
  <c r="BI31" i="43"/>
  <c r="J32" i="43"/>
  <c r="K32" i="43"/>
  <c r="N32" i="43"/>
  <c r="AF32" i="43"/>
  <c r="AJ32" i="43"/>
  <c r="AL32" i="43"/>
  <c r="AM32" i="43"/>
  <c r="AN32" i="43"/>
  <c r="AO32" i="43"/>
  <c r="AP32" i="43"/>
  <c r="AQ32" i="43"/>
  <c r="AR32" i="43"/>
  <c r="AS32" i="43"/>
  <c r="AT32" i="43"/>
  <c r="AU32" i="43"/>
  <c r="AV32" i="43"/>
  <c r="AW32" i="43"/>
  <c r="AY32" i="43"/>
  <c r="AZ32" i="43"/>
  <c r="BA32" i="43"/>
  <c r="BB32" i="43"/>
  <c r="BC32" i="43"/>
  <c r="BD32" i="43"/>
  <c r="BE32" i="43"/>
  <c r="BF32" i="43"/>
  <c r="BG32" i="43"/>
  <c r="BH32" i="43"/>
  <c r="BI32" i="43"/>
  <c r="J33" i="43"/>
  <c r="K33" i="43"/>
  <c r="N33" i="43"/>
  <c r="AF33" i="43"/>
  <c r="AJ33" i="43"/>
  <c r="AL33" i="43"/>
  <c r="AM33" i="43"/>
  <c r="AN33" i="43"/>
  <c r="AO33" i="43"/>
  <c r="AP33" i="43"/>
  <c r="AQ33" i="43"/>
  <c r="AR33" i="43"/>
  <c r="AS33" i="43"/>
  <c r="AT33" i="43"/>
  <c r="AU33" i="43"/>
  <c r="AV33" i="43"/>
  <c r="AW33" i="43"/>
  <c r="AY33" i="43"/>
  <c r="AZ33" i="43"/>
  <c r="BA33" i="43"/>
  <c r="BB33" i="43"/>
  <c r="BC33" i="43"/>
  <c r="BD33" i="43"/>
  <c r="BE33" i="43"/>
  <c r="BF33" i="43"/>
  <c r="BG33" i="43"/>
  <c r="BH33" i="43"/>
  <c r="BI33" i="43"/>
  <c r="J34" i="43"/>
  <c r="K34" i="43"/>
  <c r="N34" i="43"/>
  <c r="V34" i="43"/>
  <c r="AF34" i="43"/>
  <c r="AJ34" i="43"/>
  <c r="AL34" i="43"/>
  <c r="AM34" i="43"/>
  <c r="AN34" i="43"/>
  <c r="AO34" i="43"/>
  <c r="AP34" i="43"/>
  <c r="AQ34" i="43"/>
  <c r="AR34" i="43"/>
  <c r="AS34" i="43"/>
  <c r="AT34" i="43"/>
  <c r="AU34" i="43"/>
  <c r="AV34" i="43"/>
  <c r="AW34" i="43"/>
  <c r="AY34" i="43"/>
  <c r="AZ34" i="43"/>
  <c r="BA34" i="43"/>
  <c r="BB34" i="43"/>
  <c r="BC34" i="43"/>
  <c r="BD34" i="43"/>
  <c r="BE34" i="43"/>
  <c r="BF34" i="43"/>
  <c r="BG34" i="43"/>
  <c r="BH34" i="43"/>
  <c r="BI34" i="43"/>
  <c r="J35" i="43"/>
  <c r="K35" i="43"/>
  <c r="N35" i="43"/>
  <c r="AF35" i="43"/>
  <c r="AJ35" i="43"/>
  <c r="AL35" i="43"/>
  <c r="AM35" i="43"/>
  <c r="AN35" i="43"/>
  <c r="AO35" i="43"/>
  <c r="AP35" i="43"/>
  <c r="AQ35" i="43"/>
  <c r="AR35" i="43"/>
  <c r="AS35" i="43"/>
  <c r="AT35" i="43"/>
  <c r="AU35" i="43"/>
  <c r="AV35" i="43"/>
  <c r="AW35" i="43"/>
  <c r="AY35" i="43"/>
  <c r="AZ35" i="43"/>
  <c r="BA35" i="43"/>
  <c r="BB35" i="43"/>
  <c r="BC35" i="43"/>
  <c r="BD35" i="43"/>
  <c r="BE35" i="43"/>
  <c r="BF35" i="43"/>
  <c r="BG35" i="43"/>
  <c r="BH35" i="43"/>
  <c r="BI35" i="43"/>
  <c r="J36" i="43"/>
  <c r="K36" i="43"/>
  <c r="N36" i="43"/>
  <c r="AF36" i="43"/>
  <c r="AJ36" i="43"/>
  <c r="AL36" i="43"/>
  <c r="AM36" i="43"/>
  <c r="AN36" i="43"/>
  <c r="AO36" i="43"/>
  <c r="AP36" i="43"/>
  <c r="AQ36" i="43"/>
  <c r="AR36" i="43"/>
  <c r="AS36" i="43"/>
  <c r="AT36" i="43"/>
  <c r="AU36" i="43"/>
  <c r="AV36" i="43"/>
  <c r="AW36" i="43"/>
  <c r="AY36" i="43"/>
  <c r="AZ36" i="43"/>
  <c r="BA36" i="43"/>
  <c r="BB36" i="43"/>
  <c r="BC36" i="43"/>
  <c r="BD36" i="43"/>
  <c r="BE36" i="43"/>
  <c r="BF36" i="43"/>
  <c r="BG36" i="43"/>
  <c r="BH36" i="43"/>
  <c r="BI36" i="43"/>
  <c r="J37" i="43"/>
  <c r="K37" i="43"/>
  <c r="N37" i="43"/>
  <c r="AF37" i="43"/>
  <c r="AJ37" i="43"/>
  <c r="AL37" i="43"/>
  <c r="AM37" i="43"/>
  <c r="AN37" i="43"/>
  <c r="AO37" i="43"/>
  <c r="AP37" i="43"/>
  <c r="AQ37" i="43"/>
  <c r="AR37" i="43"/>
  <c r="AS37" i="43"/>
  <c r="AT37" i="43"/>
  <c r="AU37" i="43"/>
  <c r="AV37" i="43"/>
  <c r="AW37" i="43"/>
  <c r="AY37" i="43"/>
  <c r="AZ37" i="43"/>
  <c r="BA37" i="43"/>
  <c r="BB37" i="43"/>
  <c r="BC37" i="43"/>
  <c r="BD37" i="43"/>
  <c r="BE37" i="43"/>
  <c r="BF37" i="43"/>
  <c r="BG37" i="43"/>
  <c r="BH37" i="43"/>
  <c r="BI37" i="43"/>
  <c r="J38" i="43"/>
  <c r="K38" i="43"/>
  <c r="N38" i="43"/>
  <c r="AF38" i="43"/>
  <c r="AJ38" i="43"/>
  <c r="AL38" i="43"/>
  <c r="AM38" i="43"/>
  <c r="AN38" i="43"/>
  <c r="AO38" i="43"/>
  <c r="AP38" i="43"/>
  <c r="AQ38" i="43"/>
  <c r="AR38" i="43"/>
  <c r="AS38" i="43"/>
  <c r="AT38" i="43"/>
  <c r="AU38" i="43"/>
  <c r="AV38" i="43"/>
  <c r="AW38" i="43"/>
  <c r="AY38" i="43"/>
  <c r="AZ38" i="43"/>
  <c r="BA38" i="43"/>
  <c r="BB38" i="43"/>
  <c r="BC38" i="43"/>
  <c r="BD38" i="43"/>
  <c r="BE38" i="43"/>
  <c r="BF38" i="43"/>
  <c r="BG38" i="43"/>
  <c r="BH38" i="43"/>
  <c r="BI38" i="43"/>
  <c r="J39" i="43"/>
  <c r="K39" i="43"/>
  <c r="N39" i="43"/>
  <c r="AF39" i="43"/>
  <c r="AJ39" i="43"/>
  <c r="AL39" i="43"/>
  <c r="AM39" i="43"/>
  <c r="AN39" i="43"/>
  <c r="AO39" i="43"/>
  <c r="AP39" i="43"/>
  <c r="AQ39" i="43"/>
  <c r="AR39" i="43"/>
  <c r="AS39" i="43"/>
  <c r="AT39" i="43"/>
  <c r="AU39" i="43"/>
  <c r="AV39" i="43"/>
  <c r="AW39" i="43"/>
  <c r="AY39" i="43"/>
  <c r="AZ39" i="43"/>
  <c r="BA39" i="43"/>
  <c r="BB39" i="43"/>
  <c r="BC39" i="43"/>
  <c r="BD39" i="43"/>
  <c r="BE39" i="43"/>
  <c r="BF39" i="43"/>
  <c r="BG39" i="43"/>
  <c r="BH39" i="43"/>
  <c r="BI39" i="43"/>
  <c r="J40" i="43"/>
  <c r="K40" i="43"/>
  <c r="N40" i="43"/>
  <c r="AF40" i="43"/>
  <c r="AJ40" i="43"/>
  <c r="AL40" i="43"/>
  <c r="AM40" i="43"/>
  <c r="AN40" i="43"/>
  <c r="AO40" i="43"/>
  <c r="AP40" i="43"/>
  <c r="AQ40" i="43"/>
  <c r="AR40" i="43"/>
  <c r="AS40" i="43"/>
  <c r="AT40" i="43"/>
  <c r="AU40" i="43"/>
  <c r="AV40" i="43"/>
  <c r="AW40" i="43"/>
  <c r="AY40" i="43"/>
  <c r="AZ40" i="43"/>
  <c r="BA40" i="43"/>
  <c r="BB40" i="43"/>
  <c r="BC40" i="43"/>
  <c r="BD40" i="43"/>
  <c r="BE40" i="43"/>
  <c r="BF40" i="43"/>
  <c r="BG40" i="43"/>
  <c r="BH40" i="43"/>
  <c r="BI40" i="43"/>
  <c r="J41" i="43"/>
  <c r="K41" i="43"/>
  <c r="N41" i="43"/>
  <c r="AF41" i="43"/>
  <c r="AJ41" i="43"/>
  <c r="AL41" i="43"/>
  <c r="AM41" i="43"/>
  <c r="AN41" i="43"/>
  <c r="AO41" i="43"/>
  <c r="AP41" i="43"/>
  <c r="AQ41" i="43"/>
  <c r="AR41" i="43"/>
  <c r="AS41" i="43"/>
  <c r="AT41" i="43"/>
  <c r="AU41" i="43"/>
  <c r="AV41" i="43"/>
  <c r="AW41" i="43"/>
  <c r="AY41" i="43"/>
  <c r="AZ41" i="43"/>
  <c r="BA41" i="43"/>
  <c r="BB41" i="43"/>
  <c r="BC41" i="43"/>
  <c r="BD41" i="43"/>
  <c r="BE41" i="43"/>
  <c r="BF41" i="43"/>
  <c r="BG41" i="43"/>
  <c r="BH41" i="43"/>
  <c r="BI41" i="43"/>
  <c r="J42" i="43"/>
  <c r="K42" i="43"/>
  <c r="N42" i="43"/>
  <c r="AF42" i="43"/>
  <c r="AJ42" i="43"/>
  <c r="AL42" i="43"/>
  <c r="AM42" i="43"/>
  <c r="AN42" i="43"/>
  <c r="AO42" i="43"/>
  <c r="AP42" i="43"/>
  <c r="AQ42" i="43"/>
  <c r="AR42" i="43"/>
  <c r="AS42" i="43"/>
  <c r="AT42" i="43"/>
  <c r="AU42" i="43"/>
  <c r="AV42" i="43"/>
  <c r="AW42" i="43"/>
  <c r="AY42" i="43"/>
  <c r="AZ42" i="43"/>
  <c r="BA42" i="43"/>
  <c r="BB42" i="43"/>
  <c r="BC42" i="43"/>
  <c r="BD42" i="43"/>
  <c r="BE42" i="43"/>
  <c r="BF42" i="43"/>
  <c r="BG42" i="43"/>
  <c r="BH42" i="43"/>
  <c r="BI42" i="43"/>
  <c r="J43" i="43"/>
  <c r="K43" i="43"/>
  <c r="N43" i="43"/>
  <c r="AF43" i="43"/>
  <c r="AJ43" i="43"/>
  <c r="AL43" i="43"/>
  <c r="AM43" i="43"/>
  <c r="AN43" i="43"/>
  <c r="AO43" i="43"/>
  <c r="AP43" i="43"/>
  <c r="AQ43" i="43"/>
  <c r="AR43" i="43"/>
  <c r="AS43" i="43"/>
  <c r="AT43" i="43"/>
  <c r="AU43" i="43"/>
  <c r="AV43" i="43"/>
  <c r="AW43" i="43"/>
  <c r="AY43" i="43"/>
  <c r="AZ43" i="43"/>
  <c r="BA43" i="43"/>
  <c r="BB43" i="43"/>
  <c r="BC43" i="43"/>
  <c r="BD43" i="43"/>
  <c r="BE43" i="43"/>
  <c r="BF43" i="43"/>
  <c r="BG43" i="43"/>
  <c r="BH43" i="43"/>
  <c r="BI43" i="43"/>
  <c r="J44" i="43"/>
  <c r="K44" i="43"/>
  <c r="N44" i="43"/>
  <c r="AF44" i="43"/>
  <c r="AJ44" i="43"/>
  <c r="AL44" i="43"/>
  <c r="AM44" i="43"/>
  <c r="AN44" i="43"/>
  <c r="AO44" i="43"/>
  <c r="AP44" i="43"/>
  <c r="AQ44" i="43"/>
  <c r="AR44" i="43"/>
  <c r="AS44" i="43"/>
  <c r="AT44" i="43"/>
  <c r="AU44" i="43"/>
  <c r="AV44" i="43"/>
  <c r="AW44" i="43"/>
  <c r="AY44" i="43"/>
  <c r="AZ44" i="43"/>
  <c r="BA44" i="43"/>
  <c r="BB44" i="43"/>
  <c r="BC44" i="43"/>
  <c r="BD44" i="43"/>
  <c r="BE44" i="43"/>
  <c r="BF44" i="43"/>
  <c r="BG44" i="43"/>
  <c r="BH44" i="43"/>
  <c r="BI44" i="43"/>
  <c r="J45" i="43"/>
  <c r="K45" i="43"/>
  <c r="N45" i="43"/>
  <c r="AF45" i="43"/>
  <c r="AJ45" i="43"/>
  <c r="AL45" i="43"/>
  <c r="AM45" i="43"/>
  <c r="AN45" i="43"/>
  <c r="AO45" i="43"/>
  <c r="AP45" i="43"/>
  <c r="AQ45" i="43"/>
  <c r="AR45" i="43"/>
  <c r="AS45" i="43"/>
  <c r="AT45" i="43"/>
  <c r="AU45" i="43"/>
  <c r="AV45" i="43"/>
  <c r="AW45" i="43"/>
  <c r="AY45" i="43"/>
  <c r="AZ45" i="43"/>
  <c r="BA45" i="43"/>
  <c r="BB45" i="43"/>
  <c r="BC45" i="43"/>
  <c r="BD45" i="43"/>
  <c r="BE45" i="43"/>
  <c r="BF45" i="43"/>
  <c r="BG45" i="43"/>
  <c r="BH45" i="43"/>
  <c r="BI45" i="43"/>
  <c r="J46" i="43"/>
  <c r="K46" i="43"/>
  <c r="N46" i="43"/>
  <c r="AF46" i="43"/>
  <c r="AJ46" i="43"/>
  <c r="AL46" i="43"/>
  <c r="AM46" i="43"/>
  <c r="AN46" i="43"/>
  <c r="AO46" i="43"/>
  <c r="AP46" i="43"/>
  <c r="AQ46" i="43"/>
  <c r="AR46" i="43"/>
  <c r="AS46" i="43"/>
  <c r="AT46" i="43"/>
  <c r="AU46" i="43"/>
  <c r="AV46" i="43"/>
  <c r="AW46" i="43"/>
  <c r="AY46" i="43"/>
  <c r="AZ46" i="43"/>
  <c r="BA46" i="43"/>
  <c r="BB46" i="43"/>
  <c r="BC46" i="43"/>
  <c r="BD46" i="43"/>
  <c r="BE46" i="43"/>
  <c r="BF46" i="43"/>
  <c r="BG46" i="43"/>
  <c r="BH46" i="43"/>
  <c r="BI46" i="43"/>
  <c r="J47" i="43"/>
  <c r="K47" i="43"/>
  <c r="N47" i="43"/>
  <c r="AF47" i="43"/>
  <c r="AJ47" i="43"/>
  <c r="AL47" i="43"/>
  <c r="AM47" i="43"/>
  <c r="AN47" i="43"/>
  <c r="AO47" i="43"/>
  <c r="AP47" i="43"/>
  <c r="AQ47" i="43"/>
  <c r="AR47" i="43"/>
  <c r="AS47" i="43"/>
  <c r="AT47" i="43"/>
  <c r="AU47" i="43"/>
  <c r="AV47" i="43"/>
  <c r="AW47" i="43"/>
  <c r="AY47" i="43"/>
  <c r="AZ47" i="43"/>
  <c r="BA47" i="43"/>
  <c r="BB47" i="43"/>
  <c r="BC47" i="43"/>
  <c r="BD47" i="43"/>
  <c r="BE47" i="43"/>
  <c r="BF47" i="43"/>
  <c r="BG47" i="43"/>
  <c r="BH47" i="43"/>
  <c r="BI47" i="43"/>
  <c r="J48" i="43"/>
  <c r="K48" i="43"/>
  <c r="N48" i="43"/>
  <c r="AF48" i="43"/>
  <c r="AJ48" i="43"/>
  <c r="AL48" i="43"/>
  <c r="AM48" i="43"/>
  <c r="AN48" i="43"/>
  <c r="AO48" i="43"/>
  <c r="AP48" i="43"/>
  <c r="AQ48" i="43"/>
  <c r="AR48" i="43"/>
  <c r="AS48" i="43"/>
  <c r="AT48" i="43"/>
  <c r="AU48" i="43"/>
  <c r="AV48" i="43"/>
  <c r="AW48" i="43"/>
  <c r="AY48" i="43"/>
  <c r="AZ48" i="43"/>
  <c r="BA48" i="43"/>
  <c r="BB48" i="43"/>
  <c r="BC48" i="43"/>
  <c r="BD48" i="43"/>
  <c r="BE48" i="43"/>
  <c r="BF48" i="43"/>
  <c r="BG48" i="43"/>
  <c r="BH48" i="43"/>
  <c r="BI48" i="43"/>
  <c r="J49" i="43"/>
  <c r="K49" i="43"/>
  <c r="N49" i="43"/>
  <c r="AF49" i="43"/>
  <c r="AJ49" i="43"/>
  <c r="AL49" i="43"/>
  <c r="AM49" i="43"/>
  <c r="AN49" i="43"/>
  <c r="AO49" i="43"/>
  <c r="AP49" i="43"/>
  <c r="AQ49" i="43"/>
  <c r="AR49" i="43"/>
  <c r="AS49" i="43"/>
  <c r="AT49" i="43"/>
  <c r="AU49" i="43"/>
  <c r="AV49" i="43"/>
  <c r="AW49" i="43"/>
  <c r="AY49" i="43"/>
  <c r="AZ49" i="43"/>
  <c r="BA49" i="43"/>
  <c r="BB49" i="43"/>
  <c r="BC49" i="43"/>
  <c r="BD49" i="43"/>
  <c r="BE49" i="43"/>
  <c r="BF49" i="43"/>
  <c r="BG49" i="43"/>
  <c r="BH49" i="43"/>
  <c r="BI49" i="43"/>
  <c r="J50" i="43"/>
  <c r="K50" i="43"/>
  <c r="N50" i="43"/>
  <c r="AF50" i="43"/>
  <c r="AJ50" i="43"/>
  <c r="AL50" i="43"/>
  <c r="AM50" i="43"/>
  <c r="AN50" i="43"/>
  <c r="AO50" i="43"/>
  <c r="AP50" i="43"/>
  <c r="AQ50" i="43"/>
  <c r="AR50" i="43"/>
  <c r="AS50" i="43"/>
  <c r="AT50" i="43"/>
  <c r="AU50" i="43"/>
  <c r="AV50" i="43"/>
  <c r="AW50" i="43"/>
  <c r="AY50" i="43"/>
  <c r="AZ50" i="43"/>
  <c r="BA50" i="43"/>
  <c r="BB50" i="43"/>
  <c r="BC50" i="43"/>
  <c r="BD50" i="43"/>
  <c r="BE50" i="43"/>
  <c r="BF50" i="43"/>
  <c r="BG50" i="43"/>
  <c r="BH50" i="43"/>
  <c r="BI50" i="43"/>
  <c r="J51" i="43"/>
  <c r="K51" i="43"/>
  <c r="N51" i="43"/>
  <c r="AF51" i="43"/>
  <c r="AJ51" i="43"/>
  <c r="AL51" i="43"/>
  <c r="AM51" i="43"/>
  <c r="AN51" i="43"/>
  <c r="AO51" i="43"/>
  <c r="AP51" i="43"/>
  <c r="AQ51" i="43"/>
  <c r="AR51" i="43"/>
  <c r="AS51" i="43"/>
  <c r="AT51" i="43"/>
  <c r="AU51" i="43"/>
  <c r="AV51" i="43"/>
  <c r="AW51" i="43"/>
  <c r="AY51" i="43"/>
  <c r="AZ51" i="43"/>
  <c r="BA51" i="43"/>
  <c r="BB51" i="43"/>
  <c r="BC51" i="43"/>
  <c r="BD51" i="43"/>
  <c r="BE51" i="43"/>
  <c r="BF51" i="43"/>
  <c r="BG51" i="43"/>
  <c r="BH51" i="43"/>
  <c r="BI51" i="43"/>
  <c r="J52" i="43"/>
  <c r="K52" i="43"/>
  <c r="N52" i="43"/>
  <c r="V52" i="43"/>
  <c r="AF52" i="43"/>
  <c r="AJ52" i="43"/>
  <c r="AL52" i="43"/>
  <c r="AM52" i="43"/>
  <c r="AN52" i="43"/>
  <c r="AO52" i="43"/>
  <c r="AP52" i="43"/>
  <c r="AQ52" i="43"/>
  <c r="AR52" i="43"/>
  <c r="AS52" i="43"/>
  <c r="AT52" i="43"/>
  <c r="AU52" i="43"/>
  <c r="AV52" i="43"/>
  <c r="AW52" i="43"/>
  <c r="AY52" i="43"/>
  <c r="AZ52" i="43"/>
  <c r="BA52" i="43"/>
  <c r="BB52" i="43"/>
  <c r="BC52" i="43"/>
  <c r="BD52" i="43"/>
  <c r="BE52" i="43"/>
  <c r="BF52" i="43"/>
  <c r="BG52" i="43"/>
  <c r="BH52" i="43"/>
  <c r="BI52" i="43"/>
  <c r="J53" i="43"/>
  <c r="K53" i="43"/>
  <c r="N53" i="43"/>
  <c r="AF53" i="43"/>
  <c r="AJ53" i="43"/>
  <c r="AL53" i="43"/>
  <c r="AM53" i="43"/>
  <c r="AN53" i="43"/>
  <c r="AO53" i="43"/>
  <c r="AP53" i="43"/>
  <c r="AQ53" i="43"/>
  <c r="AR53" i="43"/>
  <c r="AS53" i="43"/>
  <c r="AT53" i="43"/>
  <c r="AU53" i="43"/>
  <c r="AV53" i="43"/>
  <c r="AW53" i="43"/>
  <c r="AY53" i="43"/>
  <c r="AZ53" i="43"/>
  <c r="BA53" i="43"/>
  <c r="BB53" i="43"/>
  <c r="BC53" i="43"/>
  <c r="BD53" i="43"/>
  <c r="BE53" i="43"/>
  <c r="BF53" i="43"/>
  <c r="BG53" i="43"/>
  <c r="BH53" i="43"/>
  <c r="BI53" i="43"/>
  <c r="J54" i="43"/>
  <c r="K54" i="43"/>
  <c r="N54" i="43"/>
  <c r="AF54" i="43"/>
  <c r="AJ54" i="43"/>
  <c r="AL54" i="43"/>
  <c r="AM54" i="43"/>
  <c r="AN54" i="43"/>
  <c r="AO54" i="43"/>
  <c r="AP54" i="43"/>
  <c r="AQ54" i="43"/>
  <c r="AR54" i="43"/>
  <c r="AS54" i="43"/>
  <c r="AT54" i="43"/>
  <c r="AU54" i="43"/>
  <c r="AV54" i="43"/>
  <c r="AW54" i="43"/>
  <c r="AY54" i="43"/>
  <c r="AZ54" i="43"/>
  <c r="BA54" i="43"/>
  <c r="BB54" i="43"/>
  <c r="BC54" i="43"/>
  <c r="BD54" i="43"/>
  <c r="BE54" i="43"/>
  <c r="BF54" i="43"/>
  <c r="BG54" i="43"/>
  <c r="BH54" i="43"/>
  <c r="BI54" i="43"/>
  <c r="J55" i="43"/>
  <c r="N55" i="43"/>
  <c r="K55" i="43"/>
  <c r="AF55" i="43"/>
  <c r="AJ55" i="43"/>
  <c r="AL55" i="43"/>
  <c r="AM55" i="43"/>
  <c r="AN55" i="43"/>
  <c r="AO55" i="43"/>
  <c r="AP55" i="43"/>
  <c r="AQ55" i="43"/>
  <c r="AR55" i="43"/>
  <c r="AS55" i="43"/>
  <c r="AT55" i="43"/>
  <c r="AU55" i="43"/>
  <c r="AV55" i="43"/>
  <c r="AW55" i="43"/>
  <c r="AY55" i="43"/>
  <c r="AZ55" i="43"/>
  <c r="BA55" i="43"/>
  <c r="BB55" i="43"/>
  <c r="BC55" i="43"/>
  <c r="BD55" i="43"/>
  <c r="BE55" i="43"/>
  <c r="BF55" i="43"/>
  <c r="BG55" i="43"/>
  <c r="BH55" i="43"/>
  <c r="BI55" i="43"/>
  <c r="J56" i="43"/>
  <c r="K56" i="43"/>
  <c r="N56" i="43"/>
  <c r="AF56" i="43"/>
  <c r="AJ56" i="43"/>
  <c r="AL56" i="43"/>
  <c r="AM56" i="43"/>
  <c r="AN56" i="43"/>
  <c r="AO56" i="43"/>
  <c r="AP56" i="43"/>
  <c r="AQ56" i="43"/>
  <c r="AR56" i="43"/>
  <c r="AS56" i="43"/>
  <c r="AT56" i="43"/>
  <c r="AU56" i="43"/>
  <c r="AV56" i="43"/>
  <c r="AW56" i="43"/>
  <c r="AY56" i="43"/>
  <c r="AZ56" i="43"/>
  <c r="BA56" i="43"/>
  <c r="BB56" i="43"/>
  <c r="BC56" i="43"/>
  <c r="BD56" i="43"/>
  <c r="BE56" i="43"/>
  <c r="BF56" i="43"/>
  <c r="BG56" i="43"/>
  <c r="BH56" i="43"/>
  <c r="BI56" i="43"/>
  <c r="J57" i="43"/>
  <c r="K57" i="43"/>
  <c r="N57" i="43"/>
  <c r="AF57" i="43"/>
  <c r="AJ57" i="43"/>
  <c r="AL57" i="43"/>
  <c r="AM57" i="43"/>
  <c r="AN57" i="43"/>
  <c r="AO57" i="43"/>
  <c r="AP57" i="43"/>
  <c r="AQ57" i="43"/>
  <c r="AR57" i="43"/>
  <c r="AS57" i="43"/>
  <c r="AT57" i="43"/>
  <c r="AU57" i="43"/>
  <c r="AV57" i="43"/>
  <c r="AW57" i="43"/>
  <c r="AY57" i="43"/>
  <c r="AZ57" i="43"/>
  <c r="BA57" i="43"/>
  <c r="BB57" i="43"/>
  <c r="BC57" i="43"/>
  <c r="BD57" i="43"/>
  <c r="BE57" i="43"/>
  <c r="BF57" i="43"/>
  <c r="BG57" i="43"/>
  <c r="BH57" i="43"/>
  <c r="BI57" i="43"/>
  <c r="J58" i="43"/>
  <c r="K58" i="43"/>
  <c r="N58" i="43"/>
  <c r="AF58" i="43"/>
  <c r="AJ58" i="43"/>
  <c r="AL58" i="43"/>
  <c r="AM58" i="43"/>
  <c r="AN58" i="43"/>
  <c r="AO58" i="43"/>
  <c r="AP58" i="43"/>
  <c r="AQ58" i="43"/>
  <c r="AR58" i="43"/>
  <c r="AS58" i="43"/>
  <c r="AT58" i="43"/>
  <c r="AU58" i="43"/>
  <c r="AV58" i="43"/>
  <c r="AW58" i="43"/>
  <c r="AY58" i="43"/>
  <c r="AZ58" i="43"/>
  <c r="BA58" i="43"/>
  <c r="BB58" i="43"/>
  <c r="BC58" i="43"/>
  <c r="BD58" i="43"/>
  <c r="BE58" i="43"/>
  <c r="BF58" i="43"/>
  <c r="BG58" i="43"/>
  <c r="BH58" i="43"/>
  <c r="BI58" i="43"/>
  <c r="J59" i="43"/>
  <c r="N59" i="43"/>
  <c r="K59" i="43"/>
  <c r="AF59" i="43"/>
  <c r="AJ59" i="43"/>
  <c r="AL59" i="43"/>
  <c r="AM59" i="43"/>
  <c r="AN59" i="43"/>
  <c r="AO59" i="43"/>
  <c r="AP59" i="43"/>
  <c r="AQ59" i="43"/>
  <c r="AR59" i="43"/>
  <c r="AS59" i="43"/>
  <c r="AT59" i="43"/>
  <c r="AU59" i="43"/>
  <c r="AV59" i="43"/>
  <c r="AW59" i="43"/>
  <c r="AY59" i="43"/>
  <c r="AZ59" i="43"/>
  <c r="BA59" i="43"/>
  <c r="BB59" i="43"/>
  <c r="BC59" i="43"/>
  <c r="BD59" i="43"/>
  <c r="BE59" i="43"/>
  <c r="BF59" i="43"/>
  <c r="BG59" i="43"/>
  <c r="BH59" i="43"/>
  <c r="BI59" i="43"/>
  <c r="J60" i="43"/>
  <c r="K60" i="43"/>
  <c r="N60" i="43"/>
  <c r="AF60" i="43"/>
  <c r="AJ60" i="43"/>
  <c r="AK60" i="43"/>
  <c r="AM60" i="43"/>
  <c r="AN60" i="43"/>
  <c r="AO60" i="43"/>
  <c r="AP60" i="43"/>
  <c r="AQ60" i="43"/>
  <c r="AR60" i="43"/>
  <c r="AS60" i="43"/>
  <c r="AT60" i="43"/>
  <c r="AU60" i="43"/>
  <c r="AV60" i="43"/>
  <c r="AW60" i="43"/>
  <c r="AX60" i="43"/>
  <c r="AZ60" i="43"/>
  <c r="BA60" i="43"/>
  <c r="BB60" i="43"/>
  <c r="BC60" i="43"/>
  <c r="BD60" i="43"/>
  <c r="BE60" i="43"/>
  <c r="BF60" i="43"/>
  <c r="BG60" i="43"/>
  <c r="BH60" i="43"/>
  <c r="BI60" i="43"/>
  <c r="J61" i="43"/>
  <c r="K61" i="43"/>
  <c r="N61" i="43"/>
  <c r="AF61" i="43"/>
  <c r="AJ61" i="43"/>
  <c r="AK61" i="43"/>
  <c r="AM61" i="43"/>
  <c r="AN61" i="43"/>
  <c r="AO61" i="43"/>
  <c r="AP61" i="43"/>
  <c r="AQ61" i="43"/>
  <c r="AR61" i="43"/>
  <c r="AS61" i="43"/>
  <c r="AT61" i="43"/>
  <c r="AU61" i="43"/>
  <c r="AV61" i="43"/>
  <c r="AW61" i="43"/>
  <c r="AX61" i="43"/>
  <c r="AZ61" i="43"/>
  <c r="BA61" i="43"/>
  <c r="BB61" i="43"/>
  <c r="BC61" i="43"/>
  <c r="BD61" i="43"/>
  <c r="BE61" i="43"/>
  <c r="BF61" i="43"/>
  <c r="BG61" i="43"/>
  <c r="BH61" i="43"/>
  <c r="BI61" i="43"/>
  <c r="J62" i="43"/>
  <c r="K62" i="43"/>
  <c r="N62" i="43"/>
  <c r="AF62" i="43"/>
  <c r="AJ62" i="43"/>
  <c r="AK62" i="43"/>
  <c r="AM62" i="43"/>
  <c r="AN62" i="43"/>
  <c r="AO62" i="43"/>
  <c r="AP62" i="43"/>
  <c r="AQ62" i="43"/>
  <c r="AR62" i="43"/>
  <c r="AS62" i="43"/>
  <c r="AT62" i="43"/>
  <c r="AU62" i="43"/>
  <c r="AV62" i="43"/>
  <c r="AW62" i="43"/>
  <c r="AX62" i="43"/>
  <c r="AZ62" i="43"/>
  <c r="BA62" i="43"/>
  <c r="BB62" i="43"/>
  <c r="BC62" i="43"/>
  <c r="BD62" i="43"/>
  <c r="BE62" i="43"/>
  <c r="BF62" i="43"/>
  <c r="BG62" i="43"/>
  <c r="BH62" i="43"/>
  <c r="BI62" i="43"/>
  <c r="J63" i="43"/>
  <c r="K63" i="43"/>
  <c r="N63" i="43"/>
  <c r="AF63" i="43"/>
  <c r="AJ63" i="43"/>
  <c r="AK63" i="43"/>
  <c r="AM63" i="43"/>
  <c r="AN63" i="43"/>
  <c r="AO63" i="43"/>
  <c r="AP63" i="43"/>
  <c r="AQ63" i="43"/>
  <c r="AR63" i="43"/>
  <c r="AS63" i="43"/>
  <c r="AT63" i="43"/>
  <c r="AU63" i="43"/>
  <c r="AV63" i="43"/>
  <c r="AW63" i="43"/>
  <c r="AX63" i="43"/>
  <c r="AZ63" i="43"/>
  <c r="BA63" i="43"/>
  <c r="BB63" i="43"/>
  <c r="BC63" i="43"/>
  <c r="BD63" i="43"/>
  <c r="BE63" i="43"/>
  <c r="BF63" i="43"/>
  <c r="BG63" i="43"/>
  <c r="BH63" i="43"/>
  <c r="BI63" i="43"/>
  <c r="J64" i="43"/>
  <c r="K64" i="43"/>
  <c r="N64" i="43"/>
  <c r="AF64" i="43"/>
  <c r="AJ64" i="43"/>
  <c r="AK64" i="43"/>
  <c r="AM64" i="43"/>
  <c r="AN64" i="43"/>
  <c r="AO64" i="43"/>
  <c r="AP64" i="43"/>
  <c r="AQ64" i="43"/>
  <c r="AR64" i="43"/>
  <c r="AS64" i="43"/>
  <c r="AT64" i="43"/>
  <c r="AU64" i="43"/>
  <c r="AV64" i="43"/>
  <c r="AW64" i="43"/>
  <c r="AX64" i="43"/>
  <c r="AZ64" i="43"/>
  <c r="BA64" i="43"/>
  <c r="BB64" i="43"/>
  <c r="BC64" i="43"/>
  <c r="BD64" i="43"/>
  <c r="BE64" i="43"/>
  <c r="BF64" i="43"/>
  <c r="BG64" i="43"/>
  <c r="BH64" i="43"/>
  <c r="BI64" i="43"/>
  <c r="J65" i="43"/>
  <c r="K65" i="43"/>
  <c r="N65" i="43"/>
  <c r="AF65" i="43"/>
  <c r="AJ65" i="43"/>
  <c r="AK65" i="43"/>
  <c r="AM65" i="43"/>
  <c r="AN65" i="43"/>
  <c r="AO65" i="43"/>
  <c r="AP65" i="43"/>
  <c r="AQ65" i="43"/>
  <c r="AR65" i="43"/>
  <c r="AS65" i="43"/>
  <c r="AT65" i="43"/>
  <c r="AU65" i="43"/>
  <c r="AV65" i="43"/>
  <c r="AW65" i="43"/>
  <c r="AX65" i="43"/>
  <c r="AZ65" i="43"/>
  <c r="BA65" i="43"/>
  <c r="BB65" i="43"/>
  <c r="BC65" i="43"/>
  <c r="BD65" i="43"/>
  <c r="BE65" i="43"/>
  <c r="BF65" i="43"/>
  <c r="BG65" i="43"/>
  <c r="BH65" i="43"/>
  <c r="BI65" i="43"/>
  <c r="J66" i="43"/>
  <c r="K66" i="43"/>
  <c r="N66" i="43"/>
  <c r="AF66" i="43"/>
  <c r="AJ66" i="43"/>
  <c r="AK66" i="43"/>
  <c r="AM66" i="43"/>
  <c r="AN66" i="43"/>
  <c r="AO66" i="43"/>
  <c r="AP66" i="43"/>
  <c r="AQ66" i="43"/>
  <c r="AR66" i="43"/>
  <c r="AS66" i="43"/>
  <c r="AT66" i="43"/>
  <c r="AU66" i="43"/>
  <c r="AV66" i="43"/>
  <c r="AW66" i="43"/>
  <c r="AX66" i="43"/>
  <c r="AZ66" i="43"/>
  <c r="BA66" i="43"/>
  <c r="BB66" i="43"/>
  <c r="BC66" i="43"/>
  <c r="BD66" i="43"/>
  <c r="BE66" i="43"/>
  <c r="BF66" i="43"/>
  <c r="BG66" i="43"/>
  <c r="BH66" i="43"/>
  <c r="BI66" i="43"/>
  <c r="J67" i="43"/>
  <c r="K67" i="43"/>
  <c r="N67" i="43"/>
  <c r="AF67" i="43"/>
  <c r="AJ67" i="43"/>
  <c r="AK67" i="43"/>
  <c r="AM67" i="43"/>
  <c r="AN67" i="43"/>
  <c r="AO67" i="43"/>
  <c r="AP67" i="43"/>
  <c r="AQ67" i="43"/>
  <c r="AR67" i="43"/>
  <c r="AS67" i="43"/>
  <c r="AT67" i="43"/>
  <c r="AU67" i="43"/>
  <c r="AV67" i="43"/>
  <c r="AW67" i="43"/>
  <c r="AX67" i="43"/>
  <c r="AZ67" i="43"/>
  <c r="BA67" i="43"/>
  <c r="BB67" i="43"/>
  <c r="BC67" i="43"/>
  <c r="BD67" i="43"/>
  <c r="BE67" i="43"/>
  <c r="BF67" i="43"/>
  <c r="BG67" i="43"/>
  <c r="BH67" i="43"/>
  <c r="BI67" i="43"/>
  <c r="J68" i="43"/>
  <c r="K68" i="43"/>
  <c r="N68" i="43"/>
  <c r="AF68" i="43"/>
  <c r="AJ68" i="43"/>
  <c r="AK68" i="43"/>
  <c r="AL68" i="43"/>
  <c r="AN68" i="43"/>
  <c r="AO68" i="43"/>
  <c r="AP68" i="43"/>
  <c r="AQ68" i="43"/>
  <c r="AR68" i="43"/>
  <c r="AS68" i="43"/>
  <c r="AT68" i="43"/>
  <c r="AU68" i="43"/>
  <c r="AV68" i="43"/>
  <c r="AW68" i="43"/>
  <c r="AX68" i="43"/>
  <c r="AY68" i="43"/>
  <c r="BA68" i="43"/>
  <c r="BB68" i="43"/>
  <c r="BC68" i="43"/>
  <c r="BD68" i="43"/>
  <c r="BE68" i="43"/>
  <c r="BF68" i="43"/>
  <c r="BG68" i="43"/>
  <c r="BH68" i="43"/>
  <c r="BI68" i="43"/>
  <c r="J69" i="43"/>
  <c r="N69" i="43"/>
  <c r="K69" i="43"/>
  <c r="AF69" i="43"/>
  <c r="AJ69" i="43"/>
  <c r="AK69" i="43"/>
  <c r="AL69" i="43"/>
  <c r="AN69" i="43"/>
  <c r="AO69" i="43"/>
  <c r="AP69" i="43"/>
  <c r="AQ69" i="43"/>
  <c r="AR69" i="43"/>
  <c r="AS69" i="43"/>
  <c r="AT69" i="43"/>
  <c r="AU69" i="43"/>
  <c r="AV69" i="43"/>
  <c r="AW69" i="43"/>
  <c r="AX69" i="43"/>
  <c r="AY69" i="43"/>
  <c r="BA69" i="43"/>
  <c r="BB69" i="43"/>
  <c r="BC69" i="43"/>
  <c r="BD69" i="43"/>
  <c r="BE69" i="43"/>
  <c r="BF69" i="43"/>
  <c r="BG69" i="43"/>
  <c r="BH69" i="43"/>
  <c r="BI69" i="43"/>
  <c r="J70" i="43"/>
  <c r="K70" i="43"/>
  <c r="N70" i="43"/>
  <c r="AF70" i="43"/>
  <c r="AJ70" i="43"/>
  <c r="AK70" i="43"/>
  <c r="AL70" i="43"/>
  <c r="AN70" i="43"/>
  <c r="AO70" i="43"/>
  <c r="AP70" i="43"/>
  <c r="AQ70" i="43"/>
  <c r="AR70" i="43"/>
  <c r="AS70" i="43"/>
  <c r="AT70" i="43"/>
  <c r="AU70" i="43"/>
  <c r="AV70" i="43"/>
  <c r="AW70" i="43"/>
  <c r="AX70" i="43"/>
  <c r="AY70" i="43"/>
  <c r="BA70" i="43"/>
  <c r="BB70" i="43"/>
  <c r="BC70" i="43"/>
  <c r="BD70" i="43"/>
  <c r="BE70" i="43"/>
  <c r="BF70" i="43"/>
  <c r="BG70" i="43"/>
  <c r="BH70" i="43"/>
  <c r="BI70" i="43"/>
  <c r="J71" i="43"/>
  <c r="K71" i="43"/>
  <c r="N71" i="43"/>
  <c r="AF71" i="43"/>
  <c r="AJ71" i="43"/>
  <c r="AK71" i="43"/>
  <c r="AL71" i="43"/>
  <c r="AN71" i="43"/>
  <c r="AO71" i="43"/>
  <c r="AP71" i="43"/>
  <c r="AQ71" i="43"/>
  <c r="AR71" i="43"/>
  <c r="AS71" i="43"/>
  <c r="AT71" i="43"/>
  <c r="AU71" i="43"/>
  <c r="AV71" i="43"/>
  <c r="AW71" i="43"/>
  <c r="AX71" i="43"/>
  <c r="AY71" i="43"/>
  <c r="BA71" i="43"/>
  <c r="BB71" i="43"/>
  <c r="BC71" i="43"/>
  <c r="BD71" i="43"/>
  <c r="BE71" i="43"/>
  <c r="BF71" i="43"/>
  <c r="BG71" i="43"/>
  <c r="BH71" i="43"/>
  <c r="BI71" i="43"/>
  <c r="J72" i="43"/>
  <c r="K72" i="43"/>
  <c r="N72" i="43"/>
  <c r="AF72" i="43"/>
  <c r="AJ72" i="43"/>
  <c r="AK72" i="43"/>
  <c r="AL72" i="43"/>
  <c r="AN72" i="43"/>
  <c r="AO72" i="43"/>
  <c r="AP72" i="43"/>
  <c r="AQ72" i="43"/>
  <c r="AR72" i="43"/>
  <c r="AS72" i="43"/>
  <c r="AT72" i="43"/>
  <c r="AU72" i="43"/>
  <c r="AV72" i="43"/>
  <c r="AW72" i="43"/>
  <c r="AX72" i="43"/>
  <c r="AY72" i="43"/>
  <c r="BA72" i="43"/>
  <c r="BB72" i="43"/>
  <c r="BC72" i="43"/>
  <c r="BD72" i="43"/>
  <c r="BE72" i="43"/>
  <c r="BF72" i="43"/>
  <c r="BG72" i="43"/>
  <c r="BH72" i="43"/>
  <c r="BI72" i="43"/>
  <c r="J73" i="43"/>
  <c r="K73" i="43"/>
  <c r="N73" i="43"/>
  <c r="AF73" i="43"/>
  <c r="AJ73" i="43"/>
  <c r="AK73" i="43"/>
  <c r="AL73" i="43"/>
  <c r="AN73" i="43"/>
  <c r="AO73" i="43"/>
  <c r="AP73" i="43"/>
  <c r="AQ73" i="43"/>
  <c r="AR73" i="43"/>
  <c r="AS73" i="43"/>
  <c r="AT73" i="43"/>
  <c r="AU73" i="43"/>
  <c r="AV73" i="43"/>
  <c r="AW73" i="43"/>
  <c r="AX73" i="43"/>
  <c r="AY73" i="43"/>
  <c r="BA73" i="43"/>
  <c r="BB73" i="43"/>
  <c r="BC73" i="43"/>
  <c r="BD73" i="43"/>
  <c r="BE73" i="43"/>
  <c r="BF73" i="43"/>
  <c r="BG73" i="43"/>
  <c r="BH73" i="43"/>
  <c r="BI73" i="43"/>
  <c r="J74" i="43"/>
  <c r="K74" i="43"/>
  <c r="N74" i="43"/>
  <c r="AF74" i="43"/>
  <c r="AJ74" i="43"/>
  <c r="AK74" i="43"/>
  <c r="AL74" i="43"/>
  <c r="AN74" i="43"/>
  <c r="AO74" i="43"/>
  <c r="AP74" i="43"/>
  <c r="AQ74" i="43"/>
  <c r="AR74" i="43"/>
  <c r="AS74" i="43"/>
  <c r="AT74" i="43"/>
  <c r="AU74" i="43"/>
  <c r="AV74" i="43"/>
  <c r="AW74" i="43"/>
  <c r="AX74" i="43"/>
  <c r="AY74" i="43"/>
  <c r="BA74" i="43"/>
  <c r="BB74" i="43"/>
  <c r="BC74" i="43"/>
  <c r="BD74" i="43"/>
  <c r="BE74" i="43"/>
  <c r="BF74" i="43"/>
  <c r="BG74" i="43"/>
  <c r="BH74" i="43"/>
  <c r="BI74" i="43"/>
  <c r="J75" i="43"/>
  <c r="K75" i="43"/>
  <c r="N75" i="43"/>
  <c r="AF75" i="43"/>
  <c r="AJ75" i="43"/>
  <c r="AK75" i="43"/>
  <c r="AL75" i="43"/>
  <c r="AN75" i="43"/>
  <c r="AO75" i="43"/>
  <c r="AP75" i="43"/>
  <c r="AQ75" i="43"/>
  <c r="AR75" i="43"/>
  <c r="AS75" i="43"/>
  <c r="AT75" i="43"/>
  <c r="AU75" i="43"/>
  <c r="AV75" i="43"/>
  <c r="AW75" i="43"/>
  <c r="AX75" i="43"/>
  <c r="AY75" i="43"/>
  <c r="BA75" i="43"/>
  <c r="BB75" i="43"/>
  <c r="BC75" i="43"/>
  <c r="BD75" i="43"/>
  <c r="BE75" i="43"/>
  <c r="BF75" i="43"/>
  <c r="BG75" i="43"/>
  <c r="BH75" i="43"/>
  <c r="BI75" i="43"/>
  <c r="J76" i="43"/>
  <c r="K76" i="43"/>
  <c r="N76" i="43"/>
  <c r="AF76" i="43"/>
  <c r="AJ76" i="43"/>
  <c r="AK76" i="43"/>
  <c r="AL76" i="43"/>
  <c r="AN76" i="43"/>
  <c r="AO76" i="43"/>
  <c r="AP76" i="43"/>
  <c r="AQ76" i="43"/>
  <c r="AR76" i="43"/>
  <c r="AS76" i="43"/>
  <c r="AT76" i="43"/>
  <c r="AU76" i="43"/>
  <c r="AV76" i="43"/>
  <c r="AW76" i="43"/>
  <c r="AX76" i="43"/>
  <c r="AY76" i="43"/>
  <c r="BA76" i="43"/>
  <c r="BB76" i="43"/>
  <c r="BC76" i="43"/>
  <c r="BD76" i="43"/>
  <c r="BE76" i="43"/>
  <c r="BF76" i="43"/>
  <c r="BG76" i="43"/>
  <c r="BH76" i="43"/>
  <c r="BI76" i="43"/>
  <c r="J77" i="43"/>
  <c r="K77" i="43"/>
  <c r="N77" i="43"/>
  <c r="AF77" i="43"/>
  <c r="AJ77" i="43"/>
  <c r="AK77" i="43"/>
  <c r="AL77" i="43"/>
  <c r="AN77" i="43"/>
  <c r="AO77" i="43"/>
  <c r="AP77" i="43"/>
  <c r="AQ77" i="43"/>
  <c r="AR77" i="43"/>
  <c r="AS77" i="43"/>
  <c r="AT77" i="43"/>
  <c r="AU77" i="43"/>
  <c r="AV77" i="43"/>
  <c r="AW77" i="43"/>
  <c r="AX77" i="43"/>
  <c r="AY77" i="43"/>
  <c r="BA77" i="43"/>
  <c r="BB77" i="43"/>
  <c r="BC77" i="43"/>
  <c r="BD77" i="43"/>
  <c r="BE77" i="43"/>
  <c r="BF77" i="43"/>
  <c r="BG77" i="43"/>
  <c r="BH77" i="43"/>
  <c r="BI77" i="43"/>
  <c r="J78" i="43"/>
  <c r="K78" i="43"/>
  <c r="N78" i="43"/>
  <c r="AF78" i="43"/>
  <c r="AJ78" i="43"/>
  <c r="AK78" i="43"/>
  <c r="AL78" i="43"/>
  <c r="AN78" i="43"/>
  <c r="AO78" i="43"/>
  <c r="AP78" i="43"/>
  <c r="AQ78" i="43"/>
  <c r="AR78" i="43"/>
  <c r="AS78" i="43"/>
  <c r="AT78" i="43"/>
  <c r="AU78" i="43"/>
  <c r="AV78" i="43"/>
  <c r="AW78" i="43"/>
  <c r="AX78" i="43"/>
  <c r="AY78" i="43"/>
  <c r="BA78" i="43"/>
  <c r="BB78" i="43"/>
  <c r="BC78" i="43"/>
  <c r="BD78" i="43"/>
  <c r="BE78" i="43"/>
  <c r="BF78" i="43"/>
  <c r="BG78" i="43"/>
  <c r="BH78" i="43"/>
  <c r="BI78" i="43"/>
  <c r="J79" i="43"/>
  <c r="K79" i="43"/>
  <c r="N79" i="43"/>
  <c r="AF79" i="43"/>
  <c r="AJ79" i="43"/>
  <c r="AK79" i="43"/>
  <c r="AL79" i="43"/>
  <c r="AN79" i="43"/>
  <c r="AO79" i="43"/>
  <c r="AP79" i="43"/>
  <c r="AQ79" i="43"/>
  <c r="AR79" i="43"/>
  <c r="AS79" i="43"/>
  <c r="AT79" i="43"/>
  <c r="AU79" i="43"/>
  <c r="AV79" i="43"/>
  <c r="AW79" i="43"/>
  <c r="AX79" i="43"/>
  <c r="AY79" i="43"/>
  <c r="BA79" i="43"/>
  <c r="BB79" i="43"/>
  <c r="BC79" i="43"/>
  <c r="BD79" i="43"/>
  <c r="BE79" i="43"/>
  <c r="BF79" i="43"/>
  <c r="BG79" i="43"/>
  <c r="BH79" i="43"/>
  <c r="BI79" i="43"/>
  <c r="J80" i="43"/>
  <c r="K80" i="43"/>
  <c r="N80" i="43"/>
  <c r="AF80" i="43"/>
  <c r="AJ80" i="43"/>
  <c r="AK80" i="43"/>
  <c r="AL80" i="43"/>
  <c r="AN80" i="43"/>
  <c r="AO80" i="43"/>
  <c r="AP80" i="43"/>
  <c r="AQ80" i="43"/>
  <c r="AR80" i="43"/>
  <c r="AS80" i="43"/>
  <c r="AT80" i="43"/>
  <c r="AU80" i="43"/>
  <c r="AV80" i="43"/>
  <c r="AW80" i="43"/>
  <c r="AX80" i="43"/>
  <c r="AY80" i="43"/>
  <c r="BA80" i="43"/>
  <c r="BB80" i="43"/>
  <c r="BC80" i="43"/>
  <c r="BD80" i="43"/>
  <c r="BE80" i="43"/>
  <c r="BF80" i="43"/>
  <c r="BG80" i="43"/>
  <c r="BH80" i="43"/>
  <c r="BI80" i="43"/>
  <c r="J81" i="43"/>
  <c r="K81" i="43"/>
  <c r="N81" i="43"/>
  <c r="AF81" i="43"/>
  <c r="AJ81" i="43"/>
  <c r="AK81" i="43"/>
  <c r="AL81" i="43"/>
  <c r="AN81" i="43"/>
  <c r="AO81" i="43"/>
  <c r="AP81" i="43"/>
  <c r="AQ81" i="43"/>
  <c r="AR81" i="43"/>
  <c r="AS81" i="43"/>
  <c r="AT81" i="43"/>
  <c r="AU81" i="43"/>
  <c r="AV81" i="43"/>
  <c r="AW81" i="43"/>
  <c r="AX81" i="43"/>
  <c r="AY81" i="43"/>
  <c r="BA81" i="43"/>
  <c r="BB81" i="43"/>
  <c r="BC81" i="43"/>
  <c r="BD81" i="43"/>
  <c r="BE81" i="43"/>
  <c r="BF81" i="43"/>
  <c r="BG81" i="43"/>
  <c r="BH81" i="43"/>
  <c r="BI81" i="43"/>
  <c r="J82" i="43"/>
  <c r="K82" i="43"/>
  <c r="N82" i="43"/>
  <c r="AF82" i="43"/>
  <c r="AJ82" i="43"/>
  <c r="AK82" i="43"/>
  <c r="AL82" i="43"/>
  <c r="AN82" i="43"/>
  <c r="AO82" i="43"/>
  <c r="AP82" i="43"/>
  <c r="AQ82" i="43"/>
  <c r="AR82" i="43"/>
  <c r="AS82" i="43"/>
  <c r="AT82" i="43"/>
  <c r="AU82" i="43"/>
  <c r="AV82" i="43"/>
  <c r="AW82" i="43"/>
  <c r="AX82" i="43"/>
  <c r="AY82" i="43"/>
  <c r="BA82" i="43"/>
  <c r="BB82" i="43"/>
  <c r="BC82" i="43"/>
  <c r="BD82" i="43"/>
  <c r="BE82" i="43"/>
  <c r="BF82" i="43"/>
  <c r="BG82" i="43"/>
  <c r="BH82" i="43"/>
  <c r="BI82" i="43"/>
  <c r="J83" i="43"/>
  <c r="K83" i="43"/>
  <c r="N83" i="43"/>
  <c r="AF83" i="43"/>
  <c r="AJ83" i="43"/>
  <c r="AK83" i="43"/>
  <c r="AL83" i="43"/>
  <c r="AN83" i="43"/>
  <c r="AO83" i="43"/>
  <c r="AP83" i="43"/>
  <c r="AQ83" i="43"/>
  <c r="AR83" i="43"/>
  <c r="AS83" i="43"/>
  <c r="AT83" i="43"/>
  <c r="AU83" i="43"/>
  <c r="AV83" i="43"/>
  <c r="AW83" i="43"/>
  <c r="AX83" i="43"/>
  <c r="AY83" i="43"/>
  <c r="BA83" i="43"/>
  <c r="BB83" i="43"/>
  <c r="BC83" i="43"/>
  <c r="BD83" i="43"/>
  <c r="BE83" i="43"/>
  <c r="BF83" i="43"/>
  <c r="BG83" i="43"/>
  <c r="BH83" i="43"/>
  <c r="BI83" i="43"/>
  <c r="J84" i="43"/>
  <c r="K84" i="43"/>
  <c r="N84" i="43"/>
  <c r="AF84" i="43"/>
  <c r="AJ84" i="43"/>
  <c r="AK84" i="43"/>
  <c r="AL84" i="43"/>
  <c r="AN84" i="43"/>
  <c r="AO84" i="43"/>
  <c r="AP84" i="43"/>
  <c r="AQ84" i="43"/>
  <c r="AR84" i="43"/>
  <c r="AS84" i="43"/>
  <c r="AT84" i="43"/>
  <c r="AU84" i="43"/>
  <c r="AV84" i="43"/>
  <c r="AW84" i="43"/>
  <c r="AX84" i="43"/>
  <c r="AY84" i="43"/>
  <c r="BA84" i="43"/>
  <c r="BB84" i="43"/>
  <c r="BC84" i="43"/>
  <c r="BD84" i="43"/>
  <c r="BE84" i="43"/>
  <c r="BF84" i="43"/>
  <c r="BG84" i="43"/>
  <c r="BH84" i="43"/>
  <c r="BI84" i="43"/>
  <c r="J85" i="43"/>
  <c r="K85" i="43"/>
  <c r="N85" i="43"/>
  <c r="AF85" i="43"/>
  <c r="AJ85" i="43"/>
  <c r="AK85" i="43"/>
  <c r="AL85" i="43"/>
  <c r="AN85" i="43"/>
  <c r="AO85" i="43"/>
  <c r="AP85" i="43"/>
  <c r="AQ85" i="43"/>
  <c r="AR85" i="43"/>
  <c r="AS85" i="43"/>
  <c r="AT85" i="43"/>
  <c r="AU85" i="43"/>
  <c r="AV85" i="43"/>
  <c r="AW85" i="43"/>
  <c r="AX85" i="43"/>
  <c r="AY85" i="43"/>
  <c r="BA85" i="43"/>
  <c r="BB85" i="43"/>
  <c r="BC85" i="43"/>
  <c r="BD85" i="43"/>
  <c r="BE85" i="43"/>
  <c r="BF85" i="43"/>
  <c r="BG85" i="43"/>
  <c r="BH85" i="43"/>
  <c r="BI85" i="43"/>
  <c r="J86" i="43"/>
  <c r="K86" i="43"/>
  <c r="N86" i="43"/>
  <c r="AF86" i="43"/>
  <c r="AJ86" i="43"/>
  <c r="AK86" i="43"/>
  <c r="AL86" i="43"/>
  <c r="AN86" i="43"/>
  <c r="AO86" i="43"/>
  <c r="AP86" i="43"/>
  <c r="AQ86" i="43"/>
  <c r="AR86" i="43"/>
  <c r="AS86" i="43"/>
  <c r="AT86" i="43"/>
  <c r="AU86" i="43"/>
  <c r="AV86" i="43"/>
  <c r="AW86" i="43"/>
  <c r="AX86" i="43"/>
  <c r="AY86" i="43"/>
  <c r="BA86" i="43"/>
  <c r="BB86" i="43"/>
  <c r="BC86" i="43"/>
  <c r="BD86" i="43"/>
  <c r="BE86" i="43"/>
  <c r="BF86" i="43"/>
  <c r="BG86" i="43"/>
  <c r="BH86" i="43"/>
  <c r="BI86" i="43"/>
  <c r="J87" i="43"/>
  <c r="K87" i="43"/>
  <c r="N87" i="43"/>
  <c r="AF87" i="43"/>
  <c r="AJ87" i="43"/>
  <c r="AK87" i="43"/>
  <c r="AL87" i="43"/>
  <c r="AN87" i="43"/>
  <c r="AO87" i="43"/>
  <c r="AP87" i="43"/>
  <c r="AQ87" i="43"/>
  <c r="AR87" i="43"/>
  <c r="AS87" i="43"/>
  <c r="AT87" i="43"/>
  <c r="AU87" i="43"/>
  <c r="AV87" i="43"/>
  <c r="AW87" i="43"/>
  <c r="AX87" i="43"/>
  <c r="AY87" i="43"/>
  <c r="BA87" i="43"/>
  <c r="BB87" i="43"/>
  <c r="BC87" i="43"/>
  <c r="BD87" i="43"/>
  <c r="BE87" i="43"/>
  <c r="BF87" i="43"/>
  <c r="BG87" i="43"/>
  <c r="BH87" i="43"/>
  <c r="BI87" i="43"/>
  <c r="J88" i="43"/>
  <c r="K88" i="43"/>
  <c r="N88" i="43"/>
  <c r="AF88" i="43"/>
  <c r="AJ88" i="43"/>
  <c r="AK88" i="43"/>
  <c r="AL88" i="43"/>
  <c r="AN88" i="43"/>
  <c r="AO88" i="43"/>
  <c r="AP88" i="43"/>
  <c r="AQ88" i="43"/>
  <c r="AR88" i="43"/>
  <c r="AS88" i="43"/>
  <c r="AT88" i="43"/>
  <c r="AU88" i="43"/>
  <c r="AV88" i="43"/>
  <c r="AW88" i="43"/>
  <c r="AX88" i="43"/>
  <c r="AY88" i="43"/>
  <c r="BA88" i="43"/>
  <c r="BB88" i="43"/>
  <c r="BC88" i="43"/>
  <c r="BD88" i="43"/>
  <c r="BE88" i="43"/>
  <c r="BF88" i="43"/>
  <c r="BG88" i="43"/>
  <c r="BH88" i="43"/>
  <c r="BI88" i="43"/>
  <c r="J89" i="43"/>
  <c r="K89" i="43"/>
  <c r="N89" i="43"/>
  <c r="AF89" i="43"/>
  <c r="AJ89" i="43"/>
  <c r="AK89" i="43"/>
  <c r="AL89" i="43"/>
  <c r="AN89" i="43"/>
  <c r="AO89" i="43"/>
  <c r="AP89" i="43"/>
  <c r="AQ89" i="43"/>
  <c r="AR89" i="43"/>
  <c r="AS89" i="43"/>
  <c r="AT89" i="43"/>
  <c r="AU89" i="43"/>
  <c r="AV89" i="43"/>
  <c r="AW89" i="43"/>
  <c r="AX89" i="43"/>
  <c r="AY89" i="43"/>
  <c r="BA89" i="43"/>
  <c r="BB89" i="43"/>
  <c r="BC89" i="43"/>
  <c r="BD89" i="43"/>
  <c r="BE89" i="43"/>
  <c r="BF89" i="43"/>
  <c r="BG89" i="43"/>
  <c r="BH89" i="43"/>
  <c r="BI89" i="43"/>
  <c r="J90" i="43"/>
  <c r="K90" i="43"/>
  <c r="N90" i="43"/>
  <c r="AF90" i="43"/>
  <c r="AJ90" i="43"/>
  <c r="AK90" i="43"/>
  <c r="AL90" i="43"/>
  <c r="AN90" i="43"/>
  <c r="AO90" i="43"/>
  <c r="AP90" i="43"/>
  <c r="AQ90" i="43"/>
  <c r="AR90" i="43"/>
  <c r="AS90" i="43"/>
  <c r="AT90" i="43"/>
  <c r="AU90" i="43"/>
  <c r="AV90" i="43"/>
  <c r="AW90" i="43"/>
  <c r="AX90" i="43"/>
  <c r="AY90" i="43"/>
  <c r="BA90" i="43"/>
  <c r="BB90" i="43"/>
  <c r="BC90" i="43"/>
  <c r="BD90" i="43"/>
  <c r="BE90" i="43"/>
  <c r="BF90" i="43"/>
  <c r="BG90" i="43"/>
  <c r="BH90" i="43"/>
  <c r="BI90" i="43"/>
  <c r="J91" i="43"/>
  <c r="K91" i="43"/>
  <c r="N91" i="43"/>
  <c r="AF91" i="43"/>
  <c r="AJ91" i="43"/>
  <c r="AK91" i="43"/>
  <c r="AL91" i="43"/>
  <c r="AN91" i="43"/>
  <c r="AO91" i="43"/>
  <c r="AP91" i="43"/>
  <c r="AQ91" i="43"/>
  <c r="AR91" i="43"/>
  <c r="AS91" i="43"/>
  <c r="AT91" i="43"/>
  <c r="AU91" i="43"/>
  <c r="AV91" i="43"/>
  <c r="AW91" i="43"/>
  <c r="AX91" i="43"/>
  <c r="AY91" i="43"/>
  <c r="BA91" i="43"/>
  <c r="BB91" i="43"/>
  <c r="BC91" i="43"/>
  <c r="BD91" i="43"/>
  <c r="BE91" i="43"/>
  <c r="BF91" i="43"/>
  <c r="BG91" i="43"/>
  <c r="BH91" i="43"/>
  <c r="BI91" i="43"/>
  <c r="J92" i="43"/>
  <c r="K92" i="43"/>
  <c r="N92" i="43"/>
  <c r="AF92" i="43"/>
  <c r="AJ92" i="43"/>
  <c r="AK92" i="43"/>
  <c r="AL92" i="43"/>
  <c r="AN92" i="43"/>
  <c r="AO92" i="43"/>
  <c r="AP92" i="43"/>
  <c r="AQ92" i="43"/>
  <c r="AR92" i="43"/>
  <c r="AS92" i="43"/>
  <c r="AT92" i="43"/>
  <c r="AU92" i="43"/>
  <c r="AV92" i="43"/>
  <c r="AW92" i="43"/>
  <c r="AX92" i="43"/>
  <c r="AY92" i="43"/>
  <c r="BA92" i="43"/>
  <c r="BB92" i="43"/>
  <c r="BC92" i="43"/>
  <c r="BD92" i="43"/>
  <c r="BE92" i="43"/>
  <c r="BF92" i="43"/>
  <c r="BG92" i="43"/>
  <c r="BH92" i="43"/>
  <c r="BI92" i="43"/>
  <c r="J93" i="43"/>
  <c r="K93" i="43"/>
  <c r="N93" i="43"/>
  <c r="AF93" i="43"/>
  <c r="AJ93" i="43"/>
  <c r="AK93" i="43"/>
  <c r="AL93" i="43"/>
  <c r="AN93" i="43"/>
  <c r="AO93" i="43"/>
  <c r="AP93" i="43"/>
  <c r="AQ93" i="43"/>
  <c r="AR93" i="43"/>
  <c r="AS93" i="43"/>
  <c r="AT93" i="43"/>
  <c r="AU93" i="43"/>
  <c r="AV93" i="43"/>
  <c r="AW93" i="43"/>
  <c r="AX93" i="43"/>
  <c r="AY93" i="43"/>
  <c r="BA93" i="43"/>
  <c r="BB93" i="43"/>
  <c r="BC93" i="43"/>
  <c r="BD93" i="43"/>
  <c r="BE93" i="43"/>
  <c r="BF93" i="43"/>
  <c r="BG93" i="43"/>
  <c r="BH93" i="43"/>
  <c r="BI93" i="43"/>
  <c r="J94" i="43"/>
  <c r="K94" i="43"/>
  <c r="N94" i="43"/>
  <c r="AF94" i="43"/>
  <c r="AJ94" i="43"/>
  <c r="AK94" i="43"/>
  <c r="AL94" i="43"/>
  <c r="AN94" i="43"/>
  <c r="AO94" i="43"/>
  <c r="AP94" i="43"/>
  <c r="AQ94" i="43"/>
  <c r="AR94" i="43"/>
  <c r="AS94" i="43"/>
  <c r="AT94" i="43"/>
  <c r="AU94" i="43"/>
  <c r="AV94" i="43"/>
  <c r="AW94" i="43"/>
  <c r="AX94" i="43"/>
  <c r="AY94" i="43"/>
  <c r="BA94" i="43"/>
  <c r="BB94" i="43"/>
  <c r="BC94" i="43"/>
  <c r="BD94" i="43"/>
  <c r="BE94" i="43"/>
  <c r="BF94" i="43"/>
  <c r="BG94" i="43"/>
  <c r="BH94" i="43"/>
  <c r="BI94" i="43"/>
  <c r="J95" i="43"/>
  <c r="K95" i="43"/>
  <c r="N95" i="43"/>
  <c r="AF95" i="43"/>
  <c r="AJ95" i="43"/>
  <c r="AK95" i="43"/>
  <c r="AL95" i="43"/>
  <c r="AN95" i="43"/>
  <c r="AO95" i="43"/>
  <c r="AP95" i="43"/>
  <c r="AQ95" i="43"/>
  <c r="AR95" i="43"/>
  <c r="AS95" i="43"/>
  <c r="AT95" i="43"/>
  <c r="AU95" i="43"/>
  <c r="AV95" i="43"/>
  <c r="AW95" i="43"/>
  <c r="AX95" i="43"/>
  <c r="AY95" i="43"/>
  <c r="BA95" i="43"/>
  <c r="BB95" i="43"/>
  <c r="BC95" i="43"/>
  <c r="BD95" i="43"/>
  <c r="BE95" i="43"/>
  <c r="BF95" i="43"/>
  <c r="BG95" i="43"/>
  <c r="BH95" i="43"/>
  <c r="BI95" i="43"/>
  <c r="J96" i="43"/>
  <c r="K96" i="43"/>
  <c r="N96" i="43"/>
  <c r="AF96" i="43"/>
  <c r="AJ96" i="43"/>
  <c r="AK96" i="43"/>
  <c r="AL96" i="43"/>
  <c r="AN96" i="43"/>
  <c r="AO96" i="43"/>
  <c r="AP96" i="43"/>
  <c r="AQ96" i="43"/>
  <c r="AR96" i="43"/>
  <c r="AS96" i="43"/>
  <c r="AT96" i="43"/>
  <c r="AU96" i="43"/>
  <c r="AV96" i="43"/>
  <c r="AW96" i="43"/>
  <c r="AX96" i="43"/>
  <c r="AY96" i="43"/>
  <c r="BA96" i="43"/>
  <c r="BB96" i="43"/>
  <c r="BC96" i="43"/>
  <c r="BD96" i="43"/>
  <c r="BE96" i="43"/>
  <c r="BF96" i="43"/>
  <c r="BG96" i="43"/>
  <c r="BH96" i="43"/>
  <c r="BI96" i="43"/>
  <c r="J97" i="43"/>
  <c r="K97" i="43"/>
  <c r="N97" i="43"/>
  <c r="AF97" i="43"/>
  <c r="AJ97" i="43"/>
  <c r="AK97" i="43"/>
  <c r="AL97" i="43"/>
  <c r="AN97" i="43"/>
  <c r="AO97" i="43"/>
  <c r="AP97" i="43"/>
  <c r="AQ97" i="43"/>
  <c r="AR97" i="43"/>
  <c r="AS97" i="43"/>
  <c r="AT97" i="43"/>
  <c r="AU97" i="43"/>
  <c r="AV97" i="43"/>
  <c r="AW97" i="43"/>
  <c r="AX97" i="43"/>
  <c r="AY97" i="43"/>
  <c r="BA97" i="43"/>
  <c r="BB97" i="43"/>
  <c r="BC97" i="43"/>
  <c r="BD97" i="43"/>
  <c r="BE97" i="43"/>
  <c r="BF97" i="43"/>
  <c r="BG97" i="43"/>
  <c r="BH97" i="43"/>
  <c r="BI97" i="43"/>
  <c r="J98" i="43"/>
  <c r="K98" i="43"/>
  <c r="N98" i="43"/>
  <c r="AF98" i="43"/>
  <c r="AJ98" i="43"/>
  <c r="AK98" i="43"/>
  <c r="AL98" i="43"/>
  <c r="AN98" i="43"/>
  <c r="AO98" i="43"/>
  <c r="AP98" i="43"/>
  <c r="AQ98" i="43"/>
  <c r="AR98" i="43"/>
  <c r="AS98" i="43"/>
  <c r="AT98" i="43"/>
  <c r="AU98" i="43"/>
  <c r="AV98" i="43"/>
  <c r="AW98" i="43"/>
  <c r="AX98" i="43"/>
  <c r="AY98" i="43"/>
  <c r="BA98" i="43"/>
  <c r="BB98" i="43"/>
  <c r="BC98" i="43"/>
  <c r="BD98" i="43"/>
  <c r="BE98" i="43"/>
  <c r="BF98" i="43"/>
  <c r="BG98" i="43"/>
  <c r="BH98" i="43"/>
  <c r="BI98" i="43"/>
  <c r="J99" i="43"/>
  <c r="K99" i="43"/>
  <c r="N99" i="43"/>
  <c r="AF99" i="43"/>
  <c r="AJ99" i="43"/>
  <c r="AK99" i="43"/>
  <c r="AL99" i="43"/>
  <c r="AN99" i="43"/>
  <c r="AO99" i="43"/>
  <c r="AP99" i="43"/>
  <c r="AQ99" i="43"/>
  <c r="AR99" i="43"/>
  <c r="AS99" i="43"/>
  <c r="AT99" i="43"/>
  <c r="AU99" i="43"/>
  <c r="AV99" i="43"/>
  <c r="AW99" i="43"/>
  <c r="AX99" i="43"/>
  <c r="AY99" i="43"/>
  <c r="BA99" i="43"/>
  <c r="BB99" i="43"/>
  <c r="BC99" i="43"/>
  <c r="BD99" i="43"/>
  <c r="BE99" i="43"/>
  <c r="BF99" i="43"/>
  <c r="BG99" i="43"/>
  <c r="BH99" i="43"/>
  <c r="BI99" i="43"/>
  <c r="J100" i="43"/>
  <c r="K100" i="43"/>
  <c r="N100" i="43"/>
  <c r="AF100" i="43"/>
  <c r="AJ100" i="43"/>
  <c r="AK100" i="43"/>
  <c r="AL100" i="43"/>
  <c r="AN100" i="43"/>
  <c r="AO100" i="43"/>
  <c r="AP100" i="43"/>
  <c r="AQ100" i="43"/>
  <c r="AR100" i="43"/>
  <c r="AS100" i="43"/>
  <c r="AT100" i="43"/>
  <c r="AU100" i="43"/>
  <c r="AV100" i="43"/>
  <c r="AW100" i="43"/>
  <c r="AX100" i="43"/>
  <c r="AY100" i="43"/>
  <c r="BA100" i="43"/>
  <c r="BB100" i="43"/>
  <c r="BC100" i="43"/>
  <c r="BD100" i="43"/>
  <c r="BE100" i="43"/>
  <c r="BF100" i="43"/>
  <c r="BG100" i="43"/>
  <c r="BH100" i="43"/>
  <c r="BI100" i="43"/>
  <c r="J101" i="43"/>
  <c r="K101" i="43"/>
  <c r="N101" i="43"/>
  <c r="AF101" i="43"/>
  <c r="AJ101" i="43"/>
  <c r="AK101" i="43"/>
  <c r="AL101" i="43"/>
  <c r="AN101" i="43"/>
  <c r="AO101" i="43"/>
  <c r="AP101" i="43"/>
  <c r="AQ101" i="43"/>
  <c r="AR101" i="43"/>
  <c r="AS101" i="43"/>
  <c r="AT101" i="43"/>
  <c r="AU101" i="43"/>
  <c r="AV101" i="43"/>
  <c r="AW101" i="43"/>
  <c r="AX101" i="43"/>
  <c r="AY101" i="43"/>
  <c r="BA101" i="43"/>
  <c r="BB101" i="43"/>
  <c r="BC101" i="43"/>
  <c r="BD101" i="43"/>
  <c r="BE101" i="43"/>
  <c r="BF101" i="43"/>
  <c r="BG101" i="43"/>
  <c r="BH101" i="43"/>
  <c r="BI101" i="43"/>
  <c r="J102" i="43"/>
  <c r="K102" i="43"/>
  <c r="N102" i="43"/>
  <c r="AF102" i="43"/>
  <c r="AJ102" i="43"/>
  <c r="AK102" i="43"/>
  <c r="AL102" i="43"/>
  <c r="AN102" i="43"/>
  <c r="AO102" i="43"/>
  <c r="AP102" i="43"/>
  <c r="AQ102" i="43"/>
  <c r="AR102" i="43"/>
  <c r="AS102" i="43"/>
  <c r="AT102" i="43"/>
  <c r="AU102" i="43"/>
  <c r="AV102" i="43"/>
  <c r="AW102" i="43"/>
  <c r="AX102" i="43"/>
  <c r="AY102" i="43"/>
  <c r="BA102" i="43"/>
  <c r="BB102" i="43"/>
  <c r="BC102" i="43"/>
  <c r="BD102" i="43"/>
  <c r="BE102" i="43"/>
  <c r="BF102" i="43"/>
  <c r="BG102" i="43"/>
  <c r="BH102" i="43"/>
  <c r="BI102" i="43"/>
  <c r="J103" i="43"/>
  <c r="K103" i="43"/>
  <c r="N103" i="43"/>
  <c r="AF103" i="43"/>
  <c r="AJ103" i="43"/>
  <c r="AK103" i="43"/>
  <c r="AL103" i="43"/>
  <c r="AN103" i="43"/>
  <c r="AO103" i="43"/>
  <c r="AP103" i="43"/>
  <c r="AQ103" i="43"/>
  <c r="AR103" i="43"/>
  <c r="AS103" i="43"/>
  <c r="AT103" i="43"/>
  <c r="AU103" i="43"/>
  <c r="AV103" i="43"/>
  <c r="AW103" i="43"/>
  <c r="AX103" i="43"/>
  <c r="AY103" i="43"/>
  <c r="BA103" i="43"/>
  <c r="BB103" i="43"/>
  <c r="BC103" i="43"/>
  <c r="BD103" i="43"/>
  <c r="BE103" i="43"/>
  <c r="BF103" i="43"/>
  <c r="BG103" i="43"/>
  <c r="BH103" i="43"/>
  <c r="BI103" i="43"/>
  <c r="J104" i="43"/>
  <c r="K104" i="43"/>
  <c r="N104" i="43"/>
  <c r="AF104" i="43"/>
  <c r="AJ104" i="43"/>
  <c r="AK104" i="43"/>
  <c r="AL104" i="43"/>
  <c r="AN104" i="43"/>
  <c r="AO104" i="43"/>
  <c r="AP104" i="43"/>
  <c r="AQ104" i="43"/>
  <c r="AR104" i="43"/>
  <c r="AS104" i="43"/>
  <c r="AT104" i="43"/>
  <c r="AU104" i="43"/>
  <c r="AV104" i="43"/>
  <c r="AW104" i="43"/>
  <c r="AX104" i="43"/>
  <c r="AY104" i="43"/>
  <c r="BA104" i="43"/>
  <c r="BB104" i="43"/>
  <c r="BC104" i="43"/>
  <c r="BD104" i="43"/>
  <c r="BE104" i="43"/>
  <c r="BF104" i="43"/>
  <c r="BG104" i="43"/>
  <c r="BH104" i="43"/>
  <c r="BI104" i="43"/>
  <c r="J105" i="43"/>
  <c r="K105" i="43"/>
  <c r="N105" i="43"/>
  <c r="AF105" i="43"/>
  <c r="AJ105" i="43"/>
  <c r="AK105" i="43"/>
  <c r="AL105" i="43"/>
  <c r="AN105" i="43"/>
  <c r="AO105" i="43"/>
  <c r="AP105" i="43"/>
  <c r="AQ105" i="43"/>
  <c r="AR105" i="43"/>
  <c r="AS105" i="43"/>
  <c r="AT105" i="43"/>
  <c r="AU105" i="43"/>
  <c r="AV105" i="43"/>
  <c r="AW105" i="43"/>
  <c r="AX105" i="43"/>
  <c r="AY105" i="43"/>
  <c r="BA105" i="43"/>
  <c r="BB105" i="43"/>
  <c r="BC105" i="43"/>
  <c r="BD105" i="43"/>
  <c r="BE105" i="43"/>
  <c r="BF105" i="43"/>
  <c r="BG105" i="43"/>
  <c r="BH105" i="43"/>
  <c r="BI105" i="43"/>
  <c r="J106" i="43"/>
  <c r="K106" i="43"/>
  <c r="N106" i="43"/>
  <c r="AF106" i="43"/>
  <c r="AJ106" i="43"/>
  <c r="AK106" i="43"/>
  <c r="AL106" i="43"/>
  <c r="AN106" i="43"/>
  <c r="AO106" i="43"/>
  <c r="AP106" i="43"/>
  <c r="AQ106" i="43"/>
  <c r="AR106" i="43"/>
  <c r="AS106" i="43"/>
  <c r="AT106" i="43"/>
  <c r="AU106" i="43"/>
  <c r="AV106" i="43"/>
  <c r="AW106" i="43"/>
  <c r="AX106" i="43"/>
  <c r="AY106" i="43"/>
  <c r="BA106" i="43"/>
  <c r="BB106" i="43"/>
  <c r="BC106" i="43"/>
  <c r="BD106" i="43"/>
  <c r="BE106" i="43"/>
  <c r="BF106" i="43"/>
  <c r="BG106" i="43"/>
  <c r="BH106" i="43"/>
  <c r="BI106" i="43"/>
  <c r="J107" i="43"/>
  <c r="K107" i="43"/>
  <c r="N107" i="43"/>
  <c r="AF107" i="43"/>
  <c r="AJ107" i="43"/>
  <c r="AK107" i="43"/>
  <c r="AL107" i="43"/>
  <c r="AN107" i="43"/>
  <c r="AO107" i="43"/>
  <c r="AP107" i="43"/>
  <c r="AQ107" i="43"/>
  <c r="AR107" i="43"/>
  <c r="AS107" i="43"/>
  <c r="AT107" i="43"/>
  <c r="AU107" i="43"/>
  <c r="AV107" i="43"/>
  <c r="AW107" i="43"/>
  <c r="AX107" i="43"/>
  <c r="AY107" i="43"/>
  <c r="BA107" i="43"/>
  <c r="BB107" i="43"/>
  <c r="BC107" i="43"/>
  <c r="BD107" i="43"/>
  <c r="BE107" i="43"/>
  <c r="BF107" i="43"/>
  <c r="BG107" i="43"/>
  <c r="BH107" i="43"/>
  <c r="BI107" i="43"/>
  <c r="J108" i="43"/>
  <c r="K108" i="43"/>
  <c r="N108" i="43"/>
  <c r="AF108" i="43"/>
  <c r="AJ108" i="43"/>
  <c r="AK108" i="43"/>
  <c r="AL108" i="43"/>
  <c r="AN108" i="43"/>
  <c r="AO108" i="43"/>
  <c r="AP108" i="43"/>
  <c r="AQ108" i="43"/>
  <c r="AR108" i="43"/>
  <c r="AS108" i="43"/>
  <c r="AT108" i="43"/>
  <c r="AU108" i="43"/>
  <c r="AV108" i="43"/>
  <c r="AW108" i="43"/>
  <c r="AX108" i="43"/>
  <c r="AY108" i="43"/>
  <c r="BA108" i="43"/>
  <c r="BB108" i="43"/>
  <c r="BC108" i="43"/>
  <c r="BD108" i="43"/>
  <c r="BE108" i="43"/>
  <c r="BF108" i="43"/>
  <c r="BG108" i="43"/>
  <c r="BH108" i="43"/>
  <c r="BI108" i="43"/>
  <c r="J109" i="43"/>
  <c r="K109" i="43"/>
  <c r="N109" i="43"/>
  <c r="AF109" i="43"/>
  <c r="AJ109" i="43"/>
  <c r="AK109" i="43"/>
  <c r="AL109" i="43"/>
  <c r="AN109" i="43"/>
  <c r="AO109" i="43"/>
  <c r="AP109" i="43"/>
  <c r="AQ109" i="43"/>
  <c r="AR109" i="43"/>
  <c r="AS109" i="43"/>
  <c r="AT109" i="43"/>
  <c r="AU109" i="43"/>
  <c r="AV109" i="43"/>
  <c r="AW109" i="43"/>
  <c r="AX109" i="43"/>
  <c r="AY109" i="43"/>
  <c r="BA109" i="43"/>
  <c r="BB109" i="43"/>
  <c r="BC109" i="43"/>
  <c r="BD109" i="43"/>
  <c r="BE109" i="43"/>
  <c r="BF109" i="43"/>
  <c r="BG109" i="43"/>
  <c r="BH109" i="43"/>
  <c r="BI109" i="43"/>
  <c r="J110" i="43"/>
  <c r="K110" i="43"/>
  <c r="N110" i="43"/>
  <c r="AF110" i="43"/>
  <c r="AJ110" i="43"/>
  <c r="AK110" i="43"/>
  <c r="AL110" i="43"/>
  <c r="AM110" i="43"/>
  <c r="AO110" i="43"/>
  <c r="AP110" i="43"/>
  <c r="AQ110" i="43"/>
  <c r="AR110" i="43"/>
  <c r="AS110" i="43"/>
  <c r="AT110" i="43"/>
  <c r="AU110" i="43"/>
  <c r="AV110" i="43"/>
  <c r="AW110" i="43"/>
  <c r="AX110" i="43"/>
  <c r="AY110" i="43"/>
  <c r="AZ110" i="43"/>
  <c r="BB110" i="43"/>
  <c r="BC110" i="43"/>
  <c r="BD110" i="43"/>
  <c r="BE110" i="43"/>
  <c r="BF110" i="43"/>
  <c r="BG110" i="43"/>
  <c r="BH110" i="43"/>
  <c r="BI110" i="43"/>
  <c r="J111" i="43"/>
  <c r="K111" i="43"/>
  <c r="N111" i="43"/>
  <c r="AF111" i="43"/>
  <c r="AJ111" i="43"/>
  <c r="AK111" i="43"/>
  <c r="AL111" i="43"/>
  <c r="AM111" i="43"/>
  <c r="AO111" i="43"/>
  <c r="AP111" i="43"/>
  <c r="AQ111" i="43"/>
  <c r="AR111" i="43"/>
  <c r="AS111" i="43"/>
  <c r="AT111" i="43"/>
  <c r="AU111" i="43"/>
  <c r="AV111" i="43"/>
  <c r="AW111" i="43"/>
  <c r="AX111" i="43"/>
  <c r="AY111" i="43"/>
  <c r="AZ111" i="43"/>
  <c r="BB111" i="43"/>
  <c r="BC111" i="43"/>
  <c r="BD111" i="43"/>
  <c r="BE111" i="43"/>
  <c r="BF111" i="43"/>
  <c r="BG111" i="43"/>
  <c r="BH111" i="43"/>
  <c r="BI111" i="43"/>
  <c r="J112" i="43"/>
  <c r="K112" i="43"/>
  <c r="N112" i="43"/>
  <c r="AF112" i="43"/>
  <c r="AJ112" i="43"/>
  <c r="AK112" i="43"/>
  <c r="AL112" i="43"/>
  <c r="AM112" i="43"/>
  <c r="AO112" i="43"/>
  <c r="AP112" i="43"/>
  <c r="AQ112" i="43"/>
  <c r="AR112" i="43"/>
  <c r="AS112" i="43"/>
  <c r="AT112" i="43"/>
  <c r="AU112" i="43"/>
  <c r="AV112" i="43"/>
  <c r="AW112" i="43"/>
  <c r="AX112" i="43"/>
  <c r="AY112" i="43"/>
  <c r="AZ112" i="43"/>
  <c r="BB112" i="43"/>
  <c r="BC112" i="43"/>
  <c r="BD112" i="43"/>
  <c r="BE112" i="43"/>
  <c r="BF112" i="43"/>
  <c r="BG112" i="43"/>
  <c r="BH112" i="43"/>
  <c r="BI112" i="43"/>
  <c r="J113" i="43"/>
  <c r="K113" i="43"/>
  <c r="N113" i="43"/>
  <c r="AF113" i="43"/>
  <c r="AJ113" i="43"/>
  <c r="AK113" i="43"/>
  <c r="AL113" i="43"/>
  <c r="AM113" i="43"/>
  <c r="AO113" i="43"/>
  <c r="AP113" i="43"/>
  <c r="AQ113" i="43"/>
  <c r="AR113" i="43"/>
  <c r="AS113" i="43"/>
  <c r="AT113" i="43"/>
  <c r="AU113" i="43"/>
  <c r="AV113" i="43"/>
  <c r="AW113" i="43"/>
  <c r="AX113" i="43"/>
  <c r="AY113" i="43"/>
  <c r="AZ113" i="43"/>
  <c r="BB113" i="43"/>
  <c r="BC113" i="43"/>
  <c r="BD113" i="43"/>
  <c r="BE113" i="43"/>
  <c r="BF113" i="43"/>
  <c r="BG113" i="43"/>
  <c r="BH113" i="43"/>
  <c r="BI113" i="43"/>
  <c r="J114" i="43"/>
  <c r="K114" i="43"/>
  <c r="N114" i="43"/>
  <c r="AF114" i="43"/>
  <c r="AJ114" i="43"/>
  <c r="AK114" i="43"/>
  <c r="AL114" i="43"/>
  <c r="AM114" i="43"/>
  <c r="AO114" i="43"/>
  <c r="AP114" i="43"/>
  <c r="AQ114" i="43"/>
  <c r="AR114" i="43"/>
  <c r="AS114" i="43"/>
  <c r="AT114" i="43"/>
  <c r="AU114" i="43"/>
  <c r="AV114" i="43"/>
  <c r="AW114" i="43"/>
  <c r="AX114" i="43"/>
  <c r="AY114" i="43"/>
  <c r="AZ114" i="43"/>
  <c r="BB114" i="43"/>
  <c r="BC114" i="43"/>
  <c r="BD114" i="43"/>
  <c r="BE114" i="43"/>
  <c r="BF114" i="43"/>
  <c r="BG114" i="43"/>
  <c r="BH114" i="43"/>
  <c r="BI114" i="43"/>
  <c r="J115" i="43"/>
  <c r="K115" i="43"/>
  <c r="N115" i="43"/>
  <c r="AF115" i="43"/>
  <c r="AJ115" i="43"/>
  <c r="AK115" i="43"/>
  <c r="AL115" i="43"/>
  <c r="AM115" i="43"/>
  <c r="AO115" i="43"/>
  <c r="AP115" i="43"/>
  <c r="AQ115" i="43"/>
  <c r="AR115" i="43"/>
  <c r="AS115" i="43"/>
  <c r="AT115" i="43"/>
  <c r="AU115" i="43"/>
  <c r="AV115" i="43"/>
  <c r="AW115" i="43"/>
  <c r="AX115" i="43"/>
  <c r="AY115" i="43"/>
  <c r="AZ115" i="43"/>
  <c r="BB115" i="43"/>
  <c r="BC115" i="43"/>
  <c r="BD115" i="43"/>
  <c r="BE115" i="43"/>
  <c r="BF115" i="43"/>
  <c r="BG115" i="43"/>
  <c r="BH115" i="43"/>
  <c r="BI115" i="43"/>
  <c r="J116" i="43"/>
  <c r="K116" i="43"/>
  <c r="N116" i="43"/>
  <c r="AF116" i="43"/>
  <c r="AJ116" i="43"/>
  <c r="AK116" i="43"/>
  <c r="AL116" i="43"/>
  <c r="AM116" i="43"/>
  <c r="AO116" i="43"/>
  <c r="AP116" i="43"/>
  <c r="AQ116" i="43"/>
  <c r="AR116" i="43"/>
  <c r="AS116" i="43"/>
  <c r="AT116" i="43"/>
  <c r="AU116" i="43"/>
  <c r="AV116" i="43"/>
  <c r="AW116" i="43"/>
  <c r="AX116" i="43"/>
  <c r="AY116" i="43"/>
  <c r="AZ116" i="43"/>
  <c r="BB116" i="43"/>
  <c r="BC116" i="43"/>
  <c r="BD116" i="43"/>
  <c r="BE116" i="43"/>
  <c r="BF116" i="43"/>
  <c r="BG116" i="43"/>
  <c r="BH116" i="43"/>
  <c r="BI116" i="43"/>
  <c r="J117" i="43"/>
  <c r="K117" i="43"/>
  <c r="N117" i="43"/>
  <c r="AF117" i="43"/>
  <c r="AJ117" i="43"/>
  <c r="AK117" i="43"/>
  <c r="AL117" i="43"/>
  <c r="AM117" i="43"/>
  <c r="AO117" i="43"/>
  <c r="AP117" i="43"/>
  <c r="AQ117" i="43"/>
  <c r="AR117" i="43"/>
  <c r="AS117" i="43"/>
  <c r="AT117" i="43"/>
  <c r="AU117" i="43"/>
  <c r="AV117" i="43"/>
  <c r="AW117" i="43"/>
  <c r="AX117" i="43"/>
  <c r="AY117" i="43"/>
  <c r="AZ117" i="43"/>
  <c r="BB117" i="43"/>
  <c r="BC117" i="43"/>
  <c r="BD117" i="43"/>
  <c r="BE117" i="43"/>
  <c r="BF117" i="43"/>
  <c r="BG117" i="43"/>
  <c r="BH117" i="43"/>
  <c r="BI117" i="43"/>
  <c r="J118" i="43"/>
  <c r="K118" i="43"/>
  <c r="N118" i="43"/>
  <c r="AF118" i="43"/>
  <c r="AJ118" i="43"/>
  <c r="AK118" i="43"/>
  <c r="AL118" i="43"/>
  <c r="AM118" i="43"/>
  <c r="AO118" i="43"/>
  <c r="AP118" i="43"/>
  <c r="AQ118" i="43"/>
  <c r="AR118" i="43"/>
  <c r="AS118" i="43"/>
  <c r="AT118" i="43"/>
  <c r="AU118" i="43"/>
  <c r="AV118" i="43"/>
  <c r="AW118" i="43"/>
  <c r="AX118" i="43"/>
  <c r="AY118" i="43"/>
  <c r="AZ118" i="43"/>
  <c r="BB118" i="43"/>
  <c r="BC118" i="43"/>
  <c r="BD118" i="43"/>
  <c r="BE118" i="43"/>
  <c r="BF118" i="43"/>
  <c r="BG118" i="43"/>
  <c r="BH118" i="43"/>
  <c r="BI118" i="43"/>
  <c r="J119" i="43"/>
  <c r="K119" i="43"/>
  <c r="N119" i="43"/>
  <c r="AF119" i="43"/>
  <c r="AJ119" i="43"/>
  <c r="AK119" i="43"/>
  <c r="AL119" i="43"/>
  <c r="AM119" i="43"/>
  <c r="AO119" i="43"/>
  <c r="AP119" i="43"/>
  <c r="AQ119" i="43"/>
  <c r="AR119" i="43"/>
  <c r="AS119" i="43"/>
  <c r="AT119" i="43"/>
  <c r="AU119" i="43"/>
  <c r="AV119" i="43"/>
  <c r="AW119" i="43"/>
  <c r="AX119" i="43"/>
  <c r="AY119" i="43"/>
  <c r="AZ119" i="43"/>
  <c r="BB119" i="43"/>
  <c r="BC119" i="43"/>
  <c r="BD119" i="43"/>
  <c r="BE119" i="43"/>
  <c r="BF119" i="43"/>
  <c r="BG119" i="43"/>
  <c r="BH119" i="43"/>
  <c r="BI119" i="43"/>
  <c r="J120" i="43"/>
  <c r="K120" i="43"/>
  <c r="N120" i="43"/>
  <c r="AF120" i="43"/>
  <c r="AJ120" i="43"/>
  <c r="AK120" i="43"/>
  <c r="AL120" i="43"/>
  <c r="AM120" i="43"/>
  <c r="AO120" i="43"/>
  <c r="AP120" i="43"/>
  <c r="AQ120" i="43"/>
  <c r="AR120" i="43"/>
  <c r="AS120" i="43"/>
  <c r="AT120" i="43"/>
  <c r="AU120" i="43"/>
  <c r="AV120" i="43"/>
  <c r="AW120" i="43"/>
  <c r="AX120" i="43"/>
  <c r="AY120" i="43"/>
  <c r="AZ120" i="43"/>
  <c r="BB120" i="43"/>
  <c r="BC120" i="43"/>
  <c r="BD120" i="43"/>
  <c r="BE120" i="43"/>
  <c r="BF120" i="43"/>
  <c r="BG120" i="43"/>
  <c r="BH120" i="43"/>
  <c r="BI120" i="43"/>
  <c r="J121" i="43"/>
  <c r="K121" i="43"/>
  <c r="N121" i="43"/>
  <c r="AF121" i="43"/>
  <c r="AJ121" i="43"/>
  <c r="AK121" i="43"/>
  <c r="AL121" i="43"/>
  <c r="AM121" i="43"/>
  <c r="AO121" i="43"/>
  <c r="AP121" i="43"/>
  <c r="AQ121" i="43"/>
  <c r="AR121" i="43"/>
  <c r="AS121" i="43"/>
  <c r="AT121" i="43"/>
  <c r="AU121" i="43"/>
  <c r="AV121" i="43"/>
  <c r="AW121" i="43"/>
  <c r="AX121" i="43"/>
  <c r="AY121" i="43"/>
  <c r="AZ121" i="43"/>
  <c r="BB121" i="43"/>
  <c r="BC121" i="43"/>
  <c r="BD121" i="43"/>
  <c r="BE121" i="43"/>
  <c r="BF121" i="43"/>
  <c r="BG121" i="43"/>
  <c r="BH121" i="43"/>
  <c r="BI121" i="43"/>
  <c r="J122" i="43"/>
  <c r="K122" i="43"/>
  <c r="N122" i="43"/>
  <c r="AF122" i="43"/>
  <c r="AJ122" i="43"/>
  <c r="AK122" i="43"/>
  <c r="AL122" i="43"/>
  <c r="AM122" i="43"/>
  <c r="AO122" i="43"/>
  <c r="AP122" i="43"/>
  <c r="AQ122" i="43"/>
  <c r="AR122" i="43"/>
  <c r="AS122" i="43"/>
  <c r="AT122" i="43"/>
  <c r="AU122" i="43"/>
  <c r="AV122" i="43"/>
  <c r="AW122" i="43"/>
  <c r="AX122" i="43"/>
  <c r="AY122" i="43"/>
  <c r="AZ122" i="43"/>
  <c r="BB122" i="43"/>
  <c r="BC122" i="43"/>
  <c r="BD122" i="43"/>
  <c r="BE122" i="43"/>
  <c r="BF122" i="43"/>
  <c r="BG122" i="43"/>
  <c r="BH122" i="43"/>
  <c r="BI122" i="43"/>
  <c r="J123" i="43"/>
  <c r="K123" i="43"/>
  <c r="N123" i="43"/>
  <c r="AF123" i="43"/>
  <c r="AJ123" i="43"/>
  <c r="AK123" i="43"/>
  <c r="AL123" i="43"/>
  <c r="AM123" i="43"/>
  <c r="AO123" i="43"/>
  <c r="AP123" i="43"/>
  <c r="AQ123" i="43"/>
  <c r="AR123" i="43"/>
  <c r="AS123" i="43"/>
  <c r="AT123" i="43"/>
  <c r="AU123" i="43"/>
  <c r="AV123" i="43"/>
  <c r="AW123" i="43"/>
  <c r="AX123" i="43"/>
  <c r="AY123" i="43"/>
  <c r="AZ123" i="43"/>
  <c r="BB123" i="43"/>
  <c r="BC123" i="43"/>
  <c r="BD123" i="43"/>
  <c r="BE123" i="43"/>
  <c r="BF123" i="43"/>
  <c r="BG123" i="43"/>
  <c r="BH123" i="43"/>
  <c r="BI123" i="43"/>
  <c r="J124" i="43"/>
  <c r="K124" i="43"/>
  <c r="N124" i="43"/>
  <c r="AF124" i="43"/>
  <c r="AJ124" i="43"/>
  <c r="AK124" i="43"/>
  <c r="AL124" i="43"/>
  <c r="AM124" i="43"/>
  <c r="AN124" i="43"/>
  <c r="AP124" i="43"/>
  <c r="AQ124" i="43"/>
  <c r="AR124" i="43"/>
  <c r="AS124" i="43"/>
  <c r="AT124" i="43"/>
  <c r="AU124" i="43"/>
  <c r="AV124" i="43"/>
  <c r="AW124" i="43"/>
  <c r="AX124" i="43"/>
  <c r="AY124" i="43"/>
  <c r="AZ124" i="43"/>
  <c r="BA124" i="43"/>
  <c r="BC124" i="43"/>
  <c r="BD124" i="43"/>
  <c r="BE124" i="43"/>
  <c r="BF124" i="43"/>
  <c r="BG124" i="43"/>
  <c r="BH124" i="43"/>
  <c r="BI124" i="43"/>
  <c r="J125" i="43"/>
  <c r="K125" i="43"/>
  <c r="N125" i="43"/>
  <c r="AF125" i="43"/>
  <c r="AJ125" i="43"/>
  <c r="AK125" i="43"/>
  <c r="AL125" i="43"/>
  <c r="AM125" i="43"/>
  <c r="AN125" i="43"/>
  <c r="AP125" i="43"/>
  <c r="AQ125" i="43"/>
  <c r="AR125" i="43"/>
  <c r="AS125" i="43"/>
  <c r="AT125" i="43"/>
  <c r="AU125" i="43"/>
  <c r="AV125" i="43"/>
  <c r="AW125" i="43"/>
  <c r="AX125" i="43"/>
  <c r="AY125" i="43"/>
  <c r="AZ125" i="43"/>
  <c r="BA125" i="43"/>
  <c r="BC125" i="43"/>
  <c r="BD125" i="43"/>
  <c r="BE125" i="43"/>
  <c r="BF125" i="43"/>
  <c r="BG125" i="43"/>
  <c r="BH125" i="43"/>
  <c r="BI125" i="43"/>
  <c r="J126" i="43"/>
  <c r="K126" i="43"/>
  <c r="N126" i="43"/>
  <c r="AF126" i="43"/>
  <c r="AJ126" i="43"/>
  <c r="AK126" i="43"/>
  <c r="AL126" i="43"/>
  <c r="AM126" i="43"/>
  <c r="AN126" i="43"/>
  <c r="AP126" i="43"/>
  <c r="AQ126" i="43"/>
  <c r="AR126" i="43"/>
  <c r="AS126" i="43"/>
  <c r="AT126" i="43"/>
  <c r="AU126" i="43"/>
  <c r="AV126" i="43"/>
  <c r="AW126" i="43"/>
  <c r="AX126" i="43"/>
  <c r="AY126" i="43"/>
  <c r="AZ126" i="43"/>
  <c r="BA126" i="43"/>
  <c r="BC126" i="43"/>
  <c r="BD126" i="43"/>
  <c r="BE126" i="43"/>
  <c r="BF126" i="43"/>
  <c r="BG126" i="43"/>
  <c r="BH126" i="43"/>
  <c r="BI126" i="43"/>
  <c r="J127" i="43"/>
  <c r="K127" i="43"/>
  <c r="N127" i="43"/>
  <c r="AF127" i="43"/>
  <c r="AI127" i="43" s="1"/>
  <c r="AJ127" i="43"/>
  <c r="AK127" i="43"/>
  <c r="AL127" i="43"/>
  <c r="AM127" i="43"/>
  <c r="AN127" i="43"/>
  <c r="AP127" i="43"/>
  <c r="AQ127" i="43"/>
  <c r="AR127" i="43"/>
  <c r="AS127" i="43"/>
  <c r="AT127" i="43"/>
  <c r="AU127" i="43"/>
  <c r="AV127" i="43"/>
  <c r="AW127" i="43"/>
  <c r="AX127" i="43"/>
  <c r="AY127" i="43"/>
  <c r="AZ127" i="43"/>
  <c r="BA127" i="43"/>
  <c r="BC127" i="43"/>
  <c r="BD127" i="43"/>
  <c r="BE127" i="43"/>
  <c r="BF127" i="43"/>
  <c r="BG127" i="43"/>
  <c r="BH127" i="43"/>
  <c r="BI127" i="43"/>
  <c r="J128" i="43"/>
  <c r="N128" i="43"/>
  <c r="K128" i="43"/>
  <c r="AF128" i="43"/>
  <c r="AI128" i="43" s="1"/>
  <c r="AJ128" i="43"/>
  <c r="AK128" i="43"/>
  <c r="AL128" i="43"/>
  <c r="AM128" i="43"/>
  <c r="AN128" i="43"/>
  <c r="AP128" i="43"/>
  <c r="AQ128" i="43"/>
  <c r="AR128" i="43"/>
  <c r="AS128" i="43"/>
  <c r="AT128" i="43"/>
  <c r="AU128" i="43"/>
  <c r="AV128" i="43"/>
  <c r="AW128" i="43"/>
  <c r="AX128" i="43"/>
  <c r="AY128" i="43"/>
  <c r="AZ128" i="43"/>
  <c r="BA128" i="43"/>
  <c r="BC128" i="43"/>
  <c r="BD128" i="43"/>
  <c r="BE128" i="43"/>
  <c r="BF128" i="43"/>
  <c r="BG128" i="43"/>
  <c r="BH128" i="43"/>
  <c r="BI128" i="43"/>
  <c r="J129" i="43"/>
  <c r="K129" i="43"/>
  <c r="N129" i="43"/>
  <c r="AF129" i="43"/>
  <c r="AI129" i="43" s="1"/>
  <c r="AJ129" i="43"/>
  <c r="AK129" i="43"/>
  <c r="AL129" i="43"/>
  <c r="AM129" i="43"/>
  <c r="AN129" i="43"/>
  <c r="AP129" i="43"/>
  <c r="AQ129" i="43"/>
  <c r="AR129" i="43"/>
  <c r="AS129" i="43"/>
  <c r="AT129" i="43"/>
  <c r="AU129" i="43"/>
  <c r="AV129" i="43"/>
  <c r="AW129" i="43"/>
  <c r="AX129" i="43"/>
  <c r="AY129" i="43"/>
  <c r="AZ129" i="43"/>
  <c r="BA129" i="43"/>
  <c r="BC129" i="43"/>
  <c r="BD129" i="43"/>
  <c r="BE129" i="43"/>
  <c r="BF129" i="43"/>
  <c r="BG129" i="43"/>
  <c r="BH129" i="43"/>
  <c r="BI129" i="43"/>
  <c r="J130" i="43"/>
  <c r="K130" i="43"/>
  <c r="N130" i="43"/>
  <c r="AF130" i="43"/>
  <c r="AI130" i="43" s="1"/>
  <c r="AJ130" i="43"/>
  <c r="AK130" i="43"/>
  <c r="AL130" i="43"/>
  <c r="AM130" i="43"/>
  <c r="AN130" i="43"/>
  <c r="AP130" i="43"/>
  <c r="AQ130" i="43"/>
  <c r="AR130" i="43"/>
  <c r="AS130" i="43"/>
  <c r="AT130" i="43"/>
  <c r="AU130" i="43"/>
  <c r="AV130" i="43"/>
  <c r="AW130" i="43"/>
  <c r="AX130" i="43"/>
  <c r="AY130" i="43"/>
  <c r="AZ130" i="43"/>
  <c r="BA130" i="43"/>
  <c r="BC130" i="43"/>
  <c r="BD130" i="43"/>
  <c r="BE130" i="43"/>
  <c r="BF130" i="43"/>
  <c r="BG130" i="43"/>
  <c r="BH130" i="43"/>
  <c r="BI130" i="43"/>
  <c r="J131" i="43"/>
  <c r="K131" i="43"/>
  <c r="N131" i="43"/>
  <c r="AF131" i="43"/>
  <c r="AI131" i="43" s="1"/>
  <c r="AJ131" i="43"/>
  <c r="AK131" i="43"/>
  <c r="AL131" i="43"/>
  <c r="AM131" i="43"/>
  <c r="AN131" i="43"/>
  <c r="AP131" i="43"/>
  <c r="AQ131" i="43"/>
  <c r="AR131" i="43"/>
  <c r="AS131" i="43"/>
  <c r="AT131" i="43"/>
  <c r="AU131" i="43"/>
  <c r="AV131" i="43"/>
  <c r="AW131" i="43"/>
  <c r="AX131" i="43"/>
  <c r="AY131" i="43"/>
  <c r="AZ131" i="43"/>
  <c r="BA131" i="43"/>
  <c r="BC131" i="43"/>
  <c r="BD131" i="43"/>
  <c r="BE131" i="43"/>
  <c r="BF131" i="43"/>
  <c r="BG131" i="43"/>
  <c r="BH131" i="43"/>
  <c r="BI131" i="43"/>
  <c r="J132" i="43"/>
  <c r="K132" i="43"/>
  <c r="N132" i="43"/>
  <c r="AF132" i="43"/>
  <c r="AI132" i="43" s="1"/>
  <c r="AJ132" i="43"/>
  <c r="AK132" i="43"/>
  <c r="AL132" i="43"/>
  <c r="AM132" i="43"/>
  <c r="AN132" i="43"/>
  <c r="AP132" i="43"/>
  <c r="AQ132" i="43"/>
  <c r="AR132" i="43"/>
  <c r="AS132" i="43"/>
  <c r="AT132" i="43"/>
  <c r="AU132" i="43"/>
  <c r="AV132" i="43"/>
  <c r="AW132" i="43"/>
  <c r="AX132" i="43"/>
  <c r="AY132" i="43"/>
  <c r="AZ132" i="43"/>
  <c r="BA132" i="43"/>
  <c r="BC132" i="43"/>
  <c r="BD132" i="43"/>
  <c r="BE132" i="43"/>
  <c r="BF132" i="43"/>
  <c r="BG132" i="43"/>
  <c r="BH132" i="43"/>
  <c r="BI132" i="43"/>
  <c r="J133" i="43"/>
  <c r="K133" i="43"/>
  <c r="N133" i="43"/>
  <c r="AF133" i="43"/>
  <c r="AI133" i="43" s="1"/>
  <c r="AJ133" i="43"/>
  <c r="AK133" i="43"/>
  <c r="AL133" i="43"/>
  <c r="AM133" i="43"/>
  <c r="AN133" i="43"/>
  <c r="AP133" i="43"/>
  <c r="AQ133" i="43"/>
  <c r="AR133" i="43"/>
  <c r="AS133" i="43"/>
  <c r="AT133" i="43"/>
  <c r="AU133" i="43"/>
  <c r="AV133" i="43"/>
  <c r="AW133" i="43"/>
  <c r="AX133" i="43"/>
  <c r="AY133" i="43"/>
  <c r="AZ133" i="43"/>
  <c r="BA133" i="43"/>
  <c r="BC133" i="43"/>
  <c r="BD133" i="43"/>
  <c r="BE133" i="43"/>
  <c r="BF133" i="43"/>
  <c r="BG133" i="43"/>
  <c r="BH133" i="43"/>
  <c r="BI133" i="43"/>
  <c r="J134" i="43"/>
  <c r="K134" i="43"/>
  <c r="N134" i="43"/>
  <c r="AF134" i="43"/>
  <c r="AI134" i="43" s="1"/>
  <c r="AJ134" i="43"/>
  <c r="AK134" i="43"/>
  <c r="AL134" i="43"/>
  <c r="AM134" i="43"/>
  <c r="AN134" i="43"/>
  <c r="AO134" i="43"/>
  <c r="AQ134" i="43"/>
  <c r="AR134" i="43"/>
  <c r="AS134" i="43"/>
  <c r="AT134" i="43"/>
  <c r="AU134" i="43"/>
  <c r="AV134" i="43"/>
  <c r="AW134" i="43"/>
  <c r="AX134" i="43"/>
  <c r="AY134" i="43"/>
  <c r="AZ134" i="43"/>
  <c r="BA134" i="43"/>
  <c r="BB134" i="43"/>
  <c r="BD134" i="43"/>
  <c r="BE134" i="43"/>
  <c r="BF134" i="43"/>
  <c r="BG134" i="43"/>
  <c r="BH134" i="43"/>
  <c r="BI134" i="43"/>
  <c r="J135" i="43"/>
  <c r="K135" i="43"/>
  <c r="N135" i="43"/>
  <c r="AF135" i="43"/>
  <c r="AI135" i="43" s="1"/>
  <c r="AJ135" i="43"/>
  <c r="AK135" i="43"/>
  <c r="AL135" i="43"/>
  <c r="AM135" i="43"/>
  <c r="AN135" i="43"/>
  <c r="AO135" i="43"/>
  <c r="AQ135" i="43"/>
  <c r="AR135" i="43"/>
  <c r="AS135" i="43"/>
  <c r="AT135" i="43"/>
  <c r="AU135" i="43"/>
  <c r="AV135" i="43"/>
  <c r="AW135" i="43"/>
  <c r="AX135" i="43"/>
  <c r="AY135" i="43"/>
  <c r="AZ135" i="43"/>
  <c r="BA135" i="43"/>
  <c r="BB135" i="43"/>
  <c r="BD135" i="43"/>
  <c r="BE135" i="43"/>
  <c r="BF135" i="43"/>
  <c r="BG135" i="43"/>
  <c r="BH135" i="43"/>
  <c r="BI135" i="43"/>
  <c r="J136" i="43"/>
  <c r="K136" i="43"/>
  <c r="N136" i="43"/>
  <c r="AF136" i="43"/>
  <c r="AI136" i="43" s="1"/>
  <c r="AJ136" i="43"/>
  <c r="AK136" i="43"/>
  <c r="AL136" i="43"/>
  <c r="AM136" i="43"/>
  <c r="AN136" i="43"/>
  <c r="AO136" i="43"/>
  <c r="AQ136" i="43"/>
  <c r="AR136" i="43"/>
  <c r="AS136" i="43"/>
  <c r="AT136" i="43"/>
  <c r="AU136" i="43"/>
  <c r="AV136" i="43"/>
  <c r="AW136" i="43"/>
  <c r="AX136" i="43"/>
  <c r="AY136" i="43"/>
  <c r="AZ136" i="43"/>
  <c r="BA136" i="43"/>
  <c r="BB136" i="43"/>
  <c r="BD136" i="43"/>
  <c r="BE136" i="43"/>
  <c r="BF136" i="43"/>
  <c r="BG136" i="43"/>
  <c r="BH136" i="43"/>
  <c r="BI136" i="43"/>
  <c r="J137" i="43"/>
  <c r="K137" i="43"/>
  <c r="N137" i="43"/>
  <c r="AF137" i="43"/>
  <c r="AI137" i="43" s="1"/>
  <c r="AJ137" i="43"/>
  <c r="AK137" i="43"/>
  <c r="AL137" i="43"/>
  <c r="AM137" i="43"/>
  <c r="AN137" i="43"/>
  <c r="AO137" i="43"/>
  <c r="AQ137" i="43"/>
  <c r="AR137" i="43"/>
  <c r="AS137" i="43"/>
  <c r="AT137" i="43"/>
  <c r="AU137" i="43"/>
  <c r="AV137" i="43"/>
  <c r="AW137" i="43"/>
  <c r="AX137" i="43"/>
  <c r="AY137" i="43"/>
  <c r="AZ137" i="43"/>
  <c r="BA137" i="43"/>
  <c r="BB137" i="43"/>
  <c r="BD137" i="43"/>
  <c r="BE137" i="43"/>
  <c r="BF137" i="43"/>
  <c r="BG137" i="43"/>
  <c r="BH137" i="43"/>
  <c r="BI137" i="43"/>
  <c r="J138" i="43"/>
  <c r="K138" i="43"/>
  <c r="N138" i="43"/>
  <c r="AF138" i="43"/>
  <c r="AI138" i="43" s="1"/>
  <c r="AJ138" i="43"/>
  <c r="AK138" i="43"/>
  <c r="AL138" i="43"/>
  <c r="AM138" i="43"/>
  <c r="AN138" i="43"/>
  <c r="AO138" i="43"/>
  <c r="AQ138" i="43"/>
  <c r="AR138" i="43"/>
  <c r="AS138" i="43"/>
  <c r="AT138" i="43"/>
  <c r="AU138" i="43"/>
  <c r="AV138" i="43"/>
  <c r="AW138" i="43"/>
  <c r="AX138" i="43"/>
  <c r="AY138" i="43"/>
  <c r="AZ138" i="43"/>
  <c r="BA138" i="43"/>
  <c r="BB138" i="43"/>
  <c r="BD138" i="43"/>
  <c r="BE138" i="43"/>
  <c r="BF138" i="43"/>
  <c r="BG138" i="43"/>
  <c r="BH138" i="43"/>
  <c r="BI138" i="43"/>
  <c r="J139" i="43"/>
  <c r="K139" i="43"/>
  <c r="N139" i="43"/>
  <c r="AF139" i="43"/>
  <c r="AI139" i="43" s="1"/>
  <c r="AJ139" i="43"/>
  <c r="AK139" i="43"/>
  <c r="AL139" i="43"/>
  <c r="AM139" i="43"/>
  <c r="AN139" i="43"/>
  <c r="AO139" i="43"/>
  <c r="AQ139" i="43"/>
  <c r="AR139" i="43"/>
  <c r="AS139" i="43"/>
  <c r="AT139" i="43"/>
  <c r="AU139" i="43"/>
  <c r="AV139" i="43"/>
  <c r="AW139" i="43"/>
  <c r="AX139" i="43"/>
  <c r="AY139" i="43"/>
  <c r="AZ139" i="43"/>
  <c r="BA139" i="43"/>
  <c r="BB139" i="43"/>
  <c r="BD139" i="43"/>
  <c r="BE139" i="43"/>
  <c r="BF139" i="43"/>
  <c r="BG139" i="43"/>
  <c r="BH139" i="43"/>
  <c r="BI139" i="43"/>
  <c r="J140" i="43"/>
  <c r="K140" i="43"/>
  <c r="N140" i="43"/>
  <c r="AF140" i="43"/>
  <c r="AI140" i="43" s="1"/>
  <c r="AJ140" i="43"/>
  <c r="AK140" i="43"/>
  <c r="AL140" i="43"/>
  <c r="AM140" i="43"/>
  <c r="AN140" i="43"/>
  <c r="AO140" i="43"/>
  <c r="AQ140" i="43"/>
  <c r="AR140" i="43"/>
  <c r="AS140" i="43"/>
  <c r="AT140" i="43"/>
  <c r="AU140" i="43"/>
  <c r="AV140" i="43"/>
  <c r="AW140" i="43"/>
  <c r="AX140" i="43"/>
  <c r="AY140" i="43"/>
  <c r="AZ140" i="43"/>
  <c r="BA140" i="43"/>
  <c r="BB140" i="43"/>
  <c r="BD140" i="43"/>
  <c r="BE140" i="43"/>
  <c r="BF140" i="43"/>
  <c r="BG140" i="43"/>
  <c r="BH140" i="43"/>
  <c r="BI140" i="43"/>
  <c r="J141" i="43"/>
  <c r="K141" i="43"/>
  <c r="N141" i="43"/>
  <c r="AF141" i="43"/>
  <c r="AI141" i="43" s="1"/>
  <c r="AJ141" i="43"/>
  <c r="AK141" i="43"/>
  <c r="AL141" i="43"/>
  <c r="AM141" i="43"/>
  <c r="AN141" i="43"/>
  <c r="AO141" i="43"/>
  <c r="AQ141" i="43"/>
  <c r="AR141" i="43"/>
  <c r="AS141" i="43"/>
  <c r="AT141" i="43"/>
  <c r="AU141" i="43"/>
  <c r="AV141" i="43"/>
  <c r="AW141" i="43"/>
  <c r="AX141" i="43"/>
  <c r="AY141" i="43"/>
  <c r="AZ141" i="43"/>
  <c r="BA141" i="43"/>
  <c r="BB141" i="43"/>
  <c r="BD141" i="43"/>
  <c r="BE141" i="43"/>
  <c r="BF141" i="43"/>
  <c r="BG141" i="43"/>
  <c r="BH141" i="43"/>
  <c r="BI141" i="43"/>
  <c r="J142" i="43"/>
  <c r="K142" i="43"/>
  <c r="N142" i="43"/>
  <c r="AF142" i="43"/>
  <c r="AI142" i="43" s="1"/>
  <c r="AJ142" i="43"/>
  <c r="AK142" i="43"/>
  <c r="AL142" i="43"/>
  <c r="AM142" i="43"/>
  <c r="AN142" i="43"/>
  <c r="AO142" i="43"/>
  <c r="AQ142" i="43"/>
  <c r="AR142" i="43"/>
  <c r="AS142" i="43"/>
  <c r="AT142" i="43"/>
  <c r="AU142" i="43"/>
  <c r="AV142" i="43"/>
  <c r="AW142" i="43"/>
  <c r="AX142" i="43"/>
  <c r="AY142" i="43"/>
  <c r="AZ142" i="43"/>
  <c r="BA142" i="43"/>
  <c r="BB142" i="43"/>
  <c r="BD142" i="43"/>
  <c r="BE142" i="43"/>
  <c r="BF142" i="43"/>
  <c r="BG142" i="43"/>
  <c r="BH142" i="43"/>
  <c r="BI142" i="43"/>
  <c r="J143" i="43"/>
  <c r="K143" i="43"/>
  <c r="N143" i="43"/>
  <c r="AF143" i="43"/>
  <c r="AI143" i="43" s="1"/>
  <c r="AJ143" i="43"/>
  <c r="AK143" i="43"/>
  <c r="AL143" i="43"/>
  <c r="AM143" i="43"/>
  <c r="AN143" i="43"/>
  <c r="AO143" i="43"/>
  <c r="AQ143" i="43"/>
  <c r="AR143" i="43"/>
  <c r="AS143" i="43"/>
  <c r="AT143" i="43"/>
  <c r="AU143" i="43"/>
  <c r="AV143" i="43"/>
  <c r="AW143" i="43"/>
  <c r="AX143" i="43"/>
  <c r="AY143" i="43"/>
  <c r="AZ143" i="43"/>
  <c r="BA143" i="43"/>
  <c r="BB143" i="43"/>
  <c r="BD143" i="43"/>
  <c r="BE143" i="43"/>
  <c r="BF143" i="43"/>
  <c r="BG143" i="43"/>
  <c r="BH143" i="43"/>
  <c r="BI143" i="43"/>
  <c r="J144" i="43"/>
  <c r="K144" i="43"/>
  <c r="N144" i="43"/>
  <c r="AF144" i="43"/>
  <c r="AI144" i="43" s="1"/>
  <c r="AJ144" i="43"/>
  <c r="AK144" i="43"/>
  <c r="AL144" i="43"/>
  <c r="AM144" i="43"/>
  <c r="AN144" i="43"/>
  <c r="AO144" i="43"/>
  <c r="AQ144" i="43"/>
  <c r="AR144" i="43"/>
  <c r="AS144" i="43"/>
  <c r="AT144" i="43"/>
  <c r="AU144" i="43"/>
  <c r="AV144" i="43"/>
  <c r="AW144" i="43"/>
  <c r="AX144" i="43"/>
  <c r="AY144" i="43"/>
  <c r="AZ144" i="43"/>
  <c r="BA144" i="43"/>
  <c r="BB144" i="43"/>
  <c r="BD144" i="43"/>
  <c r="BE144" i="43"/>
  <c r="BF144" i="43"/>
  <c r="BG144" i="43"/>
  <c r="BH144" i="43"/>
  <c r="BI144" i="43"/>
  <c r="J145" i="43"/>
  <c r="K145" i="43"/>
  <c r="N145" i="43"/>
  <c r="AF145" i="43"/>
  <c r="AJ145" i="43"/>
  <c r="AK145" i="43"/>
  <c r="AL145" i="43"/>
  <c r="AM145" i="43"/>
  <c r="AN145" i="43"/>
  <c r="AO145" i="43"/>
  <c r="AQ145" i="43"/>
  <c r="AR145" i="43"/>
  <c r="AS145" i="43"/>
  <c r="AT145" i="43"/>
  <c r="AU145" i="43"/>
  <c r="AV145" i="43"/>
  <c r="AW145" i="43"/>
  <c r="AX145" i="43"/>
  <c r="AY145" i="43"/>
  <c r="AZ145" i="43"/>
  <c r="BA145" i="43"/>
  <c r="BB145" i="43"/>
  <c r="BD145" i="43"/>
  <c r="BE145" i="43"/>
  <c r="BF145" i="43"/>
  <c r="BG145" i="43"/>
  <c r="BH145" i="43"/>
  <c r="BI145" i="43"/>
  <c r="J146" i="43"/>
  <c r="N146" i="43"/>
  <c r="K146" i="43"/>
  <c r="AF146" i="43"/>
  <c r="AJ146" i="43"/>
  <c r="AK146" i="43"/>
  <c r="AL146" i="43"/>
  <c r="AM146" i="43"/>
  <c r="AN146" i="43"/>
  <c r="AO146" i="43"/>
  <c r="AQ146" i="43"/>
  <c r="AR146" i="43"/>
  <c r="AS146" i="43"/>
  <c r="AT146" i="43"/>
  <c r="AU146" i="43"/>
  <c r="AV146" i="43"/>
  <c r="AW146" i="43"/>
  <c r="AX146" i="43"/>
  <c r="AY146" i="43"/>
  <c r="AZ146" i="43"/>
  <c r="BA146" i="43"/>
  <c r="BB146" i="43"/>
  <c r="BD146" i="43"/>
  <c r="BE146" i="43"/>
  <c r="BF146" i="43"/>
  <c r="BG146" i="43"/>
  <c r="BH146" i="43"/>
  <c r="BI146" i="43"/>
  <c r="J147" i="43"/>
  <c r="K147" i="43"/>
  <c r="N147" i="43"/>
  <c r="AF147" i="43"/>
  <c r="AJ147" i="43"/>
  <c r="AK147" i="43"/>
  <c r="AL147" i="43"/>
  <c r="AM147" i="43"/>
  <c r="AN147" i="43"/>
  <c r="AO147" i="43"/>
  <c r="AQ147" i="43"/>
  <c r="AR147" i="43"/>
  <c r="AS147" i="43"/>
  <c r="AT147" i="43"/>
  <c r="AU147" i="43"/>
  <c r="AV147" i="43"/>
  <c r="AW147" i="43"/>
  <c r="AX147" i="43"/>
  <c r="AY147" i="43"/>
  <c r="AZ147" i="43"/>
  <c r="BA147" i="43"/>
  <c r="BB147" i="43"/>
  <c r="BD147" i="43"/>
  <c r="BE147" i="43"/>
  <c r="BF147" i="43"/>
  <c r="BG147" i="43"/>
  <c r="BH147" i="43"/>
  <c r="BI147" i="43"/>
  <c r="J148" i="43"/>
  <c r="K148" i="43"/>
  <c r="N148" i="43"/>
  <c r="AF148" i="43"/>
  <c r="AJ148" i="43"/>
  <c r="AK148" i="43"/>
  <c r="AL148" i="43"/>
  <c r="AM148" i="43"/>
  <c r="AN148" i="43"/>
  <c r="AO148" i="43"/>
  <c r="AQ148" i="43"/>
  <c r="AR148" i="43"/>
  <c r="AS148" i="43"/>
  <c r="AT148" i="43"/>
  <c r="AU148" i="43"/>
  <c r="AV148" i="43"/>
  <c r="AW148" i="43"/>
  <c r="AX148" i="43"/>
  <c r="AY148" i="43"/>
  <c r="AZ148" i="43"/>
  <c r="BA148" i="43"/>
  <c r="BB148" i="43"/>
  <c r="BD148" i="43"/>
  <c r="BE148" i="43"/>
  <c r="BF148" i="43"/>
  <c r="BG148" i="43"/>
  <c r="BH148" i="43"/>
  <c r="BI148" i="43"/>
  <c r="J149" i="43"/>
  <c r="K149" i="43"/>
  <c r="N149" i="43"/>
  <c r="AF149" i="43"/>
  <c r="AJ149" i="43"/>
  <c r="AK149" i="43"/>
  <c r="AL149" i="43"/>
  <c r="AM149" i="43"/>
  <c r="AN149" i="43"/>
  <c r="AO149" i="43"/>
  <c r="AQ149" i="43"/>
  <c r="AR149" i="43"/>
  <c r="AS149" i="43"/>
  <c r="AT149" i="43"/>
  <c r="AU149" i="43"/>
  <c r="AV149" i="43"/>
  <c r="AW149" i="43"/>
  <c r="AX149" i="43"/>
  <c r="AY149" i="43"/>
  <c r="AZ149" i="43"/>
  <c r="BA149" i="43"/>
  <c r="BB149" i="43"/>
  <c r="BD149" i="43"/>
  <c r="BE149" i="43"/>
  <c r="BF149" i="43"/>
  <c r="BG149" i="43"/>
  <c r="BH149" i="43"/>
  <c r="BI149" i="43"/>
  <c r="J150" i="43"/>
  <c r="K150" i="43"/>
  <c r="N150" i="43"/>
  <c r="AF150" i="43"/>
  <c r="AJ150" i="43"/>
  <c r="AK150" i="43"/>
  <c r="AL150" i="43"/>
  <c r="AM150" i="43"/>
  <c r="AN150" i="43"/>
  <c r="AO150" i="43"/>
  <c r="AQ150" i="43"/>
  <c r="AR150" i="43"/>
  <c r="AS150" i="43"/>
  <c r="AT150" i="43"/>
  <c r="AU150" i="43"/>
  <c r="AV150" i="43"/>
  <c r="AW150" i="43"/>
  <c r="AX150" i="43"/>
  <c r="AY150" i="43"/>
  <c r="AZ150" i="43"/>
  <c r="BA150" i="43"/>
  <c r="BB150" i="43"/>
  <c r="BD150" i="43"/>
  <c r="BE150" i="43"/>
  <c r="BF150" i="43"/>
  <c r="BG150" i="43"/>
  <c r="BH150" i="43"/>
  <c r="BI150" i="43"/>
  <c r="J151" i="43"/>
  <c r="K151" i="43"/>
  <c r="N151" i="43"/>
  <c r="AF151" i="43"/>
  <c r="AJ151" i="43"/>
  <c r="AK151" i="43"/>
  <c r="AL151" i="43"/>
  <c r="AM151" i="43"/>
  <c r="AN151" i="43"/>
  <c r="AO151" i="43"/>
  <c r="AQ151" i="43"/>
  <c r="AR151" i="43"/>
  <c r="AS151" i="43"/>
  <c r="AT151" i="43"/>
  <c r="AU151" i="43"/>
  <c r="AV151" i="43"/>
  <c r="AW151" i="43"/>
  <c r="AX151" i="43"/>
  <c r="AY151" i="43"/>
  <c r="AZ151" i="43"/>
  <c r="BA151" i="43"/>
  <c r="BB151" i="43"/>
  <c r="BD151" i="43"/>
  <c r="BE151" i="43"/>
  <c r="BF151" i="43"/>
  <c r="BG151" i="43"/>
  <c r="BH151" i="43"/>
  <c r="BI151" i="43"/>
  <c r="J152" i="43"/>
  <c r="K152" i="43"/>
  <c r="N152" i="43"/>
  <c r="AF152" i="43"/>
  <c r="AJ152" i="43"/>
  <c r="AK152" i="43"/>
  <c r="AL152" i="43"/>
  <c r="AM152" i="43"/>
  <c r="AN152" i="43"/>
  <c r="AO152" i="43"/>
  <c r="AQ152" i="43"/>
  <c r="AR152" i="43"/>
  <c r="AS152" i="43"/>
  <c r="AT152" i="43"/>
  <c r="AU152" i="43"/>
  <c r="AV152" i="43"/>
  <c r="AW152" i="43"/>
  <c r="AX152" i="43"/>
  <c r="AY152" i="43"/>
  <c r="AZ152" i="43"/>
  <c r="BA152" i="43"/>
  <c r="BB152" i="43"/>
  <c r="BD152" i="43"/>
  <c r="BE152" i="43"/>
  <c r="BF152" i="43"/>
  <c r="BG152" i="43"/>
  <c r="BH152" i="43"/>
  <c r="BI152" i="43"/>
  <c r="J153" i="43"/>
  <c r="K153" i="43"/>
  <c r="N153" i="43"/>
  <c r="AF153" i="43"/>
  <c r="AJ153" i="43"/>
  <c r="AK153" i="43"/>
  <c r="AL153" i="43"/>
  <c r="AM153" i="43"/>
  <c r="AN153" i="43"/>
  <c r="AO153" i="43"/>
  <c r="AQ153" i="43"/>
  <c r="AR153" i="43"/>
  <c r="AS153" i="43"/>
  <c r="AT153" i="43"/>
  <c r="AU153" i="43"/>
  <c r="AV153" i="43"/>
  <c r="AW153" i="43"/>
  <c r="AX153" i="43"/>
  <c r="AY153" i="43"/>
  <c r="AZ153" i="43"/>
  <c r="BA153" i="43"/>
  <c r="BB153" i="43"/>
  <c r="BD153" i="43"/>
  <c r="BE153" i="43"/>
  <c r="BF153" i="43"/>
  <c r="BG153" i="43"/>
  <c r="BH153" i="43"/>
  <c r="BI153" i="43"/>
  <c r="J154" i="43"/>
  <c r="N154" i="43"/>
  <c r="K154" i="43"/>
  <c r="AF154" i="43"/>
  <c r="AJ154" i="43"/>
  <c r="AK154" i="43"/>
  <c r="AL154" i="43"/>
  <c r="AM154" i="43"/>
  <c r="AN154" i="43"/>
  <c r="AO154" i="43"/>
  <c r="AQ154" i="43"/>
  <c r="AR154" i="43"/>
  <c r="AS154" i="43"/>
  <c r="AT154" i="43"/>
  <c r="AU154" i="43"/>
  <c r="AV154" i="43"/>
  <c r="AW154" i="43"/>
  <c r="AX154" i="43"/>
  <c r="AY154" i="43"/>
  <c r="AZ154" i="43"/>
  <c r="BA154" i="43"/>
  <c r="BB154" i="43"/>
  <c r="BD154" i="43"/>
  <c r="BE154" i="43"/>
  <c r="BF154" i="43"/>
  <c r="BG154" i="43"/>
  <c r="BH154" i="43"/>
  <c r="BI154" i="43"/>
  <c r="J155" i="43"/>
  <c r="K155" i="43"/>
  <c r="N155" i="43"/>
  <c r="AF155" i="43"/>
  <c r="AJ155" i="43"/>
  <c r="AK155" i="43"/>
  <c r="AL155" i="43"/>
  <c r="AM155" i="43"/>
  <c r="AN155" i="43"/>
  <c r="AO155" i="43"/>
  <c r="AQ155" i="43"/>
  <c r="AR155" i="43"/>
  <c r="AS155" i="43"/>
  <c r="AT155" i="43"/>
  <c r="AU155" i="43"/>
  <c r="AV155" i="43"/>
  <c r="AW155" i="43"/>
  <c r="AX155" i="43"/>
  <c r="AY155" i="43"/>
  <c r="AZ155" i="43"/>
  <c r="BA155" i="43"/>
  <c r="BB155" i="43"/>
  <c r="BD155" i="43"/>
  <c r="BE155" i="43"/>
  <c r="BF155" i="43"/>
  <c r="BG155" i="43"/>
  <c r="BH155" i="43"/>
  <c r="BI155" i="43"/>
  <c r="J156" i="43"/>
  <c r="K156" i="43"/>
  <c r="N156" i="43"/>
  <c r="AF156" i="43"/>
  <c r="AJ156" i="43"/>
  <c r="AK156" i="43"/>
  <c r="AL156" i="43"/>
  <c r="AM156" i="43"/>
  <c r="AN156" i="43"/>
  <c r="AO156" i="43"/>
  <c r="AP156" i="43"/>
  <c r="AR156" i="43"/>
  <c r="AS156" i="43"/>
  <c r="AT156" i="43"/>
  <c r="AU156" i="43"/>
  <c r="AV156" i="43"/>
  <c r="AW156" i="43"/>
  <c r="AX156" i="43"/>
  <c r="AY156" i="43"/>
  <c r="AZ156" i="43"/>
  <c r="BA156" i="43"/>
  <c r="BB156" i="43"/>
  <c r="BC156" i="43"/>
  <c r="BE156" i="43"/>
  <c r="BF156" i="43"/>
  <c r="BG156" i="43"/>
  <c r="BH156" i="43"/>
  <c r="BI156" i="43"/>
  <c r="J157" i="43"/>
  <c r="K157" i="43"/>
  <c r="N157" i="43"/>
  <c r="AF157" i="43"/>
  <c r="AJ157" i="43"/>
  <c r="AK157" i="43"/>
  <c r="AL157" i="43"/>
  <c r="AM157" i="43"/>
  <c r="AN157" i="43"/>
  <c r="AO157" i="43"/>
  <c r="AP157" i="43"/>
  <c r="AR157" i="43"/>
  <c r="AS157" i="43"/>
  <c r="AT157" i="43"/>
  <c r="AU157" i="43"/>
  <c r="AV157" i="43"/>
  <c r="AW157" i="43"/>
  <c r="AX157" i="43"/>
  <c r="AY157" i="43"/>
  <c r="AZ157" i="43"/>
  <c r="BA157" i="43"/>
  <c r="BB157" i="43"/>
  <c r="BC157" i="43"/>
  <c r="BE157" i="43"/>
  <c r="BF157" i="43"/>
  <c r="BG157" i="43"/>
  <c r="BH157" i="43"/>
  <c r="BI157" i="43"/>
  <c r="J158" i="43"/>
  <c r="N158" i="43"/>
  <c r="K158" i="43"/>
  <c r="AF158" i="43"/>
  <c r="AJ158" i="43"/>
  <c r="AK158" i="43"/>
  <c r="AL158" i="43"/>
  <c r="AM158" i="43"/>
  <c r="AN158" i="43"/>
  <c r="AO158" i="43"/>
  <c r="AP158" i="43"/>
  <c r="AR158" i="43"/>
  <c r="AS158" i="43"/>
  <c r="AT158" i="43"/>
  <c r="AU158" i="43"/>
  <c r="AV158" i="43"/>
  <c r="AW158" i="43"/>
  <c r="AX158" i="43"/>
  <c r="AY158" i="43"/>
  <c r="AZ158" i="43"/>
  <c r="BA158" i="43"/>
  <c r="BB158" i="43"/>
  <c r="BC158" i="43"/>
  <c r="BE158" i="43"/>
  <c r="BF158" i="43"/>
  <c r="BG158" i="43"/>
  <c r="BH158" i="43"/>
  <c r="BI158" i="43"/>
  <c r="J159" i="43"/>
  <c r="K159" i="43"/>
  <c r="N159" i="43"/>
  <c r="AF159" i="43"/>
  <c r="AJ159" i="43"/>
  <c r="AK159" i="43"/>
  <c r="AL159" i="43"/>
  <c r="AM159" i="43"/>
  <c r="AN159" i="43"/>
  <c r="AO159" i="43"/>
  <c r="AP159" i="43"/>
  <c r="AR159" i="43"/>
  <c r="AS159" i="43"/>
  <c r="AT159" i="43"/>
  <c r="AU159" i="43"/>
  <c r="AV159" i="43"/>
  <c r="AW159" i="43"/>
  <c r="AX159" i="43"/>
  <c r="AY159" i="43"/>
  <c r="AZ159" i="43"/>
  <c r="BA159" i="43"/>
  <c r="BB159" i="43"/>
  <c r="BC159" i="43"/>
  <c r="BE159" i="43"/>
  <c r="BF159" i="43"/>
  <c r="BG159" i="43"/>
  <c r="BH159" i="43"/>
  <c r="BI159" i="43"/>
  <c r="J160" i="43"/>
  <c r="K160" i="43"/>
  <c r="N160" i="43"/>
  <c r="AF160" i="43"/>
  <c r="AJ160" i="43"/>
  <c r="AK160" i="43"/>
  <c r="AL160" i="43"/>
  <c r="AM160" i="43"/>
  <c r="AN160" i="43"/>
  <c r="AO160" i="43"/>
  <c r="AP160" i="43"/>
  <c r="AR160" i="43"/>
  <c r="AS160" i="43"/>
  <c r="AT160" i="43"/>
  <c r="AU160" i="43"/>
  <c r="AV160" i="43"/>
  <c r="AW160" i="43"/>
  <c r="AX160" i="43"/>
  <c r="AY160" i="43"/>
  <c r="AZ160" i="43"/>
  <c r="BA160" i="43"/>
  <c r="BB160" i="43"/>
  <c r="BC160" i="43"/>
  <c r="BE160" i="43"/>
  <c r="BF160" i="43"/>
  <c r="BG160" i="43"/>
  <c r="BH160" i="43"/>
  <c r="BI160" i="43"/>
  <c r="J161" i="43"/>
  <c r="K161" i="43"/>
  <c r="N161" i="43"/>
  <c r="AF161" i="43"/>
  <c r="AJ161" i="43"/>
  <c r="AK161" i="43"/>
  <c r="AL161" i="43"/>
  <c r="AM161" i="43"/>
  <c r="AN161" i="43"/>
  <c r="AO161" i="43"/>
  <c r="AP161" i="43"/>
  <c r="AR161" i="43"/>
  <c r="AS161" i="43"/>
  <c r="AT161" i="43"/>
  <c r="AU161" i="43"/>
  <c r="AV161" i="43"/>
  <c r="AW161" i="43"/>
  <c r="AX161" i="43"/>
  <c r="AY161" i="43"/>
  <c r="AZ161" i="43"/>
  <c r="BA161" i="43"/>
  <c r="BB161" i="43"/>
  <c r="BC161" i="43"/>
  <c r="BE161" i="43"/>
  <c r="BF161" i="43"/>
  <c r="BG161" i="43"/>
  <c r="BH161" i="43"/>
  <c r="BI161" i="43"/>
  <c r="J162" i="43"/>
  <c r="K162" i="43"/>
  <c r="N162" i="43"/>
  <c r="AF162" i="43"/>
  <c r="AJ162" i="43"/>
  <c r="AK162" i="43"/>
  <c r="AL162" i="43"/>
  <c r="AM162" i="43"/>
  <c r="AN162" i="43"/>
  <c r="AO162" i="43"/>
  <c r="AP162" i="43"/>
  <c r="AR162" i="43"/>
  <c r="AS162" i="43"/>
  <c r="AT162" i="43"/>
  <c r="AU162" i="43"/>
  <c r="AV162" i="43"/>
  <c r="AW162" i="43"/>
  <c r="AX162" i="43"/>
  <c r="AY162" i="43"/>
  <c r="AZ162" i="43"/>
  <c r="BA162" i="43"/>
  <c r="BB162" i="43"/>
  <c r="BC162" i="43"/>
  <c r="BE162" i="43"/>
  <c r="BF162" i="43"/>
  <c r="BG162" i="43"/>
  <c r="BH162" i="43"/>
  <c r="BI162" i="43"/>
  <c r="J163" i="43"/>
  <c r="K163" i="43"/>
  <c r="N163" i="43"/>
  <c r="AF163" i="43"/>
  <c r="AJ163" i="43"/>
  <c r="AK163" i="43"/>
  <c r="AL163" i="43"/>
  <c r="AM163" i="43"/>
  <c r="AN163" i="43"/>
  <c r="AO163" i="43"/>
  <c r="AP163" i="43"/>
  <c r="AR163" i="43"/>
  <c r="AS163" i="43"/>
  <c r="AT163" i="43"/>
  <c r="AU163" i="43"/>
  <c r="AV163" i="43"/>
  <c r="AW163" i="43"/>
  <c r="AX163" i="43"/>
  <c r="AY163" i="43"/>
  <c r="AZ163" i="43"/>
  <c r="BA163" i="43"/>
  <c r="BB163" i="43"/>
  <c r="BC163" i="43"/>
  <c r="BE163" i="43"/>
  <c r="BF163" i="43"/>
  <c r="BG163" i="43"/>
  <c r="BH163" i="43"/>
  <c r="BI163" i="43"/>
  <c r="J164" i="43"/>
  <c r="K164" i="43"/>
  <c r="N164" i="43"/>
  <c r="AF164" i="43"/>
  <c r="AJ164" i="43"/>
  <c r="AK164" i="43"/>
  <c r="AL164" i="43"/>
  <c r="AM164" i="43"/>
  <c r="AN164" i="43"/>
  <c r="AO164" i="43"/>
  <c r="AP164" i="43"/>
  <c r="AR164" i="43"/>
  <c r="AS164" i="43"/>
  <c r="AT164" i="43"/>
  <c r="AU164" i="43"/>
  <c r="AV164" i="43"/>
  <c r="AW164" i="43"/>
  <c r="AX164" i="43"/>
  <c r="AY164" i="43"/>
  <c r="AZ164" i="43"/>
  <c r="BA164" i="43"/>
  <c r="BB164" i="43"/>
  <c r="BC164" i="43"/>
  <c r="BE164" i="43"/>
  <c r="BF164" i="43"/>
  <c r="BG164" i="43"/>
  <c r="BH164" i="43"/>
  <c r="BI164" i="43"/>
  <c r="J165" i="43"/>
  <c r="K165" i="43"/>
  <c r="N165" i="43"/>
  <c r="AF165" i="43"/>
  <c r="AJ165" i="43"/>
  <c r="AK165" i="43"/>
  <c r="AL165" i="43"/>
  <c r="AM165" i="43"/>
  <c r="AN165" i="43"/>
  <c r="AO165" i="43"/>
  <c r="AP165" i="43"/>
  <c r="AR165" i="43"/>
  <c r="AS165" i="43"/>
  <c r="AT165" i="43"/>
  <c r="AU165" i="43"/>
  <c r="AV165" i="43"/>
  <c r="AW165" i="43"/>
  <c r="AX165" i="43"/>
  <c r="AY165" i="43"/>
  <c r="AZ165" i="43"/>
  <c r="BA165" i="43"/>
  <c r="BB165" i="43"/>
  <c r="BC165" i="43"/>
  <c r="BE165" i="43"/>
  <c r="BF165" i="43"/>
  <c r="BG165" i="43"/>
  <c r="BH165" i="43"/>
  <c r="BI165" i="43"/>
  <c r="J166" i="43"/>
  <c r="N166" i="43"/>
  <c r="K166" i="43"/>
  <c r="AF166" i="43"/>
  <c r="AJ166" i="43"/>
  <c r="AK166" i="43"/>
  <c r="AL166" i="43"/>
  <c r="AM166" i="43"/>
  <c r="AN166" i="43"/>
  <c r="AO166" i="43"/>
  <c r="AP166" i="43"/>
  <c r="AR166" i="43"/>
  <c r="AS166" i="43"/>
  <c r="AT166" i="43"/>
  <c r="AU166" i="43"/>
  <c r="AV166" i="43"/>
  <c r="AW166" i="43"/>
  <c r="AX166" i="43"/>
  <c r="AY166" i="43"/>
  <c r="AZ166" i="43"/>
  <c r="BA166" i="43"/>
  <c r="BB166" i="43"/>
  <c r="BC166" i="43"/>
  <c r="BE166" i="43"/>
  <c r="BF166" i="43"/>
  <c r="BG166" i="43"/>
  <c r="BH166" i="43"/>
  <c r="BI166" i="43"/>
  <c r="J167" i="43"/>
  <c r="K167" i="43"/>
  <c r="N167" i="43"/>
  <c r="V167" i="43"/>
  <c r="AF167" i="43"/>
  <c r="AJ167" i="43"/>
  <c r="AK167" i="43"/>
  <c r="AL167" i="43"/>
  <c r="AM167" i="43"/>
  <c r="AN167" i="43"/>
  <c r="AO167" i="43"/>
  <c r="AP167" i="43"/>
  <c r="AR167" i="43"/>
  <c r="AS167" i="43"/>
  <c r="AT167" i="43"/>
  <c r="AU167" i="43"/>
  <c r="AV167" i="43"/>
  <c r="AW167" i="43"/>
  <c r="AX167" i="43"/>
  <c r="AY167" i="43"/>
  <c r="AZ167" i="43"/>
  <c r="BA167" i="43"/>
  <c r="BB167" i="43"/>
  <c r="BC167" i="43"/>
  <c r="BE167" i="43"/>
  <c r="BF167" i="43"/>
  <c r="BG167" i="43"/>
  <c r="BH167" i="43"/>
  <c r="BI167" i="43"/>
  <c r="J168" i="43"/>
  <c r="K168" i="43"/>
  <c r="N168" i="43"/>
  <c r="AF168" i="43"/>
  <c r="AJ168" i="43"/>
  <c r="AK168" i="43"/>
  <c r="AL168" i="43"/>
  <c r="AM168" i="43"/>
  <c r="AN168" i="43"/>
  <c r="AO168" i="43"/>
  <c r="AP168" i="43"/>
  <c r="AR168" i="43"/>
  <c r="AS168" i="43"/>
  <c r="AT168" i="43"/>
  <c r="AU168" i="43"/>
  <c r="AV168" i="43"/>
  <c r="AW168" i="43"/>
  <c r="AX168" i="43"/>
  <c r="AY168" i="43"/>
  <c r="AZ168" i="43"/>
  <c r="BA168" i="43"/>
  <c r="BB168" i="43"/>
  <c r="BC168" i="43"/>
  <c r="BE168" i="43"/>
  <c r="BF168" i="43"/>
  <c r="BG168" i="43"/>
  <c r="BH168" i="43"/>
  <c r="BI168" i="43"/>
  <c r="J169" i="43"/>
  <c r="K169" i="43"/>
  <c r="N169" i="43"/>
  <c r="AF169" i="43"/>
  <c r="AJ169" i="43"/>
  <c r="AK169" i="43"/>
  <c r="AL169" i="43"/>
  <c r="AM169" i="43"/>
  <c r="AN169" i="43"/>
  <c r="AO169" i="43"/>
  <c r="AP169" i="43"/>
  <c r="AR169" i="43"/>
  <c r="AS169" i="43"/>
  <c r="AT169" i="43"/>
  <c r="AU169" i="43"/>
  <c r="AV169" i="43"/>
  <c r="AW169" i="43"/>
  <c r="AX169" i="43"/>
  <c r="AY169" i="43"/>
  <c r="AZ169" i="43"/>
  <c r="BA169" i="43"/>
  <c r="BB169" i="43"/>
  <c r="BC169" i="43"/>
  <c r="BE169" i="43"/>
  <c r="BF169" i="43"/>
  <c r="BG169" i="43"/>
  <c r="BH169" i="43"/>
  <c r="BI169" i="43"/>
  <c r="J170" i="43"/>
  <c r="K170" i="43"/>
  <c r="N170" i="43"/>
  <c r="AF170" i="43"/>
  <c r="AJ170" i="43"/>
  <c r="AK170" i="43"/>
  <c r="AL170" i="43"/>
  <c r="AM170" i="43"/>
  <c r="AN170" i="43"/>
  <c r="AO170" i="43"/>
  <c r="AP170" i="43"/>
  <c r="AR170" i="43"/>
  <c r="AS170" i="43"/>
  <c r="AT170" i="43"/>
  <c r="AU170" i="43"/>
  <c r="AV170" i="43"/>
  <c r="AW170" i="43"/>
  <c r="AX170" i="43"/>
  <c r="AY170" i="43"/>
  <c r="AZ170" i="43"/>
  <c r="BA170" i="43"/>
  <c r="BB170" i="43"/>
  <c r="BC170" i="43"/>
  <c r="BE170" i="43"/>
  <c r="BF170" i="43"/>
  <c r="BG170" i="43"/>
  <c r="BH170" i="43"/>
  <c r="BI170" i="43"/>
  <c r="J171" i="43"/>
  <c r="K171" i="43"/>
  <c r="N171" i="43"/>
  <c r="AF171" i="43"/>
  <c r="AJ171" i="43"/>
  <c r="AK171" i="43"/>
  <c r="AL171" i="43"/>
  <c r="AM171" i="43"/>
  <c r="AN171" i="43"/>
  <c r="AO171" i="43"/>
  <c r="AP171" i="43"/>
  <c r="AR171" i="43"/>
  <c r="AS171" i="43"/>
  <c r="AT171" i="43"/>
  <c r="AU171" i="43"/>
  <c r="AV171" i="43"/>
  <c r="AW171" i="43"/>
  <c r="AX171" i="43"/>
  <c r="AY171" i="43"/>
  <c r="AZ171" i="43"/>
  <c r="BA171" i="43"/>
  <c r="BB171" i="43"/>
  <c r="BC171" i="43"/>
  <c r="BE171" i="43"/>
  <c r="BF171" i="43"/>
  <c r="BG171" i="43"/>
  <c r="BH171" i="43"/>
  <c r="BI171" i="43"/>
  <c r="J172" i="43"/>
  <c r="K172" i="43"/>
  <c r="N172" i="43"/>
  <c r="AF172" i="43"/>
  <c r="AJ172" i="43"/>
  <c r="AK172" i="43"/>
  <c r="AL172" i="43"/>
  <c r="AM172" i="43"/>
  <c r="AN172" i="43"/>
  <c r="AO172" i="43"/>
  <c r="AP172" i="43"/>
  <c r="AR172" i="43"/>
  <c r="AS172" i="43"/>
  <c r="AT172" i="43"/>
  <c r="AU172" i="43"/>
  <c r="AV172" i="43"/>
  <c r="AW172" i="43"/>
  <c r="AX172" i="43"/>
  <c r="AY172" i="43"/>
  <c r="AZ172" i="43"/>
  <c r="BA172" i="43"/>
  <c r="BB172" i="43"/>
  <c r="BC172" i="43"/>
  <c r="BE172" i="43"/>
  <c r="BF172" i="43"/>
  <c r="BG172" i="43"/>
  <c r="BH172" i="43"/>
  <c r="BI172" i="43"/>
  <c r="J173" i="43"/>
  <c r="K173" i="43"/>
  <c r="N173" i="43"/>
  <c r="AF173" i="43"/>
  <c r="AJ173" i="43"/>
  <c r="AK173" i="43"/>
  <c r="AL173" i="43"/>
  <c r="AM173" i="43"/>
  <c r="AN173" i="43"/>
  <c r="AO173" i="43"/>
  <c r="AP173" i="43"/>
  <c r="AR173" i="43"/>
  <c r="AS173" i="43"/>
  <c r="AT173" i="43"/>
  <c r="AU173" i="43"/>
  <c r="AV173" i="43"/>
  <c r="AW173" i="43"/>
  <c r="AX173" i="43"/>
  <c r="AY173" i="43"/>
  <c r="AZ173" i="43"/>
  <c r="BA173" i="43"/>
  <c r="BB173" i="43"/>
  <c r="BC173" i="43"/>
  <c r="BE173" i="43"/>
  <c r="BF173" i="43"/>
  <c r="BG173" i="43"/>
  <c r="BH173" i="43"/>
  <c r="BI173" i="43"/>
  <c r="J174" i="43"/>
  <c r="K174" i="43"/>
  <c r="N174" i="43"/>
  <c r="AF174" i="43"/>
  <c r="AJ174" i="43"/>
  <c r="AK174" i="43"/>
  <c r="AL174" i="43"/>
  <c r="AM174" i="43"/>
  <c r="AN174" i="43"/>
  <c r="AO174" i="43"/>
  <c r="AP174" i="43"/>
  <c r="AR174" i="43"/>
  <c r="AS174" i="43"/>
  <c r="AT174" i="43"/>
  <c r="AU174" i="43"/>
  <c r="AV174" i="43"/>
  <c r="AW174" i="43"/>
  <c r="AX174" i="43"/>
  <c r="AY174" i="43"/>
  <c r="AZ174" i="43"/>
  <c r="BA174" i="43"/>
  <c r="BB174" i="43"/>
  <c r="BC174" i="43"/>
  <c r="BE174" i="43"/>
  <c r="BF174" i="43"/>
  <c r="BG174" i="43"/>
  <c r="BH174" i="43"/>
  <c r="BI174" i="43"/>
  <c r="J175" i="43"/>
  <c r="K175" i="43"/>
  <c r="N175" i="43"/>
  <c r="AF175" i="43"/>
  <c r="AJ175" i="43"/>
  <c r="AK175" i="43"/>
  <c r="AL175" i="43"/>
  <c r="AM175" i="43"/>
  <c r="AN175" i="43"/>
  <c r="AO175" i="43"/>
  <c r="AP175" i="43"/>
  <c r="AR175" i="43"/>
  <c r="AS175" i="43"/>
  <c r="AT175" i="43"/>
  <c r="AU175" i="43"/>
  <c r="AV175" i="43"/>
  <c r="AW175" i="43"/>
  <c r="AX175" i="43"/>
  <c r="AY175" i="43"/>
  <c r="AZ175" i="43"/>
  <c r="BA175" i="43"/>
  <c r="BB175" i="43"/>
  <c r="BC175" i="43"/>
  <c r="BE175" i="43"/>
  <c r="BF175" i="43"/>
  <c r="BG175" i="43"/>
  <c r="BH175" i="43"/>
  <c r="BI175" i="43"/>
  <c r="J176" i="43"/>
  <c r="K176" i="43"/>
  <c r="N176" i="43"/>
  <c r="AF176" i="43"/>
  <c r="AJ176" i="43"/>
  <c r="AK176" i="43"/>
  <c r="AL176" i="43"/>
  <c r="AM176" i="43"/>
  <c r="AN176" i="43"/>
  <c r="AO176" i="43"/>
  <c r="AP176" i="43"/>
  <c r="AR176" i="43"/>
  <c r="AS176" i="43"/>
  <c r="AT176" i="43"/>
  <c r="AU176" i="43"/>
  <c r="AV176" i="43"/>
  <c r="AW176" i="43"/>
  <c r="AX176" i="43"/>
  <c r="AY176" i="43"/>
  <c r="AZ176" i="43"/>
  <c r="BA176" i="43"/>
  <c r="BB176" i="43"/>
  <c r="BC176" i="43"/>
  <c r="BE176" i="43"/>
  <c r="BF176" i="43"/>
  <c r="BG176" i="43"/>
  <c r="BH176" i="43"/>
  <c r="BI176" i="43"/>
  <c r="J177" i="43"/>
  <c r="K177" i="43"/>
  <c r="N177" i="43"/>
  <c r="AF177" i="43"/>
  <c r="AJ177" i="43"/>
  <c r="AK177" i="43"/>
  <c r="AL177" i="43"/>
  <c r="AM177" i="43"/>
  <c r="AN177" i="43"/>
  <c r="AO177" i="43"/>
  <c r="AP177" i="43"/>
  <c r="AR177" i="43"/>
  <c r="AS177" i="43"/>
  <c r="AT177" i="43"/>
  <c r="AU177" i="43"/>
  <c r="AV177" i="43"/>
  <c r="AW177" i="43"/>
  <c r="AX177" i="43"/>
  <c r="AY177" i="43"/>
  <c r="AZ177" i="43"/>
  <c r="BA177" i="43"/>
  <c r="BB177" i="43"/>
  <c r="BC177" i="43"/>
  <c r="BE177" i="43"/>
  <c r="BF177" i="43"/>
  <c r="BG177" i="43"/>
  <c r="BH177" i="43"/>
  <c r="BI177" i="43"/>
  <c r="J178" i="43"/>
  <c r="K178" i="43"/>
  <c r="N178" i="43"/>
  <c r="AF178" i="43"/>
  <c r="AJ178" i="43"/>
  <c r="AK178" i="43"/>
  <c r="AL178" i="43"/>
  <c r="AM178" i="43"/>
  <c r="AN178" i="43"/>
  <c r="AO178" i="43"/>
  <c r="AP178" i="43"/>
  <c r="AR178" i="43"/>
  <c r="AS178" i="43"/>
  <c r="AT178" i="43"/>
  <c r="AU178" i="43"/>
  <c r="AV178" i="43"/>
  <c r="AW178" i="43"/>
  <c r="AX178" i="43"/>
  <c r="AY178" i="43"/>
  <c r="AZ178" i="43"/>
  <c r="BA178" i="43"/>
  <c r="BB178" i="43"/>
  <c r="BC178" i="43"/>
  <c r="BE178" i="43"/>
  <c r="BF178" i="43"/>
  <c r="BG178" i="43"/>
  <c r="BH178" i="43"/>
  <c r="BI178" i="43"/>
  <c r="J179" i="43"/>
  <c r="K179" i="43"/>
  <c r="N179" i="43"/>
  <c r="AF179" i="43"/>
  <c r="AJ179" i="43"/>
  <c r="AK179" i="43"/>
  <c r="AL179" i="43"/>
  <c r="AM179" i="43"/>
  <c r="AN179" i="43"/>
  <c r="AO179" i="43"/>
  <c r="AP179" i="43"/>
  <c r="AR179" i="43"/>
  <c r="AS179" i="43"/>
  <c r="AT179" i="43"/>
  <c r="AU179" i="43"/>
  <c r="AV179" i="43"/>
  <c r="AW179" i="43"/>
  <c r="AX179" i="43"/>
  <c r="AY179" i="43"/>
  <c r="AZ179" i="43"/>
  <c r="BA179" i="43"/>
  <c r="BB179" i="43"/>
  <c r="BC179" i="43"/>
  <c r="BE179" i="43"/>
  <c r="BF179" i="43"/>
  <c r="BG179" i="43"/>
  <c r="BH179" i="43"/>
  <c r="BI179" i="43"/>
  <c r="J180" i="43"/>
  <c r="K180" i="43"/>
  <c r="N180" i="43"/>
  <c r="AF180" i="43"/>
  <c r="AJ180" i="43"/>
  <c r="AK180" i="43"/>
  <c r="AL180" i="43"/>
  <c r="AM180" i="43"/>
  <c r="AN180" i="43"/>
  <c r="AO180" i="43"/>
  <c r="AP180" i="43"/>
  <c r="AR180" i="43"/>
  <c r="AS180" i="43"/>
  <c r="AT180" i="43"/>
  <c r="AU180" i="43"/>
  <c r="AV180" i="43"/>
  <c r="AW180" i="43"/>
  <c r="AX180" i="43"/>
  <c r="AY180" i="43"/>
  <c r="AZ180" i="43"/>
  <c r="BA180" i="43"/>
  <c r="BB180" i="43"/>
  <c r="BC180" i="43"/>
  <c r="BE180" i="43"/>
  <c r="BF180" i="43"/>
  <c r="BG180" i="43"/>
  <c r="BH180" i="43"/>
  <c r="BI180" i="43"/>
  <c r="J181" i="43"/>
  <c r="K181" i="43"/>
  <c r="N181" i="43"/>
  <c r="AF181" i="43"/>
  <c r="AJ181" i="43"/>
  <c r="AK181" i="43"/>
  <c r="AL181" i="43"/>
  <c r="AM181" i="43"/>
  <c r="AN181" i="43"/>
  <c r="AO181" i="43"/>
  <c r="AP181" i="43"/>
  <c r="AR181" i="43"/>
  <c r="AS181" i="43"/>
  <c r="AT181" i="43"/>
  <c r="AU181" i="43"/>
  <c r="AV181" i="43"/>
  <c r="AW181" i="43"/>
  <c r="AX181" i="43"/>
  <c r="AY181" i="43"/>
  <c r="AZ181" i="43"/>
  <c r="BA181" i="43"/>
  <c r="BB181" i="43"/>
  <c r="BC181" i="43"/>
  <c r="BE181" i="43"/>
  <c r="BF181" i="43"/>
  <c r="BG181" i="43"/>
  <c r="BH181" i="43"/>
  <c r="BI181" i="43"/>
  <c r="J182" i="43"/>
  <c r="K182" i="43"/>
  <c r="N182" i="43"/>
  <c r="AF182" i="43"/>
  <c r="AJ182" i="43"/>
  <c r="AK182" i="43"/>
  <c r="AL182" i="43"/>
  <c r="AM182" i="43"/>
  <c r="AN182" i="43"/>
  <c r="AO182" i="43"/>
  <c r="AP182" i="43"/>
  <c r="AR182" i="43"/>
  <c r="AS182" i="43"/>
  <c r="AT182" i="43"/>
  <c r="AU182" i="43"/>
  <c r="AV182" i="43"/>
  <c r="AW182" i="43"/>
  <c r="AX182" i="43"/>
  <c r="AY182" i="43"/>
  <c r="AZ182" i="43"/>
  <c r="BA182" i="43"/>
  <c r="BB182" i="43"/>
  <c r="BC182" i="43"/>
  <c r="BE182" i="43"/>
  <c r="BF182" i="43"/>
  <c r="BG182" i="43"/>
  <c r="BH182" i="43"/>
  <c r="BI182" i="43"/>
  <c r="J183" i="43"/>
  <c r="K183" i="43"/>
  <c r="N183" i="43"/>
  <c r="AF183" i="43"/>
  <c r="AJ183" i="43"/>
  <c r="AK183" i="43"/>
  <c r="AL183" i="43"/>
  <c r="AM183" i="43"/>
  <c r="AN183" i="43"/>
  <c r="AO183" i="43"/>
  <c r="AP183" i="43"/>
  <c r="AR183" i="43"/>
  <c r="AS183" i="43"/>
  <c r="AT183" i="43"/>
  <c r="AU183" i="43"/>
  <c r="AV183" i="43"/>
  <c r="AW183" i="43"/>
  <c r="AX183" i="43"/>
  <c r="AY183" i="43"/>
  <c r="AZ183" i="43"/>
  <c r="BA183" i="43"/>
  <c r="BB183" i="43"/>
  <c r="BC183" i="43"/>
  <c r="BE183" i="43"/>
  <c r="BF183" i="43"/>
  <c r="BG183" i="43"/>
  <c r="BH183" i="43"/>
  <c r="BI183" i="43"/>
  <c r="J184" i="43"/>
  <c r="K184" i="43"/>
  <c r="N184" i="43"/>
  <c r="AF184" i="43"/>
  <c r="AJ184" i="43"/>
  <c r="AK184" i="43"/>
  <c r="AL184" i="43"/>
  <c r="AM184" i="43"/>
  <c r="AN184" i="43"/>
  <c r="AO184" i="43"/>
  <c r="AP184" i="43"/>
  <c r="AR184" i="43"/>
  <c r="AS184" i="43"/>
  <c r="AT184" i="43"/>
  <c r="AU184" i="43"/>
  <c r="AV184" i="43"/>
  <c r="AW184" i="43"/>
  <c r="AX184" i="43"/>
  <c r="AY184" i="43"/>
  <c r="AZ184" i="43"/>
  <c r="BA184" i="43"/>
  <c r="BB184" i="43"/>
  <c r="BC184" i="43"/>
  <c r="BE184" i="43"/>
  <c r="BF184" i="43"/>
  <c r="BG184" i="43"/>
  <c r="BH184" i="43"/>
  <c r="BI184" i="43"/>
  <c r="J185" i="43"/>
  <c r="K185" i="43"/>
  <c r="N185" i="43"/>
  <c r="AF185" i="43"/>
  <c r="AJ185" i="43"/>
  <c r="AK185" i="43"/>
  <c r="AL185" i="43"/>
  <c r="AM185" i="43"/>
  <c r="AN185" i="43"/>
  <c r="AO185" i="43"/>
  <c r="AP185" i="43"/>
  <c r="AR185" i="43"/>
  <c r="AS185" i="43"/>
  <c r="AT185" i="43"/>
  <c r="AU185" i="43"/>
  <c r="AV185" i="43"/>
  <c r="AW185" i="43"/>
  <c r="AX185" i="43"/>
  <c r="AY185" i="43"/>
  <c r="AZ185" i="43"/>
  <c r="BA185" i="43"/>
  <c r="BB185" i="43"/>
  <c r="BC185" i="43"/>
  <c r="BE185" i="43"/>
  <c r="BF185" i="43"/>
  <c r="BG185" i="43"/>
  <c r="BH185" i="43"/>
  <c r="BI185" i="43"/>
  <c r="J186" i="43"/>
  <c r="K186" i="43"/>
  <c r="N186" i="43"/>
  <c r="AF186" i="43"/>
  <c r="AJ186" i="43"/>
  <c r="AK186" i="43"/>
  <c r="AL186" i="43"/>
  <c r="AM186" i="43"/>
  <c r="AN186" i="43"/>
  <c r="AO186" i="43"/>
  <c r="AP186" i="43"/>
  <c r="AR186" i="43"/>
  <c r="AS186" i="43"/>
  <c r="AT186" i="43"/>
  <c r="AU186" i="43"/>
  <c r="AV186" i="43"/>
  <c r="AW186" i="43"/>
  <c r="AX186" i="43"/>
  <c r="AY186" i="43"/>
  <c r="AZ186" i="43"/>
  <c r="BA186" i="43"/>
  <c r="BB186" i="43"/>
  <c r="BC186" i="43"/>
  <c r="BE186" i="43"/>
  <c r="BF186" i="43"/>
  <c r="BG186" i="43"/>
  <c r="BH186" i="43"/>
  <c r="BI186" i="43"/>
  <c r="J187" i="43"/>
  <c r="K187" i="43"/>
  <c r="N187" i="43"/>
  <c r="AF187" i="43"/>
  <c r="AJ187" i="43"/>
  <c r="AK187" i="43"/>
  <c r="AL187" i="43"/>
  <c r="AM187" i="43"/>
  <c r="AN187" i="43"/>
  <c r="AO187" i="43"/>
  <c r="AP187" i="43"/>
  <c r="AR187" i="43"/>
  <c r="AS187" i="43"/>
  <c r="AT187" i="43"/>
  <c r="AU187" i="43"/>
  <c r="AV187" i="43"/>
  <c r="AW187" i="43"/>
  <c r="AX187" i="43"/>
  <c r="AY187" i="43"/>
  <c r="AZ187" i="43"/>
  <c r="BA187" i="43"/>
  <c r="BB187" i="43"/>
  <c r="BC187" i="43"/>
  <c r="BE187" i="43"/>
  <c r="BF187" i="43"/>
  <c r="BG187" i="43"/>
  <c r="BH187" i="43"/>
  <c r="BI187" i="43"/>
  <c r="J188" i="43"/>
  <c r="K188" i="43"/>
  <c r="N188" i="43"/>
  <c r="AF188" i="43"/>
  <c r="AJ188" i="43"/>
  <c r="AK188" i="43"/>
  <c r="AL188" i="43"/>
  <c r="AM188" i="43"/>
  <c r="AN188" i="43"/>
  <c r="AO188" i="43"/>
  <c r="AP188" i="43"/>
  <c r="AR188" i="43"/>
  <c r="AS188" i="43"/>
  <c r="AT188" i="43"/>
  <c r="AU188" i="43"/>
  <c r="AV188" i="43"/>
  <c r="AW188" i="43"/>
  <c r="AX188" i="43"/>
  <c r="AY188" i="43"/>
  <c r="AZ188" i="43"/>
  <c r="BA188" i="43"/>
  <c r="BB188" i="43"/>
  <c r="BC188" i="43"/>
  <c r="BE188" i="43"/>
  <c r="BF188" i="43"/>
  <c r="BG188" i="43"/>
  <c r="BH188" i="43"/>
  <c r="BI188" i="43"/>
  <c r="J189" i="43"/>
  <c r="K189" i="43"/>
  <c r="N189" i="43"/>
  <c r="AF189" i="43"/>
  <c r="AJ189" i="43"/>
  <c r="AK189" i="43"/>
  <c r="AL189" i="43"/>
  <c r="AM189" i="43"/>
  <c r="AN189" i="43"/>
  <c r="AO189" i="43"/>
  <c r="AP189" i="43"/>
  <c r="AR189" i="43"/>
  <c r="AS189" i="43"/>
  <c r="AT189" i="43"/>
  <c r="AU189" i="43"/>
  <c r="AV189" i="43"/>
  <c r="AW189" i="43"/>
  <c r="AX189" i="43"/>
  <c r="AY189" i="43"/>
  <c r="AZ189" i="43"/>
  <c r="BA189" i="43"/>
  <c r="BB189" i="43"/>
  <c r="BC189" i="43"/>
  <c r="BE189" i="43"/>
  <c r="BF189" i="43"/>
  <c r="BG189" i="43"/>
  <c r="BH189" i="43"/>
  <c r="BI189" i="43"/>
  <c r="J190" i="43"/>
  <c r="K190" i="43"/>
  <c r="N190" i="43"/>
  <c r="AF190" i="43"/>
  <c r="AJ190" i="43"/>
  <c r="AK190" i="43"/>
  <c r="AL190" i="43"/>
  <c r="AM190" i="43"/>
  <c r="AN190" i="43"/>
  <c r="AO190" i="43"/>
  <c r="AP190" i="43"/>
  <c r="AR190" i="43"/>
  <c r="AS190" i="43"/>
  <c r="AT190" i="43"/>
  <c r="AU190" i="43"/>
  <c r="AV190" i="43"/>
  <c r="AW190" i="43"/>
  <c r="AX190" i="43"/>
  <c r="AY190" i="43"/>
  <c r="AZ190" i="43"/>
  <c r="BA190" i="43"/>
  <c r="BB190" i="43"/>
  <c r="BC190" i="43"/>
  <c r="BE190" i="43"/>
  <c r="BF190" i="43"/>
  <c r="BG190" i="43"/>
  <c r="BH190" i="43"/>
  <c r="BI190" i="43"/>
  <c r="J191" i="43"/>
  <c r="K191" i="43"/>
  <c r="N191" i="43"/>
  <c r="AF191" i="43"/>
  <c r="AJ191" i="43"/>
  <c r="AK191" i="43"/>
  <c r="AL191" i="43"/>
  <c r="AM191" i="43"/>
  <c r="AN191" i="43"/>
  <c r="AO191" i="43"/>
  <c r="AP191" i="43"/>
  <c r="AR191" i="43"/>
  <c r="AS191" i="43"/>
  <c r="AT191" i="43"/>
  <c r="AU191" i="43"/>
  <c r="AV191" i="43"/>
  <c r="AW191" i="43"/>
  <c r="AX191" i="43"/>
  <c r="AY191" i="43"/>
  <c r="AZ191" i="43"/>
  <c r="BA191" i="43"/>
  <c r="BB191" i="43"/>
  <c r="BC191" i="43"/>
  <c r="BE191" i="43"/>
  <c r="BF191" i="43"/>
  <c r="BG191" i="43"/>
  <c r="BH191" i="43"/>
  <c r="BI191" i="43"/>
  <c r="J192" i="43"/>
  <c r="K192" i="43"/>
  <c r="N192" i="43"/>
  <c r="AF192" i="43"/>
  <c r="AJ192" i="43"/>
  <c r="AK192" i="43"/>
  <c r="AL192" i="43"/>
  <c r="AM192" i="43"/>
  <c r="AN192" i="43"/>
  <c r="AO192" i="43"/>
  <c r="AP192" i="43"/>
  <c r="AR192" i="43"/>
  <c r="AS192" i="43"/>
  <c r="AT192" i="43"/>
  <c r="AU192" i="43"/>
  <c r="AV192" i="43"/>
  <c r="AW192" i="43"/>
  <c r="AX192" i="43"/>
  <c r="AY192" i="43"/>
  <c r="AZ192" i="43"/>
  <c r="BA192" i="43"/>
  <c r="BB192" i="43"/>
  <c r="BC192" i="43"/>
  <c r="BE192" i="43"/>
  <c r="BF192" i="43"/>
  <c r="BG192" i="43"/>
  <c r="BH192" i="43"/>
  <c r="BI192" i="43"/>
  <c r="J193" i="43"/>
  <c r="K193" i="43"/>
  <c r="N193" i="43"/>
  <c r="AF193" i="43"/>
  <c r="AJ193" i="43"/>
  <c r="AK193" i="43"/>
  <c r="AL193" i="43"/>
  <c r="AM193" i="43"/>
  <c r="AN193" i="43"/>
  <c r="AO193" i="43"/>
  <c r="AP193" i="43"/>
  <c r="AQ193" i="43"/>
  <c r="AS193" i="43"/>
  <c r="AT193" i="43"/>
  <c r="AU193" i="43"/>
  <c r="AV193" i="43"/>
  <c r="AW193" i="43"/>
  <c r="AX193" i="43"/>
  <c r="AY193" i="43"/>
  <c r="AZ193" i="43"/>
  <c r="BA193" i="43"/>
  <c r="BB193" i="43"/>
  <c r="BC193" i="43"/>
  <c r="BD193" i="43"/>
  <c r="BF193" i="43"/>
  <c r="BG193" i="43"/>
  <c r="BH193" i="43"/>
  <c r="BI193" i="43"/>
  <c r="J194" i="43"/>
  <c r="K194" i="43"/>
  <c r="N194" i="43"/>
  <c r="AF194" i="43"/>
  <c r="AJ194" i="43"/>
  <c r="AK194" i="43"/>
  <c r="AL194" i="43"/>
  <c r="AM194" i="43"/>
  <c r="AN194" i="43"/>
  <c r="AO194" i="43"/>
  <c r="AP194" i="43"/>
  <c r="AQ194" i="43"/>
  <c r="AS194" i="43"/>
  <c r="AT194" i="43"/>
  <c r="AU194" i="43"/>
  <c r="AV194" i="43"/>
  <c r="AW194" i="43"/>
  <c r="AX194" i="43"/>
  <c r="AY194" i="43"/>
  <c r="AZ194" i="43"/>
  <c r="BA194" i="43"/>
  <c r="BB194" i="43"/>
  <c r="BC194" i="43"/>
  <c r="BD194" i="43"/>
  <c r="BF194" i="43"/>
  <c r="BG194" i="43"/>
  <c r="BH194" i="43"/>
  <c r="BI194" i="43"/>
  <c r="J195" i="43"/>
  <c r="K195" i="43"/>
  <c r="N195" i="43"/>
  <c r="AF195" i="43"/>
  <c r="AJ195" i="43"/>
  <c r="AK195" i="43"/>
  <c r="AL195" i="43"/>
  <c r="AM195" i="43"/>
  <c r="AN195" i="43"/>
  <c r="AO195" i="43"/>
  <c r="AP195" i="43"/>
  <c r="AQ195" i="43"/>
  <c r="AS195" i="43"/>
  <c r="AT195" i="43"/>
  <c r="AU195" i="43"/>
  <c r="AV195" i="43"/>
  <c r="AW195" i="43"/>
  <c r="AX195" i="43"/>
  <c r="AY195" i="43"/>
  <c r="AZ195" i="43"/>
  <c r="BA195" i="43"/>
  <c r="BB195" i="43"/>
  <c r="BC195" i="43"/>
  <c r="BD195" i="43"/>
  <c r="BF195" i="43"/>
  <c r="BG195" i="43"/>
  <c r="BH195" i="43"/>
  <c r="BI195" i="43"/>
  <c r="J196" i="43"/>
  <c r="K196" i="43"/>
  <c r="N196" i="43"/>
  <c r="AF196" i="43"/>
  <c r="AJ196" i="43"/>
  <c r="AK196" i="43"/>
  <c r="AL196" i="43"/>
  <c r="AM196" i="43"/>
  <c r="AN196" i="43"/>
  <c r="AO196" i="43"/>
  <c r="AP196" i="43"/>
  <c r="AQ196" i="43"/>
  <c r="AS196" i="43"/>
  <c r="AT196" i="43"/>
  <c r="AU196" i="43"/>
  <c r="AV196" i="43"/>
  <c r="AW196" i="43"/>
  <c r="AX196" i="43"/>
  <c r="AY196" i="43"/>
  <c r="AZ196" i="43"/>
  <c r="BA196" i="43"/>
  <c r="BB196" i="43"/>
  <c r="BC196" i="43"/>
  <c r="BD196" i="43"/>
  <c r="BF196" i="43"/>
  <c r="BG196" i="43"/>
  <c r="BH196" i="43"/>
  <c r="BI196" i="43"/>
  <c r="J197" i="43"/>
  <c r="K197" i="43"/>
  <c r="N197" i="43"/>
  <c r="AF197" i="43"/>
  <c r="AJ197" i="43"/>
  <c r="AK197" i="43"/>
  <c r="AL197" i="43"/>
  <c r="AM197" i="43"/>
  <c r="AN197" i="43"/>
  <c r="AO197" i="43"/>
  <c r="AP197" i="43"/>
  <c r="AQ197" i="43"/>
  <c r="AS197" i="43"/>
  <c r="AT197" i="43"/>
  <c r="AU197" i="43"/>
  <c r="AV197" i="43"/>
  <c r="AW197" i="43"/>
  <c r="AX197" i="43"/>
  <c r="AY197" i="43"/>
  <c r="AZ197" i="43"/>
  <c r="BA197" i="43"/>
  <c r="BB197" i="43"/>
  <c r="BC197" i="43"/>
  <c r="BD197" i="43"/>
  <c r="BF197" i="43"/>
  <c r="BG197" i="43"/>
  <c r="BH197" i="43"/>
  <c r="BI197" i="43"/>
  <c r="J198" i="43"/>
  <c r="K198" i="43"/>
  <c r="N198" i="43"/>
  <c r="AF198" i="43"/>
  <c r="AJ198" i="43"/>
  <c r="AK198" i="43"/>
  <c r="AL198" i="43"/>
  <c r="AM198" i="43"/>
  <c r="AN198" i="43"/>
  <c r="AO198" i="43"/>
  <c r="AP198" i="43"/>
  <c r="AQ198" i="43"/>
  <c r="AS198" i="43"/>
  <c r="AT198" i="43"/>
  <c r="AU198" i="43"/>
  <c r="AV198" i="43"/>
  <c r="AW198" i="43"/>
  <c r="AX198" i="43"/>
  <c r="AY198" i="43"/>
  <c r="AZ198" i="43"/>
  <c r="BA198" i="43"/>
  <c r="BB198" i="43"/>
  <c r="BC198" i="43"/>
  <c r="BD198" i="43"/>
  <c r="BF198" i="43"/>
  <c r="BG198" i="43"/>
  <c r="BH198" i="43"/>
  <c r="BI198" i="43"/>
  <c r="J199" i="43"/>
  <c r="K199" i="43"/>
  <c r="N199" i="43"/>
  <c r="AF199" i="43"/>
  <c r="AJ199" i="43"/>
  <c r="AK199" i="43"/>
  <c r="AL199" i="43"/>
  <c r="AM199" i="43"/>
  <c r="AN199" i="43"/>
  <c r="AO199" i="43"/>
  <c r="AP199" i="43"/>
  <c r="AQ199" i="43"/>
  <c r="AS199" i="43"/>
  <c r="AT199" i="43"/>
  <c r="AU199" i="43"/>
  <c r="AV199" i="43"/>
  <c r="AW199" i="43"/>
  <c r="AX199" i="43"/>
  <c r="AY199" i="43"/>
  <c r="AZ199" i="43"/>
  <c r="BA199" i="43"/>
  <c r="BB199" i="43"/>
  <c r="BC199" i="43"/>
  <c r="BD199" i="43"/>
  <c r="BF199" i="43"/>
  <c r="BG199" i="43"/>
  <c r="BH199" i="43"/>
  <c r="BI199" i="43"/>
  <c r="J200" i="43"/>
  <c r="K200" i="43"/>
  <c r="N200" i="43"/>
  <c r="AF200" i="43"/>
  <c r="AJ200" i="43"/>
  <c r="AK200" i="43"/>
  <c r="AL200" i="43"/>
  <c r="AM200" i="43"/>
  <c r="AN200" i="43"/>
  <c r="AO200" i="43"/>
  <c r="AP200" i="43"/>
  <c r="AQ200" i="43"/>
  <c r="AS200" i="43"/>
  <c r="AT200" i="43"/>
  <c r="AU200" i="43"/>
  <c r="AV200" i="43"/>
  <c r="AW200" i="43"/>
  <c r="AX200" i="43"/>
  <c r="AY200" i="43"/>
  <c r="AZ200" i="43"/>
  <c r="BA200" i="43"/>
  <c r="BB200" i="43"/>
  <c r="BC200" i="43"/>
  <c r="BD200" i="43"/>
  <c r="BF200" i="43"/>
  <c r="BG200" i="43"/>
  <c r="BH200" i="43"/>
  <c r="BI200" i="43"/>
  <c r="J201" i="43"/>
  <c r="K201" i="43"/>
  <c r="N201" i="43"/>
  <c r="AF201" i="43"/>
  <c r="AJ201" i="43"/>
  <c r="AK201" i="43"/>
  <c r="AL201" i="43"/>
  <c r="AM201" i="43"/>
  <c r="AN201" i="43"/>
  <c r="AO201" i="43"/>
  <c r="AP201" i="43"/>
  <c r="AQ201" i="43"/>
  <c r="AS201" i="43"/>
  <c r="AT201" i="43"/>
  <c r="AU201" i="43"/>
  <c r="AV201" i="43"/>
  <c r="AW201" i="43"/>
  <c r="AX201" i="43"/>
  <c r="AY201" i="43"/>
  <c r="AZ201" i="43"/>
  <c r="BA201" i="43"/>
  <c r="BB201" i="43"/>
  <c r="BC201" i="43"/>
  <c r="BD201" i="43"/>
  <c r="BF201" i="43"/>
  <c r="BG201" i="43"/>
  <c r="BH201" i="43"/>
  <c r="BI201" i="43"/>
  <c r="J202" i="43"/>
  <c r="K202" i="43"/>
  <c r="N202" i="43"/>
  <c r="AF202" i="43"/>
  <c r="AJ202" i="43"/>
  <c r="AK202" i="43"/>
  <c r="AL202" i="43"/>
  <c r="AM202" i="43"/>
  <c r="AN202" i="43"/>
  <c r="AO202" i="43"/>
  <c r="AP202" i="43"/>
  <c r="AQ202" i="43"/>
  <c r="AS202" i="43"/>
  <c r="AT202" i="43"/>
  <c r="AU202" i="43"/>
  <c r="AV202" i="43"/>
  <c r="AW202" i="43"/>
  <c r="AX202" i="43"/>
  <c r="AY202" i="43"/>
  <c r="AZ202" i="43"/>
  <c r="BA202" i="43"/>
  <c r="BB202" i="43"/>
  <c r="BC202" i="43"/>
  <c r="BD202" i="43"/>
  <c r="BF202" i="43"/>
  <c r="BG202" i="43"/>
  <c r="BH202" i="43"/>
  <c r="BI202" i="43"/>
  <c r="J203" i="43"/>
  <c r="N203" i="43"/>
  <c r="K203" i="43"/>
  <c r="AF203" i="43"/>
  <c r="AJ203" i="43"/>
  <c r="AK203" i="43"/>
  <c r="AL203" i="43"/>
  <c r="AM203" i="43"/>
  <c r="AN203" i="43"/>
  <c r="AO203" i="43"/>
  <c r="AP203" i="43"/>
  <c r="AQ203" i="43"/>
  <c r="AS203" i="43"/>
  <c r="AT203" i="43"/>
  <c r="AU203" i="43"/>
  <c r="AV203" i="43"/>
  <c r="AW203" i="43"/>
  <c r="AX203" i="43"/>
  <c r="AY203" i="43"/>
  <c r="AZ203" i="43"/>
  <c r="BA203" i="43"/>
  <c r="BB203" i="43"/>
  <c r="BC203" i="43"/>
  <c r="BD203" i="43"/>
  <c r="BF203" i="43"/>
  <c r="BG203" i="43"/>
  <c r="BH203" i="43"/>
  <c r="BI203" i="43"/>
  <c r="J204" i="43"/>
  <c r="K204" i="43"/>
  <c r="N204" i="43"/>
  <c r="AF204" i="43"/>
  <c r="AJ204" i="43"/>
  <c r="AK204" i="43"/>
  <c r="AL204" i="43"/>
  <c r="AM204" i="43"/>
  <c r="AN204" i="43"/>
  <c r="AO204" i="43"/>
  <c r="AP204" i="43"/>
  <c r="AQ204" i="43"/>
  <c r="AS204" i="43"/>
  <c r="AT204" i="43"/>
  <c r="AU204" i="43"/>
  <c r="AV204" i="43"/>
  <c r="AW204" i="43"/>
  <c r="AX204" i="43"/>
  <c r="AY204" i="43"/>
  <c r="AZ204" i="43"/>
  <c r="BA204" i="43"/>
  <c r="BB204" i="43"/>
  <c r="BC204" i="43"/>
  <c r="BD204" i="43"/>
  <c r="BF204" i="43"/>
  <c r="BG204" i="43"/>
  <c r="BH204" i="43"/>
  <c r="BI204" i="43"/>
  <c r="J205" i="43"/>
  <c r="K205" i="43"/>
  <c r="N205" i="43"/>
  <c r="AF205" i="43"/>
  <c r="AJ205" i="43"/>
  <c r="AK205" i="43"/>
  <c r="AL205" i="43"/>
  <c r="AM205" i="43"/>
  <c r="AN205" i="43"/>
  <c r="AO205" i="43"/>
  <c r="AP205" i="43"/>
  <c r="AQ205" i="43"/>
  <c r="AS205" i="43"/>
  <c r="AT205" i="43"/>
  <c r="AU205" i="43"/>
  <c r="AV205" i="43"/>
  <c r="AW205" i="43"/>
  <c r="AX205" i="43"/>
  <c r="AY205" i="43"/>
  <c r="AZ205" i="43"/>
  <c r="BA205" i="43"/>
  <c r="BB205" i="43"/>
  <c r="BC205" i="43"/>
  <c r="BD205" i="43"/>
  <c r="BF205" i="43"/>
  <c r="BG205" i="43"/>
  <c r="BH205" i="43"/>
  <c r="BI205" i="43"/>
  <c r="J206" i="43"/>
  <c r="K206" i="43"/>
  <c r="N206" i="43"/>
  <c r="AF206" i="43"/>
  <c r="AJ206" i="43"/>
  <c r="AK206" i="43"/>
  <c r="AL206" i="43"/>
  <c r="AM206" i="43"/>
  <c r="AN206" i="43"/>
  <c r="AO206" i="43"/>
  <c r="AP206" i="43"/>
  <c r="AQ206" i="43"/>
  <c r="AS206" i="43"/>
  <c r="AT206" i="43"/>
  <c r="AU206" i="43"/>
  <c r="AV206" i="43"/>
  <c r="AW206" i="43"/>
  <c r="AX206" i="43"/>
  <c r="AY206" i="43"/>
  <c r="AZ206" i="43"/>
  <c r="BA206" i="43"/>
  <c r="BB206" i="43"/>
  <c r="BC206" i="43"/>
  <c r="BD206" i="43"/>
  <c r="BF206" i="43"/>
  <c r="BG206" i="43"/>
  <c r="BH206" i="43"/>
  <c r="BI206" i="43"/>
  <c r="J207" i="43"/>
  <c r="K207" i="43"/>
  <c r="N207" i="43"/>
  <c r="AF207" i="43"/>
  <c r="AJ207" i="43"/>
  <c r="AK207" i="43"/>
  <c r="AL207" i="43"/>
  <c r="AM207" i="43"/>
  <c r="AN207" i="43"/>
  <c r="AO207" i="43"/>
  <c r="AP207" i="43"/>
  <c r="AQ207" i="43"/>
  <c r="AS207" i="43"/>
  <c r="AT207" i="43"/>
  <c r="AU207" i="43"/>
  <c r="AV207" i="43"/>
  <c r="AW207" i="43"/>
  <c r="AX207" i="43"/>
  <c r="AY207" i="43"/>
  <c r="AZ207" i="43"/>
  <c r="BA207" i="43"/>
  <c r="BB207" i="43"/>
  <c r="BC207" i="43"/>
  <c r="BD207" i="43"/>
  <c r="BF207" i="43"/>
  <c r="BG207" i="43"/>
  <c r="BH207" i="43"/>
  <c r="BI207" i="43"/>
  <c r="J208" i="43"/>
  <c r="K208" i="43"/>
  <c r="N208" i="43"/>
  <c r="AF208" i="43"/>
  <c r="AJ208" i="43"/>
  <c r="AK208" i="43"/>
  <c r="AL208" i="43"/>
  <c r="AM208" i="43"/>
  <c r="AN208" i="43"/>
  <c r="AO208" i="43"/>
  <c r="AP208" i="43"/>
  <c r="AQ208" i="43"/>
  <c r="AS208" i="43"/>
  <c r="AT208" i="43"/>
  <c r="AU208" i="43"/>
  <c r="AV208" i="43"/>
  <c r="AW208" i="43"/>
  <c r="AX208" i="43"/>
  <c r="AY208" i="43"/>
  <c r="AZ208" i="43"/>
  <c r="BA208" i="43"/>
  <c r="BB208" i="43"/>
  <c r="BC208" i="43"/>
  <c r="BD208" i="43"/>
  <c r="BF208" i="43"/>
  <c r="BG208" i="43"/>
  <c r="BH208" i="43"/>
  <c r="BI208" i="43"/>
  <c r="J209" i="43"/>
  <c r="K209" i="43"/>
  <c r="N209" i="43"/>
  <c r="AF209" i="43"/>
  <c r="AJ209" i="43"/>
  <c r="AK209" i="43"/>
  <c r="AL209" i="43"/>
  <c r="AM209" i="43"/>
  <c r="AN209" i="43"/>
  <c r="AO209" i="43"/>
  <c r="AP209" i="43"/>
  <c r="AQ209" i="43"/>
  <c r="AS209" i="43"/>
  <c r="AT209" i="43"/>
  <c r="AU209" i="43"/>
  <c r="AV209" i="43"/>
  <c r="AW209" i="43"/>
  <c r="AX209" i="43"/>
  <c r="AY209" i="43"/>
  <c r="AZ209" i="43"/>
  <c r="BA209" i="43"/>
  <c r="BB209" i="43"/>
  <c r="BC209" i="43"/>
  <c r="BD209" i="43"/>
  <c r="BF209" i="43"/>
  <c r="BG209" i="43"/>
  <c r="BH209" i="43"/>
  <c r="BI209" i="43"/>
  <c r="J210" i="43"/>
  <c r="K210" i="43"/>
  <c r="N210" i="43"/>
  <c r="AF210" i="43"/>
  <c r="AJ210" i="43"/>
  <c r="AK210" i="43"/>
  <c r="AL210" i="43"/>
  <c r="AM210" i="43"/>
  <c r="AN210" i="43"/>
  <c r="AO210" i="43"/>
  <c r="AP210" i="43"/>
  <c r="AQ210" i="43"/>
  <c r="AS210" i="43"/>
  <c r="AT210" i="43"/>
  <c r="AU210" i="43"/>
  <c r="AV210" i="43"/>
  <c r="AW210" i="43"/>
  <c r="AX210" i="43"/>
  <c r="AY210" i="43"/>
  <c r="AZ210" i="43"/>
  <c r="BA210" i="43"/>
  <c r="BB210" i="43"/>
  <c r="BC210" i="43"/>
  <c r="BD210" i="43"/>
  <c r="BF210" i="43"/>
  <c r="BG210" i="43"/>
  <c r="BH210" i="43"/>
  <c r="BI210" i="43"/>
  <c r="J211" i="43"/>
  <c r="N211" i="43"/>
  <c r="K211" i="43"/>
  <c r="AF211" i="43"/>
  <c r="AJ211" i="43"/>
  <c r="AK211" i="43"/>
  <c r="AL211" i="43"/>
  <c r="AM211" i="43"/>
  <c r="AN211" i="43"/>
  <c r="AO211" i="43"/>
  <c r="AP211" i="43"/>
  <c r="AQ211" i="43"/>
  <c r="AS211" i="43"/>
  <c r="AT211" i="43"/>
  <c r="AU211" i="43"/>
  <c r="AV211" i="43"/>
  <c r="AW211" i="43"/>
  <c r="AX211" i="43"/>
  <c r="AY211" i="43"/>
  <c r="AZ211" i="43"/>
  <c r="BA211" i="43"/>
  <c r="BB211" i="43"/>
  <c r="BC211" i="43"/>
  <c r="BD211" i="43"/>
  <c r="BF211" i="43"/>
  <c r="BG211" i="43"/>
  <c r="BH211" i="43"/>
  <c r="BI211" i="43"/>
  <c r="J212" i="43"/>
  <c r="K212" i="43"/>
  <c r="N212" i="43"/>
  <c r="AF212" i="43"/>
  <c r="AJ212" i="43"/>
  <c r="AK212" i="43"/>
  <c r="AL212" i="43"/>
  <c r="AM212" i="43"/>
  <c r="AN212" i="43"/>
  <c r="AO212" i="43"/>
  <c r="AP212" i="43"/>
  <c r="AQ212" i="43"/>
  <c r="AS212" i="43"/>
  <c r="AT212" i="43"/>
  <c r="AU212" i="43"/>
  <c r="AV212" i="43"/>
  <c r="AW212" i="43"/>
  <c r="AX212" i="43"/>
  <c r="AY212" i="43"/>
  <c r="AZ212" i="43"/>
  <c r="BA212" i="43"/>
  <c r="BB212" i="43"/>
  <c r="BC212" i="43"/>
  <c r="BD212" i="43"/>
  <c r="BF212" i="43"/>
  <c r="BG212" i="43"/>
  <c r="BH212" i="43"/>
  <c r="BI212" i="43"/>
  <c r="J213" i="43"/>
  <c r="K213" i="43"/>
  <c r="N213" i="43"/>
  <c r="AF213" i="43"/>
  <c r="AJ213" i="43"/>
  <c r="AK213" i="43"/>
  <c r="AL213" i="43"/>
  <c r="AM213" i="43"/>
  <c r="AN213" i="43"/>
  <c r="AO213" i="43"/>
  <c r="AP213" i="43"/>
  <c r="AQ213" i="43"/>
  <c r="AS213" i="43"/>
  <c r="AT213" i="43"/>
  <c r="AU213" i="43"/>
  <c r="AV213" i="43"/>
  <c r="AW213" i="43"/>
  <c r="AX213" i="43"/>
  <c r="AY213" i="43"/>
  <c r="AZ213" i="43"/>
  <c r="BA213" i="43"/>
  <c r="BB213" i="43"/>
  <c r="BC213" i="43"/>
  <c r="BD213" i="43"/>
  <c r="BF213" i="43"/>
  <c r="BG213" i="43"/>
  <c r="BH213" i="43"/>
  <c r="BI213" i="43"/>
  <c r="J214" i="43"/>
  <c r="K214" i="43"/>
  <c r="N214" i="43"/>
  <c r="AF214" i="43"/>
  <c r="AJ214" i="43"/>
  <c r="AK214" i="43"/>
  <c r="AL214" i="43"/>
  <c r="AM214" i="43"/>
  <c r="AN214" i="43"/>
  <c r="AO214" i="43"/>
  <c r="AP214" i="43"/>
  <c r="AQ214" i="43"/>
  <c r="AS214" i="43"/>
  <c r="AT214" i="43"/>
  <c r="AU214" i="43"/>
  <c r="AV214" i="43"/>
  <c r="AW214" i="43"/>
  <c r="AX214" i="43"/>
  <c r="AY214" i="43"/>
  <c r="AZ214" i="43"/>
  <c r="BA214" i="43"/>
  <c r="BB214" i="43"/>
  <c r="BC214" i="43"/>
  <c r="BD214" i="43"/>
  <c r="BF214" i="43"/>
  <c r="BG214" i="43"/>
  <c r="BH214" i="43"/>
  <c r="BI214" i="43"/>
  <c r="J215" i="43"/>
  <c r="N215" i="43"/>
  <c r="K215" i="43"/>
  <c r="AF215" i="43"/>
  <c r="AJ215" i="43"/>
  <c r="AK215" i="43"/>
  <c r="AL215" i="43"/>
  <c r="AM215" i="43"/>
  <c r="AN215" i="43"/>
  <c r="AO215" i="43"/>
  <c r="AP215" i="43"/>
  <c r="AQ215" i="43"/>
  <c r="AS215" i="43"/>
  <c r="AT215" i="43"/>
  <c r="AU215" i="43"/>
  <c r="AV215" i="43"/>
  <c r="AW215" i="43"/>
  <c r="AX215" i="43"/>
  <c r="AY215" i="43"/>
  <c r="AZ215" i="43"/>
  <c r="BA215" i="43"/>
  <c r="BB215" i="43"/>
  <c r="BC215" i="43"/>
  <c r="BD215" i="43"/>
  <c r="BF215" i="43"/>
  <c r="BG215" i="43"/>
  <c r="BH215" i="43"/>
  <c r="BI215" i="43"/>
  <c r="J216" i="43"/>
  <c r="K216" i="43"/>
  <c r="N216" i="43"/>
  <c r="AF216" i="43"/>
  <c r="AJ216" i="43"/>
  <c r="AK216" i="43"/>
  <c r="AL216" i="43"/>
  <c r="AM216" i="43"/>
  <c r="AN216" i="43"/>
  <c r="AO216" i="43"/>
  <c r="AP216" i="43"/>
  <c r="AQ216" i="43"/>
  <c r="AS216" i="43"/>
  <c r="AT216" i="43"/>
  <c r="AU216" i="43"/>
  <c r="AV216" i="43"/>
  <c r="AW216" i="43"/>
  <c r="AX216" i="43"/>
  <c r="AY216" i="43"/>
  <c r="AZ216" i="43"/>
  <c r="BA216" i="43"/>
  <c r="BB216" i="43"/>
  <c r="BC216" i="43"/>
  <c r="BD216" i="43"/>
  <c r="BF216" i="43"/>
  <c r="BG216" i="43"/>
  <c r="BH216" i="43"/>
  <c r="BI216" i="43"/>
  <c r="J217" i="43"/>
  <c r="K217" i="43"/>
  <c r="N217" i="43"/>
  <c r="AF217" i="43"/>
  <c r="AJ217" i="43"/>
  <c r="AK217" i="43"/>
  <c r="AL217" i="43"/>
  <c r="AM217" i="43"/>
  <c r="AN217" i="43"/>
  <c r="AO217" i="43"/>
  <c r="AP217" i="43"/>
  <c r="AQ217" i="43"/>
  <c r="AS217" i="43"/>
  <c r="AT217" i="43"/>
  <c r="AU217" i="43"/>
  <c r="AV217" i="43"/>
  <c r="AW217" i="43"/>
  <c r="AX217" i="43"/>
  <c r="AY217" i="43"/>
  <c r="AZ217" i="43"/>
  <c r="BA217" i="43"/>
  <c r="BB217" i="43"/>
  <c r="BC217" i="43"/>
  <c r="BD217" i="43"/>
  <c r="BF217" i="43"/>
  <c r="BG217" i="43"/>
  <c r="BH217" i="43"/>
  <c r="BI217" i="43"/>
  <c r="J218" i="43"/>
  <c r="K218" i="43"/>
  <c r="N218" i="43"/>
  <c r="AF218" i="43"/>
  <c r="AJ218" i="43"/>
  <c r="AK218" i="43"/>
  <c r="AL218" i="43"/>
  <c r="AM218" i="43"/>
  <c r="AN218" i="43"/>
  <c r="AO218" i="43"/>
  <c r="AP218" i="43"/>
  <c r="AQ218" i="43"/>
  <c r="AS218" i="43"/>
  <c r="AT218" i="43"/>
  <c r="AU218" i="43"/>
  <c r="AV218" i="43"/>
  <c r="AW218" i="43"/>
  <c r="AX218" i="43"/>
  <c r="AY218" i="43"/>
  <c r="AZ218" i="43"/>
  <c r="BA218" i="43"/>
  <c r="BB218" i="43"/>
  <c r="BC218" i="43"/>
  <c r="BD218" i="43"/>
  <c r="BF218" i="43"/>
  <c r="BG218" i="43"/>
  <c r="BH218" i="43"/>
  <c r="BI218" i="43"/>
  <c r="J219" i="43"/>
  <c r="K219" i="43"/>
  <c r="N219" i="43"/>
  <c r="AF219" i="43"/>
  <c r="AJ219" i="43"/>
  <c r="AK219" i="43"/>
  <c r="AL219" i="43"/>
  <c r="AM219" i="43"/>
  <c r="AN219" i="43"/>
  <c r="AO219" i="43"/>
  <c r="AP219" i="43"/>
  <c r="AQ219" i="43"/>
  <c r="AS219" i="43"/>
  <c r="AT219" i="43"/>
  <c r="AU219" i="43"/>
  <c r="AV219" i="43"/>
  <c r="AW219" i="43"/>
  <c r="AX219" i="43"/>
  <c r="AY219" i="43"/>
  <c r="AZ219" i="43"/>
  <c r="BA219" i="43"/>
  <c r="BB219" i="43"/>
  <c r="BC219" i="43"/>
  <c r="BD219" i="43"/>
  <c r="BF219" i="43"/>
  <c r="BG219" i="43"/>
  <c r="BH219" i="43"/>
  <c r="BI219" i="43"/>
  <c r="J220" i="43"/>
  <c r="K220" i="43"/>
  <c r="N220" i="43"/>
  <c r="AF220" i="43"/>
  <c r="AJ220" i="43"/>
  <c r="AK220" i="43"/>
  <c r="AL220" i="43"/>
  <c r="AM220" i="43"/>
  <c r="AN220" i="43"/>
  <c r="AO220" i="43"/>
  <c r="AP220" i="43"/>
  <c r="AQ220" i="43"/>
  <c r="AS220" i="43"/>
  <c r="AT220" i="43"/>
  <c r="AU220" i="43"/>
  <c r="AV220" i="43"/>
  <c r="AW220" i="43"/>
  <c r="AX220" i="43"/>
  <c r="AY220" i="43"/>
  <c r="AZ220" i="43"/>
  <c r="BA220" i="43"/>
  <c r="BB220" i="43"/>
  <c r="BC220" i="43"/>
  <c r="BD220" i="43"/>
  <c r="BF220" i="43"/>
  <c r="BG220" i="43"/>
  <c r="BH220" i="43"/>
  <c r="BI220" i="43"/>
  <c r="J221" i="43"/>
  <c r="K221" i="43"/>
  <c r="N221" i="43"/>
  <c r="AF221" i="43"/>
  <c r="AJ221" i="43"/>
  <c r="AK221" i="43"/>
  <c r="AL221" i="43"/>
  <c r="AM221" i="43"/>
  <c r="AN221" i="43"/>
  <c r="AO221" i="43"/>
  <c r="AP221" i="43"/>
  <c r="AQ221" i="43"/>
  <c r="AS221" i="43"/>
  <c r="AT221" i="43"/>
  <c r="AU221" i="43"/>
  <c r="AV221" i="43"/>
  <c r="AW221" i="43"/>
  <c r="AX221" i="43"/>
  <c r="AY221" i="43"/>
  <c r="AZ221" i="43"/>
  <c r="BA221" i="43"/>
  <c r="BB221" i="43"/>
  <c r="BC221" i="43"/>
  <c r="BD221" i="43"/>
  <c r="BF221" i="43"/>
  <c r="BG221" i="43"/>
  <c r="BH221" i="43"/>
  <c r="BI221" i="43"/>
  <c r="J222" i="43"/>
  <c r="K222" i="43"/>
  <c r="N222" i="43"/>
  <c r="AF222" i="43"/>
  <c r="AJ222" i="43"/>
  <c r="AK222" i="43"/>
  <c r="AL222" i="43"/>
  <c r="AM222" i="43"/>
  <c r="AN222" i="43"/>
  <c r="AO222" i="43"/>
  <c r="AP222" i="43"/>
  <c r="AQ222" i="43"/>
  <c r="AS222" i="43"/>
  <c r="AT222" i="43"/>
  <c r="AU222" i="43"/>
  <c r="AV222" i="43"/>
  <c r="AW222" i="43"/>
  <c r="AX222" i="43"/>
  <c r="AY222" i="43"/>
  <c r="AZ222" i="43"/>
  <c r="BA222" i="43"/>
  <c r="BB222" i="43"/>
  <c r="BC222" i="43"/>
  <c r="BD222" i="43"/>
  <c r="BF222" i="43"/>
  <c r="BG222" i="43"/>
  <c r="BH222" i="43"/>
  <c r="BI222" i="43"/>
  <c r="J223" i="43"/>
  <c r="N223" i="43"/>
  <c r="K223" i="43"/>
  <c r="AF223" i="43"/>
  <c r="AJ223" i="43"/>
  <c r="AK223" i="43"/>
  <c r="AL223" i="43"/>
  <c r="AM223" i="43"/>
  <c r="AN223" i="43"/>
  <c r="AO223" i="43"/>
  <c r="AP223" i="43"/>
  <c r="AQ223" i="43"/>
  <c r="AS223" i="43"/>
  <c r="AT223" i="43"/>
  <c r="AU223" i="43"/>
  <c r="AV223" i="43"/>
  <c r="AW223" i="43"/>
  <c r="AX223" i="43"/>
  <c r="AY223" i="43"/>
  <c r="AZ223" i="43"/>
  <c r="BA223" i="43"/>
  <c r="BB223" i="43"/>
  <c r="BC223" i="43"/>
  <c r="BD223" i="43"/>
  <c r="BF223" i="43"/>
  <c r="BG223" i="43"/>
  <c r="BH223" i="43"/>
  <c r="BI223" i="43"/>
  <c r="J224" i="43"/>
  <c r="K224" i="43"/>
  <c r="N224" i="43"/>
  <c r="AF224" i="43"/>
  <c r="AJ224" i="43"/>
  <c r="AK224" i="43"/>
  <c r="AL224" i="43"/>
  <c r="AM224" i="43"/>
  <c r="AN224" i="43"/>
  <c r="AO224" i="43"/>
  <c r="AP224" i="43"/>
  <c r="AQ224" i="43"/>
  <c r="AS224" i="43"/>
  <c r="AT224" i="43"/>
  <c r="AU224" i="43"/>
  <c r="AV224" i="43"/>
  <c r="AW224" i="43"/>
  <c r="AX224" i="43"/>
  <c r="AY224" i="43"/>
  <c r="AZ224" i="43"/>
  <c r="BA224" i="43"/>
  <c r="BB224" i="43"/>
  <c r="BC224" i="43"/>
  <c r="BD224" i="43"/>
  <c r="BF224" i="43"/>
  <c r="BG224" i="43"/>
  <c r="BH224" i="43"/>
  <c r="BI224" i="43"/>
  <c r="J225" i="43"/>
  <c r="K225" i="43"/>
  <c r="N225" i="43"/>
  <c r="AF225" i="43"/>
  <c r="AJ225" i="43"/>
  <c r="AK225" i="43"/>
  <c r="AL225" i="43"/>
  <c r="AM225" i="43"/>
  <c r="AN225" i="43"/>
  <c r="AO225" i="43"/>
  <c r="AP225" i="43"/>
  <c r="AQ225" i="43"/>
  <c r="AS225" i="43"/>
  <c r="AT225" i="43"/>
  <c r="AU225" i="43"/>
  <c r="AV225" i="43"/>
  <c r="AW225" i="43"/>
  <c r="AX225" i="43"/>
  <c r="AY225" i="43"/>
  <c r="AZ225" i="43"/>
  <c r="BA225" i="43"/>
  <c r="BB225" i="43"/>
  <c r="BC225" i="43"/>
  <c r="BD225" i="43"/>
  <c r="BF225" i="43"/>
  <c r="BG225" i="43"/>
  <c r="BH225" i="43"/>
  <c r="BI225" i="43"/>
  <c r="J226" i="43"/>
  <c r="K226" i="43"/>
  <c r="N226" i="43"/>
  <c r="AF226" i="43"/>
  <c r="AJ226" i="43"/>
  <c r="AK226" i="43"/>
  <c r="AL226" i="43"/>
  <c r="AM226" i="43"/>
  <c r="AN226" i="43"/>
  <c r="AO226" i="43"/>
  <c r="AP226" i="43"/>
  <c r="AQ226" i="43"/>
  <c r="AS226" i="43"/>
  <c r="AT226" i="43"/>
  <c r="AU226" i="43"/>
  <c r="AV226" i="43"/>
  <c r="AW226" i="43"/>
  <c r="AX226" i="43"/>
  <c r="AY226" i="43"/>
  <c r="AZ226" i="43"/>
  <c r="BA226" i="43"/>
  <c r="BB226" i="43"/>
  <c r="BC226" i="43"/>
  <c r="BD226" i="43"/>
  <c r="BF226" i="43"/>
  <c r="BG226" i="43"/>
  <c r="BH226" i="43"/>
  <c r="BI226" i="43"/>
  <c r="J227" i="43"/>
  <c r="K227" i="43"/>
  <c r="N227" i="43"/>
  <c r="AF227" i="43"/>
  <c r="AJ227" i="43"/>
  <c r="AK227" i="43"/>
  <c r="AL227" i="43"/>
  <c r="AM227" i="43"/>
  <c r="AN227" i="43"/>
  <c r="AO227" i="43"/>
  <c r="AP227" i="43"/>
  <c r="AQ227" i="43"/>
  <c r="AR227" i="43"/>
  <c r="AT227" i="43"/>
  <c r="AU227" i="43"/>
  <c r="AV227" i="43"/>
  <c r="AW227" i="43"/>
  <c r="AX227" i="43"/>
  <c r="AY227" i="43"/>
  <c r="AZ227" i="43"/>
  <c r="BA227" i="43"/>
  <c r="BB227" i="43"/>
  <c r="BC227" i="43"/>
  <c r="BD227" i="43"/>
  <c r="BE227" i="43"/>
  <c r="BG227" i="43"/>
  <c r="BH227" i="43"/>
  <c r="BI227" i="43"/>
  <c r="J228" i="43"/>
  <c r="K228" i="43"/>
  <c r="N228" i="43"/>
  <c r="AF228" i="43"/>
  <c r="AJ228" i="43"/>
  <c r="AK228" i="43"/>
  <c r="AL228" i="43"/>
  <c r="AM228" i="43"/>
  <c r="AN228" i="43"/>
  <c r="AO228" i="43"/>
  <c r="AP228" i="43"/>
  <c r="AQ228" i="43"/>
  <c r="AR228" i="43"/>
  <c r="AT228" i="43"/>
  <c r="AU228" i="43"/>
  <c r="AV228" i="43"/>
  <c r="AW228" i="43"/>
  <c r="AX228" i="43"/>
  <c r="AY228" i="43"/>
  <c r="AZ228" i="43"/>
  <c r="BA228" i="43"/>
  <c r="BB228" i="43"/>
  <c r="BC228" i="43"/>
  <c r="BD228" i="43"/>
  <c r="BE228" i="43"/>
  <c r="BG228" i="43"/>
  <c r="BH228" i="43"/>
  <c r="BI228" i="43"/>
  <c r="J229" i="43"/>
  <c r="N229" i="43"/>
  <c r="K229" i="43"/>
  <c r="AF229" i="43"/>
  <c r="AJ229" i="43"/>
  <c r="AK229" i="43"/>
  <c r="AL229" i="43"/>
  <c r="AM229" i="43"/>
  <c r="AN229" i="43"/>
  <c r="AO229" i="43"/>
  <c r="AP229" i="43"/>
  <c r="AQ229" i="43"/>
  <c r="AR229" i="43"/>
  <c r="AT229" i="43"/>
  <c r="AU229" i="43"/>
  <c r="AV229" i="43"/>
  <c r="AW229" i="43"/>
  <c r="AX229" i="43"/>
  <c r="AY229" i="43"/>
  <c r="AZ229" i="43"/>
  <c r="BA229" i="43"/>
  <c r="BB229" i="43"/>
  <c r="BC229" i="43"/>
  <c r="BD229" i="43"/>
  <c r="BE229" i="43"/>
  <c r="BG229" i="43"/>
  <c r="BH229" i="43"/>
  <c r="BI229" i="43"/>
  <c r="J230" i="43"/>
  <c r="K230" i="43"/>
  <c r="N230" i="43"/>
  <c r="AF230" i="43"/>
  <c r="AJ230" i="43"/>
  <c r="AK230" i="43"/>
  <c r="AL230" i="43"/>
  <c r="AM230" i="43"/>
  <c r="AN230" i="43"/>
  <c r="AO230" i="43"/>
  <c r="AP230" i="43"/>
  <c r="AQ230" i="43"/>
  <c r="AR230" i="43"/>
  <c r="AT230" i="43"/>
  <c r="AU230" i="43"/>
  <c r="AV230" i="43"/>
  <c r="AW230" i="43"/>
  <c r="AX230" i="43"/>
  <c r="AY230" i="43"/>
  <c r="AZ230" i="43"/>
  <c r="BA230" i="43"/>
  <c r="BB230" i="43"/>
  <c r="BC230" i="43"/>
  <c r="BD230" i="43"/>
  <c r="BE230" i="43"/>
  <c r="BG230" i="43"/>
  <c r="BH230" i="43"/>
  <c r="BI230" i="43"/>
  <c r="J231" i="43"/>
  <c r="K231" i="43"/>
  <c r="N231" i="43"/>
  <c r="AF231" i="43"/>
  <c r="AJ231" i="43"/>
  <c r="AK231" i="43"/>
  <c r="AL231" i="43"/>
  <c r="AM231" i="43"/>
  <c r="AN231" i="43"/>
  <c r="AO231" i="43"/>
  <c r="AP231" i="43"/>
  <c r="AQ231" i="43"/>
  <c r="AR231" i="43"/>
  <c r="AT231" i="43"/>
  <c r="AU231" i="43"/>
  <c r="AV231" i="43"/>
  <c r="AW231" i="43"/>
  <c r="AX231" i="43"/>
  <c r="AY231" i="43"/>
  <c r="AZ231" i="43"/>
  <c r="BA231" i="43"/>
  <c r="BB231" i="43"/>
  <c r="BC231" i="43"/>
  <c r="BD231" i="43"/>
  <c r="BE231" i="43"/>
  <c r="BG231" i="43"/>
  <c r="BH231" i="43"/>
  <c r="BI231" i="43"/>
  <c r="J232" i="43"/>
  <c r="K232" i="43"/>
  <c r="N232" i="43"/>
  <c r="AF232" i="43"/>
  <c r="AJ232" i="43"/>
  <c r="AK232" i="43"/>
  <c r="AL232" i="43"/>
  <c r="AM232" i="43"/>
  <c r="AN232" i="43"/>
  <c r="AO232" i="43"/>
  <c r="AP232" i="43"/>
  <c r="AQ232" i="43"/>
  <c r="AR232" i="43"/>
  <c r="AT232" i="43"/>
  <c r="AU232" i="43"/>
  <c r="AV232" i="43"/>
  <c r="AW232" i="43"/>
  <c r="AX232" i="43"/>
  <c r="AY232" i="43"/>
  <c r="AZ232" i="43"/>
  <c r="BA232" i="43"/>
  <c r="BB232" i="43"/>
  <c r="BC232" i="43"/>
  <c r="BD232" i="43"/>
  <c r="BE232" i="43"/>
  <c r="BG232" i="43"/>
  <c r="BH232" i="43"/>
  <c r="BI232" i="43"/>
  <c r="J233" i="43"/>
  <c r="K233" i="43"/>
  <c r="N233" i="43"/>
  <c r="AF233" i="43"/>
  <c r="AJ233" i="43"/>
  <c r="AK233" i="43"/>
  <c r="AL233" i="43"/>
  <c r="AM233" i="43"/>
  <c r="AN233" i="43"/>
  <c r="AO233" i="43"/>
  <c r="AP233" i="43"/>
  <c r="AQ233" i="43"/>
  <c r="AR233" i="43"/>
  <c r="AT233" i="43"/>
  <c r="AU233" i="43"/>
  <c r="AV233" i="43"/>
  <c r="AW233" i="43"/>
  <c r="AX233" i="43"/>
  <c r="AY233" i="43"/>
  <c r="AZ233" i="43"/>
  <c r="BA233" i="43"/>
  <c r="BB233" i="43"/>
  <c r="BC233" i="43"/>
  <c r="BD233" i="43"/>
  <c r="BE233" i="43"/>
  <c r="BG233" i="43"/>
  <c r="BH233" i="43"/>
  <c r="BI233" i="43"/>
  <c r="J234" i="43"/>
  <c r="K234" i="43"/>
  <c r="N234" i="43"/>
  <c r="AF234" i="43"/>
  <c r="AJ234" i="43"/>
  <c r="AK234" i="43"/>
  <c r="AL234" i="43"/>
  <c r="AM234" i="43"/>
  <c r="AN234" i="43"/>
  <c r="AO234" i="43"/>
  <c r="AP234" i="43"/>
  <c r="AQ234" i="43"/>
  <c r="AR234" i="43"/>
  <c r="AT234" i="43"/>
  <c r="AU234" i="43"/>
  <c r="AV234" i="43"/>
  <c r="AW234" i="43"/>
  <c r="AX234" i="43"/>
  <c r="AY234" i="43"/>
  <c r="AZ234" i="43"/>
  <c r="BA234" i="43"/>
  <c r="BB234" i="43"/>
  <c r="BC234" i="43"/>
  <c r="BD234" i="43"/>
  <c r="BE234" i="43"/>
  <c r="BG234" i="43"/>
  <c r="BH234" i="43"/>
  <c r="BI234" i="43"/>
  <c r="J235" i="43"/>
  <c r="K235" i="43"/>
  <c r="N235" i="43"/>
  <c r="AF235" i="43"/>
  <c r="AJ235" i="43"/>
  <c r="AK235" i="43"/>
  <c r="AL235" i="43"/>
  <c r="AM235" i="43"/>
  <c r="AN235" i="43"/>
  <c r="AO235" i="43"/>
  <c r="AP235" i="43"/>
  <c r="AQ235" i="43"/>
  <c r="AR235" i="43"/>
  <c r="AT235" i="43"/>
  <c r="AU235" i="43"/>
  <c r="AV235" i="43"/>
  <c r="AW235" i="43"/>
  <c r="AX235" i="43"/>
  <c r="AY235" i="43"/>
  <c r="AZ235" i="43"/>
  <c r="BA235" i="43"/>
  <c r="BB235" i="43"/>
  <c r="BC235" i="43"/>
  <c r="BD235" i="43"/>
  <c r="BE235" i="43"/>
  <c r="BG235" i="43"/>
  <c r="BH235" i="43"/>
  <c r="BI235" i="43"/>
  <c r="J236" i="43"/>
  <c r="K236" i="43"/>
  <c r="N236" i="43"/>
  <c r="AF236" i="43"/>
  <c r="AJ236" i="43"/>
  <c r="AK236" i="43"/>
  <c r="AL236" i="43"/>
  <c r="AM236" i="43"/>
  <c r="AN236" i="43"/>
  <c r="AO236" i="43"/>
  <c r="AP236" i="43"/>
  <c r="AQ236" i="43"/>
  <c r="AR236" i="43"/>
  <c r="AT236" i="43"/>
  <c r="AU236" i="43"/>
  <c r="AV236" i="43"/>
  <c r="AW236" i="43"/>
  <c r="AX236" i="43"/>
  <c r="AY236" i="43"/>
  <c r="AZ236" i="43"/>
  <c r="BA236" i="43"/>
  <c r="BB236" i="43"/>
  <c r="BC236" i="43"/>
  <c r="BD236" i="43"/>
  <c r="BE236" i="43"/>
  <c r="BG236" i="43"/>
  <c r="BH236" i="43"/>
  <c r="BI236" i="43"/>
  <c r="J237" i="43"/>
  <c r="K237" i="43"/>
  <c r="N237" i="43"/>
  <c r="AF237" i="43"/>
  <c r="AJ237" i="43"/>
  <c r="AK237" i="43"/>
  <c r="AL237" i="43"/>
  <c r="AM237" i="43"/>
  <c r="AN237" i="43"/>
  <c r="AO237" i="43"/>
  <c r="AP237" i="43"/>
  <c r="AQ237" i="43"/>
  <c r="AR237" i="43"/>
  <c r="AT237" i="43"/>
  <c r="AU237" i="43"/>
  <c r="AV237" i="43"/>
  <c r="AW237" i="43"/>
  <c r="AX237" i="43"/>
  <c r="AY237" i="43"/>
  <c r="AZ237" i="43"/>
  <c r="BA237" i="43"/>
  <c r="BB237" i="43"/>
  <c r="BC237" i="43"/>
  <c r="BD237" i="43"/>
  <c r="BE237" i="43"/>
  <c r="BG237" i="43"/>
  <c r="BH237" i="43"/>
  <c r="BI237" i="43"/>
  <c r="J238" i="43"/>
  <c r="K238" i="43"/>
  <c r="N238" i="43"/>
  <c r="AF238" i="43"/>
  <c r="AJ238" i="43"/>
  <c r="AK238" i="43"/>
  <c r="AL238" i="43"/>
  <c r="AM238" i="43"/>
  <c r="AN238" i="43"/>
  <c r="AO238" i="43"/>
  <c r="AP238" i="43"/>
  <c r="AQ238" i="43"/>
  <c r="AR238" i="43"/>
  <c r="AT238" i="43"/>
  <c r="AU238" i="43"/>
  <c r="AV238" i="43"/>
  <c r="AW238" i="43"/>
  <c r="AX238" i="43"/>
  <c r="AY238" i="43"/>
  <c r="AZ238" i="43"/>
  <c r="BA238" i="43"/>
  <c r="BB238" i="43"/>
  <c r="BC238" i="43"/>
  <c r="BD238" i="43"/>
  <c r="BE238" i="43"/>
  <c r="BG238" i="43"/>
  <c r="BH238" i="43"/>
  <c r="BI238" i="43"/>
  <c r="J239" i="43"/>
  <c r="K239" i="43"/>
  <c r="N239" i="43"/>
  <c r="AF239" i="43"/>
  <c r="AJ239" i="43"/>
  <c r="AK239" i="43"/>
  <c r="AL239" i="43"/>
  <c r="AM239" i="43"/>
  <c r="AN239" i="43"/>
  <c r="AO239" i="43"/>
  <c r="AP239" i="43"/>
  <c r="AQ239" i="43"/>
  <c r="AR239" i="43"/>
  <c r="AT239" i="43"/>
  <c r="AU239" i="43"/>
  <c r="AV239" i="43"/>
  <c r="AW239" i="43"/>
  <c r="AX239" i="43"/>
  <c r="AY239" i="43"/>
  <c r="AZ239" i="43"/>
  <c r="BA239" i="43"/>
  <c r="BB239" i="43"/>
  <c r="BC239" i="43"/>
  <c r="BD239" i="43"/>
  <c r="BE239" i="43"/>
  <c r="BG239" i="43"/>
  <c r="BH239" i="43"/>
  <c r="BI239" i="43"/>
  <c r="J240" i="43"/>
  <c r="K240" i="43"/>
  <c r="N240" i="43"/>
  <c r="AF240" i="43"/>
  <c r="AJ240" i="43"/>
  <c r="AK240" i="43"/>
  <c r="AL240" i="43"/>
  <c r="AM240" i="43"/>
  <c r="AN240" i="43"/>
  <c r="AO240" i="43"/>
  <c r="AP240" i="43"/>
  <c r="AQ240" i="43"/>
  <c r="AR240" i="43"/>
  <c r="AT240" i="43"/>
  <c r="AU240" i="43"/>
  <c r="AV240" i="43"/>
  <c r="AW240" i="43"/>
  <c r="AX240" i="43"/>
  <c r="AY240" i="43"/>
  <c r="AZ240" i="43"/>
  <c r="BA240" i="43"/>
  <c r="BB240" i="43"/>
  <c r="BC240" i="43"/>
  <c r="BD240" i="43"/>
  <c r="BE240" i="43"/>
  <c r="BG240" i="43"/>
  <c r="BH240" i="43"/>
  <c r="BI240" i="43"/>
  <c r="J241" i="43"/>
  <c r="K241" i="43"/>
  <c r="N241" i="43"/>
  <c r="AF241" i="43"/>
  <c r="AJ241" i="43"/>
  <c r="AK241" i="43"/>
  <c r="AL241" i="43"/>
  <c r="AM241" i="43"/>
  <c r="AN241" i="43"/>
  <c r="AO241" i="43"/>
  <c r="AP241" i="43"/>
  <c r="AQ241" i="43"/>
  <c r="AR241" i="43"/>
  <c r="AT241" i="43"/>
  <c r="AU241" i="43"/>
  <c r="AV241" i="43"/>
  <c r="AW241" i="43"/>
  <c r="AX241" i="43"/>
  <c r="AY241" i="43"/>
  <c r="AZ241" i="43"/>
  <c r="BA241" i="43"/>
  <c r="BB241" i="43"/>
  <c r="BC241" i="43"/>
  <c r="BD241" i="43"/>
  <c r="BE241" i="43"/>
  <c r="BG241" i="43"/>
  <c r="BH241" i="43"/>
  <c r="BI241" i="43"/>
  <c r="J242" i="43"/>
  <c r="K242" i="43"/>
  <c r="N242" i="43"/>
  <c r="AF242" i="43"/>
  <c r="AJ242" i="43"/>
  <c r="AK242" i="43"/>
  <c r="AL242" i="43"/>
  <c r="AM242" i="43"/>
  <c r="AN242" i="43"/>
  <c r="AO242" i="43"/>
  <c r="AP242" i="43"/>
  <c r="AQ242" i="43"/>
  <c r="AR242" i="43"/>
  <c r="AT242" i="43"/>
  <c r="AU242" i="43"/>
  <c r="AV242" i="43"/>
  <c r="AW242" i="43"/>
  <c r="AX242" i="43"/>
  <c r="AY242" i="43"/>
  <c r="AZ242" i="43"/>
  <c r="BA242" i="43"/>
  <c r="BB242" i="43"/>
  <c r="BC242" i="43"/>
  <c r="BD242" i="43"/>
  <c r="BE242" i="43"/>
  <c r="BG242" i="43"/>
  <c r="BH242" i="43"/>
  <c r="BI242" i="43"/>
  <c r="J243" i="43"/>
  <c r="K243" i="43"/>
  <c r="N243" i="43"/>
  <c r="AF243" i="43"/>
  <c r="AJ243" i="43"/>
  <c r="AK243" i="43"/>
  <c r="AL243" i="43"/>
  <c r="AM243" i="43"/>
  <c r="AN243" i="43"/>
  <c r="AO243" i="43"/>
  <c r="AP243" i="43"/>
  <c r="AQ243" i="43"/>
  <c r="AR243" i="43"/>
  <c r="AT243" i="43"/>
  <c r="AU243" i="43"/>
  <c r="AV243" i="43"/>
  <c r="AW243" i="43"/>
  <c r="AX243" i="43"/>
  <c r="AY243" i="43"/>
  <c r="AZ243" i="43"/>
  <c r="BA243" i="43"/>
  <c r="BB243" i="43"/>
  <c r="BC243" i="43"/>
  <c r="BD243" i="43"/>
  <c r="BE243" i="43"/>
  <c r="BG243" i="43"/>
  <c r="BH243" i="43"/>
  <c r="BI243" i="43"/>
  <c r="J244" i="43"/>
  <c r="K244" i="43"/>
  <c r="N244" i="43"/>
  <c r="AF244" i="43"/>
  <c r="AJ244" i="43"/>
  <c r="AK244" i="43"/>
  <c r="AL244" i="43"/>
  <c r="AM244" i="43"/>
  <c r="AN244" i="43"/>
  <c r="AO244" i="43"/>
  <c r="AP244" i="43"/>
  <c r="AQ244" i="43"/>
  <c r="AR244" i="43"/>
  <c r="AT244" i="43"/>
  <c r="AU244" i="43"/>
  <c r="AV244" i="43"/>
  <c r="AW244" i="43"/>
  <c r="AX244" i="43"/>
  <c r="AY244" i="43"/>
  <c r="AZ244" i="43"/>
  <c r="BA244" i="43"/>
  <c r="BB244" i="43"/>
  <c r="BC244" i="43"/>
  <c r="BD244" i="43"/>
  <c r="BE244" i="43"/>
  <c r="BG244" i="43"/>
  <c r="BH244" i="43"/>
  <c r="BI244" i="43"/>
  <c r="J245" i="43"/>
  <c r="K245" i="43"/>
  <c r="N245" i="43"/>
  <c r="AF245" i="43"/>
  <c r="AJ245" i="43"/>
  <c r="AK245" i="43"/>
  <c r="AL245" i="43"/>
  <c r="AM245" i="43"/>
  <c r="AN245" i="43"/>
  <c r="AO245" i="43"/>
  <c r="AP245" i="43"/>
  <c r="AQ245" i="43"/>
  <c r="AR245" i="43"/>
  <c r="AT245" i="43"/>
  <c r="AU245" i="43"/>
  <c r="AV245" i="43"/>
  <c r="AW245" i="43"/>
  <c r="AX245" i="43"/>
  <c r="AY245" i="43"/>
  <c r="AZ245" i="43"/>
  <c r="BA245" i="43"/>
  <c r="BB245" i="43"/>
  <c r="BC245" i="43"/>
  <c r="BD245" i="43"/>
  <c r="BE245" i="43"/>
  <c r="BG245" i="43"/>
  <c r="BH245" i="43"/>
  <c r="BI245" i="43"/>
  <c r="J246" i="43"/>
  <c r="K246" i="43"/>
  <c r="N246" i="43"/>
  <c r="AF246" i="43"/>
  <c r="AI246" i="43" s="1"/>
  <c r="AJ246" i="43"/>
  <c r="AK246" i="43"/>
  <c r="AL246" i="43"/>
  <c r="AM246" i="43"/>
  <c r="AN246" i="43"/>
  <c r="AO246" i="43"/>
  <c r="AP246" i="43"/>
  <c r="AQ246" i="43"/>
  <c r="AR246" i="43"/>
  <c r="AT246" i="43"/>
  <c r="AU246" i="43"/>
  <c r="AV246" i="43"/>
  <c r="AW246" i="43"/>
  <c r="AX246" i="43"/>
  <c r="AY246" i="43"/>
  <c r="AZ246" i="43"/>
  <c r="BA246" i="43"/>
  <c r="BB246" i="43"/>
  <c r="BC246" i="43"/>
  <c r="BD246" i="43"/>
  <c r="BE246" i="43"/>
  <c r="BG246" i="43"/>
  <c r="BH246" i="43"/>
  <c r="BI246" i="43"/>
  <c r="J247" i="43"/>
  <c r="K247" i="43"/>
  <c r="N247" i="43"/>
  <c r="AF247" i="43"/>
  <c r="AI247" i="43" s="1"/>
  <c r="AJ247" i="43"/>
  <c r="AK247" i="43"/>
  <c r="AL247" i="43"/>
  <c r="AM247" i="43"/>
  <c r="AN247" i="43"/>
  <c r="AO247" i="43"/>
  <c r="AP247" i="43"/>
  <c r="AQ247" i="43"/>
  <c r="AR247" i="43"/>
  <c r="AT247" i="43"/>
  <c r="AU247" i="43"/>
  <c r="AV247" i="43"/>
  <c r="AW247" i="43"/>
  <c r="AX247" i="43"/>
  <c r="AY247" i="43"/>
  <c r="AZ247" i="43"/>
  <c r="BA247" i="43"/>
  <c r="BB247" i="43"/>
  <c r="BC247" i="43"/>
  <c r="BD247" i="43"/>
  <c r="BE247" i="43"/>
  <c r="BG247" i="43"/>
  <c r="BH247" i="43"/>
  <c r="BI247" i="43"/>
  <c r="J248" i="43"/>
  <c r="K248" i="43"/>
  <c r="N248" i="43"/>
  <c r="AF248" i="43"/>
  <c r="AI248" i="43" s="1"/>
  <c r="AJ248" i="43"/>
  <c r="AK248" i="43"/>
  <c r="AL248" i="43"/>
  <c r="AM248" i="43"/>
  <c r="AN248" i="43"/>
  <c r="AO248" i="43"/>
  <c r="AP248" i="43"/>
  <c r="AQ248" i="43"/>
  <c r="AR248" i="43"/>
  <c r="AT248" i="43"/>
  <c r="AU248" i="43"/>
  <c r="AV248" i="43"/>
  <c r="AW248" i="43"/>
  <c r="AX248" i="43"/>
  <c r="AY248" i="43"/>
  <c r="AZ248" i="43"/>
  <c r="BA248" i="43"/>
  <c r="BB248" i="43"/>
  <c r="BC248" i="43"/>
  <c r="BD248" i="43"/>
  <c r="BE248" i="43"/>
  <c r="BG248" i="43"/>
  <c r="BH248" i="43"/>
  <c r="BI248" i="43"/>
  <c r="J249" i="43"/>
  <c r="N249" i="43"/>
  <c r="K249" i="43"/>
  <c r="AF249" i="43"/>
  <c r="AI249" i="43" s="1"/>
  <c r="AJ249" i="43"/>
  <c r="AK249" i="43"/>
  <c r="AL249" i="43"/>
  <c r="AM249" i="43"/>
  <c r="AN249" i="43"/>
  <c r="AO249" i="43"/>
  <c r="AP249" i="43"/>
  <c r="AQ249" i="43"/>
  <c r="AR249" i="43"/>
  <c r="AT249" i="43"/>
  <c r="AU249" i="43"/>
  <c r="AV249" i="43"/>
  <c r="AW249" i="43"/>
  <c r="AX249" i="43"/>
  <c r="AY249" i="43"/>
  <c r="AZ249" i="43"/>
  <c r="BA249" i="43"/>
  <c r="BB249" i="43"/>
  <c r="BC249" i="43"/>
  <c r="BD249" i="43"/>
  <c r="BE249" i="43"/>
  <c r="BG249" i="43"/>
  <c r="BH249" i="43"/>
  <c r="BI249" i="43"/>
  <c r="J250" i="43"/>
  <c r="K250" i="43"/>
  <c r="N250" i="43"/>
  <c r="AF250" i="43"/>
  <c r="AI250" i="43" s="1"/>
  <c r="AJ250" i="43"/>
  <c r="AK250" i="43"/>
  <c r="AL250" i="43"/>
  <c r="AM250" i="43"/>
  <c r="AN250" i="43"/>
  <c r="AO250" i="43"/>
  <c r="AP250" i="43"/>
  <c r="AQ250" i="43"/>
  <c r="AR250" i="43"/>
  <c r="AT250" i="43"/>
  <c r="AU250" i="43"/>
  <c r="AV250" i="43"/>
  <c r="AW250" i="43"/>
  <c r="AX250" i="43"/>
  <c r="AY250" i="43"/>
  <c r="AZ250" i="43"/>
  <c r="BA250" i="43"/>
  <c r="BB250" i="43"/>
  <c r="BC250" i="43"/>
  <c r="BD250" i="43"/>
  <c r="BE250" i="43"/>
  <c r="BG250" i="43"/>
  <c r="BH250" i="43"/>
  <c r="BI250" i="43"/>
  <c r="J251" i="43"/>
  <c r="K251" i="43"/>
  <c r="N251" i="43"/>
  <c r="AF251" i="43"/>
  <c r="AI251" i="43" s="1"/>
  <c r="AJ251" i="43"/>
  <c r="AK251" i="43"/>
  <c r="AL251" i="43"/>
  <c r="AM251" i="43"/>
  <c r="AN251" i="43"/>
  <c r="AO251" i="43"/>
  <c r="AP251" i="43"/>
  <c r="AQ251" i="43"/>
  <c r="AR251" i="43"/>
  <c r="AT251" i="43"/>
  <c r="AU251" i="43"/>
  <c r="AV251" i="43"/>
  <c r="AW251" i="43"/>
  <c r="AX251" i="43"/>
  <c r="AY251" i="43"/>
  <c r="AZ251" i="43"/>
  <c r="BA251" i="43"/>
  <c r="BB251" i="43"/>
  <c r="BC251" i="43"/>
  <c r="BD251" i="43"/>
  <c r="BE251" i="43"/>
  <c r="BG251" i="43"/>
  <c r="BH251" i="43"/>
  <c r="BI251" i="43"/>
  <c r="J252" i="43"/>
  <c r="K252" i="43"/>
  <c r="N252" i="43"/>
  <c r="AF252" i="43"/>
  <c r="AJ252" i="43"/>
  <c r="AK252" i="43"/>
  <c r="AL252" i="43"/>
  <c r="AM252" i="43"/>
  <c r="AN252" i="43"/>
  <c r="AO252" i="43"/>
  <c r="AP252" i="43"/>
  <c r="AQ252" i="43"/>
  <c r="AR252" i="43"/>
  <c r="AT252" i="43"/>
  <c r="AU252" i="43"/>
  <c r="AV252" i="43"/>
  <c r="AW252" i="43"/>
  <c r="AX252" i="43"/>
  <c r="AY252" i="43"/>
  <c r="AZ252" i="43"/>
  <c r="BA252" i="43"/>
  <c r="BB252" i="43"/>
  <c r="BC252" i="43"/>
  <c r="BD252" i="43"/>
  <c r="BE252" i="43"/>
  <c r="BG252" i="43"/>
  <c r="BH252" i="43"/>
  <c r="BI252" i="43"/>
  <c r="J253" i="43"/>
  <c r="N253" i="43"/>
  <c r="K253" i="43"/>
  <c r="AF253" i="43"/>
  <c r="AI253" i="43" s="1"/>
  <c r="AJ253" i="43"/>
  <c r="AK253" i="43"/>
  <c r="AL253" i="43"/>
  <c r="AM253" i="43"/>
  <c r="AN253" i="43"/>
  <c r="AO253" i="43"/>
  <c r="AP253" i="43"/>
  <c r="AQ253" i="43"/>
  <c r="AR253" i="43"/>
  <c r="AT253" i="43"/>
  <c r="AU253" i="43"/>
  <c r="AV253" i="43"/>
  <c r="AW253" i="43"/>
  <c r="AX253" i="43"/>
  <c r="AY253" i="43"/>
  <c r="AZ253" i="43"/>
  <c r="BA253" i="43"/>
  <c r="BB253" i="43"/>
  <c r="BC253" i="43"/>
  <c r="BD253" i="43"/>
  <c r="BE253" i="43"/>
  <c r="BG253" i="43"/>
  <c r="BH253" i="43"/>
  <c r="BI253" i="43"/>
  <c r="J254" i="43"/>
  <c r="K254" i="43"/>
  <c r="N254" i="43"/>
  <c r="AF254" i="43"/>
  <c r="AI254" i="43" s="1"/>
  <c r="AJ254" i="43"/>
  <c r="AK254" i="43"/>
  <c r="AL254" i="43"/>
  <c r="AM254" i="43"/>
  <c r="AN254" i="43"/>
  <c r="AO254" i="43"/>
  <c r="AP254" i="43"/>
  <c r="AQ254" i="43"/>
  <c r="AR254" i="43"/>
  <c r="AT254" i="43"/>
  <c r="AU254" i="43"/>
  <c r="AV254" i="43"/>
  <c r="AW254" i="43"/>
  <c r="AX254" i="43"/>
  <c r="AY254" i="43"/>
  <c r="AZ254" i="43"/>
  <c r="BA254" i="43"/>
  <c r="BB254" i="43"/>
  <c r="BC254" i="43"/>
  <c r="BD254" i="43"/>
  <c r="BE254" i="43"/>
  <c r="BG254" i="43"/>
  <c r="BH254" i="43"/>
  <c r="BI254" i="43"/>
  <c r="J255" i="43"/>
  <c r="K255" i="43"/>
  <c r="N255" i="43"/>
  <c r="AF255" i="43"/>
  <c r="AJ255" i="43"/>
  <c r="AK255" i="43"/>
  <c r="AL255" i="43"/>
  <c r="AM255" i="43"/>
  <c r="AN255" i="43"/>
  <c r="AO255" i="43"/>
  <c r="AP255" i="43"/>
  <c r="AQ255" i="43"/>
  <c r="AR255" i="43"/>
  <c r="AT255" i="43"/>
  <c r="AU255" i="43"/>
  <c r="AV255" i="43"/>
  <c r="AW255" i="43"/>
  <c r="AX255" i="43"/>
  <c r="AY255" i="43"/>
  <c r="AZ255" i="43"/>
  <c r="BA255" i="43"/>
  <c r="BB255" i="43"/>
  <c r="BC255" i="43"/>
  <c r="BD255" i="43"/>
  <c r="BE255" i="43"/>
  <c r="BG255" i="43"/>
  <c r="BH255" i="43"/>
  <c r="BI255" i="43"/>
  <c r="J256" i="43"/>
  <c r="K256" i="43"/>
  <c r="N256" i="43"/>
  <c r="AF256" i="43"/>
  <c r="AI256" i="43" s="1"/>
  <c r="AJ256" i="43"/>
  <c r="AK256" i="43"/>
  <c r="AL256" i="43"/>
  <c r="AM256" i="43"/>
  <c r="AN256" i="43"/>
  <c r="AO256" i="43"/>
  <c r="AP256" i="43"/>
  <c r="AQ256" i="43"/>
  <c r="AR256" i="43"/>
  <c r="AT256" i="43"/>
  <c r="AU256" i="43"/>
  <c r="AV256" i="43"/>
  <c r="AW256" i="43"/>
  <c r="AX256" i="43"/>
  <c r="AY256" i="43"/>
  <c r="AZ256" i="43"/>
  <c r="BA256" i="43"/>
  <c r="BB256" i="43"/>
  <c r="BC256" i="43"/>
  <c r="BD256" i="43"/>
  <c r="BE256" i="43"/>
  <c r="BG256" i="43"/>
  <c r="BH256" i="43"/>
  <c r="BI256" i="43"/>
  <c r="J257" i="43"/>
  <c r="K257" i="43"/>
  <c r="N257" i="43"/>
  <c r="AF257" i="43"/>
  <c r="AI257" i="43" s="1"/>
  <c r="AJ257" i="43"/>
  <c r="AK257" i="43"/>
  <c r="AL257" i="43"/>
  <c r="AM257" i="43"/>
  <c r="AN257" i="43"/>
  <c r="AO257" i="43"/>
  <c r="AP257" i="43"/>
  <c r="AQ257" i="43"/>
  <c r="AR257" i="43"/>
  <c r="AT257" i="43"/>
  <c r="AU257" i="43"/>
  <c r="AV257" i="43"/>
  <c r="AW257" i="43"/>
  <c r="AX257" i="43"/>
  <c r="AY257" i="43"/>
  <c r="AZ257" i="43"/>
  <c r="BA257" i="43"/>
  <c r="BB257" i="43"/>
  <c r="BC257" i="43"/>
  <c r="BD257" i="43"/>
  <c r="BE257" i="43"/>
  <c r="BG257" i="43"/>
  <c r="BH257" i="43"/>
  <c r="BI257" i="43"/>
  <c r="J258" i="43"/>
  <c r="K258" i="43"/>
  <c r="N258" i="43"/>
  <c r="AF258" i="43"/>
  <c r="AI258" i="43" s="1"/>
  <c r="AJ258" i="43"/>
  <c r="AK258" i="43"/>
  <c r="AL258" i="43"/>
  <c r="AM258" i="43"/>
  <c r="AN258" i="43"/>
  <c r="AO258" i="43"/>
  <c r="AP258" i="43"/>
  <c r="AQ258" i="43"/>
  <c r="AR258" i="43"/>
  <c r="AT258" i="43"/>
  <c r="AU258" i="43"/>
  <c r="AV258" i="43"/>
  <c r="AW258" i="43"/>
  <c r="AX258" i="43"/>
  <c r="AY258" i="43"/>
  <c r="AZ258" i="43"/>
  <c r="BA258" i="43"/>
  <c r="BB258" i="43"/>
  <c r="BC258" i="43"/>
  <c r="BD258" i="43"/>
  <c r="BE258" i="43"/>
  <c r="BG258" i="43"/>
  <c r="BH258" i="43"/>
  <c r="BI258" i="43"/>
  <c r="J259" i="43"/>
  <c r="K259" i="43"/>
  <c r="N259" i="43"/>
  <c r="AF259" i="43"/>
  <c r="AI259" i="43" s="1"/>
  <c r="AJ259" i="43"/>
  <c r="AK259" i="43"/>
  <c r="AL259" i="43"/>
  <c r="AM259" i="43"/>
  <c r="AN259" i="43"/>
  <c r="AO259" i="43"/>
  <c r="AP259" i="43"/>
  <c r="AQ259" i="43"/>
  <c r="AR259" i="43"/>
  <c r="AT259" i="43"/>
  <c r="AU259" i="43"/>
  <c r="AV259" i="43"/>
  <c r="AW259" i="43"/>
  <c r="AX259" i="43"/>
  <c r="AY259" i="43"/>
  <c r="AZ259" i="43"/>
  <c r="BA259" i="43"/>
  <c r="BB259" i="43"/>
  <c r="BC259" i="43"/>
  <c r="BD259" i="43"/>
  <c r="BE259" i="43"/>
  <c r="BG259" i="43"/>
  <c r="BH259" i="43"/>
  <c r="BI259" i="43"/>
  <c r="J260" i="43"/>
  <c r="K260" i="43"/>
  <c r="N260" i="43"/>
  <c r="AF260" i="43"/>
  <c r="AI260" i="43" s="1"/>
  <c r="AJ260" i="43"/>
  <c r="AK260" i="43"/>
  <c r="AL260" i="43"/>
  <c r="AM260" i="43"/>
  <c r="AN260" i="43"/>
  <c r="AO260" i="43"/>
  <c r="AP260" i="43"/>
  <c r="AQ260" i="43"/>
  <c r="AR260" i="43"/>
  <c r="AT260" i="43"/>
  <c r="AU260" i="43"/>
  <c r="AV260" i="43"/>
  <c r="AW260" i="43"/>
  <c r="AX260" i="43"/>
  <c r="AY260" i="43"/>
  <c r="AZ260" i="43"/>
  <c r="BA260" i="43"/>
  <c r="BB260" i="43"/>
  <c r="BC260" i="43"/>
  <c r="BD260" i="43"/>
  <c r="BE260" i="43"/>
  <c r="BG260" i="43"/>
  <c r="BH260" i="43"/>
  <c r="BI260" i="43"/>
  <c r="J261" i="43"/>
  <c r="K261" i="43"/>
  <c r="N261" i="43"/>
  <c r="AF261" i="43"/>
  <c r="AI261" i="43" s="1"/>
  <c r="AJ261" i="43"/>
  <c r="AK261" i="43"/>
  <c r="AL261" i="43"/>
  <c r="AM261" i="43"/>
  <c r="AN261" i="43"/>
  <c r="AO261" i="43"/>
  <c r="AP261" i="43"/>
  <c r="AQ261" i="43"/>
  <c r="AR261" i="43"/>
  <c r="AT261" i="43"/>
  <c r="AU261" i="43"/>
  <c r="AV261" i="43"/>
  <c r="AW261" i="43"/>
  <c r="AX261" i="43"/>
  <c r="AY261" i="43"/>
  <c r="AZ261" i="43"/>
  <c r="BA261" i="43"/>
  <c r="BB261" i="43"/>
  <c r="BC261" i="43"/>
  <c r="BD261" i="43"/>
  <c r="BE261" i="43"/>
  <c r="BG261" i="43"/>
  <c r="BH261" i="43"/>
  <c r="BI261" i="43"/>
  <c r="J262" i="43"/>
  <c r="K262" i="43"/>
  <c r="N262" i="43"/>
  <c r="AF262" i="43"/>
  <c r="AI262" i="43" s="1"/>
  <c r="AJ262" i="43"/>
  <c r="AK262" i="43"/>
  <c r="AL262" i="43"/>
  <c r="AM262" i="43"/>
  <c r="AN262" i="43"/>
  <c r="AO262" i="43"/>
  <c r="AP262" i="43"/>
  <c r="AQ262" i="43"/>
  <c r="AR262" i="43"/>
  <c r="AT262" i="43"/>
  <c r="AU262" i="43"/>
  <c r="AV262" i="43"/>
  <c r="AW262" i="43"/>
  <c r="AX262" i="43"/>
  <c r="AY262" i="43"/>
  <c r="AZ262" i="43"/>
  <c r="BA262" i="43"/>
  <c r="BB262" i="43"/>
  <c r="BC262" i="43"/>
  <c r="BD262" i="43"/>
  <c r="BE262" i="43"/>
  <c r="BG262" i="43"/>
  <c r="BH262" i="43"/>
  <c r="BI262" i="43"/>
  <c r="J263" i="43"/>
  <c r="K263" i="43"/>
  <c r="N263" i="43"/>
  <c r="AF263" i="43"/>
  <c r="AI263" i="43" s="1"/>
  <c r="AJ263" i="43"/>
  <c r="AK263" i="43"/>
  <c r="AL263" i="43"/>
  <c r="AM263" i="43"/>
  <c r="AN263" i="43"/>
  <c r="AO263" i="43"/>
  <c r="AP263" i="43"/>
  <c r="AQ263" i="43"/>
  <c r="AR263" i="43"/>
  <c r="AT263" i="43"/>
  <c r="AU263" i="43"/>
  <c r="AV263" i="43"/>
  <c r="AW263" i="43"/>
  <c r="AX263" i="43"/>
  <c r="AY263" i="43"/>
  <c r="AZ263" i="43"/>
  <c r="BA263" i="43"/>
  <c r="BB263" i="43"/>
  <c r="BC263" i="43"/>
  <c r="BD263" i="43"/>
  <c r="BE263" i="43"/>
  <c r="BG263" i="43"/>
  <c r="BH263" i="43"/>
  <c r="BI263" i="43"/>
  <c r="J264" i="43"/>
  <c r="K264" i="43"/>
  <c r="N264" i="43"/>
  <c r="AF264" i="43"/>
  <c r="AI264" i="43" s="1"/>
  <c r="AJ264" i="43"/>
  <c r="AK264" i="43"/>
  <c r="AL264" i="43"/>
  <c r="AM264" i="43"/>
  <c r="AN264" i="43"/>
  <c r="AO264" i="43"/>
  <c r="AP264" i="43"/>
  <c r="AQ264" i="43"/>
  <c r="AR264" i="43"/>
  <c r="AT264" i="43"/>
  <c r="AU264" i="43"/>
  <c r="AV264" i="43"/>
  <c r="AW264" i="43"/>
  <c r="AX264" i="43"/>
  <c r="AY264" i="43"/>
  <c r="AZ264" i="43"/>
  <c r="BA264" i="43"/>
  <c r="BB264" i="43"/>
  <c r="BC264" i="43"/>
  <c r="BD264" i="43"/>
  <c r="BE264" i="43"/>
  <c r="BG264" i="43"/>
  <c r="BH264" i="43"/>
  <c r="BI264" i="43"/>
  <c r="J265" i="43"/>
  <c r="K265" i="43"/>
  <c r="N265" i="43"/>
  <c r="AF265" i="43"/>
  <c r="AI265" i="43" s="1"/>
  <c r="AJ265" i="43"/>
  <c r="AK265" i="43"/>
  <c r="AL265" i="43"/>
  <c r="AM265" i="43"/>
  <c r="AN265" i="43"/>
  <c r="AO265" i="43"/>
  <c r="AP265" i="43"/>
  <c r="AQ265" i="43"/>
  <c r="AR265" i="43"/>
  <c r="AT265" i="43"/>
  <c r="AU265" i="43"/>
  <c r="AV265" i="43"/>
  <c r="AW265" i="43"/>
  <c r="AX265" i="43"/>
  <c r="AY265" i="43"/>
  <c r="AZ265" i="43"/>
  <c r="BA265" i="43"/>
  <c r="BB265" i="43"/>
  <c r="BC265" i="43"/>
  <c r="BD265" i="43"/>
  <c r="BE265" i="43"/>
  <c r="BG265" i="43"/>
  <c r="BH265" i="43"/>
  <c r="BI265" i="43"/>
  <c r="J266" i="43"/>
  <c r="K266" i="43"/>
  <c r="N266" i="43"/>
  <c r="AF266" i="43"/>
  <c r="AI266" i="43" s="1"/>
  <c r="AJ266" i="43"/>
  <c r="AK266" i="43"/>
  <c r="AL266" i="43"/>
  <c r="AM266" i="43"/>
  <c r="AN266" i="43"/>
  <c r="AO266" i="43"/>
  <c r="AP266" i="43"/>
  <c r="AQ266" i="43"/>
  <c r="AR266" i="43"/>
  <c r="AT266" i="43"/>
  <c r="AU266" i="43"/>
  <c r="AV266" i="43"/>
  <c r="AW266" i="43"/>
  <c r="AX266" i="43"/>
  <c r="AY266" i="43"/>
  <c r="AZ266" i="43"/>
  <c r="BA266" i="43"/>
  <c r="BB266" i="43"/>
  <c r="BC266" i="43"/>
  <c r="BD266" i="43"/>
  <c r="BE266" i="43"/>
  <c r="BG266" i="43"/>
  <c r="BH266" i="43"/>
  <c r="BI266" i="43"/>
  <c r="J267" i="43"/>
  <c r="K267" i="43"/>
  <c r="N267" i="43"/>
  <c r="AF267" i="43"/>
  <c r="AI267" i="43" s="1"/>
  <c r="AJ267" i="43"/>
  <c r="AK267" i="43"/>
  <c r="AL267" i="43"/>
  <c r="AM267" i="43"/>
  <c r="AN267" i="43"/>
  <c r="AO267" i="43"/>
  <c r="AP267" i="43"/>
  <c r="AQ267" i="43"/>
  <c r="AR267" i="43"/>
  <c r="AT267" i="43"/>
  <c r="AU267" i="43"/>
  <c r="AV267" i="43"/>
  <c r="AW267" i="43"/>
  <c r="AX267" i="43"/>
  <c r="AY267" i="43"/>
  <c r="AZ267" i="43"/>
  <c r="BA267" i="43"/>
  <c r="BB267" i="43"/>
  <c r="BC267" i="43"/>
  <c r="BD267" i="43"/>
  <c r="BE267" i="43"/>
  <c r="BG267" i="43"/>
  <c r="BH267" i="43"/>
  <c r="BI267" i="43"/>
  <c r="J268" i="43"/>
  <c r="K268" i="43"/>
  <c r="N268" i="43"/>
  <c r="AF268" i="43"/>
  <c r="AJ268" i="43"/>
  <c r="AK268" i="43"/>
  <c r="AL268" i="43"/>
  <c r="AM268" i="43"/>
  <c r="AN268" i="43"/>
  <c r="AO268" i="43"/>
  <c r="AP268" i="43"/>
  <c r="AQ268" i="43"/>
  <c r="AR268" i="43"/>
  <c r="AT268" i="43"/>
  <c r="AU268" i="43"/>
  <c r="AV268" i="43"/>
  <c r="AW268" i="43"/>
  <c r="AX268" i="43"/>
  <c r="AY268" i="43"/>
  <c r="AZ268" i="43"/>
  <c r="BA268" i="43"/>
  <c r="BB268" i="43"/>
  <c r="BC268" i="43"/>
  <c r="BD268" i="43"/>
  <c r="BE268" i="43"/>
  <c r="BG268" i="43"/>
  <c r="BH268" i="43"/>
  <c r="BI268" i="43"/>
  <c r="J269" i="43"/>
  <c r="K269" i="43"/>
  <c r="N269" i="43"/>
  <c r="AF269" i="43"/>
  <c r="AI269" i="43" s="1"/>
  <c r="AJ269" i="43"/>
  <c r="AK269" i="43"/>
  <c r="AL269" i="43"/>
  <c r="AM269" i="43"/>
  <c r="AN269" i="43"/>
  <c r="AO269" i="43"/>
  <c r="AP269" i="43"/>
  <c r="AQ269" i="43"/>
  <c r="AR269" i="43"/>
  <c r="AT269" i="43"/>
  <c r="AU269" i="43"/>
  <c r="AV269" i="43"/>
  <c r="AW269" i="43"/>
  <c r="AX269" i="43"/>
  <c r="AY269" i="43"/>
  <c r="AZ269" i="43"/>
  <c r="BA269" i="43"/>
  <c r="BB269" i="43"/>
  <c r="BC269" i="43"/>
  <c r="BD269" i="43"/>
  <c r="BE269" i="43"/>
  <c r="BG269" i="43"/>
  <c r="BH269" i="43"/>
  <c r="BI269" i="43"/>
  <c r="J270" i="43"/>
  <c r="K270" i="43"/>
  <c r="N270" i="43"/>
  <c r="AF270" i="43"/>
  <c r="AI270" i="43" s="1"/>
  <c r="AJ270" i="43"/>
  <c r="AK270" i="43"/>
  <c r="AL270" i="43"/>
  <c r="AM270" i="43"/>
  <c r="AN270" i="43"/>
  <c r="AO270" i="43"/>
  <c r="AP270" i="43"/>
  <c r="AQ270" i="43"/>
  <c r="AR270" i="43"/>
  <c r="AT270" i="43"/>
  <c r="AU270" i="43"/>
  <c r="AV270" i="43"/>
  <c r="AW270" i="43"/>
  <c r="AX270" i="43"/>
  <c r="AY270" i="43"/>
  <c r="AZ270" i="43"/>
  <c r="BA270" i="43"/>
  <c r="BB270" i="43"/>
  <c r="BC270" i="43"/>
  <c r="BD270" i="43"/>
  <c r="BE270" i="43"/>
  <c r="BG270" i="43"/>
  <c r="BH270" i="43"/>
  <c r="BI270" i="43"/>
  <c r="J271" i="43"/>
  <c r="K271" i="43"/>
  <c r="N271" i="43"/>
  <c r="AF271" i="43"/>
  <c r="AI271" i="43" s="1"/>
  <c r="AJ271" i="43"/>
  <c r="AK271" i="43"/>
  <c r="AL271" i="43"/>
  <c r="AM271" i="43"/>
  <c r="AN271" i="43"/>
  <c r="AO271" i="43"/>
  <c r="AP271" i="43"/>
  <c r="AQ271" i="43"/>
  <c r="AR271" i="43"/>
  <c r="AT271" i="43"/>
  <c r="AU271" i="43"/>
  <c r="AV271" i="43"/>
  <c r="AW271" i="43"/>
  <c r="AX271" i="43"/>
  <c r="AY271" i="43"/>
  <c r="AZ271" i="43"/>
  <c r="BA271" i="43"/>
  <c r="BB271" i="43"/>
  <c r="BC271" i="43"/>
  <c r="BD271" i="43"/>
  <c r="BE271" i="43"/>
  <c r="BG271" i="43"/>
  <c r="BH271" i="43"/>
  <c r="BI271" i="43"/>
  <c r="J272" i="43"/>
  <c r="K272" i="43"/>
  <c r="N272" i="43"/>
  <c r="AF272" i="43"/>
  <c r="AI272" i="43" s="1"/>
  <c r="AJ272" i="43"/>
  <c r="AK272" i="43"/>
  <c r="AL272" i="43"/>
  <c r="AM272" i="43"/>
  <c r="AN272" i="43"/>
  <c r="AO272" i="43"/>
  <c r="AP272" i="43"/>
  <c r="AQ272" i="43"/>
  <c r="AR272" i="43"/>
  <c r="AT272" i="43"/>
  <c r="AU272" i="43"/>
  <c r="AV272" i="43"/>
  <c r="AW272" i="43"/>
  <c r="AX272" i="43"/>
  <c r="AY272" i="43"/>
  <c r="AZ272" i="43"/>
  <c r="BA272" i="43"/>
  <c r="BB272" i="43"/>
  <c r="BC272" i="43"/>
  <c r="BD272" i="43"/>
  <c r="BE272" i="43"/>
  <c r="BG272" i="43"/>
  <c r="BH272" i="43"/>
  <c r="BI272" i="43"/>
  <c r="J273" i="43"/>
  <c r="K273" i="43"/>
  <c r="N273" i="43"/>
  <c r="AF273" i="43"/>
  <c r="AI273" i="43" s="1"/>
  <c r="AJ273" i="43"/>
  <c r="AK273" i="43"/>
  <c r="AL273" i="43"/>
  <c r="AM273" i="43"/>
  <c r="AN273" i="43"/>
  <c r="AO273" i="43"/>
  <c r="AP273" i="43"/>
  <c r="AQ273" i="43"/>
  <c r="AR273" i="43"/>
  <c r="AT273" i="43"/>
  <c r="AU273" i="43"/>
  <c r="AV273" i="43"/>
  <c r="AW273" i="43"/>
  <c r="AX273" i="43"/>
  <c r="AY273" i="43"/>
  <c r="AZ273" i="43"/>
  <c r="BA273" i="43"/>
  <c r="BB273" i="43"/>
  <c r="BC273" i="43"/>
  <c r="BD273" i="43"/>
  <c r="BE273" i="43"/>
  <c r="BG273" i="43"/>
  <c r="BH273" i="43"/>
  <c r="BI273" i="43"/>
  <c r="J274" i="43"/>
  <c r="K274" i="43"/>
  <c r="N274" i="43"/>
  <c r="AF274" i="43"/>
  <c r="AI274" i="43" s="1"/>
  <c r="AJ274" i="43"/>
  <c r="AK274" i="43"/>
  <c r="AL274" i="43"/>
  <c r="AM274" i="43"/>
  <c r="AN274" i="43"/>
  <c r="AO274" i="43"/>
  <c r="AP274" i="43"/>
  <c r="AQ274" i="43"/>
  <c r="AR274" i="43"/>
  <c r="AT274" i="43"/>
  <c r="AU274" i="43"/>
  <c r="AV274" i="43"/>
  <c r="AW274" i="43"/>
  <c r="AX274" i="43"/>
  <c r="AY274" i="43"/>
  <c r="AZ274" i="43"/>
  <c r="BA274" i="43"/>
  <c r="BB274" i="43"/>
  <c r="BC274" i="43"/>
  <c r="BD274" i="43"/>
  <c r="BE274" i="43"/>
  <c r="BG274" i="43"/>
  <c r="BH274" i="43"/>
  <c r="BI274" i="43"/>
  <c r="J275" i="43"/>
  <c r="K275" i="43"/>
  <c r="N275" i="43"/>
  <c r="AF275" i="43"/>
  <c r="AI275" i="43" s="1"/>
  <c r="AJ275" i="43"/>
  <c r="AK275" i="43"/>
  <c r="AL275" i="43"/>
  <c r="AM275" i="43"/>
  <c r="AN275" i="43"/>
  <c r="AO275" i="43"/>
  <c r="AP275" i="43"/>
  <c r="AQ275" i="43"/>
  <c r="AR275" i="43"/>
  <c r="AT275" i="43"/>
  <c r="AU275" i="43"/>
  <c r="AV275" i="43"/>
  <c r="AW275" i="43"/>
  <c r="AX275" i="43"/>
  <c r="AY275" i="43"/>
  <c r="AZ275" i="43"/>
  <c r="BA275" i="43"/>
  <c r="BB275" i="43"/>
  <c r="BC275" i="43"/>
  <c r="BD275" i="43"/>
  <c r="BE275" i="43"/>
  <c r="BG275" i="43"/>
  <c r="BH275" i="43"/>
  <c r="BI275" i="43"/>
  <c r="J276" i="43"/>
  <c r="K276" i="43"/>
  <c r="N276" i="43"/>
  <c r="AF276" i="43"/>
  <c r="AI276" i="43" s="1"/>
  <c r="AJ276" i="43"/>
  <c r="AK276" i="43"/>
  <c r="AL276" i="43"/>
  <c r="AM276" i="43"/>
  <c r="AN276" i="43"/>
  <c r="AO276" i="43"/>
  <c r="AP276" i="43"/>
  <c r="AQ276" i="43"/>
  <c r="AR276" i="43"/>
  <c r="AT276" i="43"/>
  <c r="AU276" i="43"/>
  <c r="AV276" i="43"/>
  <c r="AW276" i="43"/>
  <c r="AX276" i="43"/>
  <c r="AY276" i="43"/>
  <c r="AZ276" i="43"/>
  <c r="BA276" i="43"/>
  <c r="BB276" i="43"/>
  <c r="BC276" i="43"/>
  <c r="BD276" i="43"/>
  <c r="BE276" i="43"/>
  <c r="BG276" i="43"/>
  <c r="BH276" i="43"/>
  <c r="BI276" i="43"/>
  <c r="J277" i="43"/>
  <c r="K277" i="43"/>
  <c r="N277" i="43"/>
  <c r="AF277" i="43"/>
  <c r="AJ277" i="43"/>
  <c r="AK277" i="43"/>
  <c r="AL277" i="43"/>
  <c r="AM277" i="43"/>
  <c r="AN277" i="43"/>
  <c r="AO277" i="43"/>
  <c r="AP277" i="43"/>
  <c r="AQ277" i="43"/>
  <c r="AR277" i="43"/>
  <c r="AT277" i="43"/>
  <c r="AU277" i="43"/>
  <c r="AV277" i="43"/>
  <c r="AW277" i="43"/>
  <c r="AX277" i="43"/>
  <c r="AY277" i="43"/>
  <c r="AZ277" i="43"/>
  <c r="BA277" i="43"/>
  <c r="BB277" i="43"/>
  <c r="BC277" i="43"/>
  <c r="BD277" i="43"/>
  <c r="BE277" i="43"/>
  <c r="BG277" i="43"/>
  <c r="BH277" i="43"/>
  <c r="BI277" i="43"/>
  <c r="J278" i="43"/>
  <c r="K278" i="43"/>
  <c r="N278" i="43"/>
  <c r="AF278" i="43"/>
  <c r="AI278" i="43" s="1"/>
  <c r="AJ278" i="43"/>
  <c r="AK278" i="43"/>
  <c r="AL278" i="43"/>
  <c r="AM278" i="43"/>
  <c r="AN278" i="43"/>
  <c r="AO278" i="43"/>
  <c r="AP278" i="43"/>
  <c r="AQ278" i="43"/>
  <c r="AR278" i="43"/>
  <c r="AT278" i="43"/>
  <c r="AU278" i="43"/>
  <c r="AV278" i="43"/>
  <c r="AW278" i="43"/>
  <c r="AX278" i="43"/>
  <c r="AY278" i="43"/>
  <c r="AZ278" i="43"/>
  <c r="BA278" i="43"/>
  <c r="BB278" i="43"/>
  <c r="BC278" i="43"/>
  <c r="BD278" i="43"/>
  <c r="BE278" i="43"/>
  <c r="BG278" i="43"/>
  <c r="BH278" i="43"/>
  <c r="BI278" i="43"/>
  <c r="J279" i="43"/>
  <c r="K279" i="43"/>
  <c r="N279" i="43"/>
  <c r="AF279" i="43"/>
  <c r="AI279" i="43" s="1"/>
  <c r="AJ279" i="43"/>
  <c r="AK279" i="43"/>
  <c r="AL279" i="43"/>
  <c r="AM279" i="43"/>
  <c r="AN279" i="43"/>
  <c r="AO279" i="43"/>
  <c r="AP279" i="43"/>
  <c r="AQ279" i="43"/>
  <c r="AR279" i="43"/>
  <c r="AT279" i="43"/>
  <c r="AU279" i="43"/>
  <c r="AV279" i="43"/>
  <c r="AW279" i="43"/>
  <c r="AX279" i="43"/>
  <c r="AY279" i="43"/>
  <c r="AZ279" i="43"/>
  <c r="BA279" i="43"/>
  <c r="BB279" i="43"/>
  <c r="BC279" i="43"/>
  <c r="BD279" i="43"/>
  <c r="BE279" i="43"/>
  <c r="BG279" i="43"/>
  <c r="BH279" i="43"/>
  <c r="BI279" i="43"/>
  <c r="J280" i="43"/>
  <c r="K280" i="43"/>
  <c r="N280" i="43"/>
  <c r="AF280" i="43"/>
  <c r="AI280" i="43" s="1"/>
  <c r="AJ280" i="43"/>
  <c r="AK280" i="43"/>
  <c r="AL280" i="43"/>
  <c r="AM280" i="43"/>
  <c r="AN280" i="43"/>
  <c r="AO280" i="43"/>
  <c r="AP280" i="43"/>
  <c r="AQ280" i="43"/>
  <c r="AR280" i="43"/>
  <c r="AT280" i="43"/>
  <c r="AU280" i="43"/>
  <c r="AV280" i="43"/>
  <c r="AW280" i="43"/>
  <c r="AX280" i="43"/>
  <c r="AY280" i="43"/>
  <c r="AZ280" i="43"/>
  <c r="BA280" i="43"/>
  <c r="BB280" i="43"/>
  <c r="BC280" i="43"/>
  <c r="BD280" i="43"/>
  <c r="BE280" i="43"/>
  <c r="BG280" i="43"/>
  <c r="BH280" i="43"/>
  <c r="BI280" i="43"/>
  <c r="J281" i="43"/>
  <c r="K281" i="43"/>
  <c r="N281" i="43"/>
  <c r="AF281" i="43"/>
  <c r="AI281" i="43" s="1"/>
  <c r="AJ281" i="43"/>
  <c r="AK281" i="43"/>
  <c r="AL281" i="43"/>
  <c r="AM281" i="43"/>
  <c r="AN281" i="43"/>
  <c r="AO281" i="43"/>
  <c r="AP281" i="43"/>
  <c r="AQ281" i="43"/>
  <c r="AR281" i="43"/>
  <c r="AT281" i="43"/>
  <c r="AU281" i="43"/>
  <c r="AV281" i="43"/>
  <c r="AW281" i="43"/>
  <c r="AX281" i="43"/>
  <c r="AY281" i="43"/>
  <c r="AZ281" i="43"/>
  <c r="BA281" i="43"/>
  <c r="BB281" i="43"/>
  <c r="BC281" i="43"/>
  <c r="BD281" i="43"/>
  <c r="BE281" i="43"/>
  <c r="BG281" i="43"/>
  <c r="BH281" i="43"/>
  <c r="BI281" i="43"/>
  <c r="J282" i="43"/>
  <c r="K282" i="43"/>
  <c r="N282" i="43"/>
  <c r="AF282" i="43"/>
  <c r="AI282" i="43" s="1"/>
  <c r="AJ282" i="43"/>
  <c r="AK282" i="43"/>
  <c r="AL282" i="43"/>
  <c r="AM282" i="43"/>
  <c r="AN282" i="43"/>
  <c r="AO282" i="43"/>
  <c r="AP282" i="43"/>
  <c r="AQ282" i="43"/>
  <c r="AR282" i="43"/>
  <c r="AT282" i="43"/>
  <c r="AU282" i="43"/>
  <c r="AV282" i="43"/>
  <c r="AW282" i="43"/>
  <c r="AX282" i="43"/>
  <c r="AY282" i="43"/>
  <c r="AZ282" i="43"/>
  <c r="BA282" i="43"/>
  <c r="BB282" i="43"/>
  <c r="BC282" i="43"/>
  <c r="BD282" i="43"/>
  <c r="BE282" i="43"/>
  <c r="BG282" i="43"/>
  <c r="BH282" i="43"/>
  <c r="BI282" i="43"/>
  <c r="J283" i="43"/>
  <c r="K283" i="43"/>
  <c r="N283" i="43"/>
  <c r="AF283" i="43"/>
  <c r="AI283" i="43" s="1"/>
  <c r="AJ283" i="43"/>
  <c r="AK283" i="43"/>
  <c r="AL283" i="43"/>
  <c r="AM283" i="43"/>
  <c r="AN283" i="43"/>
  <c r="AO283" i="43"/>
  <c r="AP283" i="43"/>
  <c r="AQ283" i="43"/>
  <c r="AR283" i="43"/>
  <c r="AT283" i="43"/>
  <c r="AU283" i="43"/>
  <c r="AV283" i="43"/>
  <c r="AW283" i="43"/>
  <c r="AX283" i="43"/>
  <c r="AY283" i="43"/>
  <c r="AZ283" i="43"/>
  <c r="BA283" i="43"/>
  <c r="BB283" i="43"/>
  <c r="BC283" i="43"/>
  <c r="BD283" i="43"/>
  <c r="BE283" i="43"/>
  <c r="BG283" i="43"/>
  <c r="BH283" i="43"/>
  <c r="BI283" i="43"/>
  <c r="J284" i="43"/>
  <c r="K284" i="43"/>
  <c r="N284" i="43"/>
  <c r="AF284" i="43"/>
  <c r="AI284" i="43" s="1"/>
  <c r="AJ284" i="43"/>
  <c r="AK284" i="43"/>
  <c r="AL284" i="43"/>
  <c r="AM284" i="43"/>
  <c r="AN284" i="43"/>
  <c r="AO284" i="43"/>
  <c r="AP284" i="43"/>
  <c r="AQ284" i="43"/>
  <c r="AR284" i="43"/>
  <c r="AT284" i="43"/>
  <c r="AU284" i="43"/>
  <c r="AV284" i="43"/>
  <c r="AW284" i="43"/>
  <c r="AX284" i="43"/>
  <c r="AY284" i="43"/>
  <c r="AZ284" i="43"/>
  <c r="BA284" i="43"/>
  <c r="BB284" i="43"/>
  <c r="BC284" i="43"/>
  <c r="BD284" i="43"/>
  <c r="BE284" i="43"/>
  <c r="BG284" i="43"/>
  <c r="BH284" i="43"/>
  <c r="BI284" i="43"/>
  <c r="J285" i="43"/>
  <c r="K285" i="43"/>
  <c r="N285" i="43"/>
  <c r="AF285" i="43"/>
  <c r="AI285" i="43" s="1"/>
  <c r="AJ285" i="43"/>
  <c r="AK285" i="43"/>
  <c r="AL285" i="43"/>
  <c r="AM285" i="43"/>
  <c r="AN285" i="43"/>
  <c r="AO285" i="43"/>
  <c r="AP285" i="43"/>
  <c r="AQ285" i="43"/>
  <c r="AR285" i="43"/>
  <c r="AT285" i="43"/>
  <c r="AU285" i="43"/>
  <c r="AV285" i="43"/>
  <c r="AW285" i="43"/>
  <c r="AX285" i="43"/>
  <c r="AY285" i="43"/>
  <c r="AZ285" i="43"/>
  <c r="BA285" i="43"/>
  <c r="BB285" i="43"/>
  <c r="BC285" i="43"/>
  <c r="BD285" i="43"/>
  <c r="BE285" i="43"/>
  <c r="BG285" i="43"/>
  <c r="BH285" i="43"/>
  <c r="BI285" i="43"/>
  <c r="J286" i="43"/>
  <c r="K286" i="43"/>
  <c r="N286" i="43"/>
  <c r="AF286" i="43"/>
  <c r="AJ286" i="43"/>
  <c r="AK286" i="43"/>
  <c r="AL286" i="43"/>
  <c r="AM286" i="43"/>
  <c r="AN286" i="43"/>
  <c r="AO286" i="43"/>
  <c r="AP286" i="43"/>
  <c r="AQ286" i="43"/>
  <c r="AR286" i="43"/>
  <c r="AT286" i="43"/>
  <c r="AU286" i="43"/>
  <c r="AV286" i="43"/>
  <c r="AW286" i="43"/>
  <c r="AX286" i="43"/>
  <c r="AY286" i="43"/>
  <c r="AZ286" i="43"/>
  <c r="BA286" i="43"/>
  <c r="BB286" i="43"/>
  <c r="BC286" i="43"/>
  <c r="BD286" i="43"/>
  <c r="BE286" i="43"/>
  <c r="BG286" i="43"/>
  <c r="BH286" i="43"/>
  <c r="BI286" i="43"/>
  <c r="J287" i="43"/>
  <c r="K287" i="43"/>
  <c r="N287" i="43"/>
  <c r="AF287" i="43"/>
  <c r="AI287" i="43" s="1"/>
  <c r="AJ287" i="43"/>
  <c r="AK287" i="43"/>
  <c r="AL287" i="43"/>
  <c r="AM287" i="43"/>
  <c r="AN287" i="43"/>
  <c r="AO287" i="43"/>
  <c r="AP287" i="43"/>
  <c r="AQ287" i="43"/>
  <c r="AR287" i="43"/>
  <c r="AT287" i="43"/>
  <c r="AU287" i="43"/>
  <c r="AV287" i="43"/>
  <c r="AW287" i="43"/>
  <c r="AX287" i="43"/>
  <c r="AY287" i="43"/>
  <c r="AZ287" i="43"/>
  <c r="BA287" i="43"/>
  <c r="BB287" i="43"/>
  <c r="BC287" i="43"/>
  <c r="BD287" i="43"/>
  <c r="BE287" i="43"/>
  <c r="BG287" i="43"/>
  <c r="BH287" i="43"/>
  <c r="BI287" i="43"/>
  <c r="J288" i="43"/>
  <c r="K288" i="43"/>
  <c r="N288" i="43"/>
  <c r="AF288" i="43"/>
  <c r="AI288" i="43" s="1"/>
  <c r="AJ288" i="43"/>
  <c r="AK288" i="43"/>
  <c r="AL288" i="43"/>
  <c r="AM288" i="43"/>
  <c r="AN288" i="43"/>
  <c r="AO288" i="43"/>
  <c r="AP288" i="43"/>
  <c r="AQ288" i="43"/>
  <c r="AR288" i="43"/>
  <c r="AT288" i="43"/>
  <c r="AU288" i="43"/>
  <c r="AV288" i="43"/>
  <c r="AW288" i="43"/>
  <c r="AX288" i="43"/>
  <c r="AY288" i="43"/>
  <c r="AZ288" i="43"/>
  <c r="BA288" i="43"/>
  <c r="BB288" i="43"/>
  <c r="BC288" i="43"/>
  <c r="BD288" i="43"/>
  <c r="BE288" i="43"/>
  <c r="BG288" i="43"/>
  <c r="BH288" i="43"/>
  <c r="BI288" i="43"/>
  <c r="J289" i="43"/>
  <c r="K289" i="43"/>
  <c r="N289" i="43"/>
  <c r="AF289" i="43"/>
  <c r="AI289" i="43" s="1"/>
  <c r="AJ289" i="43"/>
  <c r="AK289" i="43"/>
  <c r="AL289" i="43"/>
  <c r="AM289" i="43"/>
  <c r="AN289" i="43"/>
  <c r="AO289" i="43"/>
  <c r="AP289" i="43"/>
  <c r="AQ289" i="43"/>
  <c r="AR289" i="43"/>
  <c r="AT289" i="43"/>
  <c r="AU289" i="43"/>
  <c r="AV289" i="43"/>
  <c r="AW289" i="43"/>
  <c r="AX289" i="43"/>
  <c r="AY289" i="43"/>
  <c r="AZ289" i="43"/>
  <c r="BA289" i="43"/>
  <c r="BB289" i="43"/>
  <c r="BC289" i="43"/>
  <c r="BD289" i="43"/>
  <c r="BE289" i="43"/>
  <c r="BG289" i="43"/>
  <c r="BH289" i="43"/>
  <c r="BI289" i="43"/>
  <c r="J290" i="43"/>
  <c r="K290" i="43"/>
  <c r="N290" i="43"/>
  <c r="AF290" i="43"/>
  <c r="AI290" i="43" s="1"/>
  <c r="AJ290" i="43"/>
  <c r="AK290" i="43"/>
  <c r="AL290" i="43"/>
  <c r="AM290" i="43"/>
  <c r="AN290" i="43"/>
  <c r="AO290" i="43"/>
  <c r="AP290" i="43"/>
  <c r="AQ290" i="43"/>
  <c r="AR290" i="43"/>
  <c r="AT290" i="43"/>
  <c r="AU290" i="43"/>
  <c r="AV290" i="43"/>
  <c r="AW290" i="43"/>
  <c r="AX290" i="43"/>
  <c r="AY290" i="43"/>
  <c r="AZ290" i="43"/>
  <c r="BA290" i="43"/>
  <c r="BB290" i="43"/>
  <c r="BC290" i="43"/>
  <c r="BD290" i="43"/>
  <c r="BE290" i="43"/>
  <c r="BG290" i="43"/>
  <c r="BH290" i="43"/>
  <c r="BI290" i="43"/>
  <c r="J291" i="43"/>
  <c r="K291" i="43"/>
  <c r="N291" i="43"/>
  <c r="AF291" i="43"/>
  <c r="AI291" i="43" s="1"/>
  <c r="AJ291" i="43"/>
  <c r="AK291" i="43"/>
  <c r="AL291" i="43"/>
  <c r="AM291" i="43"/>
  <c r="AN291" i="43"/>
  <c r="AO291" i="43"/>
  <c r="AP291" i="43"/>
  <c r="AQ291" i="43"/>
  <c r="AR291" i="43"/>
  <c r="AT291" i="43"/>
  <c r="AU291" i="43"/>
  <c r="AV291" i="43"/>
  <c r="AW291" i="43"/>
  <c r="AX291" i="43"/>
  <c r="AY291" i="43"/>
  <c r="AZ291" i="43"/>
  <c r="BA291" i="43"/>
  <c r="BB291" i="43"/>
  <c r="BC291" i="43"/>
  <c r="BD291" i="43"/>
  <c r="BE291" i="43"/>
  <c r="BG291" i="43"/>
  <c r="BH291" i="43"/>
  <c r="BI291" i="43"/>
  <c r="J292" i="43"/>
  <c r="K292" i="43"/>
  <c r="N292" i="43"/>
  <c r="AF292" i="43"/>
  <c r="AI292" i="43" s="1"/>
  <c r="AJ292" i="43"/>
  <c r="AK292" i="43"/>
  <c r="AL292" i="43"/>
  <c r="AM292" i="43"/>
  <c r="AN292" i="43"/>
  <c r="AO292" i="43"/>
  <c r="AP292" i="43"/>
  <c r="AQ292" i="43"/>
  <c r="AR292" i="43"/>
  <c r="AT292" i="43"/>
  <c r="AU292" i="43"/>
  <c r="AV292" i="43"/>
  <c r="AW292" i="43"/>
  <c r="AX292" i="43"/>
  <c r="AY292" i="43"/>
  <c r="AZ292" i="43"/>
  <c r="BA292" i="43"/>
  <c r="BB292" i="43"/>
  <c r="BC292" i="43"/>
  <c r="BD292" i="43"/>
  <c r="BE292" i="43"/>
  <c r="BG292" i="43"/>
  <c r="BH292" i="43"/>
  <c r="BI292" i="43"/>
  <c r="J293" i="43"/>
  <c r="K293" i="43"/>
  <c r="N293" i="43"/>
  <c r="AF293" i="43"/>
  <c r="AI293" i="43" s="1"/>
  <c r="AJ293" i="43"/>
  <c r="AK293" i="43"/>
  <c r="AL293" i="43"/>
  <c r="AM293" i="43"/>
  <c r="AN293" i="43"/>
  <c r="AO293" i="43"/>
  <c r="AP293" i="43"/>
  <c r="AQ293" i="43"/>
  <c r="AR293" i="43"/>
  <c r="AT293" i="43"/>
  <c r="AU293" i="43"/>
  <c r="AV293" i="43"/>
  <c r="AW293" i="43"/>
  <c r="AX293" i="43"/>
  <c r="AY293" i="43"/>
  <c r="AZ293" i="43"/>
  <c r="BA293" i="43"/>
  <c r="BB293" i="43"/>
  <c r="BC293" i="43"/>
  <c r="BD293" i="43"/>
  <c r="BE293" i="43"/>
  <c r="BG293" i="43"/>
  <c r="BH293" i="43"/>
  <c r="BI293" i="43"/>
  <c r="J294" i="43"/>
  <c r="K294" i="43"/>
  <c r="N294" i="43"/>
  <c r="AF294" i="43"/>
  <c r="AJ294" i="43"/>
  <c r="AK294" i="43"/>
  <c r="AL294" i="43"/>
  <c r="AM294" i="43"/>
  <c r="AN294" i="43"/>
  <c r="AO294" i="43"/>
  <c r="AP294" i="43"/>
  <c r="AQ294" i="43"/>
  <c r="AR294" i="43"/>
  <c r="AT294" i="43"/>
  <c r="AU294" i="43"/>
  <c r="AV294" i="43"/>
  <c r="AW294" i="43"/>
  <c r="AX294" i="43"/>
  <c r="AY294" i="43"/>
  <c r="AZ294" i="43"/>
  <c r="BA294" i="43"/>
  <c r="BB294" i="43"/>
  <c r="BC294" i="43"/>
  <c r="BD294" i="43"/>
  <c r="BE294" i="43"/>
  <c r="BG294" i="43"/>
  <c r="BH294" i="43"/>
  <c r="BI294" i="43"/>
  <c r="J295" i="43"/>
  <c r="K295" i="43"/>
  <c r="N295" i="43"/>
  <c r="AF295" i="43"/>
  <c r="AI295" i="43" s="1"/>
  <c r="AJ295" i="43"/>
  <c r="AK295" i="43"/>
  <c r="AL295" i="43"/>
  <c r="AM295" i="43"/>
  <c r="AN295" i="43"/>
  <c r="AO295" i="43"/>
  <c r="AP295" i="43"/>
  <c r="AQ295" i="43"/>
  <c r="AR295" i="43"/>
  <c r="AT295" i="43"/>
  <c r="AU295" i="43"/>
  <c r="AV295" i="43"/>
  <c r="AW295" i="43"/>
  <c r="AX295" i="43"/>
  <c r="AY295" i="43"/>
  <c r="AZ295" i="43"/>
  <c r="BA295" i="43"/>
  <c r="BB295" i="43"/>
  <c r="BC295" i="43"/>
  <c r="BD295" i="43"/>
  <c r="BE295" i="43"/>
  <c r="BG295" i="43"/>
  <c r="BH295" i="43"/>
  <c r="BI295" i="43"/>
  <c r="J296" i="43"/>
  <c r="K296" i="43"/>
  <c r="N296" i="43"/>
  <c r="AF296" i="43"/>
  <c r="AI296" i="43" s="1"/>
  <c r="AJ296" i="43"/>
  <c r="AK296" i="43"/>
  <c r="AL296" i="43"/>
  <c r="AM296" i="43"/>
  <c r="AN296" i="43"/>
  <c r="AO296" i="43"/>
  <c r="AP296" i="43"/>
  <c r="AQ296" i="43"/>
  <c r="AR296" i="43"/>
  <c r="AT296" i="43"/>
  <c r="AU296" i="43"/>
  <c r="AV296" i="43"/>
  <c r="AW296" i="43"/>
  <c r="AX296" i="43"/>
  <c r="AY296" i="43"/>
  <c r="AZ296" i="43"/>
  <c r="BA296" i="43"/>
  <c r="BB296" i="43"/>
  <c r="BC296" i="43"/>
  <c r="BD296" i="43"/>
  <c r="BE296" i="43"/>
  <c r="BG296" i="43"/>
  <c r="BH296" i="43"/>
  <c r="BI296" i="43"/>
  <c r="J297" i="43"/>
  <c r="K297" i="43"/>
  <c r="N297" i="43"/>
  <c r="AF297" i="43"/>
  <c r="AJ297" i="43"/>
  <c r="AK297" i="43"/>
  <c r="AL297" i="43"/>
  <c r="AM297" i="43"/>
  <c r="AN297" i="43"/>
  <c r="AO297" i="43"/>
  <c r="AP297" i="43"/>
  <c r="AQ297" i="43"/>
  <c r="AR297" i="43"/>
  <c r="AT297" i="43"/>
  <c r="AU297" i="43"/>
  <c r="AV297" i="43"/>
  <c r="AW297" i="43"/>
  <c r="AX297" i="43"/>
  <c r="AY297" i="43"/>
  <c r="AZ297" i="43"/>
  <c r="BA297" i="43"/>
  <c r="BB297" i="43"/>
  <c r="BC297" i="43"/>
  <c r="BD297" i="43"/>
  <c r="BE297" i="43"/>
  <c r="BG297" i="43"/>
  <c r="BH297" i="43"/>
  <c r="BI297" i="43"/>
  <c r="J298" i="43"/>
  <c r="K298" i="43"/>
  <c r="N298" i="43"/>
  <c r="AF298" i="43"/>
  <c r="AI298" i="43" s="1"/>
  <c r="AJ298" i="43"/>
  <c r="AK298" i="43"/>
  <c r="AL298" i="43"/>
  <c r="AM298" i="43"/>
  <c r="AN298" i="43"/>
  <c r="AO298" i="43"/>
  <c r="AP298" i="43"/>
  <c r="AQ298" i="43"/>
  <c r="AR298" i="43"/>
  <c r="AT298" i="43"/>
  <c r="AU298" i="43"/>
  <c r="AV298" i="43"/>
  <c r="AW298" i="43"/>
  <c r="AX298" i="43"/>
  <c r="AY298" i="43"/>
  <c r="AZ298" i="43"/>
  <c r="BA298" i="43"/>
  <c r="BB298" i="43"/>
  <c r="BC298" i="43"/>
  <c r="BD298" i="43"/>
  <c r="BE298" i="43"/>
  <c r="BG298" i="43"/>
  <c r="BH298" i="43"/>
  <c r="BI298" i="43"/>
  <c r="J299" i="43"/>
  <c r="K299" i="43"/>
  <c r="N299" i="43"/>
  <c r="AF299" i="43"/>
  <c r="AI299" i="43" s="1"/>
  <c r="AJ299" i="43"/>
  <c r="AK299" i="43"/>
  <c r="AL299" i="43"/>
  <c r="AM299" i="43"/>
  <c r="AN299" i="43"/>
  <c r="AO299" i="43"/>
  <c r="AP299" i="43"/>
  <c r="AQ299" i="43"/>
  <c r="AR299" i="43"/>
  <c r="AT299" i="43"/>
  <c r="AU299" i="43"/>
  <c r="AV299" i="43"/>
  <c r="AW299" i="43"/>
  <c r="AX299" i="43"/>
  <c r="AY299" i="43"/>
  <c r="AZ299" i="43"/>
  <c r="BA299" i="43"/>
  <c r="BB299" i="43"/>
  <c r="BC299" i="43"/>
  <c r="BD299" i="43"/>
  <c r="BE299" i="43"/>
  <c r="BG299" i="43"/>
  <c r="BH299" i="43"/>
  <c r="BI299" i="43"/>
  <c r="J300" i="43"/>
  <c r="K300" i="43"/>
  <c r="N300" i="43"/>
  <c r="AF300" i="43"/>
  <c r="AI300" i="43" s="1"/>
  <c r="AJ300" i="43"/>
  <c r="AK300" i="43"/>
  <c r="AL300" i="43"/>
  <c r="AM300" i="43"/>
  <c r="AN300" i="43"/>
  <c r="AO300" i="43"/>
  <c r="AP300" i="43"/>
  <c r="AQ300" i="43"/>
  <c r="AR300" i="43"/>
  <c r="AT300" i="43"/>
  <c r="AU300" i="43"/>
  <c r="AV300" i="43"/>
  <c r="AW300" i="43"/>
  <c r="AX300" i="43"/>
  <c r="AY300" i="43"/>
  <c r="AZ300" i="43"/>
  <c r="BA300" i="43"/>
  <c r="BB300" i="43"/>
  <c r="BC300" i="43"/>
  <c r="BD300" i="43"/>
  <c r="BE300" i="43"/>
  <c r="BG300" i="43"/>
  <c r="BH300" i="43"/>
  <c r="BI300" i="43"/>
  <c r="J301" i="43"/>
  <c r="K301" i="43"/>
  <c r="N301" i="43"/>
  <c r="AF301" i="43"/>
  <c r="AI301" i="43" s="1"/>
  <c r="AJ301" i="43"/>
  <c r="AK301" i="43"/>
  <c r="AL301" i="43"/>
  <c r="AM301" i="43"/>
  <c r="AN301" i="43"/>
  <c r="AO301" i="43"/>
  <c r="AP301" i="43"/>
  <c r="AQ301" i="43"/>
  <c r="AR301" i="43"/>
  <c r="AT301" i="43"/>
  <c r="AU301" i="43"/>
  <c r="AV301" i="43"/>
  <c r="AW301" i="43"/>
  <c r="AX301" i="43"/>
  <c r="AY301" i="43"/>
  <c r="AZ301" i="43"/>
  <c r="BA301" i="43"/>
  <c r="BB301" i="43"/>
  <c r="BC301" i="43"/>
  <c r="BD301" i="43"/>
  <c r="BE301" i="43"/>
  <c r="BG301" i="43"/>
  <c r="BH301" i="43"/>
  <c r="BI301" i="43"/>
  <c r="J302" i="43"/>
  <c r="K302" i="43"/>
  <c r="N302" i="43"/>
  <c r="AF302" i="43"/>
  <c r="AI302" i="43" s="1"/>
  <c r="AJ302" i="43"/>
  <c r="AK302" i="43"/>
  <c r="AL302" i="43"/>
  <c r="AM302" i="43"/>
  <c r="AN302" i="43"/>
  <c r="AO302" i="43"/>
  <c r="AP302" i="43"/>
  <c r="AQ302" i="43"/>
  <c r="AR302" i="43"/>
  <c r="AT302" i="43"/>
  <c r="AU302" i="43"/>
  <c r="AV302" i="43"/>
  <c r="AW302" i="43"/>
  <c r="AX302" i="43"/>
  <c r="AY302" i="43"/>
  <c r="AZ302" i="43"/>
  <c r="BA302" i="43"/>
  <c r="BB302" i="43"/>
  <c r="BC302" i="43"/>
  <c r="BD302" i="43"/>
  <c r="BE302" i="43"/>
  <c r="BG302" i="43"/>
  <c r="BH302" i="43"/>
  <c r="BI302" i="43"/>
  <c r="J303" i="43"/>
  <c r="K303" i="43"/>
  <c r="N303" i="43"/>
  <c r="AF303" i="43"/>
  <c r="AI303" i="43" s="1"/>
  <c r="AJ303" i="43"/>
  <c r="AK303" i="43"/>
  <c r="AL303" i="43"/>
  <c r="AM303" i="43"/>
  <c r="AN303" i="43"/>
  <c r="AO303" i="43"/>
  <c r="AP303" i="43"/>
  <c r="AQ303" i="43"/>
  <c r="AR303" i="43"/>
  <c r="AT303" i="43"/>
  <c r="AU303" i="43"/>
  <c r="AV303" i="43"/>
  <c r="AW303" i="43"/>
  <c r="AX303" i="43"/>
  <c r="AY303" i="43"/>
  <c r="AZ303" i="43"/>
  <c r="BA303" i="43"/>
  <c r="BB303" i="43"/>
  <c r="BC303" i="43"/>
  <c r="BD303" i="43"/>
  <c r="BE303" i="43"/>
  <c r="BG303" i="43"/>
  <c r="BH303" i="43"/>
  <c r="BI303" i="43"/>
  <c r="J304" i="43"/>
  <c r="K304" i="43"/>
  <c r="N304" i="43"/>
  <c r="AF304" i="43"/>
  <c r="AI304" i="43" s="1"/>
  <c r="AJ304" i="43"/>
  <c r="AK304" i="43"/>
  <c r="AL304" i="43"/>
  <c r="AM304" i="43"/>
  <c r="AN304" i="43"/>
  <c r="AO304" i="43"/>
  <c r="AP304" i="43"/>
  <c r="AQ304" i="43"/>
  <c r="AR304" i="43"/>
  <c r="AT304" i="43"/>
  <c r="AU304" i="43"/>
  <c r="AV304" i="43"/>
  <c r="AW304" i="43"/>
  <c r="AX304" i="43"/>
  <c r="AY304" i="43"/>
  <c r="AZ304" i="43"/>
  <c r="BA304" i="43"/>
  <c r="BB304" i="43"/>
  <c r="BC304" i="43"/>
  <c r="BD304" i="43"/>
  <c r="BE304" i="43"/>
  <c r="BG304" i="43"/>
  <c r="BH304" i="43"/>
  <c r="BI304" i="43"/>
  <c r="J305" i="43"/>
  <c r="K305" i="43"/>
  <c r="N305" i="43"/>
  <c r="AF305" i="43"/>
  <c r="AI305" i="43" s="1"/>
  <c r="AJ305" i="43"/>
  <c r="AK305" i="43"/>
  <c r="AL305" i="43"/>
  <c r="AM305" i="43"/>
  <c r="AN305" i="43"/>
  <c r="AO305" i="43"/>
  <c r="AP305" i="43"/>
  <c r="AQ305" i="43"/>
  <c r="AR305" i="43"/>
  <c r="AT305" i="43"/>
  <c r="AU305" i="43"/>
  <c r="AV305" i="43"/>
  <c r="AW305" i="43"/>
  <c r="AX305" i="43"/>
  <c r="AY305" i="43"/>
  <c r="AZ305" i="43"/>
  <c r="BA305" i="43"/>
  <c r="BB305" i="43"/>
  <c r="BC305" i="43"/>
  <c r="BD305" i="43"/>
  <c r="BE305" i="43"/>
  <c r="BG305" i="43"/>
  <c r="BH305" i="43"/>
  <c r="BI305" i="43"/>
  <c r="J306" i="43"/>
  <c r="K306" i="43"/>
  <c r="N306" i="43"/>
  <c r="AF306" i="43"/>
  <c r="AI306" i="43" s="1"/>
  <c r="AJ306" i="43"/>
  <c r="AK306" i="43"/>
  <c r="AL306" i="43"/>
  <c r="AM306" i="43"/>
  <c r="AN306" i="43"/>
  <c r="AO306" i="43"/>
  <c r="AP306" i="43"/>
  <c r="AQ306" i="43"/>
  <c r="AR306" i="43"/>
  <c r="AS306" i="43"/>
  <c r="AU306" i="43"/>
  <c r="AV306" i="43"/>
  <c r="AW306" i="43"/>
  <c r="AX306" i="43"/>
  <c r="AY306" i="43"/>
  <c r="AZ306" i="43"/>
  <c r="BA306" i="43"/>
  <c r="BB306" i="43"/>
  <c r="BC306" i="43"/>
  <c r="BD306" i="43"/>
  <c r="BE306" i="43"/>
  <c r="BF306" i="43"/>
  <c r="BH306" i="43"/>
  <c r="BI306" i="43"/>
  <c r="J307" i="43"/>
  <c r="K307" i="43"/>
  <c r="N307" i="43"/>
  <c r="AF307" i="43"/>
  <c r="AI307" i="43" s="1"/>
  <c r="AJ307" i="43"/>
  <c r="AK307" i="43"/>
  <c r="AL307" i="43"/>
  <c r="AM307" i="43"/>
  <c r="AN307" i="43"/>
  <c r="AO307" i="43"/>
  <c r="AP307" i="43"/>
  <c r="AQ307" i="43"/>
  <c r="AR307" i="43"/>
  <c r="AS307" i="43"/>
  <c r="AU307" i="43"/>
  <c r="AV307" i="43"/>
  <c r="AW307" i="43"/>
  <c r="AX307" i="43"/>
  <c r="AY307" i="43"/>
  <c r="AZ307" i="43"/>
  <c r="BA307" i="43"/>
  <c r="BB307" i="43"/>
  <c r="BC307" i="43"/>
  <c r="BD307" i="43"/>
  <c r="BE307" i="43"/>
  <c r="BF307" i="43"/>
  <c r="BH307" i="43"/>
  <c r="BI307" i="43"/>
  <c r="J308" i="43"/>
  <c r="K308" i="43"/>
  <c r="N308" i="43"/>
  <c r="AF308" i="43"/>
  <c r="AI308" i="43" s="1"/>
  <c r="AJ308" i="43"/>
  <c r="AK308" i="43"/>
  <c r="AL308" i="43"/>
  <c r="AM308" i="43"/>
  <c r="AN308" i="43"/>
  <c r="AO308" i="43"/>
  <c r="AP308" i="43"/>
  <c r="AQ308" i="43"/>
  <c r="AR308" i="43"/>
  <c r="AS308" i="43"/>
  <c r="AU308" i="43"/>
  <c r="AV308" i="43"/>
  <c r="AW308" i="43"/>
  <c r="AX308" i="43"/>
  <c r="AY308" i="43"/>
  <c r="AZ308" i="43"/>
  <c r="BA308" i="43"/>
  <c r="BB308" i="43"/>
  <c r="BC308" i="43"/>
  <c r="BD308" i="43"/>
  <c r="BE308" i="43"/>
  <c r="BF308" i="43"/>
  <c r="BH308" i="43"/>
  <c r="BI308" i="43"/>
  <c r="J309" i="43"/>
  <c r="K309" i="43"/>
  <c r="N309" i="43"/>
  <c r="AF309" i="43"/>
  <c r="AI309" i="43" s="1"/>
  <c r="AJ309" i="43"/>
  <c r="AK309" i="43"/>
  <c r="AL309" i="43"/>
  <c r="AM309" i="43"/>
  <c r="AN309" i="43"/>
  <c r="AO309" i="43"/>
  <c r="AP309" i="43"/>
  <c r="AQ309" i="43"/>
  <c r="AR309" i="43"/>
  <c r="AS309" i="43"/>
  <c r="AU309" i="43"/>
  <c r="AV309" i="43"/>
  <c r="AW309" i="43"/>
  <c r="AX309" i="43"/>
  <c r="AY309" i="43"/>
  <c r="AZ309" i="43"/>
  <c r="BA309" i="43"/>
  <c r="BB309" i="43"/>
  <c r="BC309" i="43"/>
  <c r="BD309" i="43"/>
  <c r="BE309" i="43"/>
  <c r="BF309" i="43"/>
  <c r="BH309" i="43"/>
  <c r="BI309" i="43"/>
  <c r="J310" i="43"/>
  <c r="K310" i="43"/>
  <c r="N310" i="43"/>
  <c r="AF310" i="43"/>
  <c r="AJ310" i="43"/>
  <c r="AK310" i="43"/>
  <c r="AL310" i="43"/>
  <c r="AM310" i="43"/>
  <c r="AN310" i="43"/>
  <c r="AO310" i="43"/>
  <c r="AP310" i="43"/>
  <c r="AQ310" i="43"/>
  <c r="AR310" i="43"/>
  <c r="AS310" i="43"/>
  <c r="AU310" i="43"/>
  <c r="AV310" i="43"/>
  <c r="AW310" i="43"/>
  <c r="AX310" i="43"/>
  <c r="AY310" i="43"/>
  <c r="AZ310" i="43"/>
  <c r="BA310" i="43"/>
  <c r="BB310" i="43"/>
  <c r="BC310" i="43"/>
  <c r="BD310" i="43"/>
  <c r="BE310" i="43"/>
  <c r="BF310" i="43"/>
  <c r="BH310" i="43"/>
  <c r="BI310" i="43"/>
  <c r="J311" i="43"/>
  <c r="K311" i="43"/>
  <c r="N311" i="43"/>
  <c r="AF311" i="43"/>
  <c r="AI311" i="43" s="1"/>
  <c r="AJ311" i="43"/>
  <c r="AK311" i="43"/>
  <c r="AL311" i="43"/>
  <c r="AM311" i="43"/>
  <c r="AN311" i="43"/>
  <c r="AO311" i="43"/>
  <c r="AP311" i="43"/>
  <c r="AQ311" i="43"/>
  <c r="AR311" i="43"/>
  <c r="AS311" i="43"/>
  <c r="AU311" i="43"/>
  <c r="AV311" i="43"/>
  <c r="AW311" i="43"/>
  <c r="AX311" i="43"/>
  <c r="AY311" i="43"/>
  <c r="AZ311" i="43"/>
  <c r="BA311" i="43"/>
  <c r="BB311" i="43"/>
  <c r="BC311" i="43"/>
  <c r="BD311" i="43"/>
  <c r="BE311" i="43"/>
  <c r="BF311" i="43"/>
  <c r="BH311" i="43"/>
  <c r="BI311" i="43"/>
  <c r="J312" i="43"/>
  <c r="K312" i="43"/>
  <c r="N312" i="43"/>
  <c r="AF312" i="43"/>
  <c r="AI312" i="43" s="1"/>
  <c r="AJ312" i="43"/>
  <c r="AK312" i="43"/>
  <c r="AL312" i="43"/>
  <c r="AM312" i="43"/>
  <c r="AN312" i="43"/>
  <c r="AO312" i="43"/>
  <c r="AP312" i="43"/>
  <c r="AQ312" i="43"/>
  <c r="AR312" i="43"/>
  <c r="AS312" i="43"/>
  <c r="AU312" i="43"/>
  <c r="AV312" i="43"/>
  <c r="AW312" i="43"/>
  <c r="AX312" i="43"/>
  <c r="AY312" i="43"/>
  <c r="AZ312" i="43"/>
  <c r="BA312" i="43"/>
  <c r="BB312" i="43"/>
  <c r="BC312" i="43"/>
  <c r="BD312" i="43"/>
  <c r="BE312" i="43"/>
  <c r="BF312" i="43"/>
  <c r="BH312" i="43"/>
  <c r="BI312" i="43"/>
  <c r="J313" i="43"/>
  <c r="K313" i="43"/>
  <c r="N313" i="43"/>
  <c r="AF313" i="43"/>
  <c r="AI313" i="43" s="1"/>
  <c r="AJ313" i="43"/>
  <c r="AK313" i="43"/>
  <c r="AL313" i="43"/>
  <c r="AM313" i="43"/>
  <c r="AN313" i="43"/>
  <c r="AO313" i="43"/>
  <c r="AP313" i="43"/>
  <c r="AQ313" i="43"/>
  <c r="AR313" i="43"/>
  <c r="AS313" i="43"/>
  <c r="AU313" i="43"/>
  <c r="AV313" i="43"/>
  <c r="AW313" i="43"/>
  <c r="AX313" i="43"/>
  <c r="AY313" i="43"/>
  <c r="AZ313" i="43"/>
  <c r="BA313" i="43"/>
  <c r="BB313" i="43"/>
  <c r="BC313" i="43"/>
  <c r="BD313" i="43"/>
  <c r="BE313" i="43"/>
  <c r="BF313" i="43"/>
  <c r="BH313" i="43"/>
  <c r="BI313" i="43"/>
  <c r="J314" i="43"/>
  <c r="K314" i="43"/>
  <c r="N314" i="43"/>
  <c r="AF314" i="43"/>
  <c r="AI314" i="43" s="1"/>
  <c r="AJ314" i="43"/>
  <c r="AK314" i="43"/>
  <c r="AL314" i="43"/>
  <c r="AM314" i="43"/>
  <c r="AN314" i="43"/>
  <c r="AO314" i="43"/>
  <c r="AP314" i="43"/>
  <c r="AQ314" i="43"/>
  <c r="AR314" i="43"/>
  <c r="AS314" i="43"/>
  <c r="AU314" i="43"/>
  <c r="AV314" i="43"/>
  <c r="AW314" i="43"/>
  <c r="AX314" i="43"/>
  <c r="AY314" i="43"/>
  <c r="AZ314" i="43"/>
  <c r="BA314" i="43"/>
  <c r="BB314" i="43"/>
  <c r="BC314" i="43"/>
  <c r="BD314" i="43"/>
  <c r="BE314" i="43"/>
  <c r="BF314" i="43"/>
  <c r="BH314" i="43"/>
  <c r="BI314" i="43"/>
  <c r="J315" i="43"/>
  <c r="K315" i="43"/>
  <c r="N315" i="43"/>
  <c r="AF315" i="43"/>
  <c r="AI315" i="43" s="1"/>
  <c r="AJ315" i="43"/>
  <c r="AK315" i="43"/>
  <c r="AL315" i="43"/>
  <c r="AM315" i="43"/>
  <c r="AN315" i="43"/>
  <c r="AO315" i="43"/>
  <c r="AP315" i="43"/>
  <c r="AQ315" i="43"/>
  <c r="AR315" i="43"/>
  <c r="AS315" i="43"/>
  <c r="AU315" i="43"/>
  <c r="AV315" i="43"/>
  <c r="AW315" i="43"/>
  <c r="AX315" i="43"/>
  <c r="AY315" i="43"/>
  <c r="AZ315" i="43"/>
  <c r="BA315" i="43"/>
  <c r="BB315" i="43"/>
  <c r="BC315" i="43"/>
  <c r="BD315" i="43"/>
  <c r="BE315" i="43"/>
  <c r="BF315" i="43"/>
  <c r="BH315" i="43"/>
  <c r="BI315" i="43"/>
  <c r="J316" i="43"/>
  <c r="K316" i="43"/>
  <c r="N316" i="43"/>
  <c r="AF316" i="43"/>
  <c r="AI316" i="43" s="1"/>
  <c r="AJ316" i="43"/>
  <c r="AK316" i="43"/>
  <c r="AL316" i="43"/>
  <c r="AM316" i="43"/>
  <c r="AN316" i="43"/>
  <c r="AO316" i="43"/>
  <c r="AP316" i="43"/>
  <c r="AQ316" i="43"/>
  <c r="AR316" i="43"/>
  <c r="AS316" i="43"/>
  <c r="AT316" i="43"/>
  <c r="AV316" i="43"/>
  <c r="AW316" i="43"/>
  <c r="AX316" i="43"/>
  <c r="AY316" i="43"/>
  <c r="AZ316" i="43"/>
  <c r="BA316" i="43"/>
  <c r="BB316" i="43"/>
  <c r="BC316" i="43"/>
  <c r="BD316" i="43"/>
  <c r="BE316" i="43"/>
  <c r="BF316" i="43"/>
  <c r="BG316" i="43"/>
  <c r="BI316" i="43"/>
  <c r="J317" i="43"/>
  <c r="K317" i="43"/>
  <c r="N317" i="43"/>
  <c r="AF317" i="43"/>
  <c r="AI317" i="43" s="1"/>
  <c r="AJ317" i="43"/>
  <c r="AK317" i="43"/>
  <c r="AL317" i="43"/>
  <c r="AM317" i="43"/>
  <c r="AN317" i="43"/>
  <c r="AO317" i="43"/>
  <c r="AP317" i="43"/>
  <c r="AQ317" i="43"/>
  <c r="AR317" i="43"/>
  <c r="AS317" i="43"/>
  <c r="AT317" i="43"/>
  <c r="AV317" i="43"/>
  <c r="AW317" i="43"/>
  <c r="AX317" i="43"/>
  <c r="AY317" i="43"/>
  <c r="AZ317" i="43"/>
  <c r="BA317" i="43"/>
  <c r="BB317" i="43"/>
  <c r="BC317" i="43"/>
  <c r="BD317" i="43"/>
  <c r="BE317" i="43"/>
  <c r="BF317" i="43"/>
  <c r="BG317" i="43"/>
  <c r="BI317" i="43"/>
  <c r="J318" i="43"/>
  <c r="K318" i="43"/>
  <c r="N318" i="43"/>
  <c r="AF318" i="43"/>
  <c r="AI318" i="43" s="1"/>
  <c r="AJ318" i="43"/>
  <c r="AK318" i="43"/>
  <c r="AL318" i="43"/>
  <c r="AM318" i="43"/>
  <c r="AN318" i="43"/>
  <c r="AO318" i="43"/>
  <c r="AP318" i="43"/>
  <c r="AQ318" i="43"/>
  <c r="AR318" i="43"/>
  <c r="AS318" i="43"/>
  <c r="AT318" i="43"/>
  <c r="AV318" i="43"/>
  <c r="AW318" i="43"/>
  <c r="AX318" i="43"/>
  <c r="AY318" i="43"/>
  <c r="AZ318" i="43"/>
  <c r="BA318" i="43"/>
  <c r="BB318" i="43"/>
  <c r="BC318" i="43"/>
  <c r="BD318" i="43"/>
  <c r="BE318" i="43"/>
  <c r="BF318" i="43"/>
  <c r="BG318" i="43"/>
  <c r="BI318" i="43"/>
  <c r="J319" i="43"/>
  <c r="K319" i="43"/>
  <c r="N319" i="43"/>
  <c r="AF319" i="43"/>
  <c r="AI319" i="43" s="1"/>
  <c r="AJ319" i="43"/>
  <c r="AK319" i="43"/>
  <c r="AL319" i="43"/>
  <c r="AM319" i="43"/>
  <c r="AN319" i="43"/>
  <c r="AO319" i="43"/>
  <c r="AP319" i="43"/>
  <c r="AQ319" i="43"/>
  <c r="AR319" i="43"/>
  <c r="AS319" i="43"/>
  <c r="AT319" i="43"/>
  <c r="AV319" i="43"/>
  <c r="AW319" i="43"/>
  <c r="AX319" i="43"/>
  <c r="AY319" i="43"/>
  <c r="AZ319" i="43"/>
  <c r="BA319" i="43"/>
  <c r="BB319" i="43"/>
  <c r="BC319" i="43"/>
  <c r="BD319" i="43"/>
  <c r="BE319" i="43"/>
  <c r="BF319" i="43"/>
  <c r="BG319" i="43"/>
  <c r="BI319" i="43"/>
  <c r="J320" i="43"/>
  <c r="K320" i="43"/>
  <c r="N320" i="43"/>
  <c r="AF320" i="43"/>
  <c r="AI320" i="43" s="1"/>
  <c r="AJ320" i="43"/>
  <c r="AK320" i="43"/>
  <c r="AL320" i="43"/>
  <c r="AM320" i="43"/>
  <c r="AN320" i="43"/>
  <c r="AO320" i="43"/>
  <c r="AP320" i="43"/>
  <c r="AQ320" i="43"/>
  <c r="AR320" i="43"/>
  <c r="AS320" i="43"/>
  <c r="AT320" i="43"/>
  <c r="AV320" i="43"/>
  <c r="AW320" i="43"/>
  <c r="AX320" i="43"/>
  <c r="AY320" i="43"/>
  <c r="AZ320" i="43"/>
  <c r="BA320" i="43"/>
  <c r="BB320" i="43"/>
  <c r="BC320" i="43"/>
  <c r="BD320" i="43"/>
  <c r="BE320" i="43"/>
  <c r="BF320" i="43"/>
  <c r="BG320" i="43"/>
  <c r="BI320" i="43"/>
  <c r="J321" i="43"/>
  <c r="K321" i="43"/>
  <c r="N321" i="43"/>
  <c r="AF321" i="43"/>
  <c r="AI321" i="43" s="1"/>
  <c r="AJ321" i="43"/>
  <c r="AK321" i="43"/>
  <c r="AL321" i="43"/>
  <c r="AM321" i="43"/>
  <c r="AN321" i="43"/>
  <c r="AO321" i="43"/>
  <c r="AP321" i="43"/>
  <c r="AQ321" i="43"/>
  <c r="AR321" i="43"/>
  <c r="AS321" i="43"/>
  <c r="AT321" i="43"/>
  <c r="AV321" i="43"/>
  <c r="AW321" i="43"/>
  <c r="AX321" i="43"/>
  <c r="AY321" i="43"/>
  <c r="AZ321" i="43"/>
  <c r="BA321" i="43"/>
  <c r="BB321" i="43"/>
  <c r="BC321" i="43"/>
  <c r="BD321" i="43"/>
  <c r="BE321" i="43"/>
  <c r="BF321" i="43"/>
  <c r="BG321" i="43"/>
  <c r="BI321" i="43"/>
  <c r="J322" i="43"/>
  <c r="K322" i="43"/>
  <c r="N322" i="43"/>
  <c r="AF322" i="43"/>
  <c r="AI322" i="43" s="1"/>
  <c r="AJ322" i="43"/>
  <c r="AK322" i="43"/>
  <c r="AL322" i="43"/>
  <c r="AM322" i="43"/>
  <c r="AN322" i="43"/>
  <c r="AO322" i="43"/>
  <c r="AP322" i="43"/>
  <c r="AQ322" i="43"/>
  <c r="AR322" i="43"/>
  <c r="AS322" i="43"/>
  <c r="AT322" i="43"/>
  <c r="AV322" i="43"/>
  <c r="AW322" i="43"/>
  <c r="AX322" i="43"/>
  <c r="AY322" i="43"/>
  <c r="AZ322" i="43"/>
  <c r="BA322" i="43"/>
  <c r="BB322" i="43"/>
  <c r="BC322" i="43"/>
  <c r="BD322" i="43"/>
  <c r="BE322" i="43"/>
  <c r="BF322" i="43"/>
  <c r="BG322" i="43"/>
  <c r="BI322" i="43"/>
  <c r="J323" i="43"/>
  <c r="K323" i="43"/>
  <c r="N323" i="43"/>
  <c r="AF323" i="43"/>
  <c r="AI323" i="43" s="1"/>
  <c r="AJ323" i="43"/>
  <c r="AK323" i="43"/>
  <c r="AL323" i="43"/>
  <c r="AM323" i="43"/>
  <c r="AN323" i="43"/>
  <c r="AO323" i="43"/>
  <c r="AP323" i="43"/>
  <c r="AQ323" i="43"/>
  <c r="AR323" i="43"/>
  <c r="AS323" i="43"/>
  <c r="AT323" i="43"/>
  <c r="AV323" i="43"/>
  <c r="AW323" i="43"/>
  <c r="AX323" i="43"/>
  <c r="AY323" i="43"/>
  <c r="AZ323" i="43"/>
  <c r="BA323" i="43"/>
  <c r="BB323" i="43"/>
  <c r="BC323" i="43"/>
  <c r="BD323" i="43"/>
  <c r="BE323" i="43"/>
  <c r="BF323" i="43"/>
  <c r="BG323" i="43"/>
  <c r="BI323" i="43"/>
  <c r="J324" i="43"/>
  <c r="K324" i="43"/>
  <c r="N324" i="43"/>
  <c r="AF324" i="43"/>
  <c r="AI324" i="43" s="1"/>
  <c r="AJ324" i="43"/>
  <c r="AK324" i="43"/>
  <c r="AL324" i="43"/>
  <c r="AM324" i="43"/>
  <c r="AN324" i="43"/>
  <c r="AO324" i="43"/>
  <c r="AP324" i="43"/>
  <c r="AQ324" i="43"/>
  <c r="AR324" i="43"/>
  <c r="AS324" i="43"/>
  <c r="AT324" i="43"/>
  <c r="AV324" i="43"/>
  <c r="AW324" i="43"/>
  <c r="AX324" i="43"/>
  <c r="AY324" i="43"/>
  <c r="AZ324" i="43"/>
  <c r="BA324" i="43"/>
  <c r="BB324" i="43"/>
  <c r="BC324" i="43"/>
  <c r="BD324" i="43"/>
  <c r="BE324" i="43"/>
  <c r="BF324" i="43"/>
  <c r="BG324" i="43"/>
  <c r="BI324" i="43"/>
  <c r="J325" i="43"/>
  <c r="K325" i="43"/>
  <c r="N325" i="43"/>
  <c r="AF325" i="43"/>
  <c r="AI325" i="43" s="1"/>
  <c r="AJ325" i="43"/>
  <c r="AK325" i="43"/>
  <c r="AL325" i="43"/>
  <c r="AM325" i="43"/>
  <c r="AN325" i="43"/>
  <c r="AO325" i="43"/>
  <c r="AP325" i="43"/>
  <c r="AQ325" i="43"/>
  <c r="AR325" i="43"/>
  <c r="AS325" i="43"/>
  <c r="AT325" i="43"/>
  <c r="AV325" i="43"/>
  <c r="AW325" i="43"/>
  <c r="AX325" i="43"/>
  <c r="AY325" i="43"/>
  <c r="AZ325" i="43"/>
  <c r="BA325" i="43"/>
  <c r="BB325" i="43"/>
  <c r="BC325" i="43"/>
  <c r="BD325" i="43"/>
  <c r="BE325" i="43"/>
  <c r="BF325" i="43"/>
  <c r="BG325" i="43"/>
  <c r="BI325" i="43"/>
  <c r="J326" i="43"/>
  <c r="K326" i="43"/>
  <c r="N326" i="43"/>
  <c r="AF326" i="43"/>
  <c r="AJ326" i="43"/>
  <c r="AK326" i="43"/>
  <c r="AL326" i="43"/>
  <c r="AM326" i="43"/>
  <c r="AN326" i="43"/>
  <c r="AO326" i="43"/>
  <c r="AP326" i="43"/>
  <c r="AQ326" i="43"/>
  <c r="AR326" i="43"/>
  <c r="AS326" i="43"/>
  <c r="AT326" i="43"/>
  <c r="AV326" i="43"/>
  <c r="AW326" i="43"/>
  <c r="AX326" i="43"/>
  <c r="AY326" i="43"/>
  <c r="AZ326" i="43"/>
  <c r="BA326" i="43"/>
  <c r="BB326" i="43"/>
  <c r="BC326" i="43"/>
  <c r="BD326" i="43"/>
  <c r="BE326" i="43"/>
  <c r="BF326" i="43"/>
  <c r="BG326" i="43"/>
  <c r="BI326" i="43"/>
  <c r="J327" i="43"/>
  <c r="K327" i="43"/>
  <c r="N327" i="43"/>
  <c r="AF327" i="43"/>
  <c r="AI327" i="43" s="1"/>
  <c r="AJ327" i="43"/>
  <c r="AK327" i="43"/>
  <c r="AL327" i="43"/>
  <c r="AM327" i="43"/>
  <c r="AN327" i="43"/>
  <c r="AO327" i="43"/>
  <c r="AP327" i="43"/>
  <c r="AQ327" i="43"/>
  <c r="AR327" i="43"/>
  <c r="AS327" i="43"/>
  <c r="AT327" i="43"/>
  <c r="AV327" i="43"/>
  <c r="AW327" i="43"/>
  <c r="AX327" i="43"/>
  <c r="AY327" i="43"/>
  <c r="AZ327" i="43"/>
  <c r="BA327" i="43"/>
  <c r="BB327" i="43"/>
  <c r="BC327" i="43"/>
  <c r="BD327" i="43"/>
  <c r="BE327" i="43"/>
  <c r="BF327" i="43"/>
  <c r="BG327" i="43"/>
  <c r="BI327" i="43"/>
  <c r="J328" i="43"/>
  <c r="K328" i="43"/>
  <c r="N328" i="43"/>
  <c r="AF328" i="43"/>
  <c r="AI328" i="43" s="1"/>
  <c r="AJ328" i="43"/>
  <c r="AK328" i="43"/>
  <c r="AL328" i="43"/>
  <c r="AM328" i="43"/>
  <c r="AN328" i="43"/>
  <c r="AO328" i="43"/>
  <c r="AP328" i="43"/>
  <c r="AQ328" i="43"/>
  <c r="AR328" i="43"/>
  <c r="AS328" i="43"/>
  <c r="AT328" i="43"/>
  <c r="AV328" i="43"/>
  <c r="AW328" i="43"/>
  <c r="AX328" i="43"/>
  <c r="AY328" i="43"/>
  <c r="AZ328" i="43"/>
  <c r="BA328" i="43"/>
  <c r="BB328" i="43"/>
  <c r="BC328" i="43"/>
  <c r="BD328" i="43"/>
  <c r="BE328" i="43"/>
  <c r="BF328" i="43"/>
  <c r="BG328" i="43"/>
  <c r="BI328" i="43"/>
  <c r="J329" i="43"/>
  <c r="K329" i="43"/>
  <c r="N329" i="43"/>
  <c r="AF329" i="43"/>
  <c r="AI329" i="43" s="1"/>
  <c r="AJ329" i="43"/>
  <c r="AK329" i="43"/>
  <c r="AL329" i="43"/>
  <c r="AM329" i="43"/>
  <c r="AN329" i="43"/>
  <c r="AO329" i="43"/>
  <c r="AP329" i="43"/>
  <c r="AQ329" i="43"/>
  <c r="AR329" i="43"/>
  <c r="AS329" i="43"/>
  <c r="AT329" i="43"/>
  <c r="AV329" i="43"/>
  <c r="AW329" i="43"/>
  <c r="AX329" i="43"/>
  <c r="AY329" i="43"/>
  <c r="AZ329" i="43"/>
  <c r="BA329" i="43"/>
  <c r="BB329" i="43"/>
  <c r="BC329" i="43"/>
  <c r="BD329" i="43"/>
  <c r="BE329" i="43"/>
  <c r="BF329" i="43"/>
  <c r="BG329" i="43"/>
  <c r="BI329" i="43"/>
  <c r="J330" i="43"/>
  <c r="K330" i="43"/>
  <c r="N330" i="43"/>
  <c r="AF330" i="43"/>
  <c r="AI330" i="43" s="1"/>
  <c r="AJ330" i="43"/>
  <c r="AK330" i="43"/>
  <c r="AL330" i="43"/>
  <c r="AM330" i="43"/>
  <c r="AN330" i="43"/>
  <c r="AO330" i="43"/>
  <c r="AP330" i="43"/>
  <c r="AQ330" i="43"/>
  <c r="AR330" i="43"/>
  <c r="AS330" i="43"/>
  <c r="AT330" i="43"/>
  <c r="AV330" i="43"/>
  <c r="AW330" i="43"/>
  <c r="AX330" i="43"/>
  <c r="AY330" i="43"/>
  <c r="AZ330" i="43"/>
  <c r="BA330" i="43"/>
  <c r="BB330" i="43"/>
  <c r="BC330" i="43"/>
  <c r="BD330" i="43"/>
  <c r="BE330" i="43"/>
  <c r="BF330" i="43"/>
  <c r="BG330" i="43"/>
  <c r="BI330" i="43"/>
  <c r="J331" i="43"/>
  <c r="K331" i="43"/>
  <c r="N331" i="43"/>
  <c r="AF331" i="43"/>
  <c r="AJ331" i="43"/>
  <c r="AK331" i="43"/>
  <c r="AL331" i="43"/>
  <c r="AM331" i="43"/>
  <c r="AN331" i="43"/>
  <c r="AO331" i="43"/>
  <c r="AP331" i="43"/>
  <c r="AQ331" i="43"/>
  <c r="AR331" i="43"/>
  <c r="AS331" i="43"/>
  <c r="AT331" i="43"/>
  <c r="AV331" i="43"/>
  <c r="AW331" i="43"/>
  <c r="AX331" i="43"/>
  <c r="AY331" i="43"/>
  <c r="AZ331" i="43"/>
  <c r="BA331" i="43"/>
  <c r="BB331" i="43"/>
  <c r="BC331" i="43"/>
  <c r="BD331" i="43"/>
  <c r="BE331" i="43"/>
  <c r="BF331" i="43"/>
  <c r="BG331" i="43"/>
  <c r="BI331" i="43"/>
  <c r="J332" i="43"/>
  <c r="K332" i="43"/>
  <c r="N332" i="43"/>
  <c r="AF332" i="43"/>
  <c r="AI332" i="43" s="1"/>
  <c r="AJ332" i="43"/>
  <c r="AK332" i="43"/>
  <c r="AL332" i="43"/>
  <c r="AM332" i="43"/>
  <c r="AN332" i="43"/>
  <c r="AO332" i="43"/>
  <c r="AP332" i="43"/>
  <c r="AQ332" i="43"/>
  <c r="AR332" i="43"/>
  <c r="AS332" i="43"/>
  <c r="AT332" i="43"/>
  <c r="AV332" i="43"/>
  <c r="AW332" i="43"/>
  <c r="AX332" i="43"/>
  <c r="AY332" i="43"/>
  <c r="AZ332" i="43"/>
  <c r="BA332" i="43"/>
  <c r="BB332" i="43"/>
  <c r="BC332" i="43"/>
  <c r="BD332" i="43"/>
  <c r="BE332" i="43"/>
  <c r="BF332" i="43"/>
  <c r="BG332" i="43"/>
  <c r="BI332" i="43"/>
  <c r="J333" i="43"/>
  <c r="K333" i="43"/>
  <c r="N333" i="43"/>
  <c r="AF333" i="43"/>
  <c r="AI333" i="43" s="1"/>
  <c r="AJ333" i="43"/>
  <c r="AK333" i="43"/>
  <c r="AL333" i="43"/>
  <c r="AM333" i="43"/>
  <c r="AN333" i="43"/>
  <c r="AO333" i="43"/>
  <c r="AP333" i="43"/>
  <c r="AQ333" i="43"/>
  <c r="AR333" i="43"/>
  <c r="AS333" i="43"/>
  <c r="AT333" i="43"/>
  <c r="AV333" i="43"/>
  <c r="AW333" i="43"/>
  <c r="AX333" i="43"/>
  <c r="AY333" i="43"/>
  <c r="AZ333" i="43"/>
  <c r="BA333" i="43"/>
  <c r="BB333" i="43"/>
  <c r="BC333" i="43"/>
  <c r="BD333" i="43"/>
  <c r="BE333" i="43"/>
  <c r="BF333" i="43"/>
  <c r="BG333" i="43"/>
  <c r="BI333" i="43"/>
  <c r="J334" i="43"/>
  <c r="K334" i="43"/>
  <c r="N334" i="43"/>
  <c r="V334" i="43"/>
  <c r="AF334" i="43"/>
  <c r="AJ334" i="43"/>
  <c r="AK334" i="43"/>
  <c r="AL334" i="43"/>
  <c r="AM334" i="43"/>
  <c r="AN334" i="43"/>
  <c r="AO334" i="43"/>
  <c r="AP334" i="43"/>
  <c r="AQ334" i="43"/>
  <c r="AR334" i="43"/>
  <c r="AS334" i="43"/>
  <c r="AT334" i="43"/>
  <c r="AV334" i="43"/>
  <c r="AW334" i="43"/>
  <c r="AX334" i="43"/>
  <c r="AY334" i="43"/>
  <c r="AZ334" i="43"/>
  <c r="BA334" i="43"/>
  <c r="BB334" i="43"/>
  <c r="BC334" i="43"/>
  <c r="BD334" i="43"/>
  <c r="BE334" i="43"/>
  <c r="BF334" i="43"/>
  <c r="BG334" i="43"/>
  <c r="BI334" i="43"/>
  <c r="J335" i="43"/>
  <c r="K335" i="43"/>
  <c r="N335" i="43"/>
  <c r="AF335" i="43"/>
  <c r="AI335" i="43" s="1"/>
  <c r="AJ335" i="43"/>
  <c r="AK335" i="43"/>
  <c r="AL335" i="43"/>
  <c r="AM335" i="43"/>
  <c r="AN335" i="43"/>
  <c r="AO335" i="43"/>
  <c r="AP335" i="43"/>
  <c r="AQ335" i="43"/>
  <c r="AR335" i="43"/>
  <c r="AS335" i="43"/>
  <c r="AT335" i="43"/>
  <c r="AV335" i="43"/>
  <c r="AW335" i="43"/>
  <c r="AX335" i="43"/>
  <c r="AY335" i="43"/>
  <c r="AZ335" i="43"/>
  <c r="BA335" i="43"/>
  <c r="BB335" i="43"/>
  <c r="BC335" i="43"/>
  <c r="BD335" i="43"/>
  <c r="BE335" i="43"/>
  <c r="BF335" i="43"/>
  <c r="BG335" i="43"/>
  <c r="BI335" i="43"/>
  <c r="J336" i="43"/>
  <c r="K336" i="43"/>
  <c r="N336" i="43"/>
  <c r="AF336" i="43"/>
  <c r="AI336" i="43" s="1"/>
  <c r="AJ336" i="43"/>
  <c r="AK336" i="43"/>
  <c r="AL336" i="43"/>
  <c r="AM336" i="43"/>
  <c r="AN336" i="43"/>
  <c r="AO336" i="43"/>
  <c r="AP336" i="43"/>
  <c r="AQ336" i="43"/>
  <c r="AR336" i="43"/>
  <c r="AS336" i="43"/>
  <c r="AT336" i="43"/>
  <c r="AV336" i="43"/>
  <c r="AW336" i="43"/>
  <c r="AX336" i="43"/>
  <c r="AY336" i="43"/>
  <c r="AZ336" i="43"/>
  <c r="BA336" i="43"/>
  <c r="BB336" i="43"/>
  <c r="BC336" i="43"/>
  <c r="BD336" i="43"/>
  <c r="BE336" i="43"/>
  <c r="BF336" i="43"/>
  <c r="BG336" i="43"/>
  <c r="BI336" i="43"/>
  <c r="J337" i="43"/>
  <c r="K337" i="43"/>
  <c r="N337" i="43"/>
  <c r="AF337" i="43"/>
  <c r="AI337" i="43" s="1"/>
  <c r="AJ337" i="43"/>
  <c r="AK337" i="43"/>
  <c r="AL337" i="43"/>
  <c r="AM337" i="43"/>
  <c r="AN337" i="43"/>
  <c r="AO337" i="43"/>
  <c r="AP337" i="43"/>
  <c r="AQ337" i="43"/>
  <c r="AR337" i="43"/>
  <c r="AS337" i="43"/>
  <c r="AT337" i="43"/>
  <c r="AV337" i="43"/>
  <c r="AW337" i="43"/>
  <c r="AX337" i="43"/>
  <c r="AY337" i="43"/>
  <c r="AZ337" i="43"/>
  <c r="BA337" i="43"/>
  <c r="BB337" i="43"/>
  <c r="BC337" i="43"/>
  <c r="BD337" i="43"/>
  <c r="BE337" i="43"/>
  <c r="BF337" i="43"/>
  <c r="BG337" i="43"/>
  <c r="BI337" i="43"/>
  <c r="J338" i="43"/>
  <c r="K338" i="43"/>
  <c r="N338" i="43"/>
  <c r="AF338" i="43"/>
  <c r="AI338" i="43" s="1"/>
  <c r="AJ338" i="43"/>
  <c r="AK338" i="43"/>
  <c r="AL338" i="43"/>
  <c r="AM338" i="43"/>
  <c r="AN338" i="43"/>
  <c r="AO338" i="43"/>
  <c r="AP338" i="43"/>
  <c r="AQ338" i="43"/>
  <c r="AR338" i="43"/>
  <c r="AS338" i="43"/>
  <c r="AT338" i="43"/>
  <c r="AV338" i="43"/>
  <c r="AW338" i="43"/>
  <c r="AX338" i="43"/>
  <c r="AY338" i="43"/>
  <c r="AZ338" i="43"/>
  <c r="BA338" i="43"/>
  <c r="BB338" i="43"/>
  <c r="BC338" i="43"/>
  <c r="BD338" i="43"/>
  <c r="BE338" i="43"/>
  <c r="BF338" i="43"/>
  <c r="BG338" i="43"/>
  <c r="BI338" i="43"/>
  <c r="J339" i="43"/>
  <c r="K339" i="43"/>
  <c r="N339" i="43"/>
  <c r="AF339" i="43"/>
  <c r="AI339" i="43" s="1"/>
  <c r="AJ339" i="43"/>
  <c r="AK339" i="43"/>
  <c r="AL339" i="43"/>
  <c r="AM339" i="43"/>
  <c r="AN339" i="43"/>
  <c r="AO339" i="43"/>
  <c r="AP339" i="43"/>
  <c r="AQ339" i="43"/>
  <c r="AR339" i="43"/>
  <c r="AS339" i="43"/>
  <c r="AT339" i="43"/>
  <c r="AV339" i="43"/>
  <c r="AW339" i="43"/>
  <c r="AX339" i="43"/>
  <c r="AY339" i="43"/>
  <c r="AZ339" i="43"/>
  <c r="BA339" i="43"/>
  <c r="BB339" i="43"/>
  <c r="BC339" i="43"/>
  <c r="BD339" i="43"/>
  <c r="BE339" i="43"/>
  <c r="BF339" i="43"/>
  <c r="BG339" i="43"/>
  <c r="BI339" i="43"/>
  <c r="J340" i="43"/>
  <c r="K340" i="43"/>
  <c r="N340" i="43"/>
  <c r="V340" i="43"/>
  <c r="AF340" i="43"/>
  <c r="AI340" i="43" s="1"/>
  <c r="AJ340" i="43"/>
  <c r="AK340" i="43"/>
  <c r="AL340" i="43"/>
  <c r="AM340" i="43"/>
  <c r="AN340" i="43"/>
  <c r="AO340" i="43"/>
  <c r="AP340" i="43"/>
  <c r="AQ340" i="43"/>
  <c r="AR340" i="43"/>
  <c r="AS340" i="43"/>
  <c r="AT340" i="43"/>
  <c r="AV340" i="43"/>
  <c r="AW340" i="43"/>
  <c r="AX340" i="43"/>
  <c r="AY340" i="43"/>
  <c r="AZ340" i="43"/>
  <c r="BA340" i="43"/>
  <c r="BB340" i="43"/>
  <c r="BC340" i="43"/>
  <c r="BD340" i="43"/>
  <c r="BE340" i="43"/>
  <c r="BF340" i="43"/>
  <c r="BG340" i="43"/>
  <c r="BI340" i="43"/>
  <c r="J341" i="43"/>
  <c r="K341" i="43"/>
  <c r="N341" i="43"/>
  <c r="AF341" i="43"/>
  <c r="AI341" i="43" s="1"/>
  <c r="AJ341" i="43"/>
  <c r="AK341" i="43"/>
  <c r="AL341" i="43"/>
  <c r="AM341" i="43"/>
  <c r="AN341" i="43"/>
  <c r="AO341" i="43"/>
  <c r="AP341" i="43"/>
  <c r="AQ341" i="43"/>
  <c r="AR341" i="43"/>
  <c r="AS341" i="43"/>
  <c r="AT341" i="43"/>
  <c r="AV341" i="43"/>
  <c r="AW341" i="43"/>
  <c r="AX341" i="43"/>
  <c r="AY341" i="43"/>
  <c r="AZ341" i="43"/>
  <c r="BA341" i="43"/>
  <c r="BB341" i="43"/>
  <c r="BC341" i="43"/>
  <c r="BD341" i="43"/>
  <c r="BE341" i="43"/>
  <c r="BF341" i="43"/>
  <c r="BG341" i="43"/>
  <c r="BI341" i="43"/>
  <c r="J342" i="43"/>
  <c r="K342" i="43"/>
  <c r="N342" i="43"/>
  <c r="AF342" i="43"/>
  <c r="AI342" i="43" s="1"/>
  <c r="AJ342" i="43"/>
  <c r="AK342" i="43"/>
  <c r="AL342" i="43"/>
  <c r="AM342" i="43"/>
  <c r="AN342" i="43"/>
  <c r="AO342" i="43"/>
  <c r="AP342" i="43"/>
  <c r="AQ342" i="43"/>
  <c r="AR342" i="43"/>
  <c r="AS342" i="43"/>
  <c r="AT342" i="43"/>
  <c r="AV342" i="43"/>
  <c r="AW342" i="43"/>
  <c r="AX342" i="43"/>
  <c r="AY342" i="43"/>
  <c r="AZ342" i="43"/>
  <c r="BA342" i="43"/>
  <c r="BB342" i="43"/>
  <c r="BC342" i="43"/>
  <c r="BD342" i="43"/>
  <c r="BE342" i="43"/>
  <c r="BF342" i="43"/>
  <c r="BG342" i="43"/>
  <c r="BI342" i="43"/>
  <c r="J343" i="43"/>
  <c r="K343" i="43"/>
  <c r="N343" i="43"/>
  <c r="AF343" i="43"/>
  <c r="AI343" i="43" s="1"/>
  <c r="AJ343" i="43"/>
  <c r="AK343" i="43"/>
  <c r="AL343" i="43"/>
  <c r="AM343" i="43"/>
  <c r="AN343" i="43"/>
  <c r="AO343" i="43"/>
  <c r="AP343" i="43"/>
  <c r="AQ343" i="43"/>
  <c r="AR343" i="43"/>
  <c r="AS343" i="43"/>
  <c r="AT343" i="43"/>
  <c r="AU343" i="43"/>
  <c r="AW343" i="43"/>
  <c r="AX343" i="43"/>
  <c r="AY343" i="43"/>
  <c r="AZ343" i="43"/>
  <c r="BA343" i="43"/>
  <c r="BB343" i="43"/>
  <c r="BC343" i="43"/>
  <c r="BD343" i="43"/>
  <c r="BE343" i="43"/>
  <c r="BF343" i="43"/>
  <c r="BG343" i="43"/>
  <c r="BH343" i="43"/>
  <c r="J344" i="43"/>
  <c r="K344" i="43"/>
  <c r="N344" i="43"/>
  <c r="AF344" i="43"/>
  <c r="AI344" i="43" s="1"/>
  <c r="AJ344" i="43"/>
  <c r="AK344" i="43"/>
  <c r="AL344" i="43"/>
  <c r="AM344" i="43"/>
  <c r="AN344" i="43"/>
  <c r="AO344" i="43"/>
  <c r="AP344" i="43"/>
  <c r="AQ344" i="43"/>
  <c r="AR344" i="43"/>
  <c r="AS344" i="43"/>
  <c r="AT344" i="43"/>
  <c r="AU344" i="43"/>
  <c r="AW344" i="43"/>
  <c r="AX344" i="43"/>
  <c r="AY344" i="43"/>
  <c r="AZ344" i="43"/>
  <c r="BA344" i="43"/>
  <c r="BB344" i="43"/>
  <c r="BC344" i="43"/>
  <c r="BD344" i="43"/>
  <c r="BE344" i="43"/>
  <c r="BF344" i="43"/>
  <c r="BG344" i="43"/>
  <c r="BH344" i="43"/>
  <c r="J345" i="43"/>
  <c r="K345" i="43"/>
  <c r="N345" i="43"/>
  <c r="AF345" i="43"/>
  <c r="AI345" i="43" s="1"/>
  <c r="AJ345" i="43"/>
  <c r="AK345" i="43"/>
  <c r="AL345" i="43"/>
  <c r="AM345" i="43"/>
  <c r="AN345" i="43"/>
  <c r="AO345" i="43"/>
  <c r="AP345" i="43"/>
  <c r="AQ345" i="43"/>
  <c r="AR345" i="43"/>
  <c r="AS345" i="43"/>
  <c r="AT345" i="43"/>
  <c r="AU345" i="43"/>
  <c r="AW345" i="43"/>
  <c r="AX345" i="43"/>
  <c r="AY345" i="43"/>
  <c r="AZ345" i="43"/>
  <c r="BA345" i="43"/>
  <c r="BB345" i="43"/>
  <c r="BC345" i="43"/>
  <c r="BD345" i="43"/>
  <c r="BE345" i="43"/>
  <c r="BF345" i="43"/>
  <c r="BG345" i="43"/>
  <c r="BH345" i="43"/>
  <c r="J346" i="43"/>
  <c r="K346" i="43"/>
  <c r="N346" i="43"/>
  <c r="AF346" i="43"/>
  <c r="AJ346" i="43"/>
  <c r="AK346" i="43"/>
  <c r="AL346" i="43"/>
  <c r="AM346" i="43"/>
  <c r="AN346" i="43"/>
  <c r="AO346" i="43"/>
  <c r="AP346" i="43"/>
  <c r="AQ346" i="43"/>
  <c r="AR346" i="43"/>
  <c r="AS346" i="43"/>
  <c r="AT346" i="43"/>
  <c r="AU346" i="43"/>
  <c r="AW346" i="43"/>
  <c r="AX346" i="43"/>
  <c r="AY346" i="43"/>
  <c r="AZ346" i="43"/>
  <c r="BA346" i="43"/>
  <c r="BB346" i="43"/>
  <c r="BC346" i="43"/>
  <c r="BD346" i="43"/>
  <c r="BE346" i="43"/>
  <c r="BF346" i="43"/>
  <c r="BG346" i="43"/>
  <c r="BH346" i="43"/>
  <c r="J347" i="43"/>
  <c r="N347" i="43"/>
  <c r="K347" i="43"/>
  <c r="AF347" i="43"/>
  <c r="AJ347" i="43"/>
  <c r="AK347" i="43"/>
  <c r="AL347" i="43"/>
  <c r="AM347" i="43"/>
  <c r="AN347" i="43"/>
  <c r="AO347" i="43"/>
  <c r="AP347" i="43"/>
  <c r="AQ347" i="43"/>
  <c r="AR347" i="43"/>
  <c r="AS347" i="43"/>
  <c r="AT347" i="43"/>
  <c r="AU347" i="43"/>
  <c r="AW347" i="43"/>
  <c r="AX347" i="43"/>
  <c r="AY347" i="43"/>
  <c r="AZ347" i="43"/>
  <c r="BA347" i="43"/>
  <c r="BB347" i="43"/>
  <c r="BC347" i="43"/>
  <c r="BD347" i="43"/>
  <c r="BE347" i="43"/>
  <c r="BF347" i="43"/>
  <c r="BG347" i="43"/>
  <c r="BH347" i="43"/>
  <c r="J348" i="43"/>
  <c r="K348" i="43"/>
  <c r="N348" i="43"/>
  <c r="AF348" i="43"/>
  <c r="AI348" i="43" s="1"/>
  <c r="AJ348" i="43"/>
  <c r="AK348" i="43"/>
  <c r="AL348" i="43"/>
  <c r="AM348" i="43"/>
  <c r="AN348" i="43"/>
  <c r="AO348" i="43"/>
  <c r="AP348" i="43"/>
  <c r="AQ348" i="43"/>
  <c r="AR348" i="43"/>
  <c r="AS348" i="43"/>
  <c r="AT348" i="43"/>
  <c r="AU348" i="43"/>
  <c r="AW348" i="43"/>
  <c r="AX348" i="43"/>
  <c r="AY348" i="43"/>
  <c r="AZ348" i="43"/>
  <c r="BA348" i="43"/>
  <c r="BB348" i="43"/>
  <c r="BC348" i="43"/>
  <c r="BD348" i="43"/>
  <c r="BE348" i="43"/>
  <c r="BF348" i="43"/>
  <c r="BG348" i="43"/>
  <c r="BH348" i="43"/>
  <c r="J349" i="43"/>
  <c r="K349" i="43"/>
  <c r="N349" i="43"/>
  <c r="AF349" i="43"/>
  <c r="AI349" i="43" s="1"/>
  <c r="AJ349" i="43"/>
  <c r="AK349" i="43"/>
  <c r="AL349" i="43"/>
  <c r="AM349" i="43"/>
  <c r="AN349" i="43"/>
  <c r="AO349" i="43"/>
  <c r="AP349" i="43"/>
  <c r="AQ349" i="43"/>
  <c r="AR349" i="43"/>
  <c r="AS349" i="43"/>
  <c r="AT349" i="43"/>
  <c r="AU349" i="43"/>
  <c r="AW349" i="43"/>
  <c r="AX349" i="43"/>
  <c r="AY349" i="43"/>
  <c r="AZ349" i="43"/>
  <c r="BA349" i="43"/>
  <c r="BB349" i="43"/>
  <c r="BC349" i="43"/>
  <c r="BD349" i="43"/>
  <c r="BE349" i="43"/>
  <c r="BF349" i="43"/>
  <c r="BG349" i="43"/>
  <c r="BH349" i="43"/>
  <c r="J350" i="43"/>
  <c r="K350" i="43"/>
  <c r="N350" i="43"/>
  <c r="AF350" i="43"/>
  <c r="AI350" i="43" s="1"/>
  <c r="AJ350" i="43"/>
  <c r="AK350" i="43"/>
  <c r="AL350" i="43"/>
  <c r="AM350" i="43"/>
  <c r="AN350" i="43"/>
  <c r="AO350" i="43"/>
  <c r="AP350" i="43"/>
  <c r="AQ350" i="43"/>
  <c r="AR350" i="43"/>
  <c r="AS350" i="43"/>
  <c r="AT350" i="43"/>
  <c r="AU350" i="43"/>
  <c r="AW350" i="43"/>
  <c r="AX350" i="43"/>
  <c r="AY350" i="43"/>
  <c r="AZ350" i="43"/>
  <c r="BA350" i="43"/>
  <c r="BB350" i="43"/>
  <c r="BC350" i="43"/>
  <c r="BD350" i="43"/>
  <c r="BE350" i="43"/>
  <c r="BF350" i="43"/>
  <c r="BG350" i="43"/>
  <c r="BH350" i="43"/>
  <c r="J351" i="43"/>
  <c r="K351" i="43"/>
  <c r="N351" i="43"/>
  <c r="AF351" i="43"/>
  <c r="AI351" i="43" s="1"/>
  <c r="AJ351" i="43"/>
  <c r="AK351" i="43"/>
  <c r="AL351" i="43"/>
  <c r="AM351" i="43"/>
  <c r="AN351" i="43"/>
  <c r="AO351" i="43"/>
  <c r="AP351" i="43"/>
  <c r="AQ351" i="43"/>
  <c r="AR351" i="43"/>
  <c r="AS351" i="43"/>
  <c r="AT351" i="43"/>
  <c r="AU351" i="43"/>
  <c r="AW351" i="43"/>
  <c r="AX351" i="43"/>
  <c r="AY351" i="43"/>
  <c r="AZ351" i="43"/>
  <c r="BA351" i="43"/>
  <c r="BB351" i="43"/>
  <c r="BC351" i="43"/>
  <c r="BD351" i="43"/>
  <c r="BE351" i="43"/>
  <c r="BF351" i="43"/>
  <c r="BG351" i="43"/>
  <c r="BH351" i="43"/>
  <c r="J352" i="43"/>
  <c r="K352" i="43"/>
  <c r="N352" i="43"/>
  <c r="AF352" i="43"/>
  <c r="AI352" i="43" s="1"/>
  <c r="AJ352" i="43"/>
  <c r="AK352" i="43"/>
  <c r="AL352" i="43"/>
  <c r="AM352" i="43"/>
  <c r="AN352" i="43"/>
  <c r="AO352" i="43"/>
  <c r="AP352" i="43"/>
  <c r="AQ352" i="43"/>
  <c r="AR352" i="43"/>
  <c r="AS352" i="43"/>
  <c r="AT352" i="43"/>
  <c r="AU352" i="43"/>
  <c r="AW352" i="43"/>
  <c r="AX352" i="43"/>
  <c r="AY352" i="43"/>
  <c r="AZ352" i="43"/>
  <c r="BA352" i="43"/>
  <c r="BB352" i="43"/>
  <c r="BC352" i="43"/>
  <c r="BD352" i="43"/>
  <c r="BE352" i="43"/>
  <c r="BF352" i="43"/>
  <c r="BG352" i="43"/>
  <c r="BH352" i="43"/>
  <c r="J353" i="43"/>
  <c r="K353" i="43"/>
  <c r="N353" i="43"/>
  <c r="AF353" i="43"/>
  <c r="AI353" i="43" s="1"/>
  <c r="AJ353" i="43"/>
  <c r="AK353" i="43"/>
  <c r="AL353" i="43"/>
  <c r="AM353" i="43"/>
  <c r="AN353" i="43"/>
  <c r="AO353" i="43"/>
  <c r="AP353" i="43"/>
  <c r="AQ353" i="43"/>
  <c r="AR353" i="43"/>
  <c r="AS353" i="43"/>
  <c r="AT353" i="43"/>
  <c r="AU353" i="43"/>
  <c r="AW353" i="43"/>
  <c r="AX353" i="43"/>
  <c r="AY353" i="43"/>
  <c r="AZ353" i="43"/>
  <c r="BA353" i="43"/>
  <c r="BB353" i="43"/>
  <c r="BC353" i="43"/>
  <c r="BD353" i="43"/>
  <c r="BE353" i="43"/>
  <c r="BF353" i="43"/>
  <c r="BG353" i="43"/>
  <c r="BH353" i="43"/>
  <c r="J354" i="43"/>
  <c r="K354" i="43"/>
  <c r="N354" i="43"/>
  <c r="AF354" i="43"/>
  <c r="AJ354" i="43"/>
  <c r="AK354" i="43"/>
  <c r="AL354" i="43"/>
  <c r="AM354" i="43"/>
  <c r="AN354" i="43"/>
  <c r="AO354" i="43"/>
  <c r="AP354" i="43"/>
  <c r="AQ354" i="43"/>
  <c r="AR354" i="43"/>
  <c r="AS354" i="43"/>
  <c r="AT354" i="43"/>
  <c r="AU354" i="43"/>
  <c r="AW354" i="43"/>
  <c r="AX354" i="43"/>
  <c r="AY354" i="43"/>
  <c r="AZ354" i="43"/>
  <c r="BA354" i="43"/>
  <c r="BB354" i="43"/>
  <c r="BC354" i="43"/>
  <c r="BD354" i="43"/>
  <c r="BE354" i="43"/>
  <c r="BF354" i="43"/>
  <c r="BG354" i="43"/>
  <c r="BH354" i="43"/>
  <c r="J355" i="43"/>
  <c r="K355" i="43"/>
  <c r="N355" i="43"/>
  <c r="AF355" i="43"/>
  <c r="AI355" i="43" s="1"/>
  <c r="AJ355" i="43"/>
  <c r="AK355" i="43"/>
  <c r="AL355" i="43"/>
  <c r="AM355" i="43"/>
  <c r="AN355" i="43"/>
  <c r="AO355" i="43"/>
  <c r="AP355" i="43"/>
  <c r="AQ355" i="43"/>
  <c r="AR355" i="43"/>
  <c r="AS355" i="43"/>
  <c r="AT355" i="43"/>
  <c r="AU355" i="43"/>
  <c r="AW355" i="43"/>
  <c r="AX355" i="43"/>
  <c r="AY355" i="43"/>
  <c r="AZ355" i="43"/>
  <c r="BA355" i="43"/>
  <c r="BB355" i="43"/>
  <c r="BC355" i="43"/>
  <c r="BD355" i="43"/>
  <c r="BE355" i="43"/>
  <c r="BF355" i="43"/>
  <c r="BG355" i="43"/>
  <c r="BH355" i="43"/>
  <c r="J356" i="43"/>
  <c r="N356" i="43"/>
  <c r="K356" i="43"/>
  <c r="AF356" i="43"/>
  <c r="AI356" i="43" s="1"/>
  <c r="AJ356" i="43"/>
  <c r="AK356" i="43"/>
  <c r="AL356" i="43"/>
  <c r="AM356" i="43"/>
  <c r="AN356" i="43"/>
  <c r="AO356" i="43"/>
  <c r="AP356" i="43"/>
  <c r="AQ356" i="43"/>
  <c r="AR356" i="43"/>
  <c r="AS356" i="43"/>
  <c r="AT356" i="43"/>
  <c r="AU356" i="43"/>
  <c r="AW356" i="43"/>
  <c r="AX356" i="43"/>
  <c r="AY356" i="43"/>
  <c r="AZ356" i="43"/>
  <c r="BA356" i="43"/>
  <c r="BB356" i="43"/>
  <c r="BC356" i="43"/>
  <c r="BD356" i="43"/>
  <c r="BE356" i="43"/>
  <c r="BF356" i="43"/>
  <c r="BG356" i="43"/>
  <c r="BH356" i="43"/>
  <c r="J357" i="43"/>
  <c r="K357" i="43"/>
  <c r="N357" i="43"/>
  <c r="AF357" i="43"/>
  <c r="AJ357" i="43"/>
  <c r="AK357" i="43"/>
  <c r="AL357" i="43"/>
  <c r="AM357" i="43"/>
  <c r="AN357" i="43"/>
  <c r="AO357" i="43"/>
  <c r="AP357" i="43"/>
  <c r="AQ357" i="43"/>
  <c r="AR357" i="43"/>
  <c r="AS357" i="43"/>
  <c r="AT357" i="43"/>
  <c r="AU357" i="43"/>
  <c r="AW357" i="43"/>
  <c r="AX357" i="43"/>
  <c r="AY357" i="43"/>
  <c r="AZ357" i="43"/>
  <c r="BA357" i="43"/>
  <c r="BB357" i="43"/>
  <c r="BC357" i="43"/>
  <c r="BD357" i="43"/>
  <c r="BE357" i="43"/>
  <c r="BF357" i="43"/>
  <c r="BG357" i="43"/>
  <c r="BH357" i="43"/>
  <c r="J358" i="43"/>
  <c r="K358" i="43"/>
  <c r="N358" i="43"/>
  <c r="AF358" i="43"/>
  <c r="AI358" i="43" s="1"/>
  <c r="AJ358" i="43"/>
  <c r="AK358" i="43"/>
  <c r="AL358" i="43"/>
  <c r="AM358" i="43"/>
  <c r="AN358" i="43"/>
  <c r="AO358" i="43"/>
  <c r="AP358" i="43"/>
  <c r="AQ358" i="43"/>
  <c r="AR358" i="43"/>
  <c r="AS358" i="43"/>
  <c r="AT358" i="43"/>
  <c r="AU358" i="43"/>
  <c r="AW358" i="43"/>
  <c r="AX358" i="43"/>
  <c r="AY358" i="43"/>
  <c r="AZ358" i="43"/>
  <c r="BA358" i="43"/>
  <c r="BB358" i="43"/>
  <c r="BC358" i="43"/>
  <c r="BD358" i="43"/>
  <c r="BE358" i="43"/>
  <c r="BF358" i="43"/>
  <c r="BG358" i="43"/>
  <c r="BH358" i="43"/>
  <c r="J359" i="43"/>
  <c r="K359" i="43"/>
  <c r="N359" i="43"/>
  <c r="AF359" i="43"/>
  <c r="AI359" i="43" s="1"/>
  <c r="AJ359" i="43"/>
  <c r="AK359" i="43"/>
  <c r="AL359" i="43"/>
  <c r="AM359" i="43"/>
  <c r="AN359" i="43"/>
  <c r="AO359" i="43"/>
  <c r="AP359" i="43"/>
  <c r="AQ359" i="43"/>
  <c r="AR359" i="43"/>
  <c r="AS359" i="43"/>
  <c r="AT359" i="43"/>
  <c r="AU359" i="43"/>
  <c r="AW359" i="43"/>
  <c r="AX359" i="43"/>
  <c r="AY359" i="43"/>
  <c r="AZ359" i="43"/>
  <c r="BA359" i="43"/>
  <c r="BB359" i="43"/>
  <c r="BC359" i="43"/>
  <c r="BD359" i="43"/>
  <c r="BE359" i="43"/>
  <c r="BF359" i="43"/>
  <c r="BG359" i="43"/>
  <c r="BH359" i="43"/>
  <c r="J360" i="43"/>
  <c r="K360" i="43"/>
  <c r="N360" i="43"/>
  <c r="AF360" i="43"/>
  <c r="AJ360" i="43"/>
  <c r="AK360" i="43"/>
  <c r="AL360" i="43"/>
  <c r="AM360" i="43"/>
  <c r="AN360" i="43"/>
  <c r="AO360" i="43"/>
  <c r="AP360" i="43"/>
  <c r="AQ360" i="43"/>
  <c r="AR360" i="43"/>
  <c r="AS360" i="43"/>
  <c r="AT360" i="43"/>
  <c r="AU360" i="43"/>
  <c r="AW360" i="43"/>
  <c r="AX360" i="43"/>
  <c r="AY360" i="43"/>
  <c r="AZ360" i="43"/>
  <c r="BA360" i="43"/>
  <c r="BB360" i="43"/>
  <c r="BC360" i="43"/>
  <c r="BD360" i="43"/>
  <c r="BE360" i="43"/>
  <c r="BF360" i="43"/>
  <c r="BG360" i="43"/>
  <c r="BH360" i="43"/>
  <c r="J361" i="43"/>
  <c r="K361" i="43"/>
  <c r="N361" i="43"/>
  <c r="AF361" i="43"/>
  <c r="AJ361" i="43"/>
  <c r="AK361" i="43"/>
  <c r="AL361" i="43"/>
  <c r="AM361" i="43"/>
  <c r="AN361" i="43"/>
  <c r="AO361" i="43"/>
  <c r="AP361" i="43"/>
  <c r="AQ361" i="43"/>
  <c r="AR361" i="43"/>
  <c r="AS361" i="43"/>
  <c r="AT361" i="43"/>
  <c r="AU361" i="43"/>
  <c r="AW361" i="43"/>
  <c r="AX361" i="43"/>
  <c r="AY361" i="43"/>
  <c r="AZ361" i="43"/>
  <c r="BA361" i="43"/>
  <c r="BB361" i="43"/>
  <c r="BC361" i="43"/>
  <c r="BD361" i="43"/>
  <c r="BE361" i="43"/>
  <c r="BF361" i="43"/>
  <c r="BG361" i="43"/>
  <c r="BH361" i="43"/>
  <c r="J362" i="43"/>
  <c r="K362" i="43"/>
  <c r="N362" i="43"/>
  <c r="AF362" i="43"/>
  <c r="AJ362" i="43"/>
  <c r="AK362" i="43"/>
  <c r="AL362" i="43"/>
  <c r="AM362" i="43"/>
  <c r="AN362" i="43"/>
  <c r="AO362" i="43"/>
  <c r="AP362" i="43"/>
  <c r="AQ362" i="43"/>
  <c r="AR362" i="43"/>
  <c r="AS362" i="43"/>
  <c r="AT362" i="43"/>
  <c r="AU362" i="43"/>
  <c r="AW362" i="43"/>
  <c r="AX362" i="43"/>
  <c r="AY362" i="43"/>
  <c r="AZ362" i="43"/>
  <c r="BA362" i="43"/>
  <c r="BB362" i="43"/>
  <c r="BC362" i="43"/>
  <c r="BD362" i="43"/>
  <c r="BE362" i="43"/>
  <c r="BF362" i="43"/>
  <c r="BG362" i="43"/>
  <c r="BH362" i="43"/>
  <c r="J363" i="43"/>
  <c r="K363" i="43"/>
  <c r="N363" i="43"/>
  <c r="AF363" i="43"/>
  <c r="AJ363" i="43"/>
  <c r="AK363" i="43"/>
  <c r="AL363" i="43"/>
  <c r="AM363" i="43"/>
  <c r="AN363" i="43"/>
  <c r="AO363" i="43"/>
  <c r="AP363" i="43"/>
  <c r="AQ363" i="43"/>
  <c r="AR363" i="43"/>
  <c r="AS363" i="43"/>
  <c r="AT363" i="43"/>
  <c r="AU363" i="43"/>
  <c r="AW363" i="43"/>
  <c r="AX363" i="43"/>
  <c r="AY363" i="43"/>
  <c r="AZ363" i="43"/>
  <c r="BA363" i="43"/>
  <c r="BB363" i="43"/>
  <c r="BC363" i="43"/>
  <c r="BD363" i="43"/>
  <c r="BE363" i="43"/>
  <c r="BF363" i="43"/>
  <c r="BG363" i="43"/>
  <c r="BH363" i="43"/>
  <c r="J364" i="43"/>
  <c r="K364" i="43"/>
  <c r="N364" i="43"/>
  <c r="AF364" i="43"/>
  <c r="AJ364" i="43"/>
  <c r="AK364" i="43"/>
  <c r="AL364" i="43"/>
  <c r="AM364" i="43"/>
  <c r="AN364" i="43"/>
  <c r="AO364" i="43"/>
  <c r="AP364" i="43"/>
  <c r="AQ364" i="43"/>
  <c r="AR364" i="43"/>
  <c r="AS364" i="43"/>
  <c r="AT364" i="43"/>
  <c r="AU364" i="43"/>
  <c r="AW364" i="43"/>
  <c r="AX364" i="43"/>
  <c r="AY364" i="43"/>
  <c r="AZ364" i="43"/>
  <c r="BA364" i="43"/>
  <c r="BB364" i="43"/>
  <c r="BC364" i="43"/>
  <c r="BD364" i="43"/>
  <c r="BE364" i="43"/>
  <c r="BF364" i="43"/>
  <c r="BG364" i="43"/>
  <c r="BH364" i="43"/>
  <c r="O365" i="43"/>
  <c r="P365" i="43" s="1"/>
  <c r="V365" i="43"/>
  <c r="AJ365" i="43"/>
  <c r="AK365" i="43"/>
  <c r="AL365" i="43"/>
  <c r="AM365" i="43"/>
  <c r="AN365" i="43"/>
  <c r="AO365" i="43"/>
  <c r="AP365" i="43"/>
  <c r="AQ365" i="43"/>
  <c r="AR365" i="43"/>
  <c r="AS365" i="43"/>
  <c r="AT365" i="43"/>
  <c r="AU365" i="43"/>
  <c r="AV365" i="43"/>
  <c r="AW365" i="43"/>
  <c r="AX365" i="43"/>
  <c r="AY365" i="43"/>
  <c r="AZ365" i="43"/>
  <c r="BA365" i="43"/>
  <c r="BB365" i="43"/>
  <c r="BC365" i="43"/>
  <c r="BD365" i="43"/>
  <c r="BE365" i="43"/>
  <c r="BF365" i="43"/>
  <c r="BG365" i="43"/>
  <c r="BH365" i="43"/>
  <c r="BI365" i="43"/>
  <c r="O366" i="43"/>
  <c r="P366" i="43" s="1"/>
  <c r="V366" i="43"/>
  <c r="AJ366" i="43"/>
  <c r="AK366" i="43"/>
  <c r="AL366" i="43"/>
  <c r="AM366" i="43"/>
  <c r="AN366" i="43"/>
  <c r="AO366" i="43"/>
  <c r="AP366" i="43"/>
  <c r="AQ366" i="43"/>
  <c r="AR366" i="43"/>
  <c r="AS366" i="43"/>
  <c r="AT366" i="43"/>
  <c r="AU366" i="43"/>
  <c r="AV366" i="43"/>
  <c r="AW366" i="43"/>
  <c r="AX366" i="43"/>
  <c r="AY366" i="43"/>
  <c r="AZ366" i="43"/>
  <c r="BA366" i="43"/>
  <c r="BB366" i="43"/>
  <c r="BC366" i="43"/>
  <c r="BD366" i="43"/>
  <c r="BE366" i="43"/>
  <c r="BF366" i="43"/>
  <c r="BG366" i="43"/>
  <c r="BH366" i="43"/>
  <c r="BI366" i="43"/>
  <c r="L367" i="43"/>
  <c r="M367" i="43"/>
  <c r="Q367" i="43"/>
  <c r="R367" i="43"/>
  <c r="S367" i="43"/>
  <c r="T367" i="43"/>
  <c r="U367" i="43"/>
  <c r="W367" i="43"/>
  <c r="AE367" i="43"/>
  <c r="C24" i="5"/>
  <c r="AS390" i="1" l="1"/>
  <c r="O76" i="43"/>
  <c r="O317" i="43"/>
  <c r="P317" i="43" s="1"/>
  <c r="X317" i="43" s="1"/>
  <c r="AG317" i="43" s="1"/>
  <c r="O287" i="43"/>
  <c r="O281" i="43"/>
  <c r="P281" i="43" s="1"/>
  <c r="X281" i="43" s="1"/>
  <c r="O269" i="43"/>
  <c r="P269" i="43" s="1"/>
  <c r="X269" i="43" s="1"/>
  <c r="AG269" i="43" s="1"/>
  <c r="O263" i="43"/>
  <c r="P263" i="43" s="1"/>
  <c r="X263" i="43" s="1"/>
  <c r="Y263" i="43" s="1"/>
  <c r="Z263" i="43" s="1"/>
  <c r="AA263" i="43" s="1"/>
  <c r="O212" i="43"/>
  <c r="P212" i="43" s="1"/>
  <c r="X212" i="43" s="1"/>
  <c r="AH212" i="43" s="1"/>
  <c r="AI212" i="43" s="1"/>
  <c r="O131" i="43"/>
  <c r="P131" i="43" s="1"/>
  <c r="X131" i="43" s="1"/>
  <c r="AG131" i="43" s="1"/>
  <c r="O125" i="43"/>
  <c r="P125" i="43" s="1"/>
  <c r="X125" i="43" s="1"/>
  <c r="O107" i="43"/>
  <c r="P107" i="43" s="1"/>
  <c r="X107" i="43" s="1"/>
  <c r="AH107" i="43" s="1"/>
  <c r="AI107" i="43" s="1"/>
  <c r="O101" i="43"/>
  <c r="P101" i="43" s="1"/>
  <c r="X101" i="43" s="1"/>
  <c r="AG101" i="43" s="1"/>
  <c r="O95" i="43"/>
  <c r="P95" i="43" s="1"/>
  <c r="X95" i="43" s="1"/>
  <c r="AG95" i="43" s="1"/>
  <c r="O316" i="43"/>
  <c r="P316" i="43" s="1"/>
  <c r="X316" i="43" s="1"/>
  <c r="AG316" i="43" s="1"/>
  <c r="O268" i="43"/>
  <c r="P268" i="43" s="1"/>
  <c r="X268" i="43" s="1"/>
  <c r="Y268" i="43" s="1"/>
  <c r="Z268" i="43" s="1"/>
  <c r="O52" i="43"/>
  <c r="P52" i="43" s="1"/>
  <c r="X52" i="43" s="1"/>
  <c r="O350" i="43"/>
  <c r="P350" i="43" s="1"/>
  <c r="X350" i="43" s="1"/>
  <c r="AG350" i="43" s="1"/>
  <c r="O318" i="43"/>
  <c r="P318" i="43" s="1"/>
  <c r="X318" i="43" s="1"/>
  <c r="O234" i="43"/>
  <c r="P234" i="43" s="1"/>
  <c r="X234" i="43" s="1"/>
  <c r="AH234" i="43" s="1"/>
  <c r="AI234" i="43" s="1"/>
  <c r="O45" i="43"/>
  <c r="P45" i="43" s="1"/>
  <c r="X45" i="43" s="1"/>
  <c r="AH45" i="43" s="1"/>
  <c r="AI45" i="43" s="1"/>
  <c r="O156" i="43"/>
  <c r="O144" i="43"/>
  <c r="P144" i="43" s="1"/>
  <c r="X144" i="43" s="1"/>
  <c r="AG144" i="43" s="1"/>
  <c r="O72" i="43"/>
  <c r="P72" i="43" s="1"/>
  <c r="X72" i="43" s="1"/>
  <c r="AG72" i="43" s="1"/>
  <c r="O142" i="43"/>
  <c r="P142" i="43" s="1"/>
  <c r="X142" i="43" s="1"/>
  <c r="O254" i="43"/>
  <c r="P254" i="43" s="1"/>
  <c r="X254" i="43" s="1"/>
  <c r="AG254" i="43" s="1"/>
  <c r="O59" i="43"/>
  <c r="P59" i="43" s="1"/>
  <c r="X59" i="43" s="1"/>
  <c r="O164" i="43"/>
  <c r="P164" i="43" s="1"/>
  <c r="X164" i="43" s="1"/>
  <c r="O152" i="43"/>
  <c r="P152" i="43" s="1"/>
  <c r="X152" i="43" s="1"/>
  <c r="O134" i="43"/>
  <c r="P134" i="43" s="1"/>
  <c r="X134" i="43" s="1"/>
  <c r="AG134" i="43" s="1"/>
  <c r="O271" i="43"/>
  <c r="P271" i="43" s="1"/>
  <c r="X271" i="43" s="1"/>
  <c r="Y271" i="43" s="1"/>
  <c r="Z271" i="43" s="1"/>
  <c r="O50" i="43"/>
  <c r="P50" i="43" s="1"/>
  <c r="X50" i="43" s="1"/>
  <c r="AG50" i="43" s="1"/>
  <c r="O109" i="43"/>
  <c r="P109" i="43" s="1"/>
  <c r="X109" i="43" s="1"/>
  <c r="AG109" i="43" s="1"/>
  <c r="O61" i="43"/>
  <c r="P61" i="43" s="1"/>
  <c r="X61" i="43" s="1"/>
  <c r="AH61" i="43" s="1"/>
  <c r="AI61" i="43" s="1"/>
  <c r="O315" i="43"/>
  <c r="P315" i="43" s="1"/>
  <c r="X315" i="43" s="1"/>
  <c r="AG315" i="43" s="1"/>
  <c r="O309" i="43"/>
  <c r="P309" i="43" s="1"/>
  <c r="X309" i="43" s="1"/>
  <c r="AG309" i="43" s="1"/>
  <c r="O303" i="43"/>
  <c r="P303" i="43" s="1"/>
  <c r="X303" i="43" s="1"/>
  <c r="O297" i="43"/>
  <c r="P297" i="43" s="1"/>
  <c r="X297" i="43" s="1"/>
  <c r="Y297" i="43" s="1"/>
  <c r="Z297" i="43" s="1"/>
  <c r="AA297" i="43" s="1"/>
  <c r="O291" i="43"/>
  <c r="P291" i="43" s="1"/>
  <c r="X291" i="43" s="1"/>
  <c r="Y291" i="43" s="1"/>
  <c r="Z291" i="43" s="1"/>
  <c r="AA291" i="43" s="1"/>
  <c r="O267" i="43"/>
  <c r="P267" i="43" s="1"/>
  <c r="X267" i="43" s="1"/>
  <c r="AG267" i="43" s="1"/>
  <c r="O255" i="43"/>
  <c r="P255" i="43" s="1"/>
  <c r="X255" i="43" s="1"/>
  <c r="Y255" i="43" s="1"/>
  <c r="Z255" i="43" s="1"/>
  <c r="AA255" i="43" s="1"/>
  <c r="O40" i="43"/>
  <c r="P40" i="43" s="1"/>
  <c r="X40" i="43" s="1"/>
  <c r="AH40" i="43" s="1"/>
  <c r="AI40" i="43" s="1"/>
  <c r="O111" i="43"/>
  <c r="P111" i="43" s="1"/>
  <c r="X111" i="43" s="1"/>
  <c r="AH111" i="43" s="1"/>
  <c r="AI111" i="43" s="1"/>
  <c r="O105" i="43"/>
  <c r="P105" i="43" s="1"/>
  <c r="X105" i="43" s="1"/>
  <c r="O30" i="43"/>
  <c r="P30" i="43" s="1"/>
  <c r="X30" i="43" s="1"/>
  <c r="AH30" i="43" s="1"/>
  <c r="AI30" i="43" s="1"/>
  <c r="O22" i="43"/>
  <c r="P22" i="43" s="1"/>
  <c r="X22" i="43" s="1"/>
  <c r="AH22" i="43" s="1"/>
  <c r="AI22" i="43" s="1"/>
  <c r="O18" i="43"/>
  <c r="P18" i="43" s="1"/>
  <c r="X18" i="43" s="1"/>
  <c r="O251" i="43"/>
  <c r="P251" i="43" s="1"/>
  <c r="X251" i="43" s="1"/>
  <c r="Y251" i="43" s="1"/>
  <c r="Z251" i="43" s="1"/>
  <c r="AA251" i="43" s="1"/>
  <c r="O239" i="43"/>
  <c r="P239" i="43" s="1"/>
  <c r="X239" i="43" s="1"/>
  <c r="Y239" i="43" s="1"/>
  <c r="Z239" i="43" s="1"/>
  <c r="AA239" i="43" s="1"/>
  <c r="O209" i="43"/>
  <c r="P209" i="43" s="1"/>
  <c r="X209" i="43" s="1"/>
  <c r="AG209" i="43" s="1"/>
  <c r="O207" i="43"/>
  <c r="P207" i="43" s="1"/>
  <c r="X207" i="43" s="1"/>
  <c r="Y207" i="43" s="1"/>
  <c r="Z207" i="43" s="1"/>
  <c r="AA207" i="43" s="1"/>
  <c r="O205" i="43"/>
  <c r="P205" i="43" s="1"/>
  <c r="X205" i="43" s="1"/>
  <c r="Y205" i="43" s="1"/>
  <c r="Z205" i="43" s="1"/>
  <c r="AA205" i="43" s="1"/>
  <c r="O197" i="43"/>
  <c r="P197" i="43" s="1"/>
  <c r="X197" i="43" s="1"/>
  <c r="AH197" i="43" s="1"/>
  <c r="AI197" i="43" s="1"/>
  <c r="O193" i="43"/>
  <c r="P193" i="43" s="1"/>
  <c r="X193" i="43" s="1"/>
  <c r="Y193" i="43" s="1"/>
  <c r="Z193" i="43" s="1"/>
  <c r="AA193" i="43" s="1"/>
  <c r="O191" i="43"/>
  <c r="P191" i="43" s="1"/>
  <c r="X191" i="43" s="1"/>
  <c r="AG191" i="43" s="1"/>
  <c r="O189" i="43"/>
  <c r="P189" i="43" s="1"/>
  <c r="X189" i="43" s="1"/>
  <c r="AH189" i="43" s="1"/>
  <c r="AI189" i="43" s="1"/>
  <c r="O187" i="43"/>
  <c r="P187" i="43" s="1"/>
  <c r="X187" i="43" s="1"/>
  <c r="AG187" i="43" s="1"/>
  <c r="O185" i="43"/>
  <c r="P185" i="43" s="1"/>
  <c r="X185" i="43" s="1"/>
  <c r="AG185" i="43" s="1"/>
  <c r="O183" i="43"/>
  <c r="P183" i="43" s="1"/>
  <c r="X183" i="43" s="1"/>
  <c r="O181" i="43"/>
  <c r="P181" i="43" s="1"/>
  <c r="X181" i="43" s="1"/>
  <c r="AG181" i="43" s="1"/>
  <c r="O179" i="43"/>
  <c r="P179" i="43" s="1"/>
  <c r="X179" i="43" s="1"/>
  <c r="AG179" i="43" s="1"/>
  <c r="O177" i="43"/>
  <c r="P177" i="43" s="1"/>
  <c r="X177" i="43" s="1"/>
  <c r="AG177" i="43" s="1"/>
  <c r="O175" i="43"/>
  <c r="P175" i="43" s="1"/>
  <c r="X175" i="43" s="1"/>
  <c r="AH175" i="43" s="1"/>
  <c r="AI175" i="43" s="1"/>
  <c r="O173" i="43"/>
  <c r="P173" i="43" s="1"/>
  <c r="X173" i="43" s="1"/>
  <c r="AG173" i="43" s="1"/>
  <c r="O171" i="43"/>
  <c r="P171" i="43" s="1"/>
  <c r="X171" i="43" s="1"/>
  <c r="AG171" i="43" s="1"/>
  <c r="O169" i="43"/>
  <c r="P169" i="43" s="1"/>
  <c r="X169" i="43" s="1"/>
  <c r="AH169" i="43" s="1"/>
  <c r="AI169" i="43" s="1"/>
  <c r="O333" i="43"/>
  <c r="P333" i="43" s="1"/>
  <c r="X333" i="43" s="1"/>
  <c r="AG333" i="43" s="1"/>
  <c r="O340" i="43"/>
  <c r="P340" i="43" s="1"/>
  <c r="X340" i="43" s="1"/>
  <c r="AG340" i="43" s="1"/>
  <c r="O338" i="43"/>
  <c r="P338" i="43" s="1"/>
  <c r="X338" i="43" s="1"/>
  <c r="AG338" i="43" s="1"/>
  <c r="O358" i="43"/>
  <c r="O354" i="43"/>
  <c r="P354" i="43" s="1"/>
  <c r="X354" i="43" s="1"/>
  <c r="O324" i="43"/>
  <c r="P324" i="43" s="1"/>
  <c r="X324" i="43" s="1"/>
  <c r="AG324" i="43" s="1"/>
  <c r="O284" i="43"/>
  <c r="P284" i="43" s="1"/>
  <c r="X284" i="43" s="1"/>
  <c r="Y284" i="43" s="1"/>
  <c r="Z284" i="43" s="1"/>
  <c r="AA284" i="43" s="1"/>
  <c r="O161" i="43"/>
  <c r="P161" i="43" s="1"/>
  <c r="X161" i="43" s="1"/>
  <c r="AH161" i="43" s="1"/>
  <c r="AI161" i="43" s="1"/>
  <c r="O157" i="43"/>
  <c r="P157" i="43" s="1"/>
  <c r="X157" i="43" s="1"/>
  <c r="O250" i="43"/>
  <c r="P250" i="43" s="1"/>
  <c r="X250" i="43" s="1"/>
  <c r="Y250" i="43" s="1"/>
  <c r="Z250" i="43" s="1"/>
  <c r="AA250" i="43" s="1"/>
  <c r="O244" i="43"/>
  <c r="P244" i="43" s="1"/>
  <c r="X244" i="43" s="1"/>
  <c r="AH244" i="43" s="1"/>
  <c r="AI244" i="43" s="1"/>
  <c r="O228" i="43"/>
  <c r="P228" i="43" s="1"/>
  <c r="X228" i="43" s="1"/>
  <c r="AH228" i="43" s="1"/>
  <c r="AI228" i="43" s="1"/>
  <c r="O226" i="43"/>
  <c r="P226" i="43" s="1"/>
  <c r="X226" i="43" s="1"/>
  <c r="AH226" i="43" s="1"/>
  <c r="AI226" i="43" s="1"/>
  <c r="O214" i="43"/>
  <c r="P214" i="43" s="1"/>
  <c r="X214" i="43" s="1"/>
  <c r="Y214" i="43" s="1"/>
  <c r="Z214" i="43" s="1"/>
  <c r="O184" i="43"/>
  <c r="P184" i="43" s="1"/>
  <c r="X184" i="43" s="1"/>
  <c r="AH184" i="43" s="1"/>
  <c r="AI184" i="43" s="1"/>
  <c r="O176" i="43"/>
  <c r="P176" i="43" s="1"/>
  <c r="X176" i="43" s="1"/>
  <c r="AG176" i="43" s="1"/>
  <c r="O359" i="43"/>
  <c r="P359" i="43" s="1"/>
  <c r="X359" i="43" s="1"/>
  <c r="AG359" i="43" s="1"/>
  <c r="O353" i="43"/>
  <c r="P353" i="43" s="1"/>
  <c r="X353" i="43" s="1"/>
  <c r="O343" i="43"/>
  <c r="P343" i="43" s="1"/>
  <c r="X343" i="43" s="1"/>
  <c r="AG343" i="43" s="1"/>
  <c r="O92" i="43"/>
  <c r="P92" i="43" s="1"/>
  <c r="X92" i="43" s="1"/>
  <c r="AH92" i="43" s="1"/>
  <c r="AI92" i="43" s="1"/>
  <c r="O88" i="43"/>
  <c r="P88" i="43" s="1"/>
  <c r="X88" i="43" s="1"/>
  <c r="O84" i="43"/>
  <c r="P84" i="43" s="1"/>
  <c r="X84" i="43" s="1"/>
  <c r="AG84" i="43" s="1"/>
  <c r="O80" i="43"/>
  <c r="P80" i="43" s="1"/>
  <c r="X80" i="43" s="1"/>
  <c r="AG80" i="43" s="1"/>
  <c r="O60" i="43"/>
  <c r="P60" i="43" s="1"/>
  <c r="X60" i="43" s="1"/>
  <c r="AH60" i="43" s="1"/>
  <c r="AI60" i="43" s="1"/>
  <c r="O166" i="43"/>
  <c r="P166" i="43" s="1"/>
  <c r="X166" i="43" s="1"/>
  <c r="AG166" i="43" s="1"/>
  <c r="O46" i="43"/>
  <c r="P46" i="43" s="1"/>
  <c r="X46" i="43" s="1"/>
  <c r="AH46" i="43" s="1"/>
  <c r="AI46" i="43" s="1"/>
  <c r="O87" i="43"/>
  <c r="P87" i="43" s="1"/>
  <c r="X87" i="43" s="1"/>
  <c r="AH87" i="43" s="1"/>
  <c r="AI87" i="43" s="1"/>
  <c r="O77" i="43"/>
  <c r="P77" i="43" s="1"/>
  <c r="X77" i="43" s="1"/>
  <c r="O67" i="43"/>
  <c r="P67" i="43" s="1"/>
  <c r="X67" i="43" s="1"/>
  <c r="AH67" i="43" s="1"/>
  <c r="AI67" i="43" s="1"/>
  <c r="O63" i="43"/>
  <c r="P63" i="43" s="1"/>
  <c r="X63" i="43" s="1"/>
  <c r="AH63" i="43" s="1"/>
  <c r="AI63" i="43" s="1"/>
  <c r="O252" i="43"/>
  <c r="P252" i="43" s="1"/>
  <c r="X252" i="43" s="1"/>
  <c r="AG252" i="43" s="1"/>
  <c r="O91" i="43"/>
  <c r="P91" i="43" s="1"/>
  <c r="X91" i="43" s="1"/>
  <c r="AG91" i="43" s="1"/>
  <c r="O85" i="43"/>
  <c r="P85" i="43" s="1"/>
  <c r="X85" i="43" s="1"/>
  <c r="O65" i="43"/>
  <c r="P65" i="43" s="1"/>
  <c r="X65" i="43" s="1"/>
  <c r="AH65" i="43" s="1"/>
  <c r="AI65" i="43" s="1"/>
  <c r="O283" i="43"/>
  <c r="P283" i="43" s="1"/>
  <c r="X283" i="43" s="1"/>
  <c r="O232" i="43"/>
  <c r="P232" i="43" s="1"/>
  <c r="X232" i="43" s="1"/>
  <c r="AH232" i="43" s="1"/>
  <c r="AI232" i="43" s="1"/>
  <c r="O21" i="43"/>
  <c r="P21" i="43" s="1"/>
  <c r="X21" i="43" s="1"/>
  <c r="Y21" i="43" s="1"/>
  <c r="Z21" i="43" s="1"/>
  <c r="AA21" i="43" s="1"/>
  <c r="O11" i="43"/>
  <c r="P11" i="43" s="1"/>
  <c r="X11" i="43" s="1"/>
  <c r="AG11" i="43" s="1"/>
  <c r="O7" i="43"/>
  <c r="P7" i="43" s="1"/>
  <c r="X7" i="43" s="1"/>
  <c r="O257" i="43"/>
  <c r="P257" i="43" s="1"/>
  <c r="X257" i="43" s="1"/>
  <c r="AG257" i="43" s="1"/>
  <c r="O158" i="43"/>
  <c r="P158" i="43" s="1"/>
  <c r="X158" i="43" s="1"/>
  <c r="AG158" i="43" s="1"/>
  <c r="O150" i="43"/>
  <c r="P150" i="43" s="1"/>
  <c r="X150" i="43" s="1"/>
  <c r="AG150" i="43" s="1"/>
  <c r="O148" i="43"/>
  <c r="P148" i="43" s="1"/>
  <c r="X148" i="43" s="1"/>
  <c r="AG148" i="43" s="1"/>
  <c r="O29" i="43"/>
  <c r="P29" i="43" s="1"/>
  <c r="X29" i="43" s="1"/>
  <c r="O341" i="43"/>
  <c r="P341" i="43" s="1"/>
  <c r="X341" i="43" s="1"/>
  <c r="AG341" i="43" s="1"/>
  <c r="O130" i="43"/>
  <c r="P130" i="43" s="1"/>
  <c r="X130" i="43" s="1"/>
  <c r="AG130" i="43" s="1"/>
  <c r="O126" i="43"/>
  <c r="P126" i="43" s="1"/>
  <c r="X126" i="43" s="1"/>
  <c r="AH126" i="43" s="1"/>
  <c r="AI126" i="43" s="1"/>
  <c r="O124" i="43"/>
  <c r="P124" i="43" s="1"/>
  <c r="X124" i="43" s="1"/>
  <c r="AH124" i="43" s="1"/>
  <c r="AI124" i="43" s="1"/>
  <c r="O122" i="43"/>
  <c r="P122" i="43" s="1"/>
  <c r="X122" i="43" s="1"/>
  <c r="AG122" i="43" s="1"/>
  <c r="O120" i="43"/>
  <c r="P120" i="43" s="1"/>
  <c r="X120" i="43" s="1"/>
  <c r="O118" i="43"/>
  <c r="P118" i="43" s="1"/>
  <c r="X118" i="43" s="1"/>
  <c r="O98" i="43"/>
  <c r="P98" i="43" s="1"/>
  <c r="X98" i="43" s="1"/>
  <c r="AH98" i="43" s="1"/>
  <c r="AI98" i="43" s="1"/>
  <c r="O90" i="43"/>
  <c r="P90" i="43" s="1"/>
  <c r="X90" i="43" s="1"/>
  <c r="AH90" i="43" s="1"/>
  <c r="AI90" i="43" s="1"/>
  <c r="O86" i="43"/>
  <c r="P86" i="43" s="1"/>
  <c r="X86" i="43" s="1"/>
  <c r="AG86" i="43" s="1"/>
  <c r="O78" i="43"/>
  <c r="P78" i="43" s="1"/>
  <c r="X78" i="43" s="1"/>
  <c r="AH78" i="43" s="1"/>
  <c r="AI78" i="43" s="1"/>
  <c r="O74" i="43"/>
  <c r="P74" i="43" s="1"/>
  <c r="X74" i="43" s="1"/>
  <c r="O70" i="43"/>
  <c r="P70" i="43" s="1"/>
  <c r="X70" i="43" s="1"/>
  <c r="O68" i="43"/>
  <c r="P68" i="43" s="1"/>
  <c r="X68" i="43" s="1"/>
  <c r="AH68" i="43" s="1"/>
  <c r="AI68" i="43" s="1"/>
  <c r="O66" i="43"/>
  <c r="P66" i="43" s="1"/>
  <c r="X66" i="43" s="1"/>
  <c r="O64" i="43"/>
  <c r="P64" i="43" s="1"/>
  <c r="X64" i="43" s="1"/>
  <c r="AH64" i="43" s="1"/>
  <c r="AI64" i="43" s="1"/>
  <c r="O54" i="43"/>
  <c r="P54" i="43" s="1"/>
  <c r="X54" i="43" s="1"/>
  <c r="O27" i="43"/>
  <c r="P27" i="43" s="1"/>
  <c r="X27" i="43" s="1"/>
  <c r="AG27" i="43" s="1"/>
  <c r="O25" i="43"/>
  <c r="P25" i="43" s="1"/>
  <c r="X25" i="43" s="1"/>
  <c r="AG25" i="43" s="1"/>
  <c r="O23" i="43"/>
  <c r="P23" i="43" s="1"/>
  <c r="X23" i="43" s="1"/>
  <c r="AH23" i="43" s="1"/>
  <c r="AI23" i="43" s="1"/>
  <c r="O332" i="43"/>
  <c r="P332" i="43" s="1"/>
  <c r="X332" i="43" s="1"/>
  <c r="AG332" i="43" s="1"/>
  <c r="O347" i="43"/>
  <c r="P347" i="43" s="1"/>
  <c r="X347" i="43" s="1"/>
  <c r="AG347" i="43" s="1"/>
  <c r="O260" i="43"/>
  <c r="P260" i="43" s="1"/>
  <c r="X260" i="43" s="1"/>
  <c r="AG260" i="43" s="1"/>
  <c r="O199" i="43"/>
  <c r="P199" i="43" s="1"/>
  <c r="X199" i="43" s="1"/>
  <c r="O186" i="43"/>
  <c r="P186" i="43" s="1"/>
  <c r="X186" i="43" s="1"/>
  <c r="AH186" i="43" s="1"/>
  <c r="AI186" i="43" s="1"/>
  <c r="O362" i="43"/>
  <c r="P362" i="43" s="1"/>
  <c r="X362" i="43" s="1"/>
  <c r="O352" i="43"/>
  <c r="P352" i="43" s="1"/>
  <c r="X352" i="43" s="1"/>
  <c r="AG352" i="43" s="1"/>
  <c r="O280" i="43"/>
  <c r="P280" i="43" s="1"/>
  <c r="X280" i="43" s="1"/>
  <c r="AG280" i="43" s="1"/>
  <c r="O272" i="43"/>
  <c r="P272" i="43" s="1"/>
  <c r="X272" i="43" s="1"/>
  <c r="AG272" i="43" s="1"/>
  <c r="O258" i="43"/>
  <c r="P258" i="43" s="1"/>
  <c r="X258" i="43" s="1"/>
  <c r="AG258" i="43" s="1"/>
  <c r="O256" i="43"/>
  <c r="P256" i="43" s="1"/>
  <c r="X256" i="43" s="1"/>
  <c r="Y256" i="43" s="1"/>
  <c r="Z256" i="43" s="1"/>
  <c r="AA256" i="43" s="1"/>
  <c r="O229" i="43"/>
  <c r="P229" i="43" s="1"/>
  <c r="X229" i="43" s="1"/>
  <c r="Y229" i="43" s="1"/>
  <c r="Z229" i="43" s="1"/>
  <c r="AA229" i="43" s="1"/>
  <c r="O159" i="43"/>
  <c r="P159" i="43" s="1"/>
  <c r="X159" i="43" s="1"/>
  <c r="O151" i="43"/>
  <c r="P151" i="43" s="1"/>
  <c r="X151" i="43" s="1"/>
  <c r="AH151" i="43" s="1"/>
  <c r="AI151" i="43" s="1"/>
  <c r="O149" i="43"/>
  <c r="P149" i="43" s="1"/>
  <c r="X149" i="43" s="1"/>
  <c r="AH149" i="43" s="1"/>
  <c r="AI149" i="43" s="1"/>
  <c r="O143" i="43"/>
  <c r="P143" i="43" s="1"/>
  <c r="X143" i="43" s="1"/>
  <c r="AG143" i="43" s="1"/>
  <c r="O139" i="43"/>
  <c r="P139" i="43" s="1"/>
  <c r="X139" i="43" s="1"/>
  <c r="AG139" i="43" s="1"/>
  <c r="O133" i="43"/>
  <c r="P133" i="43" s="1"/>
  <c r="X133" i="43" s="1"/>
  <c r="O44" i="43"/>
  <c r="P44" i="43" s="1"/>
  <c r="X44" i="43" s="1"/>
  <c r="AH44" i="43" s="1"/>
  <c r="AI44" i="43" s="1"/>
  <c r="O42" i="43"/>
  <c r="P42" i="43" s="1"/>
  <c r="X42" i="43" s="1"/>
  <c r="AG42" i="43" s="1"/>
  <c r="O319" i="43"/>
  <c r="P319" i="43" s="1"/>
  <c r="X319" i="43" s="1"/>
  <c r="AG319" i="43" s="1"/>
  <c r="O348" i="43"/>
  <c r="P348" i="43" s="1"/>
  <c r="X348" i="43" s="1"/>
  <c r="AG348" i="43" s="1"/>
  <c r="O292" i="43"/>
  <c r="P292" i="43" s="1"/>
  <c r="X292" i="43" s="1"/>
  <c r="Y292" i="43" s="1"/>
  <c r="Z292" i="43" s="1"/>
  <c r="AA292" i="43" s="1"/>
  <c r="O290" i="43"/>
  <c r="P290" i="43" s="1"/>
  <c r="X290" i="43" s="1"/>
  <c r="AG290" i="43" s="1"/>
  <c r="O286" i="43"/>
  <c r="P286" i="43" s="1"/>
  <c r="X286" i="43" s="1"/>
  <c r="O259" i="43"/>
  <c r="P259" i="43" s="1"/>
  <c r="X259" i="43" s="1"/>
  <c r="AG259" i="43" s="1"/>
  <c r="O222" i="43"/>
  <c r="P222" i="43" s="1"/>
  <c r="X222" i="43" s="1"/>
  <c r="AG222" i="43" s="1"/>
  <c r="O220" i="43"/>
  <c r="P220" i="43" s="1"/>
  <c r="X220" i="43" s="1"/>
  <c r="O218" i="43"/>
  <c r="P218" i="43" s="1"/>
  <c r="X218" i="43" s="1"/>
  <c r="AH218" i="43" s="1"/>
  <c r="AI218" i="43" s="1"/>
  <c r="O206" i="43"/>
  <c r="P206" i="43" s="1"/>
  <c r="X206" i="43" s="1"/>
  <c r="AH206" i="43" s="1"/>
  <c r="AI206" i="43" s="1"/>
  <c r="O204" i="43"/>
  <c r="P204" i="43" s="1"/>
  <c r="X204" i="43" s="1"/>
  <c r="Y204" i="43" s="1"/>
  <c r="Z204" i="43" s="1"/>
  <c r="AA204" i="43" s="1"/>
  <c r="O202" i="43"/>
  <c r="P202" i="43" s="1"/>
  <c r="X202" i="43" s="1"/>
  <c r="O190" i="43"/>
  <c r="P190" i="43" s="1"/>
  <c r="X190" i="43" s="1"/>
  <c r="AG190" i="43" s="1"/>
  <c r="O188" i="43"/>
  <c r="P188" i="43" s="1"/>
  <c r="X188" i="43" s="1"/>
  <c r="O162" i="43"/>
  <c r="P162" i="43" s="1"/>
  <c r="X162" i="43" s="1"/>
  <c r="O160" i="43"/>
  <c r="P160" i="43" s="1"/>
  <c r="X160" i="43" s="1"/>
  <c r="AH160" i="43" s="1"/>
  <c r="AI160" i="43" s="1"/>
  <c r="O140" i="43"/>
  <c r="P140" i="43" s="1"/>
  <c r="X140" i="43" s="1"/>
  <c r="O136" i="43"/>
  <c r="P136" i="43" s="1"/>
  <c r="X136" i="43" s="1"/>
  <c r="AG136" i="43" s="1"/>
  <c r="O121" i="43"/>
  <c r="P121" i="43" s="1"/>
  <c r="X121" i="43" s="1"/>
  <c r="AH121" i="43" s="1"/>
  <c r="AI121" i="43" s="1"/>
  <c r="O119" i="43"/>
  <c r="P119" i="43" s="1"/>
  <c r="X119" i="43" s="1"/>
  <c r="AG119" i="43" s="1"/>
  <c r="O115" i="43"/>
  <c r="P115" i="43" s="1"/>
  <c r="X115" i="43" s="1"/>
  <c r="O103" i="43"/>
  <c r="P103" i="43" s="1"/>
  <c r="X103" i="43" s="1"/>
  <c r="O99" i="43"/>
  <c r="P99" i="43" s="1"/>
  <c r="X99" i="43" s="1"/>
  <c r="O97" i="43"/>
  <c r="P97" i="43" s="1"/>
  <c r="X97" i="43" s="1"/>
  <c r="AH97" i="43" s="1"/>
  <c r="AI97" i="43" s="1"/>
  <c r="O81" i="43"/>
  <c r="P81" i="43" s="1"/>
  <c r="X81" i="43" s="1"/>
  <c r="O79" i="43"/>
  <c r="P79" i="43" s="1"/>
  <c r="X79" i="43" s="1"/>
  <c r="AH79" i="43" s="1"/>
  <c r="AI79" i="43" s="1"/>
  <c r="O38" i="43"/>
  <c r="P38" i="43" s="1"/>
  <c r="X38" i="43" s="1"/>
  <c r="P287" i="43"/>
  <c r="X287" i="43" s="1"/>
  <c r="O346" i="43"/>
  <c r="P346" i="43" s="1"/>
  <c r="X346" i="43" s="1"/>
  <c r="O339" i="43"/>
  <c r="P339" i="43" s="1"/>
  <c r="X339" i="43" s="1"/>
  <c r="AG339" i="43" s="1"/>
  <c r="O329" i="43"/>
  <c r="P329" i="43" s="1"/>
  <c r="X329" i="43" s="1"/>
  <c r="Y329" i="43" s="1"/>
  <c r="Z329" i="43" s="1"/>
  <c r="AA329" i="43" s="1"/>
  <c r="O325" i="43"/>
  <c r="P325" i="43" s="1"/>
  <c r="X325" i="43" s="1"/>
  <c r="AG325" i="43" s="1"/>
  <c r="O323" i="43"/>
  <c r="P323" i="43" s="1"/>
  <c r="X323" i="43" s="1"/>
  <c r="AG323" i="43" s="1"/>
  <c r="O321" i="43"/>
  <c r="P321" i="43" s="1"/>
  <c r="X321" i="43" s="1"/>
  <c r="AG321" i="43" s="1"/>
  <c r="O314" i="43"/>
  <c r="P314" i="43" s="1"/>
  <c r="X314" i="43" s="1"/>
  <c r="AG314" i="43" s="1"/>
  <c r="O312" i="43"/>
  <c r="P312" i="43" s="1"/>
  <c r="X312" i="43" s="1"/>
  <c r="AG312" i="43" s="1"/>
  <c r="O308" i="43"/>
  <c r="P308" i="43" s="1"/>
  <c r="X308" i="43" s="1"/>
  <c r="Y308" i="43" s="1"/>
  <c r="Z308" i="43" s="1"/>
  <c r="O306" i="43"/>
  <c r="P306" i="43" s="1"/>
  <c r="X306" i="43" s="1"/>
  <c r="Y306" i="43" s="1"/>
  <c r="Z306" i="43" s="1"/>
  <c r="AA306" i="43" s="1"/>
  <c r="O304" i="43"/>
  <c r="P304" i="43" s="1"/>
  <c r="X304" i="43" s="1"/>
  <c r="Y304" i="43" s="1"/>
  <c r="Z304" i="43" s="1"/>
  <c r="AA304" i="43" s="1"/>
  <c r="O302" i="43"/>
  <c r="P302" i="43" s="1"/>
  <c r="X302" i="43" s="1"/>
  <c r="O296" i="43"/>
  <c r="P296" i="43" s="1"/>
  <c r="X296" i="43" s="1"/>
  <c r="Y296" i="43" s="1"/>
  <c r="Z296" i="43" s="1"/>
  <c r="AA296" i="43" s="1"/>
  <c r="O282" i="43"/>
  <c r="P282" i="43" s="1"/>
  <c r="X282" i="43" s="1"/>
  <c r="AG282" i="43" s="1"/>
  <c r="O276" i="43"/>
  <c r="P276" i="43" s="1"/>
  <c r="X276" i="43" s="1"/>
  <c r="AG276" i="43" s="1"/>
  <c r="O274" i="43"/>
  <c r="P274" i="43" s="1"/>
  <c r="X274" i="43" s="1"/>
  <c r="Y274" i="43" s="1"/>
  <c r="Z274" i="43" s="1"/>
  <c r="AA274" i="43" s="1"/>
  <c r="O237" i="43"/>
  <c r="P237" i="43" s="1"/>
  <c r="X237" i="43" s="1"/>
  <c r="AH237" i="43" s="1"/>
  <c r="AI237" i="43" s="1"/>
  <c r="O231" i="43"/>
  <c r="P231" i="43" s="1"/>
  <c r="X231" i="43" s="1"/>
  <c r="O57" i="43"/>
  <c r="P57" i="43" s="1"/>
  <c r="X57" i="43" s="1"/>
  <c r="AH57" i="43" s="1"/>
  <c r="AI57" i="43" s="1"/>
  <c r="O53" i="43"/>
  <c r="P53" i="43" s="1"/>
  <c r="X53" i="43" s="1"/>
  <c r="AG53" i="43" s="1"/>
  <c r="O32" i="43"/>
  <c r="P32" i="43" s="1"/>
  <c r="X32" i="43" s="1"/>
  <c r="AH32" i="43" s="1"/>
  <c r="AI32" i="43" s="1"/>
  <c r="O28" i="43"/>
  <c r="P28" i="43" s="1"/>
  <c r="X28" i="43" s="1"/>
  <c r="AG28" i="43" s="1"/>
  <c r="O26" i="43"/>
  <c r="P26" i="43" s="1"/>
  <c r="X26" i="43" s="1"/>
  <c r="AH26" i="43" s="1"/>
  <c r="AI26" i="43" s="1"/>
  <c r="O24" i="43"/>
  <c r="P24" i="43" s="1"/>
  <c r="X24" i="43" s="1"/>
  <c r="O16" i="43"/>
  <c r="P16" i="43" s="1"/>
  <c r="X16" i="43" s="1"/>
  <c r="O14" i="43"/>
  <c r="P14" i="43" s="1"/>
  <c r="X14" i="43" s="1"/>
  <c r="AH14" i="43" s="1"/>
  <c r="AI14" i="43" s="1"/>
  <c r="O10" i="43"/>
  <c r="P10" i="43" s="1"/>
  <c r="X10" i="43" s="1"/>
  <c r="AH10" i="43" s="1"/>
  <c r="AI10" i="43" s="1"/>
  <c r="O8" i="43"/>
  <c r="P8" i="43" s="1"/>
  <c r="X8" i="43" s="1"/>
  <c r="O6" i="43"/>
  <c r="P6" i="43" s="1"/>
  <c r="X6" i="43" s="1"/>
  <c r="AG6" i="43" s="1"/>
  <c r="O4" i="43"/>
  <c r="P4" i="43" s="1"/>
  <c r="X4" i="43" s="1"/>
  <c r="O336" i="43"/>
  <c r="P336" i="43" s="1"/>
  <c r="X336" i="43" s="1"/>
  <c r="AG336" i="43" s="1"/>
  <c r="O113" i="43"/>
  <c r="P113" i="43" s="1"/>
  <c r="X113" i="43" s="1"/>
  <c r="AH113" i="43" s="1"/>
  <c r="AI113" i="43" s="1"/>
  <c r="O227" i="43"/>
  <c r="P227" i="43" s="1"/>
  <c r="X227" i="43" s="1"/>
  <c r="Y227" i="43" s="1"/>
  <c r="Z227" i="43" s="1"/>
  <c r="O213" i="43"/>
  <c r="P213" i="43" s="1"/>
  <c r="X213" i="43" s="1"/>
  <c r="AH213" i="43" s="1"/>
  <c r="AI213" i="43" s="1"/>
  <c r="O201" i="43"/>
  <c r="P201" i="43" s="1"/>
  <c r="X201" i="43" s="1"/>
  <c r="AH201" i="43" s="1"/>
  <c r="AI201" i="43" s="1"/>
  <c r="O116" i="43"/>
  <c r="P116" i="43" s="1"/>
  <c r="X116" i="43" s="1"/>
  <c r="AH116" i="43" s="1"/>
  <c r="AI116" i="43" s="1"/>
  <c r="O114" i="43"/>
  <c r="P114" i="43" s="1"/>
  <c r="X114" i="43" s="1"/>
  <c r="AH114" i="43" s="1"/>
  <c r="AI114" i="43" s="1"/>
  <c r="O49" i="43"/>
  <c r="P49" i="43" s="1"/>
  <c r="X49" i="43" s="1"/>
  <c r="O211" i="43"/>
  <c r="P211" i="43" s="1"/>
  <c r="X211" i="43" s="1"/>
  <c r="AG211" i="43" s="1"/>
  <c r="O82" i="43"/>
  <c r="P82" i="43" s="1"/>
  <c r="X82" i="43" s="1"/>
  <c r="O37" i="43"/>
  <c r="P37" i="43" s="1"/>
  <c r="X37" i="43" s="1"/>
  <c r="O35" i="43"/>
  <c r="P35" i="43" s="1"/>
  <c r="X35" i="43" s="1"/>
  <c r="AG35" i="43" s="1"/>
  <c r="O322" i="43"/>
  <c r="P322" i="43" s="1"/>
  <c r="X322" i="43" s="1"/>
  <c r="AG322" i="43" s="1"/>
  <c r="O279" i="43"/>
  <c r="P279" i="43" s="1"/>
  <c r="X279" i="43" s="1"/>
  <c r="AG279" i="43" s="1"/>
  <c r="O266" i="43"/>
  <c r="P266" i="43" s="1"/>
  <c r="X266" i="43" s="1"/>
  <c r="Y266" i="43" s="1"/>
  <c r="Z266" i="43" s="1"/>
  <c r="AA266" i="43" s="1"/>
  <c r="O264" i="43"/>
  <c r="P264" i="43" s="1"/>
  <c r="X264" i="43" s="1"/>
  <c r="AG264" i="43" s="1"/>
  <c r="O262" i="43"/>
  <c r="P262" i="43" s="1"/>
  <c r="X262" i="43" s="1"/>
  <c r="AG262" i="43" s="1"/>
  <c r="O253" i="43"/>
  <c r="P253" i="43" s="1"/>
  <c r="X253" i="43" s="1"/>
  <c r="O246" i="43"/>
  <c r="P246" i="43" s="1"/>
  <c r="X246" i="43" s="1"/>
  <c r="AG246" i="43" s="1"/>
  <c r="O238" i="43"/>
  <c r="P238" i="43" s="1"/>
  <c r="X238" i="43" s="1"/>
  <c r="Y238" i="43" s="1"/>
  <c r="Z238" i="43" s="1"/>
  <c r="AA238" i="43" s="1"/>
  <c r="O230" i="43"/>
  <c r="P230" i="43" s="1"/>
  <c r="X230" i="43" s="1"/>
  <c r="O167" i="43"/>
  <c r="P167" i="43" s="1"/>
  <c r="X167" i="43" s="1"/>
  <c r="O58" i="43"/>
  <c r="P58" i="43" s="1"/>
  <c r="X58" i="43" s="1"/>
  <c r="O56" i="43"/>
  <c r="P56" i="43" s="1"/>
  <c r="X56" i="43" s="1"/>
  <c r="AG56" i="43" s="1"/>
  <c r="O320" i="43"/>
  <c r="P320" i="43" s="1"/>
  <c r="X320" i="43" s="1"/>
  <c r="O198" i="43"/>
  <c r="P198" i="43" s="1"/>
  <c r="X198" i="43" s="1"/>
  <c r="O192" i="43"/>
  <c r="P192" i="43" s="1"/>
  <c r="X192" i="43" s="1"/>
  <c r="AH192" i="43" s="1"/>
  <c r="AI192" i="43" s="1"/>
  <c r="O182" i="43"/>
  <c r="P182" i="43" s="1"/>
  <c r="X182" i="43" s="1"/>
  <c r="AG281" i="43"/>
  <c r="Y281" i="43"/>
  <c r="Z281" i="43" s="1"/>
  <c r="AA281" i="43" s="1"/>
  <c r="AG22" i="43"/>
  <c r="AG244" i="43"/>
  <c r="O221" i="43"/>
  <c r="P221" i="43" s="1"/>
  <c r="X221" i="43" s="1"/>
  <c r="O96" i="43"/>
  <c r="P96" i="43" s="1"/>
  <c r="X96" i="43" s="1"/>
  <c r="AG96" i="43" s="1"/>
  <c r="O94" i="43"/>
  <c r="P94" i="43" s="1"/>
  <c r="X94" i="43" s="1"/>
  <c r="O36" i="43"/>
  <c r="P36" i="43" s="1"/>
  <c r="X36" i="43" s="1"/>
  <c r="O165" i="43"/>
  <c r="P165" i="43" s="1"/>
  <c r="X165" i="43" s="1"/>
  <c r="O163" i="43"/>
  <c r="P163" i="43" s="1"/>
  <c r="X163" i="43" s="1"/>
  <c r="O155" i="43"/>
  <c r="P155" i="43" s="1"/>
  <c r="X155" i="43" s="1"/>
  <c r="O153" i="43"/>
  <c r="P153" i="43" s="1"/>
  <c r="X153" i="43" s="1"/>
  <c r="O147" i="43"/>
  <c r="P147" i="43" s="1"/>
  <c r="X147" i="43" s="1"/>
  <c r="O145" i="43"/>
  <c r="P145" i="43" s="1"/>
  <c r="X145" i="43" s="1"/>
  <c r="Y145" i="43" s="1"/>
  <c r="Z145" i="43" s="1"/>
  <c r="AA145" i="43" s="1"/>
  <c r="O137" i="43"/>
  <c r="P137" i="43" s="1"/>
  <c r="X137" i="43" s="1"/>
  <c r="Y137" i="43" s="1"/>
  <c r="Z137" i="43" s="1"/>
  <c r="AA137" i="43" s="1"/>
  <c r="O285" i="43"/>
  <c r="P285" i="43" s="1"/>
  <c r="X285" i="43" s="1"/>
  <c r="AG285" i="43" s="1"/>
  <c r="O277" i="43"/>
  <c r="P277" i="43" s="1"/>
  <c r="X277" i="43" s="1"/>
  <c r="O275" i="43"/>
  <c r="P275" i="43" s="1"/>
  <c r="X275" i="43" s="1"/>
  <c r="AG125" i="43"/>
  <c r="O235" i="43"/>
  <c r="P235" i="43" s="1"/>
  <c r="X235" i="43" s="1"/>
  <c r="O210" i="43"/>
  <c r="P210" i="43" s="1"/>
  <c r="X210" i="43" s="1"/>
  <c r="O89" i="43"/>
  <c r="P89" i="43" s="1"/>
  <c r="X89" i="43" s="1"/>
  <c r="O83" i="43"/>
  <c r="P83" i="43" s="1"/>
  <c r="X83" i="43" s="1"/>
  <c r="AG83" i="43" s="1"/>
  <c r="O75" i="43"/>
  <c r="P75" i="43" s="1"/>
  <c r="X75" i="43" s="1"/>
  <c r="O73" i="43"/>
  <c r="P73" i="43" s="1"/>
  <c r="X73" i="43" s="1"/>
  <c r="O71" i="43"/>
  <c r="P71" i="43" s="1"/>
  <c r="X71" i="43" s="1"/>
  <c r="AH71" i="43" s="1"/>
  <c r="AI71" i="43" s="1"/>
  <c r="O294" i="43"/>
  <c r="P294" i="43" s="1"/>
  <c r="X294" i="43" s="1"/>
  <c r="Y294" i="43" s="1"/>
  <c r="Z294" i="43" s="1"/>
  <c r="AA294" i="43" s="1"/>
  <c r="O219" i="43"/>
  <c r="P219" i="43" s="1"/>
  <c r="X219" i="43" s="1"/>
  <c r="O217" i="43"/>
  <c r="P217" i="43" s="1"/>
  <c r="X217" i="43" s="1"/>
  <c r="O195" i="43"/>
  <c r="P195" i="43" s="1"/>
  <c r="X195" i="43" s="1"/>
  <c r="O135" i="43"/>
  <c r="P135" i="43" s="1"/>
  <c r="X135" i="43" s="1"/>
  <c r="AG135" i="43" s="1"/>
  <c r="O112" i="43"/>
  <c r="P112" i="43" s="1"/>
  <c r="X112" i="43" s="1"/>
  <c r="O110" i="43"/>
  <c r="P110" i="43" s="1"/>
  <c r="X110" i="43" s="1"/>
  <c r="O108" i="43"/>
  <c r="P108" i="43" s="1"/>
  <c r="X108" i="43" s="1"/>
  <c r="O106" i="43"/>
  <c r="P106" i="43" s="1"/>
  <c r="X106" i="43" s="1"/>
  <c r="AH106" i="43" s="1"/>
  <c r="AI106" i="43" s="1"/>
  <c r="O104" i="43"/>
  <c r="P104" i="43" s="1"/>
  <c r="X104" i="43" s="1"/>
  <c r="O51" i="43"/>
  <c r="P51" i="43" s="1"/>
  <c r="X51" i="43" s="1"/>
  <c r="O47" i="43"/>
  <c r="P47" i="43" s="1"/>
  <c r="X47" i="43" s="1"/>
  <c r="O43" i="43"/>
  <c r="P43" i="43" s="1"/>
  <c r="X43" i="43" s="1"/>
  <c r="AH43" i="43" s="1"/>
  <c r="AI43" i="43" s="1"/>
  <c r="O39" i="43"/>
  <c r="P39" i="43" s="1"/>
  <c r="X39" i="43" s="1"/>
  <c r="O34" i="43"/>
  <c r="P34" i="43" s="1"/>
  <c r="X34" i="43" s="1"/>
  <c r="O233" i="43"/>
  <c r="P233" i="43" s="1"/>
  <c r="X233" i="43" s="1"/>
  <c r="Y233" i="43" s="1"/>
  <c r="Z233" i="43" s="1"/>
  <c r="AA233" i="43" s="1"/>
  <c r="AH125" i="43"/>
  <c r="AI125" i="43" s="1"/>
  <c r="O331" i="43"/>
  <c r="P331" i="43" s="1"/>
  <c r="X331" i="43" s="1"/>
  <c r="AG331" i="43" s="1"/>
  <c r="O242" i="43"/>
  <c r="P242" i="43" s="1"/>
  <c r="X242" i="43" s="1"/>
  <c r="O180" i="43"/>
  <c r="P180" i="43" s="1"/>
  <c r="X180" i="43" s="1"/>
  <c r="O168" i="43"/>
  <c r="P168" i="43" s="1"/>
  <c r="X168" i="43" s="1"/>
  <c r="O327" i="43"/>
  <c r="P327" i="43" s="1"/>
  <c r="X327" i="43" s="1"/>
  <c r="AG327" i="43" s="1"/>
  <c r="O248" i="43"/>
  <c r="P248" i="43" s="1"/>
  <c r="X248" i="43" s="1"/>
  <c r="O240" i="43"/>
  <c r="P240" i="43" s="1"/>
  <c r="X240" i="43" s="1"/>
  <c r="O178" i="43"/>
  <c r="P178" i="43" s="1"/>
  <c r="X178" i="43" s="1"/>
  <c r="Y178" i="43" s="1"/>
  <c r="Z178" i="43" s="1"/>
  <c r="AA178" i="43" s="1"/>
  <c r="O224" i="43"/>
  <c r="P224" i="43" s="1"/>
  <c r="X224" i="43" s="1"/>
  <c r="O138" i="43"/>
  <c r="P138" i="43" s="1"/>
  <c r="X138" i="43" s="1"/>
  <c r="O132" i="43"/>
  <c r="P132" i="43" s="1"/>
  <c r="X132" i="43" s="1"/>
  <c r="AG132" i="43" s="1"/>
  <c r="O31" i="43"/>
  <c r="P31" i="43" s="1"/>
  <c r="X31" i="43" s="1"/>
  <c r="AG31" i="43" s="1"/>
  <c r="O174" i="43"/>
  <c r="P174" i="43" s="1"/>
  <c r="X174" i="43" s="1"/>
  <c r="AH174" i="43" s="1"/>
  <c r="AI174" i="43" s="1"/>
  <c r="O172" i="43"/>
  <c r="P172" i="43" s="1"/>
  <c r="X172" i="43" s="1"/>
  <c r="AG172" i="43" s="1"/>
  <c r="O170" i="43"/>
  <c r="P170" i="43" s="1"/>
  <c r="X170" i="43" s="1"/>
  <c r="O236" i="43"/>
  <c r="P236" i="43" s="1"/>
  <c r="X236" i="43" s="1"/>
  <c r="O265" i="43"/>
  <c r="P265" i="43" s="1"/>
  <c r="X265" i="43" s="1"/>
  <c r="O93" i="43"/>
  <c r="P93" i="43" s="1"/>
  <c r="X93" i="43" s="1"/>
  <c r="O48" i="43"/>
  <c r="P48" i="43" s="1"/>
  <c r="X48" i="43" s="1"/>
  <c r="O208" i="43"/>
  <c r="P208" i="43" s="1"/>
  <c r="X208" i="43" s="1"/>
  <c r="O305" i="43"/>
  <c r="P305" i="43" s="1"/>
  <c r="X305" i="43" s="1"/>
  <c r="AG305" i="43" s="1"/>
  <c r="O293" i="43"/>
  <c r="P293" i="43" s="1"/>
  <c r="X293" i="43" s="1"/>
  <c r="O345" i="43"/>
  <c r="P345" i="43" s="1"/>
  <c r="X345" i="43" s="1"/>
  <c r="O334" i="43"/>
  <c r="P334" i="43" s="1"/>
  <c r="X334" i="43" s="1"/>
  <c r="AG334" i="43" s="1"/>
  <c r="O330" i="43"/>
  <c r="P330" i="43" s="1"/>
  <c r="X330" i="43" s="1"/>
  <c r="AG330" i="43" s="1"/>
  <c r="O310" i="43"/>
  <c r="P310" i="43" s="1"/>
  <c r="X310" i="43" s="1"/>
  <c r="Y310" i="43" s="1"/>
  <c r="Z310" i="43" s="1"/>
  <c r="O300" i="43"/>
  <c r="P300" i="43" s="1"/>
  <c r="X300" i="43" s="1"/>
  <c r="Y300" i="43" s="1"/>
  <c r="Z300" i="43" s="1"/>
  <c r="AA300" i="43" s="1"/>
  <c r="O298" i="43"/>
  <c r="P298" i="43" s="1"/>
  <c r="X298" i="43" s="1"/>
  <c r="AG298" i="43" s="1"/>
  <c r="O270" i="43"/>
  <c r="P270" i="43" s="1"/>
  <c r="X270" i="43" s="1"/>
  <c r="Y270" i="43" s="1"/>
  <c r="Z270" i="43" s="1"/>
  <c r="AA270" i="43" s="1"/>
  <c r="O241" i="43"/>
  <c r="P241" i="43" s="1"/>
  <c r="X241" i="43" s="1"/>
  <c r="AG241" i="43" s="1"/>
  <c r="O3" i="43"/>
  <c r="P3" i="43" s="1"/>
  <c r="Y107" i="43"/>
  <c r="Z107" i="43" s="1"/>
  <c r="Y315" i="43"/>
  <c r="Z315" i="43" s="1"/>
  <c r="AA315" i="43" s="1"/>
  <c r="K367" i="43"/>
  <c r="AI297" i="43"/>
  <c r="O288" i="43"/>
  <c r="P288" i="43" s="1"/>
  <c r="X288" i="43" s="1"/>
  <c r="AG288" i="43" s="1"/>
  <c r="O273" i="43"/>
  <c r="P273" i="43" s="1"/>
  <c r="X273" i="43" s="1"/>
  <c r="J367" i="43"/>
  <c r="O313" i="43"/>
  <c r="P313" i="43" s="1"/>
  <c r="X313" i="43" s="1"/>
  <c r="O311" i="43"/>
  <c r="P311" i="43" s="1"/>
  <c r="X311" i="43" s="1"/>
  <c r="AG311" i="43" s="1"/>
  <c r="O307" i="43"/>
  <c r="P307" i="43" s="1"/>
  <c r="X307" i="43" s="1"/>
  <c r="AG307" i="43" s="1"/>
  <c r="O301" i="43"/>
  <c r="P301" i="43" s="1"/>
  <c r="X301" i="43" s="1"/>
  <c r="O299" i="43"/>
  <c r="P299" i="43" s="1"/>
  <c r="X299" i="43" s="1"/>
  <c r="O100" i="43"/>
  <c r="P100" i="43" s="1"/>
  <c r="X100" i="43" s="1"/>
  <c r="O129" i="43"/>
  <c r="P129" i="43" s="1"/>
  <c r="X129" i="43" s="1"/>
  <c r="AG129" i="43" s="1"/>
  <c r="O127" i="43"/>
  <c r="P127" i="43" s="1"/>
  <c r="X127" i="43" s="1"/>
  <c r="V367" i="43"/>
  <c r="O363" i="43"/>
  <c r="P363" i="43" s="1"/>
  <c r="X363" i="43" s="1"/>
  <c r="O361" i="43"/>
  <c r="P361" i="43" s="1"/>
  <c r="X361" i="43" s="1"/>
  <c r="O357" i="43"/>
  <c r="P357" i="43" s="1"/>
  <c r="X357" i="43" s="1"/>
  <c r="O355" i="43"/>
  <c r="P355" i="43" s="1"/>
  <c r="X355" i="43" s="1"/>
  <c r="AG355" i="43" s="1"/>
  <c r="O337" i="43"/>
  <c r="P337" i="43" s="1"/>
  <c r="X337" i="43" s="1"/>
  <c r="AG337" i="43" s="1"/>
  <c r="O335" i="43"/>
  <c r="P335" i="43" s="1"/>
  <c r="X335" i="43" s="1"/>
  <c r="AG335" i="43" s="1"/>
  <c r="O249" i="43"/>
  <c r="P249" i="43" s="1"/>
  <c r="X249" i="43" s="1"/>
  <c r="AG249" i="43" s="1"/>
  <c r="O247" i="43"/>
  <c r="P247" i="43" s="1"/>
  <c r="X247" i="43" s="1"/>
  <c r="O245" i="43"/>
  <c r="P245" i="43" s="1"/>
  <c r="X245" i="43" s="1"/>
  <c r="O243" i="43"/>
  <c r="P243" i="43" s="1"/>
  <c r="X243" i="43" s="1"/>
  <c r="AG243" i="43" s="1"/>
  <c r="O15" i="43"/>
  <c r="P15" i="43" s="1"/>
  <c r="X15" i="43" s="1"/>
  <c r="O13" i="43"/>
  <c r="P13" i="43" s="1"/>
  <c r="X13" i="43" s="1"/>
  <c r="O351" i="43"/>
  <c r="P351" i="43" s="1"/>
  <c r="X351" i="43" s="1"/>
  <c r="AG351" i="43" s="1"/>
  <c r="O344" i="43"/>
  <c r="P344" i="43" s="1"/>
  <c r="X344" i="43" s="1"/>
  <c r="AG344" i="43" s="1"/>
  <c r="O342" i="43"/>
  <c r="P342" i="43" s="1"/>
  <c r="X342" i="43" s="1"/>
  <c r="AG342" i="43" s="1"/>
  <c r="O203" i="43"/>
  <c r="P203" i="43" s="1"/>
  <c r="X203" i="43" s="1"/>
  <c r="O20" i="43"/>
  <c r="P20" i="43" s="1"/>
  <c r="X20" i="43" s="1"/>
  <c r="O12" i="43"/>
  <c r="P12" i="43" s="1"/>
  <c r="X12" i="43" s="1"/>
  <c r="O364" i="43"/>
  <c r="P364" i="43" s="1"/>
  <c r="X364" i="43" s="1"/>
  <c r="O360" i="43"/>
  <c r="P360" i="43" s="1"/>
  <c r="X360" i="43" s="1"/>
  <c r="P358" i="43"/>
  <c r="X358" i="43" s="1"/>
  <c r="AG358" i="43" s="1"/>
  <c r="O33" i="43"/>
  <c r="P33" i="43" s="1"/>
  <c r="X33" i="43" s="1"/>
  <c r="Y228" i="43"/>
  <c r="Z228" i="43" s="1"/>
  <c r="O289" i="43"/>
  <c r="P289" i="43" s="1"/>
  <c r="X289" i="43" s="1"/>
  <c r="O278" i="43"/>
  <c r="P278" i="43" s="1"/>
  <c r="X278" i="43" s="1"/>
  <c r="O19" i="43"/>
  <c r="P19" i="43" s="1"/>
  <c r="X19" i="43" s="1"/>
  <c r="O17" i="43"/>
  <c r="P17" i="43" s="1"/>
  <c r="X17" i="43" s="1"/>
  <c r="O9" i="43"/>
  <c r="P9" i="43" s="1"/>
  <c r="X9" i="43" s="1"/>
  <c r="O5" i="43"/>
  <c r="P5" i="43" s="1"/>
  <c r="X5" i="43" s="1"/>
  <c r="O225" i="43"/>
  <c r="P225" i="43" s="1"/>
  <c r="X225" i="43" s="1"/>
  <c r="N367" i="43"/>
  <c r="P156" i="43"/>
  <c r="X156" i="43" s="1"/>
  <c r="O62" i="43"/>
  <c r="P62" i="43" s="1"/>
  <c r="X62" i="43" s="1"/>
  <c r="O41" i="43"/>
  <c r="P41" i="43" s="1"/>
  <c r="X41" i="43" s="1"/>
  <c r="O356" i="43"/>
  <c r="P356" i="43" s="1"/>
  <c r="X356" i="43" s="1"/>
  <c r="AG356" i="43" s="1"/>
  <c r="O328" i="43"/>
  <c r="P328" i="43" s="1"/>
  <c r="X328" i="43" s="1"/>
  <c r="AG328" i="43" s="1"/>
  <c r="O326" i="43"/>
  <c r="P326" i="43" s="1"/>
  <c r="X326" i="43" s="1"/>
  <c r="AH326" i="43" s="1"/>
  <c r="AI326" i="43" s="1"/>
  <c r="O215" i="43"/>
  <c r="P215" i="43" s="1"/>
  <c r="X215" i="43" s="1"/>
  <c r="O349" i="43"/>
  <c r="P349" i="43" s="1"/>
  <c r="X349" i="43" s="1"/>
  <c r="AG349" i="43" s="1"/>
  <c r="O261" i="43"/>
  <c r="P261" i="43" s="1"/>
  <c r="X261" i="43" s="1"/>
  <c r="O154" i="43"/>
  <c r="P154" i="43" s="1"/>
  <c r="X154" i="43" s="1"/>
  <c r="O146" i="43"/>
  <c r="P146" i="43" s="1"/>
  <c r="X146" i="43" s="1"/>
  <c r="O123" i="43"/>
  <c r="P123" i="43" s="1"/>
  <c r="X123" i="43" s="1"/>
  <c r="O117" i="43"/>
  <c r="P117" i="43" s="1"/>
  <c r="X117" i="43" s="1"/>
  <c r="O216" i="43"/>
  <c r="P216" i="43" s="1"/>
  <c r="X216" i="43" s="1"/>
  <c r="O128" i="43"/>
  <c r="P128" i="43" s="1"/>
  <c r="X128" i="43" s="1"/>
  <c r="O55" i="43"/>
  <c r="P55" i="43" s="1"/>
  <c r="X55" i="43" s="1"/>
  <c r="AF367" i="43"/>
  <c r="O69" i="43"/>
  <c r="P69" i="43" s="1"/>
  <c r="X69" i="43" s="1"/>
  <c r="O295" i="43"/>
  <c r="P295" i="43" s="1"/>
  <c r="X295" i="43" s="1"/>
  <c r="O223" i="43"/>
  <c r="P223" i="43" s="1"/>
  <c r="X223" i="43" s="1"/>
  <c r="P76" i="43"/>
  <c r="X76" i="43" s="1"/>
  <c r="O200" i="43"/>
  <c r="P200" i="43" s="1"/>
  <c r="X200" i="43" s="1"/>
  <c r="O196" i="43"/>
  <c r="P196" i="43" s="1"/>
  <c r="X196" i="43" s="1"/>
  <c r="O194" i="43"/>
  <c r="P194" i="43" s="1"/>
  <c r="X194" i="43" s="1"/>
  <c r="O141" i="43"/>
  <c r="P141" i="43" s="1"/>
  <c r="X141" i="43" s="1"/>
  <c r="O102" i="43"/>
  <c r="P102" i="43" s="1"/>
  <c r="X102" i="43" s="1"/>
  <c r="AG30" i="43"/>
  <c r="AG318" i="43"/>
  <c r="AI357" i="43"/>
  <c r="AI347" i="43"/>
  <c r="AI346" i="43"/>
  <c r="AI334" i="43"/>
  <c r="AI331" i="43"/>
  <c r="AI310" i="43"/>
  <c r="AI294" i="43"/>
  <c r="AI286" i="43"/>
  <c r="AI277" i="43"/>
  <c r="AI268" i="43"/>
  <c r="AI255" i="43"/>
  <c r="AI252" i="43"/>
  <c r="AI145" i="43"/>
  <c r="T21" i="46"/>
  <c r="H21" i="46"/>
  <c r="J21" i="46"/>
  <c r="L21" i="46"/>
  <c r="I21" i="46"/>
  <c r="BK366" i="43"/>
  <c r="BJ366" i="43"/>
  <c r="BK365" i="43"/>
  <c r="BJ365" i="43"/>
  <c r="AH91" i="43" l="1"/>
  <c r="AI91" i="43" s="1"/>
  <c r="Y244" i="43"/>
  <c r="Z244" i="43" s="1"/>
  <c r="AA244" i="43" s="1"/>
  <c r="Y30" i="43"/>
  <c r="Z30" i="43" s="1"/>
  <c r="AA30" i="43" s="1"/>
  <c r="AG197" i="43"/>
  <c r="Y130" i="43"/>
  <c r="Z130" i="43" s="1"/>
  <c r="AA130" i="43" s="1"/>
  <c r="Y269" i="43"/>
  <c r="Z269" i="43" s="1"/>
  <c r="AA269" i="43" s="1"/>
  <c r="AG46" i="43"/>
  <c r="Y173" i="43"/>
  <c r="Z173" i="43" s="1"/>
  <c r="AG268" i="43"/>
  <c r="AH84" i="43"/>
  <c r="AI84" i="43" s="1"/>
  <c r="AH214" i="43"/>
  <c r="AI214" i="43" s="1"/>
  <c r="AG63" i="43"/>
  <c r="AH86" i="43"/>
  <c r="AI86" i="43" s="1"/>
  <c r="AG151" i="43"/>
  <c r="AH166" i="43"/>
  <c r="AI166" i="43" s="1"/>
  <c r="AG111" i="43"/>
  <c r="Y166" i="43"/>
  <c r="Z166" i="43" s="1"/>
  <c r="AA166" i="43" s="1"/>
  <c r="Y144" i="43"/>
  <c r="Z144" i="43" s="1"/>
  <c r="AA144" i="43" s="1"/>
  <c r="AG271" i="43"/>
  <c r="AH150" i="43"/>
  <c r="AI150" i="43" s="1"/>
  <c r="AG189" i="43"/>
  <c r="AH176" i="43"/>
  <c r="AI176" i="43" s="1"/>
  <c r="Y176" i="43"/>
  <c r="Z176" i="43" s="1"/>
  <c r="AA176" i="43" s="1"/>
  <c r="AH173" i="43"/>
  <c r="AI173" i="43" s="1"/>
  <c r="Y212" i="43"/>
  <c r="Z212" i="43" s="1"/>
  <c r="AA212" i="43" s="1"/>
  <c r="AG212" i="43"/>
  <c r="AG306" i="43"/>
  <c r="AH80" i="43"/>
  <c r="AI80" i="43" s="1"/>
  <c r="Y171" i="43"/>
  <c r="Z171" i="43" s="1"/>
  <c r="AA171" i="43" s="1"/>
  <c r="AH185" i="43"/>
  <c r="AI185" i="43" s="1"/>
  <c r="AG61" i="43"/>
  <c r="AA268" i="43"/>
  <c r="Y272" i="43"/>
  <c r="Z272" i="43" s="1"/>
  <c r="AA272" i="43" s="1"/>
  <c r="AG116" i="43"/>
  <c r="AG107" i="43"/>
  <c r="AH122" i="43"/>
  <c r="AI122" i="43" s="1"/>
  <c r="AG214" i="43"/>
  <c r="Y72" i="43"/>
  <c r="Z72" i="43" s="1"/>
  <c r="AH72" i="43"/>
  <c r="AI72" i="43" s="1"/>
  <c r="AH109" i="43"/>
  <c r="AI109" i="43" s="1"/>
  <c r="AG184" i="43"/>
  <c r="AH187" i="43"/>
  <c r="AI187" i="43" s="1"/>
  <c r="Y187" i="43"/>
  <c r="Z187" i="43" s="1"/>
  <c r="AA187" i="43" s="1"/>
  <c r="Y218" i="43"/>
  <c r="Z218" i="43" s="1"/>
  <c r="AG206" i="43"/>
  <c r="Y257" i="43"/>
  <c r="Z257" i="43" s="1"/>
  <c r="AG263" i="43"/>
  <c r="AH207" i="43"/>
  <c r="AI207" i="43" s="1"/>
  <c r="AG175" i="43"/>
  <c r="AH229" i="43"/>
  <c r="AI229" i="43" s="1"/>
  <c r="AG291" i="43"/>
  <c r="AG207" i="43"/>
  <c r="AH209" i="43"/>
  <c r="AI209" i="43" s="1"/>
  <c r="AG256" i="43"/>
  <c r="AH56" i="43"/>
  <c r="AI56" i="43" s="1"/>
  <c r="AH35" i="43"/>
  <c r="AI35" i="43" s="1"/>
  <c r="AG97" i="43"/>
  <c r="Y174" i="43"/>
  <c r="Z174" i="43" s="1"/>
  <c r="AG308" i="43"/>
  <c r="AG229" i="43"/>
  <c r="AH42" i="43"/>
  <c r="AI42" i="43" s="1"/>
  <c r="AG270" i="43"/>
  <c r="AG40" i="43"/>
  <c r="AG228" i="43"/>
  <c r="Y237" i="43"/>
  <c r="Z237" i="43" s="1"/>
  <c r="AA237" i="43" s="1"/>
  <c r="AG237" i="43"/>
  <c r="AG218" i="43"/>
  <c r="Y264" i="43"/>
  <c r="Z264" i="43" s="1"/>
  <c r="AA264" i="43" s="1"/>
  <c r="Y260" i="43"/>
  <c r="Z260" i="43" s="1"/>
  <c r="AA260" i="43" s="1"/>
  <c r="Y209" i="43"/>
  <c r="Z209" i="43" s="1"/>
  <c r="AA209" i="43" s="1"/>
  <c r="AG160" i="43"/>
  <c r="Y185" i="43"/>
  <c r="Z185" i="43" s="1"/>
  <c r="AH177" i="43"/>
  <c r="AI177" i="43" s="1"/>
  <c r="AH11" i="43"/>
  <c r="AI11" i="43" s="1"/>
  <c r="AG71" i="43"/>
  <c r="AG92" i="43"/>
  <c r="Y11" i="43"/>
  <c r="Z11" i="43" s="1"/>
  <c r="AA11" i="43" s="1"/>
  <c r="AH157" i="43"/>
  <c r="AI157" i="43" s="1"/>
  <c r="AG157" i="43"/>
  <c r="Y157" i="43"/>
  <c r="Z157" i="43" s="1"/>
  <c r="AA157" i="43" s="1"/>
  <c r="AG44" i="43"/>
  <c r="AG274" i="43"/>
  <c r="AH238" i="43"/>
  <c r="AI238" i="43" s="1"/>
  <c r="AH101" i="43"/>
  <c r="AI101" i="43" s="1"/>
  <c r="Y124" i="43"/>
  <c r="Z124" i="43" s="1"/>
  <c r="AA124" i="43" s="1"/>
  <c r="AG250" i="43"/>
  <c r="Y175" i="43"/>
  <c r="Z175" i="43" s="1"/>
  <c r="AA175" i="43" s="1"/>
  <c r="AG124" i="43"/>
  <c r="AG161" i="43"/>
  <c r="AG329" i="43"/>
  <c r="AG14" i="43"/>
  <c r="AG232" i="43"/>
  <c r="AG10" i="43"/>
  <c r="AH181" i="43"/>
  <c r="AI181" i="43" s="1"/>
  <c r="AG121" i="43"/>
  <c r="Y181" i="43"/>
  <c r="Z181" i="43" s="1"/>
  <c r="AA181" i="43" s="1"/>
  <c r="Y161" i="43"/>
  <c r="Z161" i="43" s="1"/>
  <c r="AA161" i="43" s="1"/>
  <c r="AG114" i="43"/>
  <c r="Y303" i="43"/>
  <c r="Z303" i="43" s="1"/>
  <c r="AA303" i="43" s="1"/>
  <c r="AG303" i="43"/>
  <c r="Y18" i="43"/>
  <c r="Z18" i="43" s="1"/>
  <c r="AA18" i="43" s="1"/>
  <c r="AG18" i="43"/>
  <c r="AG292" i="43"/>
  <c r="AH95" i="43"/>
  <c r="AI95" i="43" s="1"/>
  <c r="AG26" i="43"/>
  <c r="AG79" i="43"/>
  <c r="AG304" i="43"/>
  <c r="AG57" i="43"/>
  <c r="AH159" i="43"/>
  <c r="AI159" i="43" s="1"/>
  <c r="AG159" i="43"/>
  <c r="AG284" i="43"/>
  <c r="Y226" i="43"/>
  <c r="Z226" i="43" s="1"/>
  <c r="AA226" i="43" s="1"/>
  <c r="AG65" i="43"/>
  <c r="AG149" i="43"/>
  <c r="AH179" i="43"/>
  <c r="AI179" i="43" s="1"/>
  <c r="AH18" i="43"/>
  <c r="AI18" i="43" s="1"/>
  <c r="AG251" i="43"/>
  <c r="Y97" i="43"/>
  <c r="Z97" i="43" s="1"/>
  <c r="AA97" i="43" s="1"/>
  <c r="AG266" i="43"/>
  <c r="AG239" i="43"/>
  <c r="AH239" i="43"/>
  <c r="AI239" i="43" s="1"/>
  <c r="AG169" i="43"/>
  <c r="Y169" i="43"/>
  <c r="Z169" i="43" s="1"/>
  <c r="AA169" i="43" s="1"/>
  <c r="AH27" i="43"/>
  <c r="AI27" i="43" s="1"/>
  <c r="AG60" i="43"/>
  <c r="AH193" i="43"/>
  <c r="AI193" i="43" s="1"/>
  <c r="Y312" i="43"/>
  <c r="Z312" i="43" s="1"/>
  <c r="AA312" i="43" s="1"/>
  <c r="AH172" i="43"/>
  <c r="AI172" i="43" s="1"/>
  <c r="Y114" i="43"/>
  <c r="Z114" i="43" s="1"/>
  <c r="AG87" i="43"/>
  <c r="Y172" i="43"/>
  <c r="Z172" i="43" s="1"/>
  <c r="AA172" i="43" s="1"/>
  <c r="AG43" i="43"/>
  <c r="AH205" i="43"/>
  <c r="AI205" i="43" s="1"/>
  <c r="AG205" i="43"/>
  <c r="AA271" i="43"/>
  <c r="AH171" i="43"/>
  <c r="AI171" i="43" s="1"/>
  <c r="AG226" i="43"/>
  <c r="Y210" i="43"/>
  <c r="Z210" i="43" s="1"/>
  <c r="AH210" i="43"/>
  <c r="AI210" i="43" s="1"/>
  <c r="AG210" i="43"/>
  <c r="Y262" i="43"/>
  <c r="Z262" i="43" s="1"/>
  <c r="AG186" i="43"/>
  <c r="AH204" i="43"/>
  <c r="AI204" i="43" s="1"/>
  <c r="Y186" i="43"/>
  <c r="Z186" i="43" s="1"/>
  <c r="AA186" i="43" s="1"/>
  <c r="AH25" i="43"/>
  <c r="AI25" i="43" s="1"/>
  <c r="Y267" i="43"/>
  <c r="Z267" i="43" s="1"/>
  <c r="AA267" i="43" s="1"/>
  <c r="Y126" i="43"/>
  <c r="Z126" i="43" s="1"/>
  <c r="AH158" i="43"/>
  <c r="AI158" i="43" s="1"/>
  <c r="AG23" i="43"/>
  <c r="AG193" i="43"/>
  <c r="AG326" i="43"/>
  <c r="AG294" i="43"/>
  <c r="Y241" i="43"/>
  <c r="Z241" i="43" s="1"/>
  <c r="AA241" i="43" s="1"/>
  <c r="AG126" i="43"/>
  <c r="Y258" i="43"/>
  <c r="Z258" i="43" s="1"/>
  <c r="AA258" i="43" s="1"/>
  <c r="Y280" i="43"/>
  <c r="Z280" i="43" s="1"/>
  <c r="AG204" i="43"/>
  <c r="AG78" i="43"/>
  <c r="AH191" i="43"/>
  <c r="AI191" i="43" s="1"/>
  <c r="Y253" i="43"/>
  <c r="Z253" i="43" s="1"/>
  <c r="AG253" i="43"/>
  <c r="Y188" i="43"/>
  <c r="Z188" i="43" s="1"/>
  <c r="AA188" i="43" s="1"/>
  <c r="AG188" i="43"/>
  <c r="AH188" i="43"/>
  <c r="AI188" i="43" s="1"/>
  <c r="AH70" i="43"/>
  <c r="AI70" i="43" s="1"/>
  <c r="AG70" i="43"/>
  <c r="AH230" i="43"/>
  <c r="AI230" i="43" s="1"/>
  <c r="AG230" i="43"/>
  <c r="Y165" i="43"/>
  <c r="Z165" i="43" s="1"/>
  <c r="AA165" i="43" s="1"/>
  <c r="AH165" i="43"/>
  <c r="AI165" i="43" s="1"/>
  <c r="AG165" i="43"/>
  <c r="AG21" i="43"/>
  <c r="AG310" i="43"/>
  <c r="AH178" i="43"/>
  <c r="AI178" i="43" s="1"/>
  <c r="AH6" i="43"/>
  <c r="AI6" i="43" s="1"/>
  <c r="AG45" i="43"/>
  <c r="AH50" i="43"/>
  <c r="AI50" i="43" s="1"/>
  <c r="AH222" i="43"/>
  <c r="AI222" i="43" s="1"/>
  <c r="AG174" i="43"/>
  <c r="AG67" i="43"/>
  <c r="AG98" i="43"/>
  <c r="Y234" i="43"/>
  <c r="Z234" i="43" s="1"/>
  <c r="AA234" i="43" s="1"/>
  <c r="AH28" i="43"/>
  <c r="AI28" i="43" s="1"/>
  <c r="AG178" i="43"/>
  <c r="AG201" i="43"/>
  <c r="AH148" i="43"/>
  <c r="AI148" i="43" s="1"/>
  <c r="AG238" i="43"/>
  <c r="AH74" i="43"/>
  <c r="AI74" i="43" s="1"/>
  <c r="AG74" i="43"/>
  <c r="Y74" i="43"/>
  <c r="Z74" i="43" s="1"/>
  <c r="AA74" i="43" s="1"/>
  <c r="AH21" i="43"/>
  <c r="AI21" i="43" s="1"/>
  <c r="AG234" i="43"/>
  <c r="Y259" i="43"/>
  <c r="Z259" i="43" s="1"/>
  <c r="AA259" i="43" s="1"/>
  <c r="AH53" i="43"/>
  <c r="AI53" i="43" s="1"/>
  <c r="AH31" i="43"/>
  <c r="AI31" i="43" s="1"/>
  <c r="AH211" i="43"/>
  <c r="AI211" i="43" s="1"/>
  <c r="AG68" i="43"/>
  <c r="AG213" i="43"/>
  <c r="Y282" i="43"/>
  <c r="Z282" i="43" s="1"/>
  <c r="AG64" i="43"/>
  <c r="AG32" i="43"/>
  <c r="Y211" i="43"/>
  <c r="Z211" i="43" s="1"/>
  <c r="AA211" i="43" s="1"/>
  <c r="AG99" i="43"/>
  <c r="AH99" i="43"/>
  <c r="AI99" i="43" s="1"/>
  <c r="AH167" i="43"/>
  <c r="AI167" i="43" s="1"/>
  <c r="AG167" i="43"/>
  <c r="AH103" i="43"/>
  <c r="AI103" i="43" s="1"/>
  <c r="AG103" i="43"/>
  <c r="Y346" i="43"/>
  <c r="Z346" i="43" s="1"/>
  <c r="AA346" i="43" s="1"/>
  <c r="AG346" i="43"/>
  <c r="Y286" i="43"/>
  <c r="Z286" i="43" s="1"/>
  <c r="AA286" i="43" s="1"/>
  <c r="AG286" i="43"/>
  <c r="AG37" i="43"/>
  <c r="AH37" i="43"/>
  <c r="AI37" i="43" s="1"/>
  <c r="Y357" i="43"/>
  <c r="Z357" i="43" s="1"/>
  <c r="AA357" i="43" s="1"/>
  <c r="AG357" i="43"/>
  <c r="AH119" i="43"/>
  <c r="AI119" i="43" s="1"/>
  <c r="AH241" i="43"/>
  <c r="AI241" i="43" s="1"/>
  <c r="AG113" i="43"/>
  <c r="AG137" i="43"/>
  <c r="AH227" i="43"/>
  <c r="AI227" i="43" s="1"/>
  <c r="AH190" i="43"/>
  <c r="AI190" i="43" s="1"/>
  <c r="AG227" i="43"/>
  <c r="AG296" i="43"/>
  <c r="Y192" i="43"/>
  <c r="Z192" i="43" s="1"/>
  <c r="AA192" i="43" s="1"/>
  <c r="AG255" i="43"/>
  <c r="AG192" i="43"/>
  <c r="Y246" i="43"/>
  <c r="Z246" i="43" s="1"/>
  <c r="AA246" i="43" s="1"/>
  <c r="AG287" i="43"/>
  <c r="Y287" i="43"/>
  <c r="AA308" i="43"/>
  <c r="AA214" i="43"/>
  <c r="AA310" i="43"/>
  <c r="AA227" i="43"/>
  <c r="Y236" i="43"/>
  <c r="Z236" i="43" s="1"/>
  <c r="AA236" i="43" s="1"/>
  <c r="AH236" i="43"/>
  <c r="AI236" i="43" s="1"/>
  <c r="AG236" i="43"/>
  <c r="AG235" i="43"/>
  <c r="AH235" i="43"/>
  <c r="AI235" i="43" s="1"/>
  <c r="Y235" i="43"/>
  <c r="Z235" i="43" s="1"/>
  <c r="AG39" i="43"/>
  <c r="AH39" i="43"/>
  <c r="AI39" i="43" s="1"/>
  <c r="Y277" i="43"/>
  <c r="Z277" i="43" s="1"/>
  <c r="AA277" i="43" s="1"/>
  <c r="AG277" i="43"/>
  <c r="AH47" i="43"/>
  <c r="AI47" i="43" s="1"/>
  <c r="AG47" i="43"/>
  <c r="AH110" i="43"/>
  <c r="AI110" i="43" s="1"/>
  <c r="AG110" i="43"/>
  <c r="AG208" i="43"/>
  <c r="Y208" i="43"/>
  <c r="Z208" i="43" s="1"/>
  <c r="AA208" i="43" s="1"/>
  <c r="AH208" i="43"/>
  <c r="AI208" i="43" s="1"/>
  <c r="AH36" i="43"/>
  <c r="AI36" i="43" s="1"/>
  <c r="AG36" i="43"/>
  <c r="AG217" i="43"/>
  <c r="AH217" i="43"/>
  <c r="AI217" i="43" s="1"/>
  <c r="AG34" i="43"/>
  <c r="AH34" i="43"/>
  <c r="AI34" i="43" s="1"/>
  <c r="AG48" i="43"/>
  <c r="AH48" i="43"/>
  <c r="AI48" i="43" s="1"/>
  <c r="Y219" i="43"/>
  <c r="Z219" i="43" s="1"/>
  <c r="AA219" i="43" s="1"/>
  <c r="AG219" i="43"/>
  <c r="AH219" i="43"/>
  <c r="AI219" i="43" s="1"/>
  <c r="AH155" i="43"/>
  <c r="AI155" i="43" s="1"/>
  <c r="AG155" i="43"/>
  <c r="AG81" i="43"/>
  <c r="AH81" i="43"/>
  <c r="AI81" i="43" s="1"/>
  <c r="AG147" i="43"/>
  <c r="AH147" i="43"/>
  <c r="AI147" i="43" s="1"/>
  <c r="AG106" i="43"/>
  <c r="Y298" i="43"/>
  <c r="Z298" i="43" s="1"/>
  <c r="AA298" i="43" s="1"/>
  <c r="Y305" i="43"/>
  <c r="Z305" i="43" s="1"/>
  <c r="AA305" i="43" s="1"/>
  <c r="AG24" i="43"/>
  <c r="AH24" i="43"/>
  <c r="AI24" i="43" s="1"/>
  <c r="AH93" i="43"/>
  <c r="AI93" i="43" s="1"/>
  <c r="AG93" i="43"/>
  <c r="AH224" i="43"/>
  <c r="AI224" i="43" s="1"/>
  <c r="AG224" i="43"/>
  <c r="AG108" i="43"/>
  <c r="AH108" i="43"/>
  <c r="AI108" i="43" s="1"/>
  <c r="AG89" i="43"/>
  <c r="AH89" i="43"/>
  <c r="AI89" i="43" s="1"/>
  <c r="Y283" i="43"/>
  <c r="Z283" i="43" s="1"/>
  <c r="AA283" i="43" s="1"/>
  <c r="AG283" i="43"/>
  <c r="Y182" i="43"/>
  <c r="Z182" i="43" s="1"/>
  <c r="AA182" i="43" s="1"/>
  <c r="AG182" i="43"/>
  <c r="AH182" i="43"/>
  <c r="AI182" i="43" s="1"/>
  <c r="Y248" i="43"/>
  <c r="Z248" i="43" s="1"/>
  <c r="AG248" i="43"/>
  <c r="AH38" i="43"/>
  <c r="AI38" i="43" s="1"/>
  <c r="AG38" i="43"/>
  <c r="AH153" i="43"/>
  <c r="AI153" i="43" s="1"/>
  <c r="AG153" i="43"/>
  <c r="AG320" i="43"/>
  <c r="Y320" i="43"/>
  <c r="Z320" i="43" s="1"/>
  <c r="AA320" i="43" s="1"/>
  <c r="AH96" i="43"/>
  <c r="AI96" i="43" s="1"/>
  <c r="AG152" i="43"/>
  <c r="Y152" i="43"/>
  <c r="Z152" i="43" s="1"/>
  <c r="AA152" i="43" s="1"/>
  <c r="AH152" i="43"/>
  <c r="AI152" i="43" s="1"/>
  <c r="AH168" i="43"/>
  <c r="AI168" i="43" s="1"/>
  <c r="AG168" i="43"/>
  <c r="AG112" i="43"/>
  <c r="AH112" i="43"/>
  <c r="AI112" i="43" s="1"/>
  <c r="AG297" i="43"/>
  <c r="AG120" i="43"/>
  <c r="AH120" i="43"/>
  <c r="AI120" i="43" s="1"/>
  <c r="AG77" i="43"/>
  <c r="AH77" i="43"/>
  <c r="AI77" i="43" s="1"/>
  <c r="AH240" i="43"/>
  <c r="AI240" i="43" s="1"/>
  <c r="Y240" i="43"/>
  <c r="Z240" i="43" s="1"/>
  <c r="AA240" i="43" s="1"/>
  <c r="AG240" i="43"/>
  <c r="AG163" i="43"/>
  <c r="AH163" i="43"/>
  <c r="AI163" i="43" s="1"/>
  <c r="Y163" i="43"/>
  <c r="Z163" i="43" s="1"/>
  <c r="AA163" i="43" s="1"/>
  <c r="Y265" i="43"/>
  <c r="Z265" i="43" s="1"/>
  <c r="AA265" i="43" s="1"/>
  <c r="AG265" i="43"/>
  <c r="AG52" i="43"/>
  <c r="AH52" i="43"/>
  <c r="AI52" i="43" s="1"/>
  <c r="AG145" i="43"/>
  <c r="AH83" i="43"/>
  <c r="AI83" i="43" s="1"/>
  <c r="AG300" i="43"/>
  <c r="Y345" i="43"/>
  <c r="AG345" i="43"/>
  <c r="AH180" i="43"/>
  <c r="AI180" i="43" s="1"/>
  <c r="AG180" i="43"/>
  <c r="Y180" i="43"/>
  <c r="AG275" i="43"/>
  <c r="Y275" i="43"/>
  <c r="Z275" i="43" s="1"/>
  <c r="AA275" i="43" s="1"/>
  <c r="Y221" i="43"/>
  <c r="Z221" i="43" s="1"/>
  <c r="AA221" i="43" s="1"/>
  <c r="AG221" i="43"/>
  <c r="AH221" i="43"/>
  <c r="AI221" i="43" s="1"/>
  <c r="AG104" i="43"/>
  <c r="AH104" i="43"/>
  <c r="AI104" i="43" s="1"/>
  <c r="Y202" i="43"/>
  <c r="Z202" i="43" s="1"/>
  <c r="AA202" i="43" s="1"/>
  <c r="AH202" i="43"/>
  <c r="AI202" i="43" s="1"/>
  <c r="AG202" i="43"/>
  <c r="AG354" i="43"/>
  <c r="AH354" i="43"/>
  <c r="AI354" i="43" s="1"/>
  <c r="Y138" i="43"/>
  <c r="Z138" i="43" s="1"/>
  <c r="AA138" i="43" s="1"/>
  <c r="AG138" i="43"/>
  <c r="AH115" i="43"/>
  <c r="AI115" i="43" s="1"/>
  <c r="AG115" i="43"/>
  <c r="O367" i="43"/>
  <c r="AG233" i="43"/>
  <c r="Y293" i="43"/>
  <c r="AG293" i="43"/>
  <c r="AG195" i="43"/>
  <c r="AH195" i="43"/>
  <c r="AI195" i="43" s="1"/>
  <c r="AH94" i="43"/>
  <c r="AI94" i="43" s="1"/>
  <c r="AG94" i="43"/>
  <c r="AH233" i="43"/>
  <c r="AI233" i="43" s="1"/>
  <c r="AH73" i="43"/>
  <c r="AI73" i="43" s="1"/>
  <c r="AG73" i="43"/>
  <c r="AG105" i="43"/>
  <c r="AH105" i="43"/>
  <c r="AI105" i="43" s="1"/>
  <c r="AH51" i="43"/>
  <c r="AI51" i="43" s="1"/>
  <c r="AG51" i="43"/>
  <c r="AH199" i="43"/>
  <c r="AI199" i="43" s="1"/>
  <c r="AG199" i="43"/>
  <c r="Y199" i="43"/>
  <c r="AH75" i="43"/>
  <c r="AI75" i="43" s="1"/>
  <c r="AG75" i="43"/>
  <c r="AG198" i="43"/>
  <c r="Y198" i="43"/>
  <c r="Z198" i="43" s="1"/>
  <c r="AA198" i="43" s="1"/>
  <c r="AH198" i="43"/>
  <c r="AI198" i="43" s="1"/>
  <c r="AA228" i="43"/>
  <c r="AA107" i="43"/>
  <c r="AH361" i="43"/>
  <c r="AI361" i="43" s="1"/>
  <c r="AG361" i="43"/>
  <c r="AH15" i="43"/>
  <c r="AI15" i="43" s="1"/>
  <c r="AG15" i="43"/>
  <c r="AG261" i="43"/>
  <c r="Y261" i="43"/>
  <c r="Z261" i="43" s="1"/>
  <c r="AA261" i="43" s="1"/>
  <c r="AH17" i="43"/>
  <c r="AI17" i="43" s="1"/>
  <c r="AG17" i="43"/>
  <c r="AG12" i="43"/>
  <c r="AH12" i="43"/>
  <c r="AI12" i="43" s="1"/>
  <c r="Y127" i="43"/>
  <c r="Z127" i="43" s="1"/>
  <c r="AA127" i="43" s="1"/>
  <c r="AG127" i="43"/>
  <c r="Y301" i="43"/>
  <c r="Z301" i="43" s="1"/>
  <c r="AA301" i="43" s="1"/>
  <c r="AG301" i="43"/>
  <c r="AH245" i="43"/>
  <c r="AI245" i="43" s="1"/>
  <c r="Y245" i="43"/>
  <c r="Z245" i="43" s="1"/>
  <c r="AA245" i="43" s="1"/>
  <c r="AG245" i="43"/>
  <c r="AG278" i="43"/>
  <c r="Y278" i="43"/>
  <c r="Z278" i="43" s="1"/>
  <c r="AA278" i="43" s="1"/>
  <c r="Y247" i="43"/>
  <c r="Z247" i="43" s="1"/>
  <c r="AA247" i="43" s="1"/>
  <c r="AG247" i="43"/>
  <c r="AG196" i="43"/>
  <c r="AH196" i="43"/>
  <c r="AI196" i="43" s="1"/>
  <c r="AH231" i="43"/>
  <c r="AI231" i="43" s="1"/>
  <c r="AG231" i="43"/>
  <c r="AG154" i="43"/>
  <c r="Y154" i="43"/>
  <c r="Z154" i="43" s="1"/>
  <c r="AA154" i="43" s="1"/>
  <c r="AH154" i="43"/>
  <c r="AI154" i="43" s="1"/>
  <c r="AG5" i="43"/>
  <c r="AE369" i="43"/>
  <c r="AH5" i="43"/>
  <c r="AI5" i="43" s="1"/>
  <c r="AH203" i="43"/>
  <c r="AI203" i="43" s="1"/>
  <c r="Y203" i="43"/>
  <c r="Z203" i="43" s="1"/>
  <c r="AA203" i="43" s="1"/>
  <c r="Y353" i="43"/>
  <c r="Z353" i="43" s="1"/>
  <c r="AA353" i="43" s="1"/>
  <c r="AG353" i="43"/>
  <c r="AG200" i="43"/>
  <c r="AH200" i="43"/>
  <c r="AI200" i="43" s="1"/>
  <c r="AG49" i="43"/>
  <c r="AH49" i="43"/>
  <c r="AI49" i="43" s="1"/>
  <c r="Y133" i="43"/>
  <c r="Z133" i="43" s="1"/>
  <c r="AA133" i="43" s="1"/>
  <c r="AG133" i="43"/>
  <c r="Y242" i="43"/>
  <c r="Z242" i="43" s="1"/>
  <c r="AA242" i="43" s="1"/>
  <c r="AH242" i="43"/>
  <c r="AI242" i="43" s="1"/>
  <c r="AG242" i="43"/>
  <c r="AG58" i="43"/>
  <c r="AH58" i="43"/>
  <c r="AI58" i="43" s="1"/>
  <c r="AG88" i="43"/>
  <c r="AH88" i="43"/>
  <c r="AI88" i="43" s="1"/>
  <c r="Y88" i="43"/>
  <c r="Z88" i="43" s="1"/>
  <c r="AA88" i="43" s="1"/>
  <c r="Y128" i="43"/>
  <c r="Z128" i="43" s="1"/>
  <c r="AA128" i="43" s="1"/>
  <c r="AG128" i="43"/>
  <c r="AH183" i="43"/>
  <c r="AI183" i="43" s="1"/>
  <c r="AG183" i="43"/>
  <c r="Y183" i="43"/>
  <c r="Z183" i="43" s="1"/>
  <c r="AA183" i="43" s="1"/>
  <c r="AH360" i="43"/>
  <c r="AI360" i="43" s="1"/>
  <c r="AG360" i="43"/>
  <c r="X3" i="43"/>
  <c r="P367" i="43"/>
  <c r="AG363" i="43"/>
  <c r="AH363" i="43"/>
  <c r="AI363" i="43" s="1"/>
  <c r="Y164" i="43"/>
  <c r="Z164" i="43" s="1"/>
  <c r="AA164" i="43" s="1"/>
  <c r="AH164" i="43"/>
  <c r="AI164" i="43" s="1"/>
  <c r="AG170" i="43"/>
  <c r="Y170" i="43"/>
  <c r="Z170" i="43" s="1"/>
  <c r="AA170" i="43" s="1"/>
  <c r="AH170" i="43"/>
  <c r="AI170" i="43" s="1"/>
  <c r="AG69" i="43"/>
  <c r="AH69" i="43"/>
  <c r="AI69" i="43" s="1"/>
  <c r="AG216" i="43"/>
  <c r="Y216" i="43"/>
  <c r="Z216" i="43" s="1"/>
  <c r="AA216" i="43" s="1"/>
  <c r="AH216" i="43"/>
  <c r="AI216" i="43" s="1"/>
  <c r="Y302" i="43"/>
  <c r="Z302" i="43" s="1"/>
  <c r="AA302" i="43" s="1"/>
  <c r="AG302" i="43"/>
  <c r="AG41" i="43"/>
  <c r="AH41" i="43"/>
  <c r="AI41" i="43" s="1"/>
  <c r="AG7" i="43"/>
  <c r="AH7" i="43"/>
  <c r="AI7" i="43" s="1"/>
  <c r="AG289" i="43"/>
  <c r="Y289" i="43"/>
  <c r="AH364" i="43"/>
  <c r="AI364" i="43" s="1"/>
  <c r="AG364" i="43"/>
  <c r="Y364" i="43"/>
  <c r="Z364" i="43" s="1"/>
  <c r="AA364" i="43" s="1"/>
  <c r="AG16" i="43"/>
  <c r="AH16" i="43"/>
  <c r="AI16" i="43" s="1"/>
  <c r="AH13" i="43"/>
  <c r="AI13" i="43" s="1"/>
  <c r="AG13" i="43"/>
  <c r="AG299" i="43"/>
  <c r="Y299" i="43"/>
  <c r="AG313" i="43"/>
  <c r="Y313" i="43"/>
  <c r="Z313" i="43" s="1"/>
  <c r="AA313" i="43" s="1"/>
  <c r="AG223" i="43"/>
  <c r="Y223" i="43"/>
  <c r="Z223" i="43" s="1"/>
  <c r="AA223" i="43" s="1"/>
  <c r="AH223" i="43"/>
  <c r="AI223" i="43" s="1"/>
  <c r="AG220" i="43"/>
  <c r="AH220" i="43"/>
  <c r="AI220" i="43" s="1"/>
  <c r="AH85" i="43"/>
  <c r="AI85" i="43" s="1"/>
  <c r="AG85" i="43"/>
  <c r="AH225" i="43"/>
  <c r="AI225" i="43" s="1"/>
  <c r="AG225" i="43"/>
  <c r="Y225" i="43"/>
  <c r="Z225" i="43" s="1"/>
  <c r="AA225" i="43" s="1"/>
  <c r="AH9" i="43"/>
  <c r="AI9" i="43" s="1"/>
  <c r="AG9" i="43"/>
  <c r="AG20" i="43"/>
  <c r="AH20" i="43"/>
  <c r="AI20" i="43" s="1"/>
  <c r="Y273" i="43"/>
  <c r="Z273" i="43" s="1"/>
  <c r="AA273" i="43" s="1"/>
  <c r="AG273" i="43"/>
  <c r="AH102" i="43"/>
  <c r="AI102" i="43" s="1"/>
  <c r="AG102" i="43"/>
  <c r="AH117" i="43"/>
  <c r="AI117" i="43" s="1"/>
  <c r="AG117" i="43"/>
  <c r="AG8" i="43"/>
  <c r="AH8" i="43"/>
  <c r="AI8" i="43" s="1"/>
  <c r="AH54" i="43"/>
  <c r="AI54" i="43" s="1"/>
  <c r="AG54" i="43"/>
  <c r="Y141" i="43"/>
  <c r="Z141" i="43" s="1"/>
  <c r="AA141" i="43" s="1"/>
  <c r="AG141" i="43"/>
  <c r="AG66" i="43"/>
  <c r="AH66" i="43"/>
  <c r="AI66" i="43" s="1"/>
  <c r="AG295" i="43"/>
  <c r="Y295" i="43"/>
  <c r="Z295" i="43" s="1"/>
  <c r="AA295" i="43" s="1"/>
  <c r="AG55" i="43"/>
  <c r="AH55" i="43"/>
  <c r="AI55" i="43" s="1"/>
  <c r="AH123" i="43"/>
  <c r="AI123" i="43" s="1"/>
  <c r="AG123" i="43"/>
  <c r="AH215" i="43"/>
  <c r="AI215" i="43" s="1"/>
  <c r="AG215" i="43"/>
  <c r="Y215" i="43"/>
  <c r="Z215" i="43" s="1"/>
  <c r="AA215" i="43" s="1"/>
  <c r="AH62" i="43"/>
  <c r="AI62" i="43" s="1"/>
  <c r="AG62" i="43"/>
  <c r="AG33" i="43"/>
  <c r="AH33" i="43"/>
  <c r="AI33" i="43" s="1"/>
  <c r="AH162" i="43"/>
  <c r="AI162" i="43" s="1"/>
  <c r="AG162" i="43"/>
  <c r="Y162" i="43"/>
  <c r="Z162" i="43" s="1"/>
  <c r="AA162" i="43" s="1"/>
  <c r="AG90" i="43"/>
  <c r="AH243" i="43"/>
  <c r="AI243" i="43" s="1"/>
  <c r="Y243" i="43"/>
  <c r="Z243" i="43" s="1"/>
  <c r="AA243" i="43" s="1"/>
  <c r="AH100" i="43"/>
  <c r="AI100" i="43" s="1"/>
  <c r="AG100" i="43"/>
  <c r="AG164" i="43"/>
  <c r="AH76" i="43"/>
  <c r="AI76" i="43" s="1"/>
  <c r="AG76" i="43"/>
  <c r="AG29" i="43"/>
  <c r="AH29" i="43"/>
  <c r="AI29" i="43" s="1"/>
  <c r="AG140" i="43"/>
  <c r="Y140" i="43"/>
  <c r="Z140" i="43" s="1"/>
  <c r="AA140" i="43" s="1"/>
  <c r="Y142" i="43"/>
  <c r="Z142" i="43" s="1"/>
  <c r="AA142" i="43" s="1"/>
  <c r="AG142" i="43"/>
  <c r="AG362" i="43"/>
  <c r="AH362" i="43"/>
  <c r="AI362" i="43" s="1"/>
  <c r="AG203" i="43"/>
  <c r="AH194" i="43"/>
  <c r="AI194" i="43" s="1"/>
  <c r="AG194" i="43"/>
  <c r="AG82" i="43"/>
  <c r="AH82" i="43"/>
  <c r="AI82" i="43" s="1"/>
  <c r="AG118" i="43"/>
  <c r="Y118" i="43"/>
  <c r="Z118" i="43" s="1"/>
  <c r="AA118" i="43" s="1"/>
  <c r="AH118" i="43"/>
  <c r="AI118" i="43" s="1"/>
  <c r="AH59" i="43"/>
  <c r="AI59" i="43" s="1"/>
  <c r="AG59" i="43"/>
  <c r="AH146" i="43"/>
  <c r="AI146" i="43" s="1"/>
  <c r="AG146" i="43"/>
  <c r="Y146" i="43"/>
  <c r="Z146" i="43" s="1"/>
  <c r="AA146" i="43" s="1"/>
  <c r="AG156" i="43"/>
  <c r="AH156" i="43"/>
  <c r="AI156" i="43" s="1"/>
  <c r="AH19" i="43"/>
  <c r="AI19" i="43" s="1"/>
  <c r="AG19" i="43"/>
  <c r="AG4" i="43"/>
  <c r="AH4" i="43"/>
  <c r="AI4" i="43" s="1"/>
  <c r="K21" i="46"/>
  <c r="AA173" i="43" l="1"/>
  <c r="AA72" i="43"/>
  <c r="AA257" i="43"/>
  <c r="AA174" i="43"/>
  <c r="AA185" i="43"/>
  <c r="AA218" i="43"/>
  <c r="AA114" i="43"/>
  <c r="AA280" i="43"/>
  <c r="AA126" i="43"/>
  <c r="AA210" i="43"/>
  <c r="AA262" i="43"/>
  <c r="AA253" i="43"/>
  <c r="AA282" i="43"/>
  <c r="Z287" i="43"/>
  <c r="AA287" i="43" s="1"/>
  <c r="AA248" i="43"/>
  <c r="Z199" i="43"/>
  <c r="AA199" i="43" s="1"/>
  <c r="Z293" i="43"/>
  <c r="AA293" i="43" s="1"/>
  <c r="AA235" i="43"/>
  <c r="Z345" i="43"/>
  <c r="AA345" i="43" s="1"/>
  <c r="Z180" i="43"/>
  <c r="AA180" i="43" s="1"/>
  <c r="AG3" i="43"/>
  <c r="AH3" i="43"/>
  <c r="X369" i="43"/>
  <c r="Z299" i="43"/>
  <c r="AA299" i="43" s="1"/>
  <c r="Z289" i="43"/>
  <c r="AA289" i="43" s="1"/>
  <c r="AI3" i="43" l="1"/>
  <c r="M21" i="46" l="1"/>
  <c r="N21" i="46" l="1"/>
  <c r="G32" i="66" l="1"/>
  <c r="O21" i="46"/>
  <c r="H32" i="66" l="1"/>
  <c r="P21" i="46"/>
  <c r="R21" i="46" l="1"/>
  <c r="Q21" i="46"/>
  <c r="V21" i="46" l="1"/>
  <c r="BK397" i="1" s="1"/>
  <c r="U21" i="46"/>
  <c r="BJ397" i="1" s="1"/>
  <c r="W21" i="46" l="1"/>
  <c r="X21" i="46" l="1"/>
  <c r="Y21" i="46" l="1"/>
  <c r="AA21" i="46" l="1"/>
  <c r="C5" i="5" s="1"/>
  <c r="Z21" i="46"/>
  <c r="C6" i="5" l="1"/>
  <c r="AB397" i="1" l="1"/>
  <c r="J38" i="5"/>
  <c r="Q38" i="5"/>
  <c r="E38" i="5"/>
  <c r="L38" i="5"/>
  <c r="N38" i="5"/>
  <c r="K38" i="5"/>
  <c r="H38" i="5"/>
  <c r="G38" i="5"/>
  <c r="M38" i="5"/>
  <c r="P38" i="5"/>
  <c r="F38" i="5"/>
  <c r="I38" i="5"/>
  <c r="AB398" i="1" l="1"/>
  <c r="E18" i="5" s="1"/>
  <c r="I39" i="5"/>
  <c r="F39" i="5"/>
  <c r="P39" i="5"/>
  <c r="H39" i="5"/>
  <c r="E39" i="5"/>
  <c r="G39" i="5"/>
  <c r="K39" i="5"/>
  <c r="Q39" i="5"/>
  <c r="M39" i="5"/>
  <c r="N39" i="5"/>
  <c r="J39" i="5"/>
  <c r="L39" i="5"/>
  <c r="E19" i="5" l="1"/>
  <c r="AN391" i="1"/>
  <c r="AO391" i="1" s="1"/>
  <c r="O38" i="5"/>
  <c r="AD394" i="1" l="1"/>
  <c r="AE394" i="1" s="1"/>
  <c r="D15" i="5"/>
  <c r="C15" i="5" s="1"/>
  <c r="AD395" i="1"/>
  <c r="D13" i="5"/>
  <c r="C13" i="5" s="1"/>
  <c r="AD393" i="1"/>
  <c r="D14" i="5"/>
  <c r="C14" i="5" s="1"/>
  <c r="X366" i="43" s="1"/>
  <c r="Y366" i="43" s="1"/>
  <c r="Z366" i="43" s="1"/>
  <c r="AA366" i="43" s="1"/>
  <c r="AR390" i="1"/>
  <c r="C16" i="5" l="1"/>
  <c r="AC376" i="1"/>
  <c r="AD376" i="1" s="1"/>
  <c r="AE376" i="1" s="1"/>
  <c r="X365" i="43"/>
  <c r="Y365" i="43" s="1"/>
  <c r="Z365" i="43" s="1"/>
  <c r="AA365" i="43" s="1"/>
  <c r="AC377" i="1"/>
  <c r="AD377" i="1" s="1"/>
  <c r="AE377" i="1" s="1"/>
  <c r="AC380" i="1"/>
  <c r="AD380" i="1" s="1"/>
  <c r="AE380" i="1" s="1"/>
  <c r="AC383" i="1"/>
  <c r="AD383" i="1" s="1"/>
  <c r="AE383" i="1" s="1"/>
  <c r="AC381" i="1"/>
  <c r="AC382" i="1"/>
  <c r="AD382" i="1" s="1"/>
  <c r="AE382" i="1" s="1"/>
  <c r="AC384" i="1"/>
  <c r="AD384" i="1" s="1"/>
  <c r="AE384" i="1" s="1"/>
  <c r="AC385" i="1"/>
  <c r="AC386" i="1"/>
  <c r="AD386" i="1" s="1"/>
  <c r="AE386" i="1" s="1"/>
  <c r="Y60" i="43"/>
  <c r="Z60" i="43" s="1"/>
  <c r="AA60" i="43" s="1"/>
  <c r="AG366" i="43"/>
  <c r="AH366" i="43"/>
  <c r="AI366" i="43" s="1"/>
  <c r="E5" i="5"/>
  <c r="Y151" i="43"/>
  <c r="Z151" i="43" s="1"/>
  <c r="AA151" i="43" s="1"/>
  <c r="Y184" i="43"/>
  <c r="Z184" i="43" s="1"/>
  <c r="AA184" i="43" s="1"/>
  <c r="Y167" i="43"/>
  <c r="Z167" i="43" s="1"/>
  <c r="AA167" i="43" s="1"/>
  <c r="Y232" i="43"/>
  <c r="Z232" i="43" s="1"/>
  <c r="AA232" i="43" s="1"/>
  <c r="Y5" i="43"/>
  <c r="Z5" i="43" s="1"/>
  <c r="AA5" i="43" s="1"/>
  <c r="Y6" i="43"/>
  <c r="Z6" i="43" s="1"/>
  <c r="AA6" i="43" s="1"/>
  <c r="Y136" i="43"/>
  <c r="Z136" i="43" s="1"/>
  <c r="AA136" i="43" s="1"/>
  <c r="Y77" i="43"/>
  <c r="Z77" i="43" s="1"/>
  <c r="AA77" i="43" s="1"/>
  <c r="Y139" i="43"/>
  <c r="Z139" i="43" s="1"/>
  <c r="AA139" i="43" s="1"/>
  <c r="Y334" i="43"/>
  <c r="Z334" i="43" s="1"/>
  <c r="AA334" i="43" s="1"/>
  <c r="Y340" i="43"/>
  <c r="Z340" i="43" s="1"/>
  <c r="AA340" i="43" s="1"/>
  <c r="Y78" i="43"/>
  <c r="Z78" i="43" s="1"/>
  <c r="AA78" i="43" s="1"/>
  <c r="Y134" i="43"/>
  <c r="Z134" i="43" s="1"/>
  <c r="AA134" i="43" s="1"/>
  <c r="AC379" i="1" l="1"/>
  <c r="AD379" i="1" s="1"/>
  <c r="AE379" i="1" s="1"/>
  <c r="AC387" i="1"/>
  <c r="AD387" i="1" s="1"/>
  <c r="AE387" i="1" s="1"/>
  <c r="AC378" i="1"/>
  <c r="AD378" i="1" s="1"/>
  <c r="AE378" i="1" s="1"/>
  <c r="AC388" i="1"/>
  <c r="AD388" i="1" s="1"/>
  <c r="AE388" i="1" s="1"/>
  <c r="Y135" i="43"/>
  <c r="Z135" i="43" s="1"/>
  <c r="AA135" i="43" s="1"/>
  <c r="Y52" i="43"/>
  <c r="Z52" i="43" s="1"/>
  <c r="AA52" i="43" s="1"/>
  <c r="Y34" i="43"/>
  <c r="Z34" i="43" s="1"/>
  <c r="AA34" i="43" s="1"/>
  <c r="AC389" i="1"/>
  <c r="AD389" i="1" s="1"/>
  <c r="AE389" i="1" s="1"/>
  <c r="AG365" i="43"/>
  <c r="AG367" i="43" s="1"/>
  <c r="AH365" i="43"/>
  <c r="X367" i="43"/>
  <c r="AD381" i="1"/>
  <c r="AE381" i="1" s="1"/>
  <c r="AD385" i="1"/>
  <c r="AE385" i="1" s="1"/>
  <c r="O39" i="5"/>
  <c r="AC395" i="1" l="1"/>
  <c r="AC393" i="1" s="1"/>
  <c r="AI365" i="43"/>
  <c r="AI367" i="43" s="1"/>
  <c r="AH367" i="43"/>
  <c r="AE395" i="1" l="1"/>
  <c r="AE393" i="1"/>
  <c r="C17" i="5" s="1"/>
  <c r="C9" i="5" s="1"/>
  <c r="AC375" i="1" s="1"/>
  <c r="AD375" i="1" l="1"/>
  <c r="AE375" i="1" s="1"/>
  <c r="AC219" i="1"/>
  <c r="AC66" i="1"/>
  <c r="AC70" i="1"/>
  <c r="AC49" i="1"/>
  <c r="AC299" i="1"/>
  <c r="AC268" i="1"/>
  <c r="AC8" i="1"/>
  <c r="AC172" i="1"/>
  <c r="AC241" i="1"/>
  <c r="AC229" i="1"/>
  <c r="AC350" i="1"/>
  <c r="AC135" i="1"/>
  <c r="AC11" i="1"/>
  <c r="AC293" i="1"/>
  <c r="AC215" i="1"/>
  <c r="AC163" i="1"/>
  <c r="AC323" i="1"/>
  <c r="AC252" i="1"/>
  <c r="AC302" i="1"/>
  <c r="AC113" i="1"/>
  <c r="AC370" i="1"/>
  <c r="AC19" i="1"/>
  <c r="AC67" i="1"/>
  <c r="AC81" i="1"/>
  <c r="AC45" i="1"/>
  <c r="AC273" i="1"/>
  <c r="AC147" i="1"/>
  <c r="AC253" i="1"/>
  <c r="AC20" i="1"/>
  <c r="AC118" i="1"/>
  <c r="AC14" i="1"/>
  <c r="AC290" i="1"/>
  <c r="AC230" i="1"/>
  <c r="AC15" i="1"/>
  <c r="AC267" i="1"/>
  <c r="AC164" i="1"/>
  <c r="AC289" i="1"/>
  <c r="AC281" i="1"/>
  <c r="AC180" i="1"/>
  <c r="AC344" i="1"/>
  <c r="AC144" i="1"/>
  <c r="AC237" i="1"/>
  <c r="AC88" i="1"/>
  <c r="AC245" i="1"/>
  <c r="AC347" i="1"/>
  <c r="AC79" i="1"/>
  <c r="AC303" i="1"/>
  <c r="AC269" i="1"/>
  <c r="AC246" i="1"/>
  <c r="AC309" i="1"/>
  <c r="AC321" i="1"/>
  <c r="AC261" i="1"/>
  <c r="AC372" i="1"/>
  <c r="AC353" i="1"/>
  <c r="AC59" i="1"/>
  <c r="AC68" i="1"/>
  <c r="AC258" i="1"/>
  <c r="AC260" i="1"/>
  <c r="AC272" i="1"/>
  <c r="AC37" i="1"/>
  <c r="AC48" i="1"/>
  <c r="AC333" i="1"/>
  <c r="AC337" i="1"/>
  <c r="AC21" i="1"/>
  <c r="AC313" i="1"/>
  <c r="AC357" i="1"/>
  <c r="AC369" i="1"/>
  <c r="AC71" i="1"/>
  <c r="AC209" i="1"/>
  <c r="AC271" i="1"/>
  <c r="AC298" i="1"/>
  <c r="AC94" i="1"/>
  <c r="AC214" i="1"/>
  <c r="AC343" i="1"/>
  <c r="AC218" i="1"/>
  <c r="AC60" i="1"/>
  <c r="AC77" i="1"/>
  <c r="AC208" i="1"/>
  <c r="AC216" i="1"/>
  <c r="AC183" i="1"/>
  <c r="AC356" i="1"/>
  <c r="AC367" i="1"/>
  <c r="AC162" i="1"/>
  <c r="AC360" i="1"/>
  <c r="AC223" i="1"/>
  <c r="AC322" i="1"/>
  <c r="AC326" i="1"/>
  <c r="AC371" i="1"/>
  <c r="AC251" i="1"/>
  <c r="AC202" i="1"/>
  <c r="AC274" i="1"/>
  <c r="AC129" i="1"/>
  <c r="AC86" i="1"/>
  <c r="AC249" i="1"/>
  <c r="AC311" i="1"/>
  <c r="AC296" i="1"/>
  <c r="AC186" i="1"/>
  <c r="AC16" i="1"/>
  <c r="AC248" i="1"/>
  <c r="AC203" i="1"/>
  <c r="AC42" i="1"/>
  <c r="AC149" i="1"/>
  <c r="Y49" i="43"/>
  <c r="AC187" i="1"/>
  <c r="AC7" i="1"/>
  <c r="AC320" i="1"/>
  <c r="AC169" i="1"/>
  <c r="AC263" i="1"/>
  <c r="AC193" i="1"/>
  <c r="AC43" i="1"/>
  <c r="AC36" i="1"/>
  <c r="AC30" i="1"/>
  <c r="AC283" i="1"/>
  <c r="AC340" i="1"/>
  <c r="AC292" i="1"/>
  <c r="AC55" i="1"/>
  <c r="AC75" i="1"/>
  <c r="AC132" i="1"/>
  <c r="AC13" i="1"/>
  <c r="AC304" i="1"/>
  <c r="AC188" i="1"/>
  <c r="AC108" i="1"/>
  <c r="AC285" i="1"/>
  <c r="AC325" i="1"/>
  <c r="AC284" i="1"/>
  <c r="AC317" i="1"/>
  <c r="AC282" i="1"/>
  <c r="AC331" i="1"/>
  <c r="AC365" i="1"/>
  <c r="AC117" i="1"/>
  <c r="AC140" i="1"/>
  <c r="AC179" i="1"/>
  <c r="AC301" i="1"/>
  <c r="AC310" i="1"/>
  <c r="AC18" i="1"/>
  <c r="AC22" i="1"/>
  <c r="AC74" i="1"/>
  <c r="Y131" i="43"/>
  <c r="Y51" i="43"/>
  <c r="Y67" i="43"/>
  <c r="Y359" i="43"/>
  <c r="Y116" i="43"/>
  <c r="Y155" i="43"/>
  <c r="Y197" i="43"/>
  <c r="Y249" i="43"/>
  <c r="Y54" i="43"/>
  <c r="Y217" i="43"/>
  <c r="Y75" i="43"/>
  <c r="Y333" i="43"/>
  <c r="Y82" i="43"/>
  <c r="Y65" i="43"/>
  <c r="Y307" i="43"/>
  <c r="Y355" i="43"/>
  <c r="Y148" i="43"/>
  <c r="Y8" i="43"/>
  <c r="Y352" i="43"/>
  <c r="Y318" i="43"/>
  <c r="Y86" i="43"/>
  <c r="Y106" i="43"/>
  <c r="Y7" i="43"/>
  <c r="Y10" i="43"/>
  <c r="Y15" i="43"/>
  <c r="Y361" i="43"/>
  <c r="Y29" i="43"/>
  <c r="Y119" i="43"/>
  <c r="Y96" i="43"/>
  <c r="Y44" i="43"/>
  <c r="Y90" i="43"/>
  <c r="Y102" i="43"/>
  <c r="Y99" i="43"/>
  <c r="Y104" i="43"/>
  <c r="AC212" i="1"/>
  <c r="AC150" i="1"/>
  <c r="AC137" i="1"/>
  <c r="AC152" i="1"/>
  <c r="Y317" i="43"/>
  <c r="Y351" i="43"/>
  <c r="AC109" i="1"/>
  <c r="AC336" i="1"/>
  <c r="AC327" i="1"/>
  <c r="Y316" i="43"/>
  <c r="AC315" i="1"/>
  <c r="AC275" i="1"/>
  <c r="AC102" i="1"/>
  <c r="AC84" i="1"/>
  <c r="AC82" i="1"/>
  <c r="AC12" i="1"/>
  <c r="AC217" i="1"/>
  <c r="AC190" i="1"/>
  <c r="AC38" i="1"/>
  <c r="Y62" i="43"/>
  <c r="Y123" i="43"/>
  <c r="Y115" i="43"/>
  <c r="Y63" i="43"/>
  <c r="Y279" i="43"/>
  <c r="Y87" i="43"/>
  <c r="Y117" i="43"/>
  <c r="Y56" i="43"/>
  <c r="Y71" i="43"/>
  <c r="Y69" i="43"/>
  <c r="Y37" i="43"/>
  <c r="AC138" i="1"/>
  <c r="AC34" i="1"/>
  <c r="AC53" i="1"/>
  <c r="AC107" i="1"/>
  <c r="Y338" i="43"/>
  <c r="Y177" i="43"/>
  <c r="AC44" i="1"/>
  <c r="AC142" i="1"/>
  <c r="AC264" i="1"/>
  <c r="AC17" i="1"/>
  <c r="AC130" i="1"/>
  <c r="AC224" i="1"/>
  <c r="AC46" i="1"/>
  <c r="AC279" i="1"/>
  <c r="AC308" i="1"/>
  <c r="AC10" i="1"/>
  <c r="Y103" i="43"/>
  <c r="Y70" i="43"/>
  <c r="Y25" i="43"/>
  <c r="Y153" i="43"/>
  <c r="Y111" i="43"/>
  <c r="Y191" i="43"/>
  <c r="Y125" i="43"/>
  <c r="Y314" i="43"/>
  <c r="Y342" i="43"/>
  <c r="Y24" i="43"/>
  <c r="Y58" i="43"/>
  <c r="Y109" i="43"/>
  <c r="Y17" i="43"/>
  <c r="Y50" i="43"/>
  <c r="Y98" i="43"/>
  <c r="Y143" i="43"/>
  <c r="Y76" i="43"/>
  <c r="Y113" i="43"/>
  <c r="Y46" i="43"/>
  <c r="Y252" i="43"/>
  <c r="Y66" i="43"/>
  <c r="Y362" i="43"/>
  <c r="Y276" i="43"/>
  <c r="Y213" i="43"/>
  <c r="Y347" i="43"/>
  <c r="Y350" i="43"/>
  <c r="Y160" i="43"/>
  <c r="Y81" i="43"/>
  <c r="Y190" i="43"/>
  <c r="Y322" i="43"/>
  <c r="Y179" i="43"/>
  <c r="Y61" i="43"/>
  <c r="Y343" i="43"/>
  <c r="Y9" i="43"/>
  <c r="Y26" i="43"/>
  <c r="Y324" i="43"/>
  <c r="AC211" i="1"/>
  <c r="AC207" i="1"/>
  <c r="AC233" i="1"/>
  <c r="AC358" i="1"/>
  <c r="AC345" i="1"/>
  <c r="AC176" i="1"/>
  <c r="AC305" i="1"/>
  <c r="Y332" i="43"/>
  <c r="AC221" i="1"/>
  <c r="AC243" i="1"/>
  <c r="Y327" i="43"/>
  <c r="Y132" i="43"/>
  <c r="AC368" i="1"/>
  <c r="AC126" i="1"/>
  <c r="AC295" i="1"/>
  <c r="AC69" i="1"/>
  <c r="AC133" i="1"/>
  <c r="AC85" i="1"/>
  <c r="AC35" i="1"/>
  <c r="AC330" i="1"/>
  <c r="Y200" i="43"/>
  <c r="Y330" i="43"/>
  <c r="Y93" i="43"/>
  <c r="Y57" i="43"/>
  <c r="Y363" i="43"/>
  <c r="AC236" i="1"/>
  <c r="AC33" i="1"/>
  <c r="AC318" i="1"/>
  <c r="AC294" i="1"/>
  <c r="AC101" i="1"/>
  <c r="AC232" i="1"/>
  <c r="AC100" i="1"/>
  <c r="Y194" i="43"/>
  <c r="Y321" i="43"/>
  <c r="Y311" i="43"/>
  <c r="Y23" i="43"/>
  <c r="Y309" i="43"/>
  <c r="Y201" i="43"/>
  <c r="Y84" i="43"/>
  <c r="Y328" i="43"/>
  <c r="Y254" i="43"/>
  <c r="Y337" i="43"/>
  <c r="Y108" i="43"/>
  <c r="Y224" i="43"/>
  <c r="Y220" i="43"/>
  <c r="Y101" i="43"/>
  <c r="Y45" i="43"/>
  <c r="Y36" i="43"/>
  <c r="Y129" i="43"/>
  <c r="Y358" i="43"/>
  <c r="Y360" i="43"/>
  <c r="Y92" i="43"/>
  <c r="Y112" i="43"/>
  <c r="Y41" i="43"/>
  <c r="Y288" i="43"/>
  <c r="Y64" i="43"/>
  <c r="Y336" i="43"/>
  <c r="Y150" i="43"/>
  <c r="Y156" i="43"/>
  <c r="Y189" i="43"/>
  <c r="Y120" i="43"/>
  <c r="Y48" i="43"/>
  <c r="Y40" i="43"/>
  <c r="Y33" i="43"/>
  <c r="Y122" i="43"/>
  <c r="Y356" i="43"/>
  <c r="Y20" i="43"/>
  <c r="Y27" i="43"/>
  <c r="AC228" i="1"/>
  <c r="AC145" i="1"/>
  <c r="AC329" i="1"/>
  <c r="AC104" i="1"/>
  <c r="AC182" i="1"/>
  <c r="AC155" i="1"/>
  <c r="AC166" i="1"/>
  <c r="AC244" i="1"/>
  <c r="AC341" i="1"/>
  <c r="AC171" i="1"/>
  <c r="AC31" i="1"/>
  <c r="Y105" i="43"/>
  <c r="Y354" i="43"/>
  <c r="AC247" i="1"/>
  <c r="Y3" i="43"/>
  <c r="Y344" i="43"/>
  <c r="Y339" i="43"/>
  <c r="Y14" i="43"/>
  <c r="AC270" i="1"/>
  <c r="Y100" i="43"/>
  <c r="Y35" i="43"/>
  <c r="AC65" i="1"/>
  <c r="AC366" i="1"/>
  <c r="AC9" i="1"/>
  <c r="Y341" i="43"/>
  <c r="Y91" i="43"/>
  <c r="Y158" i="43"/>
  <c r="Y32" i="43"/>
  <c r="Y121" i="43"/>
  <c r="Y68" i="43"/>
  <c r="Y42" i="43"/>
  <c r="Y285" i="43"/>
  <c r="AC89" i="1"/>
  <c r="AC32" i="1"/>
  <c r="Y53" i="43"/>
  <c r="Y83" i="43"/>
  <c r="Y290" i="43"/>
  <c r="AC352" i="1"/>
  <c r="AC110" i="1"/>
  <c r="Y168" i="43"/>
  <c r="Y230" i="43"/>
  <c r="Y331" i="43"/>
  <c r="Y85" i="43"/>
  <c r="Y12" i="43"/>
  <c r="Y195" i="43"/>
  <c r="Y47" i="43"/>
  <c r="Y335" i="43"/>
  <c r="Y196" i="43"/>
  <c r="Y79" i="43"/>
  <c r="Y28" i="43"/>
  <c r="Y73" i="43"/>
  <c r="Y231" i="43"/>
  <c r="Y22" i="43"/>
  <c r="Y206" i="43"/>
  <c r="Y325" i="43"/>
  <c r="Y326" i="43"/>
  <c r="Y19" i="43"/>
  <c r="Y94" i="43"/>
  <c r="Y80" i="43"/>
  <c r="Y89" i="43"/>
  <c r="Y16" i="43"/>
  <c r="Y348" i="43"/>
  <c r="Y110" i="43"/>
  <c r="Y95" i="43"/>
  <c r="Y43" i="43"/>
  <c r="Y222" i="43"/>
  <c r="Y39" i="43"/>
  <c r="Y159" i="43"/>
  <c r="Y319" i="43"/>
  <c r="AC6" i="1"/>
  <c r="Y38" i="43"/>
  <c r="AC335" i="1"/>
  <c r="AC254" i="1"/>
  <c r="Y4" i="43"/>
  <c r="Y349" i="43"/>
  <c r="Y323" i="43"/>
  <c r="Y59" i="43"/>
  <c r="Y13" i="43"/>
  <c r="Y31" i="43"/>
  <c r="Y55" i="43"/>
  <c r="Y149" i="43"/>
  <c r="Y147" i="43"/>
  <c r="AC255" i="1"/>
  <c r="AC266" i="1"/>
  <c r="AC103" i="1"/>
  <c r="AC262" i="1"/>
  <c r="AC23" i="1"/>
  <c r="Z73" i="43" l="1"/>
  <c r="AA73" i="43" s="1"/>
  <c r="AD308" i="1"/>
  <c r="AE308" i="1" s="1"/>
  <c r="AD304" i="1"/>
  <c r="AE304" i="1" s="1"/>
  <c r="AD296" i="1"/>
  <c r="AE296" i="1" s="1"/>
  <c r="AD360" i="1"/>
  <c r="AE360" i="1" s="1"/>
  <c r="AD94" i="1"/>
  <c r="AE94" i="1" s="1"/>
  <c r="AD37" i="1"/>
  <c r="AE37" i="1" s="1"/>
  <c r="AD269" i="1"/>
  <c r="AE269" i="1" s="1"/>
  <c r="AD164" i="1"/>
  <c r="AE164" i="1" s="1"/>
  <c r="AD81" i="1"/>
  <c r="AE81" i="1" s="1"/>
  <c r="AD135" i="1"/>
  <c r="AE135" i="1" s="1"/>
  <c r="Z311" i="43"/>
  <c r="AA311" i="43" s="1"/>
  <c r="AD263" i="1"/>
  <c r="AE263" i="1" s="1"/>
  <c r="AD145" i="1"/>
  <c r="AE145" i="1" s="1"/>
  <c r="AD279" i="1"/>
  <c r="AE279" i="1" s="1"/>
  <c r="Z155" i="43"/>
  <c r="AA155" i="43" s="1"/>
  <c r="AD272" i="1"/>
  <c r="AE272" i="1" s="1"/>
  <c r="Z336" i="43"/>
  <c r="AA336" i="43" s="1"/>
  <c r="Z343" i="43"/>
  <c r="AA343" i="43" s="1"/>
  <c r="Z66" i="43"/>
  <c r="AA66" i="43" s="1"/>
  <c r="Z342" i="43"/>
  <c r="AA342" i="43" s="1"/>
  <c r="AD46" i="1"/>
  <c r="AE46" i="1" s="1"/>
  <c r="AD138" i="1"/>
  <c r="AE138" i="1" s="1"/>
  <c r="AD38" i="1"/>
  <c r="AE38" i="1" s="1"/>
  <c r="AD109" i="1"/>
  <c r="AE109" i="1" s="1"/>
  <c r="Z96" i="43"/>
  <c r="AA96" i="43" s="1"/>
  <c r="Z148" i="43"/>
  <c r="AA148" i="43" s="1"/>
  <c r="Z116" i="43"/>
  <c r="AD117" i="1"/>
  <c r="AE117" i="1" s="1"/>
  <c r="AD132" i="1"/>
  <c r="AE132" i="1" s="1"/>
  <c r="AD320" i="1"/>
  <c r="AE320" i="1" s="1"/>
  <c r="AD249" i="1"/>
  <c r="AE249" i="1" s="1"/>
  <c r="AD367" i="1"/>
  <c r="AE367" i="1" s="1"/>
  <c r="AD271" i="1"/>
  <c r="AE271" i="1" s="1"/>
  <c r="AD260" i="1"/>
  <c r="AE260" i="1" s="1"/>
  <c r="AD79" i="1"/>
  <c r="AE79" i="1" s="1"/>
  <c r="AD15" i="1"/>
  <c r="AE15" i="1" s="1"/>
  <c r="AD19" i="1"/>
  <c r="AE19" i="1" s="1"/>
  <c r="AD229" i="1"/>
  <c r="AE229" i="1" s="1"/>
  <c r="Y367" i="43"/>
  <c r="Z3" i="43"/>
  <c r="Z58" i="43"/>
  <c r="AA58" i="43" s="1"/>
  <c r="Z4" i="43"/>
  <c r="AA4" i="43" s="1"/>
  <c r="Z362" i="43"/>
  <c r="AD169" i="1"/>
  <c r="AE169" i="1" s="1"/>
  <c r="AD100" i="1"/>
  <c r="AE100" i="1" s="1"/>
  <c r="AD330" i="1"/>
  <c r="AE330" i="1" s="1"/>
  <c r="Z332" i="43"/>
  <c r="AA332" i="43" s="1"/>
  <c r="Z61" i="43"/>
  <c r="Z252" i="43"/>
  <c r="AA252" i="43" s="1"/>
  <c r="Z314" i="43"/>
  <c r="AA314" i="43" s="1"/>
  <c r="AD224" i="1"/>
  <c r="AE224" i="1" s="1"/>
  <c r="Z37" i="43"/>
  <c r="AA37" i="43" s="1"/>
  <c r="AD190" i="1"/>
  <c r="AE190" i="1" s="1"/>
  <c r="Z351" i="43"/>
  <c r="AA351" i="43" s="1"/>
  <c r="Z119" i="43"/>
  <c r="Z355" i="43"/>
  <c r="AA355" i="43" s="1"/>
  <c r="Z359" i="43"/>
  <c r="AA359" i="43" s="1"/>
  <c r="AD365" i="1"/>
  <c r="AE365" i="1" s="1"/>
  <c r="AD75" i="1"/>
  <c r="AE75" i="1" s="1"/>
  <c r="AD7" i="1"/>
  <c r="AE7" i="1" s="1"/>
  <c r="AD86" i="1"/>
  <c r="AE86" i="1" s="1"/>
  <c r="AD356" i="1"/>
  <c r="AE356" i="1" s="1"/>
  <c r="AD209" i="1"/>
  <c r="AE209" i="1" s="1"/>
  <c r="AD258" i="1"/>
  <c r="AE258" i="1" s="1"/>
  <c r="AD347" i="1"/>
  <c r="AE347" i="1" s="1"/>
  <c r="AD230" i="1"/>
  <c r="AE230" i="1" s="1"/>
  <c r="AD370" i="1"/>
  <c r="AE370" i="1" s="1"/>
  <c r="AD241" i="1"/>
  <c r="AE241" i="1" s="1"/>
  <c r="Z110" i="43"/>
  <c r="AA110" i="43" s="1"/>
  <c r="Z26" i="43"/>
  <c r="AD327" i="1"/>
  <c r="AE327" i="1" s="1"/>
  <c r="AD352" i="1"/>
  <c r="AE352" i="1" s="1"/>
  <c r="AD243" i="1"/>
  <c r="AE243" i="1" s="1"/>
  <c r="Z8" i="43"/>
  <c r="AD311" i="1"/>
  <c r="AE311" i="1" s="1"/>
  <c r="AD254" i="1"/>
  <c r="AE254" i="1" s="1"/>
  <c r="Z220" i="43"/>
  <c r="AA220" i="43" s="1"/>
  <c r="Z83" i="43"/>
  <c r="AA83" i="43" s="1"/>
  <c r="AD255" i="1"/>
  <c r="AE255" i="1" s="1"/>
  <c r="Z38" i="43"/>
  <c r="AA38" i="43" s="1"/>
  <c r="Z80" i="43"/>
  <c r="AA80" i="43" s="1"/>
  <c r="Z335" i="43"/>
  <c r="Z53" i="43"/>
  <c r="AD366" i="1"/>
  <c r="AE366" i="1" s="1"/>
  <c r="AD31" i="1"/>
  <c r="AE31" i="1" s="1"/>
  <c r="Z20" i="43"/>
  <c r="AA20" i="43" s="1"/>
  <c r="Z288" i="43"/>
  <c r="Z108" i="43"/>
  <c r="AD232" i="1"/>
  <c r="AE232" i="1" s="1"/>
  <c r="AD35" i="1"/>
  <c r="AE35" i="1" s="1"/>
  <c r="AD305" i="1"/>
  <c r="AE305" i="1" s="1"/>
  <c r="Z179" i="43"/>
  <c r="Z46" i="43"/>
  <c r="Z125" i="43"/>
  <c r="AA125" i="43" s="1"/>
  <c r="AD130" i="1"/>
  <c r="AE130" i="1" s="1"/>
  <c r="Z69" i="43"/>
  <c r="AA69" i="43" s="1"/>
  <c r="AD217" i="1"/>
  <c r="AE217" i="1" s="1"/>
  <c r="Z317" i="43"/>
  <c r="AA317" i="43" s="1"/>
  <c r="Z29" i="43"/>
  <c r="Z307" i="43"/>
  <c r="AA307" i="43" s="1"/>
  <c r="Z67" i="43"/>
  <c r="AA67" i="43" s="1"/>
  <c r="AD331" i="1"/>
  <c r="AE331" i="1" s="1"/>
  <c r="AD55" i="1"/>
  <c r="AE55" i="1" s="1"/>
  <c r="AD187" i="1"/>
  <c r="AE187" i="1" s="1"/>
  <c r="AD129" i="1"/>
  <c r="AE129" i="1" s="1"/>
  <c r="AD183" i="1"/>
  <c r="AE183" i="1" s="1"/>
  <c r="AD71" i="1"/>
  <c r="AE71" i="1" s="1"/>
  <c r="AD68" i="1"/>
  <c r="AE68" i="1" s="1"/>
  <c r="AD245" i="1"/>
  <c r="AE245" i="1" s="1"/>
  <c r="AD290" i="1"/>
  <c r="AE290" i="1" s="1"/>
  <c r="AD113" i="1"/>
  <c r="AE113" i="1" s="1"/>
  <c r="AD172" i="1"/>
  <c r="AE172" i="1" s="1"/>
  <c r="Z93" i="43"/>
  <c r="AA93" i="43" s="1"/>
  <c r="AD179" i="1"/>
  <c r="AE179" i="1" s="1"/>
  <c r="Z91" i="43"/>
  <c r="Z330" i="43"/>
  <c r="AA330" i="43" s="1"/>
  <c r="AD336" i="1"/>
  <c r="AE336" i="1" s="1"/>
  <c r="AD13" i="1"/>
  <c r="AE13" i="1" s="1"/>
  <c r="Z16" i="43"/>
  <c r="AA16" i="43" s="1"/>
  <c r="Z194" i="43"/>
  <c r="AA194" i="43" s="1"/>
  <c r="Z196" i="43"/>
  <c r="AA196" i="43" s="1"/>
  <c r="Z47" i="43"/>
  <c r="AA47" i="43" s="1"/>
  <c r="AD32" i="1"/>
  <c r="AE32" i="1" s="1"/>
  <c r="AD65" i="1"/>
  <c r="AE65" i="1" s="1"/>
  <c r="AD171" i="1"/>
  <c r="AE171" i="1" s="1"/>
  <c r="Z356" i="43"/>
  <c r="Z41" i="43"/>
  <c r="AA41" i="43" s="1"/>
  <c r="Z337" i="43"/>
  <c r="AA337" i="43" s="1"/>
  <c r="AD101" i="1"/>
  <c r="AE101" i="1" s="1"/>
  <c r="AD85" i="1"/>
  <c r="AE85" i="1" s="1"/>
  <c r="AD176" i="1"/>
  <c r="AE176" i="1" s="1"/>
  <c r="Z322" i="43"/>
  <c r="Z113" i="43"/>
  <c r="AA113" i="43" s="1"/>
  <c r="Z191" i="43"/>
  <c r="AA191" i="43" s="1"/>
  <c r="AD17" i="1"/>
  <c r="AE17" i="1" s="1"/>
  <c r="Z71" i="43"/>
  <c r="AA71" i="43" s="1"/>
  <c r="AD12" i="1"/>
  <c r="AE12" i="1" s="1"/>
  <c r="AD152" i="1"/>
  <c r="AE152" i="1" s="1"/>
  <c r="Z361" i="43"/>
  <c r="AA361" i="43" s="1"/>
  <c r="Z65" i="43"/>
  <c r="AA65" i="43" s="1"/>
  <c r="Z51" i="43"/>
  <c r="AA51" i="43" s="1"/>
  <c r="AD282" i="1"/>
  <c r="AE282" i="1" s="1"/>
  <c r="AD292" i="1"/>
  <c r="AE292" i="1" s="1"/>
  <c r="Z49" i="43"/>
  <c r="AA49" i="43" s="1"/>
  <c r="AD274" i="1"/>
  <c r="AE274" i="1" s="1"/>
  <c r="AD216" i="1"/>
  <c r="AE216" i="1" s="1"/>
  <c r="AD369" i="1"/>
  <c r="AE369" i="1" s="1"/>
  <c r="AD59" i="1"/>
  <c r="AE59" i="1" s="1"/>
  <c r="AD88" i="1"/>
  <c r="AE88" i="1" s="1"/>
  <c r="AD14" i="1"/>
  <c r="AE14" i="1" s="1"/>
  <c r="AD302" i="1"/>
  <c r="AE302" i="1" s="1"/>
  <c r="AD8" i="1"/>
  <c r="AE8" i="1" s="1"/>
  <c r="Z156" i="43"/>
  <c r="Z352" i="43"/>
  <c r="AD247" i="1"/>
  <c r="AE247" i="1" s="1"/>
  <c r="AD34" i="1"/>
  <c r="AE34" i="1" s="1"/>
  <c r="AD67" i="1"/>
  <c r="AE67" i="1" s="1"/>
  <c r="Z354" i="43"/>
  <c r="AA354" i="43" s="1"/>
  <c r="AD335" i="1"/>
  <c r="AE335" i="1" s="1"/>
  <c r="Z27" i="43"/>
  <c r="AA27" i="43" s="1"/>
  <c r="Z149" i="43"/>
  <c r="AA149" i="43" s="1"/>
  <c r="Z319" i="43"/>
  <c r="AA319" i="43" s="1"/>
  <c r="Z19" i="43"/>
  <c r="AA19" i="43" s="1"/>
  <c r="Z195" i="43"/>
  <c r="AA195" i="43" s="1"/>
  <c r="AD89" i="1"/>
  <c r="AE89" i="1" s="1"/>
  <c r="Z35" i="43"/>
  <c r="AA35" i="43" s="1"/>
  <c r="AD341" i="1"/>
  <c r="AE341" i="1" s="1"/>
  <c r="Z122" i="43"/>
  <c r="AA122" i="43" s="1"/>
  <c r="Z112" i="43"/>
  <c r="Z254" i="43"/>
  <c r="AA254" i="43" s="1"/>
  <c r="AD294" i="1"/>
  <c r="AE294" i="1" s="1"/>
  <c r="AD133" i="1"/>
  <c r="AE133" i="1" s="1"/>
  <c r="AD345" i="1"/>
  <c r="AE345" i="1" s="1"/>
  <c r="Z190" i="43"/>
  <c r="AA190" i="43" s="1"/>
  <c r="Z76" i="43"/>
  <c r="AA76" i="43" s="1"/>
  <c r="Z111" i="43"/>
  <c r="AA111" i="43" s="1"/>
  <c r="AD264" i="1"/>
  <c r="AE264" i="1" s="1"/>
  <c r="Z56" i="43"/>
  <c r="AA56" i="43" s="1"/>
  <c r="AD82" i="1"/>
  <c r="AE82" i="1" s="1"/>
  <c r="AD137" i="1"/>
  <c r="AE137" i="1" s="1"/>
  <c r="Z15" i="43"/>
  <c r="AA15" i="43" s="1"/>
  <c r="Z82" i="43"/>
  <c r="Z131" i="43"/>
  <c r="AD317" i="1"/>
  <c r="AE317" i="1" s="1"/>
  <c r="AD340" i="1"/>
  <c r="AE340" i="1" s="1"/>
  <c r="AD149" i="1"/>
  <c r="AE149" i="1" s="1"/>
  <c r="AD202" i="1"/>
  <c r="AE202" i="1" s="1"/>
  <c r="AD208" i="1"/>
  <c r="AE208" i="1" s="1"/>
  <c r="AD357" i="1"/>
  <c r="AE357" i="1" s="1"/>
  <c r="AD353" i="1"/>
  <c r="AE353" i="1" s="1"/>
  <c r="AD237" i="1"/>
  <c r="AE237" i="1" s="1"/>
  <c r="AD118" i="1"/>
  <c r="AE118" i="1" s="1"/>
  <c r="AD252" i="1"/>
  <c r="AE252" i="1" s="1"/>
  <c r="AD268" i="1"/>
  <c r="AE268" i="1" s="1"/>
  <c r="Z158" i="43"/>
  <c r="AA158" i="43" s="1"/>
  <c r="AD53" i="1"/>
  <c r="AE53" i="1" s="1"/>
  <c r="Z101" i="43"/>
  <c r="AA101" i="43" s="1"/>
  <c r="AD267" i="1"/>
  <c r="AE267" i="1" s="1"/>
  <c r="AD103" i="1"/>
  <c r="AE103" i="1" s="1"/>
  <c r="Z290" i="43"/>
  <c r="AA290" i="43" s="1"/>
  <c r="Z224" i="43"/>
  <c r="AA224" i="43" s="1"/>
  <c r="Z55" i="43"/>
  <c r="AA55" i="43" s="1"/>
  <c r="Z159" i="43"/>
  <c r="AA159" i="43" s="1"/>
  <c r="Z326" i="43"/>
  <c r="AA326" i="43" s="1"/>
  <c r="Z12" i="43"/>
  <c r="AA12" i="43" s="1"/>
  <c r="Z285" i="43"/>
  <c r="AA285" i="43" s="1"/>
  <c r="Z100" i="43"/>
  <c r="AA100" i="43" s="1"/>
  <c r="AD244" i="1"/>
  <c r="AE244" i="1" s="1"/>
  <c r="Z33" i="43"/>
  <c r="AA33" i="43" s="1"/>
  <c r="Z92" i="43"/>
  <c r="Z328" i="43"/>
  <c r="AD318" i="1"/>
  <c r="AE318" i="1" s="1"/>
  <c r="AD69" i="1"/>
  <c r="AE69" i="1" s="1"/>
  <c r="AD358" i="1"/>
  <c r="AE358" i="1" s="1"/>
  <c r="Z81" i="43"/>
  <c r="AA81" i="43" s="1"/>
  <c r="Z143" i="43"/>
  <c r="AA143" i="43" s="1"/>
  <c r="Z153" i="43"/>
  <c r="AA153" i="43" s="1"/>
  <c r="AD142" i="1"/>
  <c r="AE142" i="1" s="1"/>
  <c r="Z117" i="43"/>
  <c r="AD84" i="1"/>
  <c r="AE84" i="1" s="1"/>
  <c r="AD150" i="1"/>
  <c r="AE150" i="1" s="1"/>
  <c r="Z10" i="43"/>
  <c r="Z333" i="43"/>
  <c r="AA333" i="43" s="1"/>
  <c r="AD74" i="1"/>
  <c r="AE74" i="1" s="1"/>
  <c r="AD284" i="1"/>
  <c r="AE284" i="1" s="1"/>
  <c r="AD283" i="1"/>
  <c r="AE283" i="1" s="1"/>
  <c r="AD42" i="1"/>
  <c r="AE42" i="1" s="1"/>
  <c r="AD251" i="1"/>
  <c r="AE251" i="1" s="1"/>
  <c r="AD77" i="1"/>
  <c r="AE77" i="1" s="1"/>
  <c r="AD313" i="1"/>
  <c r="AE313" i="1" s="1"/>
  <c r="AD372" i="1"/>
  <c r="AE372" i="1" s="1"/>
  <c r="AD144" i="1"/>
  <c r="AE144" i="1" s="1"/>
  <c r="AD20" i="1"/>
  <c r="AE20" i="1" s="1"/>
  <c r="AD323" i="1"/>
  <c r="AE323" i="1" s="1"/>
  <c r="AD299" i="1"/>
  <c r="AE299" i="1" s="1"/>
  <c r="AD329" i="1"/>
  <c r="AE329" i="1" s="1"/>
  <c r="Z123" i="43"/>
  <c r="AA123" i="43" s="1"/>
  <c r="AD262" i="1"/>
  <c r="AE262" i="1" s="1"/>
  <c r="Z150" i="43"/>
  <c r="AA150" i="43" s="1"/>
  <c r="Z62" i="43"/>
  <c r="AD140" i="1"/>
  <c r="AE140" i="1" s="1"/>
  <c r="AD303" i="1"/>
  <c r="AE303" i="1" s="1"/>
  <c r="Z200" i="43"/>
  <c r="AA200" i="43" s="1"/>
  <c r="AD9" i="1"/>
  <c r="AE9" i="1" s="1"/>
  <c r="Z147" i="43"/>
  <c r="Z39" i="43"/>
  <c r="AA39" i="43" s="1"/>
  <c r="Z325" i="43"/>
  <c r="AA325" i="43" s="1"/>
  <c r="Z85" i="43"/>
  <c r="Z42" i="43"/>
  <c r="AA42" i="43" s="1"/>
  <c r="AD270" i="1"/>
  <c r="AE270" i="1" s="1"/>
  <c r="AD166" i="1"/>
  <c r="AE166" i="1" s="1"/>
  <c r="Z40" i="43"/>
  <c r="AA40" i="43" s="1"/>
  <c r="Z360" i="43"/>
  <c r="AA360" i="43" s="1"/>
  <c r="Z84" i="43"/>
  <c r="AD33" i="1"/>
  <c r="AE33" i="1" s="1"/>
  <c r="AD295" i="1"/>
  <c r="AE295" i="1" s="1"/>
  <c r="AD233" i="1"/>
  <c r="AE233" i="1" s="1"/>
  <c r="Z160" i="43"/>
  <c r="Z98" i="43"/>
  <c r="AA98" i="43" s="1"/>
  <c r="Z25" i="43"/>
  <c r="AA25" i="43" s="1"/>
  <c r="AD44" i="1"/>
  <c r="AE44" i="1" s="1"/>
  <c r="Z87" i="43"/>
  <c r="AD102" i="1"/>
  <c r="AE102" i="1" s="1"/>
  <c r="AD212" i="1"/>
  <c r="AE212" i="1" s="1"/>
  <c r="Z7" i="43"/>
  <c r="AA7" i="43" s="1"/>
  <c r="Z75" i="43"/>
  <c r="AA75" i="43" s="1"/>
  <c r="AD22" i="1"/>
  <c r="AE22" i="1" s="1"/>
  <c r="AD325" i="1"/>
  <c r="AE325" i="1" s="1"/>
  <c r="AD30" i="1"/>
  <c r="AE30" i="1" s="1"/>
  <c r="AD203" i="1"/>
  <c r="AE203" i="1" s="1"/>
  <c r="AD371" i="1"/>
  <c r="AE371" i="1" s="1"/>
  <c r="AD60" i="1"/>
  <c r="AE60" i="1" s="1"/>
  <c r="AD21" i="1"/>
  <c r="AE21" i="1" s="1"/>
  <c r="AD261" i="1"/>
  <c r="AE261" i="1" s="1"/>
  <c r="AD344" i="1"/>
  <c r="AE344" i="1" s="1"/>
  <c r="AD253" i="1"/>
  <c r="AE253" i="1" s="1"/>
  <c r="AD163" i="1"/>
  <c r="AE163" i="1" s="1"/>
  <c r="AD49" i="1"/>
  <c r="AE49" i="1" s="1"/>
  <c r="Z349" i="43"/>
  <c r="AA349" i="43" s="1"/>
  <c r="Z327" i="43"/>
  <c r="Z197" i="43"/>
  <c r="AA197" i="43" s="1"/>
  <c r="Z9" i="43"/>
  <c r="AA9" i="43" s="1"/>
  <c r="AD350" i="1"/>
  <c r="AE350" i="1" s="1"/>
  <c r="Z341" i="43"/>
  <c r="AD266" i="1"/>
  <c r="AE266" i="1" s="1"/>
  <c r="Z105" i="43"/>
  <c r="Z94" i="43"/>
  <c r="AA94" i="43" s="1"/>
  <c r="Z222" i="43"/>
  <c r="AA222" i="43" s="1"/>
  <c r="Z331" i="43"/>
  <c r="AA331" i="43" s="1"/>
  <c r="Z68" i="43"/>
  <c r="Z14" i="43"/>
  <c r="AA14" i="43" s="1"/>
  <c r="AD155" i="1"/>
  <c r="AE155" i="1" s="1"/>
  <c r="Z48" i="43"/>
  <c r="Z358" i="43"/>
  <c r="AA358" i="43" s="1"/>
  <c r="Z201" i="43"/>
  <c r="AA201" i="43" s="1"/>
  <c r="AD236" i="1"/>
  <c r="AE236" i="1" s="1"/>
  <c r="AD126" i="1"/>
  <c r="AE126" i="1" s="1"/>
  <c r="AD207" i="1"/>
  <c r="AE207" i="1" s="1"/>
  <c r="Z350" i="43"/>
  <c r="AA350" i="43" s="1"/>
  <c r="Z50" i="43"/>
  <c r="AA50" i="43" s="1"/>
  <c r="Z70" i="43"/>
  <c r="Z177" i="43"/>
  <c r="AA177" i="43" s="1"/>
  <c r="Z279" i="43"/>
  <c r="AA279" i="43" s="1"/>
  <c r="AD275" i="1"/>
  <c r="AE275" i="1" s="1"/>
  <c r="Z104" i="43"/>
  <c r="Z106" i="43"/>
  <c r="AA106" i="43" s="1"/>
  <c r="Z217" i="43"/>
  <c r="AD18" i="1"/>
  <c r="AE18" i="1" s="1"/>
  <c r="AD285" i="1"/>
  <c r="AE285" i="1" s="1"/>
  <c r="AD36" i="1"/>
  <c r="AE36" i="1" s="1"/>
  <c r="AD248" i="1"/>
  <c r="AE248" i="1" s="1"/>
  <c r="AD326" i="1"/>
  <c r="AE326" i="1" s="1"/>
  <c r="AD218" i="1"/>
  <c r="AE218" i="1" s="1"/>
  <c r="AD337" i="1"/>
  <c r="AE337" i="1" s="1"/>
  <c r="AD321" i="1"/>
  <c r="AE321" i="1" s="1"/>
  <c r="AD180" i="1"/>
  <c r="AE180" i="1" s="1"/>
  <c r="AD147" i="1"/>
  <c r="AE147" i="1" s="1"/>
  <c r="AD215" i="1"/>
  <c r="AE215" i="1" s="1"/>
  <c r="AD70" i="1"/>
  <c r="AE70" i="1" s="1"/>
  <c r="AD110" i="1"/>
  <c r="AE110" i="1" s="1"/>
  <c r="Z276" i="43"/>
  <c r="AA276" i="43" s="1"/>
  <c r="Z28" i="43"/>
  <c r="AA28" i="43" s="1"/>
  <c r="Z24" i="43"/>
  <c r="AD298" i="1"/>
  <c r="AE298" i="1" s="1"/>
  <c r="Z79" i="43"/>
  <c r="AA79" i="43" s="1"/>
  <c r="AD228" i="1"/>
  <c r="AE228" i="1" s="1"/>
  <c r="Z64" i="43"/>
  <c r="AA64" i="43" s="1"/>
  <c r="AD6" i="1"/>
  <c r="AC390" i="1"/>
  <c r="Z31" i="43"/>
  <c r="AA31" i="43" s="1"/>
  <c r="Z13" i="43"/>
  <c r="AA13" i="43" s="1"/>
  <c r="Z206" i="43"/>
  <c r="AA206" i="43" s="1"/>
  <c r="Z59" i="43"/>
  <c r="AA59" i="43" s="1"/>
  <c r="Z43" i="43"/>
  <c r="AA43" i="43" s="1"/>
  <c r="Z22" i="43"/>
  <c r="AA22" i="43" s="1"/>
  <c r="Z230" i="43"/>
  <c r="AA230" i="43" s="1"/>
  <c r="Z121" i="43"/>
  <c r="AA121" i="43" s="1"/>
  <c r="Z339" i="43"/>
  <c r="AA339" i="43" s="1"/>
  <c r="AD182" i="1"/>
  <c r="AE182" i="1" s="1"/>
  <c r="Z120" i="43"/>
  <c r="Z129" i="43"/>
  <c r="Z309" i="43"/>
  <c r="AA309" i="43" s="1"/>
  <c r="Z363" i="43"/>
  <c r="AA363" i="43" s="1"/>
  <c r="AD368" i="1"/>
  <c r="AE368" i="1" s="1"/>
  <c r="AD211" i="1"/>
  <c r="AE211" i="1" s="1"/>
  <c r="Z347" i="43"/>
  <c r="AA347" i="43" s="1"/>
  <c r="Z17" i="43"/>
  <c r="AA17" i="43" s="1"/>
  <c r="Z103" i="43"/>
  <c r="AA103" i="43" s="1"/>
  <c r="Z338" i="43"/>
  <c r="AA338" i="43" s="1"/>
  <c r="Z63" i="43"/>
  <c r="AA63" i="43" s="1"/>
  <c r="AD315" i="1"/>
  <c r="AE315" i="1" s="1"/>
  <c r="Z99" i="43"/>
  <c r="AA99" i="43" s="1"/>
  <c r="Z86" i="43"/>
  <c r="AA86" i="43" s="1"/>
  <c r="Z54" i="43"/>
  <c r="AD310" i="1"/>
  <c r="AE310" i="1" s="1"/>
  <c r="AD108" i="1"/>
  <c r="AE108" i="1" s="1"/>
  <c r="AD43" i="1"/>
  <c r="AE43" i="1" s="1"/>
  <c r="AD16" i="1"/>
  <c r="AE16" i="1" s="1"/>
  <c r="AD322" i="1"/>
  <c r="AE322" i="1" s="1"/>
  <c r="AD343" i="1"/>
  <c r="AE343" i="1" s="1"/>
  <c r="AD333" i="1"/>
  <c r="AE333" i="1" s="1"/>
  <c r="AD309" i="1"/>
  <c r="AE309" i="1" s="1"/>
  <c r="AD281" i="1"/>
  <c r="AE281" i="1" s="1"/>
  <c r="AD273" i="1"/>
  <c r="AE273" i="1" s="1"/>
  <c r="AD293" i="1"/>
  <c r="AE293" i="1" s="1"/>
  <c r="AD66" i="1"/>
  <c r="AE66" i="1" s="1"/>
  <c r="AD23" i="1"/>
  <c r="AE23" i="1" s="1"/>
  <c r="Z45" i="43"/>
  <c r="AA45" i="43" s="1"/>
  <c r="Z90" i="43"/>
  <c r="AA90" i="43" s="1"/>
  <c r="Z348" i="43"/>
  <c r="AA348" i="43" s="1"/>
  <c r="Z321" i="43"/>
  <c r="AA321" i="43" s="1"/>
  <c r="Z44" i="43"/>
  <c r="AA44" i="43" s="1"/>
  <c r="AD162" i="1"/>
  <c r="AE162" i="1" s="1"/>
  <c r="AD221" i="1"/>
  <c r="AE221" i="1" s="1"/>
  <c r="Z89" i="43"/>
  <c r="Z323" i="43"/>
  <c r="AA323" i="43" s="1"/>
  <c r="Z95" i="43"/>
  <c r="AA95" i="43" s="1"/>
  <c r="Z231" i="43"/>
  <c r="AA231" i="43" s="1"/>
  <c r="Z168" i="43"/>
  <c r="AA168" i="43" s="1"/>
  <c r="Z32" i="43"/>
  <c r="Z344" i="43"/>
  <c r="AA344" i="43" s="1"/>
  <c r="AD104" i="1"/>
  <c r="AE104" i="1" s="1"/>
  <c r="Z189" i="43"/>
  <c r="AA189" i="43" s="1"/>
  <c r="Z36" i="43"/>
  <c r="AA36" i="43" s="1"/>
  <c r="Z23" i="43"/>
  <c r="AA23" i="43" s="1"/>
  <c r="Z57" i="43"/>
  <c r="Z132" i="43"/>
  <c r="AA132" i="43" s="1"/>
  <c r="Z324" i="43"/>
  <c r="AA324" i="43" s="1"/>
  <c r="Z213" i="43"/>
  <c r="AA213" i="43" s="1"/>
  <c r="Z109" i="43"/>
  <c r="AA109" i="43" s="1"/>
  <c r="AD10" i="1"/>
  <c r="AE10" i="1" s="1"/>
  <c r="AD107" i="1"/>
  <c r="AE107" i="1" s="1"/>
  <c r="Z115" i="43"/>
  <c r="AA115" i="43" s="1"/>
  <c r="Z316" i="43"/>
  <c r="AA316" i="43" s="1"/>
  <c r="Z102" i="43"/>
  <c r="AA102" i="43" s="1"/>
  <c r="Z318" i="43"/>
  <c r="AA318" i="43" s="1"/>
  <c r="Z249" i="43"/>
  <c r="AA249" i="43" s="1"/>
  <c r="AD301" i="1"/>
  <c r="AE301" i="1" s="1"/>
  <c r="AD188" i="1"/>
  <c r="AE188" i="1" s="1"/>
  <c r="AD193" i="1"/>
  <c r="AE193" i="1" s="1"/>
  <c r="AD186" i="1"/>
  <c r="AE186" i="1" s="1"/>
  <c r="AD223" i="1"/>
  <c r="AE223" i="1" s="1"/>
  <c r="AD214" i="1"/>
  <c r="AE214" i="1" s="1"/>
  <c r="AD48" i="1"/>
  <c r="AE48" i="1" s="1"/>
  <c r="AD246" i="1"/>
  <c r="AE246" i="1" s="1"/>
  <c r="AD289" i="1"/>
  <c r="AE289" i="1" s="1"/>
  <c r="AD45" i="1"/>
  <c r="AE45" i="1" s="1"/>
  <c r="AD11" i="1"/>
  <c r="AE11" i="1" s="1"/>
  <c r="AD219" i="1"/>
  <c r="AE219" i="1" s="1"/>
  <c r="AA32" i="43" l="1"/>
  <c r="AA68" i="43"/>
  <c r="AA105" i="43"/>
  <c r="AA328" i="43"/>
  <c r="AA82" i="43"/>
  <c r="AA352" i="43"/>
  <c r="AA91" i="43"/>
  <c r="AA29" i="43"/>
  <c r="AA119" i="43"/>
  <c r="AA89" i="43"/>
  <c r="AA54" i="43"/>
  <c r="AA129" i="43"/>
  <c r="AD390" i="1"/>
  <c r="AE6" i="1"/>
  <c r="AA24" i="43"/>
  <c r="AA217" i="43"/>
  <c r="AA92" i="43"/>
  <c r="AA156" i="43"/>
  <c r="AA26" i="43"/>
  <c r="AA48" i="43"/>
  <c r="AA327" i="43"/>
  <c r="AA84" i="43"/>
  <c r="AA117" i="43"/>
  <c r="AA46" i="43"/>
  <c r="AA108" i="43"/>
  <c r="Z367" i="43"/>
  <c r="AA120" i="43"/>
  <c r="AA341" i="43"/>
  <c r="AA147" i="43"/>
  <c r="AA62" i="43"/>
  <c r="AA322" i="43"/>
  <c r="AA53" i="43"/>
  <c r="AA8" i="43"/>
  <c r="AA3" i="43"/>
  <c r="AA116" i="43"/>
  <c r="AA57" i="43"/>
  <c r="AA70" i="43"/>
  <c r="AA160" i="43"/>
  <c r="AA179" i="43"/>
  <c r="AA288" i="43"/>
  <c r="AA61" i="43"/>
  <c r="AA362" i="43"/>
  <c r="AA104" i="43"/>
  <c r="AA87" i="43"/>
  <c r="AA85" i="43"/>
  <c r="AA356" i="43"/>
  <c r="AA335" i="43"/>
  <c r="AA10" i="43"/>
  <c r="AA131" i="43"/>
  <c r="AA112" i="43"/>
  <c r="AA367" i="43" l="1"/>
  <c r="AB327" i="43" s="1"/>
  <c r="AE390" i="1"/>
  <c r="AF375" i="1" s="1"/>
  <c r="AG375" i="1" l="1"/>
  <c r="AH375" i="1"/>
  <c r="AI375" i="1" s="1"/>
  <c r="AF6" i="1"/>
  <c r="AH6" i="1" s="1"/>
  <c r="AD327" i="43"/>
  <c r="AC327" i="43"/>
  <c r="AB91" i="43"/>
  <c r="AB288" i="43"/>
  <c r="AB62" i="43"/>
  <c r="AB160" i="43"/>
  <c r="AB57" i="43"/>
  <c r="AB117" i="43"/>
  <c r="AB53" i="43"/>
  <c r="AB353" i="43"/>
  <c r="AB171" i="43"/>
  <c r="AB97" i="43"/>
  <c r="AB183" i="43"/>
  <c r="AB264" i="43"/>
  <c r="AB273" i="43"/>
  <c r="AB138" i="43"/>
  <c r="AB165" i="43"/>
  <c r="AB228" i="43"/>
  <c r="AB278" i="43"/>
  <c r="AB169" i="43"/>
  <c r="AB141" i="43"/>
  <c r="AB208" i="43"/>
  <c r="AB212" i="43"/>
  <c r="AB157" i="43"/>
  <c r="AB320" i="43"/>
  <c r="AB218" i="43"/>
  <c r="AB296" i="43"/>
  <c r="AB272" i="43"/>
  <c r="AB188" i="43"/>
  <c r="AB266" i="43"/>
  <c r="AB174" i="43"/>
  <c r="AB210" i="43"/>
  <c r="AB74" i="43"/>
  <c r="AB140" i="43"/>
  <c r="AB275" i="43"/>
  <c r="AB77" i="43"/>
  <c r="AB170" i="43"/>
  <c r="AB256" i="43"/>
  <c r="AB293" i="43"/>
  <c r="AB240" i="43"/>
  <c r="AB268" i="43"/>
  <c r="AB175" i="43"/>
  <c r="AB187" i="43"/>
  <c r="AB308" i="43"/>
  <c r="AB204" i="43"/>
  <c r="AB232" i="43"/>
  <c r="AB305" i="43"/>
  <c r="AB269" i="43"/>
  <c r="AB30" i="43"/>
  <c r="AB209" i="43"/>
  <c r="AB221" i="43"/>
  <c r="AB139" i="43"/>
  <c r="AB346" i="43"/>
  <c r="AB205" i="43"/>
  <c r="AB258" i="43"/>
  <c r="AB233" i="43"/>
  <c r="AB135" i="43"/>
  <c r="AB173" i="43"/>
  <c r="AB234" i="43"/>
  <c r="AB127" i="43"/>
  <c r="AB291" i="43"/>
  <c r="AB294" i="43"/>
  <c r="AB286" i="43"/>
  <c r="AB284" i="43"/>
  <c r="AB250" i="43"/>
  <c r="AB310" i="43"/>
  <c r="AB176" i="43"/>
  <c r="AB283" i="43"/>
  <c r="AB267" i="43"/>
  <c r="AB219" i="43"/>
  <c r="AB357" i="43"/>
  <c r="AB181" i="43"/>
  <c r="AB226" i="43"/>
  <c r="AB244" i="43"/>
  <c r="AB166" i="43"/>
  <c r="AB5" i="43"/>
  <c r="AB270" i="43"/>
  <c r="AB164" i="43"/>
  <c r="AB198" i="43"/>
  <c r="AB289" i="43"/>
  <c r="AB312" i="43"/>
  <c r="AB263" i="43"/>
  <c r="AB301" i="43"/>
  <c r="AB114" i="43"/>
  <c r="AB185" i="43"/>
  <c r="AB246" i="43"/>
  <c r="AB203" i="43"/>
  <c r="AB253" i="43"/>
  <c r="AB292" i="43"/>
  <c r="AB248" i="43"/>
  <c r="AB237" i="43"/>
  <c r="AB243" i="43"/>
  <c r="AB146" i="43"/>
  <c r="AB214" i="43"/>
  <c r="AB345" i="43"/>
  <c r="AB265" i="43"/>
  <c r="AB142" i="43"/>
  <c r="AB299" i="43"/>
  <c r="AB144" i="43"/>
  <c r="AB277" i="43"/>
  <c r="AB211" i="43"/>
  <c r="AB52" i="43"/>
  <c r="AB34" i="43"/>
  <c r="AB78" i="43"/>
  <c r="AB18" i="43"/>
  <c r="AB271" i="43"/>
  <c r="AB245" i="43"/>
  <c r="AB126" i="43"/>
  <c r="AB225" i="43"/>
  <c r="AB260" i="43"/>
  <c r="AB261" i="43"/>
  <c r="AB223" i="43"/>
  <c r="AB178" i="43"/>
  <c r="AB192" i="43"/>
  <c r="AB167" i="43"/>
  <c r="AB21" i="43"/>
  <c r="AB364" i="43"/>
  <c r="AB107" i="43"/>
  <c r="AB182" i="43"/>
  <c r="AB239" i="43"/>
  <c r="AB202" i="43"/>
  <c r="AB161" i="43"/>
  <c r="AB282" i="43"/>
  <c r="AB259" i="43"/>
  <c r="AB238" i="43"/>
  <c r="AB184" i="43"/>
  <c r="AB11" i="43"/>
  <c r="AB207" i="43"/>
  <c r="AB304" i="43"/>
  <c r="AB281" i="43"/>
  <c r="AB255" i="43"/>
  <c r="AB6" i="43"/>
  <c r="AB274" i="43"/>
  <c r="AB136" i="43"/>
  <c r="AB298" i="43"/>
  <c r="AB180" i="43"/>
  <c r="AB297" i="43"/>
  <c r="AB152" i="43"/>
  <c r="AB118" i="43"/>
  <c r="AB216" i="43"/>
  <c r="AB280" i="43"/>
  <c r="AB186" i="43"/>
  <c r="AB133" i="43"/>
  <c r="AB329" i="43"/>
  <c r="AB130" i="43"/>
  <c r="AB154" i="43"/>
  <c r="AB303" i="43"/>
  <c r="AB145" i="43"/>
  <c r="AB251" i="43"/>
  <c r="AB241" i="43"/>
  <c r="AB137" i="43"/>
  <c r="AB262" i="43"/>
  <c r="AB199" i="43"/>
  <c r="AB72" i="43"/>
  <c r="AB334" i="43"/>
  <c r="AB236" i="43"/>
  <c r="AB124" i="43"/>
  <c r="AB162" i="43"/>
  <c r="AB247" i="43"/>
  <c r="AB235" i="43"/>
  <c r="AB340" i="43"/>
  <c r="AB215" i="43"/>
  <c r="AB163" i="43"/>
  <c r="AB315" i="43"/>
  <c r="AB302" i="43"/>
  <c r="AB257" i="43"/>
  <c r="AB151" i="43"/>
  <c r="AB128" i="43"/>
  <c r="AB295" i="43"/>
  <c r="AB134" i="43"/>
  <c r="AB242" i="43"/>
  <c r="AB172" i="43"/>
  <c r="AB229" i="43"/>
  <c r="AB88" i="43"/>
  <c r="AB313" i="43"/>
  <c r="AB227" i="43"/>
  <c r="AB60" i="43"/>
  <c r="AB366" i="43"/>
  <c r="AB300" i="43"/>
  <c r="AB193" i="43"/>
  <c r="AB287" i="43"/>
  <c r="AB306" i="43"/>
  <c r="AB365" i="43"/>
  <c r="AB50" i="43"/>
  <c r="AB59" i="43"/>
  <c r="AB81" i="43"/>
  <c r="AB358" i="43"/>
  <c r="AB63" i="43"/>
  <c r="AB347" i="43"/>
  <c r="AB71" i="43"/>
  <c r="AB206" i="43"/>
  <c r="AB276" i="43"/>
  <c r="AB361" i="43"/>
  <c r="AB159" i="43"/>
  <c r="AB15" i="43"/>
  <c r="AB76" i="43"/>
  <c r="AB348" i="43"/>
  <c r="AB342" i="43"/>
  <c r="AB331" i="43"/>
  <c r="AB42" i="43"/>
  <c r="AB35" i="43"/>
  <c r="AB93" i="43"/>
  <c r="AB359" i="43"/>
  <c r="AB249" i="43"/>
  <c r="AB103" i="43"/>
  <c r="AB95" i="43"/>
  <c r="AB190" i="43"/>
  <c r="AB73" i="43"/>
  <c r="AB79" i="43"/>
  <c r="AB311" i="43"/>
  <c r="AB213" i="43"/>
  <c r="AB49" i="43"/>
  <c r="AB100" i="43"/>
  <c r="AB201" i="43"/>
  <c r="AB22" i="43"/>
  <c r="AB111" i="43"/>
  <c r="AB354" i="43"/>
  <c r="AB25" i="43"/>
  <c r="AB323" i="43"/>
  <c r="AB106" i="43"/>
  <c r="AB330" i="43"/>
  <c r="AB309" i="43"/>
  <c r="AB350" i="43"/>
  <c r="AB122" i="43"/>
  <c r="AB337" i="43"/>
  <c r="AB317" i="43"/>
  <c r="AB319" i="43"/>
  <c r="AB252" i="43"/>
  <c r="AB13" i="43"/>
  <c r="AB360" i="43"/>
  <c r="AB149" i="43"/>
  <c r="AB355" i="43"/>
  <c r="AB324" i="43"/>
  <c r="AB332" i="43"/>
  <c r="AB19" i="43"/>
  <c r="AB9" i="43"/>
  <c r="AB40" i="43"/>
  <c r="AB231" i="43"/>
  <c r="AB75" i="43"/>
  <c r="AB27" i="43"/>
  <c r="AB96" i="43"/>
  <c r="AB318" i="43"/>
  <c r="AB285" i="43"/>
  <c r="AB254" i="43"/>
  <c r="AB102" i="43"/>
  <c r="AB197" i="43"/>
  <c r="AB17" i="43"/>
  <c r="AB155" i="43"/>
  <c r="AB12" i="43"/>
  <c r="AB51" i="43"/>
  <c r="AB222" i="43"/>
  <c r="AB326" i="43"/>
  <c r="AB69" i="43"/>
  <c r="AB336" i="43"/>
  <c r="AB39" i="43"/>
  <c r="AB99" i="43"/>
  <c r="AB344" i="43"/>
  <c r="AB4" i="43"/>
  <c r="AB44" i="43"/>
  <c r="AB195" i="43"/>
  <c r="AB94" i="43"/>
  <c r="AB20" i="43"/>
  <c r="AB132" i="43"/>
  <c r="AB325" i="43"/>
  <c r="AB23" i="43"/>
  <c r="AB194" i="43"/>
  <c r="AB321" i="43"/>
  <c r="AB86" i="43"/>
  <c r="AB168" i="43"/>
  <c r="AB123" i="43"/>
  <c r="AB7" i="43"/>
  <c r="AB339" i="43"/>
  <c r="AB80" i="43"/>
  <c r="AB121" i="43"/>
  <c r="AB36" i="43"/>
  <c r="AB224" i="43"/>
  <c r="AB41" i="43"/>
  <c r="AB66" i="43"/>
  <c r="AB150" i="43"/>
  <c r="AB290" i="43"/>
  <c r="AB65" i="43"/>
  <c r="AB83" i="43"/>
  <c r="AB55" i="43"/>
  <c r="AB177" i="43"/>
  <c r="AB363" i="43"/>
  <c r="AB307" i="43"/>
  <c r="AB189" i="43"/>
  <c r="AB45" i="43"/>
  <c r="AB56" i="43"/>
  <c r="AB143" i="43"/>
  <c r="AB43" i="43"/>
  <c r="AB314" i="43"/>
  <c r="AB28" i="43"/>
  <c r="AB115" i="43"/>
  <c r="AB31" i="43"/>
  <c r="AB230" i="43"/>
  <c r="AB33" i="43"/>
  <c r="AB14" i="43"/>
  <c r="AB148" i="43"/>
  <c r="AB220" i="43"/>
  <c r="AB200" i="43"/>
  <c r="AB125" i="43"/>
  <c r="AB279" i="43"/>
  <c r="AB47" i="43"/>
  <c r="AB110" i="43"/>
  <c r="AB338" i="43"/>
  <c r="AB349" i="43"/>
  <c r="AB158" i="43"/>
  <c r="AB113" i="43"/>
  <c r="AB90" i="43"/>
  <c r="AB153" i="43"/>
  <c r="AB109" i="43"/>
  <c r="AB58" i="43"/>
  <c r="AB191" i="43"/>
  <c r="AB67" i="43"/>
  <c r="AB101" i="43"/>
  <c r="AB333" i="43"/>
  <c r="AB16" i="43"/>
  <c r="AB351" i="43"/>
  <c r="AB98" i="43"/>
  <c r="AB343" i="43"/>
  <c r="AB64" i="43"/>
  <c r="AB196" i="43"/>
  <c r="AB37" i="43"/>
  <c r="AB38" i="43"/>
  <c r="AB316" i="43"/>
  <c r="AB147" i="43"/>
  <c r="AB322" i="43"/>
  <c r="AB48" i="43"/>
  <c r="AB108" i="43"/>
  <c r="AB362" i="43"/>
  <c r="AB87" i="43"/>
  <c r="AB131" i="43"/>
  <c r="AB10" i="43"/>
  <c r="AB120" i="43"/>
  <c r="AB82" i="43"/>
  <c r="AB104" i="43"/>
  <c r="AB341" i="43"/>
  <c r="AB116" i="43"/>
  <c r="AB8" i="43"/>
  <c r="AB70" i="43"/>
  <c r="AB156" i="43"/>
  <c r="AB61" i="43"/>
  <c r="AB54" i="43"/>
  <c r="AB46" i="43"/>
  <c r="AB84" i="43"/>
  <c r="AB129" i="43"/>
  <c r="AB328" i="43"/>
  <c r="AB352" i="43"/>
  <c r="AB29" i="43"/>
  <c r="AB217" i="43"/>
  <c r="AB85" i="43"/>
  <c r="AB89" i="43"/>
  <c r="AB356" i="43"/>
  <c r="AB3" i="43"/>
  <c r="AB68" i="43"/>
  <c r="AB26" i="43"/>
  <c r="AB119" i="43"/>
  <c r="AB335" i="43"/>
  <c r="AB112" i="43"/>
  <c r="AB179" i="43"/>
  <c r="AF128" i="1"/>
  <c r="AF200" i="1"/>
  <c r="AF40" i="1"/>
  <c r="AF148" i="1"/>
  <c r="AF227" i="1"/>
  <c r="AF278" i="1"/>
  <c r="AF92" i="1"/>
  <c r="AF378" i="1"/>
  <c r="AF359" i="1"/>
  <c r="AF206" i="1"/>
  <c r="AF382" i="1"/>
  <c r="AF265" i="1"/>
  <c r="AF134" i="1"/>
  <c r="AF220" i="1"/>
  <c r="AF194" i="1"/>
  <c r="AF131" i="1"/>
  <c r="AF185" i="1"/>
  <c r="AF307" i="1"/>
  <c r="AF52" i="1"/>
  <c r="AF177" i="1"/>
  <c r="AF332" i="1"/>
  <c r="AF197" i="1"/>
  <c r="AF51" i="1"/>
  <c r="AF83" i="1"/>
  <c r="AF334" i="1"/>
  <c r="AF191" i="1"/>
  <c r="AF93" i="1"/>
  <c r="AF381" i="1"/>
  <c r="AF213" i="1"/>
  <c r="AF91" i="1"/>
  <c r="AF97" i="1"/>
  <c r="AF363" i="1"/>
  <c r="AF175" i="1"/>
  <c r="AF386" i="1"/>
  <c r="AF354" i="1"/>
  <c r="AF240" i="1"/>
  <c r="AF319" i="1"/>
  <c r="AF362" i="1"/>
  <c r="AF121" i="1"/>
  <c r="AF122" i="1"/>
  <c r="AF114" i="1"/>
  <c r="AF80" i="1"/>
  <c r="AF235" i="1"/>
  <c r="AF242" i="1"/>
  <c r="AF112" i="1"/>
  <c r="AF349" i="1"/>
  <c r="AF198" i="1"/>
  <c r="AF316" i="1"/>
  <c r="AF342" i="1"/>
  <c r="AF385" i="1"/>
  <c r="AF61" i="1"/>
  <c r="AF184" i="1"/>
  <c r="AF338" i="1"/>
  <c r="AF380" i="1"/>
  <c r="AF106" i="1"/>
  <c r="AF78" i="1"/>
  <c r="AF105" i="1"/>
  <c r="AF95" i="1"/>
  <c r="AF234" i="1"/>
  <c r="AF355" i="1"/>
  <c r="AF72" i="1"/>
  <c r="AF141" i="1"/>
  <c r="AF291" i="1"/>
  <c r="AF116" i="1"/>
  <c r="AF28" i="1"/>
  <c r="AF64" i="1"/>
  <c r="AF76" i="1"/>
  <c r="AF259" i="1"/>
  <c r="AF192" i="1"/>
  <c r="AF388" i="1"/>
  <c r="AF125" i="1"/>
  <c r="AF50" i="1"/>
  <c r="AF374" i="1"/>
  <c r="AF127" i="1"/>
  <c r="AF153" i="1"/>
  <c r="AF280" i="1"/>
  <c r="AF170" i="1"/>
  <c r="AF297" i="1"/>
  <c r="AF47" i="1"/>
  <c r="AF204" i="1"/>
  <c r="AF351" i="1"/>
  <c r="AF387" i="1"/>
  <c r="AF39" i="1"/>
  <c r="AF339" i="1"/>
  <c r="AF199" i="1"/>
  <c r="AF124" i="1"/>
  <c r="AF27" i="1"/>
  <c r="AF178" i="1"/>
  <c r="AF181" i="1"/>
  <c r="AF157" i="1"/>
  <c r="AF239" i="1"/>
  <c r="AF159" i="1"/>
  <c r="AF4" i="1"/>
  <c r="AF276" i="1"/>
  <c r="AF226" i="1"/>
  <c r="AF205" i="1"/>
  <c r="AF277" i="1"/>
  <c r="AF231" i="1"/>
  <c r="AF120" i="1"/>
  <c r="AF376" i="1"/>
  <c r="AF154" i="1"/>
  <c r="AF238" i="1"/>
  <c r="AF328" i="1"/>
  <c r="AF312" i="1"/>
  <c r="AF379" i="1"/>
  <c r="AF73" i="1"/>
  <c r="AF201" i="1"/>
  <c r="AF62" i="1"/>
  <c r="AF136" i="1"/>
  <c r="AF286" i="1"/>
  <c r="AF287" i="1"/>
  <c r="AF54" i="1"/>
  <c r="AF161" i="1"/>
  <c r="AF361" i="1"/>
  <c r="AF26" i="1"/>
  <c r="AF151" i="1"/>
  <c r="AF346" i="1"/>
  <c r="AF174" i="1"/>
  <c r="AF348" i="1"/>
  <c r="AF222" i="1"/>
  <c r="AF257" i="1"/>
  <c r="AF158" i="1"/>
  <c r="AF165" i="1"/>
  <c r="AF146" i="1"/>
  <c r="AF160" i="1"/>
  <c r="AF139" i="1"/>
  <c r="AF123" i="1"/>
  <c r="AF156" i="1"/>
  <c r="AF98" i="1"/>
  <c r="AF143" i="1"/>
  <c r="AF115" i="1"/>
  <c r="AF196" i="1"/>
  <c r="AF25" i="1"/>
  <c r="AF119" i="1"/>
  <c r="AF29" i="1"/>
  <c r="AF167" i="1"/>
  <c r="AF5" i="1"/>
  <c r="AF56" i="1"/>
  <c r="AF389" i="1"/>
  <c r="AF99" i="1"/>
  <c r="AF314" i="1"/>
  <c r="AF256" i="1"/>
  <c r="AF87" i="1"/>
  <c r="AF250" i="1"/>
  <c r="AF41" i="1"/>
  <c r="AF195" i="1"/>
  <c r="AF384" i="1"/>
  <c r="AF57" i="1"/>
  <c r="AF111" i="1"/>
  <c r="AF306" i="1"/>
  <c r="AF96" i="1"/>
  <c r="AF364" i="1"/>
  <c r="AF168" i="1"/>
  <c r="AF90" i="1"/>
  <c r="AF63" i="1"/>
  <c r="AF300" i="1"/>
  <c r="AF58" i="1"/>
  <c r="AF173" i="1"/>
  <c r="AF288" i="1"/>
  <c r="AF324" i="1"/>
  <c r="AF383" i="1"/>
  <c r="AF377" i="1"/>
  <c r="AF189" i="1"/>
  <c r="AF24" i="1"/>
  <c r="AF210" i="1"/>
  <c r="AF225" i="1"/>
  <c r="AF337" i="1"/>
  <c r="AF208" i="1"/>
  <c r="AF187" i="1"/>
  <c r="AF267" i="1"/>
  <c r="AF366" i="1"/>
  <c r="AF219" i="1"/>
  <c r="AF214" i="1"/>
  <c r="AF350" i="1"/>
  <c r="AF241" i="1"/>
  <c r="AF42" i="1"/>
  <c r="AF37" i="1"/>
  <c r="AF230" i="1"/>
  <c r="AF20" i="1"/>
  <c r="AF102" i="1"/>
  <c r="AF262" i="1"/>
  <c r="AF252" i="1"/>
  <c r="AF59" i="1"/>
  <c r="AF270" i="1"/>
  <c r="AF341" i="1"/>
  <c r="AF365" i="1"/>
  <c r="AF193" i="1"/>
  <c r="AF248" i="1"/>
  <c r="AF22" i="1"/>
  <c r="AF142" i="1"/>
  <c r="AF82" i="1"/>
  <c r="AF336" i="1"/>
  <c r="AF367" i="1"/>
  <c r="AF70" i="1"/>
  <c r="AF347" i="1"/>
  <c r="AF16" i="1"/>
  <c r="AF86" i="1"/>
  <c r="AF48" i="1"/>
  <c r="AF14" i="1"/>
  <c r="AF224" i="1"/>
  <c r="AF171" i="1"/>
  <c r="AF49" i="1"/>
  <c r="AF31" i="1"/>
  <c r="AF284" i="1"/>
  <c r="AF81" i="1"/>
  <c r="AF84" i="1"/>
  <c r="AF260" i="1"/>
  <c r="AF304" i="1"/>
  <c r="AF33" i="1"/>
  <c r="AF299" i="1"/>
  <c r="AF137" i="1"/>
  <c r="AF155" i="1"/>
  <c r="AF353" i="1"/>
  <c r="AF335" i="1"/>
  <c r="AF315" i="1"/>
  <c r="AF180" i="1"/>
  <c r="AF85" i="1"/>
  <c r="AF11" i="1"/>
  <c r="AF107" i="1"/>
  <c r="AF144" i="1"/>
  <c r="AF345" i="1"/>
  <c r="AF35" i="1"/>
  <c r="AF272" i="1"/>
  <c r="AF223" i="1"/>
  <c r="AF266" i="1"/>
  <c r="AF140" i="1"/>
  <c r="AF369" i="1"/>
  <c r="AF74" i="1"/>
  <c r="AF68" i="1"/>
  <c r="AF126" i="1"/>
  <c r="AF190" i="1"/>
  <c r="AF104" i="1"/>
  <c r="AF333" i="1"/>
  <c r="AF69" i="1"/>
  <c r="AF183" i="1"/>
  <c r="AF138" i="1"/>
  <c r="AF203" i="1"/>
  <c r="AF79" i="1"/>
  <c r="AF281" i="1"/>
  <c r="AF89" i="1"/>
  <c r="AF318" i="1"/>
  <c r="AF301" i="1"/>
  <c r="AF321" i="1"/>
  <c r="AF103" i="1"/>
  <c r="AF310" i="1"/>
  <c r="AF53" i="1"/>
  <c r="AF17" i="1"/>
  <c r="AF296" i="1"/>
  <c r="AF117" i="1"/>
  <c r="AF330" i="1"/>
  <c r="AF23" i="1"/>
  <c r="AF77" i="1"/>
  <c r="AF71" i="1"/>
  <c r="AF292" i="1"/>
  <c r="AF261" i="1"/>
  <c r="AF135" i="1"/>
  <c r="AF9" i="1"/>
  <c r="AF172" i="1"/>
  <c r="AF285" i="1"/>
  <c r="AF243" i="1"/>
  <c r="AF163" i="1"/>
  <c r="AF283" i="1"/>
  <c r="AF94" i="1"/>
  <c r="AF245" i="1"/>
  <c r="AF329" i="1"/>
  <c r="AF282" i="1"/>
  <c r="AF331" i="1"/>
  <c r="AF169" i="1"/>
  <c r="AF303" i="1"/>
  <c r="AF228" i="1"/>
  <c r="AF274" i="1"/>
  <c r="AF343" i="1"/>
  <c r="AF34" i="1"/>
  <c r="AF229" i="1"/>
  <c r="AF133" i="1"/>
  <c r="AF244" i="1"/>
  <c r="AF129" i="1"/>
  <c r="AF275" i="1"/>
  <c r="AF113" i="1"/>
  <c r="AF249" i="1"/>
  <c r="AF372" i="1"/>
  <c r="AF88" i="1"/>
  <c r="AF118" i="1"/>
  <c r="AF215" i="1"/>
  <c r="AF344" i="1"/>
  <c r="AF109" i="1"/>
  <c r="AF10" i="1"/>
  <c r="AF18" i="1"/>
  <c r="AF358" i="1"/>
  <c r="AF67" i="1"/>
  <c r="AF217" i="1"/>
  <c r="AF152" i="1"/>
  <c r="AF236" i="1"/>
  <c r="AF268" i="1"/>
  <c r="AF371" i="1"/>
  <c r="AF150" i="1"/>
  <c r="AF232" i="1"/>
  <c r="AF66" i="1"/>
  <c r="AF253" i="1"/>
  <c r="AF100" i="1"/>
  <c r="AF313" i="1"/>
  <c r="AF12" i="1"/>
  <c r="AF311" i="1"/>
  <c r="AF255" i="1"/>
  <c r="AF271" i="1"/>
  <c r="AF45" i="1"/>
  <c r="AF221" i="1"/>
  <c r="AF65" i="1"/>
  <c r="AF36" i="1"/>
  <c r="AF263" i="1"/>
  <c r="AF302" i="1"/>
  <c r="AF357" i="1"/>
  <c r="AF305" i="1"/>
  <c r="AF19" i="1"/>
  <c r="AF130" i="1"/>
  <c r="AF309" i="1"/>
  <c r="AF212" i="1"/>
  <c r="AF254" i="1"/>
  <c r="AF101" i="1"/>
  <c r="AF218" i="1"/>
  <c r="AF149" i="1"/>
  <c r="AF55" i="1"/>
  <c r="AF290" i="1"/>
  <c r="AF326" i="1"/>
  <c r="AF30" i="1"/>
  <c r="AF279" i="1"/>
  <c r="AF264" i="1"/>
  <c r="AF211" i="1"/>
  <c r="AF325" i="1"/>
  <c r="AF8" i="1"/>
  <c r="AF368" i="1"/>
  <c r="AF202" i="1"/>
  <c r="AF43" i="1"/>
  <c r="AF60" i="1"/>
  <c r="AF186" i="1"/>
  <c r="AF233" i="1"/>
  <c r="AF360" i="1"/>
  <c r="AF322" i="1"/>
  <c r="AF44" i="1"/>
  <c r="AF15" i="1"/>
  <c r="AF32" i="1"/>
  <c r="AF237" i="1"/>
  <c r="AF38" i="1"/>
  <c r="AF293" i="1"/>
  <c r="AF145" i="1"/>
  <c r="AF7" i="1"/>
  <c r="AF188" i="1"/>
  <c r="AF323" i="1"/>
  <c r="AF176" i="1"/>
  <c r="AF356" i="1"/>
  <c r="AF269" i="1"/>
  <c r="AF182" i="1"/>
  <c r="AF110" i="1"/>
  <c r="AF327" i="1"/>
  <c r="AF216" i="1"/>
  <c r="AF46" i="1"/>
  <c r="AF295" i="1"/>
  <c r="AF320" i="1"/>
  <c r="AF166" i="1"/>
  <c r="AF75" i="1"/>
  <c r="AF132" i="1"/>
  <c r="AF294" i="1"/>
  <c r="AF179" i="1"/>
  <c r="AF340" i="1"/>
  <c r="AF13" i="1"/>
  <c r="AF258" i="1"/>
  <c r="AF147" i="1"/>
  <c r="AF209" i="1"/>
  <c r="AF164" i="1"/>
  <c r="AF289" i="1"/>
  <c r="AF308" i="1"/>
  <c r="AF298" i="1"/>
  <c r="AF273" i="1"/>
  <c r="AF21" i="1"/>
  <c r="AF251" i="1"/>
  <c r="AF317" i="1"/>
  <c r="AF162" i="1"/>
  <c r="AF352" i="1"/>
  <c r="AF246" i="1"/>
  <c r="AF108" i="1"/>
  <c r="AF247" i="1"/>
  <c r="AF370" i="1"/>
  <c r="AF207" i="1"/>
  <c r="AB24" i="43"/>
  <c r="AB105" i="43"/>
  <c r="AB92" i="43"/>
  <c r="AB32" i="43"/>
  <c r="AG6" i="1" l="1"/>
  <c r="AH65" i="1"/>
  <c r="AG65" i="1"/>
  <c r="AG248" i="1"/>
  <c r="AH248" i="1"/>
  <c r="AG259" i="1"/>
  <c r="AH259" i="1"/>
  <c r="AD113" i="43"/>
  <c r="AC113" i="43"/>
  <c r="AD60" i="43"/>
  <c r="AC60" i="43"/>
  <c r="AC74" i="43"/>
  <c r="AD74" i="43"/>
  <c r="AH246" i="1"/>
  <c r="AG246" i="1"/>
  <c r="AH118" i="1"/>
  <c r="AG118" i="1"/>
  <c r="AH247" i="1"/>
  <c r="AG247" i="1"/>
  <c r="AH164" i="1"/>
  <c r="AG164" i="1"/>
  <c r="AH295" i="1"/>
  <c r="AG295" i="1"/>
  <c r="AH145" i="1"/>
  <c r="AG145" i="1"/>
  <c r="AH43" i="1"/>
  <c r="AG43" i="1"/>
  <c r="AH149" i="1"/>
  <c r="AG149" i="1"/>
  <c r="AH36" i="1"/>
  <c r="AG36" i="1"/>
  <c r="AH232" i="1"/>
  <c r="AG232" i="1"/>
  <c r="AH344" i="1"/>
  <c r="AG344" i="1"/>
  <c r="AH34" i="1"/>
  <c r="AG34" i="1"/>
  <c r="AH163" i="1"/>
  <c r="AG163" i="1"/>
  <c r="AG117" i="1"/>
  <c r="AH117" i="1"/>
  <c r="AG203" i="1"/>
  <c r="AH203" i="1"/>
  <c r="AG266" i="1"/>
  <c r="AH266" i="1"/>
  <c r="AH353" i="1"/>
  <c r="AG353" i="1"/>
  <c r="AH171" i="1"/>
  <c r="AG171" i="1"/>
  <c r="AG22" i="1"/>
  <c r="AH22" i="1"/>
  <c r="AH37" i="1"/>
  <c r="AG37" i="1"/>
  <c r="AG210" i="1"/>
  <c r="AH210" i="1"/>
  <c r="AG168" i="1"/>
  <c r="AH168" i="1"/>
  <c r="AG314" i="1"/>
  <c r="AH314" i="1"/>
  <c r="AG98" i="1"/>
  <c r="AH98" i="1"/>
  <c r="AG346" i="1"/>
  <c r="AH346" i="1"/>
  <c r="AG379" i="1"/>
  <c r="AH379" i="1"/>
  <c r="AH4" i="1"/>
  <c r="AG4" i="1"/>
  <c r="AF390" i="1"/>
  <c r="AG351" i="1"/>
  <c r="AH351" i="1"/>
  <c r="AG192" i="1"/>
  <c r="AH192" i="1"/>
  <c r="AG105" i="1"/>
  <c r="AH105" i="1"/>
  <c r="AG112" i="1"/>
  <c r="AH112" i="1"/>
  <c r="AG175" i="1"/>
  <c r="AH175" i="1"/>
  <c r="AG332" i="1"/>
  <c r="AH332" i="1"/>
  <c r="AG359" i="1"/>
  <c r="AH359" i="1"/>
  <c r="AD119" i="43"/>
  <c r="AC119" i="43"/>
  <c r="AD84" i="43"/>
  <c r="AC84" i="43"/>
  <c r="AD10" i="43"/>
  <c r="AC10" i="43"/>
  <c r="AC64" i="43"/>
  <c r="AD64" i="43"/>
  <c r="AD90" i="43"/>
  <c r="AC90" i="43"/>
  <c r="AD14" i="43"/>
  <c r="AC14" i="43"/>
  <c r="AD307" i="43"/>
  <c r="AC307" i="43"/>
  <c r="AD121" i="43"/>
  <c r="AC121" i="43"/>
  <c r="AD20" i="43"/>
  <c r="AC20" i="43"/>
  <c r="AC51" i="43"/>
  <c r="AD51" i="43"/>
  <c r="AC231" i="43"/>
  <c r="AD231" i="43"/>
  <c r="AD317" i="43"/>
  <c r="AC317" i="43"/>
  <c r="AD201" i="43"/>
  <c r="AC201" i="43"/>
  <c r="AC93" i="43"/>
  <c r="AD93" i="43"/>
  <c r="AD71" i="43"/>
  <c r="AC71" i="43"/>
  <c r="AD366" i="43"/>
  <c r="BL366" i="43" s="1"/>
  <c r="BM366" i="43" s="1"/>
  <c r="BN366" i="43" s="1"/>
  <c r="AC366" i="43"/>
  <c r="AC257" i="43"/>
  <c r="AD257" i="43"/>
  <c r="AC72" i="43"/>
  <c r="AD72" i="43"/>
  <c r="AC186" i="43"/>
  <c r="AD186" i="43"/>
  <c r="AC281" i="43"/>
  <c r="AD281" i="43"/>
  <c r="AC107" i="43"/>
  <c r="AD107" i="43"/>
  <c r="AC271" i="43"/>
  <c r="AD271" i="43"/>
  <c r="AC214" i="43"/>
  <c r="AD214" i="43"/>
  <c r="AC263" i="43"/>
  <c r="AD263" i="43"/>
  <c r="AC219" i="43"/>
  <c r="AD219" i="43"/>
  <c r="AC173" i="43"/>
  <c r="AD173" i="43"/>
  <c r="AC232" i="43"/>
  <c r="AD232" i="43"/>
  <c r="AC140" i="43"/>
  <c r="AD140" i="43"/>
  <c r="AC208" i="43"/>
  <c r="AD208" i="43"/>
  <c r="AC353" i="43"/>
  <c r="AD353" i="43"/>
  <c r="AG312" i="1"/>
  <c r="AH312" i="1"/>
  <c r="AC304" i="43"/>
  <c r="AD304" i="43"/>
  <c r="AH285" i="1"/>
  <c r="AG285" i="1"/>
  <c r="AG193" i="1"/>
  <c r="AH193" i="1"/>
  <c r="AG389" i="1"/>
  <c r="AH389" i="1"/>
  <c r="AG123" i="1"/>
  <c r="AH123" i="1"/>
  <c r="AG26" i="1"/>
  <c r="AH26" i="1"/>
  <c r="AG328" i="1"/>
  <c r="AH328" i="1"/>
  <c r="AG239" i="1"/>
  <c r="AH239" i="1"/>
  <c r="AG47" i="1"/>
  <c r="AH47" i="1"/>
  <c r="AG76" i="1"/>
  <c r="AH76" i="1"/>
  <c r="AG106" i="1"/>
  <c r="AH106" i="1"/>
  <c r="AG235" i="1"/>
  <c r="AH235" i="1"/>
  <c r="AG97" i="1"/>
  <c r="AH97" i="1"/>
  <c r="AG52" i="1"/>
  <c r="AH52" i="1"/>
  <c r="AG92" i="1"/>
  <c r="AH92" i="1"/>
  <c r="AD68" i="43"/>
  <c r="AC68" i="43"/>
  <c r="AD54" i="43"/>
  <c r="AC54" i="43"/>
  <c r="AD87" i="43"/>
  <c r="AC87" i="43"/>
  <c r="AC98" i="43"/>
  <c r="AD98" i="43"/>
  <c r="AC158" i="43"/>
  <c r="AD158" i="43"/>
  <c r="AD230" i="43"/>
  <c r="AC230" i="43"/>
  <c r="AD177" i="43"/>
  <c r="AC177" i="43"/>
  <c r="AD339" i="43"/>
  <c r="AC339" i="43"/>
  <c r="AD195" i="43"/>
  <c r="AC195" i="43"/>
  <c r="AC155" i="43"/>
  <c r="AD155" i="43"/>
  <c r="AD9" i="43"/>
  <c r="AC9" i="43"/>
  <c r="AD122" i="43"/>
  <c r="AC122" i="43"/>
  <c r="AD49" i="43"/>
  <c r="AC49" i="43"/>
  <c r="AC42" i="43"/>
  <c r="AD42" i="43"/>
  <c r="AD63" i="43"/>
  <c r="AC63" i="43"/>
  <c r="AC227" i="43"/>
  <c r="AD227" i="43"/>
  <c r="AC315" i="43"/>
  <c r="AD315" i="43"/>
  <c r="AC262" i="43"/>
  <c r="AD262" i="43"/>
  <c r="AC216" i="43"/>
  <c r="AD216" i="43"/>
  <c r="AC207" i="43"/>
  <c r="AD207" i="43"/>
  <c r="AC21" i="43"/>
  <c r="AD21" i="43"/>
  <c r="AC78" i="43"/>
  <c r="AD78" i="43"/>
  <c r="AC243" i="43"/>
  <c r="AD243" i="43"/>
  <c r="AC289" i="43"/>
  <c r="AD289" i="43"/>
  <c r="AC283" i="43"/>
  <c r="AD283" i="43"/>
  <c r="AC233" i="43"/>
  <c r="AD233" i="43"/>
  <c r="AC308" i="43"/>
  <c r="AD308" i="43"/>
  <c r="AC210" i="43"/>
  <c r="AD210" i="43"/>
  <c r="AC169" i="43"/>
  <c r="AD169" i="43"/>
  <c r="AD117" i="43"/>
  <c r="AC117" i="43"/>
  <c r="AG215" i="1"/>
  <c r="AH215" i="1"/>
  <c r="AH224" i="1"/>
  <c r="AG224" i="1"/>
  <c r="AG159" i="1"/>
  <c r="AH159" i="1"/>
  <c r="AD46" i="43"/>
  <c r="AC46" i="43"/>
  <c r="AC12" i="43"/>
  <c r="AD12" i="43"/>
  <c r="AC199" i="43"/>
  <c r="AD199" i="43"/>
  <c r="AC312" i="43"/>
  <c r="AD312" i="43"/>
  <c r="AG38" i="1"/>
  <c r="AH38" i="1"/>
  <c r="AG14" i="1"/>
  <c r="AH14" i="1"/>
  <c r="AH352" i="1"/>
  <c r="AG352" i="1"/>
  <c r="AH327" i="1"/>
  <c r="AG327" i="1"/>
  <c r="AH8" i="1"/>
  <c r="AG8" i="1"/>
  <c r="AH254" i="1"/>
  <c r="AG254" i="1"/>
  <c r="AH45" i="1"/>
  <c r="AG45" i="1"/>
  <c r="AH268" i="1"/>
  <c r="AG268" i="1"/>
  <c r="AH88" i="1"/>
  <c r="AG88" i="1"/>
  <c r="AG228" i="1"/>
  <c r="AH228" i="1"/>
  <c r="AH172" i="1"/>
  <c r="AG172" i="1"/>
  <c r="AH53" i="1"/>
  <c r="AG53" i="1"/>
  <c r="AH69" i="1"/>
  <c r="AG69" i="1"/>
  <c r="AH35" i="1"/>
  <c r="AG35" i="1"/>
  <c r="AG299" i="1"/>
  <c r="AH299" i="1"/>
  <c r="AG48" i="1"/>
  <c r="AH48" i="1"/>
  <c r="AG365" i="1"/>
  <c r="AH365" i="1"/>
  <c r="AH350" i="1"/>
  <c r="AG350" i="1"/>
  <c r="AG377" i="1"/>
  <c r="AH377" i="1"/>
  <c r="AG306" i="1"/>
  <c r="AH306" i="1"/>
  <c r="AG56" i="1"/>
  <c r="AH56" i="1"/>
  <c r="AG139" i="1"/>
  <c r="AH139" i="1"/>
  <c r="AG361" i="1"/>
  <c r="AH361" i="1"/>
  <c r="AG238" i="1"/>
  <c r="AH238" i="1"/>
  <c r="AG157" i="1"/>
  <c r="AH157" i="1"/>
  <c r="AG297" i="1"/>
  <c r="AH297" i="1"/>
  <c r="AG64" i="1"/>
  <c r="AH64" i="1"/>
  <c r="AG380" i="1"/>
  <c r="AH380" i="1"/>
  <c r="AG80" i="1"/>
  <c r="AH80" i="1"/>
  <c r="AG91" i="1"/>
  <c r="AH91" i="1"/>
  <c r="AG307" i="1"/>
  <c r="AH307" i="1"/>
  <c r="AG278" i="1"/>
  <c r="AH278" i="1"/>
  <c r="AB367" i="43"/>
  <c r="AD3" i="43"/>
  <c r="AC3" i="43"/>
  <c r="AD61" i="43"/>
  <c r="AC61" i="43"/>
  <c r="AD362" i="43"/>
  <c r="AC362" i="43"/>
  <c r="AD351" i="43"/>
  <c r="AC351" i="43"/>
  <c r="AD349" i="43"/>
  <c r="AC349" i="43"/>
  <c r="AD31" i="43"/>
  <c r="AC31" i="43"/>
  <c r="AD55" i="43"/>
  <c r="AC55" i="43"/>
  <c r="AC7" i="43"/>
  <c r="AD7" i="43"/>
  <c r="AD44" i="43"/>
  <c r="AC44" i="43"/>
  <c r="AD17" i="43"/>
  <c r="AC17" i="43"/>
  <c r="AC19" i="43"/>
  <c r="AD19" i="43"/>
  <c r="AC350" i="43"/>
  <c r="AD350" i="43"/>
  <c r="AD213" i="43"/>
  <c r="AC213" i="43"/>
  <c r="AD331" i="43"/>
  <c r="AC331" i="43"/>
  <c r="AD358" i="43"/>
  <c r="AC358" i="43"/>
  <c r="AC313" i="43"/>
  <c r="AD313" i="43"/>
  <c r="AC163" i="43"/>
  <c r="AD163" i="43"/>
  <c r="AC137" i="43"/>
  <c r="AD137" i="43"/>
  <c r="AC118" i="43"/>
  <c r="AD118" i="43"/>
  <c r="AC11" i="43"/>
  <c r="AD11" i="43"/>
  <c r="AC167" i="43"/>
  <c r="AD167" i="43"/>
  <c r="AC34" i="43"/>
  <c r="AD34" i="43"/>
  <c r="AC237" i="43"/>
  <c r="AD237" i="43"/>
  <c r="AC198" i="43"/>
  <c r="AD198" i="43"/>
  <c r="AC176" i="43"/>
  <c r="AD176" i="43"/>
  <c r="AC258" i="43"/>
  <c r="AD258" i="43"/>
  <c r="AC187" i="43"/>
  <c r="AD187" i="43"/>
  <c r="AD174" i="43"/>
  <c r="AC174" i="43"/>
  <c r="AC278" i="43"/>
  <c r="AD278" i="43"/>
  <c r="AD57" i="43"/>
  <c r="AC57" i="43"/>
  <c r="AH108" i="1"/>
  <c r="AG108" i="1"/>
  <c r="AH243" i="1"/>
  <c r="AG243" i="1"/>
  <c r="AG24" i="1"/>
  <c r="AH24" i="1"/>
  <c r="AG78" i="1"/>
  <c r="AH78" i="1"/>
  <c r="AD343" i="43"/>
  <c r="AC343" i="43"/>
  <c r="AD337" i="43"/>
  <c r="AC337" i="43"/>
  <c r="AC302" i="43"/>
  <c r="AD302" i="43"/>
  <c r="AC18" i="43"/>
  <c r="AD18" i="43"/>
  <c r="AG96" i="1"/>
  <c r="AH96" i="1"/>
  <c r="AH162" i="1"/>
  <c r="AG162" i="1"/>
  <c r="AH32" i="1"/>
  <c r="AG32" i="1"/>
  <c r="AH325" i="1"/>
  <c r="AG325" i="1"/>
  <c r="AH212" i="1"/>
  <c r="AG212" i="1"/>
  <c r="AG271" i="1"/>
  <c r="AH271" i="1"/>
  <c r="AH236" i="1"/>
  <c r="AG236" i="1"/>
  <c r="AH372" i="1"/>
  <c r="AG372" i="1"/>
  <c r="AH303" i="1"/>
  <c r="AG303" i="1"/>
  <c r="AG9" i="1"/>
  <c r="AH9" i="1"/>
  <c r="AH310" i="1"/>
  <c r="AG310" i="1"/>
  <c r="AG333" i="1"/>
  <c r="AH333" i="1"/>
  <c r="AH345" i="1"/>
  <c r="AG345" i="1"/>
  <c r="AG33" i="1"/>
  <c r="AH33" i="1"/>
  <c r="AG86" i="1"/>
  <c r="AH86" i="1"/>
  <c r="AG341" i="1"/>
  <c r="AH341" i="1"/>
  <c r="AH214" i="1"/>
  <c r="AG214" i="1"/>
  <c r="AG383" i="1"/>
  <c r="AH383" i="1"/>
  <c r="AG111" i="1"/>
  <c r="AH111" i="1"/>
  <c r="AH5" i="1"/>
  <c r="AG5" i="1"/>
  <c r="AG160" i="1"/>
  <c r="AH160" i="1"/>
  <c r="AG161" i="1"/>
  <c r="AH161" i="1"/>
  <c r="AG154" i="1"/>
  <c r="AH154" i="1"/>
  <c r="AG181" i="1"/>
  <c r="AH181" i="1"/>
  <c r="AG170" i="1"/>
  <c r="AH170" i="1"/>
  <c r="AG28" i="1"/>
  <c r="AH28" i="1"/>
  <c r="AG338" i="1"/>
  <c r="AH338" i="1"/>
  <c r="AG114" i="1"/>
  <c r="AH114" i="1"/>
  <c r="AG213" i="1"/>
  <c r="AH213" i="1"/>
  <c r="AG185" i="1"/>
  <c r="AH185" i="1"/>
  <c r="AG227" i="1"/>
  <c r="AH227" i="1"/>
  <c r="AD356" i="43"/>
  <c r="AC356" i="43"/>
  <c r="AD156" i="43"/>
  <c r="AC156" i="43"/>
  <c r="AD108" i="43"/>
  <c r="AC108" i="43"/>
  <c r="AD16" i="43"/>
  <c r="AC16" i="43"/>
  <c r="AD338" i="43"/>
  <c r="AC338" i="43"/>
  <c r="AD115" i="43"/>
  <c r="AC115" i="43"/>
  <c r="AD83" i="43"/>
  <c r="AC83" i="43"/>
  <c r="AC123" i="43"/>
  <c r="AD123" i="43"/>
  <c r="AD4" i="43"/>
  <c r="AC4" i="43"/>
  <c r="AC197" i="43"/>
  <c r="AD197" i="43"/>
  <c r="AD332" i="43"/>
  <c r="AC332" i="43"/>
  <c r="AD309" i="43"/>
  <c r="AC309" i="43"/>
  <c r="AD311" i="43"/>
  <c r="AC311" i="43"/>
  <c r="AD342" i="43"/>
  <c r="AC342" i="43"/>
  <c r="AD81" i="43"/>
  <c r="AC81" i="43"/>
  <c r="AC88" i="43"/>
  <c r="AD88" i="43"/>
  <c r="AC215" i="43"/>
  <c r="AD215" i="43"/>
  <c r="AC241" i="43"/>
  <c r="AD241" i="43"/>
  <c r="AC152" i="43"/>
  <c r="AD152" i="43"/>
  <c r="AC184" i="43"/>
  <c r="AD184" i="43"/>
  <c r="AC192" i="43"/>
  <c r="AD192" i="43"/>
  <c r="AC52" i="43"/>
  <c r="AD52" i="43"/>
  <c r="AC248" i="43"/>
  <c r="AD248" i="43"/>
  <c r="AC164" i="43"/>
  <c r="AD164" i="43"/>
  <c r="AC310" i="43"/>
  <c r="AD310" i="43"/>
  <c r="AC205" i="43"/>
  <c r="AD205" i="43"/>
  <c r="AC175" i="43"/>
  <c r="AD175" i="43"/>
  <c r="AC266" i="43"/>
  <c r="AD266" i="43"/>
  <c r="AC228" i="43"/>
  <c r="AD228" i="43"/>
  <c r="AD160" i="43"/>
  <c r="AC160" i="43"/>
  <c r="AH150" i="1"/>
  <c r="AG150" i="1"/>
  <c r="AH42" i="1"/>
  <c r="AG42" i="1"/>
  <c r="AG242" i="1"/>
  <c r="AH242" i="1"/>
  <c r="AD33" i="43"/>
  <c r="AC33" i="43"/>
  <c r="AD35" i="43"/>
  <c r="AC35" i="43"/>
  <c r="AC146" i="43"/>
  <c r="AD146" i="43"/>
  <c r="AH216" i="1"/>
  <c r="AG216" i="1"/>
  <c r="AH241" i="1"/>
  <c r="AG241" i="1"/>
  <c r="AH317" i="1"/>
  <c r="AG317" i="1"/>
  <c r="AH211" i="1"/>
  <c r="AG211" i="1"/>
  <c r="AG255" i="1"/>
  <c r="AH255" i="1"/>
  <c r="AH152" i="1"/>
  <c r="AG152" i="1"/>
  <c r="AH249" i="1"/>
  <c r="AG249" i="1"/>
  <c r="AG169" i="1"/>
  <c r="AH169" i="1"/>
  <c r="AH135" i="1"/>
  <c r="AG135" i="1"/>
  <c r="AH103" i="1"/>
  <c r="AG103" i="1"/>
  <c r="AH104" i="1"/>
  <c r="AG104" i="1"/>
  <c r="AH144" i="1"/>
  <c r="AG144" i="1"/>
  <c r="AH304" i="1"/>
  <c r="AG304" i="1"/>
  <c r="AG16" i="1"/>
  <c r="AH16" i="1"/>
  <c r="AG270" i="1"/>
  <c r="AH270" i="1"/>
  <c r="AH219" i="1"/>
  <c r="AG219" i="1"/>
  <c r="AG324" i="1"/>
  <c r="AH324" i="1"/>
  <c r="AG57" i="1"/>
  <c r="AH57" i="1"/>
  <c r="AG167" i="1"/>
  <c r="AH167" i="1"/>
  <c r="AG146" i="1"/>
  <c r="AH146" i="1"/>
  <c r="AH54" i="1"/>
  <c r="AG54" i="1"/>
  <c r="AG376" i="1"/>
  <c r="AH376" i="1"/>
  <c r="AG178" i="1"/>
  <c r="AH178" i="1"/>
  <c r="AG280" i="1"/>
  <c r="AH280" i="1"/>
  <c r="AG116" i="1"/>
  <c r="AH116" i="1"/>
  <c r="AG184" i="1"/>
  <c r="AH184" i="1"/>
  <c r="AG122" i="1"/>
  <c r="AH122" i="1"/>
  <c r="AG381" i="1"/>
  <c r="AH381" i="1"/>
  <c r="AG131" i="1"/>
  <c r="AH131" i="1"/>
  <c r="AG148" i="1"/>
  <c r="AH148" i="1"/>
  <c r="AD89" i="43"/>
  <c r="AC89" i="43"/>
  <c r="AD70" i="43"/>
  <c r="AC70" i="43"/>
  <c r="AD48" i="43"/>
  <c r="AC48" i="43"/>
  <c r="AD333" i="43"/>
  <c r="AC333" i="43"/>
  <c r="AD110" i="43"/>
  <c r="AC110" i="43"/>
  <c r="AD28" i="43"/>
  <c r="AC28" i="43"/>
  <c r="AC65" i="43"/>
  <c r="AD65" i="43"/>
  <c r="AD168" i="43"/>
  <c r="AC168" i="43"/>
  <c r="AD344" i="43"/>
  <c r="AC344" i="43"/>
  <c r="AD102" i="43"/>
  <c r="AC102" i="43"/>
  <c r="AD324" i="43"/>
  <c r="AC324" i="43"/>
  <c r="AD330" i="43"/>
  <c r="AC330" i="43"/>
  <c r="AD79" i="43"/>
  <c r="AC79" i="43"/>
  <c r="AC348" i="43"/>
  <c r="AD348" i="43"/>
  <c r="AD59" i="43"/>
  <c r="AC59" i="43"/>
  <c r="AC229" i="43"/>
  <c r="AD229" i="43"/>
  <c r="AC340" i="43"/>
  <c r="AD340" i="43"/>
  <c r="AC251" i="43"/>
  <c r="AD251" i="43"/>
  <c r="AC297" i="43"/>
  <c r="AD297" i="43"/>
  <c r="AC238" i="43"/>
  <c r="AD238" i="43"/>
  <c r="AC178" i="43"/>
  <c r="AD178" i="43"/>
  <c r="AC211" i="43"/>
  <c r="AD211" i="43"/>
  <c r="AC292" i="43"/>
  <c r="AD292" i="43"/>
  <c r="AC270" i="43"/>
  <c r="AD270" i="43"/>
  <c r="AC250" i="43"/>
  <c r="AD250" i="43"/>
  <c r="AC346" i="43"/>
  <c r="AD346" i="43"/>
  <c r="AC268" i="43"/>
  <c r="AD268" i="43"/>
  <c r="AC188" i="43"/>
  <c r="AD188" i="43"/>
  <c r="AC165" i="43"/>
  <c r="AD165" i="43"/>
  <c r="AD62" i="43"/>
  <c r="AC62" i="43"/>
  <c r="AH46" i="1"/>
  <c r="AG46" i="1"/>
  <c r="AH155" i="1"/>
  <c r="AG155" i="1"/>
  <c r="AG204" i="1"/>
  <c r="AH204" i="1"/>
  <c r="AD131" i="43"/>
  <c r="AC131" i="43"/>
  <c r="AD100" i="43"/>
  <c r="AC100" i="43"/>
  <c r="AD364" i="43"/>
  <c r="AC364" i="43"/>
  <c r="AG189" i="1"/>
  <c r="AH189" i="1"/>
  <c r="AG258" i="1"/>
  <c r="AH258" i="1"/>
  <c r="AG237" i="1"/>
  <c r="AH237" i="1"/>
  <c r="AH13" i="1"/>
  <c r="AG13" i="1"/>
  <c r="AH110" i="1"/>
  <c r="AG110" i="1"/>
  <c r="AH340" i="1"/>
  <c r="AG340" i="1"/>
  <c r="AH182" i="1"/>
  <c r="AG182" i="1"/>
  <c r="AH15" i="1"/>
  <c r="AG15" i="1"/>
  <c r="AH309" i="1"/>
  <c r="AG309" i="1"/>
  <c r="AD32" i="43"/>
  <c r="AC32" i="43"/>
  <c r="AG251" i="1"/>
  <c r="AH251" i="1"/>
  <c r="AH179" i="1"/>
  <c r="AG179" i="1"/>
  <c r="AH269" i="1"/>
  <c r="AG269" i="1"/>
  <c r="AH44" i="1"/>
  <c r="AG44" i="1"/>
  <c r="AH264" i="1"/>
  <c r="AG264" i="1"/>
  <c r="AH130" i="1"/>
  <c r="AG130" i="1"/>
  <c r="AH311" i="1"/>
  <c r="AG311" i="1"/>
  <c r="AG217" i="1"/>
  <c r="AH217" i="1"/>
  <c r="AH113" i="1"/>
  <c r="AG113" i="1"/>
  <c r="AH331" i="1"/>
  <c r="AG331" i="1"/>
  <c r="AH261" i="1"/>
  <c r="AG261" i="1"/>
  <c r="AH321" i="1"/>
  <c r="AG321" i="1"/>
  <c r="AG190" i="1"/>
  <c r="AH190" i="1"/>
  <c r="AH107" i="1"/>
  <c r="AG107" i="1"/>
  <c r="AG260" i="1"/>
  <c r="AH260" i="1"/>
  <c r="AG347" i="1"/>
  <c r="AH347" i="1"/>
  <c r="AH59" i="1"/>
  <c r="AG59" i="1"/>
  <c r="AH366" i="1"/>
  <c r="AG366" i="1"/>
  <c r="AG288" i="1"/>
  <c r="AH288" i="1"/>
  <c r="AG384" i="1"/>
  <c r="AH384" i="1"/>
  <c r="AG29" i="1"/>
  <c r="AH29" i="1"/>
  <c r="AG165" i="1"/>
  <c r="AH165" i="1"/>
  <c r="AG287" i="1"/>
  <c r="AH287" i="1"/>
  <c r="AG120" i="1"/>
  <c r="AH120" i="1"/>
  <c r="AG27" i="1"/>
  <c r="AH27" i="1"/>
  <c r="AG153" i="1"/>
  <c r="AH153" i="1"/>
  <c r="AG291" i="1"/>
  <c r="AH291" i="1"/>
  <c r="AG61" i="1"/>
  <c r="AH61" i="1"/>
  <c r="AG121" i="1"/>
  <c r="AH121" i="1"/>
  <c r="AG93" i="1"/>
  <c r="AH93" i="1"/>
  <c r="AG194" i="1"/>
  <c r="AH194" i="1"/>
  <c r="AG40" i="1"/>
  <c r="AH40" i="1"/>
  <c r="AD85" i="43"/>
  <c r="AC85" i="43"/>
  <c r="AD8" i="43"/>
  <c r="AC8" i="43"/>
  <c r="AD322" i="43"/>
  <c r="AC322" i="43"/>
  <c r="AD101" i="43"/>
  <c r="AC101" i="43"/>
  <c r="AD47" i="43"/>
  <c r="AC47" i="43"/>
  <c r="AD314" i="43"/>
  <c r="AC314" i="43"/>
  <c r="AC290" i="43"/>
  <c r="AD290" i="43"/>
  <c r="AD86" i="43"/>
  <c r="AC86" i="43"/>
  <c r="AD99" i="43"/>
  <c r="AC99" i="43"/>
  <c r="AD254" i="43"/>
  <c r="AC254" i="43"/>
  <c r="AC355" i="43"/>
  <c r="AD355" i="43"/>
  <c r="AC106" i="43"/>
  <c r="AD106" i="43"/>
  <c r="AC73" i="43"/>
  <c r="AD73" i="43"/>
  <c r="AD76" i="43"/>
  <c r="AC76" i="43"/>
  <c r="AD50" i="43"/>
  <c r="AC50" i="43"/>
  <c r="AC172" i="43"/>
  <c r="AD172" i="43"/>
  <c r="AC235" i="43"/>
  <c r="AD235" i="43"/>
  <c r="AC145" i="43"/>
  <c r="AD145" i="43"/>
  <c r="AC180" i="43"/>
  <c r="AD180" i="43"/>
  <c r="AC259" i="43"/>
  <c r="AD259" i="43"/>
  <c r="AC223" i="43"/>
  <c r="AD223" i="43"/>
  <c r="AC277" i="43"/>
  <c r="AD277" i="43"/>
  <c r="AC253" i="43"/>
  <c r="AD253" i="43"/>
  <c r="AC5" i="43"/>
  <c r="AD5" i="43"/>
  <c r="AC284" i="43"/>
  <c r="AD284" i="43"/>
  <c r="AC139" i="43"/>
  <c r="AD139" i="43"/>
  <c r="AC240" i="43"/>
  <c r="AD240" i="43"/>
  <c r="AC272" i="43"/>
  <c r="AD272" i="43"/>
  <c r="AC138" i="43"/>
  <c r="AD138" i="43"/>
  <c r="AD288" i="43"/>
  <c r="AC288" i="43"/>
  <c r="AH202" i="1"/>
  <c r="AG202" i="1"/>
  <c r="AH223" i="1"/>
  <c r="AG223" i="1"/>
  <c r="AG151" i="1"/>
  <c r="AH151" i="1"/>
  <c r="AD26" i="43"/>
  <c r="AC26" i="43"/>
  <c r="AD94" i="43"/>
  <c r="AC94" i="43"/>
  <c r="AC280" i="43"/>
  <c r="AD280" i="43"/>
  <c r="AC204" i="43"/>
  <c r="AD204" i="43"/>
  <c r="AG147" i="1"/>
  <c r="AH147" i="1"/>
  <c r="AG274" i="1"/>
  <c r="AH274" i="1"/>
  <c r="AD92" i="43"/>
  <c r="AC92" i="43"/>
  <c r="AH322" i="1"/>
  <c r="AG322" i="1"/>
  <c r="AH279" i="1"/>
  <c r="AG279" i="1"/>
  <c r="AH19" i="1"/>
  <c r="AG19" i="1"/>
  <c r="AH12" i="1"/>
  <c r="AG12" i="1"/>
  <c r="AG67" i="1"/>
  <c r="AH67" i="1"/>
  <c r="AH275" i="1"/>
  <c r="AG275" i="1"/>
  <c r="AH282" i="1"/>
  <c r="AG282" i="1"/>
  <c r="AG292" i="1"/>
  <c r="AH292" i="1"/>
  <c r="AG301" i="1"/>
  <c r="AH301" i="1"/>
  <c r="AH126" i="1"/>
  <c r="AG126" i="1"/>
  <c r="AH11" i="1"/>
  <c r="AG11" i="1"/>
  <c r="AG84" i="1"/>
  <c r="AH84" i="1"/>
  <c r="AG70" i="1"/>
  <c r="AH70" i="1"/>
  <c r="AG252" i="1"/>
  <c r="AH252" i="1"/>
  <c r="AH267" i="1"/>
  <c r="AG267" i="1"/>
  <c r="AG173" i="1"/>
  <c r="AH173" i="1"/>
  <c r="AG195" i="1"/>
  <c r="AH195" i="1"/>
  <c r="AG119" i="1"/>
  <c r="AH119" i="1"/>
  <c r="AG158" i="1"/>
  <c r="AH158" i="1"/>
  <c r="AG286" i="1"/>
  <c r="AH286" i="1"/>
  <c r="AG231" i="1"/>
  <c r="AH231" i="1"/>
  <c r="AG124" i="1"/>
  <c r="AH124" i="1"/>
  <c r="AG127" i="1"/>
  <c r="AH127" i="1"/>
  <c r="AG141" i="1"/>
  <c r="AH141" i="1"/>
  <c r="AG385" i="1"/>
  <c r="AH385" i="1"/>
  <c r="AG362" i="1"/>
  <c r="AH362" i="1"/>
  <c r="AG191" i="1"/>
  <c r="AH191" i="1"/>
  <c r="AG220" i="1"/>
  <c r="AH220" i="1"/>
  <c r="AG200" i="1"/>
  <c r="AH200" i="1"/>
  <c r="AD217" i="43"/>
  <c r="AC217" i="43"/>
  <c r="AD116" i="43"/>
  <c r="AC116" i="43"/>
  <c r="AD147" i="43"/>
  <c r="AC147" i="43"/>
  <c r="AD67" i="43"/>
  <c r="AC67" i="43"/>
  <c r="AD279" i="43"/>
  <c r="AC279" i="43"/>
  <c r="AD43" i="43"/>
  <c r="AC43" i="43"/>
  <c r="AD150" i="43"/>
  <c r="AC150" i="43"/>
  <c r="AD321" i="43"/>
  <c r="AC321" i="43"/>
  <c r="AD39" i="43"/>
  <c r="AC39" i="43"/>
  <c r="AD285" i="43"/>
  <c r="AC285" i="43"/>
  <c r="AD149" i="43"/>
  <c r="AC149" i="43"/>
  <c r="AD323" i="43"/>
  <c r="AC323" i="43"/>
  <c r="AD190" i="43"/>
  <c r="AC190" i="43"/>
  <c r="AD15" i="43"/>
  <c r="AC15" i="43"/>
  <c r="AC365" i="43"/>
  <c r="AD365" i="43"/>
  <c r="BL365" i="43" s="1"/>
  <c r="BM365" i="43" s="1"/>
  <c r="BN365" i="43" s="1"/>
  <c r="AC242" i="43"/>
  <c r="AD242" i="43"/>
  <c r="AC247" i="43"/>
  <c r="AD247" i="43"/>
  <c r="AC303" i="43"/>
  <c r="AD303" i="43"/>
  <c r="AC298" i="43"/>
  <c r="AD298" i="43"/>
  <c r="AC282" i="43"/>
  <c r="AD282" i="43"/>
  <c r="AC261" i="43"/>
  <c r="AD261" i="43"/>
  <c r="AC144" i="43"/>
  <c r="AD144" i="43"/>
  <c r="AC203" i="43"/>
  <c r="AD203" i="43"/>
  <c r="AC166" i="43"/>
  <c r="AD166" i="43"/>
  <c r="AC286" i="43"/>
  <c r="AD286" i="43"/>
  <c r="AC221" i="43"/>
  <c r="AD221" i="43"/>
  <c r="AD293" i="43"/>
  <c r="AC293" i="43"/>
  <c r="AC296" i="43"/>
  <c r="AD296" i="43"/>
  <c r="AC273" i="43"/>
  <c r="AD273" i="43"/>
  <c r="AD91" i="43"/>
  <c r="AC91" i="43"/>
  <c r="AH293" i="1"/>
  <c r="AG293" i="1"/>
  <c r="AG138" i="1"/>
  <c r="AH138" i="1"/>
  <c r="AG99" i="1"/>
  <c r="AH99" i="1"/>
  <c r="AG378" i="1"/>
  <c r="AH378" i="1"/>
  <c r="AD40" i="43"/>
  <c r="AC40" i="43"/>
  <c r="AC135" i="43"/>
  <c r="AD135" i="43"/>
  <c r="AH371" i="1"/>
  <c r="AG371" i="1"/>
  <c r="AG272" i="1"/>
  <c r="AH272" i="1"/>
  <c r="AH21" i="1"/>
  <c r="AG21" i="1"/>
  <c r="AD105" i="43"/>
  <c r="AC105" i="43"/>
  <c r="AG273" i="1"/>
  <c r="AH273" i="1"/>
  <c r="AH132" i="1"/>
  <c r="AG132" i="1"/>
  <c r="AG176" i="1"/>
  <c r="AH176" i="1"/>
  <c r="AH360" i="1"/>
  <c r="AG360" i="1"/>
  <c r="AH30" i="1"/>
  <c r="AG30" i="1"/>
  <c r="AG305" i="1"/>
  <c r="AH305" i="1"/>
  <c r="AH313" i="1"/>
  <c r="AG313" i="1"/>
  <c r="AG358" i="1"/>
  <c r="AH358" i="1"/>
  <c r="AH129" i="1"/>
  <c r="AG129" i="1"/>
  <c r="AH329" i="1"/>
  <c r="AG329" i="1"/>
  <c r="AG71" i="1"/>
  <c r="AH71" i="1"/>
  <c r="AH318" i="1"/>
  <c r="AG318" i="1"/>
  <c r="AH68" i="1"/>
  <c r="AG68" i="1"/>
  <c r="AH85" i="1"/>
  <c r="AG85" i="1"/>
  <c r="AG81" i="1"/>
  <c r="AH81" i="1"/>
  <c r="AG367" i="1"/>
  <c r="AH367" i="1"/>
  <c r="AG262" i="1"/>
  <c r="AH262" i="1"/>
  <c r="AH187" i="1"/>
  <c r="AG187" i="1"/>
  <c r="AG58" i="1"/>
  <c r="AH58" i="1"/>
  <c r="AG41" i="1"/>
  <c r="AH41" i="1"/>
  <c r="AG25" i="1"/>
  <c r="AH25" i="1"/>
  <c r="AG257" i="1"/>
  <c r="AH257" i="1"/>
  <c r="AG136" i="1"/>
  <c r="AH136" i="1"/>
  <c r="AG277" i="1"/>
  <c r="AH277" i="1"/>
  <c r="AG199" i="1"/>
  <c r="AH199" i="1"/>
  <c r="AG374" i="1"/>
  <c r="AH374" i="1"/>
  <c r="AG72" i="1"/>
  <c r="AH72" i="1"/>
  <c r="AG342" i="1"/>
  <c r="AH342" i="1"/>
  <c r="AG319" i="1"/>
  <c r="AH319" i="1"/>
  <c r="AG334" i="1"/>
  <c r="AH334" i="1"/>
  <c r="AG134" i="1"/>
  <c r="AH134" i="1"/>
  <c r="AG128" i="1"/>
  <c r="AH128" i="1"/>
  <c r="AD29" i="43"/>
  <c r="AC29" i="43"/>
  <c r="AD341" i="43"/>
  <c r="AC341" i="43"/>
  <c r="AD316" i="43"/>
  <c r="AC316" i="43"/>
  <c r="AD191" i="43"/>
  <c r="AC191" i="43"/>
  <c r="AC125" i="43"/>
  <c r="AD125" i="43"/>
  <c r="AD143" i="43"/>
  <c r="AC143" i="43"/>
  <c r="AD66" i="43"/>
  <c r="AC66" i="43"/>
  <c r="AD194" i="43"/>
  <c r="AC194" i="43"/>
  <c r="AD336" i="43"/>
  <c r="AC336" i="43"/>
  <c r="AD318" i="43"/>
  <c r="AC318" i="43"/>
  <c r="AD360" i="43"/>
  <c r="AC360" i="43"/>
  <c r="AC25" i="43"/>
  <c r="AD25" i="43"/>
  <c r="AD95" i="43"/>
  <c r="AC95" i="43"/>
  <c r="AD159" i="43"/>
  <c r="AC159" i="43"/>
  <c r="AD306" i="43"/>
  <c r="AC306" i="43"/>
  <c r="AC134" i="43"/>
  <c r="AD134" i="43"/>
  <c r="AC162" i="43"/>
  <c r="AD162" i="43"/>
  <c r="AC154" i="43"/>
  <c r="AD154" i="43"/>
  <c r="AC136" i="43"/>
  <c r="AD136" i="43"/>
  <c r="AC161" i="43"/>
  <c r="AD161" i="43"/>
  <c r="AC260" i="43"/>
  <c r="AD260" i="43"/>
  <c r="AC299" i="43"/>
  <c r="AD299" i="43"/>
  <c r="AC246" i="43"/>
  <c r="AD246" i="43"/>
  <c r="AC244" i="43"/>
  <c r="AD244" i="43"/>
  <c r="AC294" i="43"/>
  <c r="AD294" i="43"/>
  <c r="AC209" i="43"/>
  <c r="AD209" i="43"/>
  <c r="AC256" i="43"/>
  <c r="AD256" i="43"/>
  <c r="AC218" i="43"/>
  <c r="AD218" i="43"/>
  <c r="AC264" i="43"/>
  <c r="AD264" i="43"/>
  <c r="AH209" i="1"/>
  <c r="AG209" i="1"/>
  <c r="AG296" i="1"/>
  <c r="AH296" i="1"/>
  <c r="AG364" i="1"/>
  <c r="AH364" i="1"/>
  <c r="AG363" i="1"/>
  <c r="AH363" i="1"/>
  <c r="AD363" i="43"/>
  <c r="AC363" i="43"/>
  <c r="AD347" i="43"/>
  <c r="AC347" i="43"/>
  <c r="AC267" i="43"/>
  <c r="AD267" i="43"/>
  <c r="AH368" i="1"/>
  <c r="AG368" i="1"/>
  <c r="AG137" i="1"/>
  <c r="AH137" i="1"/>
  <c r="AH298" i="1"/>
  <c r="AG298" i="1"/>
  <c r="AH323" i="1"/>
  <c r="AG323" i="1"/>
  <c r="AG326" i="1"/>
  <c r="AH326" i="1"/>
  <c r="AH357" i="1"/>
  <c r="AG357" i="1"/>
  <c r="AH100" i="1"/>
  <c r="AG100" i="1"/>
  <c r="AH18" i="1"/>
  <c r="AG18" i="1"/>
  <c r="AH244" i="1"/>
  <c r="AG244" i="1"/>
  <c r="AG245" i="1"/>
  <c r="AH245" i="1"/>
  <c r="AG77" i="1"/>
  <c r="AH77" i="1"/>
  <c r="AH89" i="1"/>
  <c r="AG89" i="1"/>
  <c r="AG74" i="1"/>
  <c r="AH74" i="1"/>
  <c r="AH180" i="1"/>
  <c r="AG180" i="1"/>
  <c r="AH284" i="1"/>
  <c r="AG284" i="1"/>
  <c r="AG336" i="1"/>
  <c r="AH336" i="1"/>
  <c r="AH102" i="1"/>
  <c r="AG102" i="1"/>
  <c r="AH208" i="1"/>
  <c r="AG208" i="1"/>
  <c r="AG300" i="1"/>
  <c r="AH300" i="1"/>
  <c r="AG250" i="1"/>
  <c r="AH250" i="1"/>
  <c r="AG196" i="1"/>
  <c r="AH196" i="1"/>
  <c r="AG222" i="1"/>
  <c r="AH222" i="1"/>
  <c r="AG62" i="1"/>
  <c r="AH62" i="1"/>
  <c r="AG205" i="1"/>
  <c r="AH205" i="1"/>
  <c r="AG339" i="1"/>
  <c r="AH339" i="1"/>
  <c r="AG50" i="1"/>
  <c r="AH50" i="1"/>
  <c r="AG355" i="1"/>
  <c r="AH355" i="1"/>
  <c r="AG316" i="1"/>
  <c r="AH316" i="1"/>
  <c r="AG240" i="1"/>
  <c r="AH240" i="1"/>
  <c r="AG83" i="1"/>
  <c r="AH83" i="1"/>
  <c r="AG265" i="1"/>
  <c r="AH265" i="1"/>
  <c r="AD179" i="43"/>
  <c r="AC179" i="43"/>
  <c r="AD352" i="43"/>
  <c r="AC352" i="43"/>
  <c r="AD104" i="43"/>
  <c r="AC104" i="43"/>
  <c r="AD38" i="43"/>
  <c r="AC38" i="43"/>
  <c r="AD58" i="43"/>
  <c r="AC58" i="43"/>
  <c r="AD200" i="43"/>
  <c r="AC200" i="43"/>
  <c r="AD56" i="43"/>
  <c r="AC56" i="43"/>
  <c r="AD41" i="43"/>
  <c r="AC41" i="43"/>
  <c r="AD23" i="43"/>
  <c r="AC23" i="43"/>
  <c r="AD69" i="43"/>
  <c r="AC69" i="43"/>
  <c r="AD96" i="43"/>
  <c r="AC96" i="43"/>
  <c r="AC13" i="43"/>
  <c r="AD13" i="43"/>
  <c r="AD354" i="43"/>
  <c r="AC354" i="43"/>
  <c r="AC103" i="43"/>
  <c r="AD103" i="43"/>
  <c r="AD361" i="43"/>
  <c r="AC361" i="43"/>
  <c r="AC287" i="43"/>
  <c r="AD287" i="43"/>
  <c r="AC295" i="43"/>
  <c r="AD295" i="43"/>
  <c r="AC124" i="43"/>
  <c r="AD124" i="43"/>
  <c r="AC130" i="43"/>
  <c r="AD130" i="43"/>
  <c r="AC274" i="43"/>
  <c r="AD274" i="43"/>
  <c r="AC202" i="43"/>
  <c r="AD202" i="43"/>
  <c r="AC225" i="43"/>
  <c r="AD225" i="43"/>
  <c r="AC142" i="43"/>
  <c r="AD142" i="43"/>
  <c r="AC185" i="43"/>
  <c r="AD185" i="43"/>
  <c r="AC226" i="43"/>
  <c r="AD226" i="43"/>
  <c r="AC291" i="43"/>
  <c r="AD291" i="43"/>
  <c r="AC30" i="43"/>
  <c r="AD30" i="43"/>
  <c r="AC170" i="43"/>
  <c r="AD170" i="43"/>
  <c r="AC320" i="43"/>
  <c r="AD320" i="43"/>
  <c r="AC183" i="43"/>
  <c r="AD183" i="43"/>
  <c r="AG343" i="1"/>
  <c r="AH343" i="1"/>
  <c r="AG156" i="1"/>
  <c r="AH156" i="1"/>
  <c r="AD80" i="43"/>
  <c r="AC80" i="43"/>
  <c r="AC141" i="43"/>
  <c r="AD141" i="43"/>
  <c r="AH101" i="1"/>
  <c r="AG101" i="1"/>
  <c r="AH17" i="1"/>
  <c r="AG17" i="1"/>
  <c r="AH356" i="1"/>
  <c r="AG356" i="1"/>
  <c r="AH308" i="1"/>
  <c r="AG308" i="1"/>
  <c r="AH290" i="1"/>
  <c r="AG290" i="1"/>
  <c r="AH253" i="1"/>
  <c r="AG253" i="1"/>
  <c r="AG10" i="1"/>
  <c r="AH10" i="1"/>
  <c r="AG133" i="1"/>
  <c r="AH133" i="1"/>
  <c r="AG94" i="1"/>
  <c r="AH94" i="1"/>
  <c r="AG23" i="1"/>
  <c r="AH23" i="1"/>
  <c r="AG281" i="1"/>
  <c r="AH281" i="1"/>
  <c r="AH369" i="1"/>
  <c r="AG369" i="1"/>
  <c r="AG315" i="1"/>
  <c r="AH315" i="1"/>
  <c r="AG31" i="1"/>
  <c r="AH31" i="1"/>
  <c r="AG82" i="1"/>
  <c r="AH82" i="1"/>
  <c r="AG20" i="1"/>
  <c r="AH20" i="1"/>
  <c r="AH337" i="1"/>
  <c r="AG337" i="1"/>
  <c r="AG63" i="1"/>
  <c r="AH63" i="1"/>
  <c r="AG87" i="1"/>
  <c r="AH87" i="1"/>
  <c r="AG115" i="1"/>
  <c r="AH115" i="1"/>
  <c r="AG348" i="1"/>
  <c r="AH348" i="1"/>
  <c r="AG201" i="1"/>
  <c r="AH201" i="1"/>
  <c r="AG226" i="1"/>
  <c r="AH226" i="1"/>
  <c r="AG39" i="1"/>
  <c r="AH39" i="1"/>
  <c r="AG125" i="1"/>
  <c r="AH125" i="1"/>
  <c r="AG234" i="1"/>
  <c r="AH234" i="1"/>
  <c r="AG198" i="1"/>
  <c r="AH198" i="1"/>
  <c r="AG354" i="1"/>
  <c r="AH354" i="1"/>
  <c r="AG51" i="1"/>
  <c r="AH51" i="1"/>
  <c r="AG382" i="1"/>
  <c r="AH382" i="1"/>
  <c r="AD112" i="43"/>
  <c r="AC112" i="43"/>
  <c r="AD328" i="43"/>
  <c r="AC328" i="43"/>
  <c r="AD82" i="43"/>
  <c r="AC82" i="43"/>
  <c r="AD37" i="43"/>
  <c r="AC37" i="43"/>
  <c r="AD109" i="43"/>
  <c r="AC109" i="43"/>
  <c r="AD220" i="43"/>
  <c r="AC220" i="43"/>
  <c r="AD45" i="43"/>
  <c r="AC45" i="43"/>
  <c r="AD224" i="43"/>
  <c r="AC224" i="43"/>
  <c r="AD325" i="43"/>
  <c r="AC325" i="43"/>
  <c r="AC326" i="43"/>
  <c r="AD326" i="43"/>
  <c r="AD27" i="43"/>
  <c r="AC27" i="43"/>
  <c r="AC252" i="43"/>
  <c r="AD252" i="43"/>
  <c r="AD111" i="43"/>
  <c r="AC111" i="43"/>
  <c r="AD249" i="43"/>
  <c r="AC249" i="43"/>
  <c r="AD276" i="43"/>
  <c r="AC276" i="43"/>
  <c r="AC193" i="43"/>
  <c r="AD193" i="43"/>
  <c r="AC128" i="43"/>
  <c r="AD128" i="43"/>
  <c r="AC236" i="43"/>
  <c r="AD236" i="43"/>
  <c r="AC329" i="43"/>
  <c r="AD329" i="43"/>
  <c r="AC6" i="43"/>
  <c r="AD6" i="43"/>
  <c r="AC239" i="43"/>
  <c r="AD239" i="43"/>
  <c r="AC126" i="43"/>
  <c r="AD126" i="43"/>
  <c r="AC265" i="43"/>
  <c r="AD265" i="43"/>
  <c r="AC114" i="43"/>
  <c r="AD114" i="43"/>
  <c r="AC181" i="43"/>
  <c r="AD181" i="43"/>
  <c r="AC127" i="43"/>
  <c r="AD127" i="43"/>
  <c r="AC269" i="43"/>
  <c r="AD269" i="43"/>
  <c r="AC77" i="43"/>
  <c r="AD77" i="43"/>
  <c r="AC157" i="43"/>
  <c r="AD157" i="43"/>
  <c r="AC97" i="43"/>
  <c r="AD97" i="43"/>
  <c r="AH218" i="1"/>
  <c r="AG218" i="1"/>
  <c r="AG177" i="1"/>
  <c r="AH177" i="1"/>
  <c r="AD53" i="43"/>
  <c r="AC53" i="43"/>
  <c r="AH221" i="1"/>
  <c r="AG221" i="1"/>
  <c r="AG183" i="1"/>
  <c r="AH183" i="1"/>
  <c r="AH294" i="1"/>
  <c r="AG294" i="1"/>
  <c r="AD24" i="43"/>
  <c r="AC24" i="43"/>
  <c r="AG75" i="1"/>
  <c r="AH75" i="1"/>
  <c r="AG233" i="1"/>
  <c r="AH233" i="1"/>
  <c r="AH207" i="1"/>
  <c r="AG207" i="1"/>
  <c r="AH166" i="1"/>
  <c r="AG166" i="1"/>
  <c r="AH188" i="1"/>
  <c r="AG188" i="1"/>
  <c r="AH186" i="1"/>
  <c r="AG186" i="1"/>
  <c r="AH302" i="1"/>
  <c r="AG302" i="1"/>
  <c r="AH370" i="1"/>
  <c r="AG370" i="1"/>
  <c r="AH289" i="1"/>
  <c r="AG289" i="1"/>
  <c r="AH320" i="1"/>
  <c r="AG320" i="1"/>
  <c r="AH7" i="1"/>
  <c r="AG7" i="1"/>
  <c r="AH60" i="1"/>
  <c r="AG60" i="1"/>
  <c r="AH55" i="1"/>
  <c r="AG55" i="1"/>
  <c r="AG263" i="1"/>
  <c r="AH263" i="1"/>
  <c r="AH66" i="1"/>
  <c r="AG66" i="1"/>
  <c r="AH109" i="1"/>
  <c r="AG109" i="1"/>
  <c r="AH229" i="1"/>
  <c r="AG229" i="1"/>
  <c r="AH283" i="1"/>
  <c r="AG283" i="1"/>
  <c r="AH330" i="1"/>
  <c r="AG330" i="1"/>
  <c r="AG79" i="1"/>
  <c r="AH79" i="1"/>
  <c r="AG140" i="1"/>
  <c r="AH140" i="1"/>
  <c r="AH335" i="1"/>
  <c r="AG335" i="1"/>
  <c r="AH49" i="1"/>
  <c r="AG49" i="1"/>
  <c r="AG142" i="1"/>
  <c r="AH142" i="1"/>
  <c r="AH230" i="1"/>
  <c r="AG230" i="1"/>
  <c r="AG225" i="1"/>
  <c r="AH225" i="1"/>
  <c r="AG90" i="1"/>
  <c r="AH90" i="1"/>
  <c r="AG256" i="1"/>
  <c r="AH256" i="1"/>
  <c r="AG143" i="1"/>
  <c r="AH143" i="1"/>
  <c r="AG174" i="1"/>
  <c r="AH174" i="1"/>
  <c r="AG73" i="1"/>
  <c r="AH73" i="1"/>
  <c r="AG276" i="1"/>
  <c r="AH276" i="1"/>
  <c r="AG387" i="1"/>
  <c r="AH387" i="1"/>
  <c r="AG388" i="1"/>
  <c r="AH388" i="1"/>
  <c r="AG95" i="1"/>
  <c r="AH95" i="1"/>
  <c r="AG349" i="1"/>
  <c r="AH349" i="1"/>
  <c r="AG386" i="1"/>
  <c r="AH386" i="1"/>
  <c r="AG197" i="1"/>
  <c r="AH197" i="1"/>
  <c r="AG206" i="1"/>
  <c r="AH206" i="1"/>
  <c r="AD335" i="43"/>
  <c r="AC335" i="43"/>
  <c r="AD129" i="43"/>
  <c r="AC129" i="43"/>
  <c r="AD120" i="43"/>
  <c r="AC120" i="43"/>
  <c r="AC196" i="43"/>
  <c r="AD196" i="43"/>
  <c r="AD153" i="43"/>
  <c r="AC153" i="43"/>
  <c r="AD148" i="43"/>
  <c r="AC148" i="43"/>
  <c r="AD189" i="43"/>
  <c r="AC189" i="43"/>
  <c r="AC36" i="43"/>
  <c r="AD36" i="43"/>
  <c r="AD132" i="43"/>
  <c r="AC132" i="43"/>
  <c r="AD222" i="43"/>
  <c r="AC222" i="43"/>
  <c r="AD75" i="43"/>
  <c r="AC75" i="43"/>
  <c r="AC319" i="43"/>
  <c r="AD319" i="43"/>
  <c r="AD22" i="43"/>
  <c r="AC22" i="43"/>
  <c r="AD359" i="43"/>
  <c r="AC359" i="43"/>
  <c r="AD206" i="43"/>
  <c r="AC206" i="43"/>
  <c r="AC300" i="43"/>
  <c r="AD300" i="43"/>
  <c r="AC151" i="43"/>
  <c r="AD151" i="43"/>
  <c r="AC334" i="43"/>
  <c r="AD334" i="43"/>
  <c r="AC133" i="43"/>
  <c r="AD133" i="43"/>
  <c r="AC255" i="43"/>
  <c r="AD255" i="43"/>
  <c r="AC182" i="43"/>
  <c r="AD182" i="43"/>
  <c r="AC245" i="43"/>
  <c r="AD245" i="43"/>
  <c r="AC345" i="43"/>
  <c r="AD345" i="43"/>
  <c r="AC301" i="43"/>
  <c r="AD301" i="43"/>
  <c r="AC357" i="43"/>
  <c r="AD357" i="43"/>
  <c r="AC234" i="43"/>
  <c r="AD234" i="43"/>
  <c r="AC305" i="43"/>
  <c r="AD305" i="43"/>
  <c r="AC275" i="43"/>
  <c r="AD275" i="43"/>
  <c r="AC212" i="43"/>
  <c r="AD212" i="43"/>
  <c r="AD171" i="43"/>
  <c r="AC171" i="43"/>
  <c r="AI6" i="1"/>
  <c r="AI200" i="1" l="1"/>
  <c r="AI127" i="1"/>
  <c r="AU1" i="1"/>
  <c r="AI67" i="1"/>
  <c r="AI274" i="1"/>
  <c r="AI237" i="1"/>
  <c r="AW2" i="1"/>
  <c r="AI204" i="1"/>
  <c r="AI122" i="1"/>
  <c r="AZ1" i="1"/>
  <c r="AI270" i="1"/>
  <c r="AI242" i="1"/>
  <c r="AI114" i="1"/>
  <c r="AI161" i="1"/>
  <c r="AI341" i="1"/>
  <c r="AI9" i="1"/>
  <c r="AT2" i="1"/>
  <c r="E36" i="5"/>
  <c r="AI88" i="1"/>
  <c r="AI352" i="1"/>
  <c r="BF1" i="43"/>
  <c r="AI98" i="1"/>
  <c r="AI195" i="1"/>
  <c r="AI374" i="1"/>
  <c r="AI151" i="1"/>
  <c r="AI209" i="1"/>
  <c r="AI369" i="1"/>
  <c r="AI253" i="1"/>
  <c r="AI121" i="1"/>
  <c r="AI89" i="1"/>
  <c r="AK1" i="43"/>
  <c r="AI335" i="1"/>
  <c r="AI109" i="1"/>
  <c r="AI320" i="1"/>
  <c r="AI166" i="1"/>
  <c r="AI41" i="1"/>
  <c r="AI358" i="1"/>
  <c r="AI287" i="1"/>
  <c r="AI208" i="1"/>
  <c r="AI128" i="1"/>
  <c r="AI357" i="1"/>
  <c r="AI206" i="1"/>
  <c r="AI387" i="1"/>
  <c r="AI90" i="1"/>
  <c r="AI140" i="1"/>
  <c r="AI51" i="1"/>
  <c r="AI226" i="1"/>
  <c r="AI281" i="1"/>
  <c r="AI240" i="1"/>
  <c r="AI62" i="1"/>
  <c r="AI77" i="1"/>
  <c r="AI326" i="1"/>
  <c r="AI85" i="1"/>
  <c r="AI132" i="1"/>
  <c r="AI11" i="1"/>
  <c r="F36" i="5"/>
  <c r="AU2" i="1"/>
  <c r="AI59" i="1"/>
  <c r="AI261" i="1"/>
  <c r="AI264" i="1"/>
  <c r="AI309" i="1"/>
  <c r="AZ2" i="1"/>
  <c r="K36" i="5"/>
  <c r="AI54" i="1"/>
  <c r="AI135" i="1"/>
  <c r="AI317" i="1"/>
  <c r="AT1" i="1"/>
  <c r="AI325" i="1"/>
  <c r="AI278" i="1"/>
  <c r="AI297" i="1"/>
  <c r="AI306" i="1"/>
  <c r="AI14" i="1"/>
  <c r="I36" i="5"/>
  <c r="AX2" i="1"/>
  <c r="AI159" i="1"/>
  <c r="AI235" i="1"/>
  <c r="AI26" i="1"/>
  <c r="AI312" i="1"/>
  <c r="AI192" i="1"/>
  <c r="AI171" i="1"/>
  <c r="AI34" i="1"/>
  <c r="AI145" i="1"/>
  <c r="AI66" i="1"/>
  <c r="AI337" i="1"/>
  <c r="AI290" i="1"/>
  <c r="AI102" i="1"/>
  <c r="AI134" i="1"/>
  <c r="AI199" i="1"/>
  <c r="AI58" i="1"/>
  <c r="AI273" i="1"/>
  <c r="AI220" i="1"/>
  <c r="AI124" i="1"/>
  <c r="AI173" i="1"/>
  <c r="AI147" i="1"/>
  <c r="AI61" i="1"/>
  <c r="AI165" i="1"/>
  <c r="AI347" i="1"/>
  <c r="BE1" i="1"/>
  <c r="AI258" i="1"/>
  <c r="AI184" i="1"/>
  <c r="AI146" i="1"/>
  <c r="Q36" i="5"/>
  <c r="AI16" i="1"/>
  <c r="BF2" i="1"/>
  <c r="AI169" i="1"/>
  <c r="BD1" i="43"/>
  <c r="AI338" i="1"/>
  <c r="AI160" i="1"/>
  <c r="AI86" i="1"/>
  <c r="BI1" i="43"/>
  <c r="AI35" i="1"/>
  <c r="AI268" i="1"/>
  <c r="AX1" i="1"/>
  <c r="AI314" i="1"/>
  <c r="AY1" i="43"/>
  <c r="AI289" i="1"/>
  <c r="AI221" i="1"/>
  <c r="AI197" i="1"/>
  <c r="AI276" i="1"/>
  <c r="AI225" i="1"/>
  <c r="AI79" i="1"/>
  <c r="AI263" i="1"/>
  <c r="AI233" i="1"/>
  <c r="AR1" i="43"/>
  <c r="AI354" i="1"/>
  <c r="AI201" i="1"/>
  <c r="M36" i="5"/>
  <c r="AI20" i="1"/>
  <c r="BB2" i="1"/>
  <c r="AI23" i="1"/>
  <c r="AI156" i="1"/>
  <c r="AI316" i="1"/>
  <c r="AI222" i="1"/>
  <c r="AI336" i="1"/>
  <c r="AI245" i="1"/>
  <c r="AI68" i="1"/>
  <c r="AI313" i="1"/>
  <c r="AI126" i="1"/>
  <c r="AI12" i="1"/>
  <c r="AI223" i="1"/>
  <c r="AI331" i="1"/>
  <c r="AI44" i="1"/>
  <c r="BE2" i="1"/>
  <c r="AI15" i="1"/>
  <c r="P36" i="5"/>
  <c r="AI155" i="1"/>
  <c r="BF1" i="1"/>
  <c r="AI241" i="1"/>
  <c r="AI42" i="1"/>
  <c r="AQ1" i="43"/>
  <c r="AI303" i="1"/>
  <c r="AI32" i="1"/>
  <c r="AV1" i="43"/>
  <c r="AI307" i="1"/>
  <c r="AI157" i="1"/>
  <c r="AI377" i="1"/>
  <c r="AV1" i="1"/>
  <c r="AI38" i="1"/>
  <c r="AI106" i="1"/>
  <c r="AI123" i="1"/>
  <c r="AI359" i="1"/>
  <c r="AI351" i="1"/>
  <c r="AI353" i="1"/>
  <c r="AI344" i="1"/>
  <c r="AI295" i="1"/>
  <c r="AL1" i="43"/>
  <c r="AI207" i="1"/>
  <c r="AI370" i="1"/>
  <c r="BE1" i="43"/>
  <c r="BB1" i="1"/>
  <c r="AI308" i="1"/>
  <c r="AI323" i="1"/>
  <c r="AP1" i="43"/>
  <c r="AI334" i="1"/>
  <c r="AI277" i="1"/>
  <c r="AI305" i="1"/>
  <c r="AI378" i="1"/>
  <c r="AI191" i="1"/>
  <c r="AI231" i="1"/>
  <c r="AI301" i="1"/>
  <c r="AI291" i="1"/>
  <c r="J36" i="5"/>
  <c r="AY2" i="1"/>
  <c r="AI29" i="1"/>
  <c r="AI260" i="1"/>
  <c r="AI189" i="1"/>
  <c r="AI116" i="1"/>
  <c r="AI167" i="1"/>
  <c r="AI28" i="1"/>
  <c r="BD1" i="1"/>
  <c r="AI33" i="1"/>
  <c r="AI78" i="1"/>
  <c r="AI69" i="1"/>
  <c r="G36" i="5"/>
  <c r="AV2" i="1"/>
  <c r="AI45" i="1"/>
  <c r="AI224" i="1"/>
  <c r="AI168" i="1"/>
  <c r="AI266" i="1"/>
  <c r="AI73" i="1"/>
  <c r="AI177" i="1"/>
  <c r="AI198" i="1"/>
  <c r="AI348" i="1"/>
  <c r="AI82" i="1"/>
  <c r="AI94" i="1"/>
  <c r="AI343" i="1"/>
  <c r="AI355" i="1"/>
  <c r="AI196" i="1"/>
  <c r="AI363" i="1"/>
  <c r="BC1" i="43"/>
  <c r="AI187" i="1"/>
  <c r="AI318" i="1"/>
  <c r="AI267" i="1"/>
  <c r="AI19" i="1"/>
  <c r="AI202" i="1"/>
  <c r="AY1" i="1"/>
  <c r="AI113" i="1"/>
  <c r="AI269" i="1"/>
  <c r="AI182" i="1"/>
  <c r="AI46" i="1"/>
  <c r="AI304" i="1"/>
  <c r="AI249" i="1"/>
  <c r="AI216" i="1"/>
  <c r="AI150" i="1"/>
  <c r="O36" i="5"/>
  <c r="BD2" i="1"/>
  <c r="AI5" i="1"/>
  <c r="AI372" i="1"/>
  <c r="AI162" i="1"/>
  <c r="AI91" i="1"/>
  <c r="AI238" i="1"/>
  <c r="AI215" i="1"/>
  <c r="AZ1" i="43"/>
  <c r="AI76" i="1"/>
  <c r="AI389" i="1"/>
  <c r="AI332" i="1"/>
  <c r="AI232" i="1"/>
  <c r="AI164" i="1"/>
  <c r="AI230" i="1"/>
  <c r="AI330" i="1"/>
  <c r="AI55" i="1"/>
  <c r="AI302" i="1"/>
  <c r="AI356" i="1"/>
  <c r="AI284" i="1"/>
  <c r="AI244" i="1"/>
  <c r="AI298" i="1"/>
  <c r="BG1" i="43"/>
  <c r="BH1" i="43"/>
  <c r="AI319" i="1"/>
  <c r="AI136" i="1"/>
  <c r="AI262" i="1"/>
  <c r="AI71" i="1"/>
  <c r="AI99" i="1"/>
  <c r="AI362" i="1"/>
  <c r="AI286" i="1"/>
  <c r="AI252" i="1"/>
  <c r="AI292" i="1"/>
  <c r="AI40" i="1"/>
  <c r="AI153" i="1"/>
  <c r="AI384" i="1"/>
  <c r="AI217" i="1"/>
  <c r="AI148" i="1"/>
  <c r="AI280" i="1"/>
  <c r="AI57" i="1"/>
  <c r="AI227" i="1"/>
  <c r="AI170" i="1"/>
  <c r="AI111" i="1"/>
  <c r="AI96" i="1"/>
  <c r="AI24" i="1"/>
  <c r="AI350" i="1"/>
  <c r="AI53" i="1"/>
  <c r="AI254" i="1"/>
  <c r="AM1" i="43"/>
  <c r="BA1" i="1"/>
  <c r="AG390" i="1"/>
  <c r="AI210" i="1"/>
  <c r="AI203" i="1"/>
  <c r="AI259" i="1"/>
  <c r="AI75" i="1"/>
  <c r="AI349" i="1"/>
  <c r="AI174" i="1"/>
  <c r="AI142" i="1"/>
  <c r="AI234" i="1"/>
  <c r="AI115" i="1"/>
  <c r="AI31" i="1"/>
  <c r="AI133" i="1"/>
  <c r="AI50" i="1"/>
  <c r="AI250" i="1"/>
  <c r="AI137" i="1"/>
  <c r="AI364" i="1"/>
  <c r="AT1" i="43"/>
  <c r="AU1" i="43"/>
  <c r="AI30" i="1"/>
  <c r="AI21" i="1"/>
  <c r="AI279" i="1"/>
  <c r="AI107" i="1"/>
  <c r="AI179" i="1"/>
  <c r="AI340" i="1"/>
  <c r="AI144" i="1"/>
  <c r="AI152" i="1"/>
  <c r="AI345" i="1"/>
  <c r="AI236" i="1"/>
  <c r="AI80" i="1"/>
  <c r="AI361" i="1"/>
  <c r="AI365" i="1"/>
  <c r="AI92" i="1"/>
  <c r="AI47" i="1"/>
  <c r="AI193" i="1"/>
  <c r="AI175" i="1"/>
  <c r="L36" i="5"/>
  <c r="AI4" i="1"/>
  <c r="BA2" i="1"/>
  <c r="AH390" i="1"/>
  <c r="AI36" i="1"/>
  <c r="AI247" i="1"/>
  <c r="AI386" i="1"/>
  <c r="AI283" i="1"/>
  <c r="AI60" i="1"/>
  <c r="AI186" i="1"/>
  <c r="AI218" i="1"/>
  <c r="AI17" i="1"/>
  <c r="AI180" i="1"/>
  <c r="AI18" i="1"/>
  <c r="AI342" i="1"/>
  <c r="AI257" i="1"/>
  <c r="AI367" i="1"/>
  <c r="AI272" i="1"/>
  <c r="AI138" i="1"/>
  <c r="AI385" i="1"/>
  <c r="AI158" i="1"/>
  <c r="AI70" i="1"/>
  <c r="AI194" i="1"/>
  <c r="AI27" i="1"/>
  <c r="AI288" i="1"/>
  <c r="AI190" i="1"/>
  <c r="AI251" i="1"/>
  <c r="BA1" i="43"/>
  <c r="AI131" i="1"/>
  <c r="AI178" i="1"/>
  <c r="AI324" i="1"/>
  <c r="AI255" i="1"/>
  <c r="AI185" i="1"/>
  <c r="AI181" i="1"/>
  <c r="AI383" i="1"/>
  <c r="AI333" i="1"/>
  <c r="AI271" i="1"/>
  <c r="AI172" i="1"/>
  <c r="AI8" i="1"/>
  <c r="AI379" i="1"/>
  <c r="AI117" i="1"/>
  <c r="AI248" i="1"/>
  <c r="AI95" i="1"/>
  <c r="AI143" i="1"/>
  <c r="AW1" i="1"/>
  <c r="AI125" i="1"/>
  <c r="AI87" i="1"/>
  <c r="AI315" i="1"/>
  <c r="AI10" i="1"/>
  <c r="AO1" i="43"/>
  <c r="AI265" i="1"/>
  <c r="AI339" i="1"/>
  <c r="AI300" i="1"/>
  <c r="AI74" i="1"/>
  <c r="AI296" i="1"/>
  <c r="AI329" i="1"/>
  <c r="AI360" i="1"/>
  <c r="AI282" i="1"/>
  <c r="AI322" i="1"/>
  <c r="AI311" i="1"/>
  <c r="AI110" i="1"/>
  <c r="AN1" i="43"/>
  <c r="AI104" i="1"/>
  <c r="AI243" i="1"/>
  <c r="AI380" i="1"/>
  <c r="AI139" i="1"/>
  <c r="AI48" i="1"/>
  <c r="AI228" i="1"/>
  <c r="AI52" i="1"/>
  <c r="AI239" i="1"/>
  <c r="AI112" i="1"/>
  <c r="AI37" i="1"/>
  <c r="AI149" i="1"/>
  <c r="AI118" i="1"/>
  <c r="AI49" i="1"/>
  <c r="AI229" i="1"/>
  <c r="AI7" i="1"/>
  <c r="AI188" i="1"/>
  <c r="AI294" i="1"/>
  <c r="AI101" i="1"/>
  <c r="BB1" i="43"/>
  <c r="AI100" i="1"/>
  <c r="AI368" i="1"/>
  <c r="AI72" i="1"/>
  <c r="BC2" i="1"/>
  <c r="N36" i="5"/>
  <c r="AI25" i="1"/>
  <c r="AI81" i="1"/>
  <c r="AI176" i="1"/>
  <c r="AI141" i="1"/>
  <c r="AI119" i="1"/>
  <c r="AI84" i="1"/>
  <c r="AI93" i="1"/>
  <c r="AI120" i="1"/>
  <c r="AI381" i="1"/>
  <c r="AI376" i="1"/>
  <c r="AI213" i="1"/>
  <c r="AI154" i="1"/>
  <c r="AC367" i="43"/>
  <c r="AW1" i="43"/>
  <c r="AI327" i="1"/>
  <c r="AI285" i="1"/>
  <c r="AI346" i="1"/>
  <c r="AI22" i="1"/>
  <c r="H36" i="5"/>
  <c r="AX1" i="43"/>
  <c r="AI388" i="1"/>
  <c r="AI256" i="1"/>
  <c r="AI183" i="1"/>
  <c r="AI382" i="1"/>
  <c r="AI39" i="1"/>
  <c r="AI63" i="1"/>
  <c r="AI83" i="1"/>
  <c r="AI205" i="1"/>
  <c r="BC1" i="1"/>
  <c r="AI129" i="1"/>
  <c r="AI371" i="1"/>
  <c r="AI293" i="1"/>
  <c r="AI275" i="1"/>
  <c r="AI366" i="1"/>
  <c r="AI321" i="1"/>
  <c r="AI130" i="1"/>
  <c r="AI13" i="1"/>
  <c r="AI219" i="1"/>
  <c r="AI103" i="1"/>
  <c r="AI211" i="1"/>
  <c r="AI214" i="1"/>
  <c r="AI310" i="1"/>
  <c r="AI212" i="1"/>
  <c r="AI108" i="1"/>
  <c r="AJ1" i="43"/>
  <c r="AD367" i="43"/>
  <c r="AI64" i="1"/>
  <c r="AI56" i="1"/>
  <c r="AI299" i="1"/>
  <c r="AS1" i="43"/>
  <c r="AI97" i="1"/>
  <c r="AI328" i="1"/>
  <c r="AI105" i="1"/>
  <c r="AI163" i="1"/>
  <c r="AI43" i="1"/>
  <c r="AI246" i="1"/>
  <c r="AI65" i="1"/>
  <c r="H37" i="5" l="1"/>
  <c r="I37" i="5"/>
  <c r="L37" i="5"/>
  <c r="M37" i="5"/>
  <c r="N37" i="5"/>
  <c r="AI390" i="1"/>
  <c r="E37" i="5"/>
  <c r="J37" i="5"/>
  <c r="K37" i="5"/>
  <c r="F37" i="5"/>
  <c r="O37" i="5"/>
  <c r="Q37" i="5"/>
  <c r="G37" i="5"/>
  <c r="P37" i="5"/>
  <c r="I43" i="5" l="1"/>
  <c r="I40" i="5"/>
  <c r="I41" i="5" s="1"/>
  <c r="I42" i="5" s="1"/>
  <c r="K43" i="5"/>
  <c r="K40" i="5"/>
  <c r="K41" i="5" s="1"/>
  <c r="K42" i="5" s="1"/>
  <c r="L43" i="5"/>
  <c r="L40" i="5"/>
  <c r="L41" i="5" s="1"/>
  <c r="L42" i="5" s="1"/>
  <c r="H43" i="5"/>
  <c r="H40" i="5"/>
  <c r="H41" i="5" s="1"/>
  <c r="H42" i="5" s="1"/>
  <c r="G43" i="5"/>
  <c r="G40" i="5"/>
  <c r="G41" i="5" s="1"/>
  <c r="G42" i="5" s="1"/>
  <c r="E40" i="5"/>
  <c r="E41" i="5" s="1"/>
  <c r="E42" i="5" s="1"/>
  <c r="E43" i="5"/>
  <c r="N43" i="5"/>
  <c r="N40" i="5"/>
  <c r="N41" i="5" s="1"/>
  <c r="N42" i="5" s="1"/>
  <c r="M43" i="5"/>
  <c r="M40" i="5"/>
  <c r="M41" i="5" s="1"/>
  <c r="M42" i="5" s="1"/>
  <c r="O43" i="5"/>
  <c r="O40" i="5"/>
  <c r="O41" i="5" s="1"/>
  <c r="O42" i="5" s="1"/>
  <c r="Q43" i="5"/>
  <c r="Q40" i="5"/>
  <c r="Q41" i="5" s="1"/>
  <c r="Q42" i="5" s="1"/>
  <c r="J43" i="5"/>
  <c r="J40" i="5"/>
  <c r="J41" i="5" s="1"/>
  <c r="J42" i="5" s="1"/>
  <c r="F43" i="5"/>
  <c r="F40" i="5"/>
  <c r="F41" i="5" s="1"/>
  <c r="F42" i="5" s="1"/>
  <c r="P43" i="5"/>
  <c r="P40" i="5"/>
  <c r="P41" i="5" s="1"/>
  <c r="P42" i="5" s="1"/>
  <c r="R42" i="5" l="1"/>
  <c r="AJ19" i="43"/>
  <c r="BJ19" i="43" s="1"/>
  <c r="AJ5" i="43"/>
  <c r="BJ5" i="43" s="1"/>
  <c r="AJ10" i="43"/>
  <c r="BJ10" i="43" s="1"/>
  <c r="AJ8" i="43"/>
  <c r="BJ8" i="43" s="1"/>
  <c r="AJ4" i="43"/>
  <c r="BJ4" i="43" s="1"/>
  <c r="AJ21" i="43"/>
  <c r="BJ21" i="43" s="1"/>
  <c r="AJ7" i="43"/>
  <c r="BJ7" i="43" s="1"/>
  <c r="AJ6" i="43"/>
  <c r="BJ6" i="43" s="1"/>
  <c r="AJ12" i="43"/>
  <c r="BJ12" i="43" s="1"/>
  <c r="AJ14" i="43"/>
  <c r="BJ14" i="43" s="1"/>
  <c r="AJ13" i="43"/>
  <c r="BJ13" i="43" s="1"/>
  <c r="AJ11" i="43"/>
  <c r="BJ11" i="43" s="1"/>
  <c r="AJ17" i="43"/>
  <c r="BJ17" i="43" s="1"/>
  <c r="AJ15" i="43"/>
  <c r="BJ15" i="43" s="1"/>
  <c r="AJ20" i="43"/>
  <c r="BJ20" i="43" s="1"/>
  <c r="AJ16" i="43"/>
  <c r="BJ16" i="43" s="1"/>
  <c r="AJ18" i="43"/>
  <c r="BJ18" i="43" s="1"/>
  <c r="AJ3" i="43"/>
  <c r="AJ9" i="43"/>
  <c r="BJ9" i="43" s="1"/>
  <c r="AK37" i="43"/>
  <c r="BJ37" i="43" s="1"/>
  <c r="AK40" i="43"/>
  <c r="BJ40" i="43" s="1"/>
  <c r="AK54" i="43"/>
  <c r="BJ54" i="43" s="1"/>
  <c r="AK42" i="43"/>
  <c r="BJ42" i="43" s="1"/>
  <c r="AK23" i="43"/>
  <c r="BJ23" i="43" s="1"/>
  <c r="AK34" i="43"/>
  <c r="BJ34" i="43" s="1"/>
  <c r="AK57" i="43"/>
  <c r="BJ57" i="43" s="1"/>
  <c r="AK38" i="43"/>
  <c r="BJ38" i="43" s="1"/>
  <c r="AK53" i="43"/>
  <c r="BJ53" i="43" s="1"/>
  <c r="AK25" i="43"/>
  <c r="BJ25" i="43" s="1"/>
  <c r="AK30" i="43"/>
  <c r="BJ30" i="43" s="1"/>
  <c r="AK59" i="43"/>
  <c r="BJ59" i="43" s="1"/>
  <c r="AK56" i="43"/>
  <c r="BJ56" i="43" s="1"/>
  <c r="AK41" i="43"/>
  <c r="BJ41" i="43" s="1"/>
  <c r="AK44" i="43"/>
  <c r="BJ44" i="43" s="1"/>
  <c r="AK43" i="43"/>
  <c r="BJ43" i="43" s="1"/>
  <c r="AK49" i="43"/>
  <c r="BJ49" i="43" s="1"/>
  <c r="AK51" i="43"/>
  <c r="BJ51" i="43" s="1"/>
  <c r="AK32" i="43"/>
  <c r="BJ32" i="43" s="1"/>
  <c r="AK33" i="43"/>
  <c r="BJ33" i="43" s="1"/>
  <c r="AK45" i="43"/>
  <c r="BJ45" i="43" s="1"/>
  <c r="AK47" i="43"/>
  <c r="BJ47" i="43" s="1"/>
  <c r="AK35" i="43"/>
  <c r="BJ35" i="43" s="1"/>
  <c r="AK26" i="43"/>
  <c r="BJ26" i="43" s="1"/>
  <c r="AK55" i="43"/>
  <c r="BJ55" i="43" s="1"/>
  <c r="AK28" i="43"/>
  <c r="BJ28" i="43" s="1"/>
  <c r="AK24" i="43"/>
  <c r="BJ24" i="43" s="1"/>
  <c r="AK36" i="43"/>
  <c r="BJ36" i="43" s="1"/>
  <c r="AK29" i="43"/>
  <c r="BJ29" i="43" s="1"/>
  <c r="AK39" i="43"/>
  <c r="BJ39" i="43" s="1"/>
  <c r="AK52" i="43"/>
  <c r="BJ52" i="43" s="1"/>
  <c r="AK50" i="43"/>
  <c r="BJ50" i="43" s="1"/>
  <c r="AK48" i="43"/>
  <c r="BJ48" i="43" s="1"/>
  <c r="AK46" i="43"/>
  <c r="BJ46" i="43" s="1"/>
  <c r="AK31" i="43"/>
  <c r="BJ31" i="43" s="1"/>
  <c r="AK58" i="43"/>
  <c r="BJ58" i="43" s="1"/>
  <c r="AK27" i="43"/>
  <c r="BJ27" i="43" s="1"/>
  <c r="AK22" i="43"/>
  <c r="AT309" i="43"/>
  <c r="BJ309" i="43" s="1"/>
  <c r="AT306" i="43"/>
  <c r="AT315" i="43"/>
  <c r="BJ315" i="43" s="1"/>
  <c r="AT314" i="43"/>
  <c r="BJ314" i="43" s="1"/>
  <c r="AT308" i="43"/>
  <c r="BJ308" i="43" s="1"/>
  <c r="AT307" i="43"/>
  <c r="BJ307" i="43" s="1"/>
  <c r="AT311" i="43"/>
  <c r="BJ311" i="43" s="1"/>
  <c r="AT310" i="43"/>
  <c r="BJ310" i="43" s="1"/>
  <c r="AT312" i="43"/>
  <c r="BJ312" i="43" s="1"/>
  <c r="AT313" i="43"/>
  <c r="BJ313" i="43" s="1"/>
  <c r="R43" i="5"/>
  <c r="AP140" i="43"/>
  <c r="BJ140" i="43" s="1"/>
  <c r="AP141" i="43"/>
  <c r="BJ141" i="43" s="1"/>
  <c r="AP147" i="43"/>
  <c r="BJ147" i="43" s="1"/>
  <c r="AP150" i="43"/>
  <c r="BJ150" i="43" s="1"/>
  <c r="AP146" i="43"/>
  <c r="BJ146" i="43" s="1"/>
  <c r="AP155" i="43"/>
  <c r="BJ155" i="43" s="1"/>
  <c r="AP136" i="43"/>
  <c r="BJ136" i="43" s="1"/>
  <c r="AP142" i="43"/>
  <c r="BJ142" i="43" s="1"/>
  <c r="AP138" i="43"/>
  <c r="BJ138" i="43" s="1"/>
  <c r="AP145" i="43"/>
  <c r="BJ145" i="43" s="1"/>
  <c r="AP153" i="43"/>
  <c r="BJ153" i="43" s="1"/>
  <c r="AP154" i="43"/>
  <c r="BJ154" i="43" s="1"/>
  <c r="AP139" i="43"/>
  <c r="BJ139" i="43" s="1"/>
  <c r="AP149" i="43"/>
  <c r="BJ149" i="43" s="1"/>
  <c r="AP148" i="43"/>
  <c r="BJ148" i="43" s="1"/>
  <c r="AP137" i="43"/>
  <c r="BJ137" i="43" s="1"/>
  <c r="AP151" i="43"/>
  <c r="BJ151" i="43" s="1"/>
  <c r="AP152" i="43"/>
  <c r="BJ152" i="43" s="1"/>
  <c r="AP134" i="43"/>
  <c r="AP143" i="43"/>
  <c r="BJ143" i="43" s="1"/>
  <c r="AP135" i="43"/>
  <c r="BJ135" i="43" s="1"/>
  <c r="AP144" i="43"/>
  <c r="BJ144" i="43" s="1"/>
  <c r="AL62" i="43"/>
  <c r="BJ62" i="43" s="1"/>
  <c r="AL66" i="43"/>
  <c r="BJ66" i="43" s="1"/>
  <c r="AL61" i="43"/>
  <c r="BJ61" i="43" s="1"/>
  <c r="AL65" i="43"/>
  <c r="BJ65" i="43" s="1"/>
  <c r="AL64" i="43"/>
  <c r="BJ64" i="43" s="1"/>
  <c r="AL67" i="43"/>
  <c r="BJ67" i="43" s="1"/>
  <c r="AL60" i="43"/>
  <c r="AL63" i="43"/>
  <c r="BJ63" i="43" s="1"/>
  <c r="AQ174" i="43"/>
  <c r="BJ174" i="43" s="1"/>
  <c r="AQ156" i="43"/>
  <c r="AQ187" i="43"/>
  <c r="BJ187" i="43" s="1"/>
  <c r="AQ180" i="43"/>
  <c r="BJ180" i="43" s="1"/>
  <c r="AQ167" i="43"/>
  <c r="BJ167" i="43" s="1"/>
  <c r="AQ176" i="43"/>
  <c r="BJ176" i="43" s="1"/>
  <c r="AQ160" i="43"/>
  <c r="BJ160" i="43" s="1"/>
  <c r="AQ182" i="43"/>
  <c r="BJ182" i="43" s="1"/>
  <c r="AQ183" i="43"/>
  <c r="BJ183" i="43" s="1"/>
  <c r="AQ169" i="43"/>
  <c r="BJ169" i="43" s="1"/>
  <c r="AQ172" i="43"/>
  <c r="BJ172" i="43" s="1"/>
  <c r="AQ190" i="43"/>
  <c r="BJ190" i="43" s="1"/>
  <c r="AQ173" i="43"/>
  <c r="BJ173" i="43" s="1"/>
  <c r="AQ177" i="43"/>
  <c r="BJ177" i="43" s="1"/>
  <c r="AQ185" i="43"/>
  <c r="BJ185" i="43" s="1"/>
  <c r="AQ188" i="43"/>
  <c r="BJ188" i="43" s="1"/>
  <c r="AQ159" i="43"/>
  <c r="BJ159" i="43" s="1"/>
  <c r="AQ161" i="43"/>
  <c r="BJ161" i="43" s="1"/>
  <c r="AQ168" i="43"/>
  <c r="BJ168" i="43" s="1"/>
  <c r="AQ165" i="43"/>
  <c r="BJ165" i="43" s="1"/>
  <c r="AQ158" i="43"/>
  <c r="BJ158" i="43" s="1"/>
  <c r="AQ163" i="43"/>
  <c r="BJ163" i="43" s="1"/>
  <c r="AQ179" i="43"/>
  <c r="BJ179" i="43" s="1"/>
  <c r="AQ181" i="43"/>
  <c r="BJ181" i="43" s="1"/>
  <c r="AQ164" i="43"/>
  <c r="BJ164" i="43" s="1"/>
  <c r="AQ171" i="43"/>
  <c r="BJ171" i="43" s="1"/>
  <c r="AQ166" i="43"/>
  <c r="BJ166" i="43" s="1"/>
  <c r="AQ178" i="43"/>
  <c r="BJ178" i="43" s="1"/>
  <c r="AQ170" i="43"/>
  <c r="BJ170" i="43" s="1"/>
  <c r="AQ175" i="43"/>
  <c r="BJ175" i="43" s="1"/>
  <c r="AQ189" i="43"/>
  <c r="BJ189" i="43" s="1"/>
  <c r="AQ191" i="43"/>
  <c r="BJ191" i="43" s="1"/>
  <c r="AQ186" i="43"/>
  <c r="BJ186" i="43" s="1"/>
  <c r="AQ184" i="43"/>
  <c r="BJ184" i="43" s="1"/>
  <c r="AQ162" i="43"/>
  <c r="BJ162" i="43" s="1"/>
  <c r="AQ192" i="43"/>
  <c r="BJ192" i="43" s="1"/>
  <c r="AQ157" i="43"/>
  <c r="BJ157" i="43" s="1"/>
  <c r="AO129" i="43"/>
  <c r="BJ129" i="43" s="1"/>
  <c r="AO131" i="43"/>
  <c r="BJ131" i="43" s="1"/>
  <c r="AO130" i="43"/>
  <c r="BJ130" i="43" s="1"/>
  <c r="AO128" i="43"/>
  <c r="BJ128" i="43" s="1"/>
  <c r="AO126" i="43"/>
  <c r="BJ126" i="43" s="1"/>
  <c r="AO127" i="43"/>
  <c r="BJ127" i="43" s="1"/>
  <c r="AO133" i="43"/>
  <c r="BJ133" i="43" s="1"/>
  <c r="AO132" i="43"/>
  <c r="BJ132" i="43" s="1"/>
  <c r="AO125" i="43"/>
  <c r="BJ125" i="43" s="1"/>
  <c r="AO124" i="43"/>
  <c r="AM94" i="43"/>
  <c r="BJ94" i="43" s="1"/>
  <c r="AM104" i="43"/>
  <c r="BJ104" i="43" s="1"/>
  <c r="AM88" i="43"/>
  <c r="BJ88" i="43" s="1"/>
  <c r="AM85" i="43"/>
  <c r="BJ85" i="43" s="1"/>
  <c r="AM100" i="43"/>
  <c r="BJ100" i="43" s="1"/>
  <c r="AM93" i="43"/>
  <c r="BJ93" i="43" s="1"/>
  <c r="AM107" i="43"/>
  <c r="BJ107" i="43" s="1"/>
  <c r="AM68" i="43"/>
  <c r="AM71" i="43"/>
  <c r="BJ71" i="43" s="1"/>
  <c r="AM97" i="43"/>
  <c r="BJ97" i="43" s="1"/>
  <c r="AM101" i="43"/>
  <c r="BJ101" i="43" s="1"/>
  <c r="AM98" i="43"/>
  <c r="BJ98" i="43" s="1"/>
  <c r="AM102" i="43"/>
  <c r="BJ102" i="43" s="1"/>
  <c r="AM73" i="43"/>
  <c r="BJ73" i="43" s="1"/>
  <c r="AM105" i="43"/>
  <c r="BJ105" i="43" s="1"/>
  <c r="AM83" i="43"/>
  <c r="BJ83" i="43" s="1"/>
  <c r="AM95" i="43"/>
  <c r="BJ95" i="43" s="1"/>
  <c r="AM103" i="43"/>
  <c r="BJ103" i="43" s="1"/>
  <c r="AM106" i="43"/>
  <c r="BJ106" i="43" s="1"/>
  <c r="AM90" i="43"/>
  <c r="BJ90" i="43" s="1"/>
  <c r="AM92" i="43"/>
  <c r="BJ92" i="43" s="1"/>
  <c r="AM89" i="43"/>
  <c r="BJ89" i="43" s="1"/>
  <c r="AM75" i="43"/>
  <c r="BJ75" i="43" s="1"/>
  <c r="AM80" i="43"/>
  <c r="BJ80" i="43" s="1"/>
  <c r="AM84" i="43"/>
  <c r="BJ84" i="43" s="1"/>
  <c r="AM86" i="43"/>
  <c r="BJ86" i="43" s="1"/>
  <c r="AM82" i="43"/>
  <c r="BJ82" i="43" s="1"/>
  <c r="AM78" i="43"/>
  <c r="BJ78" i="43" s="1"/>
  <c r="AM91" i="43"/>
  <c r="BJ91" i="43" s="1"/>
  <c r="AM74" i="43"/>
  <c r="BJ74" i="43" s="1"/>
  <c r="AM70" i="43"/>
  <c r="BJ70" i="43" s="1"/>
  <c r="AM77" i="43"/>
  <c r="BJ77" i="43" s="1"/>
  <c r="AM108" i="43"/>
  <c r="BJ108" i="43" s="1"/>
  <c r="AM69" i="43"/>
  <c r="BJ69" i="43" s="1"/>
  <c r="AM109" i="43"/>
  <c r="BJ109" i="43" s="1"/>
  <c r="AM79" i="43"/>
  <c r="BJ79" i="43" s="1"/>
  <c r="AM81" i="43"/>
  <c r="BJ81" i="43" s="1"/>
  <c r="AM76" i="43"/>
  <c r="BJ76" i="43" s="1"/>
  <c r="AM72" i="43"/>
  <c r="BJ72" i="43" s="1"/>
  <c r="AM99" i="43"/>
  <c r="BJ99" i="43" s="1"/>
  <c r="AM96" i="43"/>
  <c r="BJ96" i="43" s="1"/>
  <c r="AM87" i="43"/>
  <c r="BJ87" i="43" s="1"/>
  <c r="AU339" i="43"/>
  <c r="BJ339" i="43" s="1"/>
  <c r="AU316" i="43"/>
  <c r="AU330" i="43"/>
  <c r="BJ330" i="43" s="1"/>
  <c r="AU325" i="43"/>
  <c r="BJ325" i="43" s="1"/>
  <c r="AU328" i="43"/>
  <c r="BJ328" i="43" s="1"/>
  <c r="AU317" i="43"/>
  <c r="BJ317" i="43" s="1"/>
  <c r="AU336" i="43"/>
  <c r="BJ336" i="43" s="1"/>
  <c r="AU341" i="43"/>
  <c r="BJ341" i="43" s="1"/>
  <c r="AU324" i="43"/>
  <c r="BJ324" i="43" s="1"/>
  <c r="AU338" i="43"/>
  <c r="BJ338" i="43" s="1"/>
  <c r="AU329" i="43"/>
  <c r="BJ329" i="43" s="1"/>
  <c r="AU321" i="43"/>
  <c r="BJ321" i="43" s="1"/>
  <c r="AU333" i="43"/>
  <c r="BJ333" i="43" s="1"/>
  <c r="AU332" i="43"/>
  <c r="BJ332" i="43" s="1"/>
  <c r="AU320" i="43"/>
  <c r="BJ320" i="43" s="1"/>
  <c r="AU335" i="43"/>
  <c r="BJ335" i="43" s="1"/>
  <c r="AU334" i="43"/>
  <c r="BJ334" i="43" s="1"/>
  <c r="AU340" i="43"/>
  <c r="BJ340" i="43" s="1"/>
  <c r="AU331" i="43"/>
  <c r="BJ331" i="43" s="1"/>
  <c r="AU322" i="43"/>
  <c r="BJ322" i="43" s="1"/>
  <c r="AU323" i="43"/>
  <c r="BJ323" i="43" s="1"/>
  <c r="AU326" i="43"/>
  <c r="BJ326" i="43" s="1"/>
  <c r="AU342" i="43"/>
  <c r="BJ342" i="43" s="1"/>
  <c r="AU319" i="43"/>
  <c r="BJ319" i="43" s="1"/>
  <c r="AU318" i="43"/>
  <c r="BJ318" i="43" s="1"/>
  <c r="AU337" i="43"/>
  <c r="BJ337" i="43" s="1"/>
  <c r="AU327" i="43"/>
  <c r="BJ327" i="43" s="1"/>
  <c r="AN121" i="43"/>
  <c r="BJ121" i="43" s="1"/>
  <c r="AN113" i="43"/>
  <c r="BJ113" i="43" s="1"/>
  <c r="AN117" i="43"/>
  <c r="BJ117" i="43" s="1"/>
  <c r="AN114" i="43"/>
  <c r="BJ114" i="43" s="1"/>
  <c r="AN123" i="43"/>
  <c r="BJ123" i="43" s="1"/>
  <c r="AN115" i="43"/>
  <c r="BJ115" i="43" s="1"/>
  <c r="AN119" i="43"/>
  <c r="BJ119" i="43" s="1"/>
  <c r="AN118" i="43"/>
  <c r="BJ118" i="43" s="1"/>
  <c r="AN112" i="43"/>
  <c r="BJ112" i="43" s="1"/>
  <c r="AN120" i="43"/>
  <c r="BJ120" i="43" s="1"/>
  <c r="AN111" i="43"/>
  <c r="BJ111" i="43" s="1"/>
  <c r="AN122" i="43"/>
  <c r="BJ122" i="43" s="1"/>
  <c r="AN110" i="43"/>
  <c r="AN116" i="43"/>
  <c r="BJ116" i="43" s="1"/>
  <c r="AV356" i="43"/>
  <c r="BJ356" i="43" s="1"/>
  <c r="AV355" i="43"/>
  <c r="BJ355" i="43" s="1"/>
  <c r="AV351" i="43"/>
  <c r="BJ351" i="43" s="1"/>
  <c r="AV362" i="43"/>
  <c r="BJ362" i="43" s="1"/>
  <c r="AV364" i="43"/>
  <c r="BJ364" i="43" s="1"/>
  <c r="AV358" i="43"/>
  <c r="BJ358" i="43" s="1"/>
  <c r="AV357" i="43"/>
  <c r="BJ357" i="43" s="1"/>
  <c r="AV344" i="43"/>
  <c r="BJ344" i="43" s="1"/>
  <c r="AV354" i="43"/>
  <c r="BJ354" i="43" s="1"/>
  <c r="AV359" i="43"/>
  <c r="BJ359" i="43" s="1"/>
  <c r="AV348" i="43"/>
  <c r="BJ348" i="43" s="1"/>
  <c r="AV360" i="43"/>
  <c r="BJ360" i="43" s="1"/>
  <c r="AV361" i="43"/>
  <c r="BJ361" i="43" s="1"/>
  <c r="AV350" i="43"/>
  <c r="BJ350" i="43" s="1"/>
  <c r="AV349" i="43"/>
  <c r="BJ349" i="43" s="1"/>
  <c r="AV346" i="43"/>
  <c r="BJ346" i="43" s="1"/>
  <c r="AV353" i="43"/>
  <c r="BJ353" i="43" s="1"/>
  <c r="AV347" i="43"/>
  <c r="BJ347" i="43" s="1"/>
  <c r="AV345" i="43"/>
  <c r="BJ345" i="43" s="1"/>
  <c r="AV352" i="43"/>
  <c r="BJ352" i="43" s="1"/>
  <c r="AV343" i="43"/>
  <c r="AV363" i="43"/>
  <c r="BJ363" i="43" s="1"/>
  <c r="AR193" i="43"/>
  <c r="AR222" i="43"/>
  <c r="BJ222" i="43" s="1"/>
  <c r="AR207" i="43"/>
  <c r="BJ207" i="43" s="1"/>
  <c r="AR218" i="43"/>
  <c r="BJ218" i="43" s="1"/>
  <c r="AR204" i="43"/>
  <c r="BJ204" i="43" s="1"/>
  <c r="AR219" i="43"/>
  <c r="BJ219" i="43" s="1"/>
  <c r="AR195" i="43"/>
  <c r="BJ195" i="43" s="1"/>
  <c r="AR208" i="43"/>
  <c r="BJ208" i="43" s="1"/>
  <c r="AR209" i="43"/>
  <c r="BJ209" i="43" s="1"/>
  <c r="AR202" i="43"/>
  <c r="BJ202" i="43" s="1"/>
  <c r="AR199" i="43"/>
  <c r="BJ199" i="43" s="1"/>
  <c r="AR205" i="43"/>
  <c r="BJ205" i="43" s="1"/>
  <c r="AR226" i="43"/>
  <c r="BJ226" i="43" s="1"/>
  <c r="AR216" i="43"/>
  <c r="BJ216" i="43" s="1"/>
  <c r="AR194" i="43"/>
  <c r="BJ194" i="43" s="1"/>
  <c r="AR215" i="43"/>
  <c r="BJ215" i="43" s="1"/>
  <c r="AR224" i="43"/>
  <c r="BJ224" i="43" s="1"/>
  <c r="AR217" i="43"/>
  <c r="BJ217" i="43" s="1"/>
  <c r="AR223" i="43"/>
  <c r="BJ223" i="43" s="1"/>
  <c r="AR197" i="43"/>
  <c r="BJ197" i="43" s="1"/>
  <c r="AR214" i="43"/>
  <c r="BJ214" i="43" s="1"/>
  <c r="AR225" i="43"/>
  <c r="BJ225" i="43" s="1"/>
  <c r="AR196" i="43"/>
  <c r="BJ196" i="43" s="1"/>
  <c r="AR221" i="43"/>
  <c r="BJ221" i="43" s="1"/>
  <c r="AR213" i="43"/>
  <c r="BJ213" i="43" s="1"/>
  <c r="AR200" i="43"/>
  <c r="BJ200" i="43" s="1"/>
  <c r="AR212" i="43"/>
  <c r="BJ212" i="43" s="1"/>
  <c r="AR211" i="43"/>
  <c r="BJ211" i="43" s="1"/>
  <c r="AR210" i="43"/>
  <c r="BJ210" i="43" s="1"/>
  <c r="AR206" i="43"/>
  <c r="BJ206" i="43" s="1"/>
  <c r="AR220" i="43"/>
  <c r="BJ220" i="43" s="1"/>
  <c r="AR201" i="43"/>
  <c r="BJ201" i="43" s="1"/>
  <c r="AR203" i="43"/>
  <c r="BJ203" i="43" s="1"/>
  <c r="AR198" i="43"/>
  <c r="BJ198" i="43" s="1"/>
  <c r="AS234" i="43"/>
  <c r="BJ234" i="43" s="1"/>
  <c r="AS302" i="43"/>
  <c r="BJ302" i="43" s="1"/>
  <c r="AS268" i="43"/>
  <c r="BJ268" i="43" s="1"/>
  <c r="AS231" i="43"/>
  <c r="BJ231" i="43" s="1"/>
  <c r="AS278" i="43"/>
  <c r="BJ278" i="43" s="1"/>
  <c r="AS253" i="43"/>
  <c r="BJ253" i="43" s="1"/>
  <c r="AS250" i="43"/>
  <c r="BJ250" i="43" s="1"/>
  <c r="AS248" i="43"/>
  <c r="BJ248" i="43" s="1"/>
  <c r="AS298" i="43"/>
  <c r="BJ298" i="43" s="1"/>
  <c r="AS287" i="43"/>
  <c r="BJ287" i="43" s="1"/>
  <c r="AS242" i="43"/>
  <c r="BJ242" i="43" s="1"/>
  <c r="AS284" i="43"/>
  <c r="BJ284" i="43" s="1"/>
  <c r="AS233" i="43"/>
  <c r="BJ233" i="43" s="1"/>
  <c r="AS262" i="43"/>
  <c r="BJ262" i="43" s="1"/>
  <c r="AS244" i="43"/>
  <c r="BJ244" i="43" s="1"/>
  <c r="AS258" i="43"/>
  <c r="BJ258" i="43" s="1"/>
  <c r="AS281" i="43"/>
  <c r="BJ281" i="43" s="1"/>
  <c r="AS249" i="43"/>
  <c r="BJ249" i="43" s="1"/>
  <c r="AS252" i="43"/>
  <c r="BJ252" i="43" s="1"/>
  <c r="AS273" i="43"/>
  <c r="BJ273" i="43" s="1"/>
  <c r="AS240" i="43"/>
  <c r="BJ240" i="43" s="1"/>
  <c r="AS297" i="43"/>
  <c r="BJ297" i="43" s="1"/>
  <c r="AS296" i="43"/>
  <c r="BJ296" i="43" s="1"/>
  <c r="AS286" i="43"/>
  <c r="BJ286" i="43" s="1"/>
  <c r="AS295" i="43"/>
  <c r="BJ295" i="43" s="1"/>
  <c r="AS290" i="43"/>
  <c r="BJ290" i="43" s="1"/>
  <c r="AS264" i="43"/>
  <c r="BJ264" i="43" s="1"/>
  <c r="AS301" i="43"/>
  <c r="BJ301" i="43" s="1"/>
  <c r="AS235" i="43"/>
  <c r="BJ235" i="43" s="1"/>
  <c r="AS229" i="43"/>
  <c r="BJ229" i="43" s="1"/>
  <c r="AS228" i="43"/>
  <c r="BJ228" i="43" s="1"/>
  <c r="AS293" i="43"/>
  <c r="BJ293" i="43" s="1"/>
  <c r="AS255" i="43"/>
  <c r="BJ255" i="43" s="1"/>
  <c r="AS257" i="43"/>
  <c r="BJ257" i="43" s="1"/>
  <c r="AS247" i="43"/>
  <c r="BJ247" i="43" s="1"/>
  <c r="AS237" i="43"/>
  <c r="BJ237" i="43" s="1"/>
  <c r="AS243" i="43"/>
  <c r="BJ243" i="43" s="1"/>
  <c r="AS241" i="43"/>
  <c r="BJ241" i="43" s="1"/>
  <c r="AS272" i="43"/>
  <c r="BJ272" i="43" s="1"/>
  <c r="AS267" i="43"/>
  <c r="BJ267" i="43" s="1"/>
  <c r="AS251" i="43"/>
  <c r="BJ251" i="43" s="1"/>
  <c r="AS260" i="43"/>
  <c r="BJ260" i="43" s="1"/>
  <c r="AS274" i="43"/>
  <c r="BJ274" i="43" s="1"/>
  <c r="AS269" i="43"/>
  <c r="BJ269" i="43" s="1"/>
  <c r="AS232" i="43"/>
  <c r="BJ232" i="43" s="1"/>
  <c r="AS276" i="43"/>
  <c r="BJ276" i="43" s="1"/>
  <c r="AS256" i="43"/>
  <c r="BJ256" i="43" s="1"/>
  <c r="AS227" i="43"/>
  <c r="AS289" i="43"/>
  <c r="BJ289" i="43" s="1"/>
  <c r="AS285" i="43"/>
  <c r="BJ285" i="43" s="1"/>
  <c r="AS283" i="43"/>
  <c r="BJ283" i="43" s="1"/>
  <c r="AS300" i="43"/>
  <c r="BJ300" i="43" s="1"/>
  <c r="AS277" i="43"/>
  <c r="BJ277" i="43" s="1"/>
  <c r="AS275" i="43"/>
  <c r="BJ275" i="43" s="1"/>
  <c r="AS266" i="43"/>
  <c r="BJ266" i="43" s="1"/>
  <c r="AS263" i="43"/>
  <c r="BJ263" i="43" s="1"/>
  <c r="AS265" i="43"/>
  <c r="BJ265" i="43" s="1"/>
  <c r="AS261" i="43"/>
  <c r="BJ261" i="43" s="1"/>
  <c r="AS294" i="43"/>
  <c r="BJ294" i="43" s="1"/>
  <c r="AS254" i="43"/>
  <c r="BJ254" i="43" s="1"/>
  <c r="AS282" i="43"/>
  <c r="BJ282" i="43" s="1"/>
  <c r="AS304" i="43"/>
  <c r="BJ304" i="43" s="1"/>
  <c r="AS245" i="43"/>
  <c r="BJ245" i="43" s="1"/>
  <c r="AS238" i="43"/>
  <c r="BJ238" i="43" s="1"/>
  <c r="AS270" i="43"/>
  <c r="BJ270" i="43" s="1"/>
  <c r="AS292" i="43"/>
  <c r="BJ292" i="43" s="1"/>
  <c r="AS305" i="43"/>
  <c r="BJ305" i="43" s="1"/>
  <c r="AS299" i="43"/>
  <c r="BJ299" i="43" s="1"/>
  <c r="AS259" i="43"/>
  <c r="BJ259" i="43" s="1"/>
  <c r="AS271" i="43"/>
  <c r="BJ271" i="43" s="1"/>
  <c r="AS239" i="43"/>
  <c r="BJ239" i="43" s="1"/>
  <c r="AS288" i="43"/>
  <c r="BJ288" i="43" s="1"/>
  <c r="AS303" i="43"/>
  <c r="BJ303" i="43" s="1"/>
  <c r="AS279" i="43"/>
  <c r="BJ279" i="43" s="1"/>
  <c r="AS236" i="43"/>
  <c r="BJ236" i="43" s="1"/>
  <c r="AS230" i="43"/>
  <c r="BJ230" i="43" s="1"/>
  <c r="AS291" i="43"/>
  <c r="BJ291" i="43" s="1"/>
  <c r="AS246" i="43"/>
  <c r="BJ246" i="43" s="1"/>
  <c r="AS280" i="43"/>
  <c r="BJ280" i="43" s="1"/>
  <c r="P44" i="5" l="1"/>
  <c r="BE154" i="1" s="1"/>
  <c r="BG154" i="1" s="1"/>
  <c r="BH154" i="1" s="1"/>
  <c r="N44" i="5"/>
  <c r="BC373" i="1" s="1"/>
  <c r="BG373" i="1" s="1"/>
  <c r="BH373" i="1" s="1"/>
  <c r="BI373" i="1" s="1"/>
  <c r="BK373" i="1" s="1"/>
  <c r="I44" i="5"/>
  <c r="BA116" i="43" s="1"/>
  <c r="BK116" i="43" s="1"/>
  <c r="BL116" i="43" s="1"/>
  <c r="BM116" i="43" s="1"/>
  <c r="BN116" i="43" s="1"/>
  <c r="H44" i="5"/>
  <c r="AW101" i="1" s="1"/>
  <c r="BG101" i="1" s="1"/>
  <c r="BH101" i="1" s="1"/>
  <c r="M44" i="5"/>
  <c r="BB250" i="1" s="1"/>
  <c r="BG250" i="1" s="1"/>
  <c r="BH250" i="1" s="1"/>
  <c r="Q44" i="5"/>
  <c r="BF282" i="1" s="1"/>
  <c r="BG282" i="1" s="1"/>
  <c r="BH282" i="1" s="1"/>
  <c r="O44" i="5"/>
  <c r="BD117" i="1" s="1"/>
  <c r="BG117" i="1" s="1"/>
  <c r="BH117" i="1" s="1"/>
  <c r="E44" i="5"/>
  <c r="AT279" i="1" s="1"/>
  <c r="BG279" i="1" s="1"/>
  <c r="BH279" i="1" s="1"/>
  <c r="G44" i="5"/>
  <c r="AY65" i="43" s="1"/>
  <c r="BK65" i="43" s="1"/>
  <c r="BL65" i="43" s="1"/>
  <c r="BM65" i="43" s="1"/>
  <c r="BN65" i="43" s="1"/>
  <c r="F44" i="5"/>
  <c r="K44" i="5"/>
  <c r="BC151" i="43" s="1"/>
  <c r="BK151" i="43" s="1"/>
  <c r="BL151" i="43" s="1"/>
  <c r="BM151" i="43" s="1"/>
  <c r="BN151" i="43" s="1"/>
  <c r="L44" i="5"/>
  <c r="BD181" i="43" s="1"/>
  <c r="BK181" i="43" s="1"/>
  <c r="BL181" i="43" s="1"/>
  <c r="BM181" i="43" s="1"/>
  <c r="BN181" i="43" s="1"/>
  <c r="J44" i="5"/>
  <c r="BB131" i="43" s="1"/>
  <c r="BK131" i="43" s="1"/>
  <c r="BL131" i="43" s="1"/>
  <c r="BM131" i="43" s="1"/>
  <c r="BN131" i="43" s="1"/>
  <c r="AR367" i="43"/>
  <c r="BJ193" i="43"/>
  <c r="BJ22" i="43"/>
  <c r="AK367" i="43"/>
  <c r="AN367" i="43"/>
  <c r="BJ110" i="43"/>
  <c r="AO367" i="43"/>
  <c r="BJ124" i="43"/>
  <c r="AQ367" i="43"/>
  <c r="BJ156" i="43"/>
  <c r="BJ227" i="43"/>
  <c r="AS367" i="43"/>
  <c r="AV367" i="43"/>
  <c r="BJ343" i="43"/>
  <c r="AP367" i="43"/>
  <c r="BJ134" i="43"/>
  <c r="BJ3" i="43"/>
  <c r="AJ367" i="43"/>
  <c r="AU367" i="43"/>
  <c r="BJ316" i="43"/>
  <c r="AL367" i="43"/>
  <c r="BJ60" i="43"/>
  <c r="AM367" i="43"/>
  <c r="BJ68" i="43"/>
  <c r="BJ306" i="43"/>
  <c r="AT367" i="43"/>
  <c r="BC73" i="1" l="1"/>
  <c r="BG73" i="1" s="1"/>
  <c r="BH73" i="1" s="1"/>
  <c r="BC97" i="1"/>
  <c r="BG97" i="1" s="1"/>
  <c r="BH97" i="1" s="1"/>
  <c r="BF231" i="43"/>
  <c r="BK231" i="43" s="1"/>
  <c r="BL231" i="43" s="1"/>
  <c r="BM231" i="43" s="1"/>
  <c r="BN231" i="43" s="1"/>
  <c r="BC191" i="1"/>
  <c r="BG191" i="1" s="1"/>
  <c r="BH191" i="1" s="1"/>
  <c r="BF243" i="43"/>
  <c r="BK243" i="43" s="1"/>
  <c r="BL243" i="43" s="1"/>
  <c r="BM243" i="43" s="1"/>
  <c r="BN243" i="43" s="1"/>
  <c r="BC363" i="1"/>
  <c r="BG363" i="1" s="1"/>
  <c r="BH363" i="1" s="1"/>
  <c r="BC280" i="1"/>
  <c r="BG280" i="1" s="1"/>
  <c r="BH280" i="1" s="1"/>
  <c r="BC25" i="1"/>
  <c r="BG25" i="1" s="1"/>
  <c r="BH25" i="1" s="1"/>
  <c r="BF270" i="43"/>
  <c r="BK270" i="43" s="1"/>
  <c r="BL270" i="43" s="1"/>
  <c r="BM270" i="43" s="1"/>
  <c r="BN270" i="43" s="1"/>
  <c r="BC167" i="1"/>
  <c r="BG167" i="1" s="1"/>
  <c r="BH167" i="1" s="1"/>
  <c r="BF268" i="43"/>
  <c r="BK268" i="43" s="1"/>
  <c r="BL268" i="43" s="1"/>
  <c r="BM268" i="43" s="1"/>
  <c r="BN268" i="43" s="1"/>
  <c r="BF278" i="43"/>
  <c r="BK278" i="43" s="1"/>
  <c r="BL278" i="43" s="1"/>
  <c r="BM278" i="43" s="1"/>
  <c r="BN278" i="43" s="1"/>
  <c r="BF264" i="43"/>
  <c r="BK264" i="43" s="1"/>
  <c r="BL264" i="43" s="1"/>
  <c r="BM264" i="43" s="1"/>
  <c r="BN264" i="43" s="1"/>
  <c r="BF286" i="43"/>
  <c r="BK286" i="43" s="1"/>
  <c r="BL286" i="43" s="1"/>
  <c r="BM286" i="43" s="1"/>
  <c r="BN286" i="43" s="1"/>
  <c r="BF291" i="43"/>
  <c r="BK291" i="43" s="1"/>
  <c r="BL291" i="43" s="1"/>
  <c r="BM291" i="43" s="1"/>
  <c r="BN291" i="43" s="1"/>
  <c r="BC190" i="1"/>
  <c r="BG190" i="1" s="1"/>
  <c r="BH190" i="1" s="1"/>
  <c r="BJ190" i="1" s="1"/>
  <c r="BC51" i="1"/>
  <c r="BG51" i="1" s="1"/>
  <c r="BH51" i="1" s="1"/>
  <c r="BI51" i="1" s="1"/>
  <c r="BK51" i="1" s="1"/>
  <c r="BC52" i="1"/>
  <c r="BG52" i="1" s="1"/>
  <c r="BH52" i="1" s="1"/>
  <c r="BF289" i="43"/>
  <c r="BK289" i="43" s="1"/>
  <c r="BL289" i="43" s="1"/>
  <c r="BM289" i="43" s="1"/>
  <c r="BN289" i="43" s="1"/>
  <c r="BF242" i="43"/>
  <c r="BK242" i="43" s="1"/>
  <c r="BL242" i="43" s="1"/>
  <c r="BM242" i="43" s="1"/>
  <c r="BN242" i="43" s="1"/>
  <c r="BC316" i="1"/>
  <c r="BG316" i="1" s="1"/>
  <c r="BH316" i="1" s="1"/>
  <c r="BI316" i="1" s="1"/>
  <c r="BK316" i="1" s="1"/>
  <c r="BC165" i="1"/>
  <c r="BG165" i="1" s="1"/>
  <c r="BH165" i="1" s="1"/>
  <c r="BI165" i="1" s="1"/>
  <c r="BK165" i="1" s="1"/>
  <c r="BC120" i="1"/>
  <c r="BG120" i="1" s="1"/>
  <c r="BH120" i="1" s="1"/>
  <c r="BJ120" i="1" s="1"/>
  <c r="BF263" i="43"/>
  <c r="BK263" i="43" s="1"/>
  <c r="BL263" i="43" s="1"/>
  <c r="BM263" i="43" s="1"/>
  <c r="BN263" i="43" s="1"/>
  <c r="BC328" i="1"/>
  <c r="BG328" i="1" s="1"/>
  <c r="BH328" i="1" s="1"/>
  <c r="BJ328" i="1" s="1"/>
  <c r="BC92" i="1"/>
  <c r="BG92" i="1" s="1"/>
  <c r="BH92" i="1" s="1"/>
  <c r="BF271" i="43"/>
  <c r="BK271" i="43" s="1"/>
  <c r="BL271" i="43" s="1"/>
  <c r="BM271" i="43" s="1"/>
  <c r="BN271" i="43" s="1"/>
  <c r="BC364" i="1"/>
  <c r="BG364" i="1" s="1"/>
  <c r="BH364" i="1" s="1"/>
  <c r="BC111" i="1"/>
  <c r="BG111" i="1" s="1"/>
  <c r="BH111" i="1" s="1"/>
  <c r="BI111" i="1" s="1"/>
  <c r="BK111" i="1" s="1"/>
  <c r="BC192" i="1"/>
  <c r="BG192" i="1" s="1"/>
  <c r="BH192" i="1" s="1"/>
  <c r="BI192" i="1" s="1"/>
  <c r="BK192" i="1" s="1"/>
  <c r="BC324" i="1"/>
  <c r="BG324" i="1" s="1"/>
  <c r="BH324" i="1" s="1"/>
  <c r="BJ324" i="1" s="1"/>
  <c r="BC122" i="1"/>
  <c r="BG122" i="1" s="1"/>
  <c r="BH122" i="1" s="1"/>
  <c r="BI122" i="1" s="1"/>
  <c r="BK122" i="1" s="1"/>
  <c r="BC106" i="1"/>
  <c r="BG106" i="1" s="1"/>
  <c r="BH106" i="1" s="1"/>
  <c r="BJ106" i="1" s="1"/>
  <c r="BF284" i="43"/>
  <c r="BK284" i="43" s="1"/>
  <c r="BL284" i="43" s="1"/>
  <c r="BM284" i="43" s="1"/>
  <c r="BN284" i="43" s="1"/>
  <c r="BC139" i="1"/>
  <c r="BG139" i="1" s="1"/>
  <c r="BH139" i="1" s="1"/>
  <c r="BJ139" i="1" s="1"/>
  <c r="BF287" i="43"/>
  <c r="BK287" i="43" s="1"/>
  <c r="BL287" i="43" s="1"/>
  <c r="BM287" i="43" s="1"/>
  <c r="BN287" i="43" s="1"/>
  <c r="BC205" i="1"/>
  <c r="BG205" i="1" s="1"/>
  <c r="BH205" i="1" s="1"/>
  <c r="BJ205" i="1" s="1"/>
  <c r="BF248" i="43"/>
  <c r="BK248" i="43" s="1"/>
  <c r="BL248" i="43" s="1"/>
  <c r="BM248" i="43" s="1"/>
  <c r="BN248" i="43" s="1"/>
  <c r="BF240" i="43"/>
  <c r="BK240" i="43" s="1"/>
  <c r="BL240" i="43" s="1"/>
  <c r="BM240" i="43" s="1"/>
  <c r="BN240" i="43" s="1"/>
  <c r="BE63" i="1"/>
  <c r="BG63" i="1" s="1"/>
  <c r="BH63" i="1" s="1"/>
  <c r="BJ63" i="1" s="1"/>
  <c r="BE15" i="1"/>
  <c r="BG15" i="1" s="1"/>
  <c r="BH15" i="1" s="1"/>
  <c r="BH329" i="43"/>
  <c r="BK329" i="43" s="1"/>
  <c r="BL329" i="43" s="1"/>
  <c r="BM329" i="43" s="1"/>
  <c r="BN329" i="43" s="1"/>
  <c r="BH334" i="43"/>
  <c r="BK334" i="43" s="1"/>
  <c r="BL334" i="43" s="1"/>
  <c r="BM334" i="43" s="1"/>
  <c r="BN334" i="43" s="1"/>
  <c r="BE258" i="1"/>
  <c r="BG258" i="1" s="1"/>
  <c r="BH258" i="1" s="1"/>
  <c r="BE32" i="1"/>
  <c r="BG32" i="1" s="1"/>
  <c r="BH32" i="1" s="1"/>
  <c r="BJ32" i="1" s="1"/>
  <c r="BH340" i="43"/>
  <c r="BK340" i="43" s="1"/>
  <c r="BL340" i="43" s="1"/>
  <c r="BM340" i="43" s="1"/>
  <c r="BN340" i="43" s="1"/>
  <c r="BE67" i="1"/>
  <c r="BG67" i="1" s="1"/>
  <c r="BH67" i="1" s="1"/>
  <c r="BI67" i="1" s="1"/>
  <c r="BK67" i="1" s="1"/>
  <c r="BH327" i="43"/>
  <c r="BK327" i="43" s="1"/>
  <c r="BL327" i="43" s="1"/>
  <c r="BM327" i="43" s="1"/>
  <c r="BN327" i="43" s="1"/>
  <c r="BE135" i="1"/>
  <c r="BG135" i="1" s="1"/>
  <c r="BH135" i="1" s="1"/>
  <c r="BJ135" i="1" s="1"/>
  <c r="BH324" i="43"/>
  <c r="BK324" i="43" s="1"/>
  <c r="BL324" i="43" s="1"/>
  <c r="BM324" i="43" s="1"/>
  <c r="BN324" i="43" s="1"/>
  <c r="BH328" i="43"/>
  <c r="BK328" i="43" s="1"/>
  <c r="BL328" i="43" s="1"/>
  <c r="BM328" i="43" s="1"/>
  <c r="BN328" i="43" s="1"/>
  <c r="BE347" i="1"/>
  <c r="BG347" i="1" s="1"/>
  <c r="BH347" i="1" s="1"/>
  <c r="BH331" i="43"/>
  <c r="BK331" i="43" s="1"/>
  <c r="BL331" i="43" s="1"/>
  <c r="BM331" i="43" s="1"/>
  <c r="BN331" i="43" s="1"/>
  <c r="BE290" i="1"/>
  <c r="BG290" i="1" s="1"/>
  <c r="BH290" i="1" s="1"/>
  <c r="BJ290" i="1" s="1"/>
  <c r="BE263" i="1"/>
  <c r="BG263" i="1" s="1"/>
  <c r="BH263" i="1" s="1"/>
  <c r="BJ263" i="1" s="1"/>
  <c r="BE82" i="1"/>
  <c r="BG82" i="1" s="1"/>
  <c r="BH82" i="1" s="1"/>
  <c r="BI82" i="1" s="1"/>
  <c r="BK82" i="1" s="1"/>
  <c r="BH319" i="43"/>
  <c r="BK319" i="43" s="1"/>
  <c r="BL319" i="43" s="1"/>
  <c r="BM319" i="43" s="1"/>
  <c r="BN319" i="43" s="1"/>
  <c r="BH342" i="43"/>
  <c r="BK342" i="43" s="1"/>
  <c r="BL342" i="43" s="1"/>
  <c r="BM342" i="43" s="1"/>
  <c r="BN342" i="43" s="1"/>
  <c r="BE88" i="1"/>
  <c r="BG88" i="1" s="1"/>
  <c r="BH88" i="1" s="1"/>
  <c r="BI88" i="1" s="1"/>
  <c r="BK88" i="1" s="1"/>
  <c r="BM88" i="1" s="1"/>
  <c r="BE30" i="1"/>
  <c r="BG30" i="1" s="1"/>
  <c r="BH30" i="1" s="1"/>
  <c r="BH318" i="43"/>
  <c r="BK318" i="43" s="1"/>
  <c r="BL318" i="43" s="1"/>
  <c r="BM318" i="43" s="1"/>
  <c r="BN318" i="43" s="1"/>
  <c r="BE309" i="1"/>
  <c r="BG309" i="1" s="1"/>
  <c r="BH309" i="1" s="1"/>
  <c r="BJ309" i="1" s="1"/>
  <c r="BL309" i="1" s="1"/>
  <c r="BE370" i="1"/>
  <c r="BG370" i="1" s="1"/>
  <c r="BH370" i="1" s="1"/>
  <c r="BJ370" i="1" s="1"/>
  <c r="BE43" i="1"/>
  <c r="BG43" i="1" s="1"/>
  <c r="BH43" i="1" s="1"/>
  <c r="BI43" i="1" s="1"/>
  <c r="BK43" i="1" s="1"/>
  <c r="BH332" i="43"/>
  <c r="BK332" i="43" s="1"/>
  <c r="BL332" i="43" s="1"/>
  <c r="BM332" i="43" s="1"/>
  <c r="BN332" i="43" s="1"/>
  <c r="AX243" i="1"/>
  <c r="BG243" i="1" s="1"/>
  <c r="BH243" i="1" s="1"/>
  <c r="BE68" i="1"/>
  <c r="BG68" i="1" s="1"/>
  <c r="BH68" i="1" s="1"/>
  <c r="BI68" i="1" s="1"/>
  <c r="BK68" i="1" s="1"/>
  <c r="BM68" i="1" s="1"/>
  <c r="BH316" i="43"/>
  <c r="BH338" i="43"/>
  <c r="BK338" i="43" s="1"/>
  <c r="BL338" i="43" s="1"/>
  <c r="BM338" i="43" s="1"/>
  <c r="BN338" i="43" s="1"/>
  <c r="BE162" i="1"/>
  <c r="BG162" i="1" s="1"/>
  <c r="BH162" i="1" s="1"/>
  <c r="BJ162" i="1" s="1"/>
  <c r="BE155" i="1"/>
  <c r="BG155" i="1" s="1"/>
  <c r="BH155" i="1" s="1"/>
  <c r="BI155" i="1" s="1"/>
  <c r="BK155" i="1" s="1"/>
  <c r="BM155" i="1" s="1"/>
  <c r="BE132" i="1"/>
  <c r="BG132" i="1" s="1"/>
  <c r="BH132" i="1" s="1"/>
  <c r="BI132" i="1" s="1"/>
  <c r="BK132" i="1" s="1"/>
  <c r="BE318" i="1"/>
  <c r="BG318" i="1" s="1"/>
  <c r="BH318" i="1" s="1"/>
  <c r="BI318" i="1" s="1"/>
  <c r="BK318" i="1" s="1"/>
  <c r="BH341" i="43"/>
  <c r="BK341" i="43" s="1"/>
  <c r="BL341" i="43" s="1"/>
  <c r="BM341" i="43" s="1"/>
  <c r="BN341" i="43" s="1"/>
  <c r="BF303" i="43"/>
  <c r="BK303" i="43" s="1"/>
  <c r="BL303" i="43" s="1"/>
  <c r="BM303" i="43" s="1"/>
  <c r="BN303" i="43" s="1"/>
  <c r="BC90" i="1"/>
  <c r="BG90" i="1" s="1"/>
  <c r="BH90" i="1" s="1"/>
  <c r="BC35" i="1"/>
  <c r="BG35" i="1" s="1"/>
  <c r="BH35" i="1" s="1"/>
  <c r="BJ35" i="1" s="1"/>
  <c r="BC99" i="1"/>
  <c r="BG99" i="1" s="1"/>
  <c r="BH99" i="1" s="1"/>
  <c r="BJ99" i="1" s="1"/>
  <c r="BC115" i="1"/>
  <c r="BG115" i="1" s="1"/>
  <c r="BH115" i="1" s="1"/>
  <c r="BJ115" i="1" s="1"/>
  <c r="BF272" i="43"/>
  <c r="BK272" i="43" s="1"/>
  <c r="BL272" i="43" s="1"/>
  <c r="BM272" i="43" s="1"/>
  <c r="BN272" i="43" s="1"/>
  <c r="BF283" i="43"/>
  <c r="BK283" i="43" s="1"/>
  <c r="BL283" i="43" s="1"/>
  <c r="BM283" i="43" s="1"/>
  <c r="BN283" i="43" s="1"/>
  <c r="BF261" i="43"/>
  <c r="BK261" i="43" s="1"/>
  <c r="BL261" i="43" s="1"/>
  <c r="BM261" i="43" s="1"/>
  <c r="BN261" i="43" s="1"/>
  <c r="BC376" i="1"/>
  <c r="BG376" i="1" s="1"/>
  <c r="BH376" i="1" s="1"/>
  <c r="BJ376" i="1" s="1"/>
  <c r="BC306" i="1"/>
  <c r="BG306" i="1" s="1"/>
  <c r="BH306" i="1" s="1"/>
  <c r="BC374" i="1"/>
  <c r="BG374" i="1" s="1"/>
  <c r="BH374" i="1" s="1"/>
  <c r="BJ374" i="1" s="1"/>
  <c r="BC338" i="1"/>
  <c r="BG338" i="1" s="1"/>
  <c r="BH338" i="1" s="1"/>
  <c r="BI338" i="1" s="1"/>
  <c r="BK338" i="1" s="1"/>
  <c r="BC125" i="1"/>
  <c r="BG125" i="1" s="1"/>
  <c r="BH125" i="1" s="1"/>
  <c r="BI125" i="1" s="1"/>
  <c r="BK125" i="1" s="1"/>
  <c r="BF298" i="43"/>
  <c r="BK298" i="43" s="1"/>
  <c r="BL298" i="43" s="1"/>
  <c r="BM298" i="43" s="1"/>
  <c r="BN298" i="43" s="1"/>
  <c r="BF230" i="43"/>
  <c r="BK230" i="43" s="1"/>
  <c r="BL230" i="43" s="1"/>
  <c r="BM230" i="43" s="1"/>
  <c r="BN230" i="43" s="1"/>
  <c r="BF275" i="43"/>
  <c r="BK275" i="43" s="1"/>
  <c r="BL275" i="43" s="1"/>
  <c r="BM275" i="43" s="1"/>
  <c r="BN275" i="43" s="1"/>
  <c r="BC259" i="1"/>
  <c r="BG259" i="1" s="1"/>
  <c r="BH259" i="1" s="1"/>
  <c r="BI259" i="1" s="1"/>
  <c r="BK259" i="1" s="1"/>
  <c r="BC100" i="1"/>
  <c r="BG100" i="1" s="1"/>
  <c r="BH100" i="1" s="1"/>
  <c r="BC91" i="1"/>
  <c r="BG91" i="1" s="1"/>
  <c r="BH91" i="1" s="1"/>
  <c r="BJ91" i="1" s="1"/>
  <c r="BC108" i="1"/>
  <c r="BG108" i="1" s="1"/>
  <c r="BH108" i="1" s="1"/>
  <c r="BJ108" i="1" s="1"/>
  <c r="BF227" i="43"/>
  <c r="BK227" i="43" s="1"/>
  <c r="BL227" i="43" s="1"/>
  <c r="BM227" i="43" s="1"/>
  <c r="BN227" i="43" s="1"/>
  <c r="BF258" i="43"/>
  <c r="BK258" i="43" s="1"/>
  <c r="BL258" i="43" s="1"/>
  <c r="BM258" i="43" s="1"/>
  <c r="BN258" i="43" s="1"/>
  <c r="BF294" i="43"/>
  <c r="BK294" i="43" s="1"/>
  <c r="BL294" i="43" s="1"/>
  <c r="BM294" i="43" s="1"/>
  <c r="BN294" i="43" s="1"/>
  <c r="BF233" i="43"/>
  <c r="BK233" i="43" s="1"/>
  <c r="BL233" i="43" s="1"/>
  <c r="BM233" i="43" s="1"/>
  <c r="BN233" i="43" s="1"/>
  <c r="AU241" i="1"/>
  <c r="BG241" i="1" s="1"/>
  <c r="BH241" i="1" s="1"/>
  <c r="BJ241" i="1" s="1"/>
  <c r="AU375" i="1"/>
  <c r="BG375" i="1" s="1"/>
  <c r="BH375" i="1" s="1"/>
  <c r="BC41" i="1"/>
  <c r="BG41" i="1" s="1"/>
  <c r="BH41" i="1" s="1"/>
  <c r="BI41" i="1" s="1"/>
  <c r="BK41" i="1" s="1"/>
  <c r="BC323" i="1"/>
  <c r="BG323" i="1" s="1"/>
  <c r="BH323" i="1" s="1"/>
  <c r="BJ323" i="1" s="1"/>
  <c r="BF251" i="43"/>
  <c r="BK251" i="43" s="1"/>
  <c r="BL251" i="43" s="1"/>
  <c r="BM251" i="43" s="1"/>
  <c r="BN251" i="43" s="1"/>
  <c r="BF249" i="43"/>
  <c r="BK249" i="43" s="1"/>
  <c r="BL249" i="43" s="1"/>
  <c r="BM249" i="43" s="1"/>
  <c r="BN249" i="43" s="1"/>
  <c r="BF299" i="43"/>
  <c r="BK299" i="43" s="1"/>
  <c r="BL299" i="43" s="1"/>
  <c r="BM299" i="43" s="1"/>
  <c r="BN299" i="43" s="1"/>
  <c r="BH326" i="43"/>
  <c r="BK326" i="43" s="1"/>
  <c r="BL326" i="43" s="1"/>
  <c r="BM326" i="43" s="1"/>
  <c r="BN326" i="43" s="1"/>
  <c r="BH337" i="43"/>
  <c r="BK337" i="43" s="1"/>
  <c r="BL337" i="43" s="1"/>
  <c r="BM337" i="43" s="1"/>
  <c r="BN337" i="43" s="1"/>
  <c r="BH323" i="43"/>
  <c r="BK323" i="43" s="1"/>
  <c r="BL323" i="43" s="1"/>
  <c r="BM323" i="43" s="1"/>
  <c r="BN323" i="43" s="1"/>
  <c r="BH317" i="43"/>
  <c r="BK317" i="43" s="1"/>
  <c r="BL317" i="43" s="1"/>
  <c r="BM317" i="43" s="1"/>
  <c r="BN317" i="43" s="1"/>
  <c r="BE386" i="1"/>
  <c r="BG386" i="1" s="1"/>
  <c r="BH386" i="1" s="1"/>
  <c r="BI386" i="1" s="1"/>
  <c r="BK386" i="1" s="1"/>
  <c r="BE333" i="1"/>
  <c r="BG333" i="1" s="1"/>
  <c r="BH333" i="1" s="1"/>
  <c r="BI333" i="1" s="1"/>
  <c r="BK333" i="1" s="1"/>
  <c r="BC196" i="1"/>
  <c r="BG196" i="1" s="1"/>
  <c r="BH196" i="1" s="1"/>
  <c r="BI196" i="1" s="1"/>
  <c r="BK196" i="1" s="1"/>
  <c r="BC134" i="1"/>
  <c r="BG134" i="1" s="1"/>
  <c r="BH134" i="1" s="1"/>
  <c r="BI134" i="1" s="1"/>
  <c r="BK134" i="1" s="1"/>
  <c r="BC57" i="1"/>
  <c r="BG57" i="1" s="1"/>
  <c r="BH57" i="1" s="1"/>
  <c r="BI57" i="1" s="1"/>
  <c r="BK57" i="1" s="1"/>
  <c r="BC204" i="1"/>
  <c r="BG204" i="1" s="1"/>
  <c r="BH204" i="1" s="1"/>
  <c r="BJ204" i="1" s="1"/>
  <c r="BF274" i="43"/>
  <c r="BK274" i="43" s="1"/>
  <c r="BL274" i="43" s="1"/>
  <c r="BM274" i="43" s="1"/>
  <c r="BN274" i="43" s="1"/>
  <c r="BF256" i="43"/>
  <c r="BK256" i="43" s="1"/>
  <c r="BL256" i="43" s="1"/>
  <c r="BM256" i="43" s="1"/>
  <c r="BN256" i="43" s="1"/>
  <c r="BF302" i="43"/>
  <c r="BK302" i="43" s="1"/>
  <c r="BL302" i="43" s="1"/>
  <c r="BM302" i="43" s="1"/>
  <c r="BN302" i="43" s="1"/>
  <c r="BF228" i="43"/>
  <c r="BK228" i="43" s="1"/>
  <c r="BL228" i="43" s="1"/>
  <c r="BM228" i="43" s="1"/>
  <c r="BN228" i="43" s="1"/>
  <c r="BF267" i="43"/>
  <c r="BK267" i="43" s="1"/>
  <c r="BL267" i="43" s="1"/>
  <c r="BM267" i="43" s="1"/>
  <c r="BN267" i="43" s="1"/>
  <c r="BF296" i="43"/>
  <c r="BK296" i="43" s="1"/>
  <c r="BL296" i="43" s="1"/>
  <c r="BM296" i="43" s="1"/>
  <c r="BN296" i="43" s="1"/>
  <c r="BC159" i="1"/>
  <c r="BG159" i="1" s="1"/>
  <c r="BH159" i="1" s="1"/>
  <c r="BI159" i="1" s="1"/>
  <c r="BK159" i="1" s="1"/>
  <c r="BC265" i="1"/>
  <c r="BG265" i="1" s="1"/>
  <c r="BH265" i="1" s="1"/>
  <c r="BI265" i="1" s="1"/>
  <c r="BK265" i="1" s="1"/>
  <c r="BC116" i="1"/>
  <c r="BG116" i="1" s="1"/>
  <c r="BH116" i="1" s="1"/>
  <c r="BJ116" i="1" s="1"/>
  <c r="BC227" i="1"/>
  <c r="BG227" i="1" s="1"/>
  <c r="BH227" i="1" s="1"/>
  <c r="BI227" i="1" s="1"/>
  <c r="BK227" i="1" s="1"/>
  <c r="BF293" i="43"/>
  <c r="BK293" i="43" s="1"/>
  <c r="BL293" i="43" s="1"/>
  <c r="BM293" i="43" s="1"/>
  <c r="BN293" i="43" s="1"/>
  <c r="BF262" i="43"/>
  <c r="BK262" i="43" s="1"/>
  <c r="BL262" i="43" s="1"/>
  <c r="BM262" i="43" s="1"/>
  <c r="BN262" i="43" s="1"/>
  <c r="BF232" i="43"/>
  <c r="BK232" i="43" s="1"/>
  <c r="BL232" i="43" s="1"/>
  <c r="BM232" i="43" s="1"/>
  <c r="BN232" i="43" s="1"/>
  <c r="BF301" i="43"/>
  <c r="BK301" i="43" s="1"/>
  <c r="BL301" i="43" s="1"/>
  <c r="BM301" i="43" s="1"/>
  <c r="BN301" i="43" s="1"/>
  <c r="BF237" i="43"/>
  <c r="BK237" i="43" s="1"/>
  <c r="BL237" i="43" s="1"/>
  <c r="BM237" i="43" s="1"/>
  <c r="BN237" i="43" s="1"/>
  <c r="BC28" i="1"/>
  <c r="BG28" i="1" s="1"/>
  <c r="BH28" i="1" s="1"/>
  <c r="BJ28" i="1" s="1"/>
  <c r="BC96" i="1"/>
  <c r="BG96" i="1" s="1"/>
  <c r="BH96" i="1" s="1"/>
  <c r="BJ96" i="1" s="1"/>
  <c r="BC256" i="1"/>
  <c r="BG256" i="1" s="1"/>
  <c r="BH256" i="1" s="1"/>
  <c r="BJ256" i="1" s="1"/>
  <c r="BC277" i="1"/>
  <c r="BG277" i="1" s="1"/>
  <c r="BH277" i="1" s="1"/>
  <c r="BJ277" i="1" s="1"/>
  <c r="BF260" i="43"/>
  <c r="BK260" i="43" s="1"/>
  <c r="BL260" i="43" s="1"/>
  <c r="BM260" i="43" s="1"/>
  <c r="BN260" i="43" s="1"/>
  <c r="BF266" i="43"/>
  <c r="BK266" i="43" s="1"/>
  <c r="BL266" i="43" s="1"/>
  <c r="BM266" i="43" s="1"/>
  <c r="BN266" i="43" s="1"/>
  <c r="BF277" i="43"/>
  <c r="BK277" i="43" s="1"/>
  <c r="BL277" i="43" s="1"/>
  <c r="BM277" i="43" s="1"/>
  <c r="BN277" i="43" s="1"/>
  <c r="BF245" i="43"/>
  <c r="BK245" i="43" s="1"/>
  <c r="BL245" i="43" s="1"/>
  <c r="BM245" i="43" s="1"/>
  <c r="BN245" i="43" s="1"/>
  <c r="BF269" i="43"/>
  <c r="BK269" i="43" s="1"/>
  <c r="BL269" i="43" s="1"/>
  <c r="BM269" i="43" s="1"/>
  <c r="BN269" i="43" s="1"/>
  <c r="BE145" i="1"/>
  <c r="BG145" i="1" s="1"/>
  <c r="BH145" i="1" s="1"/>
  <c r="BJ145" i="1" s="1"/>
  <c r="BL145" i="1" s="1"/>
  <c r="BH336" i="43"/>
  <c r="BK336" i="43" s="1"/>
  <c r="BL336" i="43" s="1"/>
  <c r="BM336" i="43" s="1"/>
  <c r="BN336" i="43" s="1"/>
  <c r="BE180" i="1"/>
  <c r="BG180" i="1" s="1"/>
  <c r="BH180" i="1" s="1"/>
  <c r="BJ180" i="1" s="1"/>
  <c r="BE299" i="1"/>
  <c r="BG299" i="1" s="1"/>
  <c r="BH299" i="1" s="1"/>
  <c r="BJ299" i="1" s="1"/>
  <c r="BE313" i="1"/>
  <c r="BG313" i="1" s="1"/>
  <c r="BH313" i="1" s="1"/>
  <c r="BJ313" i="1" s="1"/>
  <c r="BH325" i="43"/>
  <c r="BK325" i="43" s="1"/>
  <c r="BL325" i="43" s="1"/>
  <c r="BM325" i="43" s="1"/>
  <c r="BN325" i="43" s="1"/>
  <c r="BE113" i="1"/>
  <c r="BG113" i="1" s="1"/>
  <c r="BH113" i="1" s="1"/>
  <c r="BI113" i="1" s="1"/>
  <c r="BK113" i="1" s="1"/>
  <c r="BM113" i="1" s="1"/>
  <c r="BH333" i="43"/>
  <c r="BK333" i="43" s="1"/>
  <c r="BL333" i="43" s="1"/>
  <c r="BM333" i="43" s="1"/>
  <c r="BN333" i="43" s="1"/>
  <c r="BH339" i="43"/>
  <c r="BK339" i="43" s="1"/>
  <c r="BL339" i="43" s="1"/>
  <c r="BM339" i="43" s="1"/>
  <c r="BN339" i="43" s="1"/>
  <c r="BH320" i="43"/>
  <c r="BK320" i="43" s="1"/>
  <c r="BL320" i="43" s="1"/>
  <c r="BM320" i="43" s="1"/>
  <c r="BN320" i="43" s="1"/>
  <c r="BH330" i="43"/>
  <c r="BK330" i="43" s="1"/>
  <c r="BL330" i="43" s="1"/>
  <c r="BM330" i="43" s="1"/>
  <c r="BN330" i="43" s="1"/>
  <c r="BE193" i="1"/>
  <c r="BG193" i="1" s="1"/>
  <c r="BH193" i="1" s="1"/>
  <c r="BI193" i="1" s="1"/>
  <c r="BK193" i="1" s="1"/>
  <c r="BH322" i="43"/>
  <c r="BK322" i="43" s="1"/>
  <c r="BL322" i="43" s="1"/>
  <c r="BM322" i="43" s="1"/>
  <c r="BN322" i="43" s="1"/>
  <c r="BH335" i="43"/>
  <c r="BK335" i="43" s="1"/>
  <c r="BL335" i="43" s="1"/>
  <c r="BM335" i="43" s="1"/>
  <c r="BN335" i="43" s="1"/>
  <c r="BE18" i="1"/>
  <c r="BG18" i="1" s="1"/>
  <c r="BH18" i="1" s="1"/>
  <c r="BI18" i="1" s="1"/>
  <c r="BK18" i="1" s="1"/>
  <c r="BH321" i="43"/>
  <c r="BK321" i="43" s="1"/>
  <c r="BL321" i="43" s="1"/>
  <c r="BM321" i="43" s="1"/>
  <c r="BN321" i="43" s="1"/>
  <c r="BC119" i="1"/>
  <c r="BG119" i="1" s="1"/>
  <c r="BH119" i="1" s="1"/>
  <c r="BI119" i="1" s="1"/>
  <c r="BK119" i="1" s="1"/>
  <c r="BF252" i="43"/>
  <c r="BK252" i="43" s="1"/>
  <c r="BL252" i="43" s="1"/>
  <c r="BM252" i="43" s="1"/>
  <c r="BN252" i="43" s="1"/>
  <c r="BC50" i="1"/>
  <c r="BG50" i="1" s="1"/>
  <c r="BH50" i="1" s="1"/>
  <c r="BI50" i="1" s="1"/>
  <c r="BK50" i="1" s="1"/>
  <c r="BC291" i="1"/>
  <c r="BG291" i="1" s="1"/>
  <c r="BH291" i="1" s="1"/>
  <c r="BJ291" i="1" s="1"/>
  <c r="BC124" i="1"/>
  <c r="BG124" i="1" s="1"/>
  <c r="BH124" i="1" s="1"/>
  <c r="BI124" i="1" s="1"/>
  <c r="BK124" i="1" s="1"/>
  <c r="BC62" i="1"/>
  <c r="BG62" i="1" s="1"/>
  <c r="BH62" i="1" s="1"/>
  <c r="BI62" i="1" s="1"/>
  <c r="BK62" i="1" s="1"/>
  <c r="BC151" i="1"/>
  <c r="BG151" i="1" s="1"/>
  <c r="BH151" i="1" s="1"/>
  <c r="BJ151" i="1" s="1"/>
  <c r="BC40" i="1"/>
  <c r="BG40" i="1" s="1"/>
  <c r="BH40" i="1" s="1"/>
  <c r="BJ40" i="1" s="1"/>
  <c r="BC189" i="1"/>
  <c r="BG189" i="1" s="1"/>
  <c r="BH189" i="1" s="1"/>
  <c r="BJ189" i="1" s="1"/>
  <c r="BC156" i="1"/>
  <c r="BG156" i="1" s="1"/>
  <c r="BH156" i="1" s="1"/>
  <c r="BI156" i="1" s="1"/>
  <c r="BK156" i="1" s="1"/>
  <c r="BC150" i="1"/>
  <c r="BG150" i="1" s="1"/>
  <c r="BH150" i="1" s="1"/>
  <c r="BI150" i="1" s="1"/>
  <c r="BK150" i="1" s="1"/>
  <c r="BF229" i="43"/>
  <c r="BK229" i="43" s="1"/>
  <c r="BL229" i="43" s="1"/>
  <c r="BM229" i="43" s="1"/>
  <c r="BN229" i="43" s="1"/>
  <c r="BF255" i="43"/>
  <c r="BK255" i="43" s="1"/>
  <c r="BL255" i="43" s="1"/>
  <c r="BM255" i="43" s="1"/>
  <c r="BN255" i="43" s="1"/>
  <c r="BF288" i="43"/>
  <c r="BK288" i="43" s="1"/>
  <c r="BL288" i="43" s="1"/>
  <c r="BM288" i="43" s="1"/>
  <c r="BN288" i="43" s="1"/>
  <c r="BF239" i="43"/>
  <c r="BK239" i="43" s="1"/>
  <c r="BL239" i="43" s="1"/>
  <c r="BM239" i="43" s="1"/>
  <c r="BN239" i="43" s="1"/>
  <c r="BF253" i="43"/>
  <c r="BK253" i="43" s="1"/>
  <c r="BL253" i="43" s="1"/>
  <c r="BM253" i="43" s="1"/>
  <c r="BN253" i="43" s="1"/>
  <c r="BF276" i="43"/>
  <c r="BK276" i="43" s="1"/>
  <c r="BL276" i="43" s="1"/>
  <c r="BM276" i="43" s="1"/>
  <c r="BN276" i="43" s="1"/>
  <c r="BF290" i="43"/>
  <c r="BK290" i="43" s="1"/>
  <c r="BL290" i="43" s="1"/>
  <c r="BM290" i="43" s="1"/>
  <c r="BN290" i="43" s="1"/>
  <c r="BF273" i="43"/>
  <c r="BK273" i="43" s="1"/>
  <c r="BL273" i="43" s="1"/>
  <c r="BM273" i="43" s="1"/>
  <c r="BN273" i="43" s="1"/>
  <c r="BF246" i="43"/>
  <c r="BK246" i="43" s="1"/>
  <c r="BL246" i="43" s="1"/>
  <c r="BM246" i="43" s="1"/>
  <c r="BN246" i="43" s="1"/>
  <c r="BC187" i="1"/>
  <c r="BG187" i="1" s="1"/>
  <c r="BH187" i="1" s="1"/>
  <c r="BJ187" i="1" s="1"/>
  <c r="BC76" i="1"/>
  <c r="BG76" i="1" s="1"/>
  <c r="BH76" i="1" s="1"/>
  <c r="BJ76" i="1" s="1"/>
  <c r="BC220" i="1"/>
  <c r="BG220" i="1" s="1"/>
  <c r="BH220" i="1" s="1"/>
  <c r="BJ220" i="1" s="1"/>
  <c r="BC47" i="1"/>
  <c r="BG47" i="1" s="1"/>
  <c r="BH47" i="1" s="1"/>
  <c r="BJ47" i="1" s="1"/>
  <c r="BC332" i="1"/>
  <c r="BG332" i="1" s="1"/>
  <c r="BH332" i="1" s="1"/>
  <c r="BI332" i="1" s="1"/>
  <c r="BK332" i="1" s="1"/>
  <c r="BC34" i="1"/>
  <c r="BG34" i="1" s="1"/>
  <c r="BH34" i="1" s="1"/>
  <c r="BJ34" i="1" s="1"/>
  <c r="BL34" i="1" s="1"/>
  <c r="BC186" i="1"/>
  <c r="BG186" i="1" s="1"/>
  <c r="BH186" i="1" s="1"/>
  <c r="BI186" i="1" s="1"/>
  <c r="BK186" i="1" s="1"/>
  <c r="BM186" i="1" s="1"/>
  <c r="BC195" i="1"/>
  <c r="BG195" i="1" s="1"/>
  <c r="BH195" i="1" s="1"/>
  <c r="BJ195" i="1" s="1"/>
  <c r="BC210" i="1"/>
  <c r="BG210" i="1" s="1"/>
  <c r="BH210" i="1" s="1"/>
  <c r="BJ210" i="1" s="1"/>
  <c r="BC80" i="1"/>
  <c r="BG80" i="1" s="1"/>
  <c r="BH80" i="1" s="1"/>
  <c r="BJ80" i="1" s="1"/>
  <c r="BC222" i="1"/>
  <c r="BG222" i="1" s="1"/>
  <c r="BH222" i="1" s="1"/>
  <c r="BJ222" i="1" s="1"/>
  <c r="BF305" i="43"/>
  <c r="BK305" i="43" s="1"/>
  <c r="BL305" i="43" s="1"/>
  <c r="BM305" i="43" s="1"/>
  <c r="BN305" i="43" s="1"/>
  <c r="BF300" i="43"/>
  <c r="BK300" i="43" s="1"/>
  <c r="BL300" i="43" s="1"/>
  <c r="BM300" i="43" s="1"/>
  <c r="BN300" i="43" s="1"/>
  <c r="BF241" i="43"/>
  <c r="BK241" i="43" s="1"/>
  <c r="BL241" i="43" s="1"/>
  <c r="BM241" i="43" s="1"/>
  <c r="BN241" i="43" s="1"/>
  <c r="BF235" i="43"/>
  <c r="BK235" i="43" s="1"/>
  <c r="BL235" i="43" s="1"/>
  <c r="BM235" i="43" s="1"/>
  <c r="BN235" i="43" s="1"/>
  <c r="BF254" i="43"/>
  <c r="BK254" i="43" s="1"/>
  <c r="BL254" i="43" s="1"/>
  <c r="BM254" i="43" s="1"/>
  <c r="BN254" i="43" s="1"/>
  <c r="BF259" i="43"/>
  <c r="BK259" i="43" s="1"/>
  <c r="BL259" i="43" s="1"/>
  <c r="BM259" i="43" s="1"/>
  <c r="BN259" i="43" s="1"/>
  <c r="BF238" i="43"/>
  <c r="BK238" i="43" s="1"/>
  <c r="BL238" i="43" s="1"/>
  <c r="BM238" i="43" s="1"/>
  <c r="BN238" i="43" s="1"/>
  <c r="BF297" i="43"/>
  <c r="BK297" i="43" s="1"/>
  <c r="BL297" i="43" s="1"/>
  <c r="BM297" i="43" s="1"/>
  <c r="BN297" i="43" s="1"/>
  <c r="BC214" i="1"/>
  <c r="BG214" i="1" s="1"/>
  <c r="BH214" i="1" s="1"/>
  <c r="BJ214" i="1" s="1"/>
  <c r="BC206" i="1"/>
  <c r="BG206" i="1" s="1"/>
  <c r="BH206" i="1" s="1"/>
  <c r="BJ206" i="1" s="1"/>
  <c r="BF244" i="43"/>
  <c r="BK244" i="43" s="1"/>
  <c r="BL244" i="43" s="1"/>
  <c r="BM244" i="43" s="1"/>
  <c r="BN244" i="43" s="1"/>
  <c r="BC314" i="1"/>
  <c r="BG314" i="1" s="1"/>
  <c r="BH314" i="1" s="1"/>
  <c r="BI314" i="1" s="1"/>
  <c r="BK314" i="1" s="1"/>
  <c r="BC178" i="1"/>
  <c r="BG178" i="1" s="1"/>
  <c r="BH178" i="1" s="1"/>
  <c r="BJ178" i="1" s="1"/>
  <c r="BC141" i="1"/>
  <c r="BG141" i="1" s="1"/>
  <c r="BH141" i="1" s="1"/>
  <c r="BI141" i="1" s="1"/>
  <c r="BK141" i="1" s="1"/>
  <c r="BF279" i="43"/>
  <c r="BK279" i="43" s="1"/>
  <c r="BL279" i="43" s="1"/>
  <c r="BM279" i="43" s="1"/>
  <c r="BN279" i="43" s="1"/>
  <c r="BF236" i="43"/>
  <c r="BK236" i="43" s="1"/>
  <c r="BL236" i="43" s="1"/>
  <c r="BM236" i="43" s="1"/>
  <c r="BN236" i="43" s="1"/>
  <c r="BF265" i="43"/>
  <c r="BK265" i="43" s="1"/>
  <c r="BL265" i="43" s="1"/>
  <c r="BM265" i="43" s="1"/>
  <c r="BN265" i="43" s="1"/>
  <c r="BC112" i="1"/>
  <c r="BG112" i="1" s="1"/>
  <c r="BH112" i="1" s="1"/>
  <c r="BJ112" i="1" s="1"/>
  <c r="BF282" i="43"/>
  <c r="BK282" i="43" s="1"/>
  <c r="BL282" i="43" s="1"/>
  <c r="BM282" i="43" s="1"/>
  <c r="BN282" i="43" s="1"/>
  <c r="BF304" i="43"/>
  <c r="BK304" i="43" s="1"/>
  <c r="BL304" i="43" s="1"/>
  <c r="BM304" i="43" s="1"/>
  <c r="BN304" i="43" s="1"/>
  <c r="BF292" i="43"/>
  <c r="BK292" i="43" s="1"/>
  <c r="BL292" i="43" s="1"/>
  <c r="BM292" i="43" s="1"/>
  <c r="BN292" i="43" s="1"/>
  <c r="BF234" i="43"/>
  <c r="BK234" i="43" s="1"/>
  <c r="BL234" i="43" s="1"/>
  <c r="BM234" i="43" s="1"/>
  <c r="BN234" i="43" s="1"/>
  <c r="BF281" i="43"/>
  <c r="BK281" i="43" s="1"/>
  <c r="BL281" i="43" s="1"/>
  <c r="BM281" i="43" s="1"/>
  <c r="BN281" i="43" s="1"/>
  <c r="BF280" i="43"/>
  <c r="BK280" i="43" s="1"/>
  <c r="BL280" i="43" s="1"/>
  <c r="BM280" i="43" s="1"/>
  <c r="BN280" i="43" s="1"/>
  <c r="BF295" i="43"/>
  <c r="BK295" i="43" s="1"/>
  <c r="BL295" i="43" s="1"/>
  <c r="BM295" i="43" s="1"/>
  <c r="BN295" i="43" s="1"/>
  <c r="BF247" i="43"/>
  <c r="BK247" i="43" s="1"/>
  <c r="BL247" i="43" s="1"/>
  <c r="BM247" i="43" s="1"/>
  <c r="BN247" i="43" s="1"/>
  <c r="BF250" i="43"/>
  <c r="BK250" i="43" s="1"/>
  <c r="BL250" i="43" s="1"/>
  <c r="BM250" i="43" s="1"/>
  <c r="BN250" i="43" s="1"/>
  <c r="AX249" i="1"/>
  <c r="BG249" i="1" s="1"/>
  <c r="BH249" i="1" s="1"/>
  <c r="BJ249" i="1" s="1"/>
  <c r="BL249" i="1" s="1"/>
  <c r="BA118" i="43"/>
  <c r="BK118" i="43" s="1"/>
  <c r="BL118" i="43" s="1"/>
  <c r="BM118" i="43" s="1"/>
  <c r="BN118" i="43" s="1"/>
  <c r="AW144" i="1"/>
  <c r="BG144" i="1" s="1"/>
  <c r="BH144" i="1" s="1"/>
  <c r="BI144" i="1" s="1"/>
  <c r="BK144" i="1" s="1"/>
  <c r="BA123" i="43"/>
  <c r="BK123" i="43" s="1"/>
  <c r="BL123" i="43" s="1"/>
  <c r="BM123" i="43" s="1"/>
  <c r="BN123" i="43" s="1"/>
  <c r="AX304" i="1"/>
  <c r="BG304" i="1" s="1"/>
  <c r="BH304" i="1" s="1"/>
  <c r="BJ304" i="1" s="1"/>
  <c r="BL304" i="1" s="1"/>
  <c r="AX46" i="1"/>
  <c r="BG46" i="1" s="1"/>
  <c r="BH46" i="1" s="1"/>
  <c r="BJ46" i="1" s="1"/>
  <c r="BL46" i="1" s="1"/>
  <c r="BA117" i="43"/>
  <c r="BK117" i="43" s="1"/>
  <c r="BL117" i="43" s="1"/>
  <c r="BM117" i="43" s="1"/>
  <c r="BN117" i="43" s="1"/>
  <c r="AX78" i="1"/>
  <c r="BG78" i="1" s="1"/>
  <c r="BH78" i="1" s="1"/>
  <c r="BJ78" i="1" s="1"/>
  <c r="BF285" i="43"/>
  <c r="BK285" i="43" s="1"/>
  <c r="BL285" i="43" s="1"/>
  <c r="BM285" i="43" s="1"/>
  <c r="BN285" i="43" s="1"/>
  <c r="BF257" i="43"/>
  <c r="BK257" i="43" s="1"/>
  <c r="BL257" i="43" s="1"/>
  <c r="BM257" i="43" s="1"/>
  <c r="BN257" i="43" s="1"/>
  <c r="AW285" i="1"/>
  <c r="BG285" i="1" s="1"/>
  <c r="BH285" i="1" s="1"/>
  <c r="BJ285" i="1" s="1"/>
  <c r="AW130" i="1"/>
  <c r="BI346" i="43"/>
  <c r="BK346" i="43" s="1"/>
  <c r="BL346" i="43" s="1"/>
  <c r="BM346" i="43" s="1"/>
  <c r="BN346" i="43" s="1"/>
  <c r="BD48" i="1"/>
  <c r="BG48" i="1" s="1"/>
  <c r="BH48" i="1" s="1"/>
  <c r="BJ48" i="1" s="1"/>
  <c r="AX303" i="1"/>
  <c r="BG303" i="1" s="1"/>
  <c r="BH303" i="1" s="1"/>
  <c r="BI303" i="1" s="1"/>
  <c r="BK303" i="1" s="1"/>
  <c r="AX65" i="1"/>
  <c r="BG65" i="1" s="1"/>
  <c r="BH65" i="1" s="1"/>
  <c r="BJ65" i="1" s="1"/>
  <c r="BA120" i="43"/>
  <c r="BK120" i="43" s="1"/>
  <c r="BL120" i="43" s="1"/>
  <c r="BM120" i="43" s="1"/>
  <c r="BN120" i="43" s="1"/>
  <c r="BF273" i="1"/>
  <c r="BG273" i="1" s="1"/>
  <c r="BH273" i="1" s="1"/>
  <c r="BJ273" i="1" s="1"/>
  <c r="BF268" i="1"/>
  <c r="BG268" i="1" s="1"/>
  <c r="BH268" i="1" s="1"/>
  <c r="BI268" i="1" s="1"/>
  <c r="BK268" i="1" s="1"/>
  <c r="BA114" i="43"/>
  <c r="BK114" i="43" s="1"/>
  <c r="BL114" i="43" s="1"/>
  <c r="BM114" i="43" s="1"/>
  <c r="BN114" i="43" s="1"/>
  <c r="AX197" i="1"/>
  <c r="BG197" i="1" s="1"/>
  <c r="BH197" i="1" s="1"/>
  <c r="BI197" i="1" s="1"/>
  <c r="BK197" i="1" s="1"/>
  <c r="BF75" i="1"/>
  <c r="BG75" i="1" s="1"/>
  <c r="BH75" i="1" s="1"/>
  <c r="BJ75" i="1" s="1"/>
  <c r="BA112" i="43"/>
  <c r="BK112" i="43" s="1"/>
  <c r="BL112" i="43" s="1"/>
  <c r="BM112" i="43" s="1"/>
  <c r="BN112" i="43" s="1"/>
  <c r="BA115" i="43"/>
  <c r="BK115" i="43" s="1"/>
  <c r="BL115" i="43" s="1"/>
  <c r="BM115" i="43" s="1"/>
  <c r="BN115" i="43" s="1"/>
  <c r="BI355" i="43"/>
  <c r="BK355" i="43" s="1"/>
  <c r="BL355" i="43" s="1"/>
  <c r="BM355" i="43" s="1"/>
  <c r="BN355" i="43" s="1"/>
  <c r="BF245" i="1"/>
  <c r="BG245" i="1" s="1"/>
  <c r="BH245" i="1" s="1"/>
  <c r="BI245" i="1" s="1"/>
  <c r="BK245" i="1" s="1"/>
  <c r="BF33" i="1"/>
  <c r="BG33" i="1" s="1"/>
  <c r="BH33" i="1" s="1"/>
  <c r="BJ33" i="1" s="1"/>
  <c r="BB351" i="1"/>
  <c r="BG351" i="1" s="1"/>
  <c r="BH351" i="1" s="1"/>
  <c r="BI351" i="1" s="1"/>
  <c r="BK351" i="1" s="1"/>
  <c r="BF58" i="1"/>
  <c r="BG58" i="1" s="1"/>
  <c r="BH58" i="1" s="1"/>
  <c r="BI58" i="1" s="1"/>
  <c r="BK58" i="1" s="1"/>
  <c r="BF60" i="1"/>
  <c r="BG60" i="1" s="1"/>
  <c r="BH60" i="1" s="1"/>
  <c r="BJ60" i="1" s="1"/>
  <c r="BL60" i="1" s="1"/>
  <c r="BF264" i="1"/>
  <c r="BG264" i="1" s="1"/>
  <c r="BH264" i="1" s="1"/>
  <c r="BJ264" i="1" s="1"/>
  <c r="AW12" i="1"/>
  <c r="BG12" i="1" s="1"/>
  <c r="BH12" i="1" s="1"/>
  <c r="BI12" i="1" s="1"/>
  <c r="BK12" i="1" s="1"/>
  <c r="AZ105" i="43"/>
  <c r="BK105" i="43" s="1"/>
  <c r="BL105" i="43" s="1"/>
  <c r="BM105" i="43" s="1"/>
  <c r="BN105" i="43" s="1"/>
  <c r="AW36" i="1"/>
  <c r="BG36" i="1" s="1"/>
  <c r="BH36" i="1" s="1"/>
  <c r="BI36" i="1" s="1"/>
  <c r="BK36" i="1" s="1"/>
  <c r="AW230" i="1"/>
  <c r="BG230" i="1" s="1"/>
  <c r="BH230" i="1" s="1"/>
  <c r="BJ230" i="1" s="1"/>
  <c r="AW383" i="1"/>
  <c r="BG383" i="1" s="1"/>
  <c r="BH383" i="1" s="1"/>
  <c r="BI383" i="1" s="1"/>
  <c r="BK383" i="1" s="1"/>
  <c r="BM383" i="1" s="1"/>
  <c r="AW172" i="1"/>
  <c r="BG172" i="1" s="1"/>
  <c r="BH172" i="1" s="1"/>
  <c r="BI172" i="1" s="1"/>
  <c r="BK172" i="1" s="1"/>
  <c r="BI347" i="43"/>
  <c r="BK347" i="43" s="1"/>
  <c r="BL347" i="43" s="1"/>
  <c r="BM347" i="43" s="1"/>
  <c r="BN347" i="43" s="1"/>
  <c r="BI343" i="43"/>
  <c r="BK343" i="43" s="1"/>
  <c r="BL343" i="43" s="1"/>
  <c r="BM343" i="43" s="1"/>
  <c r="BN343" i="43" s="1"/>
  <c r="BI364" i="43"/>
  <c r="BK364" i="43" s="1"/>
  <c r="BL364" i="43" s="1"/>
  <c r="BM364" i="43" s="1"/>
  <c r="BN364" i="43" s="1"/>
  <c r="BI362" i="43"/>
  <c r="BK362" i="43" s="1"/>
  <c r="BL362" i="43" s="1"/>
  <c r="BM362" i="43" s="1"/>
  <c r="BN362" i="43" s="1"/>
  <c r="BI360" i="43"/>
  <c r="BK360" i="43" s="1"/>
  <c r="BL360" i="43" s="1"/>
  <c r="BM360" i="43" s="1"/>
  <c r="BN360" i="43" s="1"/>
  <c r="BF372" i="1"/>
  <c r="BG372" i="1" s="1"/>
  <c r="BH372" i="1" s="1"/>
  <c r="BI372" i="1" s="1"/>
  <c r="BK372" i="1" s="1"/>
  <c r="BF70" i="1"/>
  <c r="BG70" i="1" s="1"/>
  <c r="BH70" i="1" s="1"/>
  <c r="BI70" i="1" s="1"/>
  <c r="BK70" i="1" s="1"/>
  <c r="BF244" i="1"/>
  <c r="BG244" i="1" s="1"/>
  <c r="BH244" i="1" s="1"/>
  <c r="BI244" i="1" s="1"/>
  <c r="BK244" i="1" s="1"/>
  <c r="BF266" i="1"/>
  <c r="BG266" i="1" s="1"/>
  <c r="BH266" i="1" s="1"/>
  <c r="BJ266" i="1" s="1"/>
  <c r="BL266" i="1" s="1"/>
  <c r="BF320" i="1"/>
  <c r="BG320" i="1" s="1"/>
  <c r="BH320" i="1" s="1"/>
  <c r="BI320" i="1" s="1"/>
  <c r="BK320" i="1" s="1"/>
  <c r="BF209" i="1"/>
  <c r="BG209" i="1" s="1"/>
  <c r="BH209" i="1" s="1"/>
  <c r="BJ209" i="1" s="1"/>
  <c r="BI353" i="43"/>
  <c r="BK353" i="43" s="1"/>
  <c r="BL353" i="43" s="1"/>
  <c r="BM353" i="43" s="1"/>
  <c r="BN353" i="43" s="1"/>
  <c r="BI356" i="43"/>
  <c r="BK356" i="43" s="1"/>
  <c r="BL356" i="43" s="1"/>
  <c r="BM356" i="43" s="1"/>
  <c r="BN356" i="43" s="1"/>
  <c r="BI354" i="43"/>
  <c r="BK354" i="43" s="1"/>
  <c r="BL354" i="43" s="1"/>
  <c r="BM354" i="43" s="1"/>
  <c r="BN354" i="43" s="1"/>
  <c r="BF360" i="1"/>
  <c r="BG360" i="1" s="1"/>
  <c r="BH360" i="1" s="1"/>
  <c r="BJ360" i="1" s="1"/>
  <c r="BF257" i="1"/>
  <c r="BG257" i="1" s="1"/>
  <c r="BH257" i="1" s="1"/>
  <c r="BI257" i="1" s="1"/>
  <c r="BK257" i="1" s="1"/>
  <c r="AX248" i="1"/>
  <c r="BG248" i="1" s="1"/>
  <c r="BH248" i="1" s="1"/>
  <c r="BJ248" i="1" s="1"/>
  <c r="BL248" i="1" s="1"/>
  <c r="AT381" i="1"/>
  <c r="BG381" i="1" s="1"/>
  <c r="BH381" i="1" s="1"/>
  <c r="BI381" i="1" s="1"/>
  <c r="BK381" i="1" s="1"/>
  <c r="BB354" i="1"/>
  <c r="BG354" i="1" s="1"/>
  <c r="BH354" i="1" s="1"/>
  <c r="BJ354" i="1" s="1"/>
  <c r="BE225" i="43"/>
  <c r="BK225" i="43" s="1"/>
  <c r="BL225" i="43" s="1"/>
  <c r="BM225" i="43" s="1"/>
  <c r="BN225" i="43" s="1"/>
  <c r="BB74" i="1"/>
  <c r="BG74" i="1" s="1"/>
  <c r="BH74" i="1" s="1"/>
  <c r="BJ74" i="1" s="1"/>
  <c r="BE195" i="43"/>
  <c r="BK195" i="43" s="1"/>
  <c r="BL195" i="43" s="1"/>
  <c r="BM195" i="43" s="1"/>
  <c r="BN195" i="43" s="1"/>
  <c r="BE217" i="43"/>
  <c r="BK217" i="43" s="1"/>
  <c r="BL217" i="43" s="1"/>
  <c r="BM217" i="43" s="1"/>
  <c r="BN217" i="43" s="1"/>
  <c r="BA122" i="43"/>
  <c r="BK122" i="43" s="1"/>
  <c r="BL122" i="43" s="1"/>
  <c r="BM122" i="43" s="1"/>
  <c r="BN122" i="43" s="1"/>
  <c r="BA119" i="43"/>
  <c r="BK119" i="43" s="1"/>
  <c r="BL119" i="43" s="1"/>
  <c r="BM119" i="43" s="1"/>
  <c r="BN119" i="43" s="1"/>
  <c r="AX89" i="1"/>
  <c r="BG89" i="1" s="1"/>
  <c r="BH89" i="1" s="1"/>
  <c r="BI89" i="1" s="1"/>
  <c r="BK89" i="1" s="1"/>
  <c r="AT107" i="1"/>
  <c r="BG107" i="1" s="1"/>
  <c r="BH107" i="1" s="1"/>
  <c r="BJ107" i="1" s="1"/>
  <c r="BA111" i="43"/>
  <c r="BK111" i="43" s="1"/>
  <c r="BL111" i="43" s="1"/>
  <c r="BM111" i="43" s="1"/>
  <c r="BN111" i="43" s="1"/>
  <c r="AX14" i="1"/>
  <c r="BG14" i="1" s="1"/>
  <c r="BH14" i="1" s="1"/>
  <c r="AW12" i="43"/>
  <c r="BK12" i="43" s="1"/>
  <c r="BL12" i="43" s="1"/>
  <c r="BM12" i="43" s="1"/>
  <c r="BN12" i="43" s="1"/>
  <c r="AX179" i="1"/>
  <c r="BG179" i="1" s="1"/>
  <c r="BH179" i="1" s="1"/>
  <c r="BJ179" i="1" s="1"/>
  <c r="AX341" i="1"/>
  <c r="BG341" i="1" s="1"/>
  <c r="BH341" i="1" s="1"/>
  <c r="BJ341" i="1" s="1"/>
  <c r="BL341" i="1" s="1"/>
  <c r="AW17" i="43"/>
  <c r="BK17" i="43" s="1"/>
  <c r="BL17" i="43" s="1"/>
  <c r="BM17" i="43" s="1"/>
  <c r="BN17" i="43" s="1"/>
  <c r="AW19" i="43"/>
  <c r="BK19" i="43" s="1"/>
  <c r="BL19" i="43" s="1"/>
  <c r="BM19" i="43" s="1"/>
  <c r="BN19" i="43" s="1"/>
  <c r="AT287" i="1"/>
  <c r="BG287" i="1" s="1"/>
  <c r="BH287" i="1" s="1"/>
  <c r="BI287" i="1" s="1"/>
  <c r="BK287" i="1" s="1"/>
  <c r="AW20" i="43"/>
  <c r="BK20" i="43" s="1"/>
  <c r="BL20" i="43" s="1"/>
  <c r="BM20" i="43" s="1"/>
  <c r="BN20" i="43" s="1"/>
  <c r="AW307" i="1"/>
  <c r="BG307" i="1" s="1"/>
  <c r="BH307" i="1" s="1"/>
  <c r="BI307" i="1" s="1"/>
  <c r="BK307" i="1" s="1"/>
  <c r="BI361" i="43"/>
  <c r="BK361" i="43" s="1"/>
  <c r="BL361" i="43" s="1"/>
  <c r="BM361" i="43" s="1"/>
  <c r="BN361" i="43" s="1"/>
  <c r="BI352" i="43"/>
  <c r="BK352" i="43" s="1"/>
  <c r="BL352" i="43" s="1"/>
  <c r="BM352" i="43" s="1"/>
  <c r="BN352" i="43" s="1"/>
  <c r="BI349" i="43"/>
  <c r="BK349" i="43" s="1"/>
  <c r="BL349" i="43" s="1"/>
  <c r="BM349" i="43" s="1"/>
  <c r="BN349" i="43" s="1"/>
  <c r="BF103" i="1"/>
  <c r="BG103" i="1" s="1"/>
  <c r="BH103" i="1" s="1"/>
  <c r="BI103" i="1" s="1"/>
  <c r="BK103" i="1" s="1"/>
  <c r="AX37" i="1"/>
  <c r="BG37" i="1" s="1"/>
  <c r="BH37" i="1" s="1"/>
  <c r="BI37" i="1" s="1"/>
  <c r="BK37" i="1" s="1"/>
  <c r="BA113" i="43"/>
  <c r="BK113" i="43" s="1"/>
  <c r="BL113" i="43" s="1"/>
  <c r="BM113" i="43" s="1"/>
  <c r="BN113" i="43" s="1"/>
  <c r="BF334" i="1"/>
  <c r="BG334" i="1" s="1"/>
  <c r="BH334" i="1" s="1"/>
  <c r="BJ334" i="1" s="1"/>
  <c r="BI357" i="43"/>
  <c r="BK357" i="43" s="1"/>
  <c r="BL357" i="43" s="1"/>
  <c r="BM357" i="43" s="1"/>
  <c r="BN357" i="43" s="1"/>
  <c r="BF194" i="1"/>
  <c r="BG194" i="1" s="1"/>
  <c r="BH194" i="1" s="1"/>
  <c r="BI194" i="1" s="1"/>
  <c r="BK194" i="1" s="1"/>
  <c r="BI359" i="43"/>
  <c r="BK359" i="43" s="1"/>
  <c r="BL359" i="43" s="1"/>
  <c r="BM359" i="43" s="1"/>
  <c r="BN359" i="43" s="1"/>
  <c r="AW344" i="1"/>
  <c r="BG344" i="1" s="1"/>
  <c r="BH344" i="1" s="1"/>
  <c r="BJ344" i="1" s="1"/>
  <c r="BL344" i="1" s="1"/>
  <c r="AW345" i="1"/>
  <c r="BG345" i="1" s="1"/>
  <c r="BH345" i="1" s="1"/>
  <c r="BJ345" i="1" s="1"/>
  <c r="AW71" i="1"/>
  <c r="BG71" i="1" s="1"/>
  <c r="BH71" i="1" s="1"/>
  <c r="BJ71" i="1" s="1"/>
  <c r="AW337" i="1"/>
  <c r="BG337" i="1" s="1"/>
  <c r="BH337" i="1" s="1"/>
  <c r="BJ337" i="1" s="1"/>
  <c r="AZ75" i="43"/>
  <c r="BK75" i="43" s="1"/>
  <c r="BL75" i="43" s="1"/>
  <c r="BM75" i="43" s="1"/>
  <c r="BN75" i="43" s="1"/>
  <c r="AW296" i="1"/>
  <c r="BG296" i="1" s="1"/>
  <c r="BH296" i="1" s="1"/>
  <c r="BJ296" i="1" s="1"/>
  <c r="BF56" i="1"/>
  <c r="BG56" i="1" s="1"/>
  <c r="BH56" i="1" s="1"/>
  <c r="BJ56" i="1" s="1"/>
  <c r="BF183" i="1"/>
  <c r="BG183" i="1" s="1"/>
  <c r="BH183" i="1" s="1"/>
  <c r="BJ183" i="1" s="1"/>
  <c r="BI358" i="43"/>
  <c r="BK358" i="43" s="1"/>
  <c r="BL358" i="43" s="1"/>
  <c r="BM358" i="43" s="1"/>
  <c r="BN358" i="43" s="1"/>
  <c r="BI351" i="43"/>
  <c r="BK351" i="43" s="1"/>
  <c r="BL351" i="43" s="1"/>
  <c r="BM351" i="43" s="1"/>
  <c r="BN351" i="43" s="1"/>
  <c r="AW160" i="1"/>
  <c r="BG160" i="1" s="1"/>
  <c r="BH160" i="1" s="1"/>
  <c r="BI160" i="1" s="1"/>
  <c r="BK160" i="1" s="1"/>
  <c r="AW217" i="1"/>
  <c r="BG217" i="1" s="1"/>
  <c r="BH217" i="1" s="1"/>
  <c r="BJ217" i="1" s="1"/>
  <c r="AW322" i="1"/>
  <c r="BG322" i="1" s="1"/>
  <c r="BH322" i="1" s="1"/>
  <c r="BI322" i="1" s="1"/>
  <c r="BK322" i="1" s="1"/>
  <c r="AX102" i="1"/>
  <c r="BG102" i="1" s="1"/>
  <c r="BH102" i="1" s="1"/>
  <c r="BI102" i="1" s="1"/>
  <c r="BK102" i="1" s="1"/>
  <c r="BA110" i="43"/>
  <c r="BK110" i="43" s="1"/>
  <c r="BL110" i="43" s="1"/>
  <c r="BM110" i="43" s="1"/>
  <c r="BN110" i="43" s="1"/>
  <c r="BA121" i="43"/>
  <c r="BK121" i="43" s="1"/>
  <c r="BL121" i="43" s="1"/>
  <c r="BM121" i="43" s="1"/>
  <c r="BN121" i="43" s="1"/>
  <c r="BF16" i="1"/>
  <c r="BG16" i="1" s="1"/>
  <c r="BH16" i="1" s="1"/>
  <c r="BF371" i="1"/>
  <c r="BG371" i="1" s="1"/>
  <c r="BH371" i="1" s="1"/>
  <c r="BJ371" i="1" s="1"/>
  <c r="BF301" i="1"/>
  <c r="BG301" i="1" s="1"/>
  <c r="BH301" i="1" s="1"/>
  <c r="BI301" i="1" s="1"/>
  <c r="BK301" i="1" s="1"/>
  <c r="BI363" i="43"/>
  <c r="BK363" i="43" s="1"/>
  <c r="BL363" i="43" s="1"/>
  <c r="BM363" i="43" s="1"/>
  <c r="BN363" i="43" s="1"/>
  <c r="BI345" i="43"/>
  <c r="BK345" i="43" s="1"/>
  <c r="BL345" i="43" s="1"/>
  <c r="BM345" i="43" s="1"/>
  <c r="BN345" i="43" s="1"/>
  <c r="AW31" i="1"/>
  <c r="BG31" i="1" s="1"/>
  <c r="BH31" i="1" s="1"/>
  <c r="BJ31" i="1" s="1"/>
  <c r="AW382" i="1"/>
  <c r="BG382" i="1" s="1"/>
  <c r="BH382" i="1" s="1"/>
  <c r="BJ382" i="1" s="1"/>
  <c r="AZ108" i="43"/>
  <c r="BK108" i="43" s="1"/>
  <c r="BL108" i="43" s="1"/>
  <c r="BM108" i="43" s="1"/>
  <c r="BN108" i="43" s="1"/>
  <c r="AZ91" i="43"/>
  <c r="BK91" i="43" s="1"/>
  <c r="BL91" i="43" s="1"/>
  <c r="BM91" i="43" s="1"/>
  <c r="BN91" i="43" s="1"/>
  <c r="AW39" i="1"/>
  <c r="BG39" i="1" s="1"/>
  <c r="BH39" i="1" s="1"/>
  <c r="BJ39" i="1" s="1"/>
  <c r="AW142" i="1"/>
  <c r="BG142" i="1" s="1"/>
  <c r="BH142" i="1" s="1"/>
  <c r="BI142" i="1" s="1"/>
  <c r="BK142" i="1" s="1"/>
  <c r="BI350" i="43"/>
  <c r="BK350" i="43" s="1"/>
  <c r="BL350" i="43" s="1"/>
  <c r="BM350" i="43" s="1"/>
  <c r="BN350" i="43" s="1"/>
  <c r="BI344" i="43"/>
  <c r="BK344" i="43" s="1"/>
  <c r="BL344" i="43" s="1"/>
  <c r="BM344" i="43" s="1"/>
  <c r="BN344" i="43" s="1"/>
  <c r="BF365" i="1"/>
  <c r="BG365" i="1" s="1"/>
  <c r="BH365" i="1" s="1"/>
  <c r="BJ365" i="1" s="1"/>
  <c r="BF367" i="1"/>
  <c r="BG367" i="1" s="1"/>
  <c r="BH367" i="1" s="1"/>
  <c r="BJ367" i="1" s="1"/>
  <c r="AZ69" i="43"/>
  <c r="BK69" i="43" s="1"/>
  <c r="BL69" i="43" s="1"/>
  <c r="BM69" i="43" s="1"/>
  <c r="BN69" i="43" s="1"/>
  <c r="AZ92" i="43"/>
  <c r="BK92" i="43" s="1"/>
  <c r="BL92" i="43" s="1"/>
  <c r="BM92" i="43" s="1"/>
  <c r="BN92" i="43" s="1"/>
  <c r="AZ104" i="43"/>
  <c r="BK104" i="43" s="1"/>
  <c r="BL104" i="43" s="1"/>
  <c r="BM104" i="43" s="1"/>
  <c r="BN104" i="43" s="1"/>
  <c r="AZ101" i="43"/>
  <c r="BK101" i="43" s="1"/>
  <c r="BL101" i="43" s="1"/>
  <c r="BM101" i="43" s="1"/>
  <c r="BN101" i="43" s="1"/>
  <c r="BF270" i="1"/>
  <c r="BG270" i="1" s="1"/>
  <c r="BH270" i="1" s="1"/>
  <c r="BJ270" i="1" s="1"/>
  <c r="BI348" i="43"/>
  <c r="BK348" i="43" s="1"/>
  <c r="BL348" i="43" s="1"/>
  <c r="BM348" i="43" s="1"/>
  <c r="BN348" i="43" s="1"/>
  <c r="BF327" i="1"/>
  <c r="BG327" i="1" s="1"/>
  <c r="BH327" i="1" s="1"/>
  <c r="BJ327" i="1" s="1"/>
  <c r="AW216" i="1"/>
  <c r="BG216" i="1" s="1"/>
  <c r="BH216" i="1" s="1"/>
  <c r="BJ216" i="1" s="1"/>
  <c r="AW233" i="1"/>
  <c r="BG233" i="1" s="1"/>
  <c r="BH233" i="1" s="1"/>
  <c r="BI233" i="1" s="1"/>
  <c r="BK233" i="1" s="1"/>
  <c r="AZ84" i="43"/>
  <c r="BK84" i="43" s="1"/>
  <c r="BL84" i="43" s="1"/>
  <c r="BM84" i="43" s="1"/>
  <c r="BN84" i="43" s="1"/>
  <c r="AZ74" i="43"/>
  <c r="BK74" i="43" s="1"/>
  <c r="BL74" i="43" s="1"/>
  <c r="BM74" i="43" s="1"/>
  <c r="BN74" i="43" s="1"/>
  <c r="AW255" i="1"/>
  <c r="BG255" i="1" s="1"/>
  <c r="BH255" i="1" s="1"/>
  <c r="BJ255" i="1" s="1"/>
  <c r="BL255" i="1" s="1"/>
  <c r="AW104" i="1"/>
  <c r="BG104" i="1" s="1"/>
  <c r="BH104" i="1" s="1"/>
  <c r="BI104" i="1" s="1"/>
  <c r="BK104" i="1" s="1"/>
  <c r="BD19" i="1"/>
  <c r="BG19" i="1" s="1"/>
  <c r="BH19" i="1" s="1"/>
  <c r="BI19" i="1" s="1"/>
  <c r="BK19" i="1" s="1"/>
  <c r="BM19" i="1" s="1"/>
  <c r="BD199" i="1"/>
  <c r="BG199" i="1" s="1"/>
  <c r="BH199" i="1" s="1"/>
  <c r="BJ199" i="1" s="1"/>
  <c r="BD164" i="1"/>
  <c r="BG164" i="1" s="1"/>
  <c r="BH164" i="1" s="1"/>
  <c r="BI164" i="1" s="1"/>
  <c r="BK164" i="1" s="1"/>
  <c r="BG314" i="43"/>
  <c r="BK314" i="43" s="1"/>
  <c r="BL314" i="43" s="1"/>
  <c r="BM314" i="43" s="1"/>
  <c r="BN314" i="43" s="1"/>
  <c r="BG309" i="43"/>
  <c r="BK309" i="43" s="1"/>
  <c r="BL309" i="43" s="1"/>
  <c r="BM309" i="43" s="1"/>
  <c r="BN309" i="43" s="1"/>
  <c r="BG315" i="43"/>
  <c r="BK315" i="43" s="1"/>
  <c r="BL315" i="43" s="1"/>
  <c r="BM315" i="43" s="1"/>
  <c r="BN315" i="43" s="1"/>
  <c r="BG313" i="43"/>
  <c r="BK313" i="43" s="1"/>
  <c r="BL313" i="43" s="1"/>
  <c r="BM313" i="43" s="1"/>
  <c r="BN313" i="43" s="1"/>
  <c r="AZ106" i="43"/>
  <c r="BK106" i="43" s="1"/>
  <c r="BL106" i="43" s="1"/>
  <c r="BM106" i="43" s="1"/>
  <c r="BN106" i="43" s="1"/>
  <c r="BE224" i="43"/>
  <c r="BK224" i="43" s="1"/>
  <c r="BL224" i="43" s="1"/>
  <c r="BM224" i="43" s="1"/>
  <c r="BN224" i="43" s="1"/>
  <c r="BE222" i="43"/>
  <c r="BK222" i="43" s="1"/>
  <c r="BL222" i="43" s="1"/>
  <c r="BM222" i="43" s="1"/>
  <c r="BN222" i="43" s="1"/>
  <c r="BB161" i="1"/>
  <c r="BG161" i="1" s="1"/>
  <c r="BH161" i="1" s="1"/>
  <c r="BJ161" i="1" s="1"/>
  <c r="BE197" i="43"/>
  <c r="BK197" i="43" s="1"/>
  <c r="BL197" i="43" s="1"/>
  <c r="BM197" i="43" s="1"/>
  <c r="BN197" i="43" s="1"/>
  <c r="BE212" i="43"/>
  <c r="BK212" i="43" s="1"/>
  <c r="BL212" i="43" s="1"/>
  <c r="BM212" i="43" s="1"/>
  <c r="BN212" i="43" s="1"/>
  <c r="BB146" i="1"/>
  <c r="BG146" i="1" s="1"/>
  <c r="BH146" i="1" s="1"/>
  <c r="BJ146" i="1" s="1"/>
  <c r="BE196" i="43"/>
  <c r="BK196" i="43" s="1"/>
  <c r="BL196" i="43" s="1"/>
  <c r="BM196" i="43" s="1"/>
  <c r="BN196" i="43" s="1"/>
  <c r="BB361" i="1"/>
  <c r="BG361" i="1" s="1"/>
  <c r="BH361" i="1" s="1"/>
  <c r="BI361" i="1" s="1"/>
  <c r="BK361" i="1" s="1"/>
  <c r="BE219" i="43"/>
  <c r="BK219" i="43" s="1"/>
  <c r="BL219" i="43" s="1"/>
  <c r="BM219" i="43" s="1"/>
  <c r="BN219" i="43" s="1"/>
  <c r="BE226" i="43"/>
  <c r="BK226" i="43" s="1"/>
  <c r="BL226" i="43" s="1"/>
  <c r="BM226" i="43" s="1"/>
  <c r="BN226" i="43" s="1"/>
  <c r="BB274" i="1"/>
  <c r="BG274" i="1" s="1"/>
  <c r="BH274" i="1" s="1"/>
  <c r="BI274" i="1" s="1"/>
  <c r="BK274" i="1" s="1"/>
  <c r="BB231" i="1"/>
  <c r="BG231" i="1" s="1"/>
  <c r="BH231" i="1" s="1"/>
  <c r="BI231" i="1" s="1"/>
  <c r="BK231" i="1" s="1"/>
  <c r="BB350" i="1"/>
  <c r="BG350" i="1" s="1"/>
  <c r="BH350" i="1" s="1"/>
  <c r="BJ350" i="1" s="1"/>
  <c r="BL350" i="1" s="1"/>
  <c r="BJ373" i="1"/>
  <c r="AT9" i="1"/>
  <c r="BG9" i="1" s="1"/>
  <c r="BH9" i="1" s="1"/>
  <c r="AW10" i="43"/>
  <c r="BK10" i="43" s="1"/>
  <c r="BL10" i="43" s="1"/>
  <c r="BM10" i="43" s="1"/>
  <c r="BN10" i="43" s="1"/>
  <c r="AT169" i="1"/>
  <c r="BG169" i="1" s="1"/>
  <c r="BH169" i="1" s="1"/>
  <c r="BJ169" i="1" s="1"/>
  <c r="AW4" i="43"/>
  <c r="BK4" i="43" s="1"/>
  <c r="BL4" i="43" s="1"/>
  <c r="BM4" i="43" s="1"/>
  <c r="BN4" i="43" s="1"/>
  <c r="AT330" i="1"/>
  <c r="BG330" i="1" s="1"/>
  <c r="BH330" i="1" s="1"/>
  <c r="BI330" i="1" s="1"/>
  <c r="BK330" i="1" s="1"/>
  <c r="AT223" i="1"/>
  <c r="BG223" i="1" s="1"/>
  <c r="BH223" i="1" s="1"/>
  <c r="BJ223" i="1" s="1"/>
  <c r="AW15" i="43"/>
  <c r="BK15" i="43" s="1"/>
  <c r="BL15" i="43" s="1"/>
  <c r="BM15" i="43" s="1"/>
  <c r="BN15" i="43" s="1"/>
  <c r="AW9" i="43"/>
  <c r="BK9" i="43" s="1"/>
  <c r="BL9" i="43" s="1"/>
  <c r="BM9" i="43" s="1"/>
  <c r="BN9" i="43" s="1"/>
  <c r="AT202" i="1"/>
  <c r="BG202" i="1" s="1"/>
  <c r="BH202" i="1" s="1"/>
  <c r="BJ202" i="1" s="1"/>
  <c r="AT221" i="1"/>
  <c r="BG221" i="1" s="1"/>
  <c r="BH221" i="1" s="1"/>
  <c r="BJ221" i="1" s="1"/>
  <c r="BL221" i="1" s="1"/>
  <c r="AW14" i="43"/>
  <c r="BK14" i="43" s="1"/>
  <c r="BL14" i="43" s="1"/>
  <c r="BM14" i="43" s="1"/>
  <c r="BN14" i="43" s="1"/>
  <c r="AT246" i="1"/>
  <c r="BG246" i="1" s="1"/>
  <c r="BH246" i="1" s="1"/>
  <c r="BI246" i="1" s="1"/>
  <c r="BK246" i="1" s="1"/>
  <c r="BM246" i="1" s="1"/>
  <c r="AT326" i="1"/>
  <c r="BG326" i="1" s="1"/>
  <c r="BH326" i="1" s="1"/>
  <c r="BJ326" i="1" s="1"/>
  <c r="AW5" i="43"/>
  <c r="BK5" i="43" s="1"/>
  <c r="BL5" i="43" s="1"/>
  <c r="BM5" i="43" s="1"/>
  <c r="BN5" i="43" s="1"/>
  <c r="AW21" i="43"/>
  <c r="BK21" i="43" s="1"/>
  <c r="BL21" i="43" s="1"/>
  <c r="BM21" i="43" s="1"/>
  <c r="BN21" i="43" s="1"/>
  <c r="AT10" i="1"/>
  <c r="BG10" i="1" s="1"/>
  <c r="BH10" i="1" s="1"/>
  <c r="BJ10" i="1" s="1"/>
  <c r="AW13" i="43"/>
  <c r="BK13" i="43" s="1"/>
  <c r="BL13" i="43" s="1"/>
  <c r="BM13" i="43" s="1"/>
  <c r="BN13" i="43" s="1"/>
  <c r="AW8" i="43"/>
  <c r="BK8" i="43" s="1"/>
  <c r="BL8" i="43" s="1"/>
  <c r="BM8" i="43" s="1"/>
  <c r="BN8" i="43" s="1"/>
  <c r="AT181" i="1"/>
  <c r="BG181" i="1" s="1"/>
  <c r="BH181" i="1" s="1"/>
  <c r="BJ181" i="1" s="1"/>
  <c r="AW11" i="43"/>
  <c r="BK11" i="43" s="1"/>
  <c r="BL11" i="43" s="1"/>
  <c r="BM11" i="43" s="1"/>
  <c r="BN11" i="43" s="1"/>
  <c r="AW6" i="43"/>
  <c r="BK6" i="43" s="1"/>
  <c r="BL6" i="43" s="1"/>
  <c r="BM6" i="43" s="1"/>
  <c r="BN6" i="43" s="1"/>
  <c r="AW7" i="43"/>
  <c r="BK7" i="43" s="1"/>
  <c r="BL7" i="43" s="1"/>
  <c r="BM7" i="43" s="1"/>
  <c r="BN7" i="43" s="1"/>
  <c r="AT59" i="1"/>
  <c r="BG59" i="1" s="1"/>
  <c r="BH59" i="1" s="1"/>
  <c r="BI59" i="1" s="1"/>
  <c r="BK59" i="1" s="1"/>
  <c r="AT38" i="1"/>
  <c r="BG38" i="1" s="1"/>
  <c r="BH38" i="1" s="1"/>
  <c r="BI38" i="1" s="1"/>
  <c r="BK38" i="1" s="1"/>
  <c r="AT346" i="1"/>
  <c r="BG346" i="1" s="1"/>
  <c r="BH346" i="1" s="1"/>
  <c r="BI346" i="1" s="1"/>
  <c r="BK346" i="1" s="1"/>
  <c r="AW16" i="43"/>
  <c r="BK16" i="43" s="1"/>
  <c r="BL16" i="43" s="1"/>
  <c r="BM16" i="43" s="1"/>
  <c r="BN16" i="43" s="1"/>
  <c r="AT380" i="1"/>
  <c r="BG380" i="1" s="1"/>
  <c r="BH380" i="1" s="1"/>
  <c r="BJ380" i="1" s="1"/>
  <c r="AT188" i="1"/>
  <c r="BG188" i="1" s="1"/>
  <c r="BH188" i="1" s="1"/>
  <c r="BJ188" i="1" s="1"/>
  <c r="AW18" i="43"/>
  <c r="BK18" i="43" s="1"/>
  <c r="BL18" i="43" s="1"/>
  <c r="BM18" i="43" s="1"/>
  <c r="BN18" i="43" s="1"/>
  <c r="AW3" i="43"/>
  <c r="BK3" i="43" s="1"/>
  <c r="AX38" i="43"/>
  <c r="BK38" i="43" s="1"/>
  <c r="BL38" i="43" s="1"/>
  <c r="BM38" i="43" s="1"/>
  <c r="BN38" i="43" s="1"/>
  <c r="BG306" i="43"/>
  <c r="BK306" i="43" s="1"/>
  <c r="BL306" i="43" s="1"/>
  <c r="BM306" i="43" s="1"/>
  <c r="BN306" i="43" s="1"/>
  <c r="BG310" i="43"/>
  <c r="BK310" i="43" s="1"/>
  <c r="BL310" i="43" s="1"/>
  <c r="BM310" i="43" s="1"/>
  <c r="BN310" i="43" s="1"/>
  <c r="AZ79" i="43"/>
  <c r="BK79" i="43" s="1"/>
  <c r="BL79" i="43" s="1"/>
  <c r="BM79" i="43" s="1"/>
  <c r="BN79" i="43" s="1"/>
  <c r="AW295" i="1"/>
  <c r="BG295" i="1" s="1"/>
  <c r="BH295" i="1" s="1"/>
  <c r="BI295" i="1" s="1"/>
  <c r="BK295" i="1" s="1"/>
  <c r="AZ77" i="43"/>
  <c r="BK77" i="43" s="1"/>
  <c r="BL77" i="43" s="1"/>
  <c r="BM77" i="43" s="1"/>
  <c r="BN77" i="43" s="1"/>
  <c r="AW329" i="1"/>
  <c r="BG329" i="1" s="1"/>
  <c r="BH329" i="1" s="1"/>
  <c r="BI329" i="1" s="1"/>
  <c r="BK329" i="1" s="1"/>
  <c r="AZ72" i="43"/>
  <c r="BK72" i="43" s="1"/>
  <c r="BL72" i="43" s="1"/>
  <c r="BM72" i="43" s="1"/>
  <c r="BN72" i="43" s="1"/>
  <c r="AZ73" i="43"/>
  <c r="BK73" i="43" s="1"/>
  <c r="BL73" i="43" s="1"/>
  <c r="BM73" i="43" s="1"/>
  <c r="BN73" i="43" s="1"/>
  <c r="AZ78" i="43"/>
  <c r="BK78" i="43" s="1"/>
  <c r="BL78" i="43" s="1"/>
  <c r="BM78" i="43" s="1"/>
  <c r="BN78" i="43" s="1"/>
  <c r="AW66" i="1"/>
  <c r="BG66" i="1" s="1"/>
  <c r="BH66" i="1" s="1"/>
  <c r="BJ66" i="1" s="1"/>
  <c r="AZ90" i="43"/>
  <c r="BK90" i="43" s="1"/>
  <c r="BL90" i="43" s="1"/>
  <c r="BM90" i="43" s="1"/>
  <c r="BN90" i="43" s="1"/>
  <c r="AZ99" i="43"/>
  <c r="BK99" i="43" s="1"/>
  <c r="BL99" i="43" s="1"/>
  <c r="BM99" i="43" s="1"/>
  <c r="BN99" i="43" s="1"/>
  <c r="AW8" i="1"/>
  <c r="BG8" i="1" s="1"/>
  <c r="BH8" i="1" s="1"/>
  <c r="BJ8" i="1" s="1"/>
  <c r="BG312" i="43"/>
  <c r="BK312" i="43" s="1"/>
  <c r="BL312" i="43" s="1"/>
  <c r="BM312" i="43" s="1"/>
  <c r="BN312" i="43" s="1"/>
  <c r="BD72" i="1"/>
  <c r="BG72" i="1" s="1"/>
  <c r="BH72" i="1" s="1"/>
  <c r="BI72" i="1" s="1"/>
  <c r="BK72" i="1" s="1"/>
  <c r="AZ109" i="43"/>
  <c r="BK109" i="43" s="1"/>
  <c r="BL109" i="43" s="1"/>
  <c r="BM109" i="43" s="1"/>
  <c r="BN109" i="43" s="1"/>
  <c r="AZ83" i="43"/>
  <c r="BK83" i="43" s="1"/>
  <c r="BL83" i="43" s="1"/>
  <c r="BM83" i="43" s="1"/>
  <c r="BN83" i="43" s="1"/>
  <c r="AZ70" i="43"/>
  <c r="BK70" i="43" s="1"/>
  <c r="BL70" i="43" s="1"/>
  <c r="BM70" i="43" s="1"/>
  <c r="BN70" i="43" s="1"/>
  <c r="AW242" i="1"/>
  <c r="BG242" i="1" s="1"/>
  <c r="BH242" i="1" s="1"/>
  <c r="BJ242" i="1" s="1"/>
  <c r="AW325" i="1"/>
  <c r="BG325" i="1" s="1"/>
  <c r="BH325" i="1" s="1"/>
  <c r="BI325" i="1" s="1"/>
  <c r="BK325" i="1" s="1"/>
  <c r="AW86" i="1"/>
  <c r="BG86" i="1" s="1"/>
  <c r="BH86" i="1" s="1"/>
  <c r="BI86" i="1" s="1"/>
  <c r="BK86" i="1" s="1"/>
  <c r="AZ80" i="43"/>
  <c r="BK80" i="43" s="1"/>
  <c r="BL80" i="43" s="1"/>
  <c r="BM80" i="43" s="1"/>
  <c r="BN80" i="43" s="1"/>
  <c r="AW343" i="1"/>
  <c r="BG343" i="1" s="1"/>
  <c r="BH343" i="1" s="1"/>
  <c r="BJ343" i="1" s="1"/>
  <c r="AW211" i="1"/>
  <c r="BG211" i="1" s="1"/>
  <c r="BH211" i="1" s="1"/>
  <c r="BJ211" i="1" s="1"/>
  <c r="AW85" i="1"/>
  <c r="BG85" i="1" s="1"/>
  <c r="BH85" i="1" s="1"/>
  <c r="BJ85" i="1" s="1"/>
  <c r="AW24" i="1"/>
  <c r="BG24" i="1" s="1"/>
  <c r="BH24" i="1" s="1"/>
  <c r="BI24" i="1" s="1"/>
  <c r="BK24" i="1" s="1"/>
  <c r="BG311" i="43"/>
  <c r="BK311" i="43" s="1"/>
  <c r="BL311" i="43" s="1"/>
  <c r="BM311" i="43" s="1"/>
  <c r="BN311" i="43" s="1"/>
  <c r="BG308" i="43"/>
  <c r="BK308" i="43" s="1"/>
  <c r="BL308" i="43" s="1"/>
  <c r="BM308" i="43" s="1"/>
  <c r="BN308" i="43" s="1"/>
  <c r="BD212" i="1"/>
  <c r="BG212" i="1" s="1"/>
  <c r="BH212" i="1" s="1"/>
  <c r="BJ212" i="1" s="1"/>
  <c r="AZ93" i="43"/>
  <c r="BK93" i="43" s="1"/>
  <c r="BL93" i="43" s="1"/>
  <c r="BM93" i="43" s="1"/>
  <c r="BN93" i="43" s="1"/>
  <c r="AW6" i="1"/>
  <c r="BG6" i="1" s="1"/>
  <c r="BH6" i="1" s="1"/>
  <c r="AW289" i="1"/>
  <c r="BG289" i="1" s="1"/>
  <c r="BH289" i="1" s="1"/>
  <c r="BI289" i="1" s="1"/>
  <c r="BK289" i="1" s="1"/>
  <c r="AZ89" i="43"/>
  <c r="BK89" i="43" s="1"/>
  <c r="BL89" i="43" s="1"/>
  <c r="BM89" i="43" s="1"/>
  <c r="BN89" i="43" s="1"/>
  <c r="AW237" i="1"/>
  <c r="BG237" i="1" s="1"/>
  <c r="BH237" i="1" s="1"/>
  <c r="BJ237" i="1" s="1"/>
  <c r="AZ68" i="43"/>
  <c r="BK68" i="43" s="1"/>
  <c r="BL68" i="43" s="1"/>
  <c r="BM68" i="43" s="1"/>
  <c r="BN68" i="43" s="1"/>
  <c r="AZ103" i="43"/>
  <c r="BK103" i="43" s="1"/>
  <c r="BL103" i="43" s="1"/>
  <c r="BM103" i="43" s="1"/>
  <c r="BN103" i="43" s="1"/>
  <c r="AW272" i="1"/>
  <c r="BG272" i="1" s="1"/>
  <c r="BH272" i="1" s="1"/>
  <c r="BI272" i="1" s="1"/>
  <c r="BK272" i="1" s="1"/>
  <c r="AZ100" i="43"/>
  <c r="BK100" i="43" s="1"/>
  <c r="BL100" i="43" s="1"/>
  <c r="BM100" i="43" s="1"/>
  <c r="BN100" i="43" s="1"/>
  <c r="AZ96" i="43"/>
  <c r="BK96" i="43" s="1"/>
  <c r="BL96" i="43" s="1"/>
  <c r="BM96" i="43" s="1"/>
  <c r="BN96" i="43" s="1"/>
  <c r="AZ76" i="43"/>
  <c r="BK76" i="43" s="1"/>
  <c r="BL76" i="43" s="1"/>
  <c r="BM76" i="43" s="1"/>
  <c r="BN76" i="43" s="1"/>
  <c r="BG307" i="43"/>
  <c r="BK307" i="43" s="1"/>
  <c r="BL307" i="43" s="1"/>
  <c r="BM307" i="43" s="1"/>
  <c r="BN307" i="43" s="1"/>
  <c r="BD5" i="1"/>
  <c r="BG5" i="1" s="1"/>
  <c r="BH5" i="1" s="1"/>
  <c r="BD213" i="1"/>
  <c r="BG213" i="1" s="1"/>
  <c r="BH213" i="1" s="1"/>
  <c r="BJ213" i="1" s="1"/>
  <c r="AW236" i="1"/>
  <c r="BG236" i="1" s="1"/>
  <c r="BH236" i="1" s="1"/>
  <c r="BJ236" i="1" s="1"/>
  <c r="AW247" i="1"/>
  <c r="BG247" i="1" s="1"/>
  <c r="BH247" i="1" s="1"/>
  <c r="BI247" i="1" s="1"/>
  <c r="BK247" i="1" s="1"/>
  <c r="AZ81" i="43"/>
  <c r="BK81" i="43" s="1"/>
  <c r="BL81" i="43" s="1"/>
  <c r="BM81" i="43" s="1"/>
  <c r="BN81" i="43" s="1"/>
  <c r="AW42" i="1"/>
  <c r="BG42" i="1" s="1"/>
  <c r="BH42" i="1" s="1"/>
  <c r="BJ42" i="1" s="1"/>
  <c r="BL42" i="1" s="1"/>
  <c r="AW126" i="1"/>
  <c r="BG126" i="1" s="1"/>
  <c r="BH126" i="1" s="1"/>
  <c r="BI126" i="1" s="1"/>
  <c r="BK126" i="1" s="1"/>
  <c r="AZ98" i="43"/>
  <c r="BK98" i="43" s="1"/>
  <c r="BL98" i="43" s="1"/>
  <c r="BM98" i="43" s="1"/>
  <c r="BN98" i="43" s="1"/>
  <c r="AW331" i="1"/>
  <c r="BG331" i="1" s="1"/>
  <c r="BH331" i="1" s="1"/>
  <c r="BI331" i="1" s="1"/>
  <c r="BK331" i="1" s="1"/>
  <c r="AZ86" i="43"/>
  <c r="BK86" i="43" s="1"/>
  <c r="BL86" i="43" s="1"/>
  <c r="BM86" i="43" s="1"/>
  <c r="BN86" i="43" s="1"/>
  <c r="AZ95" i="43"/>
  <c r="BK95" i="43" s="1"/>
  <c r="BL95" i="43" s="1"/>
  <c r="BM95" i="43" s="1"/>
  <c r="BN95" i="43" s="1"/>
  <c r="AZ71" i="43"/>
  <c r="BK71" i="43" s="1"/>
  <c r="BL71" i="43" s="1"/>
  <c r="BM71" i="43" s="1"/>
  <c r="BN71" i="43" s="1"/>
  <c r="AZ94" i="43"/>
  <c r="BK94" i="43" s="1"/>
  <c r="BL94" i="43" s="1"/>
  <c r="BM94" i="43" s="1"/>
  <c r="BN94" i="43" s="1"/>
  <c r="AZ88" i="43"/>
  <c r="BK88" i="43" s="1"/>
  <c r="BL88" i="43" s="1"/>
  <c r="BM88" i="43" s="1"/>
  <c r="BN88" i="43" s="1"/>
  <c r="BD201" i="1"/>
  <c r="BG201" i="1" s="1"/>
  <c r="BH201" i="1" s="1"/>
  <c r="BI201" i="1" s="1"/>
  <c r="BK201" i="1" s="1"/>
  <c r="BD27" i="1"/>
  <c r="BG27" i="1" s="1"/>
  <c r="BH27" i="1" s="1"/>
  <c r="BI27" i="1" s="1"/>
  <c r="BK27" i="1" s="1"/>
  <c r="AZ97" i="43"/>
  <c r="BK97" i="43" s="1"/>
  <c r="BL97" i="43" s="1"/>
  <c r="BM97" i="43" s="1"/>
  <c r="BN97" i="43" s="1"/>
  <c r="AZ87" i="43"/>
  <c r="BK87" i="43" s="1"/>
  <c r="BL87" i="43" s="1"/>
  <c r="BM87" i="43" s="1"/>
  <c r="BN87" i="43" s="1"/>
  <c r="AW305" i="1"/>
  <c r="BG305" i="1" s="1"/>
  <c r="BH305" i="1" s="1"/>
  <c r="BI305" i="1" s="1"/>
  <c r="BK305" i="1" s="1"/>
  <c r="AW269" i="1"/>
  <c r="BG269" i="1" s="1"/>
  <c r="BH269" i="1" s="1"/>
  <c r="BJ269" i="1" s="1"/>
  <c r="AW260" i="1"/>
  <c r="BG260" i="1" s="1"/>
  <c r="BH260" i="1" s="1"/>
  <c r="BI260" i="1" s="1"/>
  <c r="BK260" i="1" s="1"/>
  <c r="BM260" i="1" s="1"/>
  <c r="AZ82" i="43"/>
  <c r="BK82" i="43" s="1"/>
  <c r="BL82" i="43" s="1"/>
  <c r="BM82" i="43" s="1"/>
  <c r="BN82" i="43" s="1"/>
  <c r="AZ85" i="43"/>
  <c r="BK85" i="43" s="1"/>
  <c r="BL85" i="43" s="1"/>
  <c r="BM85" i="43" s="1"/>
  <c r="BN85" i="43" s="1"/>
  <c r="AZ102" i="43"/>
  <c r="BK102" i="43" s="1"/>
  <c r="BL102" i="43" s="1"/>
  <c r="BM102" i="43" s="1"/>
  <c r="BN102" i="43" s="1"/>
  <c r="AW7" i="1"/>
  <c r="BG7" i="1" s="1"/>
  <c r="BH7" i="1" s="1"/>
  <c r="BI7" i="1" s="1"/>
  <c r="BK7" i="1" s="1"/>
  <c r="AW21" i="1"/>
  <c r="BG21" i="1" s="1"/>
  <c r="BH21" i="1" s="1"/>
  <c r="BJ21" i="1" s="1"/>
  <c r="AZ107" i="43"/>
  <c r="BK107" i="43" s="1"/>
  <c r="BL107" i="43" s="1"/>
  <c r="BM107" i="43" s="1"/>
  <c r="BN107" i="43" s="1"/>
  <c r="AZ298" i="1"/>
  <c r="BG298" i="1" s="1"/>
  <c r="BH298" i="1" s="1"/>
  <c r="BJ298" i="1" s="1"/>
  <c r="AX44" i="43"/>
  <c r="BK44" i="43" s="1"/>
  <c r="BL44" i="43" s="1"/>
  <c r="BM44" i="43" s="1"/>
  <c r="BN44" i="43" s="1"/>
  <c r="AU253" i="1"/>
  <c r="BG253" i="1" s="1"/>
  <c r="BH253" i="1" s="1"/>
  <c r="BJ253" i="1" s="1"/>
  <c r="AU163" i="1"/>
  <c r="BG163" i="1" s="1"/>
  <c r="BH163" i="1" s="1"/>
  <c r="BJ163" i="1" s="1"/>
  <c r="BL163" i="1" s="1"/>
  <c r="BE214" i="43"/>
  <c r="BK214" i="43" s="1"/>
  <c r="BL214" i="43" s="1"/>
  <c r="BM214" i="43" s="1"/>
  <c r="BN214" i="43" s="1"/>
  <c r="BE206" i="43"/>
  <c r="BK206" i="43" s="1"/>
  <c r="BL206" i="43" s="1"/>
  <c r="BM206" i="43" s="1"/>
  <c r="BN206" i="43" s="1"/>
  <c r="BB235" i="1"/>
  <c r="BG235" i="1" s="1"/>
  <c r="BH235" i="1" s="1"/>
  <c r="BJ235" i="1" s="1"/>
  <c r="BB79" i="1"/>
  <c r="BG79" i="1" s="1"/>
  <c r="BH79" i="1" s="1"/>
  <c r="BI79" i="1" s="1"/>
  <c r="BK79" i="1" s="1"/>
  <c r="BM79" i="1" s="1"/>
  <c r="BB130" i="1"/>
  <c r="BB128" i="1"/>
  <c r="BG128" i="1" s="1"/>
  <c r="BH128" i="1" s="1"/>
  <c r="BJ128" i="1" s="1"/>
  <c r="BE202" i="43"/>
  <c r="BK202" i="43" s="1"/>
  <c r="BL202" i="43" s="1"/>
  <c r="BM202" i="43" s="1"/>
  <c r="BN202" i="43" s="1"/>
  <c r="BB44" i="1"/>
  <c r="BG44" i="1" s="1"/>
  <c r="BH44" i="1" s="1"/>
  <c r="BJ44" i="1" s="1"/>
  <c r="BE193" i="43"/>
  <c r="BK193" i="43" s="1"/>
  <c r="BL193" i="43" s="1"/>
  <c r="BM193" i="43" s="1"/>
  <c r="BN193" i="43" s="1"/>
  <c r="BB138" i="1"/>
  <c r="BG138" i="1" s="1"/>
  <c r="BH138" i="1" s="1"/>
  <c r="BJ138" i="1" s="1"/>
  <c r="BE204" i="43"/>
  <c r="BK204" i="43" s="1"/>
  <c r="BL204" i="43" s="1"/>
  <c r="BM204" i="43" s="1"/>
  <c r="BN204" i="43" s="1"/>
  <c r="BB226" i="1"/>
  <c r="BG226" i="1" s="1"/>
  <c r="BH226" i="1" s="1"/>
  <c r="BJ226" i="1" s="1"/>
  <c r="BE207" i="43"/>
  <c r="BK207" i="43" s="1"/>
  <c r="BL207" i="43" s="1"/>
  <c r="BM207" i="43" s="1"/>
  <c r="BN207" i="43" s="1"/>
  <c r="BB278" i="1"/>
  <c r="BG278" i="1" s="1"/>
  <c r="BH278" i="1" s="1"/>
  <c r="BI278" i="1" s="1"/>
  <c r="BK278" i="1" s="1"/>
  <c r="BE209" i="43"/>
  <c r="BK209" i="43" s="1"/>
  <c r="BL209" i="43" s="1"/>
  <c r="BM209" i="43" s="1"/>
  <c r="BN209" i="43" s="1"/>
  <c r="BA168" i="1"/>
  <c r="BG168" i="1" s="1"/>
  <c r="BH168" i="1" s="1"/>
  <c r="BJ168" i="1" s="1"/>
  <c r="BE223" i="43"/>
  <c r="BK223" i="43" s="1"/>
  <c r="BL223" i="43" s="1"/>
  <c r="BM223" i="43" s="1"/>
  <c r="BN223" i="43" s="1"/>
  <c r="BB171" i="1"/>
  <c r="BG171" i="1" s="1"/>
  <c r="BH171" i="1" s="1"/>
  <c r="BJ171" i="1" s="1"/>
  <c r="BB359" i="1"/>
  <c r="BG359" i="1" s="1"/>
  <c r="BH359" i="1" s="1"/>
  <c r="BJ359" i="1" s="1"/>
  <c r="BB281" i="1"/>
  <c r="BG281" i="1" s="1"/>
  <c r="BH281" i="1" s="1"/>
  <c r="BJ281" i="1" s="1"/>
  <c r="BL281" i="1" s="1"/>
  <c r="BE221" i="43"/>
  <c r="BK221" i="43" s="1"/>
  <c r="BL221" i="43" s="1"/>
  <c r="BM221" i="43" s="1"/>
  <c r="BN221" i="43" s="1"/>
  <c r="BB355" i="1"/>
  <c r="BG355" i="1" s="1"/>
  <c r="BH355" i="1" s="1"/>
  <c r="BJ355" i="1" s="1"/>
  <c r="BE215" i="43"/>
  <c r="BK215" i="43" s="1"/>
  <c r="BL215" i="43" s="1"/>
  <c r="BM215" i="43" s="1"/>
  <c r="BN215" i="43" s="1"/>
  <c r="BB349" i="1"/>
  <c r="BG349" i="1" s="1"/>
  <c r="BH349" i="1" s="1"/>
  <c r="BJ349" i="1" s="1"/>
  <c r="BE201" i="43"/>
  <c r="BK201" i="43" s="1"/>
  <c r="BL201" i="43" s="1"/>
  <c r="BM201" i="43" s="1"/>
  <c r="BN201" i="43" s="1"/>
  <c r="BE210" i="43"/>
  <c r="BK210" i="43" s="1"/>
  <c r="BL210" i="43" s="1"/>
  <c r="BM210" i="43" s="1"/>
  <c r="BN210" i="43" s="1"/>
  <c r="BB356" i="1"/>
  <c r="BG356" i="1" s="1"/>
  <c r="BH356" i="1" s="1"/>
  <c r="BI356" i="1" s="1"/>
  <c r="BK356" i="1" s="1"/>
  <c r="BE208" i="43"/>
  <c r="BK208" i="43" s="1"/>
  <c r="BL208" i="43" s="1"/>
  <c r="BM208" i="43" s="1"/>
  <c r="BN208" i="43" s="1"/>
  <c r="BE220" i="43"/>
  <c r="BK220" i="43" s="1"/>
  <c r="BL220" i="43" s="1"/>
  <c r="BM220" i="43" s="1"/>
  <c r="BN220" i="43" s="1"/>
  <c r="AU284" i="1"/>
  <c r="BG284" i="1" s="1"/>
  <c r="BH284" i="1" s="1"/>
  <c r="BJ284" i="1" s="1"/>
  <c r="BB153" i="1"/>
  <c r="BG153" i="1" s="1"/>
  <c r="BH153" i="1" s="1"/>
  <c r="BJ153" i="1" s="1"/>
  <c r="BB20" i="1"/>
  <c r="BG20" i="1" s="1"/>
  <c r="BH20" i="1" s="1"/>
  <c r="BE203" i="43"/>
  <c r="BK203" i="43" s="1"/>
  <c r="BL203" i="43" s="1"/>
  <c r="BM203" i="43" s="1"/>
  <c r="BN203" i="43" s="1"/>
  <c r="BE205" i="43"/>
  <c r="BK205" i="43" s="1"/>
  <c r="BL205" i="43" s="1"/>
  <c r="BM205" i="43" s="1"/>
  <c r="BN205" i="43" s="1"/>
  <c r="BE200" i="43"/>
  <c r="BK200" i="43" s="1"/>
  <c r="BL200" i="43" s="1"/>
  <c r="BM200" i="43" s="1"/>
  <c r="BN200" i="43" s="1"/>
  <c r="BB353" i="1"/>
  <c r="BG353" i="1" s="1"/>
  <c r="BH353" i="1" s="1"/>
  <c r="BI353" i="1" s="1"/>
  <c r="BK353" i="1" s="1"/>
  <c r="BE216" i="43"/>
  <c r="BK216" i="43" s="1"/>
  <c r="BL216" i="43" s="1"/>
  <c r="BM216" i="43" s="1"/>
  <c r="BN216" i="43" s="1"/>
  <c r="BB61" i="1"/>
  <c r="BG61" i="1" s="1"/>
  <c r="BH61" i="1" s="1"/>
  <c r="BJ61" i="1" s="1"/>
  <c r="BE194" i="43"/>
  <c r="BK194" i="43" s="1"/>
  <c r="BL194" i="43" s="1"/>
  <c r="BM194" i="43" s="1"/>
  <c r="BN194" i="43" s="1"/>
  <c r="BB114" i="1"/>
  <c r="BG114" i="1" s="1"/>
  <c r="BH114" i="1" s="1"/>
  <c r="BI114" i="1" s="1"/>
  <c r="BK114" i="1" s="1"/>
  <c r="BE211" i="43"/>
  <c r="BK211" i="43" s="1"/>
  <c r="BL211" i="43" s="1"/>
  <c r="BM211" i="43" s="1"/>
  <c r="BN211" i="43" s="1"/>
  <c r="BB357" i="1"/>
  <c r="BG357" i="1" s="1"/>
  <c r="BH357" i="1" s="1"/>
  <c r="BI357" i="1" s="1"/>
  <c r="BK357" i="1" s="1"/>
  <c r="BB143" i="1"/>
  <c r="BG143" i="1" s="1"/>
  <c r="BH143" i="1" s="1"/>
  <c r="BI143" i="1" s="1"/>
  <c r="BK143" i="1" s="1"/>
  <c r="BE198" i="43"/>
  <c r="BK198" i="43" s="1"/>
  <c r="BL198" i="43" s="1"/>
  <c r="BM198" i="43" s="1"/>
  <c r="BN198" i="43" s="1"/>
  <c r="BB348" i="1"/>
  <c r="BG348" i="1" s="1"/>
  <c r="BH348" i="1" s="1"/>
  <c r="BJ348" i="1" s="1"/>
  <c r="BB293" i="1"/>
  <c r="BG293" i="1" s="1"/>
  <c r="BH293" i="1" s="1"/>
  <c r="BJ293" i="1" s="1"/>
  <c r="BE213" i="43"/>
  <c r="BK213" i="43" s="1"/>
  <c r="BL213" i="43" s="1"/>
  <c r="BM213" i="43" s="1"/>
  <c r="BN213" i="43" s="1"/>
  <c r="BE218" i="43"/>
  <c r="BK218" i="43" s="1"/>
  <c r="BL218" i="43" s="1"/>
  <c r="BM218" i="43" s="1"/>
  <c r="BN218" i="43" s="1"/>
  <c r="BB84" i="1"/>
  <c r="BG84" i="1" s="1"/>
  <c r="BH84" i="1" s="1"/>
  <c r="BI84" i="1" s="1"/>
  <c r="BK84" i="1" s="1"/>
  <c r="BB319" i="1"/>
  <c r="BG319" i="1" s="1"/>
  <c r="BH319" i="1" s="1"/>
  <c r="BJ319" i="1" s="1"/>
  <c r="BE199" i="43"/>
  <c r="BK199" i="43" s="1"/>
  <c r="BL199" i="43" s="1"/>
  <c r="BM199" i="43" s="1"/>
  <c r="BN199" i="43" s="1"/>
  <c r="BB339" i="1"/>
  <c r="BG339" i="1" s="1"/>
  <c r="BH339" i="1" s="1"/>
  <c r="BJ339" i="1" s="1"/>
  <c r="BB158" i="1"/>
  <c r="BG158" i="1" s="1"/>
  <c r="BH158" i="1" s="1"/>
  <c r="BI158" i="1" s="1"/>
  <c r="BK158" i="1" s="1"/>
  <c r="AY369" i="1"/>
  <c r="BG369" i="1" s="1"/>
  <c r="BH369" i="1" s="1"/>
  <c r="BJ369" i="1" s="1"/>
  <c r="AX30" i="43"/>
  <c r="BK30" i="43" s="1"/>
  <c r="BL30" i="43" s="1"/>
  <c r="BM30" i="43" s="1"/>
  <c r="BN30" i="43" s="1"/>
  <c r="AX43" i="43"/>
  <c r="BK43" i="43" s="1"/>
  <c r="BL43" i="43" s="1"/>
  <c r="BM43" i="43" s="1"/>
  <c r="BN43" i="43" s="1"/>
  <c r="AX56" i="43"/>
  <c r="BK56" i="43" s="1"/>
  <c r="BL56" i="43" s="1"/>
  <c r="BM56" i="43" s="1"/>
  <c r="BN56" i="43" s="1"/>
  <c r="AU23" i="1"/>
  <c r="BG23" i="1" s="1"/>
  <c r="BH23" i="1" s="1"/>
  <c r="BI23" i="1" s="1"/>
  <c r="BK23" i="1" s="1"/>
  <c r="AX57" i="43"/>
  <c r="BK57" i="43" s="1"/>
  <c r="BL57" i="43" s="1"/>
  <c r="BM57" i="43" s="1"/>
  <c r="BN57" i="43" s="1"/>
  <c r="AX31" i="43"/>
  <c r="BK31" i="43" s="1"/>
  <c r="BL31" i="43" s="1"/>
  <c r="BM31" i="43" s="1"/>
  <c r="BN31" i="43" s="1"/>
  <c r="AX35" i="43"/>
  <c r="BK35" i="43" s="1"/>
  <c r="BL35" i="43" s="1"/>
  <c r="BM35" i="43" s="1"/>
  <c r="BN35" i="43" s="1"/>
  <c r="AU352" i="1"/>
  <c r="BG352" i="1" s="1"/>
  <c r="BH352" i="1" s="1"/>
  <c r="BJ352" i="1" s="1"/>
  <c r="AU53" i="1"/>
  <c r="BG53" i="1" s="1"/>
  <c r="BH53" i="1" s="1"/>
  <c r="BI53" i="1" s="1"/>
  <c r="BK53" i="1" s="1"/>
  <c r="AX40" i="43"/>
  <c r="BK40" i="43" s="1"/>
  <c r="BL40" i="43" s="1"/>
  <c r="BM40" i="43" s="1"/>
  <c r="BN40" i="43" s="1"/>
  <c r="AX37" i="43"/>
  <c r="BK37" i="43" s="1"/>
  <c r="BL37" i="43" s="1"/>
  <c r="BM37" i="43" s="1"/>
  <c r="BN37" i="43" s="1"/>
  <c r="AX33" i="43"/>
  <c r="BK33" i="43" s="1"/>
  <c r="BL33" i="43" s="1"/>
  <c r="BM33" i="43" s="1"/>
  <c r="BN33" i="43" s="1"/>
  <c r="AU321" i="1"/>
  <c r="BG321" i="1" s="1"/>
  <c r="BH321" i="1" s="1"/>
  <c r="BJ321" i="1" s="1"/>
  <c r="AX27" i="43"/>
  <c r="BK27" i="43" s="1"/>
  <c r="BL27" i="43" s="1"/>
  <c r="BM27" i="43" s="1"/>
  <c r="BN27" i="43" s="1"/>
  <c r="AX49" i="43"/>
  <c r="BK49" i="43" s="1"/>
  <c r="BL49" i="43" s="1"/>
  <c r="BM49" i="43" s="1"/>
  <c r="BN49" i="43" s="1"/>
  <c r="AU232" i="1"/>
  <c r="BG232" i="1" s="1"/>
  <c r="BH232" i="1" s="1"/>
  <c r="BI232" i="1" s="1"/>
  <c r="BK232" i="1" s="1"/>
  <c r="AU215" i="1"/>
  <c r="BG215" i="1" s="1"/>
  <c r="BH215" i="1" s="1"/>
  <c r="BJ215" i="1" s="1"/>
  <c r="AX51" i="43"/>
  <c r="BK51" i="43" s="1"/>
  <c r="BL51" i="43" s="1"/>
  <c r="BM51" i="43" s="1"/>
  <c r="BN51" i="43" s="1"/>
  <c r="AX25" i="43"/>
  <c r="BK25" i="43" s="1"/>
  <c r="BL25" i="43" s="1"/>
  <c r="BM25" i="43" s="1"/>
  <c r="BN25" i="43" s="1"/>
  <c r="AX52" i="43"/>
  <c r="BK52" i="43" s="1"/>
  <c r="BL52" i="43" s="1"/>
  <c r="BM52" i="43" s="1"/>
  <c r="BN52" i="43" s="1"/>
  <c r="AU133" i="1"/>
  <c r="BG133" i="1" s="1"/>
  <c r="BH133" i="1" s="1"/>
  <c r="BI133" i="1" s="1"/>
  <c r="BK133" i="1" s="1"/>
  <c r="AU358" i="1"/>
  <c r="BG358" i="1" s="1"/>
  <c r="BH358" i="1" s="1"/>
  <c r="BJ358" i="1" s="1"/>
  <c r="AX45" i="43"/>
  <c r="BK45" i="43" s="1"/>
  <c r="BL45" i="43" s="1"/>
  <c r="BM45" i="43" s="1"/>
  <c r="BN45" i="43" s="1"/>
  <c r="AU13" i="1"/>
  <c r="BG13" i="1" s="1"/>
  <c r="BH13" i="1" s="1"/>
  <c r="BJ13" i="1" s="1"/>
  <c r="AU224" i="1"/>
  <c r="BG224" i="1" s="1"/>
  <c r="BH224" i="1" s="1"/>
  <c r="BJ224" i="1" s="1"/>
  <c r="AY219" i="1"/>
  <c r="BG219" i="1" s="1"/>
  <c r="BH219" i="1" s="1"/>
  <c r="BJ219" i="1" s="1"/>
  <c r="AX42" i="43"/>
  <c r="BK42" i="43" s="1"/>
  <c r="BL42" i="43" s="1"/>
  <c r="BM42" i="43" s="1"/>
  <c r="BN42" i="43" s="1"/>
  <c r="AX50" i="43"/>
  <c r="BK50" i="43" s="1"/>
  <c r="BL50" i="43" s="1"/>
  <c r="BM50" i="43" s="1"/>
  <c r="BN50" i="43" s="1"/>
  <c r="AU385" i="1"/>
  <c r="BG385" i="1" s="1"/>
  <c r="BH385" i="1" s="1"/>
  <c r="BJ385" i="1" s="1"/>
  <c r="BL385" i="1" s="1"/>
  <c r="AU336" i="1"/>
  <c r="BG336" i="1" s="1"/>
  <c r="BH336" i="1" s="1"/>
  <c r="BJ336" i="1" s="1"/>
  <c r="AV378" i="1"/>
  <c r="BG378" i="1" s="1"/>
  <c r="BH378" i="1" s="1"/>
  <c r="BJ378" i="1" s="1"/>
  <c r="AV267" i="1"/>
  <c r="BG267" i="1" s="1"/>
  <c r="BH267" i="1" s="1"/>
  <c r="BI267" i="1" s="1"/>
  <c r="BK267" i="1" s="1"/>
  <c r="AV302" i="1"/>
  <c r="BG302" i="1" s="1"/>
  <c r="BH302" i="1" s="1"/>
  <c r="BJ302" i="1" s="1"/>
  <c r="AY63" i="43"/>
  <c r="BK63" i="43" s="1"/>
  <c r="BL63" i="43" s="1"/>
  <c r="BM63" i="43" s="1"/>
  <c r="BN63" i="43" s="1"/>
  <c r="AV166" i="1"/>
  <c r="BG166" i="1" s="1"/>
  <c r="BH166" i="1" s="1"/>
  <c r="BI166" i="1" s="1"/>
  <c r="BK166" i="1" s="1"/>
  <c r="AV275" i="1"/>
  <c r="BG275" i="1" s="1"/>
  <c r="BH275" i="1" s="1"/>
  <c r="BI275" i="1" s="1"/>
  <c r="BK275" i="1" s="1"/>
  <c r="BM275" i="1" s="1"/>
  <c r="AV228" i="1"/>
  <c r="BG228" i="1" s="1"/>
  <c r="BH228" i="1" s="1"/>
  <c r="BI228" i="1" s="1"/>
  <c r="BK228" i="1" s="1"/>
  <c r="AY64" i="43"/>
  <c r="BK64" i="43" s="1"/>
  <c r="BL64" i="43" s="1"/>
  <c r="BM64" i="43" s="1"/>
  <c r="BN64" i="43" s="1"/>
  <c r="AY61" i="43"/>
  <c r="BK61" i="43" s="1"/>
  <c r="BL61" i="43" s="1"/>
  <c r="BM61" i="43" s="1"/>
  <c r="BN61" i="43" s="1"/>
  <c r="AV152" i="1"/>
  <c r="BG152" i="1" s="1"/>
  <c r="BH152" i="1" s="1"/>
  <c r="BI152" i="1" s="1"/>
  <c r="BK152" i="1" s="1"/>
  <c r="AY62" i="43"/>
  <c r="BK62" i="43" s="1"/>
  <c r="BL62" i="43" s="1"/>
  <c r="BM62" i="43" s="1"/>
  <c r="BN62" i="43" s="1"/>
  <c r="AY67" i="43"/>
  <c r="BK67" i="43" s="1"/>
  <c r="BL67" i="43" s="1"/>
  <c r="BM67" i="43" s="1"/>
  <c r="BN67" i="43" s="1"/>
  <c r="AY66" i="43"/>
  <c r="BK66" i="43" s="1"/>
  <c r="BL66" i="43" s="1"/>
  <c r="BM66" i="43" s="1"/>
  <c r="BN66" i="43" s="1"/>
  <c r="AV110" i="1"/>
  <c r="BG110" i="1" s="1"/>
  <c r="BH110" i="1" s="1"/>
  <c r="BJ110" i="1" s="1"/>
  <c r="AV45" i="1"/>
  <c r="AY60" i="43"/>
  <c r="BK60" i="43" s="1"/>
  <c r="BL60" i="43" s="1"/>
  <c r="BM60" i="43" s="1"/>
  <c r="BN60" i="43" s="1"/>
  <c r="AV340" i="1"/>
  <c r="BG340" i="1" s="1"/>
  <c r="BH340" i="1" s="1"/>
  <c r="BI340" i="1" s="1"/>
  <c r="BK340" i="1" s="1"/>
  <c r="BC137" i="43"/>
  <c r="BK137" i="43" s="1"/>
  <c r="BL137" i="43" s="1"/>
  <c r="BM137" i="43" s="1"/>
  <c r="BN137" i="43" s="1"/>
  <c r="BC134" i="43"/>
  <c r="BK134" i="43" s="1"/>
  <c r="BL134" i="43" s="1"/>
  <c r="BM134" i="43" s="1"/>
  <c r="BN134" i="43" s="1"/>
  <c r="BC139" i="43"/>
  <c r="BK139" i="43" s="1"/>
  <c r="BL139" i="43" s="1"/>
  <c r="BM139" i="43" s="1"/>
  <c r="BN139" i="43" s="1"/>
  <c r="AZ251" i="1"/>
  <c r="BG251" i="1" s="1"/>
  <c r="BH251" i="1" s="1"/>
  <c r="BJ251" i="1" s="1"/>
  <c r="AZ149" i="1"/>
  <c r="BG149" i="1" s="1"/>
  <c r="BH149" i="1" s="1"/>
  <c r="BJ149" i="1" s="1"/>
  <c r="BC150" i="43"/>
  <c r="BK150" i="43" s="1"/>
  <c r="BL150" i="43" s="1"/>
  <c r="BM150" i="43" s="1"/>
  <c r="BN150" i="43" s="1"/>
  <c r="AZ388" i="1"/>
  <c r="BG388" i="1" s="1"/>
  <c r="BH388" i="1" s="1"/>
  <c r="BJ388" i="1" s="1"/>
  <c r="AZ131" i="1"/>
  <c r="BG131" i="1" s="1"/>
  <c r="BH131" i="1" s="1"/>
  <c r="BJ131" i="1" s="1"/>
  <c r="BC146" i="43"/>
  <c r="BK146" i="43" s="1"/>
  <c r="BL146" i="43" s="1"/>
  <c r="BM146" i="43" s="1"/>
  <c r="BN146" i="43" s="1"/>
  <c r="BC149" i="43"/>
  <c r="BK149" i="43" s="1"/>
  <c r="BL149" i="43" s="1"/>
  <c r="BM149" i="43" s="1"/>
  <c r="BN149" i="43" s="1"/>
  <c r="AZ218" i="1"/>
  <c r="BG218" i="1" s="1"/>
  <c r="BH218" i="1" s="1"/>
  <c r="BI218" i="1" s="1"/>
  <c r="BK218" i="1" s="1"/>
  <c r="AZ136" i="1"/>
  <c r="BG136" i="1" s="1"/>
  <c r="BH136" i="1" s="1"/>
  <c r="BJ136" i="1" s="1"/>
  <c r="AZ64" i="1"/>
  <c r="BG64" i="1" s="1"/>
  <c r="BH64" i="1" s="1"/>
  <c r="BJ64" i="1" s="1"/>
  <c r="BC147" i="43"/>
  <c r="BK147" i="43" s="1"/>
  <c r="BL147" i="43" s="1"/>
  <c r="BM147" i="43" s="1"/>
  <c r="BN147" i="43" s="1"/>
  <c r="AZ312" i="1"/>
  <c r="BG312" i="1" s="1"/>
  <c r="BH312" i="1" s="1"/>
  <c r="BI312" i="1" s="1"/>
  <c r="BK312" i="1" s="1"/>
  <c r="BC155" i="43"/>
  <c r="BK155" i="43" s="1"/>
  <c r="BL155" i="43" s="1"/>
  <c r="BM155" i="43" s="1"/>
  <c r="BN155" i="43" s="1"/>
  <c r="AZ379" i="1"/>
  <c r="BG379" i="1" s="1"/>
  <c r="BH379" i="1" s="1"/>
  <c r="BJ379" i="1" s="1"/>
  <c r="BC138" i="43"/>
  <c r="BK138" i="43" s="1"/>
  <c r="BL138" i="43" s="1"/>
  <c r="BM138" i="43" s="1"/>
  <c r="BN138" i="43" s="1"/>
  <c r="AZ207" i="1"/>
  <c r="BG207" i="1" s="1"/>
  <c r="BH207" i="1" s="1"/>
  <c r="BJ207" i="1" s="1"/>
  <c r="BC141" i="43"/>
  <c r="BK141" i="43" s="1"/>
  <c r="BL141" i="43" s="1"/>
  <c r="BM141" i="43" s="1"/>
  <c r="BN141" i="43" s="1"/>
  <c r="BC152" i="43"/>
  <c r="BK152" i="43" s="1"/>
  <c r="BL152" i="43" s="1"/>
  <c r="BM152" i="43" s="1"/>
  <c r="BN152" i="43" s="1"/>
  <c r="AZ387" i="1"/>
  <c r="BG387" i="1" s="1"/>
  <c r="BH387" i="1" s="1"/>
  <c r="BI387" i="1" s="1"/>
  <c r="BK387" i="1" s="1"/>
  <c r="AY29" i="1"/>
  <c r="BG29" i="1" s="1"/>
  <c r="BH29" i="1" s="1"/>
  <c r="BC142" i="43"/>
  <c r="BK142" i="43" s="1"/>
  <c r="BL142" i="43" s="1"/>
  <c r="BM142" i="43" s="1"/>
  <c r="BN142" i="43" s="1"/>
  <c r="BC143" i="43"/>
  <c r="BK143" i="43" s="1"/>
  <c r="BL143" i="43" s="1"/>
  <c r="BM143" i="43" s="1"/>
  <c r="BN143" i="43" s="1"/>
  <c r="AZ377" i="1"/>
  <c r="BG377" i="1" s="1"/>
  <c r="BH377" i="1" s="1"/>
  <c r="BI377" i="1" s="1"/>
  <c r="BK377" i="1" s="1"/>
  <c r="AZ174" i="1"/>
  <c r="BG174" i="1" s="1"/>
  <c r="BH174" i="1" s="1"/>
  <c r="BJ174" i="1" s="1"/>
  <c r="BD188" i="43"/>
  <c r="BK188" i="43" s="1"/>
  <c r="BL188" i="43" s="1"/>
  <c r="BM188" i="43" s="1"/>
  <c r="BN188" i="43" s="1"/>
  <c r="BD172" i="43"/>
  <c r="BK172" i="43" s="1"/>
  <c r="BL172" i="43" s="1"/>
  <c r="BM172" i="43" s="1"/>
  <c r="BN172" i="43" s="1"/>
  <c r="BD173" i="43"/>
  <c r="BK173" i="43" s="1"/>
  <c r="BL173" i="43" s="1"/>
  <c r="BM173" i="43" s="1"/>
  <c r="BN173" i="43" s="1"/>
  <c r="BD168" i="43"/>
  <c r="BK168" i="43" s="1"/>
  <c r="BL168" i="43" s="1"/>
  <c r="BM168" i="43" s="1"/>
  <c r="BN168" i="43" s="1"/>
  <c r="BD175" i="43"/>
  <c r="BK175" i="43" s="1"/>
  <c r="BL175" i="43" s="1"/>
  <c r="BM175" i="43" s="1"/>
  <c r="BN175" i="43" s="1"/>
  <c r="BD166" i="43"/>
  <c r="BK166" i="43" s="1"/>
  <c r="BL166" i="43" s="1"/>
  <c r="BM166" i="43" s="1"/>
  <c r="BN166" i="43" s="1"/>
  <c r="BA362" i="1"/>
  <c r="BG362" i="1" s="1"/>
  <c r="BH362" i="1" s="1"/>
  <c r="BJ362" i="1" s="1"/>
  <c r="BA384" i="1"/>
  <c r="BG384" i="1" s="1"/>
  <c r="BH384" i="1" s="1"/>
  <c r="BI384" i="1" s="1"/>
  <c r="BK384" i="1" s="1"/>
  <c r="BA26" i="1"/>
  <c r="BG26" i="1" s="1"/>
  <c r="BH26" i="1" s="1"/>
  <c r="BI26" i="1" s="1"/>
  <c r="BK26" i="1" s="1"/>
  <c r="BA4" i="1"/>
  <c r="BG4" i="1" s="1"/>
  <c r="BA83" i="1"/>
  <c r="BG83" i="1" s="1"/>
  <c r="BH83" i="1" s="1"/>
  <c r="BI83" i="1" s="1"/>
  <c r="BK83" i="1" s="1"/>
  <c r="BA200" i="1"/>
  <c r="BG200" i="1" s="1"/>
  <c r="BH200" i="1" s="1"/>
  <c r="BI200" i="1" s="1"/>
  <c r="BK200" i="1" s="1"/>
  <c r="BA184" i="1"/>
  <c r="BG184" i="1" s="1"/>
  <c r="BH184" i="1" s="1"/>
  <c r="BI184" i="1" s="1"/>
  <c r="BK184" i="1" s="1"/>
  <c r="BA208" i="1"/>
  <c r="BG208" i="1" s="1"/>
  <c r="BH208" i="1" s="1"/>
  <c r="BI208" i="1" s="1"/>
  <c r="BK208" i="1" s="1"/>
  <c r="BA238" i="1"/>
  <c r="BG238" i="1" s="1"/>
  <c r="BH238" i="1" s="1"/>
  <c r="BI238" i="1" s="1"/>
  <c r="BK238" i="1" s="1"/>
  <c r="BA81" i="1"/>
  <c r="BG81" i="1" s="1"/>
  <c r="BH81" i="1" s="1"/>
  <c r="BJ81" i="1" s="1"/>
  <c r="BD163" i="43"/>
  <c r="BK163" i="43" s="1"/>
  <c r="BL163" i="43" s="1"/>
  <c r="BM163" i="43" s="1"/>
  <c r="BN163" i="43" s="1"/>
  <c r="BA173" i="1"/>
  <c r="BG173" i="1" s="1"/>
  <c r="BH173" i="1" s="1"/>
  <c r="BI173" i="1" s="1"/>
  <c r="BK173" i="1" s="1"/>
  <c r="BD178" i="43"/>
  <c r="BK178" i="43" s="1"/>
  <c r="BL178" i="43" s="1"/>
  <c r="BM178" i="43" s="1"/>
  <c r="BN178" i="43" s="1"/>
  <c r="BA342" i="1"/>
  <c r="BG342" i="1" s="1"/>
  <c r="BH342" i="1" s="1"/>
  <c r="BJ342" i="1" s="1"/>
  <c r="BA368" i="1"/>
  <c r="BG368" i="1" s="1"/>
  <c r="BH368" i="1" s="1"/>
  <c r="BJ368" i="1" s="1"/>
  <c r="BA294" i="1"/>
  <c r="BG294" i="1" s="1"/>
  <c r="BH294" i="1" s="1"/>
  <c r="BJ294" i="1" s="1"/>
  <c r="BD158" i="43"/>
  <c r="BK158" i="43" s="1"/>
  <c r="BL158" i="43" s="1"/>
  <c r="BM158" i="43" s="1"/>
  <c r="BN158" i="43" s="1"/>
  <c r="BD189" i="43"/>
  <c r="BK189" i="43" s="1"/>
  <c r="BL189" i="43" s="1"/>
  <c r="BM189" i="43" s="1"/>
  <c r="BN189" i="43" s="1"/>
  <c r="BD190" i="43"/>
  <c r="BK190" i="43" s="1"/>
  <c r="BL190" i="43" s="1"/>
  <c r="BM190" i="43" s="1"/>
  <c r="BN190" i="43" s="1"/>
  <c r="BD156" i="43"/>
  <c r="BK156" i="43" s="1"/>
  <c r="BL156" i="43" s="1"/>
  <c r="BM156" i="43" s="1"/>
  <c r="BN156" i="43" s="1"/>
  <c r="BD186" i="43"/>
  <c r="BK186" i="43" s="1"/>
  <c r="BL186" i="43" s="1"/>
  <c r="BM186" i="43" s="1"/>
  <c r="BN186" i="43" s="1"/>
  <c r="BD184" i="43"/>
  <c r="BK184" i="43" s="1"/>
  <c r="BL184" i="43" s="1"/>
  <c r="BM184" i="43" s="1"/>
  <c r="BN184" i="43" s="1"/>
  <c r="BA105" i="1"/>
  <c r="BG105" i="1" s="1"/>
  <c r="BH105" i="1" s="1"/>
  <c r="BJ105" i="1" s="1"/>
  <c r="BA137" i="1"/>
  <c r="BG137" i="1" s="1"/>
  <c r="BH137" i="1" s="1"/>
  <c r="BJ137" i="1" s="1"/>
  <c r="BA389" i="1"/>
  <c r="BG389" i="1" s="1"/>
  <c r="BH389" i="1" s="1"/>
  <c r="BJ389" i="1" s="1"/>
  <c r="BD182" i="43"/>
  <c r="BK182" i="43" s="1"/>
  <c r="BL182" i="43" s="1"/>
  <c r="BM182" i="43" s="1"/>
  <c r="BN182" i="43" s="1"/>
  <c r="BD169" i="43"/>
  <c r="BK169" i="43" s="1"/>
  <c r="BL169" i="43" s="1"/>
  <c r="BM169" i="43" s="1"/>
  <c r="BN169" i="43" s="1"/>
  <c r="BD185" i="43"/>
  <c r="BK185" i="43" s="1"/>
  <c r="BL185" i="43" s="1"/>
  <c r="BM185" i="43" s="1"/>
  <c r="BN185" i="43" s="1"/>
  <c r="BD177" i="43"/>
  <c r="BK177" i="43" s="1"/>
  <c r="BL177" i="43" s="1"/>
  <c r="BM177" i="43" s="1"/>
  <c r="BN177" i="43" s="1"/>
  <c r="BA240" i="1"/>
  <c r="BG240" i="1" s="1"/>
  <c r="BH240" i="1" s="1"/>
  <c r="BJ240" i="1" s="1"/>
  <c r="BA123" i="1"/>
  <c r="BG123" i="1" s="1"/>
  <c r="BH123" i="1" s="1"/>
  <c r="BJ123" i="1" s="1"/>
  <c r="BA225" i="1"/>
  <c r="BG225" i="1" s="1"/>
  <c r="BH225" i="1" s="1"/>
  <c r="BJ225" i="1" s="1"/>
  <c r="BA234" i="1"/>
  <c r="BG234" i="1" s="1"/>
  <c r="BH234" i="1" s="1"/>
  <c r="BJ234" i="1" s="1"/>
  <c r="BA317" i="1"/>
  <c r="BG317" i="1" s="1"/>
  <c r="BH317" i="1" s="1"/>
  <c r="BJ317" i="1" s="1"/>
  <c r="BA49" i="1"/>
  <c r="BG49" i="1" s="1"/>
  <c r="BH49" i="1" s="1"/>
  <c r="BI49" i="1" s="1"/>
  <c r="BK49" i="1" s="1"/>
  <c r="BM49" i="1" s="1"/>
  <c r="BD165" i="43"/>
  <c r="BK165" i="43" s="1"/>
  <c r="BL165" i="43" s="1"/>
  <c r="BM165" i="43" s="1"/>
  <c r="BN165" i="43" s="1"/>
  <c r="BA185" i="1"/>
  <c r="BG185" i="1" s="1"/>
  <c r="BH185" i="1" s="1"/>
  <c r="BJ185" i="1" s="1"/>
  <c r="BA127" i="1"/>
  <c r="BG127" i="1" s="1"/>
  <c r="BH127" i="1" s="1"/>
  <c r="BJ127" i="1" s="1"/>
  <c r="BA175" i="1"/>
  <c r="BG175" i="1" s="1"/>
  <c r="BH175" i="1" s="1"/>
  <c r="BI175" i="1" s="1"/>
  <c r="BK175" i="1" s="1"/>
  <c r="BA308" i="1"/>
  <c r="BG308" i="1" s="1"/>
  <c r="BH308" i="1" s="1"/>
  <c r="BI308" i="1" s="1"/>
  <c r="BK308" i="1" s="1"/>
  <c r="BA177" i="1"/>
  <c r="BG177" i="1" s="1"/>
  <c r="BH177" i="1" s="1"/>
  <c r="BJ177" i="1" s="1"/>
  <c r="BA288" i="1"/>
  <c r="BG288" i="1" s="1"/>
  <c r="BH288" i="1" s="1"/>
  <c r="BJ288" i="1" s="1"/>
  <c r="BA87" i="1"/>
  <c r="BG87" i="1" s="1"/>
  <c r="BH87" i="1" s="1"/>
  <c r="BI87" i="1" s="1"/>
  <c r="BK87" i="1" s="1"/>
  <c r="BD167" i="43"/>
  <c r="BK167" i="43" s="1"/>
  <c r="BL167" i="43" s="1"/>
  <c r="BM167" i="43" s="1"/>
  <c r="BN167" i="43" s="1"/>
  <c r="BD183" i="43"/>
  <c r="BK183" i="43" s="1"/>
  <c r="BL183" i="43" s="1"/>
  <c r="BM183" i="43" s="1"/>
  <c r="BN183" i="43" s="1"/>
  <c r="BA286" i="1"/>
  <c r="BG286" i="1" s="1"/>
  <c r="BH286" i="1" s="1"/>
  <c r="BJ286" i="1" s="1"/>
  <c r="BD192" i="43"/>
  <c r="BK192" i="43" s="1"/>
  <c r="BL192" i="43" s="1"/>
  <c r="BM192" i="43" s="1"/>
  <c r="BN192" i="43" s="1"/>
  <c r="BA77" i="1"/>
  <c r="BG77" i="1" s="1"/>
  <c r="BH77" i="1" s="1"/>
  <c r="BJ77" i="1" s="1"/>
  <c r="BD162" i="43"/>
  <c r="BK162" i="43" s="1"/>
  <c r="BL162" i="43" s="1"/>
  <c r="BM162" i="43" s="1"/>
  <c r="BN162" i="43" s="1"/>
  <c r="BD179" i="43"/>
  <c r="BK179" i="43" s="1"/>
  <c r="BL179" i="43" s="1"/>
  <c r="BM179" i="43" s="1"/>
  <c r="BN179" i="43" s="1"/>
  <c r="BD161" i="43"/>
  <c r="BK161" i="43" s="1"/>
  <c r="BL161" i="43" s="1"/>
  <c r="BM161" i="43" s="1"/>
  <c r="BN161" i="43" s="1"/>
  <c r="BA229" i="1"/>
  <c r="BG229" i="1" s="1"/>
  <c r="BH229" i="1" s="1"/>
  <c r="BI229" i="1" s="1"/>
  <c r="BK229" i="1" s="1"/>
  <c r="BD159" i="43"/>
  <c r="BK159" i="43" s="1"/>
  <c r="BL159" i="43" s="1"/>
  <c r="BM159" i="43" s="1"/>
  <c r="BN159" i="43" s="1"/>
  <c r="BD170" i="43"/>
  <c r="BK170" i="43" s="1"/>
  <c r="BL170" i="43" s="1"/>
  <c r="BM170" i="43" s="1"/>
  <c r="BN170" i="43" s="1"/>
  <c r="BA121" i="1"/>
  <c r="BG121" i="1" s="1"/>
  <c r="BH121" i="1" s="1"/>
  <c r="BJ121" i="1" s="1"/>
  <c r="BD174" i="43"/>
  <c r="BK174" i="43" s="1"/>
  <c r="BL174" i="43" s="1"/>
  <c r="BM174" i="43" s="1"/>
  <c r="BN174" i="43" s="1"/>
  <c r="BA297" i="1"/>
  <c r="BG297" i="1" s="1"/>
  <c r="BH297" i="1" s="1"/>
  <c r="BJ297" i="1" s="1"/>
  <c r="BD171" i="43"/>
  <c r="BK171" i="43" s="1"/>
  <c r="BL171" i="43" s="1"/>
  <c r="BM171" i="43" s="1"/>
  <c r="BN171" i="43" s="1"/>
  <c r="BD157" i="43"/>
  <c r="BK157" i="43" s="1"/>
  <c r="BL157" i="43" s="1"/>
  <c r="BM157" i="43" s="1"/>
  <c r="BN157" i="43" s="1"/>
  <c r="BD191" i="43"/>
  <c r="BK191" i="43" s="1"/>
  <c r="BL191" i="43" s="1"/>
  <c r="BM191" i="43" s="1"/>
  <c r="BN191" i="43" s="1"/>
  <c r="BD187" i="43"/>
  <c r="BK187" i="43" s="1"/>
  <c r="BL187" i="43" s="1"/>
  <c r="BM187" i="43" s="1"/>
  <c r="BN187" i="43" s="1"/>
  <c r="BD160" i="43"/>
  <c r="BK160" i="43" s="1"/>
  <c r="BL160" i="43" s="1"/>
  <c r="BM160" i="43" s="1"/>
  <c r="BN160" i="43" s="1"/>
  <c r="AU147" i="1"/>
  <c r="BG147" i="1" s="1"/>
  <c r="BH147" i="1" s="1"/>
  <c r="BJ147" i="1" s="1"/>
  <c r="BD180" i="43"/>
  <c r="BK180" i="43" s="1"/>
  <c r="BL180" i="43" s="1"/>
  <c r="BM180" i="43" s="1"/>
  <c r="BN180" i="43" s="1"/>
  <c r="BD164" i="43"/>
  <c r="BK164" i="43" s="1"/>
  <c r="BL164" i="43" s="1"/>
  <c r="BM164" i="43" s="1"/>
  <c r="BN164" i="43" s="1"/>
  <c r="BC140" i="43"/>
  <c r="BK140" i="43" s="1"/>
  <c r="BL140" i="43" s="1"/>
  <c r="BM140" i="43" s="1"/>
  <c r="BN140" i="43" s="1"/>
  <c r="BC144" i="43"/>
  <c r="BK144" i="43" s="1"/>
  <c r="BL144" i="43" s="1"/>
  <c r="BM144" i="43" s="1"/>
  <c r="BN144" i="43" s="1"/>
  <c r="AZ276" i="1"/>
  <c r="BG276" i="1" s="1"/>
  <c r="BH276" i="1" s="1"/>
  <c r="BJ276" i="1" s="1"/>
  <c r="BC136" i="43"/>
  <c r="BK136" i="43" s="1"/>
  <c r="BL136" i="43" s="1"/>
  <c r="BM136" i="43" s="1"/>
  <c r="BN136" i="43" s="1"/>
  <c r="AZ203" i="1"/>
  <c r="BG203" i="1" s="1"/>
  <c r="BH203" i="1" s="1"/>
  <c r="BJ203" i="1" s="1"/>
  <c r="AX34" i="43"/>
  <c r="BK34" i="43" s="1"/>
  <c r="BL34" i="43" s="1"/>
  <c r="BM34" i="43" s="1"/>
  <c r="BN34" i="43" s="1"/>
  <c r="AX58" i="43"/>
  <c r="BK58" i="43" s="1"/>
  <c r="BL58" i="43" s="1"/>
  <c r="BM58" i="43" s="1"/>
  <c r="BN58" i="43" s="1"/>
  <c r="AX54" i="43"/>
  <c r="BK54" i="43" s="1"/>
  <c r="BL54" i="43" s="1"/>
  <c r="BM54" i="43" s="1"/>
  <c r="BN54" i="43" s="1"/>
  <c r="AX23" i="43"/>
  <c r="BK23" i="43" s="1"/>
  <c r="BL23" i="43" s="1"/>
  <c r="BM23" i="43" s="1"/>
  <c r="BN23" i="43" s="1"/>
  <c r="AU22" i="1"/>
  <c r="BG22" i="1" s="1"/>
  <c r="BH22" i="1" s="1"/>
  <c r="BI22" i="1" s="1"/>
  <c r="BK22" i="1" s="1"/>
  <c r="AU129" i="1"/>
  <c r="BG129" i="1" s="1"/>
  <c r="BH129" i="1" s="1"/>
  <c r="BJ129" i="1" s="1"/>
  <c r="AX55" i="43"/>
  <c r="BK55" i="43" s="1"/>
  <c r="BL55" i="43" s="1"/>
  <c r="BM55" i="43" s="1"/>
  <c r="BN55" i="43" s="1"/>
  <c r="AU335" i="1"/>
  <c r="BG335" i="1" s="1"/>
  <c r="BH335" i="1" s="1"/>
  <c r="BJ335" i="1" s="1"/>
  <c r="AU69" i="1"/>
  <c r="BG69" i="1" s="1"/>
  <c r="BH69" i="1" s="1"/>
  <c r="BI69" i="1" s="1"/>
  <c r="BK69" i="1" s="1"/>
  <c r="AZ157" i="1"/>
  <c r="BG157" i="1" s="1"/>
  <c r="BH157" i="1" s="1"/>
  <c r="BJ157" i="1" s="1"/>
  <c r="AU11" i="1"/>
  <c r="BG11" i="1" s="1"/>
  <c r="BH11" i="1" s="1"/>
  <c r="AX41" i="43"/>
  <c r="BK41" i="43" s="1"/>
  <c r="BL41" i="43" s="1"/>
  <c r="BM41" i="43" s="1"/>
  <c r="BN41" i="43" s="1"/>
  <c r="AX29" i="43"/>
  <c r="BK29" i="43" s="1"/>
  <c r="BL29" i="43" s="1"/>
  <c r="BM29" i="43" s="1"/>
  <c r="BN29" i="43" s="1"/>
  <c r="AX59" i="43"/>
  <c r="BK59" i="43" s="1"/>
  <c r="BL59" i="43" s="1"/>
  <c r="BM59" i="43" s="1"/>
  <c r="BN59" i="43" s="1"/>
  <c r="AU310" i="1"/>
  <c r="BG310" i="1" s="1"/>
  <c r="BH310" i="1" s="1"/>
  <c r="BJ310" i="1" s="1"/>
  <c r="AU271" i="1"/>
  <c r="BG271" i="1" s="1"/>
  <c r="BH271" i="1" s="1"/>
  <c r="BJ271" i="1" s="1"/>
  <c r="AU262" i="1"/>
  <c r="BG262" i="1" s="1"/>
  <c r="BH262" i="1" s="1"/>
  <c r="BJ262" i="1" s="1"/>
  <c r="AU95" i="1"/>
  <c r="BG95" i="1" s="1"/>
  <c r="BH95" i="1" s="1"/>
  <c r="BJ95" i="1" s="1"/>
  <c r="AU254" i="1"/>
  <c r="BG254" i="1" s="1"/>
  <c r="BH254" i="1" s="1"/>
  <c r="BJ254" i="1" s="1"/>
  <c r="BL254" i="1" s="1"/>
  <c r="BD176" i="43"/>
  <c r="BK176" i="43" s="1"/>
  <c r="BL176" i="43" s="1"/>
  <c r="BM176" i="43" s="1"/>
  <c r="BN176" i="43" s="1"/>
  <c r="BC153" i="43"/>
  <c r="BK153" i="43" s="1"/>
  <c r="BL153" i="43" s="1"/>
  <c r="BM153" i="43" s="1"/>
  <c r="BN153" i="43" s="1"/>
  <c r="AZ54" i="1"/>
  <c r="BG54" i="1" s="1"/>
  <c r="BH54" i="1" s="1"/>
  <c r="AZ315" i="1"/>
  <c r="BG315" i="1" s="1"/>
  <c r="BH315" i="1" s="1"/>
  <c r="BJ315" i="1" s="1"/>
  <c r="AZ366" i="1"/>
  <c r="BG366" i="1" s="1"/>
  <c r="BH366" i="1" s="1"/>
  <c r="BJ366" i="1" s="1"/>
  <c r="AZ170" i="1"/>
  <c r="BG170" i="1" s="1"/>
  <c r="BH170" i="1" s="1"/>
  <c r="BJ170" i="1" s="1"/>
  <c r="AX22" i="43"/>
  <c r="BK22" i="43" s="1"/>
  <c r="BL22" i="43" s="1"/>
  <c r="BM22" i="43" s="1"/>
  <c r="BN22" i="43" s="1"/>
  <c r="AX28" i="43"/>
  <c r="BK28" i="43" s="1"/>
  <c r="BL28" i="43" s="1"/>
  <c r="BM28" i="43" s="1"/>
  <c r="BN28" i="43" s="1"/>
  <c r="AX48" i="43"/>
  <c r="BK48" i="43" s="1"/>
  <c r="BL48" i="43" s="1"/>
  <c r="BM48" i="43" s="1"/>
  <c r="BN48" i="43" s="1"/>
  <c r="AX47" i="43"/>
  <c r="BK47" i="43" s="1"/>
  <c r="BL47" i="43" s="1"/>
  <c r="BM47" i="43" s="1"/>
  <c r="BN47" i="43" s="1"/>
  <c r="AU118" i="1"/>
  <c r="BG118" i="1" s="1"/>
  <c r="BH118" i="1" s="1"/>
  <c r="BI118" i="1" s="1"/>
  <c r="BK118" i="1" s="1"/>
  <c r="AU140" i="1"/>
  <c r="BG140" i="1" s="1"/>
  <c r="BH140" i="1" s="1"/>
  <c r="BI140" i="1" s="1"/>
  <c r="BK140" i="1" s="1"/>
  <c r="AU109" i="1"/>
  <c r="BG109" i="1" s="1"/>
  <c r="BH109" i="1" s="1"/>
  <c r="BI109" i="1" s="1"/>
  <c r="BK109" i="1" s="1"/>
  <c r="AU311" i="1"/>
  <c r="BG311" i="1" s="1"/>
  <c r="BH311" i="1" s="1"/>
  <c r="BI311" i="1" s="1"/>
  <c r="BK311" i="1" s="1"/>
  <c r="AU283" i="1"/>
  <c r="BG283" i="1" s="1"/>
  <c r="BH283" i="1" s="1"/>
  <c r="BI283" i="1" s="1"/>
  <c r="BK283" i="1" s="1"/>
  <c r="BC135" i="43"/>
  <c r="BK135" i="43" s="1"/>
  <c r="BL135" i="43" s="1"/>
  <c r="BM135" i="43" s="1"/>
  <c r="BN135" i="43" s="1"/>
  <c r="BC148" i="43"/>
  <c r="BK148" i="43" s="1"/>
  <c r="BL148" i="43" s="1"/>
  <c r="BM148" i="43" s="1"/>
  <c r="BN148" i="43" s="1"/>
  <c r="BC154" i="43"/>
  <c r="BK154" i="43" s="1"/>
  <c r="BL154" i="43" s="1"/>
  <c r="BM154" i="43" s="1"/>
  <c r="BN154" i="43" s="1"/>
  <c r="AZ148" i="1"/>
  <c r="BG148" i="1" s="1"/>
  <c r="BH148" i="1" s="1"/>
  <c r="BI148" i="1" s="1"/>
  <c r="BK148" i="1" s="1"/>
  <c r="BC145" i="43"/>
  <c r="BK145" i="43" s="1"/>
  <c r="BL145" i="43" s="1"/>
  <c r="BM145" i="43" s="1"/>
  <c r="BN145" i="43" s="1"/>
  <c r="AX39" i="43"/>
  <c r="BK39" i="43" s="1"/>
  <c r="BL39" i="43" s="1"/>
  <c r="BM39" i="43" s="1"/>
  <c r="BN39" i="43" s="1"/>
  <c r="AX53" i="43"/>
  <c r="BK53" i="43" s="1"/>
  <c r="BL53" i="43" s="1"/>
  <c r="BM53" i="43" s="1"/>
  <c r="BN53" i="43" s="1"/>
  <c r="AU261" i="1"/>
  <c r="BG261" i="1" s="1"/>
  <c r="BH261" i="1" s="1"/>
  <c r="BI261" i="1" s="1"/>
  <c r="BK261" i="1" s="1"/>
  <c r="AX32" i="43"/>
  <c r="BK32" i="43" s="1"/>
  <c r="BL32" i="43" s="1"/>
  <c r="BM32" i="43" s="1"/>
  <c r="BN32" i="43" s="1"/>
  <c r="AX46" i="43"/>
  <c r="BK46" i="43" s="1"/>
  <c r="BL46" i="43" s="1"/>
  <c r="BM46" i="43" s="1"/>
  <c r="BN46" i="43" s="1"/>
  <c r="AX26" i="43"/>
  <c r="BK26" i="43" s="1"/>
  <c r="BL26" i="43" s="1"/>
  <c r="BM26" i="43" s="1"/>
  <c r="BN26" i="43" s="1"/>
  <c r="AX24" i="43"/>
  <c r="BK24" i="43" s="1"/>
  <c r="BL24" i="43" s="1"/>
  <c r="BM24" i="43" s="1"/>
  <c r="BN24" i="43" s="1"/>
  <c r="AU17" i="1"/>
  <c r="BG17" i="1" s="1"/>
  <c r="BH17" i="1" s="1"/>
  <c r="BJ17" i="1" s="1"/>
  <c r="AU94" i="1"/>
  <c r="BG94" i="1" s="1"/>
  <c r="BH94" i="1" s="1"/>
  <c r="BJ94" i="1" s="1"/>
  <c r="AU182" i="1"/>
  <c r="BG182" i="1" s="1"/>
  <c r="BH182" i="1" s="1"/>
  <c r="BJ182" i="1" s="1"/>
  <c r="AX36" i="43"/>
  <c r="BK36" i="43" s="1"/>
  <c r="BL36" i="43" s="1"/>
  <c r="BM36" i="43" s="1"/>
  <c r="BN36" i="43" s="1"/>
  <c r="AU292" i="1"/>
  <c r="BG292" i="1" s="1"/>
  <c r="BH292" i="1" s="1"/>
  <c r="BI292" i="1" s="1"/>
  <c r="BK292" i="1" s="1"/>
  <c r="BM292" i="1" s="1"/>
  <c r="AU176" i="1"/>
  <c r="BG176" i="1" s="1"/>
  <c r="BH176" i="1" s="1"/>
  <c r="BI176" i="1" s="1"/>
  <c r="BK176" i="1" s="1"/>
  <c r="BB128" i="43"/>
  <c r="BK128" i="43" s="1"/>
  <c r="BL128" i="43" s="1"/>
  <c r="BM128" i="43" s="1"/>
  <c r="BN128" i="43" s="1"/>
  <c r="BB129" i="43"/>
  <c r="BK129" i="43" s="1"/>
  <c r="BL129" i="43" s="1"/>
  <c r="BM129" i="43" s="1"/>
  <c r="BN129" i="43" s="1"/>
  <c r="AY55" i="1"/>
  <c r="BG55" i="1" s="1"/>
  <c r="BH55" i="1" s="1"/>
  <c r="BJ55" i="1" s="1"/>
  <c r="BB125" i="43"/>
  <c r="BK125" i="43" s="1"/>
  <c r="BL125" i="43" s="1"/>
  <c r="BM125" i="43" s="1"/>
  <c r="BN125" i="43" s="1"/>
  <c r="AY98" i="1"/>
  <c r="BG98" i="1" s="1"/>
  <c r="BH98" i="1" s="1"/>
  <c r="BJ98" i="1" s="1"/>
  <c r="BB133" i="43"/>
  <c r="BK133" i="43" s="1"/>
  <c r="BL133" i="43" s="1"/>
  <c r="BM133" i="43" s="1"/>
  <c r="BN133" i="43" s="1"/>
  <c r="BB127" i="43"/>
  <c r="BK127" i="43" s="1"/>
  <c r="BL127" i="43" s="1"/>
  <c r="BM127" i="43" s="1"/>
  <c r="BN127" i="43" s="1"/>
  <c r="BB124" i="43"/>
  <c r="BK124" i="43" s="1"/>
  <c r="BL124" i="43" s="1"/>
  <c r="BM124" i="43" s="1"/>
  <c r="BN124" i="43" s="1"/>
  <c r="BB132" i="43"/>
  <c r="BK132" i="43" s="1"/>
  <c r="BL132" i="43" s="1"/>
  <c r="BM132" i="43" s="1"/>
  <c r="BN132" i="43" s="1"/>
  <c r="AY239" i="1"/>
  <c r="BG239" i="1" s="1"/>
  <c r="BH239" i="1" s="1"/>
  <c r="BJ239" i="1" s="1"/>
  <c r="AY300" i="1"/>
  <c r="BG300" i="1" s="1"/>
  <c r="BH300" i="1" s="1"/>
  <c r="BJ300" i="1" s="1"/>
  <c r="AY93" i="1"/>
  <c r="BG93" i="1" s="1"/>
  <c r="BH93" i="1" s="1"/>
  <c r="BI93" i="1" s="1"/>
  <c r="BK93" i="1" s="1"/>
  <c r="AY252" i="1"/>
  <c r="BG252" i="1" s="1"/>
  <c r="BH252" i="1" s="1"/>
  <c r="BI252" i="1" s="1"/>
  <c r="BK252" i="1" s="1"/>
  <c r="BM252" i="1" s="1"/>
  <c r="BB130" i="43"/>
  <c r="BK130" i="43" s="1"/>
  <c r="BL130" i="43" s="1"/>
  <c r="BM130" i="43" s="1"/>
  <c r="BN130" i="43" s="1"/>
  <c r="AY198" i="1"/>
  <c r="BG198" i="1" s="1"/>
  <c r="BH198" i="1" s="1"/>
  <c r="BJ198" i="1" s="1"/>
  <c r="BB126" i="43"/>
  <c r="BK126" i="43" s="1"/>
  <c r="BL126" i="43" s="1"/>
  <c r="BM126" i="43" s="1"/>
  <c r="BN126" i="43" s="1"/>
  <c r="BJ97" i="1"/>
  <c r="BI97" i="1"/>
  <c r="BK97" i="1" s="1"/>
  <c r="BJ363" i="1"/>
  <c r="BI363" i="1"/>
  <c r="BK363" i="1" s="1"/>
  <c r="BJ73" i="1"/>
  <c r="BI73" i="1"/>
  <c r="BK73" i="1" s="1"/>
  <c r="BI154" i="1"/>
  <c r="BK154" i="1" s="1"/>
  <c r="BJ154" i="1"/>
  <c r="BI306" i="1"/>
  <c r="BK306" i="1" s="1"/>
  <c r="BJ306" i="1"/>
  <c r="BJ250" i="1"/>
  <c r="BI250" i="1"/>
  <c r="BK250" i="1" s="1"/>
  <c r="BJ367" i="43"/>
  <c r="BJ101" i="1"/>
  <c r="BI101" i="1"/>
  <c r="BK101" i="1" s="1"/>
  <c r="BJ150" i="1"/>
  <c r="BI90" i="1"/>
  <c r="BK90" i="1" s="1"/>
  <c r="BJ90" i="1"/>
  <c r="BI323" i="1"/>
  <c r="BK323" i="1" s="1"/>
  <c r="BI258" i="1"/>
  <c r="BK258" i="1" s="1"/>
  <c r="BJ258" i="1"/>
  <c r="BK316" i="43"/>
  <c r="BL316" i="43" s="1"/>
  <c r="BM316" i="43" s="1"/>
  <c r="BN316" i="43" s="1"/>
  <c r="BJ347" i="1"/>
  <c r="BI347" i="1"/>
  <c r="BK347" i="1" s="1"/>
  <c r="BJ364" i="1"/>
  <c r="BI364" i="1"/>
  <c r="BK364" i="1" s="1"/>
  <c r="BJ52" i="1"/>
  <c r="BI52" i="1"/>
  <c r="BK52" i="1" s="1"/>
  <c r="BI92" i="1"/>
  <c r="BK92" i="1" s="1"/>
  <c r="BJ92" i="1"/>
  <c r="BI279" i="1"/>
  <c r="BK279" i="1" s="1"/>
  <c r="BJ279" i="1"/>
  <c r="BI282" i="1"/>
  <c r="BK282" i="1" s="1"/>
  <c r="BJ282" i="1"/>
  <c r="BI117" i="1"/>
  <c r="BK117" i="1" s="1"/>
  <c r="BJ117" i="1"/>
  <c r="BJ167" i="1"/>
  <c r="BI167" i="1"/>
  <c r="BK167" i="1" s="1"/>
  <c r="BJ191" i="1"/>
  <c r="BI191" i="1"/>
  <c r="BK191" i="1" s="1"/>
  <c r="BI243" i="1"/>
  <c r="BK243" i="1" s="1"/>
  <c r="BJ243" i="1"/>
  <c r="BJ30" i="1"/>
  <c r="BI30" i="1"/>
  <c r="BK30" i="1" s="1"/>
  <c r="BJ386" i="1"/>
  <c r="BJ100" i="1"/>
  <c r="BI100" i="1"/>
  <c r="BK100" i="1" s="1"/>
  <c r="BJ280" i="1"/>
  <c r="BI280" i="1"/>
  <c r="BK280" i="1" s="1"/>
  <c r="BI190" i="1" l="1"/>
  <c r="BK190" i="1" s="1"/>
  <c r="BI63" i="1"/>
  <c r="BK63" i="1" s="1"/>
  <c r="BJ122" i="1"/>
  <c r="BJ88" i="1"/>
  <c r="BL88" i="1" s="1"/>
  <c r="BJ68" i="1"/>
  <c r="BL68" i="1" s="1"/>
  <c r="BJ265" i="1"/>
  <c r="BJ259" i="1"/>
  <c r="BI241" i="1"/>
  <c r="BK241" i="1" s="1"/>
  <c r="BI135" i="1"/>
  <c r="BK135" i="1" s="1"/>
  <c r="BI328" i="1"/>
  <c r="BK328" i="1" s="1"/>
  <c r="BJ51" i="1"/>
  <c r="BI106" i="1"/>
  <c r="BK106" i="1" s="1"/>
  <c r="BI277" i="1"/>
  <c r="BK277" i="1" s="1"/>
  <c r="BJ192" i="1"/>
  <c r="BJ338" i="1"/>
  <c r="BI180" i="1"/>
  <c r="BK180" i="1" s="1"/>
  <c r="BJ165" i="1"/>
  <c r="BI120" i="1"/>
  <c r="BK120" i="1" s="1"/>
  <c r="BI28" i="1"/>
  <c r="BK28" i="1" s="1"/>
  <c r="BI376" i="1"/>
  <c r="BK376" i="1" s="1"/>
  <c r="BI139" i="1"/>
  <c r="BK139" i="1" s="1"/>
  <c r="BI204" i="1"/>
  <c r="BK204" i="1" s="1"/>
  <c r="BJ316" i="1"/>
  <c r="BI32" i="1"/>
  <c r="BK32" i="1" s="1"/>
  <c r="BM32" i="1" s="1"/>
  <c r="BI205" i="1"/>
  <c r="BK205" i="1" s="1"/>
  <c r="BJ111" i="1"/>
  <c r="BI324" i="1"/>
  <c r="BK324" i="1" s="1"/>
  <c r="BJ186" i="1"/>
  <c r="BL186" i="1" s="1"/>
  <c r="BO186" i="1" s="1"/>
  <c r="BI99" i="1"/>
  <c r="BK99" i="1" s="1"/>
  <c r="BI162" i="1"/>
  <c r="BK162" i="1" s="1"/>
  <c r="BJ50" i="1"/>
  <c r="BI249" i="1"/>
  <c r="BK249" i="1" s="1"/>
  <c r="BM249" i="1" s="1"/>
  <c r="BO249" i="1" s="1"/>
  <c r="BI108" i="1"/>
  <c r="BK108" i="1" s="1"/>
  <c r="BI309" i="1"/>
  <c r="BK309" i="1" s="1"/>
  <c r="BM309" i="1" s="1"/>
  <c r="BO309" i="1" s="1"/>
  <c r="BJ314" i="1"/>
  <c r="BI290" i="1"/>
  <c r="BK290" i="1" s="1"/>
  <c r="BJ67" i="1"/>
  <c r="BI263" i="1"/>
  <c r="BK263" i="1" s="1"/>
  <c r="BJ82" i="1"/>
  <c r="BJ124" i="1"/>
  <c r="BJ43" i="1"/>
  <c r="BJ132" i="1"/>
  <c r="BJ318" i="1"/>
  <c r="BI370" i="1"/>
  <c r="BK370" i="1" s="1"/>
  <c r="BJ155" i="1"/>
  <c r="BL155" i="1" s="1"/>
  <c r="BO155" i="1" s="1"/>
  <c r="BJ333" i="1"/>
  <c r="BI115" i="1"/>
  <c r="BK115" i="1" s="1"/>
  <c r="BI91" i="1"/>
  <c r="BK91" i="1" s="1"/>
  <c r="BJ41" i="1"/>
  <c r="BI374" i="1"/>
  <c r="BK374" i="1" s="1"/>
  <c r="BI35" i="1"/>
  <c r="BK35" i="1" s="1"/>
  <c r="BI187" i="1"/>
  <c r="BK187" i="1" s="1"/>
  <c r="BJ196" i="1"/>
  <c r="BI313" i="1"/>
  <c r="BK313" i="1" s="1"/>
  <c r="BJ141" i="1"/>
  <c r="BI210" i="1"/>
  <c r="BK210" i="1" s="1"/>
  <c r="BJ125" i="1"/>
  <c r="BJ144" i="1"/>
  <c r="BI375" i="1"/>
  <c r="BK375" i="1" s="1"/>
  <c r="BJ375" i="1"/>
  <c r="BJ159" i="1"/>
  <c r="BI151" i="1"/>
  <c r="BK151" i="1" s="1"/>
  <c r="BI96" i="1"/>
  <c r="BK96" i="1" s="1"/>
  <c r="BJ119" i="1"/>
  <c r="BI206" i="1"/>
  <c r="BK206" i="1" s="1"/>
  <c r="BI112" i="1"/>
  <c r="BK112" i="1" s="1"/>
  <c r="BI145" i="1"/>
  <c r="BK145" i="1" s="1"/>
  <c r="BM145" i="1" s="1"/>
  <c r="BI189" i="1"/>
  <c r="BK189" i="1" s="1"/>
  <c r="BJ332" i="1"/>
  <c r="BJ303" i="1"/>
  <c r="BI116" i="1"/>
  <c r="BK116" i="1" s="1"/>
  <c r="BI304" i="1"/>
  <c r="BK304" i="1" s="1"/>
  <c r="BM304" i="1" s="1"/>
  <c r="BO304" i="1" s="1"/>
  <c r="BJ18" i="1"/>
  <c r="BJ113" i="1"/>
  <c r="BL113" i="1" s="1"/>
  <c r="BJ57" i="1"/>
  <c r="BJ134" i="1"/>
  <c r="BJ227" i="1"/>
  <c r="BI195" i="1"/>
  <c r="BK195" i="1" s="1"/>
  <c r="BI178" i="1"/>
  <c r="BK178" i="1" s="1"/>
  <c r="BI256" i="1"/>
  <c r="BK256" i="1" s="1"/>
  <c r="BI299" i="1"/>
  <c r="BK299" i="1" s="1"/>
  <c r="BE390" i="1"/>
  <c r="BJ193" i="1"/>
  <c r="BI291" i="1"/>
  <c r="BK291" i="1" s="1"/>
  <c r="BJ156" i="1"/>
  <c r="BI34" i="1"/>
  <c r="BK34" i="1" s="1"/>
  <c r="BM34" i="1" s="1"/>
  <c r="BH367" i="43"/>
  <c r="BJ62" i="1"/>
  <c r="BI222" i="1"/>
  <c r="BK222" i="1" s="1"/>
  <c r="BI220" i="1"/>
  <c r="BK220" i="1" s="1"/>
  <c r="BI48" i="1"/>
  <c r="BK48" i="1" s="1"/>
  <c r="BI214" i="1"/>
  <c r="BK214" i="1" s="1"/>
  <c r="BI46" i="1"/>
  <c r="BK46" i="1" s="1"/>
  <c r="BM46" i="1" s="1"/>
  <c r="BI40" i="1"/>
  <c r="BK40" i="1" s="1"/>
  <c r="BI47" i="1"/>
  <c r="BK47" i="1" s="1"/>
  <c r="BC390" i="1"/>
  <c r="BG130" i="1"/>
  <c r="BH130" i="1" s="1"/>
  <c r="BJ130" i="1" s="1"/>
  <c r="BI76" i="1"/>
  <c r="BK76" i="1" s="1"/>
  <c r="BI80" i="1"/>
  <c r="BK80" i="1" s="1"/>
  <c r="BI78" i="1"/>
  <c r="BK78" i="1" s="1"/>
  <c r="BI209" i="1"/>
  <c r="BK209" i="1" s="1"/>
  <c r="BI298" i="1"/>
  <c r="BK298" i="1" s="1"/>
  <c r="BI31" i="1"/>
  <c r="BK31" i="1" s="1"/>
  <c r="BJ36" i="1"/>
  <c r="BJ86" i="1"/>
  <c r="BF367" i="43"/>
  <c r="BI285" i="1"/>
  <c r="BK285" i="1" s="1"/>
  <c r="BI216" i="1"/>
  <c r="BK216" i="1" s="1"/>
  <c r="BI107" i="1"/>
  <c r="BK107" i="1" s="1"/>
  <c r="BI337" i="1"/>
  <c r="BK337" i="1" s="1"/>
  <c r="BI65" i="1"/>
  <c r="BK65" i="1" s="1"/>
  <c r="BJ287" i="1"/>
  <c r="BJ361" i="1"/>
  <c r="BI264" i="1"/>
  <c r="BK264" i="1" s="1"/>
  <c r="BJ103" i="1"/>
  <c r="BJ301" i="1"/>
  <c r="BI273" i="1"/>
  <c r="BK273" i="1" s="1"/>
  <c r="BJ372" i="1"/>
  <c r="BI367" i="1"/>
  <c r="BK367" i="1" s="1"/>
  <c r="BJ104" i="1"/>
  <c r="BI354" i="1"/>
  <c r="BK354" i="1" s="1"/>
  <c r="BJ12" i="1"/>
  <c r="BJ244" i="1"/>
  <c r="BJ197" i="1"/>
  <c r="BJ268" i="1"/>
  <c r="BI327" i="1"/>
  <c r="BK327" i="1" s="1"/>
  <c r="BM327" i="1" s="1"/>
  <c r="BJ102" i="1"/>
  <c r="BJ245" i="1"/>
  <c r="BI199" i="1"/>
  <c r="BK199" i="1" s="1"/>
  <c r="BJ307" i="1"/>
  <c r="BJ246" i="1"/>
  <c r="BL246" i="1" s="1"/>
  <c r="BO246" i="1" s="1"/>
  <c r="BI230" i="1"/>
  <c r="BK230" i="1" s="1"/>
  <c r="BI382" i="1"/>
  <c r="BK382" i="1" s="1"/>
  <c r="BI188" i="1"/>
  <c r="BK188" i="1" s="1"/>
  <c r="BI74" i="1"/>
  <c r="BK74" i="1" s="1"/>
  <c r="BI365" i="1"/>
  <c r="BK365" i="1" s="1"/>
  <c r="BJ247" i="1"/>
  <c r="BI296" i="1"/>
  <c r="BK296" i="1" s="1"/>
  <c r="BI56" i="1"/>
  <c r="BK56" i="1" s="1"/>
  <c r="BI33" i="1"/>
  <c r="BK33" i="1" s="1"/>
  <c r="BI212" i="1"/>
  <c r="BK212" i="1" s="1"/>
  <c r="BI213" i="1"/>
  <c r="BK213" i="1" s="1"/>
  <c r="BJ351" i="1"/>
  <c r="BJ172" i="1"/>
  <c r="BJ257" i="1"/>
  <c r="BJ383" i="1"/>
  <c r="BL383" i="1" s="1"/>
  <c r="BO383" i="1" s="1"/>
  <c r="BI360" i="1"/>
  <c r="BK360" i="1" s="1"/>
  <c r="BJ70" i="1"/>
  <c r="BJ22" i="1"/>
  <c r="BI248" i="1"/>
  <c r="BK248" i="1" s="1"/>
  <c r="BM248" i="1" s="1"/>
  <c r="BO248" i="1" s="1"/>
  <c r="BI371" i="1"/>
  <c r="BK371" i="1" s="1"/>
  <c r="BI75" i="1"/>
  <c r="BK75" i="1" s="1"/>
  <c r="BJ58" i="1"/>
  <c r="BJ27" i="1"/>
  <c r="BJ166" i="1"/>
  <c r="BI10" i="1"/>
  <c r="BK10" i="1" s="1"/>
  <c r="BI60" i="1"/>
  <c r="BK60" i="1" s="1"/>
  <c r="BM60" i="1" s="1"/>
  <c r="BI39" i="1"/>
  <c r="BK39" i="1" s="1"/>
  <c r="BI146" i="1"/>
  <c r="BK146" i="1" s="1"/>
  <c r="BI251" i="1"/>
  <c r="BK251" i="1" s="1"/>
  <c r="BI266" i="1"/>
  <c r="BK266" i="1" s="1"/>
  <c r="BM266" i="1" s="1"/>
  <c r="BO266" i="1" s="1"/>
  <c r="BI345" i="1"/>
  <c r="BK345" i="1" s="1"/>
  <c r="BI136" i="1"/>
  <c r="BK136" i="1" s="1"/>
  <c r="BJ38" i="1"/>
  <c r="BJ325" i="1"/>
  <c r="BJ381" i="1"/>
  <c r="BJ89" i="1"/>
  <c r="BJ320" i="1"/>
  <c r="BJ37" i="1"/>
  <c r="BI255" i="1"/>
  <c r="BK255" i="1" s="1"/>
  <c r="BM255" i="1" s="1"/>
  <c r="BO255" i="1" s="1"/>
  <c r="BJ201" i="1"/>
  <c r="BI341" i="1"/>
  <c r="BK341" i="1" s="1"/>
  <c r="BM341" i="1" s="1"/>
  <c r="BO341" i="1" s="1"/>
  <c r="BI350" i="1"/>
  <c r="BK350" i="1" s="1"/>
  <c r="BM350" i="1" s="1"/>
  <c r="BO350" i="1" s="1"/>
  <c r="BI163" i="1"/>
  <c r="BK163" i="1" s="1"/>
  <c r="BM163" i="1" s="1"/>
  <c r="BO163" i="1" s="1"/>
  <c r="BI349" i="1"/>
  <c r="BK349" i="1" s="1"/>
  <c r="BJ289" i="1"/>
  <c r="BJ126" i="1"/>
  <c r="BI211" i="1"/>
  <c r="BK211" i="1" s="1"/>
  <c r="BJ142" i="1"/>
  <c r="BI71" i="1"/>
  <c r="BK71" i="1" s="1"/>
  <c r="BI183" i="1"/>
  <c r="BK183" i="1" s="1"/>
  <c r="BA367" i="43"/>
  <c r="BI179" i="1"/>
  <c r="BK179" i="1" s="1"/>
  <c r="BJ233" i="1"/>
  <c r="AX390" i="1"/>
  <c r="BJ19" i="1"/>
  <c r="BL19" i="1" s="1"/>
  <c r="BJ353" i="1"/>
  <c r="BI334" i="1"/>
  <c r="BK334" i="1" s="1"/>
  <c r="BI169" i="1"/>
  <c r="BK169" i="1" s="1"/>
  <c r="BI380" i="1"/>
  <c r="BK380" i="1" s="1"/>
  <c r="BI236" i="1"/>
  <c r="BK236" i="1" s="1"/>
  <c r="BI281" i="1"/>
  <c r="BK281" i="1" s="1"/>
  <c r="BM281" i="1" s="1"/>
  <c r="BO281" i="1" s="1"/>
  <c r="BI270" i="1"/>
  <c r="BK270" i="1" s="1"/>
  <c r="BI42" i="1"/>
  <c r="BK42" i="1" s="1"/>
  <c r="BM42" i="1" s="1"/>
  <c r="BI223" i="1"/>
  <c r="BK223" i="1" s="1"/>
  <c r="BI253" i="1"/>
  <c r="BK253" i="1" s="1"/>
  <c r="BI343" i="1"/>
  <c r="BK343" i="1" s="1"/>
  <c r="BI217" i="1"/>
  <c r="BK217" i="1" s="1"/>
  <c r="BJ305" i="1"/>
  <c r="BJ322" i="1"/>
  <c r="BI344" i="1"/>
  <c r="BK344" i="1" s="1"/>
  <c r="BM344" i="1" s="1"/>
  <c r="BO344" i="1" s="1"/>
  <c r="BI226" i="1"/>
  <c r="BK226" i="1" s="1"/>
  <c r="BI181" i="1"/>
  <c r="BK181" i="1" s="1"/>
  <c r="BI367" i="43"/>
  <c r="BJ330" i="1"/>
  <c r="BF390" i="1"/>
  <c r="BJ194" i="1"/>
  <c r="BJ160" i="1"/>
  <c r="BJ164" i="1"/>
  <c r="BJ23" i="1"/>
  <c r="BJ84" i="1"/>
  <c r="BI215" i="1"/>
  <c r="BK215" i="1" s="1"/>
  <c r="BI385" i="1"/>
  <c r="BK385" i="1" s="1"/>
  <c r="BM385" i="1" s="1"/>
  <c r="BO385" i="1" s="1"/>
  <c r="BI21" i="1"/>
  <c r="BK21" i="1" s="1"/>
  <c r="BJ346" i="1"/>
  <c r="BI224" i="1"/>
  <c r="BK224" i="1" s="1"/>
  <c r="BI242" i="1"/>
  <c r="BK242" i="1" s="1"/>
  <c r="BI153" i="1"/>
  <c r="BK153" i="1" s="1"/>
  <c r="BJ377" i="1"/>
  <c r="BJ329" i="1"/>
  <c r="BI284" i="1"/>
  <c r="BK284" i="1" s="1"/>
  <c r="BJ275" i="1"/>
  <c r="BL275" i="1" s="1"/>
  <c r="BO275" i="1" s="1"/>
  <c r="BI326" i="1"/>
  <c r="BK326" i="1" s="1"/>
  <c r="BJ7" i="1"/>
  <c r="BI128" i="1"/>
  <c r="BK128" i="1" s="1"/>
  <c r="BI161" i="1"/>
  <c r="BK161" i="1" s="1"/>
  <c r="BI369" i="1"/>
  <c r="BK369" i="1" s="1"/>
  <c r="BI85" i="1"/>
  <c r="BK85" i="1" s="1"/>
  <c r="BI8" i="1"/>
  <c r="BK8" i="1" s="1"/>
  <c r="BI269" i="1"/>
  <c r="BK269" i="1" s="1"/>
  <c r="BJ272" i="1"/>
  <c r="BJ274" i="1"/>
  <c r="BI202" i="1"/>
  <c r="BK202" i="1" s="1"/>
  <c r="BJ331" i="1"/>
  <c r="BI336" i="1"/>
  <c r="BK336" i="1" s="1"/>
  <c r="BI388" i="1"/>
  <c r="BK388" i="1" s="1"/>
  <c r="BJ231" i="1"/>
  <c r="BJ72" i="1"/>
  <c r="BI177" i="1"/>
  <c r="BK177" i="1" s="1"/>
  <c r="BI221" i="1"/>
  <c r="BK221" i="1" s="1"/>
  <c r="BM221" i="1" s="1"/>
  <c r="BO221" i="1" s="1"/>
  <c r="BJ356" i="1"/>
  <c r="BJ53" i="1"/>
  <c r="BI234" i="1"/>
  <c r="BK234" i="1" s="1"/>
  <c r="BD390" i="1"/>
  <c r="BJ295" i="1"/>
  <c r="BI339" i="1"/>
  <c r="BK339" i="1" s="1"/>
  <c r="BI362" i="1"/>
  <c r="BK362" i="1" s="1"/>
  <c r="BI389" i="1"/>
  <c r="BK389" i="1" s="1"/>
  <c r="BM389" i="1" s="1"/>
  <c r="BI302" i="1"/>
  <c r="BK302" i="1" s="1"/>
  <c r="BJ292" i="1"/>
  <c r="BL292" i="1" s="1"/>
  <c r="BO292" i="1" s="1"/>
  <c r="BJ79" i="1"/>
  <c r="BL79" i="1" s="1"/>
  <c r="BJ59" i="1"/>
  <c r="BI254" i="1"/>
  <c r="BK254" i="1" s="1"/>
  <c r="BM254" i="1" s="1"/>
  <c r="BO254" i="1" s="1"/>
  <c r="BI358" i="1"/>
  <c r="BK358" i="1" s="1"/>
  <c r="AT390" i="1"/>
  <c r="BJ24" i="1"/>
  <c r="BI297" i="1"/>
  <c r="BK297" i="1" s="1"/>
  <c r="BJ260" i="1"/>
  <c r="BL260" i="1" s="1"/>
  <c r="BO260" i="1" s="1"/>
  <c r="BI110" i="1"/>
  <c r="BK110" i="1" s="1"/>
  <c r="BJ278" i="1"/>
  <c r="BJ173" i="1"/>
  <c r="BI61" i="1"/>
  <c r="BK61" i="1" s="1"/>
  <c r="AW367" i="43"/>
  <c r="BJ238" i="1"/>
  <c r="BG367" i="43"/>
  <c r="BJ87" i="1"/>
  <c r="BJ49" i="1"/>
  <c r="BL49" i="1" s="1"/>
  <c r="AZ367" i="43"/>
  <c r="BI355" i="1"/>
  <c r="BK355" i="1" s="1"/>
  <c r="BI66" i="1"/>
  <c r="BK66" i="1" s="1"/>
  <c r="BI237" i="1"/>
  <c r="BK237" i="1" s="1"/>
  <c r="BJ152" i="1"/>
  <c r="BI293" i="1"/>
  <c r="BK293" i="1" s="1"/>
  <c r="AW390" i="1"/>
  <c r="BI286" i="1"/>
  <c r="BK286" i="1" s="1"/>
  <c r="BJ229" i="1"/>
  <c r="BI319" i="1"/>
  <c r="BK319" i="1" s="1"/>
  <c r="BJ118" i="1"/>
  <c r="BJ357" i="1"/>
  <c r="BI276" i="1"/>
  <c r="BK276" i="1" s="1"/>
  <c r="BI64" i="1"/>
  <c r="BK64" i="1" s="1"/>
  <c r="BI138" i="1"/>
  <c r="BK138" i="1" s="1"/>
  <c r="BI149" i="1"/>
  <c r="BK149" i="1" s="1"/>
  <c r="BI171" i="1"/>
  <c r="BK171" i="1" s="1"/>
  <c r="AY367" i="43"/>
  <c r="BI378" i="1"/>
  <c r="BK378" i="1" s="1"/>
  <c r="BI348" i="1"/>
  <c r="BK348" i="1" s="1"/>
  <c r="AV390" i="1"/>
  <c r="BJ232" i="1"/>
  <c r="BG45" i="1"/>
  <c r="BH45" i="1" s="1"/>
  <c r="BJ45" i="1" s="1"/>
  <c r="BI321" i="1"/>
  <c r="BK321" i="1" s="1"/>
  <c r="BI235" i="1"/>
  <c r="BK235" i="1" s="1"/>
  <c r="BJ228" i="1"/>
  <c r="BI359" i="1"/>
  <c r="BK359" i="1" s="1"/>
  <c r="BJ143" i="1"/>
  <c r="BJ133" i="1"/>
  <c r="BE367" i="43"/>
  <c r="BJ387" i="1"/>
  <c r="BJ176" i="1"/>
  <c r="BJ218" i="1"/>
  <c r="BI174" i="1"/>
  <c r="BK174" i="1" s="1"/>
  <c r="BJ384" i="1"/>
  <c r="BI168" i="1"/>
  <c r="BK168" i="1" s="1"/>
  <c r="BI44" i="1"/>
  <c r="BK44" i="1" s="1"/>
  <c r="BI207" i="1"/>
  <c r="BK207" i="1" s="1"/>
  <c r="BI219" i="1"/>
  <c r="BK219" i="1" s="1"/>
  <c r="BJ114" i="1"/>
  <c r="BB390" i="1"/>
  <c r="BJ340" i="1"/>
  <c r="BJ158" i="1"/>
  <c r="BI131" i="1"/>
  <c r="BK131" i="1" s="1"/>
  <c r="BJ311" i="1"/>
  <c r="BI105" i="1"/>
  <c r="BK105" i="1" s="1"/>
  <c r="BI157" i="1"/>
  <c r="BK157" i="1" s="1"/>
  <c r="BI77" i="1"/>
  <c r="BK77" i="1" s="1"/>
  <c r="BI198" i="1"/>
  <c r="BK198" i="1" s="1"/>
  <c r="BJ261" i="1"/>
  <c r="BI137" i="1"/>
  <c r="BK137" i="1" s="1"/>
  <c r="BI95" i="1"/>
  <c r="BK95" i="1" s="1"/>
  <c r="BI13" i="1"/>
  <c r="BK13" i="1" s="1"/>
  <c r="BJ312" i="1"/>
  <c r="BI379" i="1"/>
  <c r="BK379" i="1" s="1"/>
  <c r="BJ208" i="1"/>
  <c r="BI352" i="1"/>
  <c r="BK352" i="1" s="1"/>
  <c r="BI225" i="1"/>
  <c r="BK225" i="1" s="1"/>
  <c r="BJ267" i="1"/>
  <c r="BJ308" i="1"/>
  <c r="BI294" i="1"/>
  <c r="BK294" i="1" s="1"/>
  <c r="BM294" i="1" s="1"/>
  <c r="BJ283" i="1"/>
  <c r="BJ184" i="1"/>
  <c r="BI121" i="1"/>
  <c r="BK121" i="1" s="1"/>
  <c r="BJ69" i="1"/>
  <c r="BJ252" i="1"/>
  <c r="BL252" i="1" s="1"/>
  <c r="BO252" i="1" s="1"/>
  <c r="BI98" i="1"/>
  <c r="BK98" i="1" s="1"/>
  <c r="BI170" i="1"/>
  <c r="BK170" i="1" s="1"/>
  <c r="BI182" i="1"/>
  <c r="BK182" i="1" s="1"/>
  <c r="BI262" i="1"/>
  <c r="BK262" i="1" s="1"/>
  <c r="BI147" i="1"/>
  <c r="BK147" i="1" s="1"/>
  <c r="BJ175" i="1"/>
  <c r="BI17" i="1"/>
  <c r="BK17" i="1" s="1"/>
  <c r="BI185" i="1"/>
  <c r="BK185" i="1" s="1"/>
  <c r="BI300" i="1"/>
  <c r="BK300" i="1" s="1"/>
  <c r="BJ26" i="1"/>
  <c r="BI368" i="1"/>
  <c r="BK368" i="1" s="1"/>
  <c r="BI123" i="1"/>
  <c r="BK123" i="1" s="1"/>
  <c r="BJ148" i="1"/>
  <c r="BI94" i="1"/>
  <c r="BK94" i="1" s="1"/>
  <c r="BI366" i="1"/>
  <c r="BK366" i="1" s="1"/>
  <c r="BI127" i="1"/>
  <c r="BK127" i="1" s="1"/>
  <c r="BI315" i="1"/>
  <c r="BK315" i="1" s="1"/>
  <c r="BI203" i="1"/>
  <c r="BK203" i="1" s="1"/>
  <c r="BJ200" i="1"/>
  <c r="BJ109" i="1"/>
  <c r="BL109" i="1" s="1"/>
  <c r="BI335" i="1"/>
  <c r="BK335" i="1" s="1"/>
  <c r="BI342" i="1"/>
  <c r="BK342" i="1" s="1"/>
  <c r="BI271" i="1"/>
  <c r="BK271" i="1" s="1"/>
  <c r="AZ390" i="1"/>
  <c r="BI55" i="1"/>
  <c r="BK55" i="1" s="1"/>
  <c r="BI310" i="1"/>
  <c r="BK310" i="1" s="1"/>
  <c r="BJ83" i="1"/>
  <c r="BJ140" i="1"/>
  <c r="BI240" i="1"/>
  <c r="BK240" i="1" s="1"/>
  <c r="BA390" i="1"/>
  <c r="BD367" i="43"/>
  <c r="BI317" i="1"/>
  <c r="BK317" i="1" s="1"/>
  <c r="BB367" i="43"/>
  <c r="BC367" i="43"/>
  <c r="BI288" i="1"/>
  <c r="BK288" i="1" s="1"/>
  <c r="BI81" i="1"/>
  <c r="BK81" i="1" s="1"/>
  <c r="AU390" i="1"/>
  <c r="BI129" i="1"/>
  <c r="BK129" i="1" s="1"/>
  <c r="AX367" i="43"/>
  <c r="BI239" i="1"/>
  <c r="BK239" i="1" s="1"/>
  <c r="BJ93" i="1"/>
  <c r="AY390" i="1"/>
  <c r="BM36" i="1"/>
  <c r="BL294" i="1"/>
  <c r="BK367" i="43"/>
  <c r="BL3" i="43"/>
  <c r="BM23" i="1"/>
  <c r="BM109" i="1"/>
  <c r="BH4" i="1"/>
  <c r="BL389" i="1"/>
  <c r="BI16" i="1"/>
  <c r="BK16" i="1" s="1"/>
  <c r="BJ16" i="1"/>
  <c r="BJ6" i="1"/>
  <c r="BI6" i="1"/>
  <c r="BK6" i="1" s="1"/>
  <c r="BJ15" i="1"/>
  <c r="BI15" i="1"/>
  <c r="BK15" i="1" s="1"/>
  <c r="BM387" i="1"/>
  <c r="BL327" i="1"/>
  <c r="BI11" i="1"/>
  <c r="BK11" i="1" s="1"/>
  <c r="BJ11" i="1"/>
  <c r="BI54" i="1"/>
  <c r="BK54" i="1" s="1"/>
  <c r="BJ54" i="1"/>
  <c r="BJ14" i="1"/>
  <c r="BL14" i="1" s="1"/>
  <c r="BI14" i="1"/>
  <c r="BK14" i="1" s="1"/>
  <c r="BM14" i="1" s="1"/>
  <c r="BJ20" i="1"/>
  <c r="BI20" i="1"/>
  <c r="BK20" i="1" s="1"/>
  <c r="BJ5" i="1"/>
  <c r="BI5" i="1"/>
  <c r="BK5" i="1" s="1"/>
  <c r="BM289" i="1"/>
  <c r="BM267" i="1"/>
  <c r="BJ9" i="1"/>
  <c r="BI9" i="1"/>
  <c r="BK9" i="1" s="1"/>
  <c r="BM57" i="1"/>
  <c r="BJ25" i="1"/>
  <c r="BI25" i="1"/>
  <c r="BK25" i="1" s="1"/>
  <c r="BL203" i="1"/>
  <c r="BI29" i="1"/>
  <c r="BK29" i="1" s="1"/>
  <c r="BJ29" i="1"/>
  <c r="BL32" i="1"/>
  <c r="BO34" i="1" l="1"/>
  <c r="BL57" i="1"/>
  <c r="BI130" i="1"/>
  <c r="BK130" i="1" s="1"/>
  <c r="BL36" i="1"/>
  <c r="BO36" i="1" s="1"/>
  <c r="BL289" i="1"/>
  <c r="BO289" i="1" s="1"/>
  <c r="BL23" i="1"/>
  <c r="BI45" i="1"/>
  <c r="BK45" i="1" s="1"/>
  <c r="BL267" i="1"/>
  <c r="BO267" i="1" s="1"/>
  <c r="BG390" i="1"/>
  <c r="BL387" i="1"/>
  <c r="BO387" i="1" s="1"/>
  <c r="BM203" i="1"/>
  <c r="BO203" i="1" s="1"/>
  <c r="BM3" i="43"/>
  <c r="BL367" i="43"/>
  <c r="BO389" i="1"/>
  <c r="BJ4" i="1"/>
  <c r="BJ393" i="1" s="1"/>
  <c r="BH390" i="1"/>
  <c r="BI4" i="1"/>
  <c r="BO327" i="1"/>
  <c r="BL29" i="1"/>
  <c r="BM29" i="1"/>
  <c r="BO294" i="1"/>
  <c r="I21" i="66" l="1"/>
  <c r="J21" i="66"/>
  <c r="BM367" i="43"/>
  <c r="BN3" i="43"/>
  <c r="BN367" i="43" s="1"/>
  <c r="BJ390" i="1"/>
  <c r="BJ396" i="1"/>
  <c r="BI390" i="1"/>
  <c r="BK4" i="1"/>
  <c r="BK396" i="1" l="1"/>
  <c r="BK393" i="1"/>
  <c r="BK390" i="1"/>
  <c r="BJ398" i="1"/>
  <c r="BL253" i="1" l="1"/>
  <c r="BL375" i="1"/>
  <c r="BL4" i="1"/>
  <c r="BL330" i="1"/>
  <c r="BL8" i="1"/>
  <c r="BL189" i="1"/>
  <c r="BL160" i="1"/>
  <c r="BL316" i="1"/>
  <c r="BL349" i="1"/>
  <c r="BL16" i="1"/>
  <c r="BL334" i="1"/>
  <c r="BL174" i="1"/>
  <c r="BL24" i="1"/>
  <c r="BL306" i="1"/>
  <c r="BL245" i="1"/>
  <c r="BL44" i="1"/>
  <c r="BL115" i="1"/>
  <c r="BL204" i="1"/>
  <c r="BL197" i="1"/>
  <c r="BL27" i="1"/>
  <c r="BL201" i="1"/>
  <c r="BL323" i="1"/>
  <c r="BL209" i="1"/>
  <c r="BL326" i="1"/>
  <c r="BL277" i="1"/>
  <c r="BL287" i="1"/>
  <c r="BL244" i="1"/>
  <c r="BL211" i="1"/>
  <c r="BL231" i="1"/>
  <c r="BL108" i="1"/>
  <c r="BL325" i="1"/>
  <c r="BL140" i="1"/>
  <c r="BL300" i="1"/>
  <c r="BL153" i="1"/>
  <c r="BL301" i="1"/>
  <c r="BL37" i="1"/>
  <c r="BL122" i="1"/>
  <c r="BL317" i="1"/>
  <c r="BL175" i="1"/>
  <c r="BL331" i="1"/>
  <c r="BL247" i="1"/>
  <c r="BL206" i="1"/>
  <c r="BL243" i="1"/>
  <c r="BL338" i="1"/>
  <c r="BL200" i="1"/>
  <c r="BL226" i="1"/>
  <c r="BL84" i="1"/>
  <c r="BL11" i="1"/>
  <c r="BL58" i="1"/>
  <c r="BL223" i="1"/>
  <c r="BL377" i="1"/>
  <c r="BL128" i="1"/>
  <c r="BL166" i="1"/>
  <c r="BL329" i="1"/>
  <c r="BL365" i="1"/>
  <c r="BL133" i="1"/>
  <c r="BL15" i="1"/>
  <c r="BL269" i="1"/>
  <c r="BL183" i="1"/>
  <c r="BL114" i="1"/>
  <c r="BL364" i="1"/>
  <c r="BL52" i="1"/>
  <c r="BL319" i="1"/>
  <c r="BL167" i="1"/>
  <c r="BL363" i="1"/>
  <c r="BL9" i="1"/>
  <c r="BL239" i="1"/>
  <c r="BL102" i="1"/>
  <c r="BL313" i="1"/>
  <c r="BL93" i="1"/>
  <c r="BL159" i="1"/>
  <c r="BL30" i="1"/>
  <c r="BL134" i="1"/>
  <c r="BL328" i="1"/>
  <c r="BL372" i="1"/>
  <c r="BL315" i="1"/>
  <c r="BL237" i="1"/>
  <c r="BL238" i="1"/>
  <c r="BL80" i="1"/>
  <c r="BL148" i="1"/>
  <c r="BL101" i="1"/>
  <c r="BL105" i="1"/>
  <c r="BL293" i="1"/>
  <c r="BL100" i="1"/>
  <c r="BL342" i="1"/>
  <c r="BL54" i="1"/>
  <c r="BL28" i="1"/>
  <c r="BL217" i="1"/>
  <c r="BL270" i="1"/>
  <c r="BL312" i="1"/>
  <c r="BL81" i="1"/>
  <c r="BL41" i="1"/>
  <c r="BL170" i="1"/>
  <c r="BL233" i="1"/>
  <c r="BL345" i="1"/>
  <c r="BL354" i="1"/>
  <c r="BL85" i="1"/>
  <c r="BL132" i="1"/>
  <c r="BL117" i="1"/>
  <c r="BL276" i="1"/>
  <c r="BL378" i="1"/>
  <c r="BL106" i="1"/>
  <c r="BL157" i="1"/>
  <c r="BL94" i="1"/>
  <c r="BL179" i="1"/>
  <c r="BL161" i="1"/>
  <c r="BL66" i="1"/>
  <c r="BL169" i="1"/>
  <c r="BL382" i="1"/>
  <c r="BL65" i="1"/>
  <c r="BL59" i="1"/>
  <c r="BL73" i="1"/>
  <c r="BL90" i="1"/>
  <c r="BL370" i="1"/>
  <c r="BL380" i="1"/>
  <c r="BL348" i="1"/>
  <c r="BL104" i="1"/>
  <c r="BL45" i="1"/>
  <c r="BL120" i="1"/>
  <c r="BL376" i="1"/>
  <c r="BL72" i="1"/>
  <c r="BL214" i="1"/>
  <c r="BL314" i="1"/>
  <c r="BL38" i="1"/>
  <c r="BL208" i="1"/>
  <c r="BL184" i="1"/>
  <c r="BL207" i="1"/>
  <c r="BL371" i="1"/>
  <c r="BL124" i="1"/>
  <c r="BL271" i="1"/>
  <c r="BL182" i="1"/>
  <c r="BL168" i="1"/>
  <c r="BL76" i="1"/>
  <c r="BL77" i="1"/>
  <c r="BL286" i="1"/>
  <c r="BL129" i="1"/>
  <c r="BL216" i="1"/>
  <c r="BL173" i="1"/>
  <c r="BL149" i="1"/>
  <c r="BL75" i="1"/>
  <c r="BL144" i="1"/>
  <c r="BL43" i="1"/>
  <c r="BL99" i="1"/>
  <c r="BL5" i="1"/>
  <c r="BL321" i="1"/>
  <c r="BL50" i="1"/>
  <c r="BL219" i="1"/>
  <c r="BL220" i="1"/>
  <c r="BL241" i="1"/>
  <c r="BL130" i="1"/>
  <c r="BL17" i="1"/>
  <c r="BL141" i="1"/>
  <c r="BL61" i="1"/>
  <c r="BL171" i="1"/>
  <c r="BL82" i="1"/>
  <c r="BL352" i="1"/>
  <c r="BL139" i="1"/>
  <c r="BL147" i="1"/>
  <c r="BL136" i="1"/>
  <c r="BL259" i="1"/>
  <c r="BL213" i="1"/>
  <c r="BL25" i="1"/>
  <c r="BL178" i="1"/>
  <c r="BL262" i="1"/>
  <c r="BL305" i="1"/>
  <c r="BL127" i="1"/>
  <c r="BL388" i="1"/>
  <c r="BL151" i="1"/>
  <c r="BL62" i="1"/>
  <c r="BL303" i="1"/>
  <c r="BL89" i="1"/>
  <c r="BL121" i="1"/>
  <c r="BL265" i="1"/>
  <c r="BL340" i="1"/>
  <c r="BL190" i="1"/>
  <c r="BL295" i="1"/>
  <c r="BL278" i="1"/>
  <c r="BL343" i="1"/>
  <c r="BL302" i="1"/>
  <c r="BL6" i="1"/>
  <c r="BL116" i="1"/>
  <c r="BL193" i="1"/>
  <c r="BL13" i="1"/>
  <c r="BL195" i="1"/>
  <c r="BL374" i="1"/>
  <c r="BL359" i="1"/>
  <c r="BL56" i="1"/>
  <c r="BL138" i="1"/>
  <c r="BL362" i="1"/>
  <c r="BL87" i="1"/>
  <c r="BL240" i="1"/>
  <c r="BL181" i="1"/>
  <c r="BL258" i="1"/>
  <c r="BL332" i="1"/>
  <c r="BL250" i="1"/>
  <c r="BL337" i="1"/>
  <c r="BL290" i="1"/>
  <c r="BL20" i="1"/>
  <c r="BL263" i="1"/>
  <c r="BL232" i="1"/>
  <c r="BL192" i="1"/>
  <c r="BL368" i="1"/>
  <c r="BL236" i="1"/>
  <c r="BL47" i="1"/>
  <c r="BL353" i="1"/>
  <c r="BL107" i="1"/>
  <c r="BL74" i="1"/>
  <c r="BL215" i="1"/>
  <c r="BL284" i="1"/>
  <c r="BL39" i="1"/>
  <c r="BL118" i="1"/>
  <c r="BL91" i="1"/>
  <c r="BL230" i="1"/>
  <c r="BL202" i="1"/>
  <c r="BL103" i="1"/>
  <c r="BL285" i="1"/>
  <c r="BL379" i="1"/>
  <c r="BL154" i="1"/>
  <c r="BL165" i="1"/>
  <c r="BL299" i="1"/>
  <c r="BL366" i="1"/>
  <c r="BL156" i="1"/>
  <c r="BL308" i="1"/>
  <c r="BL205" i="1"/>
  <c r="BL222" i="1"/>
  <c r="BL384" i="1"/>
  <c r="BL280" i="1"/>
  <c r="BL381" i="1"/>
  <c r="BL227" i="1"/>
  <c r="BL64" i="1"/>
  <c r="BL347" i="1"/>
  <c r="BL126" i="1"/>
  <c r="BL346" i="1"/>
  <c r="BL386" i="1"/>
  <c r="BL358" i="1"/>
  <c r="BL256" i="1"/>
  <c r="BL234" i="1"/>
  <c r="BL92" i="1"/>
  <c r="BL152" i="1"/>
  <c r="BL369" i="1"/>
  <c r="BL373" i="1"/>
  <c r="BL110" i="1"/>
  <c r="BL18" i="1"/>
  <c r="BL273" i="1"/>
  <c r="BL288" i="1"/>
  <c r="BL98" i="1"/>
  <c r="BL96" i="1"/>
  <c r="BL196" i="1"/>
  <c r="BL355" i="1"/>
  <c r="BL135" i="1"/>
  <c r="BL33" i="1"/>
  <c r="BL51" i="1"/>
  <c r="BL185" i="1"/>
  <c r="BL335" i="1"/>
  <c r="BL55" i="1"/>
  <c r="BL22" i="1"/>
  <c r="BL235" i="1"/>
  <c r="BL322" i="1"/>
  <c r="BL261" i="1"/>
  <c r="BL176" i="1"/>
  <c r="BL351" i="1"/>
  <c r="BL164" i="1"/>
  <c r="BL172" i="1"/>
  <c r="BL229" i="1"/>
  <c r="BL225" i="1"/>
  <c r="BL333" i="1"/>
  <c r="BL86" i="1"/>
  <c r="BL296" i="1"/>
  <c r="BL279" i="1"/>
  <c r="BL7" i="1"/>
  <c r="BL367" i="1"/>
  <c r="BL187" i="1"/>
  <c r="BL125" i="1"/>
  <c r="BL272" i="1"/>
  <c r="BL191" i="1"/>
  <c r="BL111" i="1"/>
  <c r="BL21" i="1"/>
  <c r="BL224" i="1"/>
  <c r="BL158" i="1"/>
  <c r="BL71" i="1"/>
  <c r="BL131" i="1"/>
  <c r="BL142" i="1"/>
  <c r="BL162" i="1"/>
  <c r="BL360" i="1"/>
  <c r="BL212" i="1"/>
  <c r="BL67" i="1"/>
  <c r="BL324" i="1"/>
  <c r="BL268" i="1"/>
  <c r="BL123" i="1"/>
  <c r="BL40" i="1"/>
  <c r="BL26" i="1"/>
  <c r="BL311" i="1"/>
  <c r="BL357" i="1"/>
  <c r="BL210" i="1"/>
  <c r="BL35" i="1"/>
  <c r="BL297" i="1"/>
  <c r="BL242" i="1"/>
  <c r="BL320" i="1"/>
  <c r="BL10" i="1"/>
  <c r="BL356" i="1"/>
  <c r="BL177" i="1"/>
  <c r="BL298" i="1"/>
  <c r="BL199" i="1"/>
  <c r="BL83" i="1"/>
  <c r="BL361" i="1"/>
  <c r="BL150" i="1"/>
  <c r="BL264" i="1"/>
  <c r="BL198" i="1"/>
  <c r="BL188" i="1"/>
  <c r="BL97" i="1"/>
  <c r="BL307" i="1"/>
  <c r="BL146" i="1"/>
  <c r="BL282" i="1"/>
  <c r="BL274" i="1"/>
  <c r="BL63" i="1"/>
  <c r="BL310" i="1"/>
  <c r="BL251" i="1"/>
  <c r="BL53" i="1"/>
  <c r="BK398" i="1"/>
  <c r="BM161" i="1" s="1"/>
  <c r="BL112" i="1"/>
  <c r="BL137" i="1"/>
  <c r="BL95" i="1"/>
  <c r="BL48" i="1"/>
  <c r="BL180" i="1"/>
  <c r="BL291" i="1"/>
  <c r="BL119" i="1"/>
  <c r="BL339" i="1"/>
  <c r="BL69" i="1"/>
  <c r="BL336" i="1"/>
  <c r="BL31" i="1"/>
  <c r="BL70" i="1"/>
  <c r="BL143" i="1"/>
  <c r="BL194" i="1"/>
  <c r="BL257" i="1"/>
  <c r="BL218" i="1"/>
  <c r="BL318" i="1"/>
  <c r="BL78" i="1"/>
  <c r="BL228" i="1"/>
  <c r="BL12" i="1"/>
  <c r="BL283" i="1"/>
  <c r="BM375" i="1" l="1"/>
  <c r="BO375" i="1" s="1"/>
  <c r="BM253" i="1"/>
  <c r="BO253" i="1" s="1"/>
  <c r="BM330" i="1"/>
  <c r="BO330" i="1" s="1"/>
  <c r="BO161" i="1"/>
  <c r="BM373" i="1"/>
  <c r="BO373" i="1" s="1"/>
  <c r="BM291" i="1"/>
  <c r="BO291" i="1" s="1"/>
  <c r="BM288" i="1"/>
  <c r="BO288" i="1" s="1"/>
  <c r="BM54" i="1"/>
  <c r="BM83" i="1"/>
  <c r="BM384" i="1"/>
  <c r="BO384" i="1" s="1"/>
  <c r="BM112" i="1"/>
  <c r="BM312" i="1"/>
  <c r="BO312" i="1" s="1"/>
  <c r="BM168" i="1"/>
  <c r="BO168" i="1" s="1"/>
  <c r="BM10" i="1"/>
  <c r="BM56" i="1"/>
  <c r="BM356" i="1"/>
  <c r="BO356" i="1" s="1"/>
  <c r="BM146" i="1"/>
  <c r="BO146" i="1" s="1"/>
  <c r="BM103" i="1"/>
  <c r="BM26" i="1"/>
  <c r="BM209" i="1"/>
  <c r="BO209" i="1" s="1"/>
  <c r="BM94" i="1"/>
  <c r="BM268" i="1"/>
  <c r="BO268" i="1" s="1"/>
  <c r="BM259" i="1"/>
  <c r="BO259" i="1" s="1"/>
  <c r="BM21" i="1"/>
  <c r="BM44" i="1"/>
  <c r="BM378" i="1"/>
  <c r="BO378" i="1" s="1"/>
  <c r="BM193" i="1"/>
  <c r="BO193" i="1" s="1"/>
  <c r="BM123" i="1"/>
  <c r="BM178" i="1"/>
  <c r="BO178" i="1" s="1"/>
  <c r="BM337" i="1"/>
  <c r="BO337" i="1" s="1"/>
  <c r="BM240" i="1"/>
  <c r="BO240" i="1" s="1"/>
  <c r="BM114" i="1"/>
  <c r="BO114" i="1" s="1"/>
  <c r="BM323" i="1"/>
  <c r="BO323" i="1" s="1"/>
  <c r="BM75" i="1"/>
  <c r="BM346" i="1"/>
  <c r="BO346" i="1" s="1"/>
  <c r="BM167" i="1"/>
  <c r="BO167" i="1" s="1"/>
  <c r="BM78" i="1"/>
  <c r="BM284" i="1"/>
  <c r="BO284" i="1" s="1"/>
  <c r="BM80" i="1"/>
  <c r="BO80" i="1" s="1"/>
  <c r="BM20" i="1"/>
  <c r="BM245" i="1"/>
  <c r="BO245" i="1" s="1"/>
  <c r="BM388" i="1"/>
  <c r="BO388" i="1" s="1"/>
  <c r="BM301" i="1"/>
  <c r="BO301" i="1" s="1"/>
  <c r="BM345" i="1"/>
  <c r="BO345" i="1" s="1"/>
  <c r="BM287" i="1"/>
  <c r="BO287" i="1" s="1"/>
  <c r="BM300" i="1"/>
  <c r="BO300" i="1" s="1"/>
  <c r="BM100" i="1"/>
  <c r="BM331" i="1"/>
  <c r="BO331" i="1" s="1"/>
  <c r="BM371" i="1"/>
  <c r="BO371" i="1" s="1"/>
  <c r="BM224" i="1"/>
  <c r="BO224" i="1" s="1"/>
  <c r="BM125" i="1"/>
  <c r="BO125" i="1" s="1"/>
  <c r="BM70" i="1"/>
  <c r="BM190" i="1"/>
  <c r="BO190" i="1" s="1"/>
  <c r="BM101" i="1"/>
  <c r="BO101" i="1" s="1"/>
  <c r="BM164" i="1"/>
  <c r="BO164" i="1" s="1"/>
  <c r="BM50" i="1"/>
  <c r="BO50" i="1" s="1"/>
  <c r="BM90" i="1"/>
  <c r="BM342" i="1"/>
  <c r="BO342" i="1" s="1"/>
  <c r="BM135" i="1"/>
  <c r="BO135" i="1" s="1"/>
  <c r="BM352" i="1"/>
  <c r="BO352" i="1" s="1"/>
  <c r="BM250" i="1"/>
  <c r="BO250" i="1" s="1"/>
  <c r="BM213" i="1"/>
  <c r="BO213" i="1" s="1"/>
  <c r="BM158" i="1"/>
  <c r="BO158" i="1" s="1"/>
  <c r="BM222" i="1"/>
  <c r="BO222" i="1" s="1"/>
  <c r="BM238" i="1"/>
  <c r="BO238" i="1" s="1"/>
  <c r="BM13" i="1"/>
  <c r="BM386" i="1"/>
  <c r="BO386" i="1" s="1"/>
  <c r="BM316" i="1"/>
  <c r="BO316" i="1" s="1"/>
  <c r="BM95" i="1"/>
  <c r="BO95" i="1" s="1"/>
  <c r="BM355" i="1"/>
  <c r="BO355" i="1" s="1"/>
  <c r="BM189" i="1"/>
  <c r="BO189" i="1" s="1"/>
  <c r="BM72" i="1"/>
  <c r="BM347" i="1"/>
  <c r="BO347" i="1" s="1"/>
  <c r="BM129" i="1"/>
  <c r="BM343" i="1"/>
  <c r="BO343" i="1" s="1"/>
  <c r="BM307" i="1"/>
  <c r="BO307" i="1" s="1"/>
  <c r="BM196" i="1"/>
  <c r="BO196" i="1" s="1"/>
  <c r="BM117" i="1"/>
  <c r="BM361" i="1"/>
  <c r="BO361" i="1" s="1"/>
  <c r="BM210" i="1"/>
  <c r="BO210" i="1" s="1"/>
  <c r="BM293" i="1"/>
  <c r="BO293" i="1" s="1"/>
  <c r="BM227" i="1"/>
  <c r="BO227" i="1" s="1"/>
  <c r="BM283" i="1"/>
  <c r="BO283" i="1" s="1"/>
  <c r="BM133" i="1"/>
  <c r="BM223" i="1"/>
  <c r="BO223" i="1" s="1"/>
  <c r="BM37" i="1"/>
  <c r="BM234" i="1"/>
  <c r="BO234" i="1" s="1"/>
  <c r="BM185" i="1"/>
  <c r="BO185" i="1" s="1"/>
  <c r="BM63" i="1"/>
  <c r="BM236" i="1"/>
  <c r="BO236" i="1" s="1"/>
  <c r="BM52" i="1"/>
  <c r="BO52" i="1" s="1"/>
  <c r="BM179" i="1"/>
  <c r="BO179" i="1" s="1"/>
  <c r="BM239" i="1"/>
  <c r="BO239" i="1" s="1"/>
  <c r="BM349" i="1"/>
  <c r="BO349" i="1" s="1"/>
  <c r="BM136" i="1"/>
  <c r="BM11" i="1"/>
  <c r="BM366" i="1"/>
  <c r="BO366" i="1" s="1"/>
  <c r="BM308" i="1"/>
  <c r="BO308" i="1" s="1"/>
  <c r="BM99" i="1"/>
  <c r="BO99" i="1" s="1"/>
  <c r="BM110" i="1"/>
  <c r="BO110" i="1" s="1"/>
  <c r="BM38" i="1"/>
  <c r="BO38" i="1" s="1"/>
  <c r="BM381" i="1"/>
  <c r="BO381" i="1" s="1"/>
  <c r="BM208" i="1"/>
  <c r="BO208" i="1" s="1"/>
  <c r="BM225" i="1"/>
  <c r="BO225" i="1" s="1"/>
  <c r="BM380" i="1"/>
  <c r="BO380" i="1" s="1"/>
  <c r="BM298" i="1"/>
  <c r="BO298" i="1" s="1"/>
  <c r="BM82" i="1"/>
  <c r="BO82" i="1" s="1"/>
  <c r="BM115" i="1"/>
  <c r="BO115" i="1" s="1"/>
  <c r="BM187" i="1"/>
  <c r="BO187" i="1" s="1"/>
  <c r="BM73" i="1"/>
  <c r="BO73" i="1" s="1"/>
  <c r="BM317" i="1"/>
  <c r="BO317" i="1" s="1"/>
  <c r="BM149" i="1"/>
  <c r="BM151" i="1"/>
  <c r="BM105" i="1"/>
  <c r="BM335" i="1"/>
  <c r="BO335" i="1" s="1"/>
  <c r="BM16" i="1"/>
  <c r="BO16" i="1" s="1"/>
  <c r="BM290" i="1"/>
  <c r="BO290" i="1" s="1"/>
  <c r="BM124" i="1"/>
  <c r="BO124" i="1" s="1"/>
  <c r="BM25" i="1"/>
  <c r="BO25" i="1" s="1"/>
  <c r="BM64" i="1"/>
  <c r="BO64" i="1" s="1"/>
  <c r="BM180" i="1"/>
  <c r="BO180" i="1" s="1"/>
  <c r="BM376" i="1"/>
  <c r="BO376" i="1" s="1"/>
  <c r="BM127" i="1"/>
  <c r="BO127" i="1" s="1"/>
  <c r="BM93" i="1"/>
  <c r="BM4" i="1"/>
  <c r="BO4" i="1" s="1"/>
  <c r="BM45" i="1"/>
  <c r="BM188" i="1"/>
  <c r="BO188" i="1" s="1"/>
  <c r="BM212" i="1"/>
  <c r="BO212" i="1" s="1"/>
  <c r="BM197" i="1"/>
  <c r="BO197" i="1" s="1"/>
  <c r="BM144" i="1"/>
  <c r="BM152" i="1"/>
  <c r="BO152" i="1" s="1"/>
  <c r="BM333" i="1"/>
  <c r="BO333" i="1" s="1"/>
  <c r="BM106" i="1"/>
  <c r="BO106" i="1" s="1"/>
  <c r="BM251" i="1"/>
  <c r="BO251" i="1" s="1"/>
  <c r="BM244" i="1"/>
  <c r="BO244" i="1" s="1"/>
  <c r="BM354" i="1"/>
  <c r="BO354" i="1" s="1"/>
  <c r="BM147" i="1"/>
  <c r="BO147" i="1" s="1"/>
  <c r="BM199" i="1"/>
  <c r="BO199" i="1" s="1"/>
  <c r="BM211" i="1"/>
  <c r="BO211" i="1" s="1"/>
  <c r="BM338" i="1"/>
  <c r="BO338" i="1" s="1"/>
  <c r="BM30" i="1"/>
  <c r="BM77" i="1"/>
  <c r="BM206" i="1"/>
  <c r="BO206" i="1" s="1"/>
  <c r="BM314" i="1"/>
  <c r="BO314" i="1" s="1"/>
  <c r="BM359" i="1"/>
  <c r="BO359" i="1" s="1"/>
  <c r="BM170" i="1"/>
  <c r="BO170" i="1" s="1"/>
  <c r="BM242" i="1"/>
  <c r="BO242" i="1" s="1"/>
  <c r="BM264" i="1"/>
  <c r="BO264" i="1" s="1"/>
  <c r="BM175" i="1"/>
  <c r="BO175" i="1" s="1"/>
  <c r="BM7" i="1"/>
  <c r="BM256" i="1"/>
  <c r="BO256" i="1" s="1"/>
  <c r="BM200" i="1"/>
  <c r="BO200" i="1" s="1"/>
  <c r="BM33" i="1"/>
  <c r="BM202" i="1"/>
  <c r="BO202" i="1" s="1"/>
  <c r="BM243" i="1"/>
  <c r="BO243" i="1" s="1"/>
  <c r="BM313" i="1"/>
  <c r="BO313" i="1" s="1"/>
  <c r="BM150" i="1"/>
  <c r="BO150" i="1" s="1"/>
  <c r="BM98" i="1"/>
  <c r="BM27" i="1"/>
  <c r="BM6" i="1"/>
  <c r="BO6" i="1" s="1"/>
  <c r="BM166" i="1"/>
  <c r="BO166" i="1" s="1"/>
  <c r="BM148" i="1"/>
  <c r="BO148" i="1" s="1"/>
  <c r="BM43" i="1"/>
  <c r="BM81" i="1"/>
  <c r="BO81" i="1" s="1"/>
  <c r="BM241" i="1"/>
  <c r="BO241" i="1" s="1"/>
  <c r="BM205" i="1"/>
  <c r="BO205" i="1" s="1"/>
  <c r="BM270" i="1"/>
  <c r="BO270" i="1" s="1"/>
  <c r="BM360" i="1"/>
  <c r="BO360" i="1" s="1"/>
  <c r="BM35" i="1"/>
  <c r="BO35" i="1" s="1"/>
  <c r="BM138" i="1"/>
  <c r="BM39" i="1"/>
  <c r="BO39" i="1" s="1"/>
  <c r="BM262" i="1"/>
  <c r="BO262" i="1" s="1"/>
  <c r="BM258" i="1"/>
  <c r="BO258" i="1" s="1"/>
  <c r="BM89" i="1"/>
  <c r="BO89" i="1" s="1"/>
  <c r="BM140" i="1"/>
  <c r="BM141" i="1"/>
  <c r="BO141" i="1" s="1"/>
  <c r="BM192" i="1"/>
  <c r="BO192" i="1" s="1"/>
  <c r="BM299" i="1"/>
  <c r="BO299" i="1" s="1"/>
  <c r="BM367" i="1"/>
  <c r="BO367" i="1" s="1"/>
  <c r="BM322" i="1"/>
  <c r="BO322" i="1" s="1"/>
  <c r="BM174" i="1"/>
  <c r="BO174" i="1" s="1"/>
  <c r="BM319" i="1"/>
  <c r="BO319" i="1" s="1"/>
  <c r="BM339" i="1"/>
  <c r="BO339" i="1" s="1"/>
  <c r="BM295" i="1"/>
  <c r="BO295" i="1" s="1"/>
  <c r="BM286" i="1"/>
  <c r="BO286" i="1" s="1"/>
  <c r="BM171" i="1"/>
  <c r="BO171" i="1" s="1"/>
  <c r="BM28" i="1"/>
  <c r="BO28" i="1" s="1"/>
  <c r="BM53" i="1"/>
  <c r="BM336" i="1"/>
  <c r="BO336" i="1" s="1"/>
  <c r="BM143" i="1"/>
  <c r="BM69" i="1"/>
  <c r="BO69" i="1" s="1"/>
  <c r="BM131" i="1"/>
  <c r="BM142" i="1"/>
  <c r="BO142" i="1" s="1"/>
  <c r="BM257" i="1"/>
  <c r="BO257" i="1" s="1"/>
  <c r="BM92" i="1"/>
  <c r="BM305" i="1"/>
  <c r="BO305" i="1" s="1"/>
  <c r="BM219" i="1"/>
  <c r="BO219" i="1" s="1"/>
  <c r="BM285" i="1"/>
  <c r="BO285" i="1" s="1"/>
  <c r="BM362" i="1"/>
  <c r="BO362" i="1" s="1"/>
  <c r="BM277" i="1"/>
  <c r="BO277" i="1" s="1"/>
  <c r="BM216" i="1"/>
  <c r="BO216" i="1" s="1"/>
  <c r="BM9" i="1"/>
  <c r="BO9" i="1" s="1"/>
  <c r="BM302" i="1"/>
  <c r="BO302" i="1" s="1"/>
  <c r="BM247" i="1"/>
  <c r="BO247" i="1" s="1"/>
  <c r="BM173" i="1"/>
  <c r="BO173" i="1" s="1"/>
  <c r="BM220" i="1"/>
  <c r="BO220" i="1" s="1"/>
  <c r="BM332" i="1"/>
  <c r="BO332" i="1" s="1"/>
  <c r="BM71" i="1"/>
  <c r="BO71" i="1" s="1"/>
  <c r="BM195" i="1"/>
  <c r="BO195" i="1" s="1"/>
  <c r="BM377" i="1"/>
  <c r="BO377" i="1" s="1"/>
  <c r="BM24" i="1"/>
  <c r="BO24" i="1" s="1"/>
  <c r="BM217" i="1"/>
  <c r="BO217" i="1" s="1"/>
  <c r="BM172" i="1"/>
  <c r="BO172" i="1" s="1"/>
  <c r="BM261" i="1"/>
  <c r="BO261" i="1" s="1"/>
  <c r="BM156" i="1"/>
  <c r="BO156" i="1" s="1"/>
  <c r="BM132" i="1"/>
  <c r="BO132" i="1" s="1"/>
  <c r="BM306" i="1"/>
  <c r="BO306" i="1" s="1"/>
  <c r="BM233" i="1"/>
  <c r="BO233" i="1" s="1"/>
  <c r="BM157" i="1"/>
  <c r="BO157" i="1" s="1"/>
  <c r="BM271" i="1"/>
  <c r="BO271" i="1" s="1"/>
  <c r="BM58" i="1"/>
  <c r="BO58" i="1" s="1"/>
  <c r="BM162" i="1"/>
  <c r="BO162" i="1" s="1"/>
  <c r="BM310" i="1"/>
  <c r="BO310" i="1" s="1"/>
  <c r="BM15" i="1"/>
  <c r="BO15" i="1" s="1"/>
  <c r="BM182" i="1"/>
  <c r="BO182" i="1" s="1"/>
  <c r="BM8" i="1"/>
  <c r="BO8" i="1" s="1"/>
  <c r="BM340" i="1"/>
  <c r="BO340" i="1" s="1"/>
  <c r="BM263" i="1"/>
  <c r="BO263" i="1" s="1"/>
  <c r="BM184" i="1"/>
  <c r="BO184" i="1" s="1"/>
  <c r="BM379" i="1"/>
  <c r="BO379" i="1" s="1"/>
  <c r="BM87" i="1"/>
  <c r="BM369" i="1"/>
  <c r="BO369" i="1" s="1"/>
  <c r="BM218" i="1"/>
  <c r="BO218" i="1" s="1"/>
  <c r="BM107" i="1"/>
  <c r="BO107" i="1" s="1"/>
  <c r="BM91" i="1"/>
  <c r="BO91" i="1" s="1"/>
  <c r="BM84" i="1"/>
  <c r="BO84" i="1" s="1"/>
  <c r="BM118" i="1"/>
  <c r="BO118" i="1" s="1"/>
  <c r="BM370" i="1"/>
  <c r="BO370" i="1" s="1"/>
  <c r="BM276" i="1"/>
  <c r="BO276" i="1" s="1"/>
  <c r="BM153" i="1"/>
  <c r="BM159" i="1"/>
  <c r="BO159" i="1" s="1"/>
  <c r="BM154" i="1"/>
  <c r="BO154" i="1" s="1"/>
  <c r="BM169" i="1"/>
  <c r="BO169" i="1" s="1"/>
  <c r="BM324" i="1"/>
  <c r="BO324" i="1" s="1"/>
  <c r="BM232" i="1"/>
  <c r="BO232" i="1" s="1"/>
  <c r="BM5" i="1"/>
  <c r="BM334" i="1"/>
  <c r="BO334" i="1" s="1"/>
  <c r="BM165" i="1"/>
  <c r="BO165" i="1" s="1"/>
  <c r="BM279" i="1"/>
  <c r="BO279" i="1" s="1"/>
  <c r="BM269" i="1"/>
  <c r="BO269" i="1" s="1"/>
  <c r="BM67" i="1"/>
  <c r="BM358" i="1"/>
  <c r="BO358" i="1" s="1"/>
  <c r="BM368" i="1"/>
  <c r="BO368" i="1" s="1"/>
  <c r="BM55" i="1"/>
  <c r="BO55" i="1" s="1"/>
  <c r="BM272" i="1"/>
  <c r="BO272" i="1" s="1"/>
  <c r="BM372" i="1"/>
  <c r="BO372" i="1" s="1"/>
  <c r="BM119" i="1"/>
  <c r="BO119" i="1" s="1"/>
  <c r="BM214" i="1"/>
  <c r="BO214" i="1" s="1"/>
  <c r="BM325" i="1"/>
  <c r="BO325" i="1" s="1"/>
  <c r="BM181" i="1"/>
  <c r="BO181" i="1" s="1"/>
  <c r="BM382" i="1"/>
  <c r="BO382" i="1" s="1"/>
  <c r="BM18" i="1"/>
  <c r="BO18" i="1" s="1"/>
  <c r="BM66" i="1"/>
  <c r="BM74" i="1"/>
  <c r="BO74" i="1" s="1"/>
  <c r="BM176" i="1"/>
  <c r="BO176" i="1" s="1"/>
  <c r="BM230" i="1"/>
  <c r="BO230" i="1" s="1"/>
  <c r="BM207" i="1"/>
  <c r="BO207" i="1" s="1"/>
  <c r="BM86" i="1"/>
  <c r="BM353" i="1"/>
  <c r="BO353" i="1" s="1"/>
  <c r="BM61" i="1"/>
  <c r="BO61" i="1" s="1"/>
  <c r="BM59" i="1"/>
  <c r="BM297" i="1"/>
  <c r="BO297" i="1" s="1"/>
  <c r="BM51" i="1"/>
  <c r="BO51" i="1" s="1"/>
  <c r="BM17" i="1"/>
  <c r="BM204" i="1"/>
  <c r="BO204" i="1" s="1"/>
  <c r="BM194" i="1"/>
  <c r="BO194" i="1" s="1"/>
  <c r="BM128" i="1"/>
  <c r="BM102" i="1"/>
  <c r="BO102" i="1" s="1"/>
  <c r="BM235" i="1"/>
  <c r="BO235" i="1" s="1"/>
  <c r="BM104" i="1"/>
  <c r="BO104" i="1" s="1"/>
  <c r="BM365" i="1"/>
  <c r="BO365" i="1" s="1"/>
  <c r="BM278" i="1"/>
  <c r="BO278" i="1" s="1"/>
  <c r="BM116" i="1"/>
  <c r="BO116" i="1" s="1"/>
  <c r="BM40" i="1"/>
  <c r="BM303" i="1"/>
  <c r="BO303" i="1" s="1"/>
  <c r="BM364" i="1"/>
  <c r="BO364" i="1" s="1"/>
  <c r="BM97" i="1"/>
  <c r="BM320" i="1"/>
  <c r="BO320" i="1" s="1"/>
  <c r="BM273" i="1"/>
  <c r="BO273" i="1" s="1"/>
  <c r="BM31" i="1"/>
  <c r="BO31" i="1" s="1"/>
  <c r="BM137" i="1"/>
  <c r="BO137" i="1" s="1"/>
  <c r="BM65" i="1"/>
  <c r="BO65" i="1" s="1"/>
  <c r="BM62" i="1"/>
  <c r="BO62" i="1" s="1"/>
  <c r="BM326" i="1"/>
  <c r="BO326" i="1" s="1"/>
  <c r="BM237" i="1"/>
  <c r="BO237" i="1" s="1"/>
  <c r="BM183" i="1"/>
  <c r="BO183" i="1" s="1"/>
  <c r="BM282" i="1"/>
  <c r="BO282" i="1" s="1"/>
  <c r="BM228" i="1"/>
  <c r="BO228" i="1" s="1"/>
  <c r="BM315" i="1"/>
  <c r="BO315" i="1" s="1"/>
  <c r="BM348" i="1"/>
  <c r="BO348" i="1" s="1"/>
  <c r="BM96" i="1"/>
  <c r="BO96" i="1" s="1"/>
  <c r="BM85" i="1"/>
  <c r="BO85" i="1" s="1"/>
  <c r="BM351" i="1"/>
  <c r="BO351" i="1" s="1"/>
  <c r="BM296" i="1"/>
  <c r="BO296" i="1" s="1"/>
  <c r="BM126" i="1"/>
  <c r="BM311" i="1"/>
  <c r="BO311" i="1" s="1"/>
  <c r="BM321" i="1"/>
  <c r="BO321" i="1" s="1"/>
  <c r="BM226" i="1"/>
  <c r="BO226" i="1" s="1"/>
  <c r="BM229" i="1"/>
  <c r="BO229" i="1" s="1"/>
  <c r="BM134" i="1"/>
  <c r="BO134" i="1" s="1"/>
  <c r="BM108" i="1"/>
  <c r="BM47" i="1"/>
  <c r="BO47" i="1" s="1"/>
  <c r="BM198" i="1"/>
  <c r="BO198" i="1" s="1"/>
  <c r="BM177" i="1"/>
  <c r="BO177" i="1" s="1"/>
  <c r="BM12" i="1"/>
  <c r="BM357" i="1"/>
  <c r="BO357" i="1" s="1"/>
  <c r="BM122" i="1"/>
  <c r="BM374" i="1"/>
  <c r="BO374" i="1" s="1"/>
  <c r="BM201" i="1"/>
  <c r="BO201" i="1" s="1"/>
  <c r="BM22" i="1"/>
  <c r="BO22" i="1" s="1"/>
  <c r="BM215" i="1"/>
  <c r="BO215" i="1" s="1"/>
  <c r="BM280" i="1"/>
  <c r="BO280" i="1" s="1"/>
  <c r="BM318" i="1"/>
  <c r="BO318" i="1" s="1"/>
  <c r="BM130" i="1"/>
  <c r="BO130" i="1" s="1"/>
  <c r="BM121" i="1"/>
  <c r="BO121" i="1" s="1"/>
  <c r="BM111" i="1"/>
  <c r="BO111" i="1" s="1"/>
  <c r="BM139" i="1"/>
  <c r="BO139" i="1" s="1"/>
  <c r="BM231" i="1"/>
  <c r="BO231" i="1" s="1"/>
  <c r="BM48" i="1"/>
  <c r="BM265" i="1"/>
  <c r="BO265" i="1" s="1"/>
  <c r="BM328" i="1"/>
  <c r="BO328" i="1" s="1"/>
  <c r="BM76" i="1"/>
  <c r="BO76" i="1" s="1"/>
  <c r="BM191" i="1"/>
  <c r="BO191" i="1" s="1"/>
  <c r="BM120" i="1"/>
  <c r="BO120" i="1" s="1"/>
  <c r="BM329" i="1"/>
  <c r="BO329" i="1" s="1"/>
  <c r="BM160" i="1"/>
  <c r="BO160" i="1" s="1"/>
  <c r="BM363" i="1"/>
  <c r="BO363" i="1" s="1"/>
  <c r="BM274" i="1"/>
  <c r="BO274" i="1" s="1"/>
  <c r="BM41" i="1"/>
  <c r="BO41" i="1" s="1"/>
  <c r="BL390" i="1"/>
  <c r="B21" i="65" s="1"/>
  <c r="B22" i="65"/>
  <c r="BO12" i="1" l="1"/>
  <c r="BO14" i="1"/>
  <c r="BO17" i="1"/>
  <c r="BO19" i="1"/>
  <c r="BO138" i="1"/>
  <c r="BO144" i="1"/>
  <c r="BO145" i="1"/>
  <c r="BO105" i="1"/>
  <c r="BO129" i="1"/>
  <c r="BO13" i="1"/>
  <c r="BO75" i="1"/>
  <c r="BO103" i="1"/>
  <c r="BO67" i="1"/>
  <c r="BO68" i="1"/>
  <c r="BO92" i="1"/>
  <c r="BO48" i="1"/>
  <c r="BO49" i="1"/>
  <c r="BO126" i="1"/>
  <c r="BO33" i="1"/>
  <c r="BO151" i="1"/>
  <c r="BO63" i="1"/>
  <c r="BO90" i="1"/>
  <c r="BO44" i="1"/>
  <c r="BO46" i="1"/>
  <c r="BO83" i="1"/>
  <c r="BO112" i="1"/>
  <c r="BO113" i="1"/>
  <c r="BO153" i="1"/>
  <c r="BO131" i="1"/>
  <c r="BO149" i="1"/>
  <c r="BO11" i="1"/>
  <c r="BO72" i="1"/>
  <c r="BO20" i="1"/>
  <c r="BO21" i="1"/>
  <c r="BO23" i="1"/>
  <c r="BO54" i="1"/>
  <c r="BO108" i="1"/>
  <c r="BO109" i="1"/>
  <c r="BO97" i="1"/>
  <c r="BO59" i="1"/>
  <c r="BO60" i="1"/>
  <c r="BO66" i="1"/>
  <c r="BO87" i="1"/>
  <c r="BO88" i="1"/>
  <c r="BO140" i="1"/>
  <c r="BO27" i="1"/>
  <c r="BO29" i="1"/>
  <c r="BO136" i="1"/>
  <c r="BO100" i="1"/>
  <c r="BO56" i="1"/>
  <c r="BO57" i="1"/>
  <c r="BO26" i="1"/>
  <c r="BO5" i="1"/>
  <c r="BO143" i="1"/>
  <c r="BO98" i="1"/>
  <c r="BO7" i="1"/>
  <c r="BO77" i="1"/>
  <c r="BO45" i="1"/>
  <c r="BO37" i="1"/>
  <c r="BO117" i="1"/>
  <c r="BO10" i="1"/>
  <c r="BO43" i="1"/>
  <c r="BO122" i="1"/>
  <c r="BO128" i="1"/>
  <c r="BO30" i="1"/>
  <c r="BO32" i="1"/>
  <c r="BO78" i="1"/>
  <c r="BO79" i="1"/>
  <c r="BO94" i="1"/>
  <c r="BO40" i="1"/>
  <c r="BO42" i="1"/>
  <c r="BO86" i="1"/>
  <c r="BO53" i="1"/>
  <c r="BO93" i="1"/>
  <c r="BO133" i="1"/>
  <c r="BO70" i="1"/>
  <c r="BO123" i="1"/>
  <c r="BL391" i="1"/>
  <c r="Z22" i="46"/>
  <c r="Z23" i="46" s="1"/>
  <c r="BM390" i="1"/>
  <c r="C21" i="65" s="1"/>
  <c r="C22" i="65"/>
  <c r="BO390" i="1" l="1"/>
  <c r="BL392" i="1"/>
  <c r="BM39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Knisley,Meredith (HHSC)</author>
  </authors>
  <commentList>
    <comment ref="AK1" authorId="0" shapeId="0" xr:uid="{4D180F88-8254-4D8D-B538-C3AAFF56ABC6}">
      <text>
        <r>
          <rPr>
            <b/>
            <sz val="9"/>
            <color indexed="81"/>
            <rFont val="Tahoma"/>
            <family val="2"/>
          </rPr>
          <t>Knisley,Meredith (HHSC):</t>
        </r>
        <r>
          <rPr>
            <sz val="9"/>
            <color indexed="81"/>
            <rFont val="Tahoma"/>
            <family val="2"/>
          </rPr>
          <t xml:space="preserve">
Previous formula was =IFERROR(INDEX('2.  State Hospitals'!V:V,MATCH(B:B,'2.  State Hospitals'!B:B,0)),0); from our meeting I think we said this would need to be zeroed out this year. If not, just paste the formula down the column</t>
        </r>
      </text>
    </comment>
  </commentList>
</comments>
</file>

<file path=xl/sharedStrings.xml><?xml version="1.0" encoding="utf-8"?>
<sst xmlns="http://schemas.openxmlformats.org/spreadsheetml/2006/main" count="10516" uniqueCount="1850">
  <si>
    <t>Row Labels</t>
  </si>
  <si>
    <t>Sum of   Final Payment After Accounting for Recoupments</t>
  </si>
  <si>
    <t>Sum of Final IGT Required After Accounting for Recoupments</t>
  </si>
  <si>
    <t>Bexar</t>
  </si>
  <si>
    <t>Dallas</t>
  </si>
  <si>
    <t>El Paso</t>
  </si>
  <si>
    <t>Harris</t>
  </si>
  <si>
    <t>Hidalgo</t>
  </si>
  <si>
    <t>Jefferson</t>
  </si>
  <si>
    <t>Lubbock</t>
  </si>
  <si>
    <t>MRSA Central</t>
  </si>
  <si>
    <t>MRSA Northeast</t>
  </si>
  <si>
    <t>MRSA West</t>
  </si>
  <si>
    <t>Nueces</t>
  </si>
  <si>
    <t>Tarrant</t>
  </si>
  <si>
    <t>Travis</t>
  </si>
  <si>
    <t>Grand Total</t>
  </si>
  <si>
    <t>Check</t>
  </si>
  <si>
    <t>Uncompensated Care Pool Modeling Assumptions</t>
  </si>
  <si>
    <t>UC Pool Allocation Assumptions</t>
  </si>
  <si>
    <t>Total DY 11 UC Pool Amount</t>
  </si>
  <si>
    <t>Tab 3 Total after removing Dental/Ambulance</t>
  </si>
  <si>
    <t>State-owned hospital set-aside (Tab 2 Total)</t>
  </si>
  <si>
    <t>UC Pool Without State Set-Aside (Tab 3 Total)</t>
  </si>
  <si>
    <t>Rural Costs DY10</t>
  </si>
  <si>
    <t>Rural Max DY11</t>
  </si>
  <si>
    <t>Rural Hospital Set-Aside (lesser of DY 10 Amount and max for DY11)</t>
  </si>
  <si>
    <t>Rural Withheld</t>
  </si>
  <si>
    <t>Adjusted UC Pool Amount for Non-Rural Hospitals &amp; Excluding State Set-Aside:</t>
  </si>
  <si>
    <t>Physician Group, Ambulance and Dental Allocations</t>
  </si>
  <si>
    <t>Provider Type</t>
  </si>
  <si>
    <t>Allocated DY 11 UC Pool Amount</t>
  </si>
  <si>
    <t>% DY10 Costs (Ambulance &amp; Dental) / % DY11 TXPUC</t>
  </si>
  <si>
    <t>DY10 Costs(Ambulance &amp; Dental) / DY11 TXPUC Costs</t>
  </si>
  <si>
    <t>Ambulance</t>
  </si>
  <si>
    <t>Dental</t>
  </si>
  <si>
    <t>Physician Group Practice</t>
  </si>
  <si>
    <t>State PUC withheld</t>
  </si>
  <si>
    <t>Non-Hospital Total</t>
  </si>
  <si>
    <t>Total Hospital Costs DY11</t>
  </si>
  <si>
    <t>Total UC Provider Costs</t>
  </si>
  <si>
    <t>2022 / DY 11 FMAP Rate</t>
  </si>
  <si>
    <t>Federal Share</t>
  </si>
  <si>
    <t>State Share</t>
  </si>
  <si>
    <t>Total</t>
  </si>
  <si>
    <t>SDA IGT Funding</t>
  </si>
  <si>
    <t xml:space="preserve">Harris </t>
  </si>
  <si>
    <t xml:space="preserve">Maximum Payment Amounts </t>
  </si>
  <si>
    <t>IGT Needed to Fund Payment Amounts</t>
  </si>
  <si>
    <t>Maximum IGT Commitment Amounts</t>
  </si>
  <si>
    <t>Actual IGT Commitment Amounts</t>
  </si>
  <si>
    <t>IGT Funding Met</t>
  </si>
  <si>
    <t>Revised Funding Pool Based on IGT Commitment</t>
  </si>
  <si>
    <t>Pool Reduction</t>
  </si>
  <si>
    <t>Total Amount to Reallocate</t>
  </si>
  <si>
    <t>Additional Payments that Can be Funded by IGT Commitments</t>
  </si>
  <si>
    <t>Total Additional Amount that Can be Supported by Fully Funded SDA's</t>
  </si>
  <si>
    <t>Pool Redistribution</t>
  </si>
  <si>
    <t>Application Data</t>
  </si>
  <si>
    <t>From Tab 3. UC Calculation by Hospital</t>
  </si>
  <si>
    <t>Calculated: Unins SF - UC Unins Dupl in DSH</t>
  </si>
  <si>
    <t>Calculated: If DSH PMT &gt; DSH only costs (Medicaid SF + DSH-Only Uninsured SF) then DSH PMT - Medicaid SF - DSH-only SF</t>
  </si>
  <si>
    <t>Calculated: If UC Schedule 3 Charity &amp; adj - DSH payment attributable to Charity &gt;0, UC Schedule 3 Charity &amp; adj - DSH Payment attributable to Charity, else 0</t>
  </si>
  <si>
    <t>Calculated: 90% of Remaining UC Sched 3 costs</t>
  </si>
  <si>
    <t>Calculated: If DSH PMT &gt; 0 and DSH PMT + UC PMT &gt; 90% of Costs 90%*(Medicaid SF + DSH-only Uninsured +  Schedule 3 Costs), then 90% of Costs  - DSH PMT, else UC PMT</t>
  </si>
  <si>
    <t>Calculated: Difference between Capped UC Payment and uncapped UC Payment</t>
  </si>
  <si>
    <t>From the YTD file</t>
  </si>
  <si>
    <t>Calculated: State Match * YTD Payment</t>
  </si>
  <si>
    <t>Calculated: If YTD PMT &gt; Max Capped Sched 3 PMT, YTD PMT - Max Capped PMT, else 0</t>
  </si>
  <si>
    <t>Calculated: State Match * YTD PMT in Excess of Sched 3 Max</t>
  </si>
  <si>
    <t>Calculated: If the YTD payment &gt; Total Max Sched 3 UC PMT, then 0, else Total Max Sched 3 UC PMT - YTD PMT</t>
  </si>
  <si>
    <t>Calculated: State Match * Max Final Sched 3 PMT</t>
  </si>
  <si>
    <t>Update with new IGT amounts</t>
  </si>
  <si>
    <t>Calculated: Final IGT/State Match</t>
  </si>
  <si>
    <t>Calculated: YTD PMT - YTD PMT in Excess of Max Sched 3 + Final PMT</t>
  </si>
  <si>
    <t>TPI</t>
  </si>
  <si>
    <t>2022 Master TPI</t>
  </si>
  <si>
    <t>UC Hospital Class</t>
  </si>
  <si>
    <t>IMD</t>
  </si>
  <si>
    <t>Provider Name</t>
  </si>
  <si>
    <t>SDA</t>
  </si>
  <si>
    <t>County</t>
  </si>
  <si>
    <t>Medicaid Shortfall with OI and Medicare Payments</t>
  </si>
  <si>
    <t>Total DSH Uninsured Shortfall</t>
  </si>
  <si>
    <t>UC Uninsured Charity Duplicated in DSH Uninsured Shortfall</t>
  </si>
  <si>
    <t>DSH-Only Uninsured Shortfall</t>
  </si>
  <si>
    <t>UC Schedule 3 Total Charity Costs and Sched 3 Adjustments</t>
  </si>
  <si>
    <t>2022 DSH Payment</t>
  </si>
  <si>
    <t>DSH PMT Attributable to Charity</t>
  </si>
  <si>
    <t>Remaining UC Schedule 3 Charity Costs after DSH Payment Attributable to Charity Care is Offset</t>
  </si>
  <si>
    <t>UC Payment for Schedule 3 Charity Care</t>
  </si>
  <si>
    <t>Total Max Sched 3 UC Payment (Capped at 90% of Cost in DSH/UC)</t>
  </si>
  <si>
    <t>Removed</t>
  </si>
  <si>
    <t>YTD Payment for State Sched 3</t>
  </si>
  <si>
    <t>YTD IGT</t>
  </si>
  <si>
    <t>YTD Payment in Excess of Sched 3 Max</t>
  </si>
  <si>
    <t>YTD IGT in Excess of Sched 3 Max</t>
  </si>
  <si>
    <t>Maximum Final Schedule 3 Payment</t>
  </si>
  <si>
    <t>Maximum Final Schedule 3 IGT Commitment</t>
  </si>
  <si>
    <t>Final UC IGT Commitment for Sched 3 Costs</t>
  </si>
  <si>
    <t>Final Payment</t>
  </si>
  <si>
    <t>Total Schedule 3 Payments</t>
  </si>
  <si>
    <t>021187203</t>
  </si>
  <si>
    <t>021194801</t>
  </si>
  <si>
    <t>021195501</t>
  </si>
  <si>
    <t>021196301</t>
  </si>
  <si>
    <t>021219301</t>
  </si>
  <si>
    <t>094092602</t>
  </si>
  <si>
    <t>109966502</t>
  </si>
  <si>
    <t>112672402</t>
  </si>
  <si>
    <t>112751605</t>
  </si>
  <si>
    <t>127278304</t>
  </si>
  <si>
    <t>127320302</t>
  </si>
  <si>
    <t>133257904</t>
  </si>
  <si>
    <t>133331202</t>
  </si>
  <si>
    <t>137918204</t>
  </si>
  <si>
    <t>137919003</t>
  </si>
  <si>
    <t>138706004</t>
  </si>
  <si>
    <t>175287501</t>
  </si>
  <si>
    <t>Rural classification from APP Data, 'Certificiation, Col. J.</t>
  </si>
  <si>
    <t xml:space="preserve">Total UC Cost Remaining </t>
  </si>
  <si>
    <t>Application Data -UC Rural</t>
  </si>
  <si>
    <t>If Hospital is in the 2. State Hospitals tab, the value is Yes, otherwise it is blank</t>
  </si>
  <si>
    <t>DSH calculation Data</t>
  </si>
  <si>
    <t>Calculated: If DSH PMT &gt; DSH only costs (Medicaid SF + DSH-Only Uninsured SF) then DSH PMT - Medicaid SF - DSH-only SF, else 0</t>
  </si>
  <si>
    <t>Calculated: If UC Schedule 3 - DSH PMT attributable to Charity &gt;0, UC Schedule 3 - DSH PMT attributable to Charity, else 0</t>
  </si>
  <si>
    <t>Calculated: Sum of Sched 1, Sched 2, Sched 1 Adj, Sched 2 Adj, and Sched 3 Adj</t>
  </si>
  <si>
    <t>DSH calculation data</t>
  </si>
  <si>
    <t>Calculated: If on State Tab, Other UC Cost (Non-S-10) - Sched 3 Adj; otherwise, UC Charity Cost Remaining after DSH offset + Other UC Cost (Non-S-10) + DSH IGT for Large Public</t>
  </si>
  <si>
    <t>Calculated: Rural hospitals get UC cost, Other Hospitals get an amount equal to % of total cost times remaining pool (Total UC Pool - Non-Hospital - State &amp; Rural Set Aside); physician groups get % to total times physician pool</t>
  </si>
  <si>
    <t>Calculated: If Large Public, ensures payment does not exceed UC cost excluding the IGT amount; If First Pass &gt; Eligible UC Cost - DSH IGT, then First Pass - (UC Cost - DSH IGT), else 0</t>
  </si>
  <si>
    <t>Calculated: If there was a reduction, there are no remaining UC Costs, otherwise UC cost - Large Public IGT - First Pass</t>
  </si>
  <si>
    <t>Calculated: Allocation reductions are distributed based on remaining UC costs as a % to total; (Remaining UC Costs after First Pass)/(Sum of All Remaining UC Costs after First Pass)*(Sum Allocation Reduction for Large Public)</t>
  </si>
  <si>
    <t>Calculated: UC costs remaining after first pass minus second pass allocation</t>
  </si>
  <si>
    <t>Calculated: First pass payment minus initial reduction plus second pass payment</t>
  </si>
  <si>
    <t>Calculated: Payment after Second Pass times State Match</t>
  </si>
  <si>
    <t>From UC Advance</t>
  </si>
  <si>
    <t>Calculated: YTD UC Payments*State FMAP %</t>
  </si>
  <si>
    <t>Placeholder for future years; for now 0</t>
  </si>
  <si>
    <t>Calculated: YTD Payment*State Match</t>
  </si>
  <si>
    <t>Calculated: Total Eligble UC Cost - DSH IGT for Large Public</t>
  </si>
  <si>
    <t>Calculated: State Match * Max Total Payment</t>
  </si>
  <si>
    <t>Calculated: If provider is in State Tab, Max total payment minus YTD UC after Sched 3; otherwise Max total payment minus YTD UC payment</t>
  </si>
  <si>
    <t>Calculated: If in State Tab, max total IGT minus YTD IGT after Sched 3; otherwise, max total IGT minus YTD IGT</t>
  </si>
  <si>
    <t>Payment after Second Pass</t>
  </si>
  <si>
    <t>Calculation: Sum of Pink Columns (Reallocation/Reduction by SDA)</t>
  </si>
  <si>
    <t>Calculation: UC Payment After Second Pass plus Reallocation/Reduction</t>
  </si>
  <si>
    <t xml:space="preserve">Calculation: if in State Tab, Total DY9 Payment minus YTD IGT after Schedule 3; otherwise, Total DY9 Payment minus YTD IGT </t>
  </si>
  <si>
    <t>Calculation: State Match * Final Payment or Recoupment</t>
  </si>
  <si>
    <t>Rural Hospital</t>
  </si>
  <si>
    <t>TXPUC State or Non-State</t>
  </si>
  <si>
    <t>Children's Hospital</t>
  </si>
  <si>
    <t>Included in State Hospital Tab?</t>
  </si>
  <si>
    <t>Medicaid Shortfall with OI and Medicare Payments (Inflated)</t>
  </si>
  <si>
    <t>Total DSH Uninsured Shortfall (Inflated)</t>
  </si>
  <si>
    <t>UC Uninsured Charity Duplicated in DSH Uninsured Shortfall (Inflated)</t>
  </si>
  <si>
    <t>DSH-Only Uninsured Shortfall (Inflated)</t>
  </si>
  <si>
    <t>UC Schedule 3 Total Charity Costs + Non-Covered Services (Inflated)</t>
  </si>
  <si>
    <t>2022 DSH Payment (Assumes Full Funding for Pass 3)</t>
  </si>
  <si>
    <t>DSH Payment Attributable to Charity Care</t>
  </si>
  <si>
    <t>Total Schedule 1: Uninsured Charity Physician &amp; Mid-Level Costs</t>
  </si>
  <si>
    <t>Total Schedule 2: Uninsured Charity Pharmacy Costs</t>
  </si>
  <si>
    <t>Schedule 1 Adjustments</t>
  </si>
  <si>
    <t>Schedule 2 Adjustments</t>
  </si>
  <si>
    <t>Schedule 3 Adjustments</t>
  </si>
  <si>
    <t>Estimated Total Non-S-10 UC Costs (Schedule 1 and 2 and Schedules 1 to 3 Adjustments)</t>
  </si>
  <si>
    <t>§355.8212(2)(a)(iv) adjustment for Urban Public Class One Hospitals (Large Public IGT in DSH)</t>
  </si>
  <si>
    <t>Total Eligible UC Costs (excludes State Schedule 3 Cost &amp; Sched 3 Adj)</t>
  </si>
  <si>
    <t>Hospital and Physician Payment Allocation (First Pass)</t>
  </si>
  <si>
    <t>Initial Allocation Reduction for Large Public (if Payment Exceeds UC Cost w/o DSH IGT)</t>
  </si>
  <si>
    <t>Total UC Costs Remaining After First Pass Allocation</t>
  </si>
  <si>
    <t>Initial Allocation Overage Redistribution (Second Pass)</t>
  </si>
  <si>
    <t>Total UC Costs Remaining After Second Pass Allocation and Redistribution</t>
  </si>
  <si>
    <t>Hospital and Physician Payment Allocation (after Second Pass)</t>
  </si>
  <si>
    <t>Total IGT Required if IGT is Fully Funded in all SDAs</t>
  </si>
  <si>
    <t>YTD UC Payments</t>
  </si>
  <si>
    <t>YTD UC IGT</t>
  </si>
  <si>
    <t>State Hospitals: YTD UC Payments Remaining after Sched 3</t>
  </si>
  <si>
    <t>State Hospitals: YTD UC IGT Remaining after Sched 3</t>
  </si>
  <si>
    <t>Maximum Total Payment (State Hospitals - Non-S-10 Only)</t>
  </si>
  <si>
    <t>Maximum Total IGT Commitment Amount (State Hospitals - Non-S-10 Only)</t>
  </si>
  <si>
    <t>Maximum Final Payment (if IGT is not funded in another SDA)</t>
  </si>
  <si>
    <t>Maximum Final IGT Commitment</t>
  </si>
  <si>
    <t>Final UC IGT Commitment</t>
  </si>
  <si>
    <t>Total  UC IGT for Year by Provider</t>
  </si>
  <si>
    <t>Bexar Pool Reallocation or (Reduction) Based on IGT Survey as Described in 1 TAC 355.8212 (f)(3)</t>
  </si>
  <si>
    <t>Dallas Pool Reallocation or (Reduction) Based on IGT Survey as Described in 1 TAC 355.8212 (f)(3)</t>
  </si>
  <si>
    <t>El Paso Pool Reallocation or (Reduction) Based on IGT Survey as Described in 1 TAC 355.8212 (f)(3)</t>
  </si>
  <si>
    <t>Harris Pool Reallocation or (Reduction) Based on IGT Survey as Described in 1 TAC 355.8212 (f)(3)</t>
  </si>
  <si>
    <t>Hidalgo Pool Reallocation or (Reduction) Based on IGT Survey as Described in 1 TAC 355.8212 (f)(3)</t>
  </si>
  <si>
    <t>Jefferson Pool Reallocation or (Reduction) Based on IGT Survey as Described in 1 TAC 355.8212 (f)(3)</t>
  </si>
  <si>
    <t>Lubbock Pool Reallocation or (Reduction) Based on IGT Survey as Described in 1 TAC 355.8212 (f)(3)</t>
  </si>
  <si>
    <t>MRSA Central Pool Reallocation or (Reduction) Based on IGT Survey as Described in 1 TAC 355.8212 (f)(3)</t>
  </si>
  <si>
    <t>MRSA Northeast Pool Reallocation or (Reduction) Based on IGT Survey as Described in 1 TAC 355.8212 (f)(3)</t>
  </si>
  <si>
    <t>MRSA West Pool Reallocation or (Reduction) Based on IGT Survey as Described in 1 TAC 355.8212 (f)(3)</t>
  </si>
  <si>
    <t>Nueces Pool Reallocation or (Reduction) Based on IGT Survey as Described in 1 TAC 355.8212 (f)(3)</t>
  </si>
  <si>
    <t>Tarrant Pool Reallocation or (Reduction) Based on IGT Survey as Described in 1 TAC 355.8212 (f)(3)</t>
  </si>
  <si>
    <t>Travis Pool Reallocation or (Reduction) Based on IGT Survey as Described in 1 TAC 355.8212 (f)(3)</t>
  </si>
  <si>
    <t>Total Additional Payment or (Payment Reduction)</t>
  </si>
  <si>
    <t>Total DY 11 Payment (State Hospitals - Non-S-10 Only</t>
  </si>
  <si>
    <t>Total DY 11 IGT</t>
  </si>
  <si>
    <t xml:space="preserve">  Final Payment or Recoupment</t>
  </si>
  <si>
    <t>Final IGT Required</t>
  </si>
  <si>
    <t xml:space="preserve">  Final Payment After Accounting for Recoupments</t>
  </si>
  <si>
    <t>Final IGT Required After Accounting for Recoupments</t>
  </si>
  <si>
    <t>Notes</t>
  </si>
  <si>
    <t>IGT Needed from Advance Payment</t>
  </si>
  <si>
    <t>007068203</t>
  </si>
  <si>
    <t>Small Public</t>
  </si>
  <si>
    <t xml:space="preserve"> </t>
  </si>
  <si>
    <t/>
  </si>
  <si>
    <t>Hamilton County Hospital District</t>
  </si>
  <si>
    <t>Hamilton</t>
  </si>
  <si>
    <t>020811801</t>
  </si>
  <si>
    <t>Private</t>
  </si>
  <si>
    <t>CHRISTUS Spohn Hospital Beeville</t>
  </si>
  <si>
    <t>Bee</t>
  </si>
  <si>
    <t>020817501</t>
  </si>
  <si>
    <t>HCA Houston Healthcare Southeast</t>
  </si>
  <si>
    <t>020834001</t>
  </si>
  <si>
    <t>Memorial Hermann Hospital System</t>
  </si>
  <si>
    <t>020841501</t>
  </si>
  <si>
    <t>HCA Houston Healthcare Conroe</t>
  </si>
  <si>
    <t>Montgomery</t>
  </si>
  <si>
    <t>020844901</t>
  </si>
  <si>
    <t>Christus Santa Rosa Medical Center</t>
  </si>
  <si>
    <t>020844903</t>
  </si>
  <si>
    <t>Children's</t>
  </si>
  <si>
    <t>CHRISTUS Santa Rosa Health Care Corporation</t>
  </si>
  <si>
    <t>020908201</t>
  </si>
  <si>
    <t>Texas Health Presbyterian Hospital Dallas</t>
  </si>
  <si>
    <t>020934801</t>
  </si>
  <si>
    <t>Memorial Hermann Memorial City Medical Center</t>
  </si>
  <si>
    <t>020943901</t>
  </si>
  <si>
    <t>Columbia Hospital Medical City Dallas</t>
  </si>
  <si>
    <t>020947001</t>
  </si>
  <si>
    <t>Valley Regional Medical Center</t>
  </si>
  <si>
    <t>Cameron</t>
  </si>
  <si>
    <t>020950401</t>
  </si>
  <si>
    <t>Columbia Medical Center Of Arlington Subsidiary</t>
  </si>
  <si>
    <t>020957901</t>
  </si>
  <si>
    <t>St. David's Round Rock Medical Center</t>
  </si>
  <si>
    <t>Williamson</t>
  </si>
  <si>
    <t>020966001</t>
  </si>
  <si>
    <t>Lake Pointe Operating Company, LLC</t>
  </si>
  <si>
    <t>Rockwall</t>
  </si>
  <si>
    <t>020967802</t>
  </si>
  <si>
    <t>Texas Health Presbyterian Hospital Denton</t>
  </si>
  <si>
    <t>Denton</t>
  </si>
  <si>
    <t>020973601</t>
  </si>
  <si>
    <t>Bay Area Healthcare Group Ltd</t>
  </si>
  <si>
    <t>020976902</t>
  </si>
  <si>
    <t>CHRISTUS St. Michael Health System</t>
  </si>
  <si>
    <t>Bowie</t>
  </si>
  <si>
    <t>020977701</t>
  </si>
  <si>
    <t>Texas Orthopedic Hospital</t>
  </si>
  <si>
    <t>020979302</t>
  </si>
  <si>
    <t>Columbia Plaza Medical Center of Las Colinas</t>
  </si>
  <si>
    <t>020982701</t>
  </si>
  <si>
    <t>Texas Health Presbyterian Hospital Allen</t>
  </si>
  <si>
    <t>Collin</t>
  </si>
  <si>
    <t>020988401</t>
  </si>
  <si>
    <t>Sweeny Community Hospital</t>
  </si>
  <si>
    <t>Brazoria</t>
  </si>
  <si>
    <t>020989201</t>
  </si>
  <si>
    <t>North Runnels County Hospital</t>
  </si>
  <si>
    <t>Runnels</t>
  </si>
  <si>
    <t>020990001</t>
  </si>
  <si>
    <t>Madison St. Joseph Health Center</t>
  </si>
  <si>
    <t>Madison</t>
  </si>
  <si>
    <t>020991801</t>
  </si>
  <si>
    <t>Refugio County Memorial Hospital</t>
  </si>
  <si>
    <t>Refugio</t>
  </si>
  <si>
    <t>020992601</t>
  </si>
  <si>
    <t>Stonewall Memorial Hospital District</t>
  </si>
  <si>
    <t>Stonewall</t>
  </si>
  <si>
    <t>020993401</t>
  </si>
  <si>
    <t>Chambers County Public Hospital District No. 1</t>
  </si>
  <si>
    <t>Chambers</t>
  </si>
  <si>
    <t>021184901</t>
  </si>
  <si>
    <t>Cook Children's Medical Center</t>
  </si>
  <si>
    <t>Hosp - State</t>
  </si>
  <si>
    <t>State/IMD</t>
  </si>
  <si>
    <t>Yes</t>
  </si>
  <si>
    <t>The University Of Texas Health Science Center At Houston</t>
  </si>
  <si>
    <t>021189801</t>
  </si>
  <si>
    <t xml:space="preserve">Private </t>
  </si>
  <si>
    <t>Private IMD</t>
  </si>
  <si>
    <t>Millwood Hospital</t>
  </si>
  <si>
    <t>HHSC (AUSTIN STATE HOSPITAL)</t>
  </si>
  <si>
    <t>HHSC (NORTH TEXAS STATE HOSPITAL WICHITA FALLS)</t>
  </si>
  <si>
    <t>Wichita</t>
  </si>
  <si>
    <t>HHSC (NORTH TEXAS STATE HOSPITAL VERNON)</t>
  </si>
  <si>
    <t>Wilbarger</t>
  </si>
  <si>
    <t>021203701</t>
  </si>
  <si>
    <t>Cypress Creek Hospital Inc</t>
  </si>
  <si>
    <t>HHSC (RIO GRANDE STATE CENTER)</t>
  </si>
  <si>
    <t>021240902</t>
  </si>
  <si>
    <t>Laurel Ridge Treatment Center</t>
  </si>
  <si>
    <t>083290905</t>
  </si>
  <si>
    <t>Bellville Medical Center</t>
  </si>
  <si>
    <t>Austin</t>
  </si>
  <si>
    <t>088189803</t>
  </si>
  <si>
    <t>Throckmorton County Memorial Hospital</t>
  </si>
  <si>
    <t>Throckmorton</t>
  </si>
  <si>
    <t>091770005</t>
  </si>
  <si>
    <t>Concho County Hospital</t>
  </si>
  <si>
    <t>Concho</t>
  </si>
  <si>
    <t>The University of Texas Medical Branch at Galveston</t>
  </si>
  <si>
    <t>Galveston</t>
  </si>
  <si>
    <t>094105602</t>
  </si>
  <si>
    <t>Columbia North Hills Hospital</t>
  </si>
  <si>
    <t>094108002</t>
  </si>
  <si>
    <t>CHRISTUS Mother Frances Hospital - Tyler</t>
  </si>
  <si>
    <t>Smith</t>
  </si>
  <si>
    <t>094109802</t>
  </si>
  <si>
    <t>El Paso Healthcare System, Ltd.</t>
  </si>
  <si>
    <t>094113001</t>
  </si>
  <si>
    <t>McAllen Hospitals LP</t>
  </si>
  <si>
    <t>094117105</t>
  </si>
  <si>
    <t>Hansford County Hospital District</t>
  </si>
  <si>
    <t>Hansford</t>
  </si>
  <si>
    <t>094118902</t>
  </si>
  <si>
    <t>Detar Hospital</t>
  </si>
  <si>
    <t>Victoria</t>
  </si>
  <si>
    <t>094119702</t>
  </si>
  <si>
    <t>Metroplex Adventist Hospital, Inc.</t>
  </si>
  <si>
    <t>Bell</t>
  </si>
  <si>
    <t>094121303</t>
  </si>
  <si>
    <t>Memorial Hospital</t>
  </si>
  <si>
    <t>Gaines</t>
  </si>
  <si>
    <t>094129604</t>
  </si>
  <si>
    <t>Moore County Hospital District</t>
  </si>
  <si>
    <t>Moore</t>
  </si>
  <si>
    <t>094138703</t>
  </si>
  <si>
    <t>Clay County Memorial Hospital</t>
  </si>
  <si>
    <t>Clay</t>
  </si>
  <si>
    <t>094140302</t>
  </si>
  <si>
    <t>Texas Health Presbyterian Hospital Kaufman</t>
  </si>
  <si>
    <t>Kaufman</t>
  </si>
  <si>
    <t>094141105</t>
  </si>
  <si>
    <t>Crosbyton Clinic Hospital</t>
  </si>
  <si>
    <t>Crosby</t>
  </si>
  <si>
    <t>094148602</t>
  </si>
  <si>
    <t>Baptist Hospitals Of Southeast Texas</t>
  </si>
  <si>
    <t>094151004</t>
  </si>
  <si>
    <t>Ascension Seton</t>
  </si>
  <si>
    <t>Burnet</t>
  </si>
  <si>
    <t>094152803</t>
  </si>
  <si>
    <t>Cochran Memorial Hospital</t>
  </si>
  <si>
    <t>Cochran</t>
  </si>
  <si>
    <t>094153604</t>
  </si>
  <si>
    <t>Caldwell</t>
  </si>
  <si>
    <t>094154402</t>
  </si>
  <si>
    <t>Methodist Healthcare System Of San Antonio</t>
  </si>
  <si>
    <t>094160103</t>
  </si>
  <si>
    <t>St. David's Community Hospital</t>
  </si>
  <si>
    <t>094164302</t>
  </si>
  <si>
    <t>Woodland Heights Medical Center</t>
  </si>
  <si>
    <t>Angelina</t>
  </si>
  <si>
    <t>094172602</t>
  </si>
  <si>
    <t>McCamey Hospital</t>
  </si>
  <si>
    <t>Upton</t>
  </si>
  <si>
    <t>094178302</t>
  </si>
  <si>
    <t>Lake Granbury Hospital</t>
  </si>
  <si>
    <t>Hood</t>
  </si>
  <si>
    <t>094180903</t>
  </si>
  <si>
    <t>Lynn County Hospital District</t>
  </si>
  <si>
    <t>Lynn</t>
  </si>
  <si>
    <t>094186602</t>
  </si>
  <si>
    <t>Laredo Regional Medical Center LP</t>
  </si>
  <si>
    <t>Webb</t>
  </si>
  <si>
    <t>094187402</t>
  </si>
  <si>
    <t>HCA Houston Healthcare West</t>
  </si>
  <si>
    <t>094192402</t>
  </si>
  <si>
    <t>Medical Center of Lewisville</t>
  </si>
  <si>
    <t>094193202</t>
  </si>
  <si>
    <t>Columbia Plaza Medical Center of Fort Worth</t>
  </si>
  <si>
    <t>094207002</t>
  </si>
  <si>
    <t>Texas Health Presbyterian Hospital Plano</t>
  </si>
  <si>
    <t>094216103</t>
  </si>
  <si>
    <t>St. David's Healthcare Partnership</t>
  </si>
  <si>
    <t>094219503</t>
  </si>
  <si>
    <t>Methodist Sugar Land Hospital</t>
  </si>
  <si>
    <t>Fort Bend</t>
  </si>
  <si>
    <t>094222903</t>
  </si>
  <si>
    <t>CHRISTUS Spohn Hospital Alice</t>
  </si>
  <si>
    <t>Jim Wells</t>
  </si>
  <si>
    <t>094224503</t>
  </si>
  <si>
    <t>Big Bend Regional Medical Center</t>
  </si>
  <si>
    <t>Brewster</t>
  </si>
  <si>
    <t>094353202</t>
  </si>
  <si>
    <t>Christus Health ARK LA TEX-Christus St Michael REH</t>
  </si>
  <si>
    <t>094382101</t>
  </si>
  <si>
    <t>109588703</t>
  </si>
  <si>
    <t>Hemphill County Hospital District</t>
  </si>
  <si>
    <t>Hemphill</t>
  </si>
  <si>
    <t>HHSC (WACO CENTER FOR YOUTH)</t>
  </si>
  <si>
    <t>McLennan</t>
  </si>
  <si>
    <t>110803703</t>
  </si>
  <si>
    <t>Fort Duncan Regional Medical Center</t>
  </si>
  <si>
    <t>Maverick</t>
  </si>
  <si>
    <t>110839103</t>
  </si>
  <si>
    <t>Longview Regional Medical Center</t>
  </si>
  <si>
    <t>Gregg</t>
  </si>
  <si>
    <t>110856504</t>
  </si>
  <si>
    <t>Olney Hamilton Hospital District</t>
  </si>
  <si>
    <t>Young</t>
  </si>
  <si>
    <t>111829102</t>
  </si>
  <si>
    <t>Ascension Providence</t>
  </si>
  <si>
    <t>111905902</t>
  </si>
  <si>
    <t>Columbia Medical Center Of Denton</t>
  </si>
  <si>
    <t>111915801</t>
  </si>
  <si>
    <t>Parkview Regional Hospital</t>
  </si>
  <si>
    <t>Limestone</t>
  </si>
  <si>
    <t>112667403</t>
  </si>
  <si>
    <t>CHRISTUS Good Shepherd Health System</t>
  </si>
  <si>
    <t>112671602</t>
  </si>
  <si>
    <t>The Community Hospital of Brazosport</t>
  </si>
  <si>
    <t>The University Of Texas Md Anderson Cancer Center</t>
  </si>
  <si>
    <t>112673204</t>
  </si>
  <si>
    <t>Yoakum Community Hospital</t>
  </si>
  <si>
    <t>Lavaca</t>
  </si>
  <si>
    <t>112677302</t>
  </si>
  <si>
    <t>Texas Health Harris Methodist Hospital Fort Worth</t>
  </si>
  <si>
    <t>112679902</t>
  </si>
  <si>
    <t>Mission Hospital, Inc.</t>
  </si>
  <si>
    <t>112684904</t>
  </si>
  <si>
    <t>Reeves County Hospital District</t>
  </si>
  <si>
    <t>Reeves</t>
  </si>
  <si>
    <t>112688004</t>
  </si>
  <si>
    <t>Frio Hospital Association</t>
  </si>
  <si>
    <t>Frio</t>
  </si>
  <si>
    <t>112692202</t>
  </si>
  <si>
    <t>Fisher County Hospital District</t>
  </si>
  <si>
    <t>Fisher</t>
  </si>
  <si>
    <t>112697102</t>
  </si>
  <si>
    <t>Memorial Hospital of Polk County</t>
  </si>
  <si>
    <t>Polk</t>
  </si>
  <si>
    <t>112698903</t>
  </si>
  <si>
    <t>Columbia Medical Center of McKinney</t>
  </si>
  <si>
    <t>112701102</t>
  </si>
  <si>
    <t>Navarro Regional Hospital</t>
  </si>
  <si>
    <t>Navarro</t>
  </si>
  <si>
    <t>112702904</t>
  </si>
  <si>
    <t>Haskell County Hospital District</t>
  </si>
  <si>
    <t>Haskell</t>
  </si>
  <si>
    <t>112704504</t>
  </si>
  <si>
    <t>Ochiltree County Hospital District</t>
  </si>
  <si>
    <t>Ochiltree</t>
  </si>
  <si>
    <t>112706003</t>
  </si>
  <si>
    <t>Jasper Memorial Hospital</t>
  </si>
  <si>
    <t>Jasper</t>
  </si>
  <si>
    <t>112707808</t>
  </si>
  <si>
    <t>Wilbarger County Hospital District</t>
  </si>
  <si>
    <t>112711003</t>
  </si>
  <si>
    <t>Odessa Regional Medical Center</t>
  </si>
  <si>
    <t>Ector</t>
  </si>
  <si>
    <t>112712802</t>
  </si>
  <si>
    <t>The Woman's Hospital of Texas</t>
  </si>
  <si>
    <t>112716902</t>
  </si>
  <si>
    <t>Columbia Rio Grande Healthcare</t>
  </si>
  <si>
    <t>112717702</t>
  </si>
  <si>
    <t>St Davids South Austin Medical Center</t>
  </si>
  <si>
    <t>112724302</t>
  </si>
  <si>
    <t>HCA Houston Healthcare Kingwood</t>
  </si>
  <si>
    <t>112725003</t>
  </si>
  <si>
    <t>Burleson St. Joseph Health Center</t>
  </si>
  <si>
    <t>Burleson</t>
  </si>
  <si>
    <t>112728403</t>
  </si>
  <si>
    <t>General Hospital</t>
  </si>
  <si>
    <t>Pecos</t>
  </si>
  <si>
    <t>112742503</t>
  </si>
  <si>
    <t>Clarity Child Guidance Center</t>
  </si>
  <si>
    <t>112745802</t>
  </si>
  <si>
    <t>River Crest Hospital</t>
  </si>
  <si>
    <t>Tom Green</t>
  </si>
  <si>
    <t>112746602</t>
  </si>
  <si>
    <t>Glen Oaks Hospital</t>
  </si>
  <si>
    <t>Hunt</t>
  </si>
  <si>
    <t>HHSC (EL PASO PSYCHIATRIC CENTER)</t>
  </si>
  <si>
    <t>119874904</t>
  </si>
  <si>
    <t>Jack County Hospital District</t>
  </si>
  <si>
    <t>Jack</t>
  </si>
  <si>
    <t>119877204</t>
  </si>
  <si>
    <t>Val Verde Hospital Corporation</t>
  </si>
  <si>
    <t>Val Verde</t>
  </si>
  <si>
    <t>120726804</t>
  </si>
  <si>
    <t>Texas Health Harris Methodist Hospital Southwest</t>
  </si>
  <si>
    <t>120745806</t>
  </si>
  <si>
    <t>Muenster Hospital District</t>
  </si>
  <si>
    <t>Cooke</t>
  </si>
  <si>
    <t>121053605</t>
  </si>
  <si>
    <t>Knox County Hospital District</t>
  </si>
  <si>
    <t>Knox</t>
  </si>
  <si>
    <t>121692107</t>
  </si>
  <si>
    <t>Hardeman County Memorial Hospital</t>
  </si>
  <si>
    <t>Hardeman</t>
  </si>
  <si>
    <t>121775403</t>
  </si>
  <si>
    <t>CHRISTUS Spohn Hospital Corpus Christi</t>
  </si>
  <si>
    <t>121776205</t>
  </si>
  <si>
    <t>Baylor Medical Center at Irving</t>
  </si>
  <si>
    <t>121781205</t>
  </si>
  <si>
    <t>Sutton County Hospital District</t>
  </si>
  <si>
    <t>Sutton</t>
  </si>
  <si>
    <t>121782009</t>
  </si>
  <si>
    <t>Uvalde County Hospital Authority</t>
  </si>
  <si>
    <t>Uvalde</t>
  </si>
  <si>
    <t>121785303</t>
  </si>
  <si>
    <t>Gonzales Healthcare Systems</t>
  </si>
  <si>
    <t>Gonzales</t>
  </si>
  <si>
    <t>121787905</t>
  </si>
  <si>
    <t>North Wheeler County Hospital District</t>
  </si>
  <si>
    <t>Wheeler</t>
  </si>
  <si>
    <t>121794503</t>
  </si>
  <si>
    <t>Texas Health Harris Methodist Hospital Stephenvill</t>
  </si>
  <si>
    <t>Erath</t>
  </si>
  <si>
    <t>121799406</t>
  </si>
  <si>
    <t>Rankin County Hospital District</t>
  </si>
  <si>
    <t>121806703</t>
  </si>
  <si>
    <t>Reagan Hospital District</t>
  </si>
  <si>
    <t>Reagan</t>
  </si>
  <si>
    <t>121807504</t>
  </si>
  <si>
    <t>HCA Houston Healthcare Clear Lake</t>
  </si>
  <si>
    <t>121808305</t>
  </si>
  <si>
    <t>Jackson County Hospital District</t>
  </si>
  <si>
    <t>Jackson</t>
  </si>
  <si>
    <t>121816602</t>
  </si>
  <si>
    <t>Palestine Regional Medical Center</t>
  </si>
  <si>
    <t>Anderson</t>
  </si>
  <si>
    <t>121822403</t>
  </si>
  <si>
    <t>Ennis Regional Medical Center</t>
  </si>
  <si>
    <t>Ellis</t>
  </si>
  <si>
    <t>121829905</t>
  </si>
  <si>
    <t>West Oak Hospital Inc</t>
  </si>
  <si>
    <t>126667806</t>
  </si>
  <si>
    <t>Lockney General Hospital District</t>
  </si>
  <si>
    <t>Floyd</t>
  </si>
  <si>
    <t>126675104</t>
  </si>
  <si>
    <t>Large Public</t>
  </si>
  <si>
    <t>Tarrant County Hospital District</t>
  </si>
  <si>
    <t>126679303</t>
  </si>
  <si>
    <t>Methodist Hospitals of Dallas</t>
  </si>
  <si>
    <t>126840107</t>
  </si>
  <si>
    <t>Preferred Hospital Leasing Inc</t>
  </si>
  <si>
    <t>Collingsworth</t>
  </si>
  <si>
    <t>127262703</t>
  </si>
  <si>
    <t>Baylor Regional Medical Center at Grapevine</t>
  </si>
  <si>
    <t>127263503</t>
  </si>
  <si>
    <t>Methodist Hospital Plainview</t>
  </si>
  <si>
    <t>Hale</t>
  </si>
  <si>
    <t>127267603</t>
  </si>
  <si>
    <t>St. Joseph Regional Health Center</t>
  </si>
  <si>
    <t>Brazos</t>
  </si>
  <si>
    <t>University Of Texas Health Science Center At Tyler</t>
  </si>
  <si>
    <t>127294003</t>
  </si>
  <si>
    <t>Sid Peterson Memorial Hospital</t>
  </si>
  <si>
    <t>Kerr</t>
  </si>
  <si>
    <t>127295703</t>
  </si>
  <si>
    <t>Dallas County Hospital District</t>
  </si>
  <si>
    <t>127298107</t>
  </si>
  <si>
    <t>Andrews County Hospital District</t>
  </si>
  <si>
    <t>Andrews</t>
  </si>
  <si>
    <t>127300503</t>
  </si>
  <si>
    <t xml:space="preserve">CHI St. Luke's Health Baylor College of Medicine </t>
  </si>
  <si>
    <t>127301306</t>
  </si>
  <si>
    <t>CHRISTUS Mother Frances Hospital - Winnsboro</t>
  </si>
  <si>
    <t>Wood</t>
  </si>
  <si>
    <t>127303903</t>
  </si>
  <si>
    <t>OakBend Medical Center</t>
  </si>
  <si>
    <t>127304703</t>
  </si>
  <si>
    <t>Texas Health Harris Methodist Hospital Azle</t>
  </si>
  <si>
    <t>127310404</t>
  </si>
  <si>
    <t>Nocona General Hospital</t>
  </si>
  <si>
    <t>Montague</t>
  </si>
  <si>
    <t>127311205</t>
  </si>
  <si>
    <t>Columbia Medical Center of Plano</t>
  </si>
  <si>
    <t>127313803</t>
  </si>
  <si>
    <t xml:space="preserve">Lamb County Hospital </t>
  </si>
  <si>
    <t>Lamb</t>
  </si>
  <si>
    <t>127319504</t>
  </si>
  <si>
    <t>Methodist Childrens Hospital</t>
  </si>
  <si>
    <t>TDSHS-Kerrville State Hospital</t>
  </si>
  <si>
    <t>130089906</t>
  </si>
  <si>
    <t>Ballinger Memorial Hospital</t>
  </si>
  <si>
    <t>130601104</t>
  </si>
  <si>
    <t>Tenet Hospitals LTD. Providence Memorial</t>
  </si>
  <si>
    <t>130605205</t>
  </si>
  <si>
    <t>Nacogdoches Medical Center</t>
  </si>
  <si>
    <t>Nacogdoches</t>
  </si>
  <si>
    <t>130606006</t>
  </si>
  <si>
    <t>Decatur Hospital Authority</t>
  </si>
  <si>
    <t>Wise</t>
  </si>
  <si>
    <t>130614405</t>
  </si>
  <si>
    <t>Texas Health Arlington Memorial Hospital</t>
  </si>
  <si>
    <t>130616909</t>
  </si>
  <si>
    <t>Pecos County Memorial Hosptal</t>
  </si>
  <si>
    <t>130618504</t>
  </si>
  <si>
    <t>Terry Memorial Hospital District</t>
  </si>
  <si>
    <t>Terry</t>
  </si>
  <si>
    <t>130734007</t>
  </si>
  <si>
    <t>Memorial Medical Center San Augustine</t>
  </si>
  <si>
    <t>San Augustine</t>
  </si>
  <si>
    <t>130826407</t>
  </si>
  <si>
    <t>Dallam Hartley Counties Hospital District</t>
  </si>
  <si>
    <t>Dallam</t>
  </si>
  <si>
    <t>130959304</t>
  </si>
  <si>
    <t>Matagorda County Hospital District</t>
  </si>
  <si>
    <t>Matagorda</t>
  </si>
  <si>
    <t>131030203</t>
  </si>
  <si>
    <t>Nacogdoches County Hospital District</t>
  </si>
  <si>
    <t>131036903</t>
  </si>
  <si>
    <t>Texas Health Harris Methodist Hospital Cleburne</t>
  </si>
  <si>
    <t>Johnson</t>
  </si>
  <si>
    <t>131038504</t>
  </si>
  <si>
    <t>Hunt Regional Medical Center</t>
  </si>
  <si>
    <t>132812205</t>
  </si>
  <si>
    <t>Driscoll Children's Hospital</t>
  </si>
  <si>
    <t>133244705</t>
  </si>
  <si>
    <t>Nolan County Hospital District</t>
  </si>
  <si>
    <t>Nolan</t>
  </si>
  <si>
    <t>133245406</t>
  </si>
  <si>
    <t>Tenet Hospitals LTD. Providence Sierra</t>
  </si>
  <si>
    <t>133250406</t>
  </si>
  <si>
    <t>Childress County Hospital District</t>
  </si>
  <si>
    <t>Childress</t>
  </si>
  <si>
    <t>133252009</t>
  </si>
  <si>
    <t>NHCI of Hillsboro, Inc</t>
  </si>
  <si>
    <t>Hill</t>
  </si>
  <si>
    <t>Texas Center for Infectious Diseases</t>
  </si>
  <si>
    <t>133258705</t>
  </si>
  <si>
    <t>Methodist Hospital Levelland</t>
  </si>
  <si>
    <t>Hockley</t>
  </si>
  <si>
    <t>HHSC (RUSK STATE HOSPITAL)</t>
  </si>
  <si>
    <t>Cherokee</t>
  </si>
  <si>
    <t>133355104</t>
  </si>
  <si>
    <t>Harris County Hospital District</t>
  </si>
  <si>
    <t>133367602</t>
  </si>
  <si>
    <t>Falls Community Hospital and Clinic</t>
  </si>
  <si>
    <t>Falls</t>
  </si>
  <si>
    <t>133544006</t>
  </si>
  <si>
    <t>Deaf Smith County Hospital District</t>
  </si>
  <si>
    <t>Deaf Smith</t>
  </si>
  <si>
    <t>134772611</t>
  </si>
  <si>
    <t>Coryell County Memorial Hospital Authority</t>
  </si>
  <si>
    <t>Coryell</t>
  </si>
  <si>
    <t>135032405</t>
  </si>
  <si>
    <t>Methodist Hospitals Of Dallas</t>
  </si>
  <si>
    <t>135033210</t>
  </si>
  <si>
    <t>Columbus Community Hospital</t>
  </si>
  <si>
    <t>Colorado</t>
  </si>
  <si>
    <t>135034009</t>
  </si>
  <si>
    <t>Electra Hospital District</t>
  </si>
  <si>
    <t>135035706</t>
  </si>
  <si>
    <t>Knapp Medical Center</t>
  </si>
  <si>
    <t>135036506</t>
  </si>
  <si>
    <t>Baylor All Saints Medical Center</t>
  </si>
  <si>
    <t>135151206</t>
  </si>
  <si>
    <t>Wilson County Memorial Hospital District</t>
  </si>
  <si>
    <t>Wilson</t>
  </si>
  <si>
    <t>135223905</t>
  </si>
  <si>
    <t>Baylor Medical Center at Waxahachie</t>
  </si>
  <si>
    <t>135225404</t>
  </si>
  <si>
    <t>135226205</t>
  </si>
  <si>
    <t>Scott &amp; White Hospital - Brenham</t>
  </si>
  <si>
    <t>Washington</t>
  </si>
  <si>
    <t>135233809</t>
  </si>
  <si>
    <t>Lavaca Hospital District</t>
  </si>
  <si>
    <t>135235306</t>
  </si>
  <si>
    <t>Ector County Hospital District</t>
  </si>
  <si>
    <t>135237906</t>
  </si>
  <si>
    <t>United Regional Health Care System, Inc.</t>
  </si>
  <si>
    <t>136141205</t>
  </si>
  <si>
    <t>Bexar County Hospital District</t>
  </si>
  <si>
    <t>136142011</t>
  </si>
  <si>
    <t>Castro County Hospital District</t>
  </si>
  <si>
    <t>Castro</t>
  </si>
  <si>
    <t>136143806</t>
  </si>
  <si>
    <t xml:space="preserve">Midland County Hospital District </t>
  </si>
  <si>
    <t>Midland</t>
  </si>
  <si>
    <t>136145310</t>
  </si>
  <si>
    <t>Martin County Hospital District</t>
  </si>
  <si>
    <t>Martin</t>
  </si>
  <si>
    <t>136325111</t>
  </si>
  <si>
    <t>Mitchell County Hospital District</t>
  </si>
  <si>
    <t>Mitchell</t>
  </si>
  <si>
    <t>136326908</t>
  </si>
  <si>
    <t>Texas Health Harris Methodist Hospital Hurst-Eules</t>
  </si>
  <si>
    <t>136327710</t>
  </si>
  <si>
    <t>Scott &amp; White Hospital - Taylor</t>
  </si>
  <si>
    <t>136330112</t>
  </si>
  <si>
    <t>Scurry County Hospital District</t>
  </si>
  <si>
    <t>Scurry</t>
  </si>
  <si>
    <t>136331910</t>
  </si>
  <si>
    <t>County of Ward</t>
  </si>
  <si>
    <t>Ward</t>
  </si>
  <si>
    <t>136332705</t>
  </si>
  <si>
    <t>Starr County Hospital District</t>
  </si>
  <si>
    <t>Starr</t>
  </si>
  <si>
    <t>136381405</t>
  </si>
  <si>
    <t>Tyler County Hospital</t>
  </si>
  <si>
    <t>Tyler</t>
  </si>
  <si>
    <t>136412710</t>
  </si>
  <si>
    <t>Karnes County Hospital District</t>
  </si>
  <si>
    <t>Karnes</t>
  </si>
  <si>
    <t>136430906</t>
  </si>
  <si>
    <t>Hill Country Memorial Hospital</t>
  </si>
  <si>
    <t>Gillespie</t>
  </si>
  <si>
    <t>136436606</t>
  </si>
  <si>
    <t>CHRISTUS Spohn Kleberg</t>
  </si>
  <si>
    <t>Kleberg</t>
  </si>
  <si>
    <t>136491104</t>
  </si>
  <si>
    <t>Texas Vista Medical Center</t>
  </si>
  <si>
    <t>136492909</t>
  </si>
  <si>
    <t>Sunrise Canyon Hospital</t>
  </si>
  <si>
    <t>137074409</t>
  </si>
  <si>
    <t>Eastland Memorial Hospital District</t>
  </si>
  <si>
    <t>Eastland</t>
  </si>
  <si>
    <t>137226005</t>
  </si>
  <si>
    <t>Shannon Medical Center</t>
  </si>
  <si>
    <t>137227806</t>
  </si>
  <si>
    <t>Yoakum County Hospital</t>
  </si>
  <si>
    <t>Yoakum</t>
  </si>
  <si>
    <t>137245009</t>
  </si>
  <si>
    <t>Northwest Texas Health Care System</t>
  </si>
  <si>
    <t>Potter</t>
  </si>
  <si>
    <t>137249208</t>
  </si>
  <si>
    <t>Scott &amp; White Memorial Hospital</t>
  </si>
  <si>
    <t>137265806</t>
  </si>
  <si>
    <t>137343308</t>
  </si>
  <si>
    <t>Parmer County Community Hospital</t>
  </si>
  <si>
    <t>Parmer</t>
  </si>
  <si>
    <t>137805107</t>
  </si>
  <si>
    <t>Memorial Hermann Texas Medical Center</t>
  </si>
  <si>
    <t>137907508</t>
  </si>
  <si>
    <t>Citizens Medical Center</t>
  </si>
  <si>
    <t>137909111</t>
  </si>
  <si>
    <t>Memorial Medical Center</t>
  </si>
  <si>
    <t>Calhoun</t>
  </si>
  <si>
    <t>HHSC (BIG SPRING STATE HOSPITAL)</t>
  </si>
  <si>
    <t>Howard</t>
  </si>
  <si>
    <t>HHSC (TERRELL STATE HOSPITAL)</t>
  </si>
  <si>
    <t>137949705</t>
  </si>
  <si>
    <t>The Methodist Hospital</t>
  </si>
  <si>
    <t>137962006</t>
  </si>
  <si>
    <t>San Jacinto Methodist Hospital</t>
  </si>
  <si>
    <t>137999206</t>
  </si>
  <si>
    <t>Lubbock County Hospital District</t>
  </si>
  <si>
    <t>138296208</t>
  </si>
  <si>
    <t>CHRISTUS Health Southeast Texas</t>
  </si>
  <si>
    <t>138353107</t>
  </si>
  <si>
    <t>Baylor County Hospital District</t>
  </si>
  <si>
    <t>Baylor</t>
  </si>
  <si>
    <t>138411709</t>
  </si>
  <si>
    <t>Guadalupe Regional Medical Center</t>
  </si>
  <si>
    <t>Guadalupe</t>
  </si>
  <si>
    <t>138644310</t>
  </si>
  <si>
    <t>Hendrick Medical Center</t>
  </si>
  <si>
    <t>Taylor</t>
  </si>
  <si>
    <t>HHSC (SAN ANTONIO STATE HOSPITAL)</t>
  </si>
  <si>
    <t>138910807</t>
  </si>
  <si>
    <t>Children's Medical Center Dallas</t>
  </si>
  <si>
    <t>138911619</t>
  </si>
  <si>
    <t>Cuero Regional Hospital</t>
  </si>
  <si>
    <t>DeWitt</t>
  </si>
  <si>
    <t>138913209</t>
  </si>
  <si>
    <t>Titus County Memorial Hospital District</t>
  </si>
  <si>
    <t>Titus</t>
  </si>
  <si>
    <t>138950412</t>
  </si>
  <si>
    <t>Palo Pinto County Hospital District</t>
  </si>
  <si>
    <t>Palo Pinto</t>
  </si>
  <si>
    <t>138951211</t>
  </si>
  <si>
    <t>El Paso County Hospital District</t>
  </si>
  <si>
    <t>138962907</t>
  </si>
  <si>
    <t>Hillcrest Baptist Medical Center</t>
  </si>
  <si>
    <t>139135109</t>
  </si>
  <si>
    <t>Texas Children's Hospital</t>
  </si>
  <si>
    <t>139172412</t>
  </si>
  <si>
    <t>Memorial Medical Center of East Texas</t>
  </si>
  <si>
    <t>139485012</t>
  </si>
  <si>
    <t>Baylor University Medical Center</t>
  </si>
  <si>
    <t>140713201</t>
  </si>
  <si>
    <t>Methodist Willowbrook Hospital</t>
  </si>
  <si>
    <t>140714001</t>
  </si>
  <si>
    <t>South Limestone Hospital District</t>
  </si>
  <si>
    <t>141858401</t>
  </si>
  <si>
    <t>CHRISTUS Mother Frances Hospital - Jacksonville</t>
  </si>
  <si>
    <t>146021401</t>
  </si>
  <si>
    <t>Memorial Hermann Sugar Land Hospital</t>
  </si>
  <si>
    <t>146509801</t>
  </si>
  <si>
    <t>Memorial Hermann Katy Hospital</t>
  </si>
  <si>
    <t>147918003</t>
  </si>
  <si>
    <t>Grimes</t>
  </si>
  <si>
    <t>148698701</t>
  </si>
  <si>
    <t>Winnie Community Hospital</t>
  </si>
  <si>
    <t>149073203</t>
  </si>
  <si>
    <t>Metroplex Adventist Hospital, Inc</t>
  </si>
  <si>
    <t>Lampasas</t>
  </si>
  <si>
    <t>151691601</t>
  </si>
  <si>
    <t>Baylor Heart &amp; Vascular Center LLP</t>
  </si>
  <si>
    <t>152686501</t>
  </si>
  <si>
    <t>Palacios Community Medical Center</t>
  </si>
  <si>
    <t>154504801</t>
  </si>
  <si>
    <t>Harlingen Medical Center</t>
  </si>
  <si>
    <t>158977201</t>
  </si>
  <si>
    <t>158980601</t>
  </si>
  <si>
    <t>159156201</t>
  </si>
  <si>
    <t>VHS San Antonio Partners LLC</t>
  </si>
  <si>
    <t>160630301</t>
  </si>
  <si>
    <t>St. Luke's Community Health Services</t>
  </si>
  <si>
    <t>160709501</t>
  </si>
  <si>
    <t>Doctors Hospital At Renaissance</t>
  </si>
  <si>
    <t>162033801</t>
  </si>
  <si>
    <t>Laredo Medical Center</t>
  </si>
  <si>
    <t>163111101</t>
  </si>
  <si>
    <t>Paris Regional Medical Center</t>
  </si>
  <si>
    <t>Lamar</t>
  </si>
  <si>
    <t>163219201</t>
  </si>
  <si>
    <t>Lubbock Heart Hospital</t>
  </si>
  <si>
    <t>163925401</t>
  </si>
  <si>
    <t>The Medical Center of Southeast Texas</t>
  </si>
  <si>
    <t>171848805</t>
  </si>
  <si>
    <t>Baylor Regional Medical Center at Plano</t>
  </si>
  <si>
    <t>University of Texas Southwestern Medical Center</t>
  </si>
  <si>
    <t>175965601</t>
  </si>
  <si>
    <t>SHC KPH LP</t>
  </si>
  <si>
    <t>176354201</t>
  </si>
  <si>
    <t>Preferred Hospital Leasing Van Horn Inc</t>
  </si>
  <si>
    <t>Culberson</t>
  </si>
  <si>
    <t>176692501</t>
  </si>
  <si>
    <t>St. Mark's Medical Center</t>
  </si>
  <si>
    <t>Fayette</t>
  </si>
  <si>
    <t>177658501</t>
  </si>
  <si>
    <t>University Behavioral Health Of Denton</t>
  </si>
  <si>
    <t>179272301</t>
  </si>
  <si>
    <t>Preferred Hospital Leasing Eldorado Inc</t>
  </si>
  <si>
    <t>Schleicher</t>
  </si>
  <si>
    <t>181706601</t>
  </si>
  <si>
    <t>St. Joseph Medical Center</t>
  </si>
  <si>
    <t>184076101</t>
  </si>
  <si>
    <t>Hickory Trails</t>
  </si>
  <si>
    <t>185556101</t>
  </si>
  <si>
    <t>Texas Heart Hospital of the Southwest LLP</t>
  </si>
  <si>
    <t>186221101</t>
  </si>
  <si>
    <t>186599001</t>
  </si>
  <si>
    <t>189947801</t>
  </si>
  <si>
    <t>Dawson County Hospital District</t>
  </si>
  <si>
    <t>Dawson</t>
  </si>
  <si>
    <t>190123303</t>
  </si>
  <si>
    <t>Scott &amp; White Hospital - Round Rock</t>
  </si>
  <si>
    <t>191968002</t>
  </si>
  <si>
    <t>University BH of El Paso</t>
  </si>
  <si>
    <t>192622201</t>
  </si>
  <si>
    <t>Cedar Park Regional Medical Center</t>
  </si>
  <si>
    <t>192751901</t>
  </si>
  <si>
    <t>Memorial Hermann Northeast</t>
  </si>
  <si>
    <t>192996002</t>
  </si>
  <si>
    <t>Austin Laskes Hospital</t>
  </si>
  <si>
    <t>193399601</t>
  </si>
  <si>
    <t>Rockwall Regional Hospital</t>
  </si>
  <si>
    <t>193867201</t>
  </si>
  <si>
    <t>HCA Houston Healthcare Northwest</t>
  </si>
  <si>
    <t>194106401</t>
  </si>
  <si>
    <t>194997601</t>
  </si>
  <si>
    <t>UHS of Texoma</t>
  </si>
  <si>
    <t>Grayson</t>
  </si>
  <si>
    <t>196829901</t>
  </si>
  <si>
    <t>Tenet Hospitals LTD. Providence East</t>
  </si>
  <si>
    <t>197063401</t>
  </si>
  <si>
    <t>GPCH LLC</t>
  </si>
  <si>
    <t>Hutchinson</t>
  </si>
  <si>
    <t>199602701</t>
  </si>
  <si>
    <t>Crane County Hospital District</t>
  </si>
  <si>
    <t>Crane</t>
  </si>
  <si>
    <t>200683501</t>
  </si>
  <si>
    <t>Preferred Hospital Leasing Hemphill Inc</t>
  </si>
  <si>
    <t>Sabine</t>
  </si>
  <si>
    <t>204254101</t>
  </si>
  <si>
    <t>Methodist Stone Oak Hospital</t>
  </si>
  <si>
    <t>206083201</t>
  </si>
  <si>
    <t>Preferred Hospital Leasing Junction Inc</t>
  </si>
  <si>
    <t>Kimble</t>
  </si>
  <si>
    <t>207311601</t>
  </si>
  <si>
    <t>Wadley Regional Medical Center</t>
  </si>
  <si>
    <t>208013701</t>
  </si>
  <si>
    <t>Hays</t>
  </si>
  <si>
    <t>209345201</t>
  </si>
  <si>
    <t>209719801</t>
  </si>
  <si>
    <t>Texas Regional Medical Center</t>
  </si>
  <si>
    <t>210274101</t>
  </si>
  <si>
    <t>St Lukes Lakeside Hospital</t>
  </si>
  <si>
    <t>212060201</t>
  </si>
  <si>
    <t>CAHRMC LLC</t>
  </si>
  <si>
    <t>212140201</t>
  </si>
  <si>
    <t>Medina County Hospital District</t>
  </si>
  <si>
    <t>Medina</t>
  </si>
  <si>
    <t>216719901</t>
  </si>
  <si>
    <t>Somervell County Hospital District</t>
  </si>
  <si>
    <t>Somervell</t>
  </si>
  <si>
    <t>217547301</t>
  </si>
  <si>
    <t>Behavioral Health Bellaire</t>
  </si>
  <si>
    <t>217744601</t>
  </si>
  <si>
    <t>Flower Mound Hospital Partners</t>
  </si>
  <si>
    <t>217884004</t>
  </si>
  <si>
    <t>Dimmit Regional Hospital</t>
  </si>
  <si>
    <t>Dimmit</t>
  </si>
  <si>
    <t>219336901</t>
  </si>
  <si>
    <t>Dallas Medical Center</t>
  </si>
  <si>
    <t>220351501</t>
  </si>
  <si>
    <t>Sherman Grayson Hospital, LLC</t>
  </si>
  <si>
    <t>220798704</t>
  </si>
  <si>
    <t>SCOTT &amp; WHITE HOSPITAL - LLANO</t>
  </si>
  <si>
    <t>Llano</t>
  </si>
  <si>
    <t>281028501</t>
  </si>
  <si>
    <t>Methodist West Houston Hospital</t>
  </si>
  <si>
    <t>281219001</t>
  </si>
  <si>
    <t>St Lukes Patients Medical Center</t>
  </si>
  <si>
    <t>281406304</t>
  </si>
  <si>
    <t>Comanche County Medical Center</t>
  </si>
  <si>
    <t>Comanche</t>
  </si>
  <si>
    <t>281514401</t>
  </si>
  <si>
    <t>Lubbock Heritage Hospital LLC</t>
  </si>
  <si>
    <t>283280001</t>
  </si>
  <si>
    <t>Mayhill Hospital</t>
  </si>
  <si>
    <t>284333604</t>
  </si>
  <si>
    <t>Liberty County Hospital District No 1</t>
  </si>
  <si>
    <t>Liberty</t>
  </si>
  <si>
    <t>286326801</t>
  </si>
  <si>
    <t>Bastrop</t>
  </si>
  <si>
    <t>291854201</t>
  </si>
  <si>
    <t>El Paso Children's Hospital Corporation</t>
  </si>
  <si>
    <t>292096901</t>
  </si>
  <si>
    <t>Valley Baptist Medical Center Harlingen</t>
  </si>
  <si>
    <t>294543801</t>
  </si>
  <si>
    <t>Valley Baptist Medical Center Brownsville</t>
  </si>
  <si>
    <t>298019501</t>
  </si>
  <si>
    <t>St Lukes Sugar Land Hospital</t>
  </si>
  <si>
    <t>308032701</t>
  </si>
  <si>
    <t>Prime Healthcare Services Pampa LLC</t>
  </si>
  <si>
    <t>Gray</t>
  </si>
  <si>
    <t>311054601</t>
  </si>
  <si>
    <t>El Campo Memorial Hospital</t>
  </si>
  <si>
    <t>Wharton</t>
  </si>
  <si>
    <t>312239201</t>
  </si>
  <si>
    <t>HH Kileen Health Systems, LLC</t>
  </si>
  <si>
    <t>314080801</t>
  </si>
  <si>
    <t>Texas Health Huguley Inc</t>
  </si>
  <si>
    <t>314161601</t>
  </si>
  <si>
    <t>Baylor Medical Centers at Garland and McKinney</t>
  </si>
  <si>
    <t>315440301</t>
  </si>
  <si>
    <t>Texas Scottish Rite Hospital for Children</t>
  </si>
  <si>
    <t>316076401</t>
  </si>
  <si>
    <t>Swisher Memorial Healthcare System</t>
  </si>
  <si>
    <t>Swisher</t>
  </si>
  <si>
    <t>316296801</t>
  </si>
  <si>
    <t>Texas Health Harris Methodist Hospital Alliance</t>
  </si>
  <si>
    <t>316360201</t>
  </si>
  <si>
    <t>Preferred Hospital Leasing Coleman Inc</t>
  </si>
  <si>
    <t>Coleman</t>
  </si>
  <si>
    <t>322879301</t>
  </si>
  <si>
    <t>Baptist St. Anthony's Hospital</t>
  </si>
  <si>
    <t>322916301</t>
  </si>
  <si>
    <t>Heart Of Texas Healthcare System</t>
  </si>
  <si>
    <t>McCulloch</t>
  </si>
  <si>
    <t>326725404</t>
  </si>
  <si>
    <t>Scott &amp; White Hospital - College Station</t>
  </si>
  <si>
    <t>330388501</t>
  </si>
  <si>
    <t xml:space="preserve">THHBP Management Company LLC </t>
  </si>
  <si>
    <t>330811601</t>
  </si>
  <si>
    <t>Fannin County Hospital Authority</t>
  </si>
  <si>
    <t>Fannin</t>
  </si>
  <si>
    <t>333086201</t>
  </si>
  <si>
    <t>Austin Oaks Hospital</t>
  </si>
  <si>
    <t>333289201</t>
  </si>
  <si>
    <t>Dallas Behavioral Healthcare Hospital, LLC</t>
  </si>
  <si>
    <t>336478801</t>
  </si>
  <si>
    <t>Houston Methodist St John Hospital</t>
  </si>
  <si>
    <t>336658501</t>
  </si>
  <si>
    <t>Behavioral Health Center of the Permian Basin, LLC</t>
  </si>
  <si>
    <t>337991901</t>
  </si>
  <si>
    <t>Stephens Memorial Hospital District</t>
  </si>
  <si>
    <t>Stephens</t>
  </si>
  <si>
    <t>339153401</t>
  </si>
  <si>
    <t xml:space="preserve">St Lukes Hospital at the Vintage </t>
  </si>
  <si>
    <t>343723801</t>
  </si>
  <si>
    <t>Resolute Hospital Company, LLC</t>
  </si>
  <si>
    <t>Comal</t>
  </si>
  <si>
    <t>345305201</t>
  </si>
  <si>
    <t>Georgetown Behavioral Health Institute, Llc</t>
  </si>
  <si>
    <t>346945401</t>
  </si>
  <si>
    <t>Graham Hospital District</t>
  </si>
  <si>
    <t>348990801</t>
  </si>
  <si>
    <t>Houston Behavioral Healthcare Hospital</t>
  </si>
  <si>
    <t>349059101</t>
  </si>
  <si>
    <t>San Antonio Behavioral Healthcare Hospital</t>
  </si>
  <si>
    <t>349366001</t>
  </si>
  <si>
    <t>CHCA Pearland LP</t>
  </si>
  <si>
    <t>350190001</t>
  </si>
  <si>
    <t>Preferred Hospital Leasing Muleshoe Inc</t>
  </si>
  <si>
    <t>Bailey</t>
  </si>
  <si>
    <t>350857401</t>
  </si>
  <si>
    <t>North Texas MCA</t>
  </si>
  <si>
    <t>353712801</t>
  </si>
  <si>
    <t>Scott &amp; White Hospital -Marble Falls</t>
  </si>
  <si>
    <t>354018901</t>
  </si>
  <si>
    <t>Prime Healthcare Services - Mesquite, LLC</t>
  </si>
  <si>
    <t>354178101</t>
  </si>
  <si>
    <t>Children's Health Plano</t>
  </si>
  <si>
    <t>361635101</t>
  </si>
  <si>
    <t>SUN Houston LLC</t>
  </si>
  <si>
    <t>364187001</t>
  </si>
  <si>
    <t>Anson General Hospital</t>
  </si>
  <si>
    <t>Jones</t>
  </si>
  <si>
    <t>366812101</t>
  </si>
  <si>
    <t>CHRISTUS Mother Frances Hospital - Sulphur Springs</t>
  </si>
  <si>
    <t>Hopkins</t>
  </si>
  <si>
    <t>369162801</t>
  </si>
  <si>
    <t>Tenet Hospitals LTD. Transmountain</t>
  </si>
  <si>
    <t>371439601</t>
  </si>
  <si>
    <t>Strategic BH-Brownsville, LLC</t>
  </si>
  <si>
    <t>376537203</t>
  </si>
  <si>
    <t>Freestone Medical Center</t>
  </si>
  <si>
    <t>Freestone</t>
  </si>
  <si>
    <t>376837601</t>
  </si>
  <si>
    <t>Houston Methodist The Woodlands Hospital</t>
  </si>
  <si>
    <t>377705401</t>
  </si>
  <si>
    <t>HCA Houston Healthcare Tomball</t>
  </si>
  <si>
    <t>378943001</t>
  </si>
  <si>
    <t>HCA Houston Healthcare Medical Center</t>
  </si>
  <si>
    <t>379200401</t>
  </si>
  <si>
    <t>Methodist Hospital South</t>
  </si>
  <si>
    <t>Atascosa</t>
  </si>
  <si>
    <t>385345901</t>
  </si>
  <si>
    <t>Weatherford Health Services</t>
  </si>
  <si>
    <t>Parker</t>
  </si>
  <si>
    <t>387377001</t>
  </si>
  <si>
    <t>UT Health Henderson</t>
  </si>
  <si>
    <t>Rusk</t>
  </si>
  <si>
    <t>387381201</t>
  </si>
  <si>
    <t>UT Health Jacksonville</t>
  </si>
  <si>
    <t>387515501</t>
  </si>
  <si>
    <t>UT Health Athens</t>
  </si>
  <si>
    <t>Henderson</t>
  </si>
  <si>
    <t>387663301</t>
  </si>
  <si>
    <t>UT Health Carthage</t>
  </si>
  <si>
    <t>Panola</t>
  </si>
  <si>
    <t>388217701</t>
  </si>
  <si>
    <t>Baylor Scott &amp; White Medical Center - Centennial</t>
  </si>
  <si>
    <t>388347201</t>
  </si>
  <si>
    <t>UT Health Tyler</t>
  </si>
  <si>
    <t>388696201</t>
  </si>
  <si>
    <t>UT Health Pittsburg</t>
  </si>
  <si>
    <t>Camp</t>
  </si>
  <si>
    <t>388701003</t>
  </si>
  <si>
    <t>UT Health Quitman</t>
  </si>
  <si>
    <t>388758001</t>
  </si>
  <si>
    <t>Specialty Hospital LLC</t>
  </si>
  <si>
    <t>389645801</t>
  </si>
  <si>
    <t>UT Health East Texas Rehabilitation Hospital</t>
  </si>
  <si>
    <t>391575301</t>
  </si>
  <si>
    <t>Pipeline East Dallas LLC</t>
  </si>
  <si>
    <t>391576104</t>
  </si>
  <si>
    <t>Crockett Medical Center</t>
  </si>
  <si>
    <t>Houston</t>
  </si>
  <si>
    <t>395486901</t>
  </si>
  <si>
    <t>Baylor Scott &amp; White Medical Centers -Capitol Area</t>
  </si>
  <si>
    <t>396650901</t>
  </si>
  <si>
    <t>Gainesville Community Hospital, Inc.</t>
  </si>
  <si>
    <t>401736001</t>
  </si>
  <si>
    <t>Bosque County Hospital District</t>
  </si>
  <si>
    <t>Bosque</t>
  </si>
  <si>
    <t>402628801</t>
  </si>
  <si>
    <t>Winkler County Memorial Hospital</t>
  </si>
  <si>
    <t>Winkler</t>
  </si>
  <si>
    <t>405102101</t>
  </si>
  <si>
    <t>Scenic Mountain Medical Center</t>
  </si>
  <si>
    <t>407926101</t>
  </si>
  <si>
    <t>408600101</t>
  </si>
  <si>
    <t>Covenant Medical Center</t>
  </si>
  <si>
    <t>409204101</t>
  </si>
  <si>
    <t>409332001</t>
  </si>
  <si>
    <t>412747401</t>
  </si>
  <si>
    <t>Huntsville Community Hospital</t>
  </si>
  <si>
    <t>Walker</t>
  </si>
  <si>
    <t>412883701</t>
  </si>
  <si>
    <t>Sana Healthcare Carrollton</t>
  </si>
  <si>
    <t>414962701</t>
  </si>
  <si>
    <t>415580601</t>
  </si>
  <si>
    <t>121193005</t>
  </si>
  <si>
    <t>Preferred Hospital Leasing Shamrock, Inc.</t>
  </si>
  <si>
    <t>420957903</t>
  </si>
  <si>
    <t>Hendrick Medical Center Brownwood</t>
  </si>
  <si>
    <t>Brown</t>
  </si>
  <si>
    <t>425740401</t>
  </si>
  <si>
    <t>081939301</t>
  </si>
  <si>
    <t>State</t>
  </si>
  <si>
    <t>Texas Tech University Health Science Center - Odessa</t>
  </si>
  <si>
    <t>084563802</t>
  </si>
  <si>
    <t>Texas Tech University Health Sciences Center - Amarillo</t>
  </si>
  <si>
    <t>084597603</t>
  </si>
  <si>
    <t>TEXAS TECH UNIVERSITY HSC EL PASO</t>
  </si>
  <si>
    <t>084599202</t>
  </si>
  <si>
    <t>Texas Tech University Health Sciences Center - Lubbock</t>
  </si>
  <si>
    <t>085144601</t>
  </si>
  <si>
    <t>UT Health Science Center at San Antonio</t>
  </si>
  <si>
    <t>092414401</t>
  </si>
  <si>
    <t>Non-state</t>
  </si>
  <si>
    <t>University Medicince Associates</t>
  </si>
  <si>
    <t>109372601</t>
  </si>
  <si>
    <t>1118101101</t>
  </si>
  <si>
    <t>UT Health Science Center Houston</t>
  </si>
  <si>
    <t>126672804</t>
  </si>
  <si>
    <t>Scott &amp; White Clinic</t>
  </si>
  <si>
    <t>126686802</t>
  </si>
  <si>
    <t>UT SOUTHWESTERN MEDICAL CENTER</t>
  </si>
  <si>
    <t>138980111</t>
  </si>
  <si>
    <t>University of North Texas Health Science Center</t>
  </si>
  <si>
    <t>171409901</t>
  </si>
  <si>
    <t>Carlos P. Torres, M.D.</t>
  </si>
  <si>
    <t>179057801</t>
  </si>
  <si>
    <t>Ramzi Abdulrahman</t>
  </si>
  <si>
    <t>198523601</t>
  </si>
  <si>
    <t>Texas A&amp;M Health Science Center</t>
  </si>
  <si>
    <t>IGT CHECK:</t>
  </si>
  <si>
    <t>Total Costs Tab 3</t>
  </si>
  <si>
    <t>Difference:</t>
  </si>
  <si>
    <t>Physician Group Costs</t>
  </si>
  <si>
    <t>Total Payments Not Accounting for Recoupments</t>
  </si>
  <si>
    <t>Physician Group State Costs</t>
  </si>
  <si>
    <t>Physician Group Non-State Costs</t>
  </si>
  <si>
    <t>Rural Hospital Costs</t>
  </si>
  <si>
    <t>Rule Change</t>
  </si>
  <si>
    <t>Current</t>
  </si>
  <si>
    <t>Difference</t>
  </si>
  <si>
    <t>Recoupment Amounts</t>
  </si>
  <si>
    <t>Total Costs for Non-Rural Hospitals</t>
  </si>
  <si>
    <t>State Recoupments</t>
  </si>
  <si>
    <t>Total Costs Hospitals</t>
  </si>
  <si>
    <t>Available Pool to Pay After Recoupments</t>
  </si>
  <si>
    <t>§355.8212 adjustment for Urban Public Class One Hospitals (Large Public IGT in DSH)</t>
  </si>
  <si>
    <t xml:space="preserve">Maximum Final IGT Commitment </t>
  </si>
  <si>
    <t>Final UC IGT Commitment (Amount Cannot Exceed Value in Column AE)</t>
  </si>
  <si>
    <t xml:space="preserve">BI </t>
  </si>
  <si>
    <t>BJ</t>
  </si>
  <si>
    <t>State GR Recoupment</t>
  </si>
  <si>
    <t>2021 DSH Payment (Assumes Full Funding for Pass 3)</t>
  </si>
  <si>
    <t>Total DY 10 Payment (State Hospitals - Non-S-10 Only</t>
  </si>
  <si>
    <t>Total DY 10 IGT</t>
  </si>
  <si>
    <t>432815501</t>
  </si>
  <si>
    <t>020981901</t>
  </si>
  <si>
    <t>Vista Community Medical Center</t>
  </si>
  <si>
    <t>Source: Deloitte Projected Data (Medicaid &amp; Uninsured Shortfall tab)</t>
  </si>
  <si>
    <t>Unkown as of now; will be reported by hospitals in the DY 9 Applications</t>
  </si>
  <si>
    <t>Source: Hospitals: "Final S-10 Development" tab, column AO. This tab was populated and calculated by Deloitte as part of their modelling, and is the estimated 2017 charity care cost from S-10, Line 23, column 1 for all hospitals. Physician Groups: Still using total costs from the DY 6 TXPUC's as was used in the DY 6 UC calculation</t>
  </si>
  <si>
    <t>Calculates the amount of DSH payment attributable to charity care by applying the DSH payment to the entire Medicaid shortfall and  offsetting the remainder against the UC charity cost. This number will be lower once the "DSH-Only Uninsured Shortfall Costs" are known and factored in to this calculation</t>
  </si>
  <si>
    <t xml:space="preserve">Source: Hospitals: "Final S-10 Development" tab, column AR. This tab was populated and caclued by Deloitte as part of their modelling, and is the estimated 2017 charity care Schedule 1 and 2 costs. The uninsured component from Schedules 1 and 2 in the DY 6 applications were used as a basis for these numbers. </t>
  </si>
  <si>
    <t>Actual IGT amounts submitted by the urban public class 1 hospitals for the 2017 DSH payments</t>
  </si>
  <si>
    <t xml:space="preserve">The Sum of Charity Care Costs less DSH Payment Attributable to Charity Care plus PPC Charity Costs plus DSH IGT For Urban Public Class 1 Hospitals  </t>
  </si>
  <si>
    <t>DY 6 YTD UC Payments used for modelling purposes.</t>
  </si>
  <si>
    <t>CCN</t>
  </si>
  <si>
    <t>2018 Master TPI</t>
  </si>
  <si>
    <t>UC Program</t>
  </si>
  <si>
    <t>Medicaid Shortfall No OI or Medicare with UHRIP Payment Decrease</t>
  </si>
  <si>
    <t>Uninsured Shortfall</t>
  </si>
  <si>
    <t>DSH-Only Uninsured Shortfall Costs</t>
  </si>
  <si>
    <t>UC Total Charity Costs</t>
  </si>
  <si>
    <t>Projected DSH Payment No OI or Medicare (with UHRIP adjustments)</t>
  </si>
  <si>
    <t>Remaining UC Charity Costs after DSH Payment Attributable to Charity Care is Offset</t>
  </si>
  <si>
    <t>Total Schedule 1 Costs</t>
  </si>
  <si>
    <t>Total Schedule 2 Costs</t>
  </si>
  <si>
    <t>Estimated Total Non-S-10 UC Costs (Schedule 1 and 2)</t>
  </si>
  <si>
    <t>§355.8212 adjustment for Urban Public Class One (Large Public) Hospitals</t>
  </si>
  <si>
    <t>Total UC Costs
(HSL remaining after DSH plus PCP and Adjustments)</t>
  </si>
  <si>
    <t>Initial Allocation Capped @ Total UC Costs (Not including DSH IGT) for Large Public Hospitals</t>
  </si>
  <si>
    <t>Initial Allocation Overage Redistribution</t>
  </si>
  <si>
    <t>Hospital and Physician Payment Allocation (Second Pass)</t>
  </si>
  <si>
    <t>YTD   UC Payments</t>
  </si>
  <si>
    <t>YTD   UC IGT</t>
  </si>
  <si>
    <t>Maximum IGT Commitment Amount</t>
  </si>
  <si>
    <t>Final   UC IGT Commitment</t>
  </si>
  <si>
    <t>Total   UC IGT for Year by Provider</t>
  </si>
  <si>
    <t>Bexar Pool Reduction Based on IGT Survey as Described in 1 TAC 355.8212 (f)(3)</t>
  </si>
  <si>
    <t>Dallas Pool Reduction Based on IGT Survey as Described in 1 TAC 355.8212 (f)(3)</t>
  </si>
  <si>
    <t>El Paso Pool Reduction Based on IGT Survey as Described in 1 TAC 355.8212 (f)(3)</t>
  </si>
  <si>
    <t>Harris Pool Reduction Based on IGT Survey as Described in 1 TAC 355.8212 (f)(3)</t>
  </si>
  <si>
    <t>Hidalgo Pool Reduction Based on IGT Survey as Described in 1 TAC 355.8212 (f)(3)</t>
  </si>
  <si>
    <t>Jefferson Pool Reduction Based on IGT Survey as Described in 1 TAC 355.8212 (f)(3)</t>
  </si>
  <si>
    <t>Lubbock Pool Reduction Based on IGT Survey as Described in 1 TAC 355.8212 (f)(3)</t>
  </si>
  <si>
    <t>MRSA Central Pool Reduction Based on IGT Survey as Described in 1 TAC 355.8212 (f)(3)</t>
  </si>
  <si>
    <t>MRSA Northeast Pool Reduction Based on IGT Survey as Described in 1 TAC 355.8212 (f)(3)</t>
  </si>
  <si>
    <t>MRSA West Pool Reduction Based on IGT Survey as Described in 1 TAC 355.8212 (f)(3)</t>
  </si>
  <si>
    <t>Nueces Pool Reduction Based on IGT Survey as Described in 1 TAC 355.8212 (f)(3)</t>
  </si>
  <si>
    <t>Tarrant Pool Reduction Based on IGT Survey as Described in 1 TAC 355.8212 (f)(3)</t>
  </si>
  <si>
    <t>Travis Pool Reduction Based on IGT Survey as Described in 1 TAC 355.8212 (f)(3)</t>
  </si>
  <si>
    <t>Bexar Reallocation Based on IGT Survey</t>
  </si>
  <si>
    <t>Dallas Reallocation Based on IGT Survey</t>
  </si>
  <si>
    <t>El Paso Reallocation Based on IGT Survey</t>
  </si>
  <si>
    <t>Harris Reallocation Based on IGT Survey</t>
  </si>
  <si>
    <t>Hidalgo Reallocation Based on IGT Survey</t>
  </si>
  <si>
    <t>Jefferson Reallocation Based on IGT Survey</t>
  </si>
  <si>
    <t>Lubbock Reallocation Based on IGT Survey</t>
  </si>
  <si>
    <t>MRSA Central Reallocation Based on IGT Survey</t>
  </si>
  <si>
    <t>MRSA Northeast Reallocation Based on IGT Survey</t>
  </si>
  <si>
    <t>MRSA West Reallocation Based on IGT Survey</t>
  </si>
  <si>
    <t>Nueces Reallocation Based on IGT Survey</t>
  </si>
  <si>
    <t>Tarrant Reallocation Based on IGT Survey</t>
  </si>
  <si>
    <t>Travis Reallocation Based on IGT Survey</t>
  </si>
  <si>
    <t>Total Payment Reduction</t>
  </si>
  <si>
    <t>Total Additional Payment</t>
  </si>
  <si>
    <t>Total Payment</t>
  </si>
  <si>
    <t xml:space="preserve">  Final Payment or Recoupment
(BD - AR)</t>
  </si>
  <si>
    <t>Final IGT Required for   @ 43.82%</t>
  </si>
  <si>
    <t>Actual IGT Submitted</t>
  </si>
  <si>
    <t>450237</t>
  </si>
  <si>
    <t>453315</t>
  </si>
  <si>
    <t>Childrens Hospital of San Antonio</t>
  </si>
  <si>
    <t>Community Medicine Associates</t>
  </si>
  <si>
    <t>450388</t>
  </si>
  <si>
    <t>Methodist Healthcare System of San Antonio</t>
  </si>
  <si>
    <t>453323</t>
  </si>
  <si>
    <t>450780</t>
  </si>
  <si>
    <t>121820803</t>
  </si>
  <si>
    <t>Methodist Ambulatory Surgery Hospital</t>
  </si>
  <si>
    <t>452033</t>
  </si>
  <si>
    <t>450108</t>
  </si>
  <si>
    <t>450213</t>
  </si>
  <si>
    <t>450697</t>
  </si>
  <si>
    <t>Southwest General Hospital</t>
  </si>
  <si>
    <t>450104</t>
  </si>
  <si>
    <t>GUADALUPE VALLEY HOSPITAL</t>
  </si>
  <si>
    <t>454011</t>
  </si>
  <si>
    <t>San Antonio State Hospital</t>
  </si>
  <si>
    <t>450058</t>
  </si>
  <si>
    <t>VHS San Antonio Partners</t>
  </si>
  <si>
    <t>670055</t>
  </si>
  <si>
    <t>METHODIST HEALTHCARE SYSTEM OF SAN ANTONIO LTD LLP</t>
  </si>
  <si>
    <t>451330</t>
  </si>
  <si>
    <t>450130</t>
  </si>
  <si>
    <t>297342201</t>
  </si>
  <si>
    <t>Nix Hospital System, LLC</t>
  </si>
  <si>
    <t>670098</t>
  </si>
  <si>
    <t>445016</t>
  </si>
  <si>
    <t>121780403</t>
  </si>
  <si>
    <t>South Texas Regional Medical Center</t>
  </si>
  <si>
    <t>450462</t>
  </si>
  <si>
    <t>Texas Health Dallas</t>
  </si>
  <si>
    <t>450647</t>
  </si>
  <si>
    <t>Columbia Hospital at Medical City Dallas</t>
  </si>
  <si>
    <t>450742</t>
  </si>
  <si>
    <t>Lake Pointe Operating Company</t>
  </si>
  <si>
    <t>450822</t>
  </si>
  <si>
    <t>Columbia Medical Center of Las Colinas</t>
  </si>
  <si>
    <t xml:space="preserve">Dallas </t>
  </si>
  <si>
    <t>450840</t>
  </si>
  <si>
    <t>Texas Health Allen</t>
  </si>
  <si>
    <t>450292</t>
  </si>
  <si>
    <t>Texas Health Kaufman</t>
  </si>
  <si>
    <t>450771</t>
  </si>
  <si>
    <t>Texas Health Plano</t>
  </si>
  <si>
    <t>450403</t>
  </si>
  <si>
    <t>450447</t>
  </si>
  <si>
    <t>450079</t>
  </si>
  <si>
    <t>450833</t>
  </si>
  <si>
    <t>PRHC-Ennis, L.P.</t>
  </si>
  <si>
    <t>450723</t>
  </si>
  <si>
    <t>Methodist Charlton Medical Center</t>
  </si>
  <si>
    <t>UT Southwestern Medical Center</t>
  </si>
  <si>
    <t>450015</t>
  </si>
  <si>
    <t>450651</t>
  </si>
  <si>
    <t>450352</t>
  </si>
  <si>
    <t>Hunt Memorial Hospital District</t>
  </si>
  <si>
    <t>450051</t>
  </si>
  <si>
    <t>Methodist Dallas Medical Center</t>
  </si>
  <si>
    <t>450372</t>
  </si>
  <si>
    <t>454006</t>
  </si>
  <si>
    <t>Terrell State Hospital</t>
  </si>
  <si>
    <t>453302</t>
  </si>
  <si>
    <t>Children's Medical Center of Dallas</t>
  </si>
  <si>
    <t>450021</t>
  </si>
  <si>
    <t>450851</t>
  </si>
  <si>
    <t>Baylor Heart and Vascular Center LLP</t>
  </si>
  <si>
    <t>450885</t>
  </si>
  <si>
    <t>169553801</t>
  </si>
  <si>
    <t>Baylor Scott &amp; White Medical Center- Centennial</t>
  </si>
  <si>
    <t>450890</t>
  </si>
  <si>
    <t>450044</t>
  </si>
  <si>
    <t>University of Texas Southwestern Medical Center at Dallas - Clements</t>
  </si>
  <si>
    <t>450766</t>
  </si>
  <si>
    <t>175289101</t>
  </si>
  <si>
    <t>University of Texas Southwestern Medical Center at Dallas</t>
  </si>
  <si>
    <t>670025</t>
  </si>
  <si>
    <t>The Heart Hospital at Baylor Plano</t>
  </si>
  <si>
    <t>450537</t>
  </si>
  <si>
    <t>Methodist Richardson Medical Center</t>
  </si>
  <si>
    <t>670060</t>
  </si>
  <si>
    <t>Texas Regional Medical Center, LLC</t>
  </si>
  <si>
    <t>450379</t>
  </si>
  <si>
    <t>Dallas Medical Center, LLC</t>
  </si>
  <si>
    <t>291816101</t>
  </si>
  <si>
    <t>Integrative Emergency Services Physician Group, PA</t>
  </si>
  <si>
    <t>670082</t>
  </si>
  <si>
    <t>Baylor Scott and White Medical Center - McKinney</t>
  </si>
  <si>
    <t>453314</t>
  </si>
  <si>
    <t>Dallas Regional Medical Center</t>
  </si>
  <si>
    <t>453316</t>
  </si>
  <si>
    <t>Children's Medical Center of Plano</t>
  </si>
  <si>
    <t>453308</t>
  </si>
  <si>
    <t>358963201</t>
  </si>
  <si>
    <t>OCH Holdings</t>
  </si>
  <si>
    <t>450280</t>
  </si>
  <si>
    <t>362293801</t>
  </si>
  <si>
    <t>Baylor Scott and White Medical Center - Garland</t>
  </si>
  <si>
    <t>450678</t>
  </si>
  <si>
    <t>364710901</t>
  </si>
  <si>
    <t>BT East Dallas JV, LLP</t>
  </si>
  <si>
    <t>Texas Tech HS Ctr Family Med - El Paso</t>
  </si>
  <si>
    <t>450107</t>
  </si>
  <si>
    <t>454100</t>
  </si>
  <si>
    <t>El Paso Psychiatric Center</t>
  </si>
  <si>
    <t>450002</t>
  </si>
  <si>
    <t>The Hospitals of Providence - Memorial Campus</t>
  </si>
  <si>
    <t>450668</t>
  </si>
  <si>
    <t>The Hospitals of Providence Sierra Campus</t>
  </si>
  <si>
    <t>450024</t>
  </si>
  <si>
    <t>University Medical Center of El Paso</t>
  </si>
  <si>
    <t>670047</t>
  </si>
  <si>
    <t>The Hospitals of Providence - East Campus</t>
  </si>
  <si>
    <t>453313</t>
  </si>
  <si>
    <t>EL PASO CHILDRENS HOSPITAL CORPORATION</t>
  </si>
  <si>
    <t>450097</t>
  </si>
  <si>
    <t>Bayshore Medical Center</t>
  </si>
  <si>
    <t>450184</t>
  </si>
  <si>
    <t>450222</t>
  </si>
  <si>
    <t>CHCA Conroe, LP</t>
  </si>
  <si>
    <t>450610</t>
  </si>
  <si>
    <t>451311</t>
  </si>
  <si>
    <t>Sweeny Hospital District</t>
  </si>
  <si>
    <t>454076</t>
  </si>
  <si>
    <t>The University of Texas Health Science Center at Houston/ Harris County Psychiatric Center</t>
  </si>
  <si>
    <t>450253</t>
  </si>
  <si>
    <t>BELLVILLE ST JOSEPH HEALTH CENTER</t>
  </si>
  <si>
    <t>450644</t>
  </si>
  <si>
    <t>West Houston Medical Center</t>
  </si>
  <si>
    <t>450820</t>
  </si>
  <si>
    <t>The University of Texas Medical Branch</t>
  </si>
  <si>
    <t>111810101</t>
  </si>
  <si>
    <t>450072</t>
  </si>
  <si>
    <t>Brazosport Regional Health System</t>
  </si>
  <si>
    <t>450076</t>
  </si>
  <si>
    <t>The University of Texas MD Anderson Cancer Center</t>
  </si>
  <si>
    <t>450674</t>
  </si>
  <si>
    <t>450716</t>
  </si>
  <si>
    <t>112718503</t>
  </si>
  <si>
    <t>Cypress Fairbanks Medical Center Hospital</t>
  </si>
  <si>
    <t>450775</t>
  </si>
  <si>
    <t>KPH-CONSOLIDATION, INC.</t>
  </si>
  <si>
    <t>450617</t>
  </si>
  <si>
    <t>Clear Lake Regional Medical Center</t>
  </si>
  <si>
    <t>450659</t>
  </si>
  <si>
    <t>121811703</t>
  </si>
  <si>
    <t>TH Healthcare, LTD</t>
  </si>
  <si>
    <t>450193</t>
  </si>
  <si>
    <t>St. Luke's Episcopal Hospital</t>
  </si>
  <si>
    <t>450330</t>
  </si>
  <si>
    <t>450465</t>
  </si>
  <si>
    <t>450289</t>
  </si>
  <si>
    <t>450068</t>
  </si>
  <si>
    <t>450358</t>
  </si>
  <si>
    <t>450424</t>
  </si>
  <si>
    <t>Methodist San Jacinto Hospital</t>
  </si>
  <si>
    <t>453304</t>
  </si>
  <si>
    <t>Texas Childrens Hospital</t>
  </si>
  <si>
    <t>450844</t>
  </si>
  <si>
    <t>450848</t>
  </si>
  <si>
    <t>450847</t>
  </si>
  <si>
    <t>451332</t>
  </si>
  <si>
    <t>450862</t>
  </si>
  <si>
    <t>450035</t>
  </si>
  <si>
    <t>450684</t>
  </si>
  <si>
    <t>450638</t>
  </si>
  <si>
    <t>Houston Northwest Operating Co, L.L.C</t>
  </si>
  <si>
    <t>670059</t>
  </si>
  <si>
    <t>St. Luke's Lakeside Hospital</t>
  </si>
  <si>
    <t>670077</t>
  </si>
  <si>
    <t>670031</t>
  </si>
  <si>
    <t>St Luke's Patients Medical Center</t>
  </si>
  <si>
    <t>450670</t>
  </si>
  <si>
    <t>288523801</t>
  </si>
  <si>
    <t>Tomball Regional Medical Center</t>
  </si>
  <si>
    <t>670053</t>
  </si>
  <si>
    <t>St. Luke's Sugar Land Hospital</t>
  </si>
  <si>
    <t>450694</t>
  </si>
  <si>
    <t>450709</t>
  </si>
  <si>
    <t>Houston Methodist St. John Hospital</t>
  </si>
  <si>
    <t>670075</t>
  </si>
  <si>
    <t>St Luke's Hospital at the Vintage</t>
  </si>
  <si>
    <t>450662</t>
  </si>
  <si>
    <t>Columbia Valley Healthcare System LP</t>
  </si>
  <si>
    <t>452013</t>
  </si>
  <si>
    <t>021219307</t>
  </si>
  <si>
    <t>Rio Grande State Center- South Texas Health Care System</t>
  </si>
  <si>
    <t>450119</t>
  </si>
  <si>
    <t>South Texas Health System</t>
  </si>
  <si>
    <t>450643</t>
  </si>
  <si>
    <t>Doctors Hospital of Laredo</t>
  </si>
  <si>
    <t>450092</t>
  </si>
  <si>
    <t>Fort Duncan Medical Center</t>
  </si>
  <si>
    <t>040176</t>
  </si>
  <si>
    <t>Mission Hospital Inc</t>
  </si>
  <si>
    <t>450711</t>
  </si>
  <si>
    <t>Columbia Rio Grande Healthcare LP</t>
  </si>
  <si>
    <t>450128</t>
  </si>
  <si>
    <t>450654</t>
  </si>
  <si>
    <t>STARR COUNTY MEMORIAL HOSPITAL</t>
  </si>
  <si>
    <t>450855</t>
  </si>
  <si>
    <t>Harlingen Medical Center LP</t>
  </si>
  <si>
    <t>450869</t>
  </si>
  <si>
    <t>Doctors Hospital at Renaissance</t>
  </si>
  <si>
    <t>450029</t>
  </si>
  <si>
    <t>450033</t>
  </si>
  <si>
    <t>Valley Baptist Medical Center</t>
  </si>
  <si>
    <t>450028</t>
  </si>
  <si>
    <t>Valley Baptist Medical Center - Brownsville</t>
  </si>
  <si>
    <t>451320</t>
  </si>
  <si>
    <t>Chambers County Public Hospital District #1</t>
  </si>
  <si>
    <t>450346</t>
  </si>
  <si>
    <t>Baptist Hospital of Southeast Texas- Beaumont</t>
  </si>
  <si>
    <t>450395</t>
  </si>
  <si>
    <t>CHI Saint Luke's Health Memorial Livingston</t>
  </si>
  <si>
    <t>450573</t>
  </si>
  <si>
    <t>Christus Jasper Memorial Hospital</t>
  </si>
  <si>
    <t>450460</t>
  </si>
  <si>
    <t>Tyler County Hospital District</t>
  </si>
  <si>
    <t>450034</t>
  </si>
  <si>
    <t>Christus Hospital SE Texas St. Elizabeth</t>
  </si>
  <si>
    <t>451328</t>
  </si>
  <si>
    <t>WINNIE COMMUNITY HOSPITAL</t>
  </si>
  <si>
    <t>450518</t>
  </si>
  <si>
    <t>450347</t>
  </si>
  <si>
    <t>189791001</t>
  </si>
  <si>
    <t>Walker County Hospital Corporation</t>
  </si>
  <si>
    <t>451375</t>
  </si>
  <si>
    <t>080217501</t>
  </si>
  <si>
    <t>PNS Clinics - TTUHSC Associates</t>
  </si>
  <si>
    <t>Texas Tech University Health Sciences Center - Amarillo School of Medicine</t>
  </si>
  <si>
    <t>451345</t>
  </si>
  <si>
    <t>451351</t>
  </si>
  <si>
    <t>104856306</t>
  </si>
  <si>
    <t>Scott Dahlbeck, M.D.</t>
  </si>
  <si>
    <t>451337</t>
  </si>
  <si>
    <t>WJ Mangold Memorial Hospital</t>
  </si>
  <si>
    <t>450539</t>
  </si>
  <si>
    <t>METHODIST HOSPITAL PLAINVIEW</t>
  </si>
  <si>
    <t>450698</t>
  </si>
  <si>
    <t>Lamb County Hospital</t>
  </si>
  <si>
    <t>453306</t>
  </si>
  <si>
    <t>METHODIST CHILDRENS HOSPITAL</t>
  </si>
  <si>
    <t>450399</t>
  </si>
  <si>
    <t>Terry County Memorial Hospital District</t>
  </si>
  <si>
    <t>450755</t>
  </si>
  <si>
    <t>METHODIST HOSPITAL LEVELLAND</t>
  </si>
  <si>
    <t>450155</t>
  </si>
  <si>
    <t>DEAF SMITH COUNTY HOSPITAL DISTRICT</t>
  </si>
  <si>
    <t>454093</t>
  </si>
  <si>
    <t>Public IMD</t>
  </si>
  <si>
    <t>450209</t>
  </si>
  <si>
    <t>Northwest Texas Healthcare System Inc</t>
  </si>
  <si>
    <t>450686</t>
  </si>
  <si>
    <t>450040</t>
  </si>
  <si>
    <t>139461107</t>
  </si>
  <si>
    <t>COVENANT HEALTH SYSTEM</t>
  </si>
  <si>
    <t>Carlos Torres, M.D.</t>
  </si>
  <si>
    <t>451369</t>
  </si>
  <si>
    <t>450162</t>
  </si>
  <si>
    <t>Lubbock Heritage Hospital</t>
  </si>
  <si>
    <t>451349</t>
  </si>
  <si>
    <t>450231</t>
  </si>
  <si>
    <t>Baptist St Anthonys Healthcare System</t>
  </si>
  <si>
    <t>450299</t>
  </si>
  <si>
    <t>020860501</t>
  </si>
  <si>
    <t>College Station Medical Center</t>
  </si>
  <si>
    <t>451316</t>
  </si>
  <si>
    <t>MADISON ST JOSEPH HEALTH CENTER</t>
  </si>
  <si>
    <t>450152</t>
  </si>
  <si>
    <t>Metroplex Adventist Hospital Inc</t>
  </si>
  <si>
    <t>4533C6</t>
  </si>
  <si>
    <t>Waco Center For Youth</t>
  </si>
  <si>
    <t>Mclennan</t>
  </si>
  <si>
    <t>450042</t>
  </si>
  <si>
    <t>Providence Health Services of Waco</t>
  </si>
  <si>
    <t>450400</t>
  </si>
  <si>
    <t>Mexia Principal Healthcare LP / Parkview Hospital</t>
  </si>
  <si>
    <t>451346</t>
  </si>
  <si>
    <t>451305</t>
  </si>
  <si>
    <t>BURLESON ST JOSEPH HEALTH CENTER</t>
  </si>
  <si>
    <t>450235</t>
  </si>
  <si>
    <t>450754</t>
  </si>
  <si>
    <t>121792903</t>
  </si>
  <si>
    <t>451363</t>
  </si>
  <si>
    <t>Scott and White Clinic</t>
  </si>
  <si>
    <t>450011</t>
  </si>
  <si>
    <t>ST JOSEPH REGIONAL HEALTH CENTER</t>
  </si>
  <si>
    <t>450192</t>
  </si>
  <si>
    <t>133252005</t>
  </si>
  <si>
    <t>Hill Regional</t>
  </si>
  <si>
    <t>450348</t>
  </si>
  <si>
    <t>451379</t>
  </si>
  <si>
    <t>CORYELL COUNTY MEMORIAL HOSPITAL AUTHORITY</t>
  </si>
  <si>
    <t>450370</t>
  </si>
  <si>
    <t>450187</t>
  </si>
  <si>
    <t>451376</t>
  </si>
  <si>
    <t>450604</t>
  </si>
  <si>
    <t>HILL COUNTRY MEMORIAL HOSPITAL</t>
  </si>
  <si>
    <t>451385</t>
  </si>
  <si>
    <t>137075116</t>
  </si>
  <si>
    <t>Goodall-Witcher Hospital Authority</t>
  </si>
  <si>
    <t>450054</t>
  </si>
  <si>
    <t>450597</t>
  </si>
  <si>
    <t>CUERO COMMUNITY HOSPITAL</t>
  </si>
  <si>
    <t>De Witt</t>
  </si>
  <si>
    <t>450101</t>
  </si>
  <si>
    <t>451303</t>
  </si>
  <si>
    <t>451322</t>
  </si>
  <si>
    <t>GRIMES ST JOSEPH HEALTH CENTER</t>
  </si>
  <si>
    <t>451323</t>
  </si>
  <si>
    <t>451357</t>
  </si>
  <si>
    <t>183086102</t>
  </si>
  <si>
    <t>Rockdale Blackhawk LLC</t>
  </si>
  <si>
    <t>Milam</t>
  </si>
  <si>
    <t>451312</t>
  </si>
  <si>
    <t>CAHRMC</t>
  </si>
  <si>
    <t>450451</t>
  </si>
  <si>
    <t>SOMERVELL COUNTY HOSPITAL DISTRICT</t>
  </si>
  <si>
    <t>450219</t>
  </si>
  <si>
    <t>220798701</t>
  </si>
  <si>
    <t>Scott &amp; White Hospital - Llano</t>
  </si>
  <si>
    <t>451382</t>
  </si>
  <si>
    <t>Comanche County Medical Center Company</t>
  </si>
  <si>
    <t>670080</t>
  </si>
  <si>
    <t>HH Killeen Health System LLC</t>
  </si>
  <si>
    <t>670088</t>
  </si>
  <si>
    <t>Scott and White Hospital- College Station</t>
  </si>
  <si>
    <t>454125</t>
  </si>
  <si>
    <t>338014903</t>
  </si>
  <si>
    <t>Rock Prairie Behavioral Health</t>
  </si>
  <si>
    <t>450658</t>
  </si>
  <si>
    <t>094190802</t>
  </si>
  <si>
    <t>East Texas Medical Center Fairfield</t>
  </si>
  <si>
    <t>451380</t>
  </si>
  <si>
    <t>017624011</t>
  </si>
  <si>
    <t>East Texas Medical Center Quitman</t>
  </si>
  <si>
    <t>450083</t>
  </si>
  <si>
    <t>020812601</t>
  </si>
  <si>
    <t>East Texas Medical Center</t>
  </si>
  <si>
    <t>450801</t>
  </si>
  <si>
    <t>450037</t>
  </si>
  <si>
    <t>094095902</t>
  </si>
  <si>
    <t>The Good Shepherd Hospital, Inc.</t>
  </si>
  <si>
    <t>450102</t>
  </si>
  <si>
    <t>450210</t>
  </si>
  <si>
    <t>094127002</t>
  </si>
  <si>
    <t>East Texas Medical Center Carthage</t>
  </si>
  <si>
    <t>450484</t>
  </si>
  <si>
    <t>450702</t>
  </si>
  <si>
    <t>450032</t>
  </si>
  <si>
    <t>Harrison County Hospital Association</t>
  </si>
  <si>
    <t>Harrison</t>
  </si>
  <si>
    <t>451335</t>
  </si>
  <si>
    <t>450090</t>
  </si>
  <si>
    <t>121777003</t>
  </si>
  <si>
    <t>Gainesville Hospital District</t>
  </si>
  <si>
    <t>450747</t>
  </si>
  <si>
    <t>Palestine Principal Healthcare LP</t>
  </si>
  <si>
    <t>450749</t>
  </si>
  <si>
    <t>121817401</t>
  </si>
  <si>
    <t>East Texas Medical Center Trinity</t>
  </si>
  <si>
    <t>Trinity</t>
  </si>
  <si>
    <t>450690</t>
  </si>
  <si>
    <t>The University of Texas Health Science Center at Tyler</t>
  </si>
  <si>
    <t>451381</t>
  </si>
  <si>
    <t>450641</t>
  </si>
  <si>
    <t>450656</t>
  </si>
  <si>
    <t>450194</t>
  </si>
  <si>
    <t>130612806</t>
  </si>
  <si>
    <t>East Texas Medical Center Jacksonville</t>
  </si>
  <si>
    <t>451360</t>
  </si>
  <si>
    <t>CHI Saint Luke's Health Memorial San Augustine</t>
  </si>
  <si>
    <t>450508</t>
  </si>
  <si>
    <t>Memorial Hospital - Nacogdoches</t>
  </si>
  <si>
    <t>454009</t>
  </si>
  <si>
    <t>Rusk State Hospital</t>
  </si>
  <si>
    <t>451367</t>
  </si>
  <si>
    <t>138374715</t>
  </si>
  <si>
    <t>East Texas Medical Center Pittsburg</t>
  </si>
  <si>
    <t>450080</t>
  </si>
  <si>
    <t>Titus County Memorial Hospital</t>
  </si>
  <si>
    <t>450211</t>
  </si>
  <si>
    <t>CHI Saint Luke's Health Memorial Lufkin</t>
  </si>
  <si>
    <t>450389</t>
  </si>
  <si>
    <t>139173209</t>
  </si>
  <si>
    <t>East Texas Medical Center Athens</t>
  </si>
  <si>
    <t>451319</t>
  </si>
  <si>
    <t>CHRISTUS Trinity Mother Frances Hospital - Jacksonville</t>
  </si>
  <si>
    <t>450196</t>
  </si>
  <si>
    <t>Essent PRMC LP</t>
  </si>
  <si>
    <t>450324</t>
  </si>
  <si>
    <t>451361</t>
  </si>
  <si>
    <t>Sabine County Hospital</t>
  </si>
  <si>
    <t>450200</t>
  </si>
  <si>
    <t>450475</t>
  </si>
  <si>
    <t>208843701</t>
  </si>
  <si>
    <t>East Texas Medical Center Henderson</t>
  </si>
  <si>
    <t>450469</t>
  </si>
  <si>
    <t>SHERMAN GRAYSON HOSPITAL, LLC</t>
  </si>
  <si>
    <t>451370</t>
  </si>
  <si>
    <t>450236</t>
  </si>
  <si>
    <t>450587</t>
  </si>
  <si>
    <t>020930601</t>
  </si>
  <si>
    <t>Brownwood Regional Medical Center</t>
  </si>
  <si>
    <t>451315</t>
  </si>
  <si>
    <t>451318</t>
  </si>
  <si>
    <t>4533C4</t>
  </si>
  <si>
    <t>North Texas State Hospital/Wichita</t>
  </si>
  <si>
    <t>4533C5</t>
  </si>
  <si>
    <t>North Texas State Hospital/Vernon</t>
  </si>
  <si>
    <t>Texas Tech University HSC - Odessa</t>
  </si>
  <si>
    <t>451339</t>
  </si>
  <si>
    <t>451325</t>
  </si>
  <si>
    <t>451344</t>
  </si>
  <si>
    <t>HANSFORD COUNTY HOSPITAL DISTRICT</t>
  </si>
  <si>
    <t>Seminole Hospital District</t>
  </si>
  <si>
    <t>451386</t>
  </si>
  <si>
    <t>450243</t>
  </si>
  <si>
    <t>094131202</t>
  </si>
  <si>
    <t>Hamlin Hospital District</t>
  </si>
  <si>
    <t>451362</t>
  </si>
  <si>
    <t>451366</t>
  </si>
  <si>
    <t>451309</t>
  </si>
  <si>
    <t>McCamey County Hospital District</t>
  </si>
  <si>
    <t>451314</t>
  </si>
  <si>
    <t>094204701</t>
  </si>
  <si>
    <t>County of Winkler</t>
  </si>
  <si>
    <t>451378</t>
  </si>
  <si>
    <t>450578</t>
  </si>
  <si>
    <t>451354</t>
  </si>
  <si>
    <t>OLNEY HAMILTON HOSPITAL DISTRICT</t>
  </si>
  <si>
    <t>451377</t>
  </si>
  <si>
    <t>450293</t>
  </si>
  <si>
    <t>112688002</t>
  </si>
  <si>
    <t>Frio Regional Hospital</t>
  </si>
  <si>
    <t>451313</t>
  </si>
  <si>
    <t>450340</t>
  </si>
  <si>
    <t>112693002</t>
  </si>
  <si>
    <t>San Angelo Community Medical Center</t>
  </si>
  <si>
    <t>451341</t>
  </si>
  <si>
    <t>451359</t>
  </si>
  <si>
    <t>450558</t>
  </si>
  <si>
    <t>112705203</t>
  </si>
  <si>
    <t>Abilene Regional Medical Center</t>
  </si>
  <si>
    <t>454584</t>
  </si>
  <si>
    <t>450661</t>
  </si>
  <si>
    <t>451307</t>
  </si>
  <si>
    <t>IRAAN GENERAL HOSPITAL</t>
  </si>
  <si>
    <t>450241</t>
  </si>
  <si>
    <t>450154</t>
  </si>
  <si>
    <t>450746</t>
  </si>
  <si>
    <t>121053602</t>
  </si>
  <si>
    <t>451352</t>
  </si>
  <si>
    <t>451324</t>
  </si>
  <si>
    <t>LILLIAN M HUDSPETH MEMORIAL HOSPITAL</t>
  </si>
  <si>
    <t>451387</t>
  </si>
  <si>
    <t>121782006</t>
  </si>
  <si>
    <t>451334</t>
  </si>
  <si>
    <t>North Wheeler County Hospital</t>
  </si>
  <si>
    <t>451329</t>
  </si>
  <si>
    <t>451301</t>
  </si>
  <si>
    <t>431355</t>
  </si>
  <si>
    <t>Collingsworth General Hospital</t>
  </si>
  <si>
    <t>450306</t>
  </si>
  <si>
    <t>126842708</t>
  </si>
  <si>
    <t>Jones County Regional Healthcare System</t>
  </si>
  <si>
    <t>450007</t>
  </si>
  <si>
    <t>450144</t>
  </si>
  <si>
    <t>451310</t>
  </si>
  <si>
    <t>Ballinger Memorial Hospital District</t>
  </si>
  <si>
    <t>450178</t>
  </si>
  <si>
    <t>130616905</t>
  </si>
  <si>
    <t>Pecos County Memorial Hospital</t>
  </si>
  <si>
    <t>451331</t>
  </si>
  <si>
    <t>450653</t>
  </si>
  <si>
    <t>131043506</t>
  </si>
  <si>
    <t>450055</t>
  </si>
  <si>
    <t>Rolling Plains Memorial Hospital</t>
  </si>
  <si>
    <t>450369</t>
  </si>
  <si>
    <t>451343</t>
  </si>
  <si>
    <t>450132</t>
  </si>
  <si>
    <t>450010</t>
  </si>
  <si>
    <t>United Regional Health Care System</t>
  </si>
  <si>
    <t>451350</t>
  </si>
  <si>
    <t>CASTRO COUNTY HEALTHCARE</t>
  </si>
  <si>
    <t>450133</t>
  </si>
  <si>
    <t>Midland Memorial Hospital</t>
  </si>
  <si>
    <t>451333</t>
  </si>
  <si>
    <t>451342</t>
  </si>
  <si>
    <t>451384</t>
  </si>
  <si>
    <t>451373</t>
  </si>
  <si>
    <t>Ward Memorial Hospital</t>
  </si>
  <si>
    <t>450411</t>
  </si>
  <si>
    <t>450571</t>
  </si>
  <si>
    <t>451308</t>
  </si>
  <si>
    <t>YOAKUM COUNTY HOSPITAL</t>
  </si>
  <si>
    <t>Parmer County Community Hospial</t>
  </si>
  <si>
    <t>454000</t>
  </si>
  <si>
    <t>Big Spring State</t>
  </si>
  <si>
    <t>450586</t>
  </si>
  <si>
    <t>450229</t>
  </si>
  <si>
    <t>450565</t>
  </si>
  <si>
    <t>451326</t>
  </si>
  <si>
    <t>154632701</t>
  </si>
  <si>
    <t>Chillicothe Hospital District</t>
  </si>
  <si>
    <t>451338</t>
  </si>
  <si>
    <t>Culberson County Hospital</t>
  </si>
  <si>
    <t>451304</t>
  </si>
  <si>
    <t>Schleicher County Medical Center</t>
  </si>
  <si>
    <t>450489</t>
  </si>
  <si>
    <t>451353</t>
  </si>
  <si>
    <t>451306</t>
  </si>
  <si>
    <t>Kimble Hospital</t>
  </si>
  <si>
    <t>450620</t>
  </si>
  <si>
    <t>217884001</t>
  </si>
  <si>
    <t>450099</t>
  </si>
  <si>
    <t>Pampa Regional Medical Center</t>
  </si>
  <si>
    <t>451347</t>
  </si>
  <si>
    <t>Coleman County Medical Center</t>
  </si>
  <si>
    <t>451348</t>
  </si>
  <si>
    <t>Heart of Texas Healthcare System</t>
  </si>
  <si>
    <t>Mcculloch</t>
  </si>
  <si>
    <t>450498</t>
  </si>
  <si>
    <t>450085</t>
  </si>
  <si>
    <t>451372</t>
  </si>
  <si>
    <t>Muleshoe Area Medical Center</t>
  </si>
  <si>
    <t>450078</t>
  </si>
  <si>
    <t>City of Anson</t>
  </si>
  <si>
    <t>450082</t>
  </si>
  <si>
    <t>CHRISTUS Spohn Hospital - Beeville</t>
  </si>
  <si>
    <t>450788</t>
  </si>
  <si>
    <t>Corpus Christi Medical Center</t>
  </si>
  <si>
    <t>451317</t>
  </si>
  <si>
    <t>Refugio Co Memorial Hospital District</t>
  </si>
  <si>
    <t>450147</t>
  </si>
  <si>
    <t>450828</t>
  </si>
  <si>
    <t>450046</t>
  </si>
  <si>
    <t>CHRISTUS Spohn Hospital - Corpus Christi</t>
  </si>
  <si>
    <t>451364</t>
  </si>
  <si>
    <t>450163</t>
  </si>
  <si>
    <t>CHRISTUS Spohn Hospital - Kleberg</t>
  </si>
  <si>
    <t>450023</t>
  </si>
  <si>
    <t>Citizens Medical Center, County of Victoria</t>
  </si>
  <si>
    <t>451356</t>
  </si>
  <si>
    <t>450675</t>
  </si>
  <si>
    <t>Columbia Medical Center of Arlington Subsidiary LP</t>
  </si>
  <si>
    <t>450743</t>
  </si>
  <si>
    <t>020967801</t>
  </si>
  <si>
    <t>Texas Health Denton</t>
  </si>
  <si>
    <t>453300</t>
  </si>
  <si>
    <t>450087</t>
  </si>
  <si>
    <t>Columbia North Hills Hospital Subsidiary LP</t>
  </si>
  <si>
    <t>450596</t>
  </si>
  <si>
    <t>Lake Granbury Medical Center</t>
  </si>
  <si>
    <t>450669</t>
  </si>
  <si>
    <t>Columbia Medical Center of Lewisville</t>
  </si>
  <si>
    <t>450672</t>
  </si>
  <si>
    <t>450634</t>
  </si>
  <si>
    <t>Columbia Medical Center of Denton</t>
  </si>
  <si>
    <t>450135</t>
  </si>
  <si>
    <t>Texas Health Fort Worth</t>
  </si>
  <si>
    <t>450779</t>
  </si>
  <si>
    <t>Texas Health Southwest</t>
  </si>
  <si>
    <t>409214</t>
  </si>
  <si>
    <t>Tarrant County Hospital District/ JPS</t>
  </si>
  <si>
    <t>450563</t>
  </si>
  <si>
    <t>450419</t>
  </si>
  <si>
    <t>Texas Health Azle</t>
  </si>
  <si>
    <t>450271</t>
  </si>
  <si>
    <t>450064</t>
  </si>
  <si>
    <t>Texas Health Arlington Memorial</t>
  </si>
  <si>
    <t>450148</t>
  </si>
  <si>
    <t>Texas Health Cleburne</t>
  </si>
  <si>
    <t>450137</t>
  </si>
  <si>
    <t>450639</t>
  </si>
  <si>
    <t>Texas Health HEB</t>
  </si>
  <si>
    <t>450203</t>
  </si>
  <si>
    <t>184409401</t>
  </si>
  <si>
    <t>Weatherford Regional Medical Center</t>
  </si>
  <si>
    <t>670023</t>
  </si>
  <si>
    <t>Methodist Mansfield Medical Center</t>
  </si>
  <si>
    <t>145066</t>
  </si>
  <si>
    <t>670085</t>
  </si>
  <si>
    <t>Texas Health Alliance</t>
  </si>
  <si>
    <t>450893</t>
  </si>
  <si>
    <t>The Heart Hospital at Baylor Denton</t>
  </si>
  <si>
    <t>338292101</t>
  </si>
  <si>
    <t>Sound Physician Group</t>
  </si>
  <si>
    <t>450730</t>
  </si>
  <si>
    <t>344925801</t>
  </si>
  <si>
    <t>Baylor Medical Center at Carrollton</t>
  </si>
  <si>
    <t>670103</t>
  </si>
  <si>
    <t>Medical Center Alliance</t>
  </si>
  <si>
    <t>450718</t>
  </si>
  <si>
    <t>454084</t>
  </si>
  <si>
    <t>Austin State Hospital</t>
  </si>
  <si>
    <t>451365</t>
  </si>
  <si>
    <t>Seton Highland Lakes Hospital</t>
  </si>
  <si>
    <t>451371</t>
  </si>
  <si>
    <t>Seton Edgar B. Davis Hospital</t>
  </si>
  <si>
    <t>450431</t>
  </si>
  <si>
    <t>Saint David's Medical Center</t>
  </si>
  <si>
    <t>450809</t>
  </si>
  <si>
    <t>St. Davids North Austin Medical Center</t>
  </si>
  <si>
    <t>454029</t>
  </si>
  <si>
    <t>Seton Shoal Creek Hospital</t>
  </si>
  <si>
    <t>450713</t>
  </si>
  <si>
    <t>St. Davids South Austin Medical Center</t>
  </si>
  <si>
    <t>450272</t>
  </si>
  <si>
    <t>121789503</t>
  </si>
  <si>
    <t>Adventist Health System Sunbelt Inc</t>
  </si>
  <si>
    <t>450056</t>
  </si>
  <si>
    <t>Seton Medical Center Austin</t>
  </si>
  <si>
    <t>451374</t>
  </si>
  <si>
    <t>450124</t>
  </si>
  <si>
    <t>University Medical Center at Brackenridge</t>
  </si>
  <si>
    <t>450865</t>
  </si>
  <si>
    <t>Seton Southwest Hospital</t>
  </si>
  <si>
    <t>450867</t>
  </si>
  <si>
    <t>Seton Northwest Hospital</t>
  </si>
  <si>
    <t>454103</t>
  </si>
  <si>
    <t>453310</t>
  </si>
  <si>
    <t>Dell Children's Medical Center</t>
  </si>
  <si>
    <t>670034</t>
  </si>
  <si>
    <t>670043</t>
  </si>
  <si>
    <t>670041</t>
  </si>
  <si>
    <t>Seton Medical Center Williamson</t>
  </si>
  <si>
    <t>670056</t>
  </si>
  <si>
    <t>Seton Medical Center Hays</t>
  </si>
  <si>
    <t>450143</t>
  </si>
  <si>
    <t>Seton Smithville Regional Hospital</t>
  </si>
  <si>
    <t>670108</t>
  </si>
  <si>
    <t>Scott and White Hospital - Marble Falls</t>
  </si>
  <si>
    <t>Total Non-Rural and Non-State Hospital Costs</t>
  </si>
  <si>
    <t>Total Physician Group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</si>
</sst>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00"/>
    <numFmt numFmtId="166" formatCode="&quot;$&quot;#,##0"/>
    <numFmt numFmtId="167" formatCode="_(* #,##0_);_(* \(#,##0\);_(* &quot;-&quot;??_);_(@_)"/>
    <numFmt numFmtId="168" formatCode="0.0000%"/>
    <numFmt numFmtId="169" formatCode="&quot;$&quot;#,##0.00000000"/>
    <numFmt numFmtId="170" formatCode="_(* #,##0.00_);_(* \(#,##0.00\);_(* \-??_);_(@_)"/>
    <numFmt numFmtId="171" formatCode="\ * #,##0.00\ ;\ * \(#,##0.00\);\ * \-#\ ;\ @\ "/>
    <numFmt numFmtId="172" formatCode="&quot; $&quot;* #,##0.00\ ;&quot; $&quot;* \(#,##0.00\);&quot; $&quot;* \-#\ ;\ @\ "/>
    <numFmt numFmtId="173" formatCode="_(\$* #,##0.00_);_(\$* \(#,##0.00\);_(\$* \-??_);_(@_)"/>
    <numFmt numFmtId="174" formatCode="mmmm\ d\,\ yyyy"/>
    <numFmt numFmtId="175" formatCode="_-&quot;$&quot;\ * #,##0.00_-;_-&quot;$&quot;\ * #,##0.00\-;_-&quot;$&quot;\ * &quot;-&quot;??_-;_-@_-"/>
    <numFmt numFmtId="176" formatCode="General_)"/>
    <numFmt numFmtId="177" formatCode="0.00_);[Red]\(0.00\)"/>
  </numFmts>
  <fonts count="105">
    <font>
      <sz val="10"/>
      <color theme="1"/>
      <name val="Arial"/>
      <family val="2"/>
    </font>
    <font>
      <sz val="12"/>
      <color theme="1"/>
      <name val="Verdana"/>
      <family val="2"/>
    </font>
    <font>
      <sz val="12"/>
      <color theme="1"/>
      <name val="Verdana"/>
      <family val="2"/>
    </font>
    <font>
      <sz val="12"/>
      <color theme="1"/>
      <name val="Verdana"/>
      <family val="2"/>
    </font>
    <font>
      <sz val="12"/>
      <color theme="1"/>
      <name val="Verdana"/>
      <family val="2"/>
    </font>
    <font>
      <sz val="12"/>
      <color theme="1"/>
      <name val="Verdana"/>
      <family val="2"/>
    </font>
    <font>
      <sz val="10"/>
      <color theme="1"/>
      <name val="Arial"/>
      <family val="2"/>
    </font>
    <font>
      <b/>
      <sz val="10"/>
      <name val="Arial"/>
      <family val="2"/>
    </font>
    <font>
      <b/>
      <sz val="10"/>
      <color theme="1"/>
      <name val="Arial"/>
      <family val="2"/>
    </font>
    <font>
      <sz val="11"/>
      <color theme="1"/>
      <name val="Calibri"/>
      <family val="2"/>
      <scheme val="minor"/>
    </font>
    <font>
      <b/>
      <sz val="12"/>
      <color theme="1"/>
      <name val="Arial"/>
      <family val="2"/>
    </font>
    <font>
      <sz val="9"/>
      <color indexed="81"/>
      <name val="Tahoma"/>
      <family val="2"/>
    </font>
    <font>
      <b/>
      <sz val="9"/>
      <color indexed="81"/>
      <name val="Tahoma"/>
      <family val="2"/>
    </font>
    <font>
      <sz val="10"/>
      <color rgb="FF000000"/>
      <name val="Arial"/>
      <family val="2"/>
      <charset val="1"/>
    </font>
    <font>
      <sz val="12"/>
      <color rgb="FF000000"/>
      <name val="Verdana"/>
      <family val="2"/>
      <charset val="1"/>
    </font>
    <font>
      <sz val="10"/>
      <color rgb="FF000000"/>
      <name val="Arial"/>
      <family val="2"/>
    </font>
    <font>
      <sz val="10"/>
      <name val="Arial"/>
      <family val="2"/>
    </font>
    <font>
      <sz val="10"/>
      <name val="Arial"/>
      <family val="2"/>
    </font>
    <font>
      <sz val="11"/>
      <color rgb="FF000000"/>
      <name val="Calibri"/>
      <family val="2"/>
      <charset val="1"/>
    </font>
    <font>
      <sz val="10"/>
      <color indexed="8"/>
      <name val="Arial"/>
      <family val="2"/>
    </font>
    <font>
      <b/>
      <sz val="12"/>
      <name val="Arial"/>
      <family val="2"/>
    </font>
    <font>
      <sz val="10"/>
      <name val="MS Sans Serif"/>
      <family val="2"/>
    </font>
    <font>
      <b/>
      <sz val="10"/>
      <name val="MS Sans Serif"/>
      <family val="2"/>
    </font>
    <font>
      <sz val="10"/>
      <color theme="0"/>
      <name val="Arial"/>
      <family val="2"/>
    </font>
    <font>
      <sz val="12"/>
      <name val="Arial"/>
      <family val="2"/>
    </font>
    <font>
      <b/>
      <sz val="11"/>
      <color theme="1"/>
      <name val="Calibri"/>
      <family val="2"/>
      <scheme val="minor"/>
    </font>
    <font>
      <sz val="10"/>
      <color rgb="FFFF0000"/>
      <name val="Arial"/>
      <family val="2"/>
    </font>
    <font>
      <sz val="11"/>
      <color indexed="8"/>
      <name val="Calibri"/>
      <family val="2"/>
    </font>
    <font>
      <sz val="11"/>
      <color rgb="FFFF0000"/>
      <name val="Calibri"/>
      <family val="2"/>
      <scheme val="minor"/>
    </font>
    <font>
      <b/>
      <sz val="11"/>
      <color indexed="8"/>
      <name val="Calibri"/>
      <family val="2"/>
    </font>
    <font>
      <sz val="12"/>
      <color theme="1"/>
      <name val="Times New Roman"/>
      <family val="2"/>
    </font>
    <font>
      <sz val="11"/>
      <color indexed="9"/>
      <name val="Calibri"/>
      <family val="2"/>
    </font>
    <font>
      <sz val="11"/>
      <color indexed="16"/>
      <name val="Calibri"/>
      <family val="2"/>
    </font>
    <font>
      <sz val="11"/>
      <color indexed="20"/>
      <name val="Calibri"/>
      <family val="2"/>
    </font>
    <font>
      <b/>
      <sz val="11"/>
      <color indexed="53"/>
      <name val="Calibri"/>
      <family val="2"/>
    </font>
    <font>
      <b/>
      <sz val="11"/>
      <color indexed="52"/>
      <name val="Calibri"/>
      <family val="2"/>
    </font>
    <font>
      <b/>
      <sz val="11"/>
      <color indexed="9"/>
      <name val="Calibri"/>
      <family val="2"/>
    </font>
    <font>
      <sz val="7"/>
      <name val="Arial"/>
      <family val="2"/>
    </font>
    <font>
      <sz val="10"/>
      <name val="CG Times (W1)"/>
    </font>
    <font>
      <b/>
      <i/>
      <sz val="10"/>
      <name val="Arial"/>
      <family val="2"/>
    </font>
    <font>
      <i/>
      <sz val="11"/>
      <color indexed="23"/>
      <name val="Calibri"/>
      <family val="2"/>
    </font>
    <font>
      <sz val="11"/>
      <color indexed="17"/>
      <name val="Calibri"/>
      <family val="2"/>
    </font>
    <font>
      <sz val="8"/>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u/>
      <sz val="11"/>
      <color theme="10"/>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Geneva"/>
      <family val="2"/>
    </font>
    <font>
      <b/>
      <sz val="11"/>
      <color indexed="63"/>
      <name val="Calibri"/>
      <family val="2"/>
    </font>
    <font>
      <b/>
      <sz val="18"/>
      <color indexed="62"/>
      <name val="Cambria"/>
      <family val="2"/>
    </font>
    <font>
      <b/>
      <sz val="18"/>
      <color indexed="56"/>
      <name val="Cambria"/>
      <family val="2"/>
    </font>
    <font>
      <sz val="11"/>
      <color indexed="10"/>
      <name val="Calibri"/>
      <family val="2"/>
    </font>
    <font>
      <b/>
      <sz val="10"/>
      <color theme="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theme="0"/>
      <name val="Calibri"/>
      <family val="2"/>
      <scheme val="minor"/>
    </font>
    <font>
      <sz val="11"/>
      <color rgb="FF9C0006"/>
      <name val="Calibri"/>
      <family val="2"/>
      <scheme val="minor"/>
    </font>
    <font>
      <b/>
      <sz val="11"/>
      <color indexed="10"/>
      <name val="Calibri"/>
      <family val="2"/>
    </font>
    <font>
      <b/>
      <sz val="11"/>
      <color rgb="FFFA7D00"/>
      <name val="Calibri"/>
      <family val="2"/>
      <scheme val="minor"/>
    </font>
    <font>
      <b/>
      <sz val="11"/>
      <color theme="0"/>
      <name val="Calibri"/>
      <family val="2"/>
      <scheme val="minor"/>
    </font>
    <font>
      <sz val="10"/>
      <name val="Verdana"/>
      <family val="2"/>
    </font>
    <font>
      <i/>
      <sz val="11"/>
      <color rgb="FF7F7F7F"/>
      <name val="Calibri"/>
      <family val="2"/>
      <scheme val="minor"/>
    </font>
    <font>
      <sz val="11"/>
      <color rgb="FF00610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indexed="19"/>
      <name val="Calibri"/>
      <family val="2"/>
    </font>
    <font>
      <sz val="11"/>
      <color rgb="FF9C6500"/>
      <name val="Calibri"/>
      <family val="2"/>
      <scheme val="minor"/>
    </font>
    <font>
      <sz val="10"/>
      <color theme="1"/>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0"/>
      <name val="Helv"/>
    </font>
    <font>
      <u/>
      <sz val="10"/>
      <color theme="10"/>
      <name val="Arial"/>
      <family val="2"/>
    </font>
    <font>
      <sz val="18"/>
      <name val="Arial"/>
      <family val="2"/>
    </font>
    <font>
      <b/>
      <sz val="15"/>
      <color theme="3"/>
      <name val="Calibri"/>
      <family val="2"/>
      <scheme val="minor"/>
    </font>
    <font>
      <b/>
      <sz val="11"/>
      <color rgb="FF3F3F3F"/>
      <name val="Calibri"/>
      <family val="2"/>
      <scheme val="minor"/>
    </font>
    <font>
      <b/>
      <sz val="18"/>
      <color theme="3"/>
      <name val="Cambria"/>
      <family val="2"/>
      <scheme val="major"/>
    </font>
    <font>
      <sz val="10"/>
      <name val="Times New Roman"/>
      <family val="1"/>
    </font>
    <font>
      <sz val="10"/>
      <name val="Courier"/>
      <family val="3"/>
    </font>
    <font>
      <u/>
      <sz val="10"/>
      <color indexed="36"/>
      <name val="Arial"/>
      <family val="2"/>
    </font>
    <font>
      <sz val="12"/>
      <color theme="1"/>
      <name val="Calibri"/>
      <family val="2"/>
      <scheme val="minor"/>
    </font>
    <font>
      <u/>
      <sz val="10"/>
      <color theme="10"/>
      <name val="ArialMT"/>
      <family val="2"/>
    </font>
    <font>
      <sz val="11"/>
      <color theme="1"/>
      <name val="Cambria"/>
      <family val="2"/>
    </font>
  </fonts>
  <fills count="112">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6"/>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4" tint="0.39997558519241921"/>
        <bgColor indexed="64"/>
      </patternFill>
    </fill>
    <fill>
      <patternFill patternType="solid">
        <fgColor rgb="FFFFFFCC"/>
      </patternFill>
    </fill>
    <fill>
      <patternFill patternType="solid">
        <fgColor rgb="FFFFFFCC"/>
        <bgColor rgb="FFECF1E1"/>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mediumGray">
        <fgColor indexed="22"/>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45"/>
        <bgColor indexed="45"/>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56"/>
      </patternFill>
    </fill>
    <fill>
      <patternFill patternType="solid">
        <fgColor indexed="54"/>
      </patternFill>
    </fill>
    <fill>
      <patternFill patternType="solid">
        <fgColor indexed="9"/>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indexed="15"/>
      </patternFill>
    </fill>
    <fill>
      <patternFill patternType="solid">
        <fgColor theme="2" tint="-9.9948118533890809E-2"/>
        <bgColor indexed="64"/>
      </patternFill>
    </fill>
  </fills>
  <borders count="1378">
    <border>
      <left/>
      <right/>
      <top/>
      <bottom/>
      <diagonal/>
    </border>
    <border>
      <left/>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thin">
        <color indexed="64"/>
      </bottom>
      <diagonal/>
    </border>
    <border>
      <left style="thin">
        <color auto="1"/>
      </left>
      <right style="thin">
        <color auto="1"/>
      </right>
      <top style="thin">
        <color auto="1"/>
      </top>
      <bottom/>
      <diagonal/>
    </border>
    <border>
      <left style="medium">
        <color indexed="64"/>
      </left>
      <right style="thin">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62"/>
      </bottom>
      <diagonal/>
    </border>
    <border>
      <left/>
      <right/>
      <top/>
      <bottom style="thick">
        <color indexed="22"/>
      </bottom>
      <diagonal/>
    </border>
    <border>
      <left/>
      <right/>
      <top/>
      <bottom style="medium">
        <color indexed="44"/>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bottom style="medium">
        <color indexed="27"/>
      </bottom>
      <diagonal/>
    </border>
    <border>
      <left/>
      <right/>
      <top/>
      <bottom style="double">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44825">
    <xf numFmtId="0" fontId="0" fillId="0" borderId="0"/>
    <xf numFmtId="9" fontId="6" fillId="0" borderId="0" applyFont="0" applyFill="0" applyBorder="0" applyAlignment="0" applyProtection="0"/>
    <xf numFmtId="43" fontId="6" fillId="0" borderId="0" applyFont="0" applyFill="0" applyBorder="0" applyAlignment="0" applyProtection="0"/>
    <xf numFmtId="0" fontId="6" fillId="19" borderId="22" applyNumberFormat="0" applyFont="0" applyAlignment="0" applyProtection="0"/>
    <xf numFmtId="0" fontId="14" fillId="0" borderId="0"/>
    <xf numFmtId="0" fontId="5" fillId="0" borderId="0"/>
    <xf numFmtId="0" fontId="5" fillId="0" borderId="0"/>
    <xf numFmtId="0" fontId="16" fillId="0" borderId="0"/>
    <xf numFmtId="0" fontId="17" fillId="0" borderId="0"/>
    <xf numFmtId="44" fontId="16" fillId="0" borderId="0" applyFont="0" applyFill="0" applyBorder="0" applyAlignment="0" applyProtection="0"/>
    <xf numFmtId="0" fontId="15" fillId="0" borderId="0"/>
    <xf numFmtId="0" fontId="4" fillId="0" borderId="0"/>
    <xf numFmtId="0" fontId="15"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3" fillId="0" borderId="0"/>
    <xf numFmtId="9" fontId="13" fillId="0" borderId="0" applyFont="0" applyFill="0" applyBorder="0" applyAlignment="0" applyProtection="0"/>
    <xf numFmtId="0" fontId="18" fillId="0" borderId="0"/>
    <xf numFmtId="0" fontId="4" fillId="19" borderId="22" applyNumberFormat="0" applyFont="0" applyAlignment="0" applyProtection="0"/>
    <xf numFmtId="170" fontId="14" fillId="0" borderId="0" applyBorder="0" applyProtection="0"/>
    <xf numFmtId="0" fontId="18" fillId="0" borderId="0"/>
    <xf numFmtId="171" fontId="18" fillId="0" borderId="0"/>
    <xf numFmtId="172" fontId="18" fillId="0" borderId="0"/>
    <xf numFmtId="9" fontId="18" fillId="0" borderId="0"/>
    <xf numFmtId="0" fontId="18" fillId="20" borderId="0"/>
    <xf numFmtId="173" fontId="14" fillId="0" borderId="0" applyBorder="0" applyProtection="0"/>
    <xf numFmtId="0" fontId="4" fillId="0" borderId="0"/>
    <xf numFmtId="0" fontId="19" fillId="0" borderId="0"/>
    <xf numFmtId="0" fontId="3" fillId="0" borderId="0"/>
    <xf numFmtId="0" fontId="9" fillId="0" borderId="0"/>
    <xf numFmtId="44" fontId="3" fillId="0" borderId="0" applyFont="0" applyFill="0" applyBorder="0" applyAlignment="0" applyProtection="0"/>
    <xf numFmtId="44" fontId="9" fillId="0" borderId="0" applyFont="0" applyFill="0" applyBorder="0" applyAlignment="0" applyProtection="0"/>
    <xf numFmtId="0" fontId="9"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0" fontId="9" fillId="0" borderId="0"/>
    <xf numFmtId="9"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3" fontId="24" fillId="0" borderId="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5" fontId="24" fillId="0" borderId="0" applyFill="0" applyBorder="0" applyAlignment="0" applyProtection="0"/>
    <xf numFmtId="174" fontId="24" fillId="0" borderId="0" applyFill="0" applyBorder="0" applyAlignment="0" applyProtection="0"/>
    <xf numFmtId="2" fontId="24" fillId="0" borderId="0" applyFill="0" applyBorder="0" applyAlignment="0" applyProtection="0"/>
    <xf numFmtId="0" fontId="21"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21" fillId="0" borderId="0" applyNumberFormat="0" applyFont="0" applyFill="0" applyBorder="0" applyAlignment="0" applyProtection="0">
      <alignment horizontal="left"/>
    </xf>
    <xf numFmtId="15" fontId="21" fillId="0" borderId="0" applyFont="0" applyFill="0" applyBorder="0" applyAlignment="0" applyProtection="0"/>
    <xf numFmtId="4" fontId="21" fillId="0" borderId="0" applyFont="0" applyFill="0" applyBorder="0" applyAlignment="0" applyProtection="0"/>
    <xf numFmtId="0" fontId="22" fillId="0" borderId="32">
      <alignment horizontal="center"/>
    </xf>
    <xf numFmtId="3" fontId="21" fillId="0" borderId="0" applyFont="0" applyFill="0" applyBorder="0" applyAlignment="0" applyProtection="0"/>
    <xf numFmtId="0" fontId="21" fillId="55" borderId="0" applyNumberFormat="0" applyFont="0" applyBorder="0" applyAlignment="0" applyProtection="0"/>
    <xf numFmtId="44" fontId="9"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9" fillId="0" borderId="0"/>
    <xf numFmtId="43" fontId="9" fillId="0" borderId="0" applyFont="0" applyFill="0" applyBorder="0" applyAlignment="0" applyProtection="0"/>
    <xf numFmtId="0" fontId="30" fillId="0" borderId="0"/>
    <xf numFmtId="0" fontId="21" fillId="0" borderId="0"/>
    <xf numFmtId="0" fontId="27" fillId="57"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31" fillId="67"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1" fillId="68"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31" fillId="72"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31" fillId="79"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81"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31" fillId="76"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68"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31" fillId="72" borderId="0" applyNumberFormat="0" applyBorder="0" applyAlignment="0" applyProtection="0"/>
    <xf numFmtId="0" fontId="31" fillId="83" borderId="0" applyNumberFormat="0" applyBorder="0" applyAlignment="0" applyProtection="0"/>
    <xf numFmtId="0" fontId="31" fillId="83" borderId="0" applyNumberFormat="0" applyBorder="0" applyAlignment="0" applyProtection="0"/>
    <xf numFmtId="0" fontId="31" fillId="69"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31" fillId="84"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6" borderId="0" applyNumberFormat="0" applyBorder="0" applyAlignment="0" applyProtection="0"/>
    <xf numFmtId="0" fontId="32" fillId="87" borderId="0" applyNumberFormat="0" applyBorder="0" applyAlignment="0" applyProtection="0"/>
    <xf numFmtId="0" fontId="33" fillId="58" borderId="0" applyNumberFormat="0" applyBorder="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4" fillId="56"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5" fillId="88" borderId="34" applyNumberFormat="0" applyAlignment="0" applyProtection="0"/>
    <xf numFmtId="0" fontId="36" fillId="77" borderId="35" applyNumberFormat="0" applyAlignment="0" applyProtection="0"/>
    <xf numFmtId="0" fontId="36" fillId="89" borderId="35" applyNumberFormat="0" applyAlignment="0" applyProtection="0"/>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9" fontId="37" fillId="0" borderId="6">
      <alignment horizontal="right" wrapText="1"/>
    </xf>
    <xf numFmtId="43" fontId="27"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9" fillId="0" borderId="0" applyFont="0" applyFill="0" applyBorder="0" applyAlignment="0" applyProtection="0"/>
    <xf numFmtId="0" fontId="29" fillId="90" borderId="0" applyNumberFormat="0" applyBorder="0" applyAlignment="0" applyProtection="0"/>
    <xf numFmtId="0" fontId="29" fillId="91" borderId="0" applyNumberFormat="0" applyBorder="0" applyAlignment="0" applyProtection="0"/>
    <xf numFmtId="0" fontId="29" fillId="92" borderId="0" applyNumberFormat="0" applyBorder="0" applyAlignment="0" applyProtection="0"/>
    <xf numFmtId="0" fontId="40" fillId="0" borderId="0" applyNumberFormat="0" applyFill="0" applyBorder="0" applyAlignment="0" applyProtection="0"/>
    <xf numFmtId="0" fontId="41" fillId="80" borderId="0" applyNumberFormat="0" applyBorder="0" applyAlignment="0" applyProtection="0"/>
    <xf numFmtId="0" fontId="41" fillId="59" borderId="0" applyNumberFormat="0" applyBorder="0" applyAlignment="0" applyProtection="0"/>
    <xf numFmtId="38" fontId="42" fillId="53" borderId="0" applyNumberFormat="0" applyBorder="0" applyAlignment="0" applyProtection="0"/>
    <xf numFmtId="0" fontId="20" fillId="0" borderId="1" applyNumberFormat="0" applyAlignment="0" applyProtection="0">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20" fillId="0" borderId="23">
      <alignment horizontal="left" vertical="center"/>
    </xf>
    <xf numFmtId="0" fontId="43" fillId="0" borderId="36" applyNumberFormat="0" applyFill="0" applyAlignment="0" applyProtection="0"/>
    <xf numFmtId="0" fontId="44" fillId="0" borderId="37" applyNumberFormat="0" applyFill="0" applyAlignment="0" applyProtection="0"/>
    <xf numFmtId="0" fontId="45" fillId="0" borderId="38" applyNumberFormat="0" applyFill="0" applyAlignment="0" applyProtection="0"/>
    <xf numFmtId="0" fontId="46" fillId="0" borderId="38" applyNumberFormat="0" applyFill="0" applyAlignment="0" applyProtection="0"/>
    <xf numFmtId="0" fontId="47" fillId="0" borderId="39" applyNumberFormat="0" applyFill="0" applyAlignment="0" applyProtection="0"/>
    <xf numFmtId="0" fontId="48" fillId="0" borderId="40"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10" fontId="42" fillId="52" borderId="5" applyNumberFormat="0" applyBorder="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84"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1" fillId="62" borderId="34" applyNumberFormat="0" applyAlignment="0" applyProtection="0"/>
    <xf numFmtId="0" fontId="52" fillId="0" borderId="41" applyNumberFormat="0" applyFill="0" applyAlignment="0" applyProtection="0"/>
    <xf numFmtId="0" fontId="53" fillId="0" borderId="41" applyNumberFormat="0" applyFill="0" applyAlignment="0" applyProtection="0"/>
    <xf numFmtId="0" fontId="54" fillId="93" borderId="0" applyNumberFormat="0" applyBorder="0" applyAlignment="0" applyProtection="0"/>
    <xf numFmtId="0" fontId="54" fillId="94" borderId="0" applyNumberFormat="0" applyBorder="0" applyAlignment="0" applyProtection="0"/>
    <xf numFmtId="175" fontId="55" fillId="0" borderId="0"/>
    <xf numFmtId="0" fontId="21"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21" fillId="0" borderId="0"/>
    <xf numFmtId="0" fontId="16" fillId="0" borderId="0"/>
    <xf numFmtId="0" fontId="9" fillId="0" borderId="0"/>
    <xf numFmtId="0" fontId="6" fillId="0" borderId="0"/>
    <xf numFmtId="0" fontId="9" fillId="0" borderId="0"/>
    <xf numFmtId="0" fontId="9" fillId="0" borderId="0"/>
    <xf numFmtId="0" fontId="6" fillId="0" borderId="0"/>
    <xf numFmtId="0" fontId="9" fillId="0" borderId="0"/>
    <xf numFmtId="0" fontId="6" fillId="0" borderId="0"/>
    <xf numFmtId="0" fontId="21" fillId="0" borderId="0"/>
    <xf numFmtId="0" fontId="16" fillId="0" borderId="0"/>
    <xf numFmtId="0" fontId="24" fillId="0" borderId="0"/>
    <xf numFmtId="0" fontId="38" fillId="0" borderId="0"/>
    <xf numFmtId="0" fontId="9" fillId="0" borderId="0"/>
    <xf numFmtId="0" fontId="30" fillId="0" borderId="0"/>
    <xf numFmtId="0" fontId="9" fillId="0" borderId="0"/>
    <xf numFmtId="0" fontId="30" fillId="0" borderId="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4" fillId="7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56"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0" fontId="56" fillId="88" borderId="42" applyNumberFormat="0" applyAlignment="0" applyProtection="0"/>
    <xf numFmtId="10" fontId="16"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9" fontId="37" fillId="0" borderId="0">
      <alignment horizontal="left" wrapText="1"/>
    </xf>
    <xf numFmtId="0" fontId="57" fillId="0" borderId="0" applyNumberFormat="0" applyFill="0" applyBorder="0" applyAlignment="0" applyProtection="0"/>
    <xf numFmtId="0" fontId="58" fillId="0" borderId="0" applyNumberFormat="0" applyFill="0" applyBorder="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3"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59" fillId="0" borderId="0" applyNumberFormat="0" applyFill="0" applyBorder="0" applyAlignment="0" applyProtection="0"/>
    <xf numFmtId="0" fontId="6" fillId="0" borderId="0"/>
    <xf numFmtId="0" fontId="6" fillId="0" borderId="0"/>
    <xf numFmtId="0" fontId="27" fillId="57"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7" fillId="63"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7" fillId="63" borderId="0" applyNumberFormat="0" applyBorder="0" applyAlignment="0" applyProtection="0"/>
    <xf numFmtId="0" fontId="6" fillId="29" borderId="0" applyNumberFormat="0" applyBorder="0" applyAlignment="0" applyProtection="0"/>
    <xf numFmtId="0" fontId="27" fillId="6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7" fillId="63" borderId="0" applyNumberFormat="0" applyBorder="0" applyAlignment="0" applyProtection="0"/>
    <xf numFmtId="0" fontId="6" fillId="29" borderId="0" applyNumberFormat="0" applyBorder="0" applyAlignment="0" applyProtection="0"/>
    <xf numFmtId="0" fontId="27" fillId="63" borderId="0" applyNumberFormat="0" applyBorder="0" applyAlignment="0" applyProtection="0"/>
    <xf numFmtId="0" fontId="6" fillId="29" borderId="0" applyNumberFormat="0" applyBorder="0" applyAlignment="0" applyProtection="0"/>
    <xf numFmtId="0" fontId="9" fillId="57" borderId="0" applyNumberFormat="0" applyBorder="0" applyAlignment="0" applyProtection="0"/>
    <xf numFmtId="0" fontId="9" fillId="29" borderId="0" applyNumberFormat="0" applyBorder="0" applyAlignment="0" applyProtection="0"/>
    <xf numFmtId="0" fontId="9" fillId="57" borderId="0" applyNumberFormat="0" applyBorder="0" applyAlignment="0" applyProtection="0"/>
    <xf numFmtId="0" fontId="9" fillId="29" borderId="0" applyNumberFormat="0" applyBorder="0" applyAlignment="0" applyProtection="0"/>
    <xf numFmtId="0" fontId="27" fillId="58"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7" fillId="6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7" fillId="64" borderId="0" applyNumberFormat="0" applyBorder="0" applyAlignment="0" applyProtection="0"/>
    <xf numFmtId="0" fontId="6" fillId="33" borderId="0" applyNumberFormat="0" applyBorder="0" applyAlignment="0" applyProtection="0"/>
    <xf numFmtId="0" fontId="27" fillId="6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7" fillId="64" borderId="0" applyNumberFormat="0" applyBorder="0" applyAlignment="0" applyProtection="0"/>
    <xf numFmtId="0" fontId="6" fillId="33" borderId="0" applyNumberFormat="0" applyBorder="0" applyAlignment="0" applyProtection="0"/>
    <xf numFmtId="0" fontId="27" fillId="64" borderId="0" applyNumberFormat="0" applyBorder="0" applyAlignment="0" applyProtection="0"/>
    <xf numFmtId="0" fontId="6" fillId="33" borderId="0" applyNumberFormat="0" applyBorder="0" applyAlignment="0" applyProtection="0"/>
    <xf numFmtId="0" fontId="9" fillId="58" borderId="0" applyNumberFormat="0" applyBorder="0" applyAlignment="0" applyProtection="0"/>
    <xf numFmtId="0" fontId="9" fillId="33" borderId="0" applyNumberFormat="0" applyBorder="0" applyAlignment="0" applyProtection="0"/>
    <xf numFmtId="0" fontId="9" fillId="58" borderId="0" applyNumberFormat="0" applyBorder="0" applyAlignment="0" applyProtection="0"/>
    <xf numFmtId="0" fontId="27" fillId="59"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7" fillId="9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7" fillId="95" borderId="0" applyNumberFormat="0" applyBorder="0" applyAlignment="0" applyProtection="0"/>
    <xf numFmtId="0" fontId="6" fillId="37" borderId="0" applyNumberFormat="0" applyBorder="0" applyAlignment="0" applyProtection="0"/>
    <xf numFmtId="0" fontId="27" fillId="9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7" fillId="95" borderId="0" applyNumberFormat="0" applyBorder="0" applyAlignment="0" applyProtection="0"/>
    <xf numFmtId="0" fontId="6" fillId="37" borderId="0" applyNumberFormat="0" applyBorder="0" applyAlignment="0" applyProtection="0"/>
    <xf numFmtId="0" fontId="27" fillId="95" borderId="0" applyNumberFormat="0" applyBorder="0" applyAlignment="0" applyProtection="0"/>
    <xf numFmtId="0" fontId="6" fillId="37" borderId="0" applyNumberFormat="0" applyBorder="0" applyAlignment="0" applyProtection="0"/>
    <xf numFmtId="0" fontId="9" fillId="59" borderId="0" applyNumberFormat="0" applyBorder="0" applyAlignment="0" applyProtection="0"/>
    <xf numFmtId="0" fontId="9" fillId="37" borderId="0" applyNumberFormat="0" applyBorder="0" applyAlignment="0" applyProtection="0"/>
    <xf numFmtId="0" fontId="9" fillId="59" borderId="0" applyNumberFormat="0" applyBorder="0" applyAlignment="0" applyProtection="0"/>
    <xf numFmtId="0" fontId="27" fillId="60"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7" fillId="62"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7" fillId="62" borderId="0" applyNumberFormat="0" applyBorder="0" applyAlignment="0" applyProtection="0"/>
    <xf numFmtId="0" fontId="6" fillId="41" borderId="0" applyNumberFormat="0" applyBorder="0" applyAlignment="0" applyProtection="0"/>
    <xf numFmtId="0" fontId="27" fillId="6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7" fillId="62" borderId="0" applyNumberFormat="0" applyBorder="0" applyAlignment="0" applyProtection="0"/>
    <xf numFmtId="0" fontId="6" fillId="41" borderId="0" applyNumberFormat="0" applyBorder="0" applyAlignment="0" applyProtection="0"/>
    <xf numFmtId="0" fontId="27" fillId="62" borderId="0" applyNumberFormat="0" applyBorder="0" applyAlignment="0" applyProtection="0"/>
    <xf numFmtId="0" fontId="6" fillId="41"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7" fillId="61" borderId="0" applyNumberFormat="0" applyBorder="0" applyAlignment="0" applyProtection="0"/>
    <xf numFmtId="0" fontId="6" fillId="45" borderId="0" applyNumberFormat="0" applyBorder="0" applyAlignment="0" applyProtection="0"/>
    <xf numFmtId="0" fontId="27" fillId="6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7" fillId="61" borderId="0" applyNumberFormat="0" applyBorder="0" applyAlignment="0" applyProtection="0"/>
    <xf numFmtId="0" fontId="6" fillId="45" borderId="0" applyNumberFormat="0" applyBorder="0" applyAlignment="0" applyProtection="0"/>
    <xf numFmtId="0" fontId="27" fillId="61" borderId="0" applyNumberFormat="0" applyBorder="0" applyAlignment="0" applyProtection="0"/>
    <xf numFmtId="0" fontId="6" fillId="45" borderId="0" applyNumberFormat="0" applyBorder="0" applyAlignment="0" applyProtection="0"/>
    <xf numFmtId="0" fontId="27" fillId="62"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27" fillId="95" borderId="0" applyNumberFormat="0" applyBorder="0" applyAlignment="0" applyProtection="0"/>
    <xf numFmtId="0" fontId="6" fillId="49" borderId="0" applyNumberFormat="0" applyBorder="0" applyAlignment="0" applyProtection="0"/>
    <xf numFmtId="0" fontId="27" fillId="9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27" fillId="95" borderId="0" applyNumberFormat="0" applyBorder="0" applyAlignment="0" applyProtection="0"/>
    <xf numFmtId="0" fontId="6" fillId="49" borderId="0" applyNumberFormat="0" applyBorder="0" applyAlignment="0" applyProtection="0"/>
    <xf numFmtId="0" fontId="27" fillId="95" borderId="0" applyNumberFormat="0" applyBorder="0" applyAlignment="0" applyProtection="0"/>
    <xf numFmtId="0" fontId="6" fillId="49" borderId="0" applyNumberFormat="0" applyBorder="0" applyAlignment="0" applyProtection="0"/>
    <xf numFmtId="0" fontId="27" fillId="63"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7" fillId="61" borderId="0" applyNumberFormat="0" applyBorder="0" applyAlignment="0" applyProtection="0"/>
    <xf numFmtId="0" fontId="6" fillId="30" borderId="0" applyNumberFormat="0" applyBorder="0" applyAlignment="0" applyProtection="0"/>
    <xf numFmtId="0" fontId="27" fillId="61"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7" fillId="61" borderId="0" applyNumberFormat="0" applyBorder="0" applyAlignment="0" applyProtection="0"/>
    <xf numFmtId="0" fontId="6" fillId="30" borderId="0" applyNumberFormat="0" applyBorder="0" applyAlignment="0" applyProtection="0"/>
    <xf numFmtId="0" fontId="27" fillId="61" borderId="0" applyNumberFormat="0" applyBorder="0" applyAlignment="0" applyProtection="0"/>
    <xf numFmtId="0" fontId="6" fillId="30"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7" fillId="64" borderId="0" applyNumberFormat="0" applyBorder="0" applyAlignment="0" applyProtection="0"/>
    <xf numFmtId="0" fontId="6" fillId="34" borderId="0" applyNumberFormat="0" applyBorder="0" applyAlignment="0" applyProtection="0"/>
    <xf numFmtId="0" fontId="27" fillId="6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7" fillId="64" borderId="0" applyNumberFormat="0" applyBorder="0" applyAlignment="0" applyProtection="0"/>
    <xf numFmtId="0" fontId="6" fillId="34" borderId="0" applyNumberFormat="0" applyBorder="0" applyAlignment="0" applyProtection="0"/>
    <xf numFmtId="0" fontId="27" fillId="64" borderId="0" applyNumberFormat="0" applyBorder="0" applyAlignment="0" applyProtection="0"/>
    <xf numFmtId="0" fontId="6" fillId="34" borderId="0" applyNumberFormat="0" applyBorder="0" applyAlignment="0" applyProtection="0"/>
    <xf numFmtId="0" fontId="27" fillId="6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7" fillId="94"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7" fillId="94" borderId="0" applyNumberFormat="0" applyBorder="0" applyAlignment="0" applyProtection="0"/>
    <xf numFmtId="0" fontId="6" fillId="38" borderId="0" applyNumberFormat="0" applyBorder="0" applyAlignment="0" applyProtection="0"/>
    <xf numFmtId="0" fontId="27" fillId="9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7" fillId="94" borderId="0" applyNumberFormat="0" applyBorder="0" applyAlignment="0" applyProtection="0"/>
    <xf numFmtId="0" fontId="6" fillId="38" borderId="0" applyNumberFormat="0" applyBorder="0" applyAlignment="0" applyProtection="0"/>
    <xf numFmtId="0" fontId="27" fillId="94" borderId="0" applyNumberFormat="0" applyBorder="0" applyAlignment="0" applyProtection="0"/>
    <xf numFmtId="0" fontId="6" fillId="38" borderId="0" applyNumberFormat="0" applyBorder="0" applyAlignment="0" applyProtection="0"/>
    <xf numFmtId="0" fontId="9" fillId="65" borderId="0" applyNumberFormat="0" applyBorder="0" applyAlignment="0" applyProtection="0"/>
    <xf numFmtId="0" fontId="9" fillId="38" borderId="0" applyNumberFormat="0" applyBorder="0" applyAlignment="0" applyProtection="0"/>
    <xf numFmtId="0" fontId="9" fillId="65" borderId="0" applyNumberFormat="0" applyBorder="0" applyAlignment="0" applyProtection="0"/>
    <xf numFmtId="0" fontId="27" fillId="60"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27" fillId="58" borderId="0" applyNumberFormat="0" applyBorder="0" applyAlignment="0" applyProtection="0"/>
    <xf numFmtId="0" fontId="6" fillId="42" borderId="0" applyNumberFormat="0" applyBorder="0" applyAlignment="0" applyProtection="0"/>
    <xf numFmtId="0" fontId="27" fillId="5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27" fillId="58" borderId="0" applyNumberFormat="0" applyBorder="0" applyAlignment="0" applyProtection="0"/>
    <xf numFmtId="0" fontId="6" fillId="42" borderId="0" applyNumberFormat="0" applyBorder="0" applyAlignment="0" applyProtection="0"/>
    <xf numFmtId="0" fontId="27" fillId="58" borderId="0" applyNumberFormat="0" applyBorder="0" applyAlignment="0" applyProtection="0"/>
    <xf numFmtId="0" fontId="6" fillId="42" borderId="0" applyNumberFormat="0" applyBorder="0" applyAlignment="0" applyProtection="0"/>
    <xf numFmtId="0" fontId="27" fillId="63"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27" fillId="61" borderId="0" applyNumberFormat="0" applyBorder="0" applyAlignment="0" applyProtection="0"/>
    <xf numFmtId="0" fontId="6" fillId="46" borderId="0" applyNumberFormat="0" applyBorder="0" applyAlignment="0" applyProtection="0"/>
    <xf numFmtId="0" fontId="27" fillId="61"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27" fillId="61" borderId="0" applyNumberFormat="0" applyBorder="0" applyAlignment="0" applyProtection="0"/>
    <xf numFmtId="0" fontId="6" fillId="46" borderId="0" applyNumberFormat="0" applyBorder="0" applyAlignment="0" applyProtection="0"/>
    <xf numFmtId="0" fontId="27" fillId="61" borderId="0" applyNumberFormat="0" applyBorder="0" applyAlignment="0" applyProtection="0"/>
    <xf numFmtId="0" fontId="6" fillId="46" borderId="0" applyNumberFormat="0" applyBorder="0" applyAlignment="0" applyProtection="0"/>
    <xf numFmtId="0" fontId="27" fillId="66"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27" fillId="95" borderId="0" applyNumberFormat="0" applyBorder="0" applyAlignment="0" applyProtection="0"/>
    <xf numFmtId="0" fontId="6" fillId="50" borderId="0" applyNumberFormat="0" applyBorder="0" applyAlignment="0" applyProtection="0"/>
    <xf numFmtId="0" fontId="27" fillId="95"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27" fillId="95" borderId="0" applyNumberFormat="0" applyBorder="0" applyAlignment="0" applyProtection="0"/>
    <xf numFmtId="0" fontId="6" fillId="50" borderId="0" applyNumberFormat="0" applyBorder="0" applyAlignment="0" applyProtection="0"/>
    <xf numFmtId="0" fontId="27" fillId="95" borderId="0" applyNumberFormat="0" applyBorder="0" applyAlignment="0" applyProtection="0"/>
    <xf numFmtId="0" fontId="6" fillId="50" borderId="0" applyNumberFormat="0" applyBorder="0" applyAlignment="0" applyProtection="0"/>
    <xf numFmtId="0" fontId="31" fillId="67" borderId="0" applyNumberFormat="0" applyBorder="0" applyAlignment="0" applyProtection="0"/>
    <xf numFmtId="0" fontId="31" fillId="6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4" borderId="0" applyNumberFormat="0" applyBorder="0" applyAlignment="0" applyProtection="0"/>
    <xf numFmtId="0" fontId="31" fillId="86"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31" fillId="86" borderId="0" applyNumberFormat="0" applyBorder="0" applyAlignment="0" applyProtection="0"/>
    <xf numFmtId="0" fontId="31" fillId="86" borderId="0" applyNumberFormat="0" applyBorder="0" applyAlignment="0" applyProtection="0"/>
    <xf numFmtId="0" fontId="31" fillId="65" borderId="0" applyNumberFormat="0" applyBorder="0" applyAlignment="0" applyProtection="0"/>
    <xf numFmtId="0" fontId="72" fillId="65" borderId="0" applyNumberFormat="0" applyBorder="0" applyAlignment="0" applyProtection="0"/>
    <xf numFmtId="0" fontId="72" fillId="39" borderId="0" applyNumberFormat="0" applyBorder="0" applyAlignment="0" applyProtection="0"/>
    <xf numFmtId="0" fontId="31" fillId="66"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72" fillId="65" borderId="0" applyNumberFormat="0" applyBorder="0" applyAlignment="0" applyProtection="0"/>
    <xf numFmtId="0" fontId="72" fillId="39" borderId="0" applyNumberFormat="0" applyBorder="0" applyAlignment="0" applyProtection="0"/>
    <xf numFmtId="0" fontId="72" fillId="65" borderId="0" applyNumberFormat="0" applyBorder="0" applyAlignment="0" applyProtection="0"/>
    <xf numFmtId="0" fontId="31" fillId="68" borderId="0" applyNumberFormat="0" applyBorder="0" applyAlignment="0" applyProtection="0"/>
    <xf numFmtId="0" fontId="72" fillId="68" borderId="0" applyNumberFormat="0" applyBorder="0" applyAlignment="0" applyProtection="0"/>
    <xf numFmtId="0" fontId="72" fillId="43" borderId="0" applyNumberFormat="0" applyBorder="0" applyAlignment="0" applyProtection="0"/>
    <xf numFmtId="0" fontId="31" fillId="58" borderId="0" applyNumberFormat="0" applyBorder="0" applyAlignment="0" applyProtection="0"/>
    <xf numFmtId="0" fontId="72" fillId="68" borderId="0" applyNumberFormat="0" applyBorder="0" applyAlignment="0" applyProtection="0"/>
    <xf numFmtId="0" fontId="72" fillId="68"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72" fillId="68" borderId="0" applyNumberFormat="0" applyBorder="0" applyAlignment="0" applyProtection="0"/>
    <xf numFmtId="0" fontId="72" fillId="43" borderId="0" applyNumberFormat="0" applyBorder="0" applyAlignment="0" applyProtection="0"/>
    <xf numFmtId="0" fontId="72" fillId="68" borderId="0" applyNumberFormat="0" applyBorder="0" applyAlignment="0" applyProtection="0"/>
    <xf numFmtId="0" fontId="31" fillId="69" borderId="0" applyNumberFormat="0" applyBorder="0" applyAlignment="0" applyProtection="0"/>
    <xf numFmtId="0" fontId="31" fillId="61"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70" borderId="0" applyNumberFormat="0" applyBorder="0" applyAlignment="0" applyProtection="0"/>
    <xf numFmtId="0" fontId="72" fillId="70" borderId="0" applyNumberFormat="0" applyBorder="0" applyAlignment="0" applyProtection="0"/>
    <xf numFmtId="0" fontId="72" fillId="51" borderId="0" applyNumberFormat="0" applyBorder="0" applyAlignment="0" applyProtection="0"/>
    <xf numFmtId="0" fontId="31" fillId="64" borderId="0" applyNumberFormat="0" applyBorder="0" applyAlignment="0" applyProtection="0"/>
    <xf numFmtId="0" fontId="72" fillId="70" borderId="0" applyNumberFormat="0" applyBorder="0" applyAlignment="0" applyProtection="0"/>
    <xf numFmtId="0" fontId="72" fillId="7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31" fillId="64" borderId="0" applyNumberFormat="0" applyBorder="0" applyAlignment="0" applyProtection="0"/>
    <xf numFmtId="0" fontId="31" fillId="64" borderId="0" applyNumberFormat="0" applyBorder="0" applyAlignment="0" applyProtection="0"/>
    <xf numFmtId="0" fontId="72" fillId="70" borderId="0" applyNumberFormat="0" applyBorder="0" applyAlignment="0" applyProtection="0"/>
    <xf numFmtId="0" fontId="72" fillId="51" borderId="0" applyNumberFormat="0" applyBorder="0" applyAlignment="0" applyProtection="0"/>
    <xf numFmtId="0" fontId="72" fillId="70" borderId="0" applyNumberFormat="0" applyBorder="0" applyAlignment="0" applyProtection="0"/>
    <xf numFmtId="0" fontId="31" fillId="73" borderId="0" applyNumberFormat="0" applyBorder="0" applyAlignment="0" applyProtection="0"/>
    <xf numFmtId="0" fontId="31" fillId="96"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23" fillId="28"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23" fillId="28" borderId="0" applyNumberFormat="0" applyBorder="0" applyAlignment="0" applyProtection="0"/>
    <xf numFmtId="0" fontId="31" fillId="78" borderId="0" applyNumberFormat="0" applyBorder="0" applyAlignment="0" applyProtection="0"/>
    <xf numFmtId="0" fontId="31" fillId="86"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23" fillId="32" borderId="0" applyNumberFormat="0" applyBorder="0" applyAlignment="0" applyProtection="0"/>
    <xf numFmtId="0" fontId="31" fillId="86" borderId="0" applyNumberFormat="0" applyBorder="0" applyAlignment="0" applyProtection="0"/>
    <xf numFmtId="0" fontId="31" fillId="86" borderId="0" applyNumberFormat="0" applyBorder="0" applyAlignment="0" applyProtection="0"/>
    <xf numFmtId="0" fontId="23" fillId="32" borderId="0" applyNumberFormat="0" applyBorder="0" applyAlignment="0" applyProtection="0"/>
    <xf numFmtId="0" fontId="31" fillId="77" borderId="0" applyNumberFormat="0" applyBorder="0" applyAlignment="0" applyProtection="0"/>
    <xf numFmtId="0" fontId="31" fillId="6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23" fillId="3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23" fillId="36" borderId="0" applyNumberFormat="0" applyBorder="0" applyAlignment="0" applyProtection="0"/>
    <xf numFmtId="0" fontId="31" fillId="73" borderId="0" applyNumberFormat="0" applyBorder="0" applyAlignment="0" applyProtection="0"/>
    <xf numFmtId="0" fontId="31" fillId="9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23" fillId="40"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23" fillId="40" borderId="0" applyNumberFormat="0" applyBorder="0" applyAlignment="0" applyProtection="0"/>
    <xf numFmtId="0" fontId="31" fillId="83" borderId="0" applyNumberFormat="0" applyBorder="0" applyAlignment="0" applyProtection="0"/>
    <xf numFmtId="0" fontId="31" fillId="69"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23" fillId="44"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23" fillId="44" borderId="0" applyNumberFormat="0" applyBorder="0" applyAlignment="0" applyProtection="0"/>
    <xf numFmtId="0" fontId="31" fillId="85" borderId="0" applyNumberFormat="0" applyBorder="0" applyAlignment="0" applyProtection="0"/>
    <xf numFmtId="0" fontId="31" fillId="7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23" fillId="48" borderId="0" applyNumberFormat="0" applyBorder="0" applyAlignment="0" applyProtection="0"/>
    <xf numFmtId="0" fontId="31" fillId="79" borderId="0" applyNumberFormat="0" applyBorder="0" applyAlignment="0" applyProtection="0"/>
    <xf numFmtId="0" fontId="31" fillId="79" borderId="0" applyNumberFormat="0" applyBorder="0" applyAlignment="0" applyProtection="0"/>
    <xf numFmtId="0" fontId="23" fillId="48" borderId="0" applyNumberFormat="0" applyBorder="0" applyAlignment="0" applyProtection="0"/>
    <xf numFmtId="0" fontId="32" fillId="87" borderId="0" applyNumberFormat="0" applyBorder="0" applyAlignment="0" applyProtection="0"/>
    <xf numFmtId="0" fontId="33" fillId="60"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65" fillId="2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65" fillId="23" borderId="0" applyNumberFormat="0" applyBorder="0" applyAlignment="0" applyProtection="0"/>
    <xf numFmtId="0" fontId="74" fillId="98" borderId="34" applyNumberFormat="0" applyAlignment="0" applyProtection="0"/>
    <xf numFmtId="0" fontId="74" fillId="98" borderId="34" applyNumberFormat="0" applyAlignment="0" applyProtection="0"/>
    <xf numFmtId="0" fontId="75" fillId="26" borderId="27" applyNumberFormat="0" applyAlignment="0" applyProtection="0"/>
    <xf numFmtId="0" fontId="34" fillId="56" borderId="34" applyNumberFormat="0" applyAlignment="0" applyProtection="0"/>
    <xf numFmtId="0" fontId="75" fillId="26" borderId="27" applyNumberFormat="0" applyAlignment="0" applyProtection="0"/>
    <xf numFmtId="0" fontId="69" fillId="26" borderId="27" applyNumberFormat="0" applyAlignment="0" applyProtection="0"/>
    <xf numFmtId="0" fontId="74" fillId="98" borderId="34" applyNumberFormat="0" applyAlignment="0" applyProtection="0"/>
    <xf numFmtId="0" fontId="74" fillId="98" borderId="34" applyNumberFormat="0" applyAlignment="0" applyProtection="0"/>
    <xf numFmtId="0" fontId="69" fillId="26" borderId="27" applyNumberFormat="0" applyAlignment="0" applyProtection="0"/>
    <xf numFmtId="0" fontId="36" fillId="77" borderId="35" applyNumberFormat="0" applyAlignment="0" applyProtection="0"/>
    <xf numFmtId="0" fontId="36" fillId="89" borderId="35" applyNumberFormat="0" applyAlignment="0" applyProtection="0"/>
    <xf numFmtId="0" fontId="76" fillId="27" borderId="30" applyNumberFormat="0" applyAlignment="0" applyProtection="0"/>
    <xf numFmtId="0" fontId="36" fillId="89" borderId="35" applyNumberFormat="0" applyAlignment="0" applyProtection="0"/>
    <xf numFmtId="0" fontId="36" fillId="89" borderId="35" applyNumberFormat="0" applyAlignment="0" applyProtection="0"/>
    <xf numFmtId="0" fontId="36" fillId="89" borderId="35" applyNumberFormat="0" applyAlignment="0" applyProtection="0"/>
    <xf numFmtId="0" fontId="36" fillId="89" borderId="35" applyNumberFormat="0" applyAlignment="0" applyProtection="0"/>
    <xf numFmtId="0" fontId="36" fillId="89" borderId="35" applyNumberFormat="0" applyAlignment="0" applyProtection="0"/>
    <xf numFmtId="0" fontId="36" fillId="89" borderId="35" applyNumberFormat="0" applyAlignment="0" applyProtection="0"/>
    <xf numFmtId="0" fontId="36" fillId="89" borderId="35" applyNumberFormat="0" applyAlignment="0" applyProtection="0"/>
    <xf numFmtId="0" fontId="36" fillId="89" borderId="35" applyNumberFormat="0" applyAlignment="0" applyProtection="0"/>
    <xf numFmtId="0" fontId="36" fillId="89" borderId="35" applyNumberFormat="0" applyAlignment="0" applyProtection="0"/>
    <xf numFmtId="0" fontId="60" fillId="27" borderId="30" applyNumberFormat="0" applyAlignment="0" applyProtection="0"/>
    <xf numFmtId="43" fontId="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8" fillId="0" borderId="0" applyFont="0" applyFill="0" applyBorder="0" applyAlignment="0" applyProtection="0"/>
    <xf numFmtId="44" fontId="1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1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40"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80" borderId="0" applyNumberFormat="0" applyBorder="0" applyAlignment="0" applyProtection="0"/>
    <xf numFmtId="0" fontId="41" fillId="6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64" fillId="22"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64" fillId="22" borderId="0" applyNumberFormat="0" applyBorder="0" applyAlignment="0" applyProtection="0"/>
    <xf numFmtId="0" fontId="43" fillId="0" borderId="36" applyNumberFormat="0" applyFill="0" applyAlignment="0" applyProtection="0"/>
    <xf numFmtId="0" fontId="44" fillId="0" borderId="37" applyNumberFormat="0" applyFill="0" applyAlignment="0" applyProtection="0"/>
    <xf numFmtId="0" fontId="61" fillId="0" borderId="24" applyNumberFormat="0" applyFill="0" applyAlignment="0" applyProtection="0"/>
    <xf numFmtId="0" fontId="45" fillId="0" borderId="38" applyNumberFormat="0" applyFill="0" applyAlignment="0" applyProtection="0"/>
    <xf numFmtId="0" fontId="42" fillId="0" borderId="0" applyNumberFormat="0" applyFill="0" applyBorder="0" applyAlignment="0" applyProtection="0"/>
    <xf numFmtId="0" fontId="80" fillId="0" borderId="25" applyNumberFormat="0" applyFill="0" applyAlignment="0" applyProtection="0"/>
    <xf numFmtId="0" fontId="80" fillId="0" borderId="25" applyNumberFormat="0" applyFill="0" applyAlignment="0" applyProtection="0"/>
    <xf numFmtId="0" fontId="46" fillId="0" borderId="38" applyNumberFormat="0" applyFill="0" applyAlignment="0" applyProtection="0"/>
    <xf numFmtId="0" fontId="62" fillId="0" borderId="25"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80" fillId="0" borderId="25" applyNumberFormat="0" applyFill="0" applyAlignment="0" applyProtection="0"/>
    <xf numFmtId="0" fontId="47" fillId="0" borderId="39" applyNumberFormat="0" applyFill="0" applyAlignment="0" applyProtection="0"/>
    <xf numFmtId="0" fontId="47" fillId="0" borderId="4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63" fillId="0" borderId="2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3" fillId="0" borderId="26" applyNumberFormat="0" applyFill="0" applyAlignment="0" applyProtection="0"/>
    <xf numFmtId="0" fontId="47"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63"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3" fillId="0" borderId="0" applyNumberFormat="0" applyFill="0" applyBorder="0" applyAlignment="0" applyProtection="0"/>
    <xf numFmtId="0" fontId="51" fillId="94" borderId="34" applyNumberFormat="0" applyAlignment="0" applyProtection="0"/>
    <xf numFmtId="0" fontId="51" fillId="94" borderId="34" applyNumberFormat="0" applyAlignment="0" applyProtection="0"/>
    <xf numFmtId="0" fontId="51" fillId="84" borderId="34" applyNumberFormat="0" applyAlignment="0" applyProtection="0"/>
    <xf numFmtId="0" fontId="82" fillId="25" borderId="27" applyNumberFormat="0" applyAlignment="0" applyProtection="0"/>
    <xf numFmtId="0" fontId="82" fillId="25" borderId="27" applyNumberFormat="0" applyAlignment="0" applyProtection="0"/>
    <xf numFmtId="0" fontId="67" fillId="25" borderId="27" applyNumberFormat="0" applyAlignment="0" applyProtection="0"/>
    <xf numFmtId="0" fontId="51" fillId="94" borderId="34" applyNumberFormat="0" applyAlignment="0" applyProtection="0"/>
    <xf numFmtId="0" fontId="67" fillId="25" borderId="27" applyNumberFormat="0" applyAlignment="0" applyProtection="0"/>
    <xf numFmtId="0" fontId="51" fillId="94" borderId="34" applyNumberFormat="0" applyAlignment="0" applyProtection="0"/>
    <xf numFmtId="0" fontId="52" fillId="0" borderId="41" applyNumberFormat="0" applyFill="0" applyAlignment="0" applyProtection="0"/>
    <xf numFmtId="0" fontId="59" fillId="0" borderId="47" applyNumberFormat="0" applyFill="0" applyAlignment="0" applyProtection="0"/>
    <xf numFmtId="0" fontId="83" fillId="0" borderId="29" applyNumberFormat="0" applyFill="0" applyAlignment="0" applyProtection="0"/>
    <xf numFmtId="0" fontId="83" fillId="0" borderId="29" applyNumberFormat="0" applyFill="0" applyAlignment="0" applyProtection="0"/>
    <xf numFmtId="0" fontId="70" fillId="0" borderId="29" applyNumberFormat="0" applyFill="0" applyAlignment="0" applyProtection="0"/>
    <xf numFmtId="0" fontId="59" fillId="0" borderId="47" applyNumberFormat="0" applyFill="0" applyAlignment="0" applyProtection="0"/>
    <xf numFmtId="0" fontId="59" fillId="0" borderId="47" applyNumberFormat="0" applyFill="0" applyAlignment="0" applyProtection="0"/>
    <xf numFmtId="0" fontId="70" fillId="0" borderId="29" applyNumberFormat="0" applyFill="0" applyAlignment="0" applyProtection="0"/>
    <xf numFmtId="0" fontId="54" fillId="93" borderId="0" applyNumberFormat="0" applyBorder="0" applyAlignment="0" applyProtection="0"/>
    <xf numFmtId="0" fontId="84" fillId="9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66" fillId="24"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66" fillId="24" borderId="0" applyNumberFormat="0" applyBorder="0" applyAlignment="0" applyProtection="0"/>
    <xf numFmtId="0" fontId="21" fillId="0" borderId="0"/>
    <xf numFmtId="0" fontId="21" fillId="0" borderId="0"/>
    <xf numFmtId="0" fontId="9" fillId="0" borderId="0"/>
    <xf numFmtId="0" fontId="16"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16"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7" fillId="0" borderId="0"/>
    <xf numFmtId="0" fontId="77" fillId="0" borderId="0"/>
    <xf numFmtId="0" fontId="16" fillId="0" borderId="0"/>
    <xf numFmtId="0" fontId="16"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9" fillId="0" borderId="0"/>
    <xf numFmtId="0" fontId="9" fillId="0" borderId="0"/>
    <xf numFmtId="0" fontId="16" fillId="0" borderId="0"/>
    <xf numFmtId="0" fontId="16" fillId="0" borderId="0"/>
    <xf numFmtId="0" fontId="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16" fillId="0" borderId="0"/>
    <xf numFmtId="0" fontId="19" fillId="0" borderId="0"/>
    <xf numFmtId="0" fontId="19" fillId="0" borderId="0"/>
    <xf numFmtId="0" fontId="27" fillId="0" borderId="0"/>
    <xf numFmtId="0" fontId="27" fillId="0" borderId="0"/>
    <xf numFmtId="0" fontId="21" fillId="0" borderId="0"/>
    <xf numFmtId="0" fontId="21" fillId="0" borderId="0"/>
    <xf numFmtId="0" fontId="16" fillId="0" borderId="0"/>
    <xf numFmtId="0" fontId="16" fillId="0" borderId="0"/>
    <xf numFmtId="0" fontId="16" fillId="0" borderId="0"/>
    <xf numFmtId="0" fontId="16" fillId="0" borderId="0"/>
    <xf numFmtId="0" fontId="27" fillId="0" borderId="0"/>
    <xf numFmtId="0" fontId="27" fillId="0" borderId="0"/>
    <xf numFmtId="0" fontId="9" fillId="0" borderId="0"/>
    <xf numFmtId="0" fontId="9" fillId="0" borderId="0"/>
    <xf numFmtId="0" fontId="9" fillId="0" borderId="0"/>
    <xf numFmtId="0" fontId="9" fillId="0" borderId="0"/>
    <xf numFmtId="0" fontId="86"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9" fillId="0" borderId="0"/>
    <xf numFmtId="0" fontId="16" fillId="0" borderId="0"/>
    <xf numFmtId="0" fontId="9" fillId="0" borderId="0"/>
    <xf numFmtId="0" fontId="1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21"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30" fillId="0" borderId="0"/>
    <xf numFmtId="0" fontId="9" fillId="0" borderId="0"/>
    <xf numFmtId="0" fontId="9" fillId="0" borderId="0"/>
    <xf numFmtId="0" fontId="21" fillId="95" borderId="33" applyNumberFormat="0" applyFont="0" applyAlignment="0" applyProtection="0"/>
    <xf numFmtId="0" fontId="21" fillId="95" borderId="33" applyNumberFormat="0" applyFont="0" applyAlignment="0" applyProtection="0"/>
    <xf numFmtId="0" fontId="21" fillId="95" borderId="33" applyNumberFormat="0" applyFont="0" applyAlignment="0" applyProtection="0"/>
    <xf numFmtId="0" fontId="27" fillId="19" borderId="22" applyNumberFormat="0" applyFont="0" applyAlignment="0" applyProtection="0"/>
    <xf numFmtId="0" fontId="27" fillId="19" borderId="22" applyNumberFormat="0" applyFont="0" applyAlignment="0" applyProtection="0"/>
    <xf numFmtId="0" fontId="21" fillId="95" borderId="33" applyNumberFormat="0" applyFont="0" applyAlignment="0" applyProtection="0"/>
    <xf numFmtId="0" fontId="9" fillId="19" borderId="22" applyNumberFormat="0" applyFont="0" applyAlignment="0" applyProtection="0"/>
    <xf numFmtId="0" fontId="21" fillId="95" borderId="33" applyNumberFormat="0" applyFont="0" applyAlignment="0" applyProtection="0"/>
    <xf numFmtId="0" fontId="9" fillId="19" borderId="22" applyNumberFormat="0" applyFont="0" applyAlignment="0" applyProtection="0"/>
    <xf numFmtId="0" fontId="24" fillId="75" borderId="33" applyNumberFormat="0" applyFont="0" applyAlignment="0" applyProtection="0"/>
    <xf numFmtId="0" fontId="27" fillId="19" borderId="22" applyNumberFormat="0" applyFont="0" applyAlignment="0" applyProtection="0"/>
    <xf numFmtId="0" fontId="27" fillId="19" borderId="22" applyNumberFormat="0" applyFont="0" applyAlignment="0" applyProtection="0"/>
    <xf numFmtId="0" fontId="27" fillId="19" borderId="22" applyNumberFormat="0" applyFont="0" applyAlignment="0" applyProtection="0"/>
    <xf numFmtId="0" fontId="21" fillId="95" borderId="33" applyNumberFormat="0" applyFont="0" applyAlignment="0" applyProtection="0"/>
    <xf numFmtId="0" fontId="27" fillId="19" borderId="22" applyNumberFormat="0" applyFont="0" applyAlignment="0" applyProtection="0"/>
    <xf numFmtId="0" fontId="27"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21" fillId="95" borderId="33" applyNumberFormat="0" applyFont="0" applyAlignment="0" applyProtection="0"/>
    <xf numFmtId="0" fontId="6" fillId="19" borderId="22" applyNumberFormat="0" applyFont="0" applyAlignment="0" applyProtection="0"/>
    <xf numFmtId="0" fontId="6" fillId="19" borderId="22" applyNumberFormat="0" applyFont="0" applyAlignment="0" applyProtection="0"/>
    <xf numFmtId="0" fontId="21" fillId="95" borderId="33" applyNumberFormat="0" applyFont="0" applyAlignment="0" applyProtection="0"/>
    <xf numFmtId="0" fontId="27" fillId="19" borderId="22" applyNumberFormat="0" applyFont="0" applyAlignment="0" applyProtection="0"/>
    <xf numFmtId="0" fontId="9" fillId="19" borderId="22" applyNumberFormat="0" applyFont="0" applyAlignment="0" applyProtection="0"/>
    <xf numFmtId="0" fontId="27" fillId="19" borderId="22" applyNumberFormat="0" applyFont="0" applyAlignment="0" applyProtection="0"/>
    <xf numFmtId="0" fontId="27" fillId="19" borderId="22" applyNumberFormat="0" applyFont="0" applyAlignment="0" applyProtection="0"/>
    <xf numFmtId="0" fontId="27" fillId="19" borderId="22" applyNumberFormat="0" applyFont="0" applyAlignment="0" applyProtection="0"/>
    <xf numFmtId="0" fontId="56" fillId="56" borderId="42" applyNumberFormat="0" applyAlignment="0" applyProtection="0"/>
    <xf numFmtId="0" fontId="56" fillId="98" borderId="42" applyNumberFormat="0" applyAlignment="0" applyProtection="0"/>
    <xf numFmtId="0" fontId="56" fillId="98" borderId="42" applyNumberFormat="0" applyAlignment="0" applyProtection="0"/>
    <xf numFmtId="0" fontId="56" fillId="88" borderId="42" applyNumberFormat="0" applyAlignment="0" applyProtection="0"/>
    <xf numFmtId="0" fontId="56" fillId="98" borderId="42" applyNumberFormat="0" applyAlignment="0" applyProtection="0"/>
    <xf numFmtId="0" fontId="68" fillId="26" borderId="2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0" fontId="22" fillId="0" borderId="32">
      <alignment horizontal="center"/>
    </xf>
    <xf numFmtId="0" fontId="22" fillId="0" borderId="32">
      <alignment horizontal="center"/>
    </xf>
    <xf numFmtId="0" fontId="22" fillId="0" borderId="32">
      <alignment horizontal="center"/>
    </xf>
    <xf numFmtId="4" fontId="87" fillId="94" borderId="48" applyNumberFormat="0" applyProtection="0">
      <alignment vertical="center"/>
    </xf>
    <xf numFmtId="4" fontId="88" fillId="99" borderId="48" applyNumberFormat="0" applyProtection="0">
      <alignment vertical="center"/>
    </xf>
    <xf numFmtId="4" fontId="87" fillId="99" borderId="48" applyNumberFormat="0" applyProtection="0">
      <alignment horizontal="left" vertical="center" indent="1"/>
    </xf>
    <xf numFmtId="0" fontId="87" fillId="99" borderId="48" applyNumberFormat="0" applyProtection="0">
      <alignment horizontal="left" vertical="top" indent="1"/>
    </xf>
    <xf numFmtId="4" fontId="87" fillId="100" borderId="0" applyNumberFormat="0" applyProtection="0">
      <alignment horizontal="left" vertical="center" indent="1"/>
    </xf>
    <xf numFmtId="4" fontId="19" fillId="58" borderId="48" applyNumberFormat="0" applyProtection="0">
      <alignment horizontal="right" vertical="center"/>
    </xf>
    <xf numFmtId="4" fontId="19" fillId="64" borderId="48" applyNumberFormat="0" applyProtection="0">
      <alignment horizontal="right" vertical="center"/>
    </xf>
    <xf numFmtId="4" fontId="19" fillId="79" borderId="48" applyNumberFormat="0" applyProtection="0">
      <alignment horizontal="right" vertical="center"/>
    </xf>
    <xf numFmtId="4" fontId="19" fillId="66" borderId="48" applyNumberFormat="0" applyProtection="0">
      <alignment horizontal="right" vertical="center"/>
    </xf>
    <xf numFmtId="4" fontId="19" fillId="70" borderId="48" applyNumberFormat="0" applyProtection="0">
      <alignment horizontal="right" vertical="center"/>
    </xf>
    <xf numFmtId="4" fontId="19" fillId="86" borderId="48" applyNumberFormat="0" applyProtection="0">
      <alignment horizontal="right" vertical="center"/>
    </xf>
    <xf numFmtId="4" fontId="19" fillId="81" borderId="48" applyNumberFormat="0" applyProtection="0">
      <alignment horizontal="right" vertical="center"/>
    </xf>
    <xf numFmtId="4" fontId="19" fillId="101" borderId="48" applyNumberFormat="0" applyProtection="0">
      <alignment horizontal="right" vertical="center"/>
    </xf>
    <xf numFmtId="4" fontId="19" fillId="65" borderId="48" applyNumberFormat="0" applyProtection="0">
      <alignment horizontal="right" vertical="center"/>
    </xf>
    <xf numFmtId="4" fontId="87" fillId="102" borderId="49" applyNumberFormat="0" applyProtection="0">
      <alignment horizontal="left" vertical="center" indent="1"/>
    </xf>
    <xf numFmtId="4" fontId="87" fillId="102" borderId="49" applyNumberFormat="0" applyProtection="0">
      <alignment horizontal="left" vertical="center" indent="1"/>
    </xf>
    <xf numFmtId="4" fontId="19" fillId="103" borderId="0" applyNumberFormat="0" applyProtection="0">
      <alignment horizontal="left" vertical="center" indent="1"/>
    </xf>
    <xf numFmtId="4" fontId="89" fillId="104" borderId="0" applyNumberFormat="0" applyProtection="0">
      <alignment horizontal="left" vertical="center" indent="1"/>
    </xf>
    <xf numFmtId="4" fontId="19" fillId="105" borderId="48" applyNumberFormat="0" applyProtection="0">
      <alignment horizontal="right" vertical="center"/>
    </xf>
    <xf numFmtId="4" fontId="19" fillId="103" borderId="0" applyNumberFormat="0" applyProtection="0">
      <alignment horizontal="left" vertical="center" indent="1"/>
    </xf>
    <xf numFmtId="4" fontId="19" fillId="100" borderId="0" applyNumberFormat="0" applyProtection="0">
      <alignment horizontal="left" vertical="center" indent="1"/>
    </xf>
    <xf numFmtId="0" fontId="16" fillId="104" borderId="48" applyNumberFormat="0" applyProtection="0">
      <alignment horizontal="left" vertical="center" indent="1"/>
    </xf>
    <xf numFmtId="0" fontId="16" fillId="104" borderId="48" applyNumberFormat="0" applyProtection="0">
      <alignment horizontal="left" vertical="top" indent="1"/>
    </xf>
    <xf numFmtId="0" fontId="16" fillId="100" borderId="48" applyNumberFormat="0" applyProtection="0">
      <alignment horizontal="left" vertical="center" indent="1"/>
    </xf>
    <xf numFmtId="0" fontId="16" fillId="100" borderId="48" applyNumberFormat="0" applyProtection="0">
      <alignment horizontal="left" vertical="top" indent="1"/>
    </xf>
    <xf numFmtId="0" fontId="16" fillId="106" borderId="48" applyNumberFormat="0" applyProtection="0">
      <alignment horizontal="left" vertical="center" indent="1"/>
    </xf>
    <xf numFmtId="0" fontId="16" fillId="106" borderId="48" applyNumberFormat="0" applyProtection="0">
      <alignment horizontal="left" vertical="top" indent="1"/>
    </xf>
    <xf numFmtId="0" fontId="16" fillId="54" borderId="48" applyNumberFormat="0" applyProtection="0">
      <alignment horizontal="left" vertical="center" indent="1"/>
    </xf>
    <xf numFmtId="0" fontId="16" fillId="54" borderId="48" applyNumberFormat="0" applyProtection="0">
      <alignment horizontal="left" vertical="top" indent="1"/>
    </xf>
    <xf numFmtId="4" fontId="19" fillId="107" borderId="48" applyNumberFormat="0" applyProtection="0">
      <alignment vertical="center"/>
    </xf>
    <xf numFmtId="4" fontId="90" fillId="107" borderId="48" applyNumberFormat="0" applyProtection="0">
      <alignment vertical="center"/>
    </xf>
    <xf numFmtId="4" fontId="19" fillId="107" borderId="48" applyNumberFormat="0" applyProtection="0">
      <alignment horizontal="left" vertical="center" indent="1"/>
    </xf>
    <xf numFmtId="0" fontId="19" fillId="107" borderId="48" applyNumberFormat="0" applyProtection="0">
      <alignment horizontal="left" vertical="top" indent="1"/>
    </xf>
    <xf numFmtId="4" fontId="19" fillId="108" borderId="42" applyNumberFormat="0" applyProtection="0">
      <alignment horizontal="right" vertical="center"/>
    </xf>
    <xf numFmtId="4" fontId="90" fillId="103" borderId="48" applyNumberFormat="0" applyProtection="0">
      <alignment horizontal="right" vertical="center"/>
    </xf>
    <xf numFmtId="0" fontId="16" fillId="109" borderId="42" applyNumberFormat="0" applyProtection="0">
      <alignment horizontal="left" vertical="center" indent="1"/>
    </xf>
    <xf numFmtId="0" fontId="19" fillId="100" borderId="48" applyNumberFormat="0" applyProtection="0">
      <alignment horizontal="left" vertical="top" indent="1"/>
    </xf>
    <xf numFmtId="4" fontId="91" fillId="110" borderId="0" applyNumberFormat="0" applyProtection="0">
      <alignment horizontal="left" vertical="center" indent="1"/>
    </xf>
    <xf numFmtId="4" fontId="92" fillId="103" borderId="48" applyNumberFormat="0" applyProtection="0">
      <alignment horizontal="right" vertical="center"/>
    </xf>
    <xf numFmtId="0" fontId="58" fillId="0" borderId="0" applyNumberFormat="0" applyFill="0" applyBorder="0" applyAlignment="0" applyProtection="0"/>
    <xf numFmtId="0" fontId="24" fillId="0" borderId="50" applyNumberFormat="0" applyFill="0" applyAlignment="0" applyProtection="0"/>
    <xf numFmtId="0" fontId="25" fillId="0" borderId="31" applyNumberFormat="0" applyFill="0" applyAlignment="0" applyProtection="0"/>
    <xf numFmtId="0" fontId="29" fillId="0" borderId="43" applyNumberFormat="0" applyFill="0" applyAlignment="0" applyProtection="0"/>
    <xf numFmtId="0" fontId="24" fillId="0" borderId="50" applyNumberFormat="0" applyFill="0" applyAlignment="0" applyProtection="0"/>
    <xf numFmtId="0" fontId="25" fillId="0" borderId="31" applyNumberFormat="0" applyFill="0" applyAlignment="0" applyProtection="0"/>
    <xf numFmtId="0" fontId="24" fillId="0" borderId="50" applyNumberFormat="0" applyFill="0" applyAlignment="0" applyProtection="0"/>
    <xf numFmtId="0" fontId="24" fillId="0" borderId="50" applyNumberFormat="0" applyFill="0" applyAlignment="0" applyProtection="0"/>
    <xf numFmtId="0" fontId="8" fillId="0" borderId="31" applyNumberFormat="0" applyFill="0" applyAlignment="0" applyProtection="0"/>
    <xf numFmtId="0" fontId="8" fillId="0" borderId="31" applyNumberFormat="0" applyFill="0" applyAlignment="0" applyProtection="0"/>
    <xf numFmtId="0" fontId="24" fillId="0" borderId="50" applyNumberFormat="0" applyFill="0" applyAlignment="0" applyProtection="0"/>
    <xf numFmtId="0" fontId="24" fillId="0" borderId="50" applyNumberFormat="0" applyFill="0" applyAlignment="0" applyProtection="0"/>
    <xf numFmtId="0" fontId="24" fillId="0" borderId="50" applyNumberFormat="0" applyFill="0" applyAlignment="0" applyProtection="0"/>
    <xf numFmtId="0" fontId="5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9" fontId="9" fillId="0" borderId="0" applyFont="0" applyFill="0" applyBorder="0" applyAlignment="0" applyProtection="0"/>
    <xf numFmtId="4" fontId="93" fillId="0" borderId="0" applyFont="0" applyFill="0" applyBorder="0" applyAlignment="0" applyProtection="0"/>
    <xf numFmtId="49" fontId="37" fillId="0" borderId="45">
      <alignment horizontal="right" wrapText="1"/>
    </xf>
    <xf numFmtId="43" fontId="2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0" fontId="9" fillId="0" borderId="0"/>
    <xf numFmtId="0" fontId="21" fillId="0" borderId="0"/>
    <xf numFmtId="9" fontId="27" fillId="0" borderId="0" applyFont="0" applyFill="0" applyBorder="0" applyAlignment="0" applyProtection="0"/>
    <xf numFmtId="0" fontId="56" fillId="56" borderId="437" applyNumberFormat="0" applyAlignment="0" applyProtection="0"/>
    <xf numFmtId="0" fontId="27" fillId="95" borderId="1020" applyNumberFormat="0" applyFont="0" applyAlignment="0" applyProtection="0"/>
    <xf numFmtId="0" fontId="51" fillId="84" borderId="549" applyNumberFormat="0" applyAlignment="0" applyProtection="0"/>
    <xf numFmtId="0" fontId="24" fillId="75" borderId="240" applyNumberFormat="0" applyFont="0" applyAlignment="0" applyProtection="0"/>
    <xf numFmtId="0" fontId="51" fillId="84" borderId="1331" applyNumberFormat="0" applyAlignment="0" applyProtection="0"/>
    <xf numFmtId="49" fontId="37" fillId="0" borderId="86">
      <alignment horizontal="right" wrapText="1"/>
    </xf>
    <xf numFmtId="10" fontId="42" fillId="52" borderId="824" applyNumberFormat="0" applyBorder="0" applyAlignment="0" applyProtection="0"/>
    <xf numFmtId="10" fontId="42" fillId="52" borderId="623" applyNumberFormat="0" applyBorder="0" applyAlignment="0" applyProtection="0"/>
    <xf numFmtId="0" fontId="51" fillId="84" borderId="172" applyNumberFormat="0" applyAlignment="0" applyProtection="0"/>
    <xf numFmtId="0" fontId="27" fillId="95" borderId="432" applyNumberFormat="0" applyFont="0" applyAlignment="0" applyProtection="0"/>
    <xf numFmtId="0" fontId="24" fillId="75" borderId="280" applyNumberFormat="0" applyFont="0" applyAlignment="0" applyProtection="0"/>
    <xf numFmtId="0" fontId="51" fillId="84" borderId="1331" applyNumberFormat="0" applyAlignment="0" applyProtection="0"/>
    <xf numFmtId="0" fontId="56" fillId="88" borderId="245" applyNumberFormat="0" applyAlignment="0" applyProtection="0"/>
    <xf numFmtId="0" fontId="29" fillId="0" borderId="589" applyNumberFormat="0" applyFill="0" applyAlignment="0" applyProtection="0"/>
    <xf numFmtId="0" fontId="29" fillId="0" borderId="1133" applyNumberFormat="0" applyFill="0" applyAlignment="0" applyProtection="0"/>
    <xf numFmtId="0" fontId="27" fillId="95" borderId="741" applyNumberFormat="0" applyFont="0" applyAlignment="0" applyProtection="0"/>
    <xf numFmtId="0" fontId="51" fillId="62" borderId="745" applyNumberFormat="0" applyAlignment="0" applyProtection="0"/>
    <xf numFmtId="0" fontId="56" fillId="56" borderId="477" applyNumberFormat="0" applyAlignment="0" applyProtection="0"/>
    <xf numFmtId="0" fontId="35" fillId="88" borderId="436" applyNumberFormat="0" applyAlignment="0" applyProtection="0"/>
    <xf numFmtId="0" fontId="51" fillId="62" borderId="549" applyNumberFormat="0" applyAlignment="0" applyProtection="0"/>
    <xf numFmtId="0" fontId="20" fillId="0" borderId="322">
      <alignment horizontal="left" vertical="center"/>
    </xf>
    <xf numFmtId="0" fontId="35" fillId="88" borderId="1064" applyNumberFormat="0" applyAlignment="0" applyProtection="0"/>
    <xf numFmtId="0" fontId="51" fillId="84" borderId="244" applyNumberFormat="0" applyAlignment="0" applyProtection="0"/>
    <xf numFmtId="0" fontId="27" fillId="95" borderId="863" applyNumberFormat="0" applyFont="0" applyAlignment="0" applyProtection="0"/>
    <xf numFmtId="10" fontId="42" fillId="52" borderId="1208" applyNumberFormat="0" applyBorder="0" applyAlignment="0" applyProtection="0"/>
    <xf numFmtId="0" fontId="27" fillId="95" borderId="280" applyNumberFormat="0" applyFont="0" applyAlignment="0" applyProtection="0"/>
    <xf numFmtId="0" fontId="34" fillId="56" borderId="705" applyNumberFormat="0" applyAlignment="0" applyProtection="0"/>
    <xf numFmtId="0" fontId="51" fillId="84" borderId="1096" applyNumberFormat="0" applyAlignment="0" applyProtection="0"/>
    <xf numFmtId="0" fontId="51" fillId="84" borderId="1211" applyNumberFormat="0" applyAlignment="0" applyProtection="0"/>
    <xf numFmtId="49" fontId="37" fillId="0" borderId="700">
      <alignment horizontal="right" wrapText="1"/>
    </xf>
    <xf numFmtId="0" fontId="35" fillId="88" borderId="212" applyNumberFormat="0" applyAlignment="0" applyProtection="0"/>
    <xf numFmtId="0" fontId="56" fillId="56" borderId="1172" applyNumberFormat="0" applyAlignment="0" applyProtection="0"/>
    <xf numFmtId="0" fontId="20" fillId="0" borderId="354">
      <alignment horizontal="left" vertical="center"/>
    </xf>
    <xf numFmtId="0" fontId="51" fillId="84" borderId="517" applyNumberFormat="0" applyAlignment="0" applyProtection="0"/>
    <xf numFmtId="0" fontId="27" fillId="95" borderId="240" applyNumberFormat="0" applyFont="0" applyAlignment="0" applyProtection="0"/>
    <xf numFmtId="0" fontId="51" fillId="62" borderId="355" applyNumberFormat="0" applyAlignment="0" applyProtection="0"/>
    <xf numFmtId="0" fontId="56" fillId="56" borderId="397" applyNumberFormat="0" applyAlignment="0" applyProtection="0"/>
    <xf numFmtId="10" fontId="42" fillId="52" borderId="169" applyNumberFormat="0" applyBorder="0" applyAlignment="0" applyProtection="0"/>
    <xf numFmtId="0" fontId="51" fillId="84" borderId="323" applyNumberFormat="0" applyAlignment="0" applyProtection="0"/>
    <xf numFmtId="10" fontId="42" fillId="52" borderId="281" applyNumberFormat="0" applyBorder="0" applyAlignment="0" applyProtection="0"/>
    <xf numFmtId="10" fontId="42" fillId="52" borderId="209" applyNumberFormat="0" applyBorder="0" applyAlignment="0" applyProtection="0"/>
    <xf numFmtId="0" fontId="56" fillId="88" borderId="746" applyNumberFormat="0" applyAlignment="0" applyProtection="0"/>
    <xf numFmtId="0" fontId="56" fillId="56" borderId="665" applyNumberFormat="0" applyAlignment="0" applyProtection="0"/>
    <xf numFmtId="49" fontId="37" fillId="0" borderId="167">
      <alignment horizontal="right" wrapText="1"/>
    </xf>
    <xf numFmtId="0" fontId="24" fillId="75" borderId="351" applyNumberFormat="0" applyFont="0" applyAlignment="0" applyProtection="0"/>
    <xf numFmtId="10" fontId="42" fillId="52" borderId="514" applyNumberFormat="0" applyBorder="0" applyAlignment="0" applyProtection="0"/>
    <xf numFmtId="0" fontId="51" fillId="84" borderId="284" applyNumberFormat="0" applyAlignment="0" applyProtection="0"/>
    <xf numFmtId="0" fontId="27" fillId="95" borderId="513" applyNumberFormat="0" applyFont="0" applyAlignment="0" applyProtection="0"/>
    <xf numFmtId="0" fontId="21" fillId="0" borderId="0"/>
    <xf numFmtId="0" fontId="34" fillId="56" borderId="51" applyNumberFormat="0" applyAlignment="0" applyProtection="0"/>
    <xf numFmtId="0" fontId="35" fillId="88" borderId="51" applyNumberFormat="0" applyAlignment="0" applyProtection="0"/>
    <xf numFmtId="44" fontId="21" fillId="0" borderId="0" applyFont="0" applyFill="0" applyBorder="0" applyAlignment="0" applyProtection="0"/>
    <xf numFmtId="0" fontId="20" fillId="0" borderId="23">
      <alignment horizontal="left" vertical="center"/>
    </xf>
    <xf numFmtId="10" fontId="42" fillId="52" borderId="5" applyNumberFormat="0" applyBorder="0" applyAlignment="0" applyProtection="0"/>
    <xf numFmtId="0" fontId="51" fillId="84" borderId="51" applyNumberFormat="0" applyAlignment="0" applyProtection="0"/>
    <xf numFmtId="0" fontId="51" fillId="84" borderId="51" applyNumberFormat="0" applyAlignment="0" applyProtection="0"/>
    <xf numFmtId="0" fontId="51" fillId="62" borderId="51" applyNumberFormat="0" applyAlignment="0" applyProtection="0"/>
    <xf numFmtId="0" fontId="27" fillId="95" borderId="33" applyNumberFormat="0" applyFont="0" applyAlignment="0" applyProtection="0"/>
    <xf numFmtId="0" fontId="27" fillId="95" borderId="33" applyNumberFormat="0" applyFont="0" applyAlignment="0" applyProtection="0"/>
    <xf numFmtId="0" fontId="56" fillId="56" borderId="52" applyNumberFormat="0" applyAlignment="0" applyProtection="0"/>
    <xf numFmtId="0" fontId="56" fillId="88" borderId="52" applyNumberFormat="0" applyAlignment="0" applyProtection="0"/>
    <xf numFmtId="0" fontId="29" fillId="0" borderId="53" applyNumberFormat="0" applyFill="0" applyAlignment="0" applyProtection="0"/>
    <xf numFmtId="0" fontId="29" fillId="0" borderId="54" applyNumberFormat="0" applyFill="0" applyAlignment="0" applyProtection="0"/>
    <xf numFmtId="0" fontId="6" fillId="0" borderId="0"/>
    <xf numFmtId="49" fontId="37" fillId="0" borderId="6">
      <alignment horizontal="right" wrapText="1"/>
    </xf>
    <xf numFmtId="0" fontId="51" fillId="62" borderId="70" applyNumberFormat="0" applyAlignment="0" applyProtection="0"/>
    <xf numFmtId="0" fontId="51" fillId="84" borderId="70" applyNumberFormat="0" applyAlignment="0" applyProtection="0"/>
    <xf numFmtId="0" fontId="51" fillId="84" borderId="70" applyNumberFormat="0" applyAlignment="0" applyProtection="0"/>
    <xf numFmtId="10" fontId="42" fillId="52" borderId="67" applyNumberFormat="0" applyBorder="0" applyAlignment="0" applyProtection="0"/>
    <xf numFmtId="0" fontId="20" fillId="0" borderId="69">
      <alignment horizontal="left" vertical="center"/>
    </xf>
    <xf numFmtId="0" fontId="35" fillId="88" borderId="70" applyNumberFormat="0" applyAlignment="0" applyProtection="0"/>
    <xf numFmtId="0" fontId="34" fillId="56" borderId="70" applyNumberFormat="0" applyAlignment="0" applyProtection="0"/>
    <xf numFmtId="0" fontId="34" fillId="56" borderId="58" applyNumberFormat="0" applyAlignment="0" applyProtection="0"/>
    <xf numFmtId="0" fontId="35" fillId="88" borderId="58" applyNumberFormat="0" applyAlignment="0" applyProtection="0"/>
    <xf numFmtId="0" fontId="20" fillId="0" borderId="57">
      <alignment horizontal="left" vertical="center"/>
    </xf>
    <xf numFmtId="10" fontId="42" fillId="52" borderId="55" applyNumberFormat="0" applyBorder="0" applyAlignment="0" applyProtection="0"/>
    <xf numFmtId="0" fontId="51" fillId="84" borderId="58" applyNumberFormat="0" applyAlignment="0" applyProtection="0"/>
    <xf numFmtId="0" fontId="51" fillId="84" borderId="58" applyNumberFormat="0" applyAlignment="0" applyProtection="0"/>
    <xf numFmtId="0" fontId="51" fillId="62" borderId="58" applyNumberFormat="0" applyAlignment="0" applyProtection="0"/>
    <xf numFmtId="0" fontId="24" fillId="7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6" fillId="0" borderId="0"/>
    <xf numFmtId="49" fontId="37" fillId="0" borderId="56">
      <alignment horizontal="right" wrapText="1"/>
    </xf>
    <xf numFmtId="0" fontId="34" fillId="56" borderId="58" applyNumberFormat="0" applyAlignment="0" applyProtection="0"/>
    <xf numFmtId="0" fontId="35" fillId="88" borderId="58" applyNumberFormat="0" applyAlignment="0" applyProtection="0"/>
    <xf numFmtId="0" fontId="20" fillId="0" borderId="57">
      <alignment horizontal="left" vertical="center"/>
    </xf>
    <xf numFmtId="10" fontId="42" fillId="52" borderId="55" applyNumberFormat="0" applyBorder="0" applyAlignment="0" applyProtection="0"/>
    <xf numFmtId="0" fontId="51" fillId="84" borderId="58" applyNumberFormat="0" applyAlignment="0" applyProtection="0"/>
    <xf numFmtId="0" fontId="51" fillId="84" borderId="58" applyNumberFormat="0" applyAlignment="0" applyProtection="0"/>
    <xf numFmtId="0" fontId="51" fillId="62" borderId="58" applyNumberFormat="0" applyAlignment="0" applyProtection="0"/>
    <xf numFmtId="0" fontId="24" fillId="75" borderId="33" applyNumberFormat="0" applyFont="0" applyAlignment="0" applyProtection="0"/>
    <xf numFmtId="0" fontId="27" fillId="95" borderId="33" applyNumberFormat="0" applyFont="0" applyAlignment="0" applyProtection="0"/>
    <xf numFmtId="0" fontId="27" fillId="95" borderId="33" applyNumberFormat="0" applyFont="0" applyAlignment="0" applyProtection="0"/>
    <xf numFmtId="0" fontId="56" fillId="56" borderId="59" applyNumberFormat="0" applyAlignment="0" applyProtection="0"/>
    <xf numFmtId="0" fontId="56" fillId="88" borderId="59" applyNumberFormat="0" applyAlignment="0" applyProtection="0"/>
    <xf numFmtId="0" fontId="29" fillId="0" borderId="60" applyNumberFormat="0" applyFill="0" applyAlignment="0" applyProtection="0"/>
    <xf numFmtId="0" fontId="29" fillId="0" borderId="61" applyNumberFormat="0" applyFill="0" applyAlignment="0" applyProtection="0"/>
    <xf numFmtId="0" fontId="6" fillId="0" borderId="0"/>
    <xf numFmtId="49" fontId="37" fillId="0" borderId="56">
      <alignment horizontal="right" wrapText="1"/>
    </xf>
    <xf numFmtId="0" fontId="34" fillId="56" borderId="65" applyNumberFormat="0" applyAlignment="0" applyProtection="0"/>
    <xf numFmtId="0" fontId="35" fillId="88" borderId="65" applyNumberFormat="0" applyAlignment="0" applyProtection="0"/>
    <xf numFmtId="0" fontId="20" fillId="0" borderId="64">
      <alignment horizontal="left" vertical="center"/>
    </xf>
    <xf numFmtId="10" fontId="42" fillId="52" borderId="63" applyNumberFormat="0" applyBorder="0" applyAlignment="0" applyProtection="0"/>
    <xf numFmtId="0" fontId="51" fillId="84" borderId="65" applyNumberFormat="0" applyAlignment="0" applyProtection="0"/>
    <xf numFmtId="0" fontId="51" fillId="84" borderId="65" applyNumberFormat="0" applyAlignment="0" applyProtection="0"/>
    <xf numFmtId="0" fontId="51" fillId="62" borderId="65" applyNumberFormat="0" applyAlignment="0" applyProtection="0"/>
    <xf numFmtId="0" fontId="24" fillId="75" borderId="62" applyNumberFormat="0" applyFont="0" applyAlignment="0" applyProtection="0"/>
    <xf numFmtId="0" fontId="27" fillId="95" borderId="62" applyNumberFormat="0" applyFont="0" applyAlignment="0" applyProtection="0"/>
    <xf numFmtId="0" fontId="27" fillId="95" borderId="62" applyNumberFormat="0" applyFont="0" applyAlignment="0" applyProtection="0"/>
    <xf numFmtId="0" fontId="24" fillId="75" borderId="66" applyNumberFormat="0" applyFont="0" applyAlignment="0" applyProtection="0"/>
    <xf numFmtId="0" fontId="27" fillId="95" borderId="66" applyNumberFormat="0" applyFont="0" applyAlignment="0" applyProtection="0"/>
    <xf numFmtId="0" fontId="27" fillId="95" borderId="66" applyNumberFormat="0" applyFont="0" applyAlignment="0" applyProtection="0"/>
    <xf numFmtId="0" fontId="56" fillId="56" borderId="71" applyNumberFormat="0" applyAlignment="0" applyProtection="0"/>
    <xf numFmtId="0" fontId="56" fillId="88" borderId="71" applyNumberFormat="0" applyAlignment="0" applyProtection="0"/>
    <xf numFmtId="0" fontId="29" fillId="0" borderId="72" applyNumberFormat="0" applyFill="0" applyAlignment="0" applyProtection="0"/>
    <xf numFmtId="0" fontId="29" fillId="0" borderId="73" applyNumberFormat="0" applyFill="0" applyAlignment="0" applyProtection="0"/>
    <xf numFmtId="49" fontId="37" fillId="0" borderId="68">
      <alignment horizontal="right" wrapText="1"/>
    </xf>
    <xf numFmtId="0" fontId="34" fillId="56" borderId="78" applyNumberFormat="0" applyAlignment="0" applyProtection="0"/>
    <xf numFmtId="0" fontId="35" fillId="88" borderId="78" applyNumberFormat="0" applyAlignment="0" applyProtection="0"/>
    <xf numFmtId="0" fontId="20" fillId="0" borderId="77">
      <alignment horizontal="left" vertical="center"/>
    </xf>
    <xf numFmtId="10" fontId="42" fillId="52" borderId="75" applyNumberFormat="0" applyBorder="0" applyAlignment="0" applyProtection="0"/>
    <xf numFmtId="0" fontId="51" fillId="84" borderId="78" applyNumberFormat="0" applyAlignment="0" applyProtection="0"/>
    <xf numFmtId="0" fontId="51" fillId="84" borderId="78" applyNumberFormat="0" applyAlignment="0" applyProtection="0"/>
    <xf numFmtId="0" fontId="51" fillId="62" borderId="78" applyNumberFormat="0" applyAlignment="0" applyProtection="0"/>
    <xf numFmtId="0" fontId="24" fillId="75" borderId="74" applyNumberFormat="0" applyFont="0" applyAlignment="0" applyProtection="0"/>
    <xf numFmtId="0" fontId="27" fillId="95" borderId="74" applyNumberFormat="0" applyFont="0" applyAlignment="0" applyProtection="0"/>
    <xf numFmtId="0" fontId="27" fillId="95" borderId="74" applyNumberFormat="0" applyFont="0" applyAlignment="0" applyProtection="0"/>
    <xf numFmtId="0" fontId="56" fillId="56" borderId="79" applyNumberFormat="0" applyAlignment="0" applyProtection="0"/>
    <xf numFmtId="0" fontId="56" fillId="88" borderId="79" applyNumberFormat="0" applyAlignment="0" applyProtection="0"/>
    <xf numFmtId="0" fontId="29" fillId="0" borderId="80" applyNumberFormat="0" applyFill="0" applyAlignment="0" applyProtection="0"/>
    <xf numFmtId="0" fontId="29" fillId="0" borderId="81" applyNumberFormat="0" applyFill="0" applyAlignment="0" applyProtection="0"/>
    <xf numFmtId="49" fontId="37" fillId="0" borderId="76">
      <alignment horizontal="right" wrapText="1"/>
    </xf>
    <xf numFmtId="0" fontId="34" fillId="56" borderId="85" applyNumberFormat="0" applyAlignment="0" applyProtection="0"/>
    <xf numFmtId="0" fontId="35" fillId="88" borderId="85" applyNumberFormat="0" applyAlignment="0" applyProtection="0"/>
    <xf numFmtId="0" fontId="20" fillId="0" borderId="84">
      <alignment horizontal="left" vertical="center"/>
    </xf>
    <xf numFmtId="10" fontId="42" fillId="52" borderId="83" applyNumberFormat="0" applyBorder="0" applyAlignment="0" applyProtection="0"/>
    <xf numFmtId="0" fontId="51" fillId="84" borderId="85" applyNumberFormat="0" applyAlignment="0" applyProtection="0"/>
    <xf numFmtId="0" fontId="51" fillId="84" borderId="85" applyNumberFormat="0" applyAlignment="0" applyProtection="0"/>
    <xf numFmtId="0" fontId="51" fillId="62" borderId="85" applyNumberFormat="0" applyAlignment="0" applyProtection="0"/>
    <xf numFmtId="0" fontId="24" fillId="75" borderId="82" applyNumberFormat="0" applyFont="0" applyAlignment="0" applyProtection="0"/>
    <xf numFmtId="0" fontId="27" fillId="95" borderId="82" applyNumberFormat="0" applyFont="0" applyAlignment="0" applyProtection="0"/>
    <xf numFmtId="0" fontId="27" fillId="95" borderId="82" applyNumberFormat="0" applyFont="0" applyAlignment="0" applyProtection="0"/>
    <xf numFmtId="0" fontId="24" fillId="75" borderId="582" applyNumberFormat="0" applyFont="0" applyAlignment="0" applyProtection="0"/>
    <xf numFmtId="0" fontId="27" fillId="95" borderId="1247" applyNumberFormat="0" applyFont="0" applyAlignment="0" applyProtection="0"/>
    <xf numFmtId="0" fontId="51" fillId="62" borderId="396" applyNumberFormat="0" applyAlignment="0" applyProtection="0"/>
    <xf numFmtId="10" fontId="42" fillId="52" borderId="1061" applyNumberFormat="0" applyBorder="0" applyAlignment="0" applyProtection="0"/>
    <xf numFmtId="0" fontId="27" fillId="95" borderId="240" applyNumberFormat="0" applyFont="0" applyAlignment="0" applyProtection="0"/>
    <xf numFmtId="0" fontId="51" fillId="62" borderId="244" applyNumberFormat="0" applyAlignment="0" applyProtection="0"/>
    <xf numFmtId="0" fontId="56" fillId="88" borderId="518" applyNumberFormat="0" applyAlignment="0" applyProtection="0"/>
    <xf numFmtId="0" fontId="51" fillId="62" borderId="172" applyNumberFormat="0" applyAlignment="0" applyProtection="0"/>
    <xf numFmtId="0" fontId="20" fillId="0" borderId="243">
      <alignment horizontal="left" vertical="center"/>
    </xf>
    <xf numFmtId="0" fontId="20" fillId="0" borderId="171">
      <alignment horizontal="left" vertical="center"/>
    </xf>
    <xf numFmtId="0" fontId="27" fillId="95" borderId="392" applyNumberFormat="0" applyFont="0" applyAlignment="0" applyProtection="0"/>
    <xf numFmtId="0" fontId="20" fillId="0" borderId="663">
      <alignment horizontal="left" vertical="center"/>
    </xf>
    <xf numFmtId="0" fontId="51" fillId="62" borderId="586" applyNumberFormat="0" applyAlignment="0" applyProtection="0"/>
    <xf numFmtId="0" fontId="56" fillId="88" borderId="132" applyNumberFormat="0" applyAlignment="0" applyProtection="0"/>
    <xf numFmtId="0" fontId="56" fillId="56" borderId="132" applyNumberFormat="0" applyAlignment="0" applyProtection="0"/>
    <xf numFmtId="0" fontId="27" fillId="95" borderId="127" applyNumberFormat="0" applyFont="0" applyAlignment="0" applyProtection="0"/>
    <xf numFmtId="0" fontId="27" fillId="95" borderId="127" applyNumberFormat="0" applyFont="0" applyAlignment="0" applyProtection="0"/>
    <xf numFmtId="0" fontId="24" fillId="75" borderId="127" applyNumberFormat="0" applyFont="0" applyAlignment="0" applyProtection="0"/>
    <xf numFmtId="0" fontId="56" fillId="56" borderId="787" applyNumberFormat="0" applyAlignment="0" applyProtection="0"/>
    <xf numFmtId="0" fontId="27" fillId="95" borderId="513" applyNumberFormat="0" applyFont="0" applyAlignment="0" applyProtection="0"/>
    <xf numFmtId="10" fontId="42" fillId="52" borderId="393" applyNumberFormat="0" applyBorder="0" applyAlignment="0" applyProtection="0"/>
    <xf numFmtId="10" fontId="42" fillId="52" borderId="900" applyNumberFormat="0" applyBorder="0" applyAlignment="0" applyProtection="0"/>
    <xf numFmtId="0" fontId="56" fillId="88" borderId="787" applyNumberFormat="0" applyAlignment="0" applyProtection="0"/>
    <xf numFmtId="0" fontId="56" fillId="88" borderId="397" applyNumberFormat="0" applyAlignment="0" applyProtection="0"/>
    <xf numFmtId="0" fontId="27" fillId="95" borderId="701" applyNumberFormat="0" applyFont="0" applyAlignment="0" applyProtection="0"/>
    <xf numFmtId="0" fontId="51" fillId="62" borderId="1096" applyNumberFormat="0" applyAlignment="0" applyProtection="0"/>
    <xf numFmtId="0" fontId="56" fillId="56" borderId="746" applyNumberFormat="0" applyAlignment="0" applyProtection="0"/>
    <xf numFmtId="0" fontId="35" fillId="88" borderId="1096" applyNumberFormat="0" applyAlignment="0" applyProtection="0"/>
    <xf numFmtId="0" fontId="29" fillId="0" borderId="905" applyNumberFormat="0" applyFill="0" applyAlignment="0" applyProtection="0"/>
    <xf numFmtId="0" fontId="24" fillId="75" borderId="472" applyNumberFormat="0" applyFont="0" applyAlignment="0" applyProtection="0"/>
    <xf numFmtId="0" fontId="51" fillId="62" borderId="131" applyNumberFormat="0" applyAlignment="0" applyProtection="0"/>
    <xf numFmtId="0" fontId="51" fillId="84" borderId="131" applyNumberFormat="0" applyAlignment="0" applyProtection="0"/>
    <xf numFmtId="0" fontId="51" fillId="84" borderId="131" applyNumberFormat="0" applyAlignment="0" applyProtection="0"/>
    <xf numFmtId="10" fontId="42" fillId="52" borderId="128" applyNumberFormat="0" applyBorder="0" applyAlignment="0" applyProtection="0"/>
    <xf numFmtId="10" fontId="42" fillId="52" borderId="742" applyNumberFormat="0" applyBorder="0" applyAlignment="0" applyProtection="0"/>
    <xf numFmtId="0" fontId="34" fillId="56" borderId="396" applyNumberFormat="0" applyAlignment="0" applyProtection="0"/>
    <xf numFmtId="0" fontId="24" fillId="75" borderId="432" applyNumberFormat="0" applyFont="0" applyAlignment="0" applyProtection="0"/>
    <xf numFmtId="0" fontId="51" fillId="84" borderId="396" applyNumberFormat="0" applyAlignment="0" applyProtection="0"/>
    <xf numFmtId="10" fontId="42" fillId="52" borderId="320" applyNumberFormat="0" applyBorder="0" applyAlignment="0" applyProtection="0"/>
    <xf numFmtId="10" fontId="42" fillId="52" borderId="546" applyNumberFormat="0" applyBorder="0" applyAlignment="0" applyProtection="0"/>
    <xf numFmtId="0" fontId="27" fillId="95" borderId="208" applyNumberFormat="0" applyFont="0" applyAlignment="0" applyProtection="0"/>
    <xf numFmtId="0" fontId="27" fillId="95" borderId="208" applyNumberFormat="0" applyFont="0" applyAlignment="0" applyProtection="0"/>
    <xf numFmtId="0" fontId="24" fillId="75" borderId="208" applyNumberFormat="0" applyFont="0" applyAlignment="0" applyProtection="0"/>
    <xf numFmtId="0" fontId="51" fillId="84" borderId="323" applyNumberFormat="0" applyAlignment="0" applyProtection="0"/>
    <xf numFmtId="10" fontId="42" fillId="52" borderId="583" applyNumberFormat="0" applyBorder="0" applyAlignment="0" applyProtection="0"/>
    <xf numFmtId="0" fontId="20" fillId="0" borderId="130">
      <alignment horizontal="left" vertical="center"/>
    </xf>
    <xf numFmtId="10" fontId="42" fillId="52" borderId="864" applyNumberFormat="0" applyBorder="0" applyAlignment="0" applyProtection="0"/>
    <xf numFmtId="0" fontId="20" fillId="0" borderId="516">
      <alignment horizontal="left" vertical="center"/>
    </xf>
    <xf numFmtId="0" fontId="24" fillId="75" borderId="823" applyNumberFormat="0" applyFont="0" applyAlignment="0" applyProtection="0"/>
    <xf numFmtId="0" fontId="51" fillId="84" borderId="827" applyNumberFormat="0" applyAlignment="0" applyProtection="0"/>
    <xf numFmtId="0" fontId="56" fillId="88" borderId="477" applyNumberFormat="0" applyAlignment="0" applyProtection="0"/>
    <xf numFmtId="0" fontId="51" fillId="62" borderId="323" applyNumberFormat="0" applyAlignment="0" applyProtection="0"/>
    <xf numFmtId="0" fontId="51" fillId="84" borderId="476" applyNumberFormat="0" applyAlignment="0" applyProtection="0"/>
    <xf numFmtId="0" fontId="51" fillId="84" borderId="212" applyNumberFormat="0" applyAlignment="0" applyProtection="0"/>
    <xf numFmtId="0" fontId="34" fillId="56" borderId="476" applyNumberFormat="0" applyAlignment="0" applyProtection="0"/>
    <xf numFmtId="0" fontId="56" fillId="88" borderId="285" applyNumberFormat="0" applyAlignment="0" applyProtection="0"/>
    <xf numFmtId="0" fontId="27" fillId="95" borderId="823" applyNumberFormat="0" applyFont="0" applyAlignment="0" applyProtection="0"/>
    <xf numFmtId="0" fontId="34" fillId="56" borderId="212" applyNumberFormat="0" applyAlignment="0" applyProtection="0"/>
    <xf numFmtId="0" fontId="35" fillId="88" borderId="131" applyNumberFormat="0" applyAlignment="0" applyProtection="0"/>
    <xf numFmtId="0" fontId="34" fillId="56" borderId="131" applyNumberFormat="0" applyAlignment="0" applyProtection="0"/>
    <xf numFmtId="0" fontId="34" fillId="56" borderId="436" applyNumberFormat="0" applyAlignment="0" applyProtection="0"/>
    <xf numFmtId="0" fontId="35" fillId="88" borderId="355" applyNumberFormat="0" applyAlignment="0" applyProtection="0"/>
    <xf numFmtId="0" fontId="34" fillId="56" borderId="355" applyNumberFormat="0" applyAlignment="0" applyProtection="0"/>
    <xf numFmtId="0" fontId="34" fillId="56" borderId="827" applyNumberFormat="0" applyAlignment="0" applyProtection="0"/>
    <xf numFmtId="0" fontId="35" fillId="88" borderId="903" applyNumberFormat="0" applyAlignment="0" applyProtection="0"/>
    <xf numFmtId="0" fontId="35" fillId="88" borderId="586" applyNumberFormat="0" applyAlignment="0" applyProtection="0"/>
    <xf numFmtId="0" fontId="34" fillId="56" borderId="586" applyNumberFormat="0" applyAlignment="0" applyProtection="0"/>
    <xf numFmtId="0" fontId="34" fillId="56" borderId="903" applyNumberFormat="0" applyAlignment="0" applyProtection="0"/>
    <xf numFmtId="0" fontId="35" fillId="88" borderId="664" applyNumberFormat="0" applyAlignment="0" applyProtection="0"/>
    <xf numFmtId="0" fontId="34" fillId="56" borderId="664" applyNumberFormat="0" applyAlignment="0" applyProtection="0"/>
    <xf numFmtId="0" fontId="34" fillId="56" borderId="1064" applyNumberFormat="0" applyAlignment="0" applyProtection="0"/>
    <xf numFmtId="0" fontId="35" fillId="88" borderId="1132" applyNumberFormat="0" applyAlignment="0" applyProtection="0"/>
    <xf numFmtId="0" fontId="34" fillId="56" borderId="1132" applyNumberFormat="0" applyAlignment="0" applyProtection="0"/>
    <xf numFmtId="0" fontId="34" fillId="56" borderId="244" applyNumberFormat="0" applyAlignment="0" applyProtection="0"/>
    <xf numFmtId="0" fontId="35" fillId="88" borderId="244" applyNumberFormat="0" applyAlignment="0" applyProtection="0"/>
    <xf numFmtId="0" fontId="34" fillId="56" borderId="323" applyNumberFormat="0" applyAlignment="0" applyProtection="0"/>
    <xf numFmtId="0" fontId="34" fillId="56" borderId="172" applyNumberFormat="0" applyAlignment="0" applyProtection="0"/>
    <xf numFmtId="0" fontId="34" fillId="56" borderId="91" applyNumberFormat="0" applyAlignment="0" applyProtection="0"/>
    <xf numFmtId="0" fontId="35" fillId="88" borderId="91" applyNumberFormat="0" applyAlignment="0" applyProtection="0"/>
    <xf numFmtId="0" fontId="35" fillId="88" borderId="172" applyNumberFormat="0" applyAlignment="0" applyProtection="0"/>
    <xf numFmtId="0" fontId="35" fillId="88" borderId="323" applyNumberFormat="0" applyAlignment="0" applyProtection="0"/>
    <xf numFmtId="0" fontId="51" fillId="84" borderId="284" applyNumberFormat="0" applyAlignment="0" applyProtection="0"/>
    <xf numFmtId="0" fontId="56" fillId="56" borderId="356" applyNumberFormat="0" applyAlignment="0" applyProtection="0"/>
    <xf numFmtId="0" fontId="51" fillId="84" borderId="172" applyNumberFormat="0" applyAlignment="0" applyProtection="0"/>
    <xf numFmtId="0" fontId="51" fillId="84" borderId="626" applyNumberFormat="0" applyAlignment="0" applyProtection="0"/>
    <xf numFmtId="0" fontId="34" fillId="56" borderId="1291" applyNumberFormat="0" applyAlignment="0" applyProtection="0"/>
    <xf numFmtId="10" fontId="42" fillId="52" borderId="352" applyNumberFormat="0" applyBorder="0" applyAlignment="0" applyProtection="0"/>
    <xf numFmtId="0" fontId="51" fillId="84" borderId="355" applyNumberFormat="0" applyAlignment="0" applyProtection="0"/>
    <xf numFmtId="0" fontId="20" fillId="0" borderId="475">
      <alignment horizontal="left" vertical="center"/>
    </xf>
    <xf numFmtId="0" fontId="20" fillId="0" borderId="625">
      <alignment horizontal="left" vertical="center"/>
    </xf>
    <xf numFmtId="0" fontId="20" fillId="0" borderId="90">
      <alignment horizontal="left" vertical="center"/>
    </xf>
    <xf numFmtId="0" fontId="51" fillId="84" borderId="1132" applyNumberFormat="0" applyAlignment="0" applyProtection="0"/>
    <xf numFmtId="0" fontId="24" fillId="75" borderId="168" applyNumberFormat="0" applyFont="0" applyAlignment="0" applyProtection="0"/>
    <xf numFmtId="0" fontId="27" fillId="95" borderId="168" applyNumberFormat="0" applyFont="0" applyAlignment="0" applyProtection="0"/>
    <xf numFmtId="0" fontId="27" fillId="95" borderId="168" applyNumberFormat="0" applyFont="0" applyAlignment="0" applyProtection="0"/>
    <xf numFmtId="0" fontId="56" fillId="56" borderId="173" applyNumberFormat="0" applyAlignment="0" applyProtection="0"/>
    <xf numFmtId="0" fontId="56" fillId="88" borderId="173" applyNumberFormat="0" applyAlignment="0" applyProtection="0"/>
    <xf numFmtId="0" fontId="27" fillId="95" borderId="472" applyNumberFormat="0" applyFont="0" applyAlignment="0" applyProtection="0"/>
    <xf numFmtId="0" fontId="27" fillId="95" borderId="701" applyNumberFormat="0" applyFont="0" applyAlignment="0" applyProtection="0"/>
    <xf numFmtId="0" fontId="51" fillId="62" borderId="212" applyNumberFormat="0" applyAlignment="0" applyProtection="0"/>
    <xf numFmtId="0" fontId="51" fillId="84" borderId="436" applyNumberFormat="0" applyAlignment="0" applyProtection="0"/>
    <xf numFmtId="0" fontId="34" fillId="56" borderId="745" applyNumberFormat="0" applyAlignment="0" applyProtection="0"/>
    <xf numFmtId="10" fontId="42" fillId="52" borderId="88" applyNumberFormat="0" applyBorder="0" applyAlignment="0" applyProtection="0"/>
    <xf numFmtId="0" fontId="51" fillId="84" borderId="91" applyNumberFormat="0" applyAlignment="0" applyProtection="0"/>
    <xf numFmtId="0" fontId="51" fillId="84" borderId="91" applyNumberFormat="0" applyAlignment="0" applyProtection="0"/>
    <xf numFmtId="0" fontId="51" fillId="62" borderId="91" applyNumberFormat="0" applyAlignment="0" applyProtection="0"/>
    <xf numFmtId="0" fontId="27" fillId="95" borderId="351" applyNumberFormat="0" applyFont="0" applyAlignment="0" applyProtection="0"/>
    <xf numFmtId="0" fontId="51" fillId="84" borderId="212" applyNumberFormat="0" applyAlignment="0" applyProtection="0"/>
    <xf numFmtId="0" fontId="51" fillId="62" borderId="867" applyNumberFormat="0" applyAlignment="0" applyProtection="0"/>
    <xf numFmtId="0" fontId="35" fillId="88" borderId="396" applyNumberFormat="0" applyAlignment="0" applyProtection="0"/>
    <xf numFmtId="0" fontId="29" fillId="0" borderId="357" applyNumberFormat="0" applyFill="0" applyAlignment="0" applyProtection="0"/>
    <xf numFmtId="49" fontId="37" fillId="0" borderId="979">
      <alignment horizontal="right" wrapText="1"/>
    </xf>
    <xf numFmtId="0" fontId="51" fillId="62" borderId="284" applyNumberFormat="0" applyAlignment="0" applyProtection="0"/>
    <xf numFmtId="0" fontId="56" fillId="56" borderId="587" applyNumberFormat="0" applyAlignment="0" applyProtection="0"/>
    <xf numFmtId="0" fontId="34" fillId="56" borderId="549" applyNumberFormat="0" applyAlignment="0" applyProtection="0"/>
    <xf numFmtId="0" fontId="56" fillId="56" borderId="285" applyNumberFormat="0" applyAlignment="0" applyProtection="0"/>
    <xf numFmtId="0" fontId="51" fillId="84" borderId="244" applyNumberFormat="0" applyAlignment="0" applyProtection="0"/>
    <xf numFmtId="0" fontId="24" fillId="75" borderId="87" applyNumberFormat="0" applyFont="0" applyAlignment="0" applyProtection="0"/>
    <xf numFmtId="0" fontId="27" fillId="95" borderId="87" applyNumberFormat="0" applyFont="0" applyAlignment="0" applyProtection="0"/>
    <xf numFmtId="0" fontId="27" fillId="95" borderId="87" applyNumberFormat="0" applyFont="0" applyAlignment="0" applyProtection="0"/>
    <xf numFmtId="0" fontId="56" fillId="56" borderId="92" applyNumberFormat="0" applyAlignment="0" applyProtection="0"/>
    <xf numFmtId="0" fontId="56" fillId="88" borderId="92" applyNumberFormat="0" applyAlignment="0" applyProtection="0"/>
    <xf numFmtId="10" fontId="42" fillId="52" borderId="1328" applyNumberFormat="0" applyBorder="0" applyAlignment="0" applyProtection="0"/>
    <xf numFmtId="10" fontId="42" fillId="52" borderId="241" applyNumberFormat="0" applyBorder="0" applyAlignment="0" applyProtection="0"/>
    <xf numFmtId="0" fontId="35" fillId="88" borderId="626" applyNumberFormat="0" applyAlignment="0" applyProtection="0"/>
    <xf numFmtId="0" fontId="29" fillId="0" borderId="93" applyNumberFormat="0" applyFill="0" applyAlignment="0" applyProtection="0"/>
    <xf numFmtId="0" fontId="29" fillId="0" borderId="94" applyNumberFormat="0" applyFill="0" applyAlignment="0" applyProtection="0"/>
    <xf numFmtId="0" fontId="51" fillId="84" borderId="436" applyNumberFormat="0" applyAlignment="0" applyProtection="0"/>
    <xf numFmtId="0" fontId="51" fillId="84" borderId="586" applyNumberFormat="0" applyAlignment="0" applyProtection="0"/>
    <xf numFmtId="0" fontId="56" fillId="56" borderId="245" applyNumberFormat="0" applyAlignment="0" applyProtection="0"/>
    <xf numFmtId="0" fontId="51" fillId="84" borderId="1132" applyNumberFormat="0" applyAlignment="0" applyProtection="0"/>
    <xf numFmtId="0" fontId="27" fillId="95" borderId="472" applyNumberFormat="0" applyFont="0" applyAlignment="0" applyProtection="0"/>
    <xf numFmtId="49" fontId="37" fillId="0" borderId="89">
      <alignment horizontal="right" wrapText="1"/>
    </xf>
    <xf numFmtId="0" fontId="51" fillId="62" borderId="111" applyNumberFormat="0" applyAlignment="0" applyProtection="0"/>
    <xf numFmtId="0" fontId="51" fillId="84" borderId="111" applyNumberFormat="0" applyAlignment="0" applyProtection="0"/>
    <xf numFmtId="0" fontId="51" fillId="84" borderId="111" applyNumberFormat="0" applyAlignment="0" applyProtection="0"/>
    <xf numFmtId="10" fontId="42" fillId="52" borderId="108" applyNumberFormat="0" applyBorder="0" applyAlignment="0" applyProtection="0"/>
    <xf numFmtId="0" fontId="20" fillId="0" borderId="110">
      <alignment horizontal="left" vertical="center"/>
    </xf>
    <xf numFmtId="0" fontId="35" fillId="88" borderId="111" applyNumberFormat="0" applyAlignment="0" applyProtection="0"/>
    <xf numFmtId="0" fontId="34" fillId="56" borderId="111" applyNumberFormat="0" applyAlignment="0" applyProtection="0"/>
    <xf numFmtId="0" fontId="34" fillId="56" borderId="99" applyNumberFormat="0" applyAlignment="0" applyProtection="0"/>
    <xf numFmtId="0" fontId="35" fillId="88" borderId="99" applyNumberFormat="0" applyAlignment="0" applyProtection="0"/>
    <xf numFmtId="0" fontId="20" fillId="0" borderId="98">
      <alignment horizontal="left" vertical="center"/>
    </xf>
    <xf numFmtId="10" fontId="42" fillId="52" borderId="96" applyNumberFormat="0" applyBorder="0" applyAlignment="0" applyProtection="0"/>
    <xf numFmtId="0" fontId="51" fillId="84" borderId="99" applyNumberFormat="0" applyAlignment="0" applyProtection="0"/>
    <xf numFmtId="0" fontId="51" fillId="84" borderId="99" applyNumberFormat="0" applyAlignment="0" applyProtection="0"/>
    <xf numFmtId="0" fontId="51" fillId="62" borderId="99" applyNumberFormat="0" applyAlignment="0" applyProtection="0"/>
    <xf numFmtId="0" fontId="24" fillId="75" borderId="95" applyNumberFormat="0" applyFont="0" applyAlignment="0" applyProtection="0"/>
    <xf numFmtId="0" fontId="27" fillId="95" borderId="95" applyNumberFormat="0" applyFont="0" applyAlignment="0" applyProtection="0"/>
    <xf numFmtId="0" fontId="27" fillId="95" borderId="95" applyNumberFormat="0" applyFont="0" applyAlignment="0" applyProtection="0"/>
    <xf numFmtId="0" fontId="34" fillId="56" borderId="1251" applyNumberFormat="0" applyAlignment="0" applyProtection="0"/>
    <xf numFmtId="0" fontId="27" fillId="95" borderId="545" applyNumberFormat="0" applyFont="0" applyAlignment="0" applyProtection="0"/>
    <xf numFmtId="0" fontId="34" fillId="56" borderId="284" applyNumberFormat="0" applyAlignment="0" applyProtection="0"/>
    <xf numFmtId="49" fontId="37" fillId="0" borderId="97">
      <alignment horizontal="right" wrapText="1"/>
    </xf>
    <xf numFmtId="0" fontId="34" fillId="56" borderId="99" applyNumberFormat="0" applyAlignment="0" applyProtection="0"/>
    <xf numFmtId="0" fontId="35" fillId="88" borderId="99" applyNumberFormat="0" applyAlignment="0" applyProtection="0"/>
    <xf numFmtId="0" fontId="20" fillId="0" borderId="98">
      <alignment horizontal="left" vertical="center"/>
    </xf>
    <xf numFmtId="10" fontId="42" fillId="52" borderId="96" applyNumberFormat="0" applyBorder="0" applyAlignment="0" applyProtection="0"/>
    <xf numFmtId="0" fontId="51" fillId="84" borderId="99" applyNumberFormat="0" applyAlignment="0" applyProtection="0"/>
    <xf numFmtId="0" fontId="51" fillId="84" borderId="99" applyNumberFormat="0" applyAlignment="0" applyProtection="0"/>
    <xf numFmtId="0" fontId="51" fillId="62" borderId="99" applyNumberFormat="0" applyAlignment="0" applyProtection="0"/>
    <xf numFmtId="0" fontId="24" fillId="75" borderId="95" applyNumberFormat="0" applyFont="0" applyAlignment="0" applyProtection="0"/>
    <xf numFmtId="0" fontId="27" fillId="95" borderId="95" applyNumberFormat="0" applyFont="0" applyAlignment="0" applyProtection="0"/>
    <xf numFmtId="0" fontId="27" fillId="95" borderId="95" applyNumberFormat="0" applyFont="0" applyAlignment="0" applyProtection="0"/>
    <xf numFmtId="0" fontId="56" fillId="56" borderId="100" applyNumberFormat="0" applyAlignment="0" applyProtection="0"/>
    <xf numFmtId="0" fontId="56" fillId="88" borderId="100" applyNumberFormat="0" applyAlignment="0" applyProtection="0"/>
    <xf numFmtId="0" fontId="29" fillId="0" borderId="101" applyNumberFormat="0" applyFill="0" applyAlignment="0" applyProtection="0"/>
    <xf numFmtId="0" fontId="29" fillId="0" borderId="102" applyNumberFormat="0" applyFill="0" applyAlignment="0" applyProtection="0"/>
    <xf numFmtId="0" fontId="20" fillId="0" borderId="211">
      <alignment horizontal="left" vertical="center"/>
    </xf>
    <xf numFmtId="49" fontId="37" fillId="0" borderId="97">
      <alignment horizontal="right" wrapText="1"/>
    </xf>
    <xf numFmtId="0" fontId="34" fillId="56" borderId="106" applyNumberFormat="0" applyAlignment="0" applyProtection="0"/>
    <xf numFmtId="0" fontId="35" fillId="88" borderId="106" applyNumberFormat="0" applyAlignment="0" applyProtection="0"/>
    <xf numFmtId="0" fontId="20" fillId="0" borderId="105">
      <alignment horizontal="left" vertical="center"/>
    </xf>
    <xf numFmtId="10" fontId="42" fillId="52" borderId="104" applyNumberFormat="0" applyBorder="0" applyAlignment="0" applyProtection="0"/>
    <xf numFmtId="0" fontId="51" fillId="84" borderId="106" applyNumberFormat="0" applyAlignment="0" applyProtection="0"/>
    <xf numFmtId="0" fontId="51" fillId="84" borderId="106" applyNumberFormat="0" applyAlignment="0" applyProtection="0"/>
    <xf numFmtId="0" fontId="51" fillId="62" borderId="106" applyNumberFormat="0" applyAlignment="0" applyProtection="0"/>
    <xf numFmtId="0" fontId="24" fillId="75" borderId="103" applyNumberFormat="0" applyFont="0" applyAlignment="0" applyProtection="0"/>
    <xf numFmtId="0" fontId="27" fillId="95" borderId="103" applyNumberFormat="0" applyFont="0" applyAlignment="0" applyProtection="0"/>
    <xf numFmtId="0" fontId="27" fillId="95" borderId="103" applyNumberFormat="0" applyFont="0" applyAlignment="0" applyProtection="0"/>
    <xf numFmtId="0" fontId="24" fillId="75" borderId="107" applyNumberFormat="0" applyFont="0" applyAlignment="0" applyProtection="0"/>
    <xf numFmtId="0" fontId="27" fillId="95" borderId="107" applyNumberFormat="0" applyFont="0" applyAlignment="0" applyProtection="0"/>
    <xf numFmtId="0" fontId="27" fillId="95" borderId="107" applyNumberFormat="0" applyFont="0" applyAlignment="0" applyProtection="0"/>
    <xf numFmtId="0" fontId="56" fillId="56" borderId="112" applyNumberFormat="0" applyAlignment="0" applyProtection="0"/>
    <xf numFmtId="0" fontId="56" fillId="88" borderId="112" applyNumberFormat="0" applyAlignment="0" applyProtection="0"/>
    <xf numFmtId="0" fontId="29" fillId="0" borderId="113" applyNumberFormat="0" applyFill="0" applyAlignment="0" applyProtection="0"/>
    <xf numFmtId="0" fontId="29" fillId="0" borderId="114" applyNumberFormat="0" applyFill="0" applyAlignment="0" applyProtection="0"/>
    <xf numFmtId="49" fontId="37" fillId="0" borderId="109">
      <alignment horizontal="right" wrapText="1"/>
    </xf>
    <xf numFmtId="0" fontId="34" fillId="56" borderId="119" applyNumberFormat="0" applyAlignment="0" applyProtection="0"/>
    <xf numFmtId="0" fontId="35" fillId="88" borderId="119" applyNumberFormat="0" applyAlignment="0" applyProtection="0"/>
    <xf numFmtId="0" fontId="20" fillId="0" borderId="118">
      <alignment horizontal="left" vertical="center"/>
    </xf>
    <xf numFmtId="10" fontId="42" fillId="52" borderId="116" applyNumberFormat="0" applyBorder="0" applyAlignment="0" applyProtection="0"/>
    <xf numFmtId="0" fontId="51" fillId="84" borderId="119" applyNumberFormat="0" applyAlignment="0" applyProtection="0"/>
    <xf numFmtId="0" fontId="51" fillId="84" borderId="119" applyNumberFormat="0" applyAlignment="0" applyProtection="0"/>
    <xf numFmtId="0" fontId="51" fillId="62" borderId="119" applyNumberFormat="0" applyAlignment="0" applyProtection="0"/>
    <xf numFmtId="0" fontId="24" fillId="75" borderId="115" applyNumberFormat="0" applyFont="0" applyAlignment="0" applyProtection="0"/>
    <xf numFmtId="0" fontId="27" fillId="95" borderId="115" applyNumberFormat="0" applyFont="0" applyAlignment="0" applyProtection="0"/>
    <xf numFmtId="0" fontId="27" fillId="95" borderId="115" applyNumberFormat="0" applyFont="0" applyAlignment="0" applyProtection="0"/>
    <xf numFmtId="0" fontId="56" fillId="56" borderId="120" applyNumberFormat="0" applyAlignment="0" applyProtection="0"/>
    <xf numFmtId="0" fontId="56" fillId="88" borderId="120" applyNumberFormat="0" applyAlignment="0" applyProtection="0"/>
    <xf numFmtId="0" fontId="29" fillId="0" borderId="121" applyNumberFormat="0" applyFill="0" applyAlignment="0" applyProtection="0"/>
    <xf numFmtId="0" fontId="29" fillId="0" borderId="122" applyNumberFormat="0" applyFill="0" applyAlignment="0" applyProtection="0"/>
    <xf numFmtId="49" fontId="37" fillId="0" borderId="117">
      <alignment horizontal="right" wrapText="1"/>
    </xf>
    <xf numFmtId="0" fontId="34" fillId="56" borderId="126" applyNumberFormat="0" applyAlignment="0" applyProtection="0"/>
    <xf numFmtId="0" fontId="35" fillId="88" borderId="126" applyNumberFormat="0" applyAlignment="0" applyProtection="0"/>
    <xf numFmtId="0" fontId="20" fillId="0" borderId="125">
      <alignment horizontal="left" vertical="center"/>
    </xf>
    <xf numFmtId="10" fontId="42" fillId="52" borderId="124" applyNumberFormat="0" applyBorder="0" applyAlignment="0" applyProtection="0"/>
    <xf numFmtId="0" fontId="51" fillId="84" borderId="126" applyNumberFormat="0" applyAlignment="0" applyProtection="0"/>
    <xf numFmtId="0" fontId="51" fillId="84" borderId="126" applyNumberFormat="0" applyAlignment="0" applyProtection="0"/>
    <xf numFmtId="0" fontId="51" fillId="62" borderId="126" applyNumberFormat="0" applyAlignment="0" applyProtection="0"/>
    <xf numFmtId="0" fontId="24" fillId="75" borderId="123" applyNumberFormat="0" applyFont="0" applyAlignment="0" applyProtection="0"/>
    <xf numFmtId="0" fontId="27" fillId="95" borderId="123" applyNumberFormat="0" applyFont="0" applyAlignment="0" applyProtection="0"/>
    <xf numFmtId="0" fontId="27" fillId="95" borderId="123" applyNumberFormat="0" applyFont="0" applyAlignment="0" applyProtection="0"/>
    <xf numFmtId="0" fontId="27" fillId="95" borderId="545" applyNumberFormat="0" applyFont="0" applyAlignment="0" applyProtection="0"/>
    <xf numFmtId="0" fontId="24" fillId="75" borderId="392" applyNumberFormat="0" applyFont="0" applyAlignment="0" applyProtection="0"/>
    <xf numFmtId="0" fontId="29" fillId="0" borderId="133" applyNumberFormat="0" applyFill="0" applyAlignment="0" applyProtection="0"/>
    <xf numFmtId="0" fontId="29" fillId="0" borderId="134" applyNumberFormat="0" applyFill="0" applyAlignment="0" applyProtection="0"/>
    <xf numFmtId="0" fontId="20" fillId="0" borderId="283">
      <alignment horizontal="left" vertical="center"/>
    </xf>
    <xf numFmtId="0" fontId="20" fillId="0" borderId="785">
      <alignment horizontal="left" vertical="center"/>
    </xf>
    <xf numFmtId="0" fontId="51" fillId="84" borderId="1211" applyNumberFormat="0" applyAlignment="0" applyProtection="0"/>
    <xf numFmtId="0" fontId="56" fillId="56" borderId="944" applyNumberFormat="0" applyAlignment="0" applyProtection="0"/>
    <xf numFmtId="0" fontId="51" fillId="84" borderId="1064" applyNumberFormat="0" applyAlignment="0" applyProtection="0"/>
    <xf numFmtId="0" fontId="27" fillId="95" borderId="280" applyNumberFormat="0" applyFont="0" applyAlignment="0" applyProtection="0"/>
    <xf numFmtId="49" fontId="37" fillId="0" borderId="129">
      <alignment horizontal="right" wrapText="1"/>
    </xf>
    <xf numFmtId="0" fontId="51" fillId="62" borderId="151" applyNumberFormat="0" applyAlignment="0" applyProtection="0"/>
    <xf numFmtId="0" fontId="51" fillId="84" borderId="151" applyNumberFormat="0" applyAlignment="0" applyProtection="0"/>
    <xf numFmtId="0" fontId="51" fillId="84" borderId="151" applyNumberFormat="0" applyAlignment="0" applyProtection="0"/>
    <xf numFmtId="10" fontId="42" fillId="52" borderId="148" applyNumberFormat="0" applyBorder="0" applyAlignment="0" applyProtection="0"/>
    <xf numFmtId="0" fontId="20" fillId="0" borderId="150">
      <alignment horizontal="left" vertical="center"/>
    </xf>
    <xf numFmtId="0" fontId="35" fillId="88" borderId="151" applyNumberFormat="0" applyAlignment="0" applyProtection="0"/>
    <xf numFmtId="0" fontId="34" fillId="56" borderId="151" applyNumberFormat="0" applyAlignment="0" applyProtection="0"/>
    <xf numFmtId="0" fontId="34" fillId="56" borderId="139" applyNumberFormat="0" applyAlignment="0" applyProtection="0"/>
    <xf numFmtId="0" fontId="35" fillId="88" borderId="139" applyNumberFormat="0" applyAlignment="0" applyProtection="0"/>
    <xf numFmtId="0" fontId="20" fillId="0" borderId="138">
      <alignment horizontal="left" vertical="center"/>
    </xf>
    <xf numFmtId="10" fontId="42" fillId="52" borderId="136" applyNumberFormat="0" applyBorder="0" applyAlignment="0" applyProtection="0"/>
    <xf numFmtId="0" fontId="51" fillId="84" borderId="139" applyNumberFormat="0" applyAlignment="0" applyProtection="0"/>
    <xf numFmtId="0" fontId="51" fillId="84" borderId="139" applyNumberFormat="0" applyAlignment="0" applyProtection="0"/>
    <xf numFmtId="0" fontId="51" fillId="62" borderId="139" applyNumberFormat="0" applyAlignment="0" applyProtection="0"/>
    <xf numFmtId="0" fontId="24" fillId="75" borderId="135" applyNumberFormat="0" applyFont="0" applyAlignment="0" applyProtection="0"/>
    <xf numFmtId="0" fontId="27" fillId="95" borderId="135" applyNumberFormat="0" applyFont="0" applyAlignment="0" applyProtection="0"/>
    <xf numFmtId="0" fontId="27" fillId="95" borderId="135" applyNumberFormat="0" applyFont="0" applyAlignment="0" applyProtection="0"/>
    <xf numFmtId="0" fontId="27" fillId="95" borderId="1020" applyNumberFormat="0" applyFont="0" applyAlignment="0" applyProtection="0"/>
    <xf numFmtId="0" fontId="51" fillId="84" borderId="1024" applyNumberFormat="0" applyAlignment="0" applyProtection="0"/>
    <xf numFmtId="0" fontId="51" fillId="84" borderId="396" applyNumberFormat="0" applyAlignment="0" applyProtection="0"/>
    <xf numFmtId="49" fontId="37" fillId="0" borderId="137">
      <alignment horizontal="right" wrapText="1"/>
    </xf>
    <xf numFmtId="0" fontId="34" fillId="56" borderId="139" applyNumberFormat="0" applyAlignment="0" applyProtection="0"/>
    <xf numFmtId="0" fontId="35" fillId="88" borderId="139" applyNumberFormat="0" applyAlignment="0" applyProtection="0"/>
    <xf numFmtId="0" fontId="20" fillId="0" borderId="138">
      <alignment horizontal="left" vertical="center"/>
    </xf>
    <xf numFmtId="10" fontId="42" fillId="52" borderId="136" applyNumberFormat="0" applyBorder="0" applyAlignment="0" applyProtection="0"/>
    <xf numFmtId="0" fontId="51" fillId="84" borderId="139" applyNumberFormat="0" applyAlignment="0" applyProtection="0"/>
    <xf numFmtId="0" fontId="51" fillId="84" borderId="139" applyNumberFormat="0" applyAlignment="0" applyProtection="0"/>
    <xf numFmtId="0" fontId="51" fillId="62" borderId="139" applyNumberFormat="0" applyAlignment="0" applyProtection="0"/>
    <xf numFmtId="0" fontId="24" fillId="75" borderId="135" applyNumberFormat="0" applyFont="0" applyAlignment="0" applyProtection="0"/>
    <xf numFmtId="0" fontId="27" fillId="95" borderId="135" applyNumberFormat="0" applyFont="0" applyAlignment="0" applyProtection="0"/>
    <xf numFmtId="0" fontId="27" fillId="95" borderId="135" applyNumberFormat="0" applyFont="0" applyAlignment="0" applyProtection="0"/>
    <xf numFmtId="0" fontId="56" fillId="56" borderId="140" applyNumberFormat="0" applyAlignment="0" applyProtection="0"/>
    <xf numFmtId="0" fontId="56" fillId="88" borderId="140" applyNumberFormat="0" applyAlignment="0" applyProtection="0"/>
    <xf numFmtId="0" fontId="29" fillId="0" borderId="141" applyNumberFormat="0" applyFill="0" applyAlignment="0" applyProtection="0"/>
    <xf numFmtId="0" fontId="29" fillId="0" borderId="142" applyNumberFormat="0" applyFill="0" applyAlignment="0" applyProtection="0"/>
    <xf numFmtId="0" fontId="27" fillId="95" borderId="622" applyNumberFormat="0" applyFont="0" applyAlignment="0" applyProtection="0"/>
    <xf numFmtId="49" fontId="37" fillId="0" borderId="137">
      <alignment horizontal="right" wrapText="1"/>
    </xf>
    <xf numFmtId="0" fontId="34" fillId="56" borderId="146" applyNumberFormat="0" applyAlignment="0" applyProtection="0"/>
    <xf numFmtId="0" fontId="35" fillId="88" borderId="146" applyNumberFormat="0" applyAlignment="0" applyProtection="0"/>
    <xf numFmtId="0" fontId="20" fillId="0" borderId="145">
      <alignment horizontal="left" vertical="center"/>
    </xf>
    <xf numFmtId="10" fontId="42" fillId="52" borderId="144" applyNumberFormat="0" applyBorder="0" applyAlignment="0" applyProtection="0"/>
    <xf numFmtId="0" fontId="51" fillId="84" borderId="146" applyNumberFormat="0" applyAlignment="0" applyProtection="0"/>
    <xf numFmtId="0" fontId="51" fillId="84" borderId="146" applyNumberFormat="0" applyAlignment="0" applyProtection="0"/>
    <xf numFmtId="0" fontId="51" fillId="62" borderId="146" applyNumberFormat="0" applyAlignment="0" applyProtection="0"/>
    <xf numFmtId="0" fontId="24" fillId="75" borderId="143" applyNumberFormat="0" applyFont="0" applyAlignment="0" applyProtection="0"/>
    <xf numFmtId="0" fontId="27" fillId="95" borderId="143" applyNumberFormat="0" applyFont="0" applyAlignment="0" applyProtection="0"/>
    <xf numFmtId="0" fontId="27" fillId="95" borderId="143" applyNumberFormat="0" applyFont="0" applyAlignment="0" applyProtection="0"/>
    <xf numFmtId="0" fontId="24" fillId="75" borderId="147" applyNumberFormat="0" applyFont="0" applyAlignment="0" applyProtection="0"/>
    <xf numFmtId="0" fontId="27" fillId="95" borderId="147" applyNumberFormat="0" applyFont="0" applyAlignment="0" applyProtection="0"/>
    <xf numFmtId="0" fontId="27" fillId="95" borderId="147" applyNumberFormat="0" applyFont="0" applyAlignment="0" applyProtection="0"/>
    <xf numFmtId="0" fontId="56" fillId="56" borderId="152" applyNumberFormat="0" applyAlignment="0" applyProtection="0"/>
    <xf numFmtId="0" fontId="56" fillId="88" borderId="152" applyNumberFormat="0" applyAlignment="0" applyProtection="0"/>
    <xf numFmtId="0" fontId="29" fillId="0" borderId="153" applyNumberFormat="0" applyFill="0" applyAlignment="0" applyProtection="0"/>
    <xf numFmtId="0" fontId="29" fillId="0" borderId="154" applyNumberFormat="0" applyFill="0" applyAlignment="0" applyProtection="0"/>
    <xf numFmtId="49" fontId="37" fillId="0" borderId="149">
      <alignment horizontal="right" wrapText="1"/>
    </xf>
    <xf numFmtId="0" fontId="34" fillId="56" borderId="159" applyNumberFormat="0" applyAlignment="0" applyProtection="0"/>
    <xf numFmtId="0" fontId="35" fillId="88" borderId="159" applyNumberFormat="0" applyAlignment="0" applyProtection="0"/>
    <xf numFmtId="0" fontId="20" fillId="0" borderId="158">
      <alignment horizontal="left" vertical="center"/>
    </xf>
    <xf numFmtId="10" fontId="42" fillId="52" borderId="156" applyNumberFormat="0" applyBorder="0" applyAlignment="0" applyProtection="0"/>
    <xf numFmtId="0" fontId="51" fillId="84" borderId="159" applyNumberFormat="0" applyAlignment="0" applyProtection="0"/>
    <xf numFmtId="0" fontId="51" fillId="84" borderId="159" applyNumberFormat="0" applyAlignment="0" applyProtection="0"/>
    <xf numFmtId="0" fontId="51" fillId="62" borderId="159" applyNumberFormat="0" applyAlignment="0" applyProtection="0"/>
    <xf numFmtId="0" fontId="24" fillId="75" borderId="155" applyNumberFormat="0" applyFont="0" applyAlignment="0" applyProtection="0"/>
    <xf numFmtId="0" fontId="27" fillId="95" borderId="155" applyNumberFormat="0" applyFont="0" applyAlignment="0" applyProtection="0"/>
    <xf numFmtId="0" fontId="27" fillId="95" borderId="155" applyNumberFormat="0" applyFont="0" applyAlignment="0" applyProtection="0"/>
    <xf numFmtId="0" fontId="56" fillId="56" borderId="160" applyNumberFormat="0" applyAlignment="0" applyProtection="0"/>
    <xf numFmtId="0" fontId="56" fillId="88" borderId="160" applyNumberFormat="0" applyAlignment="0" applyProtection="0"/>
    <xf numFmtId="0" fontId="29" fillId="0" borderId="161" applyNumberFormat="0" applyFill="0" applyAlignment="0" applyProtection="0"/>
    <xf numFmtId="0" fontId="29" fillId="0" borderId="162" applyNumberFormat="0" applyFill="0" applyAlignment="0" applyProtection="0"/>
    <xf numFmtId="49" fontId="37" fillId="0" borderId="157">
      <alignment horizontal="right" wrapText="1"/>
    </xf>
    <xf numFmtId="0" fontId="34" fillId="56" borderId="166" applyNumberFormat="0" applyAlignment="0" applyProtection="0"/>
    <xf numFmtId="0" fontId="35" fillId="88" borderId="166" applyNumberFormat="0" applyAlignment="0" applyProtection="0"/>
    <xf numFmtId="0" fontId="20" fillId="0" borderId="165">
      <alignment horizontal="left" vertical="center"/>
    </xf>
    <xf numFmtId="10" fontId="42" fillId="52" borderId="164" applyNumberFormat="0" applyBorder="0" applyAlignment="0" applyProtection="0"/>
    <xf numFmtId="0" fontId="51" fillId="84" borderId="166" applyNumberFormat="0" applyAlignment="0" applyProtection="0"/>
    <xf numFmtId="0" fontId="51" fillId="84" borderId="166" applyNumberFormat="0" applyAlignment="0" applyProtection="0"/>
    <xf numFmtId="0" fontId="51" fillId="62" borderId="166" applyNumberFormat="0" applyAlignment="0" applyProtection="0"/>
    <xf numFmtId="0" fontId="24" fillId="75" borderId="163" applyNumberFormat="0" applyFont="0" applyAlignment="0" applyProtection="0"/>
    <xf numFmtId="0" fontId="27" fillId="95" borderId="163" applyNumberFormat="0" applyFont="0" applyAlignment="0" applyProtection="0"/>
    <xf numFmtId="0" fontId="27" fillId="95" borderId="163" applyNumberFormat="0" applyFont="0" applyAlignment="0" applyProtection="0"/>
    <xf numFmtId="0" fontId="27" fillId="95" borderId="392" applyNumberFormat="0" applyFont="0" applyAlignment="0" applyProtection="0"/>
    <xf numFmtId="0" fontId="35" fillId="88" borderId="284" applyNumberFormat="0" applyAlignment="0" applyProtection="0"/>
    <xf numFmtId="0" fontId="29" fillId="0" borderId="174" applyNumberFormat="0" applyFill="0" applyAlignment="0" applyProtection="0"/>
    <xf numFmtId="0" fontId="29" fillId="0" borderId="175" applyNumberFormat="0" applyFill="0" applyAlignment="0" applyProtection="0"/>
    <xf numFmtId="0" fontId="20" fillId="0" borderId="1290">
      <alignment horizontal="left" vertical="center"/>
    </xf>
    <xf numFmtId="0" fontId="34" fillId="56" borderId="1331" applyNumberFormat="0" applyAlignment="0" applyProtection="0"/>
    <xf numFmtId="0" fontId="35" fillId="88" borderId="705" applyNumberFormat="0" applyAlignment="0" applyProtection="0"/>
    <xf numFmtId="10" fontId="42" fillId="52" borderId="433" applyNumberFormat="0" applyBorder="0" applyAlignment="0" applyProtection="0"/>
    <xf numFmtId="0" fontId="51" fillId="62" borderId="517" applyNumberFormat="0" applyAlignment="0" applyProtection="0"/>
    <xf numFmtId="0" fontId="34" fillId="56" borderId="943" applyNumberFormat="0" applyAlignment="0" applyProtection="0"/>
    <xf numFmtId="49" fontId="37" fillId="0" borderId="170">
      <alignment horizontal="right" wrapText="1"/>
    </xf>
    <xf numFmtId="0" fontId="51" fillId="62" borderId="192" applyNumberFormat="0" applyAlignment="0" applyProtection="0"/>
    <xf numFmtId="0" fontId="51" fillId="84" borderId="192" applyNumberFormat="0" applyAlignment="0" applyProtection="0"/>
    <xf numFmtId="0" fontId="51" fillId="84" borderId="192" applyNumberFormat="0" applyAlignment="0" applyProtection="0"/>
    <xf numFmtId="10" fontId="42" fillId="52" borderId="189" applyNumberFormat="0" applyBorder="0" applyAlignment="0" applyProtection="0"/>
    <xf numFmtId="0" fontId="20" fillId="0" borderId="191">
      <alignment horizontal="left" vertical="center"/>
    </xf>
    <xf numFmtId="0" fontId="35" fillId="88" borderId="192" applyNumberFormat="0" applyAlignment="0" applyProtection="0"/>
    <xf numFmtId="0" fontId="34" fillId="56" borderId="192" applyNumberFormat="0" applyAlignment="0" applyProtection="0"/>
    <xf numFmtId="0" fontId="34" fillId="56" borderId="180" applyNumberFormat="0" applyAlignment="0" applyProtection="0"/>
    <xf numFmtId="0" fontId="35" fillId="88" borderId="180" applyNumberFormat="0" applyAlignment="0" applyProtection="0"/>
    <xf numFmtId="0" fontId="20" fillId="0" borderId="179">
      <alignment horizontal="left" vertical="center"/>
    </xf>
    <xf numFmtId="10" fontId="42" fillId="52" borderId="177" applyNumberFormat="0" applyBorder="0" applyAlignment="0" applyProtection="0"/>
    <xf numFmtId="0" fontId="51" fillId="84" borderId="180" applyNumberFormat="0" applyAlignment="0" applyProtection="0"/>
    <xf numFmtId="0" fontId="51" fillId="84" borderId="180" applyNumberFormat="0" applyAlignment="0" applyProtection="0"/>
    <xf numFmtId="0" fontId="51" fillId="62" borderId="180" applyNumberFormat="0" applyAlignment="0" applyProtection="0"/>
    <xf numFmtId="0" fontId="24" fillId="75" borderId="176" applyNumberFormat="0" applyFont="0" applyAlignment="0" applyProtection="0"/>
    <xf numFmtId="0" fontId="27" fillId="95" borderId="176" applyNumberFormat="0" applyFont="0" applyAlignment="0" applyProtection="0"/>
    <xf numFmtId="0" fontId="27" fillId="95" borderId="176" applyNumberFormat="0" applyFont="0" applyAlignment="0" applyProtection="0"/>
    <xf numFmtId="0" fontId="29" fillId="0" borderId="707" applyNumberFormat="0" applyFill="0" applyAlignment="0" applyProtection="0"/>
    <xf numFmtId="0" fontId="27" fillId="95" borderId="351" applyNumberFormat="0" applyFont="0" applyAlignment="0" applyProtection="0"/>
    <xf numFmtId="49" fontId="37" fillId="0" borderId="178">
      <alignment horizontal="right" wrapText="1"/>
    </xf>
    <xf numFmtId="0" fontId="34" fillId="56" borderId="180" applyNumberFormat="0" applyAlignment="0" applyProtection="0"/>
    <xf numFmtId="0" fontId="35" fillId="88" borderId="180" applyNumberFormat="0" applyAlignment="0" applyProtection="0"/>
    <xf numFmtId="0" fontId="20" fillId="0" borderId="179">
      <alignment horizontal="left" vertical="center"/>
    </xf>
    <xf numFmtId="10" fontId="42" fillId="52" borderId="177" applyNumberFormat="0" applyBorder="0" applyAlignment="0" applyProtection="0"/>
    <xf numFmtId="0" fontId="51" fillId="84" borderId="180" applyNumberFormat="0" applyAlignment="0" applyProtection="0"/>
    <xf numFmtId="0" fontId="51" fillId="84" borderId="180" applyNumberFormat="0" applyAlignment="0" applyProtection="0"/>
    <xf numFmtId="0" fontId="51" fillId="62" borderId="180" applyNumberFormat="0" applyAlignment="0" applyProtection="0"/>
    <xf numFmtId="0" fontId="24" fillId="75" borderId="176" applyNumberFormat="0" applyFont="0" applyAlignment="0" applyProtection="0"/>
    <xf numFmtId="0" fontId="27" fillId="95" borderId="176" applyNumberFormat="0" applyFont="0" applyAlignment="0" applyProtection="0"/>
    <xf numFmtId="0" fontId="27" fillId="95" borderId="176" applyNumberFormat="0" applyFont="0" applyAlignment="0" applyProtection="0"/>
    <xf numFmtId="0" fontId="56" fillId="56" borderId="181" applyNumberFormat="0" applyAlignment="0" applyProtection="0"/>
    <xf numFmtId="0" fontId="56" fillId="88" borderId="181" applyNumberFormat="0" applyAlignment="0" applyProtection="0"/>
    <xf numFmtId="0" fontId="29" fillId="0" borderId="182" applyNumberFormat="0" applyFill="0" applyAlignment="0" applyProtection="0"/>
    <xf numFmtId="0" fontId="29" fillId="0" borderId="183" applyNumberFormat="0" applyFill="0" applyAlignment="0" applyProtection="0"/>
    <xf numFmtId="0" fontId="56" fillId="88" borderId="356" applyNumberFormat="0" applyAlignment="0" applyProtection="0"/>
    <xf numFmtId="49" fontId="37" fillId="0" borderId="178">
      <alignment horizontal="right" wrapText="1"/>
    </xf>
    <xf numFmtId="0" fontId="34" fillId="56" borderId="187" applyNumberFormat="0" applyAlignment="0" applyProtection="0"/>
    <xf numFmtId="0" fontId="35" fillId="88" borderId="187" applyNumberFormat="0" applyAlignment="0" applyProtection="0"/>
    <xf numFmtId="0" fontId="20" fillId="0" borderId="186">
      <alignment horizontal="left" vertical="center"/>
    </xf>
    <xf numFmtId="10" fontId="42" fillId="52" borderId="185" applyNumberFormat="0" applyBorder="0" applyAlignment="0" applyProtection="0"/>
    <xf numFmtId="0" fontId="51" fillId="84" borderId="187" applyNumberFormat="0" applyAlignment="0" applyProtection="0"/>
    <xf numFmtId="0" fontId="51" fillId="84" borderId="187" applyNumberFormat="0" applyAlignment="0" applyProtection="0"/>
    <xf numFmtId="0" fontId="51" fillId="62" borderId="187" applyNumberFormat="0" applyAlignment="0" applyProtection="0"/>
    <xf numFmtId="0" fontId="24" fillId="75" borderId="184" applyNumberFormat="0" applyFont="0" applyAlignment="0" applyProtection="0"/>
    <xf numFmtId="0" fontId="27" fillId="95" borderId="184" applyNumberFormat="0" applyFont="0" applyAlignment="0" applyProtection="0"/>
    <xf numFmtId="0" fontId="27" fillId="95" borderId="184" applyNumberFormat="0" applyFont="0" applyAlignment="0" applyProtection="0"/>
    <xf numFmtId="0" fontId="24" fillId="75" borderId="188" applyNumberFormat="0" applyFont="0" applyAlignment="0" applyProtection="0"/>
    <xf numFmtId="0" fontId="27" fillId="95" borderId="188" applyNumberFormat="0" applyFont="0" applyAlignment="0" applyProtection="0"/>
    <xf numFmtId="0" fontId="27" fillId="95" borderId="188" applyNumberFormat="0" applyFont="0" applyAlignment="0" applyProtection="0"/>
    <xf numFmtId="0" fontId="56" fillId="56" borderId="193" applyNumberFormat="0" applyAlignment="0" applyProtection="0"/>
    <xf numFmtId="0" fontId="56" fillId="88" borderId="193" applyNumberFormat="0" applyAlignment="0" applyProtection="0"/>
    <xf numFmtId="0" fontId="29" fillId="0" borderId="194" applyNumberFormat="0" applyFill="0" applyAlignment="0" applyProtection="0"/>
    <xf numFmtId="0" fontId="29" fillId="0" borderId="195" applyNumberFormat="0" applyFill="0" applyAlignment="0" applyProtection="0"/>
    <xf numFmtId="49" fontId="37" fillId="0" borderId="190">
      <alignment horizontal="right" wrapText="1"/>
    </xf>
    <xf numFmtId="0" fontId="34" fillId="56" borderId="200" applyNumberFormat="0" applyAlignment="0" applyProtection="0"/>
    <xf numFmtId="0" fontId="35" fillId="88" borderId="200" applyNumberFormat="0" applyAlignment="0" applyProtection="0"/>
    <xf numFmtId="0" fontId="20" fillId="0" borderId="199">
      <alignment horizontal="left" vertical="center"/>
    </xf>
    <xf numFmtId="10" fontId="42" fillId="52" borderId="197" applyNumberFormat="0" applyBorder="0" applyAlignment="0" applyProtection="0"/>
    <xf numFmtId="0" fontId="51" fillId="84" borderId="200" applyNumberFormat="0" applyAlignment="0" applyProtection="0"/>
    <xf numFmtId="0" fontId="51" fillId="84" borderId="200" applyNumberFormat="0" applyAlignment="0" applyProtection="0"/>
    <xf numFmtId="0" fontId="51" fillId="62" borderId="200" applyNumberFormat="0" applyAlignment="0" applyProtection="0"/>
    <xf numFmtId="0" fontId="24" fillId="75" borderId="196" applyNumberFormat="0" applyFont="0" applyAlignment="0" applyProtection="0"/>
    <xf numFmtId="0" fontId="27" fillId="95" borderId="196" applyNumberFormat="0" applyFont="0" applyAlignment="0" applyProtection="0"/>
    <xf numFmtId="0" fontId="27" fillId="95" borderId="196" applyNumberFormat="0" applyFont="0" applyAlignment="0" applyProtection="0"/>
    <xf numFmtId="0" fontId="56" fillId="56" borderId="201" applyNumberFormat="0" applyAlignment="0" applyProtection="0"/>
    <xf numFmtId="0" fontId="56" fillId="88" borderId="201" applyNumberFormat="0" applyAlignment="0" applyProtection="0"/>
    <xf numFmtId="0" fontId="29" fillId="0" borderId="202" applyNumberFormat="0" applyFill="0" applyAlignment="0" applyProtection="0"/>
    <xf numFmtId="0" fontId="29" fillId="0" borderId="203" applyNumberFormat="0" applyFill="0" applyAlignment="0" applyProtection="0"/>
    <xf numFmtId="49" fontId="37" fillId="0" borderId="198">
      <alignment horizontal="right" wrapText="1"/>
    </xf>
    <xf numFmtId="0" fontId="34" fillId="56" borderId="207" applyNumberFormat="0" applyAlignment="0" applyProtection="0"/>
    <xf numFmtId="0" fontId="35" fillId="88" borderId="207" applyNumberFormat="0" applyAlignment="0" applyProtection="0"/>
    <xf numFmtId="0" fontId="20" fillId="0" borderId="206">
      <alignment horizontal="left" vertical="center"/>
    </xf>
    <xf numFmtId="10" fontId="42" fillId="52" borderId="205" applyNumberFormat="0" applyBorder="0" applyAlignment="0" applyProtection="0"/>
    <xf numFmtId="0" fontId="51" fillId="84" borderId="207" applyNumberFormat="0" applyAlignment="0" applyProtection="0"/>
    <xf numFmtId="0" fontId="51" fillId="84" borderId="207" applyNumberFormat="0" applyAlignment="0" applyProtection="0"/>
    <xf numFmtId="0" fontId="51" fillId="62" borderId="207" applyNumberFormat="0" applyAlignment="0" applyProtection="0"/>
    <xf numFmtId="0" fontId="24" fillId="75" borderId="204" applyNumberFormat="0" applyFont="0" applyAlignment="0" applyProtection="0"/>
    <xf numFmtId="0" fontId="27" fillId="95" borderId="204" applyNumberFormat="0" applyFont="0" applyAlignment="0" applyProtection="0"/>
    <xf numFmtId="0" fontId="27" fillId="95" borderId="204" applyNumberFormat="0" applyFont="0" applyAlignment="0" applyProtection="0"/>
    <xf numFmtId="0" fontId="51" fillId="62" borderId="476" applyNumberFormat="0" applyAlignment="0" applyProtection="0"/>
    <xf numFmtId="0" fontId="29" fillId="0" borderId="213" applyNumberFormat="0" applyFill="0" applyAlignment="0" applyProtection="0"/>
    <xf numFmtId="0" fontId="29" fillId="0" borderId="214" applyNumberFormat="0" applyFill="0" applyAlignment="0" applyProtection="0"/>
    <xf numFmtId="0" fontId="56" fillId="56" borderId="706" applyNumberFormat="0" applyAlignment="0" applyProtection="0"/>
    <xf numFmtId="0" fontId="51" fillId="84" borderId="943" applyNumberFormat="0" applyAlignment="0" applyProtection="0"/>
    <xf numFmtId="0" fontId="51" fillId="84" borderId="903" applyNumberFormat="0" applyAlignment="0" applyProtection="0"/>
    <xf numFmtId="0" fontId="35" fillId="88" borderId="786" applyNumberFormat="0" applyAlignment="0" applyProtection="0"/>
    <xf numFmtId="0" fontId="29" fillId="0" borderId="358" applyNumberFormat="0" applyFill="0" applyAlignment="0" applyProtection="0"/>
    <xf numFmtId="49" fontId="37" fillId="0" borderId="210">
      <alignment horizontal="right" wrapText="1"/>
    </xf>
    <xf numFmtId="0" fontId="51" fillId="62" borderId="224" applyNumberFormat="0" applyAlignment="0" applyProtection="0"/>
    <xf numFmtId="0" fontId="51" fillId="84" borderId="224" applyNumberFormat="0" applyAlignment="0" applyProtection="0"/>
    <xf numFmtId="0" fontId="51" fillId="84" borderId="224" applyNumberFormat="0" applyAlignment="0" applyProtection="0"/>
    <xf numFmtId="10" fontId="42" fillId="52" borderId="221" applyNumberFormat="0" applyBorder="0" applyAlignment="0" applyProtection="0"/>
    <xf numFmtId="0" fontId="20" fillId="0" borderId="223">
      <alignment horizontal="left" vertical="center"/>
    </xf>
    <xf numFmtId="0" fontId="35" fillId="88" borderId="224" applyNumberFormat="0" applyAlignment="0" applyProtection="0"/>
    <xf numFmtId="0" fontId="34" fillId="56" borderId="224" applyNumberFormat="0" applyAlignment="0" applyProtection="0"/>
    <xf numFmtId="0" fontId="34" fillId="56" borderId="212" applyNumberFormat="0" applyAlignment="0" applyProtection="0"/>
    <xf numFmtId="0" fontId="35" fillId="88" borderId="212" applyNumberFormat="0" applyAlignment="0" applyProtection="0"/>
    <xf numFmtId="0" fontId="20" fillId="0" borderId="211">
      <alignment horizontal="left" vertical="center"/>
    </xf>
    <xf numFmtId="10" fontId="42" fillId="52" borderId="209" applyNumberFormat="0" applyBorder="0" applyAlignment="0" applyProtection="0"/>
    <xf numFmtId="0" fontId="51" fillId="84" borderId="212" applyNumberFormat="0" applyAlignment="0" applyProtection="0"/>
    <xf numFmtId="0" fontId="51" fillId="84" borderId="212" applyNumberFormat="0" applyAlignment="0" applyProtection="0"/>
    <xf numFmtId="0" fontId="51" fillId="62" borderId="212" applyNumberFormat="0" applyAlignment="0" applyProtection="0"/>
    <xf numFmtId="0" fontId="24" fillId="75" borderId="208" applyNumberFormat="0" applyFont="0" applyAlignment="0" applyProtection="0"/>
    <xf numFmtId="0" fontId="27" fillId="95" borderId="208" applyNumberFormat="0" applyFont="0" applyAlignment="0" applyProtection="0"/>
    <xf numFmtId="0" fontId="27" fillId="95" borderId="208" applyNumberFormat="0" applyFont="0" applyAlignment="0" applyProtection="0"/>
    <xf numFmtId="49" fontId="37" fillId="0" borderId="210">
      <alignment horizontal="right" wrapText="1"/>
    </xf>
    <xf numFmtId="0" fontId="34" fillId="56" borderId="212" applyNumberFormat="0" applyAlignment="0" applyProtection="0"/>
    <xf numFmtId="0" fontId="35" fillId="88" borderId="212" applyNumberFormat="0" applyAlignment="0" applyProtection="0"/>
    <xf numFmtId="0" fontId="20" fillId="0" borderId="211">
      <alignment horizontal="left" vertical="center"/>
    </xf>
    <xf numFmtId="10" fontId="42" fillId="52" borderId="209" applyNumberFormat="0" applyBorder="0" applyAlignment="0" applyProtection="0"/>
    <xf numFmtId="0" fontId="51" fillId="84" borderId="212" applyNumberFormat="0" applyAlignment="0" applyProtection="0"/>
    <xf numFmtId="0" fontId="51" fillId="84" borderId="212" applyNumberFormat="0" applyAlignment="0" applyProtection="0"/>
    <xf numFmtId="0" fontId="51" fillId="62" borderId="212" applyNumberFormat="0" applyAlignment="0" applyProtection="0"/>
    <xf numFmtId="0" fontId="24" fillId="75" borderId="208" applyNumberFormat="0" applyFont="0" applyAlignment="0" applyProtection="0"/>
    <xf numFmtId="0" fontId="27" fillId="95" borderId="208" applyNumberFormat="0" applyFont="0" applyAlignment="0" applyProtection="0"/>
    <xf numFmtId="0" fontId="27" fillId="95" borderId="208" applyNumberFormat="0" applyFont="0" applyAlignment="0" applyProtection="0"/>
    <xf numFmtId="0" fontId="56" fillId="56" borderId="215" applyNumberFormat="0" applyAlignment="0" applyProtection="0"/>
    <xf numFmtId="0" fontId="56" fillId="88" borderId="215" applyNumberFormat="0" applyAlignment="0" applyProtection="0"/>
    <xf numFmtId="0" fontId="29" fillId="0" borderId="213" applyNumberFormat="0" applyFill="0" applyAlignment="0" applyProtection="0"/>
    <xf numFmtId="0" fontId="29" fillId="0" borderId="214" applyNumberFormat="0" applyFill="0" applyAlignment="0" applyProtection="0"/>
    <xf numFmtId="0" fontId="35" fillId="88" borderId="476" applyNumberFormat="0" applyAlignment="0" applyProtection="0"/>
    <xf numFmtId="49" fontId="37" fillId="0" borderId="210">
      <alignment horizontal="right" wrapText="1"/>
    </xf>
    <xf numFmtId="0" fontId="34" fillId="56" borderId="219" applyNumberFormat="0" applyAlignment="0" applyProtection="0"/>
    <xf numFmtId="0" fontId="35" fillId="88" borderId="219" applyNumberFormat="0" applyAlignment="0" applyProtection="0"/>
    <xf numFmtId="0" fontId="20" fillId="0" borderId="218">
      <alignment horizontal="left" vertical="center"/>
    </xf>
    <xf numFmtId="10" fontId="42" fillId="52" borderId="217" applyNumberFormat="0" applyBorder="0" applyAlignment="0" applyProtection="0"/>
    <xf numFmtId="0" fontId="51" fillId="84" borderId="219" applyNumberFormat="0" applyAlignment="0" applyProtection="0"/>
    <xf numFmtId="0" fontId="51" fillId="84" borderId="219" applyNumberFormat="0" applyAlignment="0" applyProtection="0"/>
    <xf numFmtId="0" fontId="51" fillId="62" borderId="219" applyNumberFormat="0" applyAlignment="0" applyProtection="0"/>
    <xf numFmtId="0" fontId="24" fillId="75" borderId="216" applyNumberFormat="0" applyFont="0" applyAlignment="0" applyProtection="0"/>
    <xf numFmtId="0" fontId="27" fillId="95" borderId="216" applyNumberFormat="0" applyFont="0" applyAlignment="0" applyProtection="0"/>
    <xf numFmtId="0" fontId="27" fillId="95" borderId="216" applyNumberFormat="0" applyFont="0" applyAlignment="0" applyProtection="0"/>
    <xf numFmtId="0" fontId="24" fillId="75" borderId="220" applyNumberFormat="0" applyFont="0" applyAlignment="0" applyProtection="0"/>
    <xf numFmtId="0" fontId="27" fillId="95" borderId="220" applyNumberFormat="0" applyFont="0" applyAlignment="0" applyProtection="0"/>
    <xf numFmtId="0" fontId="27" fillId="95" borderId="220" applyNumberFormat="0" applyFont="0" applyAlignment="0" applyProtection="0"/>
    <xf numFmtId="0" fontId="56" fillId="56" borderId="225" applyNumberFormat="0" applyAlignment="0" applyProtection="0"/>
    <xf numFmtId="0" fontId="56" fillId="88" borderId="225" applyNumberFormat="0" applyAlignment="0" applyProtection="0"/>
    <xf numFmtId="0" fontId="29" fillId="0" borderId="226" applyNumberFormat="0" applyFill="0" applyAlignment="0" applyProtection="0"/>
    <xf numFmtId="0" fontId="29" fillId="0" borderId="227" applyNumberFormat="0" applyFill="0" applyAlignment="0" applyProtection="0"/>
    <xf numFmtId="49" fontId="37" fillId="0" borderId="222">
      <alignment horizontal="right" wrapText="1"/>
    </xf>
    <xf numFmtId="0" fontId="34" fillId="56" borderId="232" applyNumberFormat="0" applyAlignment="0" applyProtection="0"/>
    <xf numFmtId="0" fontId="35" fillId="88" borderId="232" applyNumberFormat="0" applyAlignment="0" applyProtection="0"/>
    <xf numFmtId="0" fontId="20" fillId="0" borderId="231">
      <alignment horizontal="left" vertical="center"/>
    </xf>
    <xf numFmtId="10" fontId="42" fillId="52" borderId="229" applyNumberFormat="0" applyBorder="0" applyAlignment="0" applyProtection="0"/>
    <xf numFmtId="0" fontId="51" fillId="84" borderId="232" applyNumberFormat="0" applyAlignment="0" applyProtection="0"/>
    <xf numFmtId="0" fontId="51" fillId="84" borderId="232" applyNumberFormat="0" applyAlignment="0" applyProtection="0"/>
    <xf numFmtId="0" fontId="51" fillId="62" borderId="232" applyNumberFormat="0" applyAlignment="0" applyProtection="0"/>
    <xf numFmtId="0" fontId="24" fillId="75" borderId="228" applyNumberFormat="0" applyFont="0" applyAlignment="0" applyProtection="0"/>
    <xf numFmtId="0" fontId="27" fillId="95" borderId="228" applyNumberFormat="0" applyFont="0" applyAlignment="0" applyProtection="0"/>
    <xf numFmtId="0" fontId="27" fillId="95" borderId="228" applyNumberFormat="0" applyFont="0" applyAlignment="0" applyProtection="0"/>
    <xf numFmtId="0" fontId="56" fillId="56" borderId="233" applyNumberFormat="0" applyAlignment="0" applyProtection="0"/>
    <xf numFmtId="0" fontId="56" fillId="88" borderId="233" applyNumberFormat="0" applyAlignment="0" applyProtection="0"/>
    <xf numFmtId="0" fontId="29" fillId="0" borderId="234" applyNumberFormat="0" applyFill="0" applyAlignment="0" applyProtection="0"/>
    <xf numFmtId="0" fontId="29" fillId="0" borderId="235" applyNumberFormat="0" applyFill="0" applyAlignment="0" applyProtection="0"/>
    <xf numFmtId="49" fontId="37" fillId="0" borderId="230">
      <alignment horizontal="right" wrapText="1"/>
    </xf>
    <xf numFmtId="0" fontId="34" fillId="56" borderId="239" applyNumberFormat="0" applyAlignment="0" applyProtection="0"/>
    <xf numFmtId="0" fontId="35" fillId="88" borderId="239" applyNumberFormat="0" applyAlignment="0" applyProtection="0"/>
    <xf numFmtId="0" fontId="20" fillId="0" borderId="238">
      <alignment horizontal="left" vertical="center"/>
    </xf>
    <xf numFmtId="10" fontId="42" fillId="52" borderId="237" applyNumberFormat="0" applyBorder="0" applyAlignment="0" applyProtection="0"/>
    <xf numFmtId="0" fontId="51" fillId="84" borderId="239" applyNumberFormat="0" applyAlignment="0" applyProtection="0"/>
    <xf numFmtId="0" fontId="51" fillId="84" borderId="239" applyNumberFormat="0" applyAlignment="0" applyProtection="0"/>
    <xf numFmtId="0" fontId="51" fillId="62" borderId="239" applyNumberFormat="0" applyAlignment="0" applyProtection="0"/>
    <xf numFmtId="0" fontId="24" fillId="75" borderId="236" applyNumberFormat="0" applyFont="0" applyAlignment="0" applyProtection="0"/>
    <xf numFmtId="0" fontId="27" fillId="95" borderId="236" applyNumberFormat="0" applyFont="0" applyAlignment="0" applyProtection="0"/>
    <xf numFmtId="0" fontId="27" fillId="95" borderId="236" applyNumberFormat="0" applyFont="0" applyAlignment="0" applyProtection="0"/>
    <xf numFmtId="0" fontId="29" fillId="0" borderId="246" applyNumberFormat="0" applyFill="0" applyAlignment="0" applyProtection="0"/>
    <xf numFmtId="0" fontId="29" fillId="0" borderId="247" applyNumberFormat="0" applyFill="0" applyAlignment="0" applyProtection="0"/>
    <xf numFmtId="10" fontId="42" fillId="52" borderId="661" applyNumberFormat="0" applyBorder="0" applyAlignment="0" applyProtection="0"/>
    <xf numFmtId="0" fontId="51" fillId="84" borderId="943" applyNumberFormat="0" applyAlignment="0" applyProtection="0"/>
    <xf numFmtId="0" fontId="27" fillId="95" borderId="980" applyNumberFormat="0" applyFont="0" applyAlignment="0" applyProtection="0"/>
    <xf numFmtId="0" fontId="51" fillId="62" borderId="984" applyNumberFormat="0" applyAlignment="0" applyProtection="0"/>
    <xf numFmtId="0" fontId="35" fillId="88" borderId="1251" applyNumberFormat="0" applyAlignment="0" applyProtection="0"/>
    <xf numFmtId="49" fontId="37" fillId="0" borderId="242">
      <alignment horizontal="right" wrapText="1"/>
    </xf>
    <xf numFmtId="0" fontId="51" fillId="62" borderId="264" applyNumberFormat="0" applyAlignment="0" applyProtection="0"/>
    <xf numFmtId="0" fontId="51" fillId="84" borderId="264" applyNumberFormat="0" applyAlignment="0" applyProtection="0"/>
    <xf numFmtId="0" fontId="51" fillId="84" borderId="264" applyNumberFormat="0" applyAlignment="0" applyProtection="0"/>
    <xf numFmtId="10" fontId="42" fillId="52" borderId="261" applyNumberFormat="0" applyBorder="0" applyAlignment="0" applyProtection="0"/>
    <xf numFmtId="0" fontId="20" fillId="0" borderId="263">
      <alignment horizontal="left" vertical="center"/>
    </xf>
    <xf numFmtId="0" fontId="35" fillId="88" borderId="264" applyNumberFormat="0" applyAlignment="0" applyProtection="0"/>
    <xf numFmtId="0" fontId="34" fillId="56" borderId="264" applyNumberFormat="0" applyAlignment="0" applyProtection="0"/>
    <xf numFmtId="0" fontId="34" fillId="56" borderId="252" applyNumberFormat="0" applyAlignment="0" applyProtection="0"/>
    <xf numFmtId="0" fontId="35" fillId="88" borderId="252" applyNumberFormat="0" applyAlignment="0" applyProtection="0"/>
    <xf numFmtId="0" fontId="20" fillId="0" borderId="251">
      <alignment horizontal="left" vertical="center"/>
    </xf>
    <xf numFmtId="10" fontId="42" fillId="52" borderId="249" applyNumberFormat="0" applyBorder="0" applyAlignment="0" applyProtection="0"/>
    <xf numFmtId="0" fontId="51" fillId="84" borderId="252" applyNumberFormat="0" applyAlignment="0" applyProtection="0"/>
    <xf numFmtId="0" fontId="51" fillId="84" borderId="252" applyNumberFormat="0" applyAlignment="0" applyProtection="0"/>
    <xf numFmtId="0" fontId="51" fillId="62" borderId="252" applyNumberFormat="0" applyAlignment="0" applyProtection="0"/>
    <xf numFmtId="0" fontId="24" fillId="75" borderId="248" applyNumberFormat="0" applyFont="0" applyAlignment="0" applyProtection="0"/>
    <xf numFmtId="0" fontId="27" fillId="95" borderId="248" applyNumberFormat="0" applyFont="0" applyAlignment="0" applyProtection="0"/>
    <xf numFmtId="0" fontId="27" fillId="95" borderId="248" applyNumberFormat="0" applyFont="0" applyAlignment="0" applyProtection="0"/>
    <xf numFmtId="0" fontId="24" fillId="75" borderId="622" applyNumberFormat="0" applyFont="0" applyAlignment="0" applyProtection="0"/>
    <xf numFmtId="0" fontId="27" fillId="95" borderId="432" applyNumberFormat="0" applyFont="0" applyAlignment="0" applyProtection="0"/>
    <xf numFmtId="0" fontId="20" fillId="0" borderId="435">
      <alignment horizontal="left" vertical="center"/>
    </xf>
    <xf numFmtId="49" fontId="37" fillId="0" borderId="250">
      <alignment horizontal="right" wrapText="1"/>
    </xf>
    <xf numFmtId="0" fontId="34" fillId="56" borderId="252" applyNumberFormat="0" applyAlignment="0" applyProtection="0"/>
    <xf numFmtId="0" fontId="35" fillId="88" borderId="252" applyNumberFormat="0" applyAlignment="0" applyProtection="0"/>
    <xf numFmtId="0" fontId="20" fillId="0" borderId="251">
      <alignment horizontal="left" vertical="center"/>
    </xf>
    <xf numFmtId="10" fontId="42" fillId="52" borderId="249" applyNumberFormat="0" applyBorder="0" applyAlignment="0" applyProtection="0"/>
    <xf numFmtId="0" fontId="51" fillId="84" borderId="252" applyNumberFormat="0" applyAlignment="0" applyProtection="0"/>
    <xf numFmtId="0" fontId="51" fillId="84" borderId="252" applyNumberFormat="0" applyAlignment="0" applyProtection="0"/>
    <xf numFmtId="0" fontId="51" fillId="62" borderId="252" applyNumberFormat="0" applyAlignment="0" applyProtection="0"/>
    <xf numFmtId="0" fontId="24" fillId="75" borderId="248" applyNumberFormat="0" applyFont="0" applyAlignment="0" applyProtection="0"/>
    <xf numFmtId="0" fontId="27" fillId="95" borderId="248" applyNumberFormat="0" applyFont="0" applyAlignment="0" applyProtection="0"/>
    <xf numFmtId="0" fontId="27" fillId="95" borderId="248" applyNumberFormat="0" applyFont="0" applyAlignment="0" applyProtection="0"/>
    <xf numFmtId="0" fontId="56" fillId="56" borderId="253" applyNumberFormat="0" applyAlignment="0" applyProtection="0"/>
    <xf numFmtId="0" fontId="56" fillId="88" borderId="253" applyNumberFormat="0" applyAlignment="0" applyProtection="0"/>
    <xf numFmtId="0" fontId="29" fillId="0" borderId="254" applyNumberFormat="0" applyFill="0" applyAlignment="0" applyProtection="0"/>
    <xf numFmtId="0" fontId="29" fillId="0" borderId="255" applyNumberFormat="0" applyFill="0" applyAlignment="0" applyProtection="0"/>
    <xf numFmtId="0" fontId="56" fillId="88" borderId="437" applyNumberFormat="0" applyAlignment="0" applyProtection="0"/>
    <xf numFmtId="49" fontId="37" fillId="0" borderId="250">
      <alignment horizontal="right" wrapText="1"/>
    </xf>
    <xf numFmtId="0" fontId="34" fillId="56" borderId="259" applyNumberFormat="0" applyAlignment="0" applyProtection="0"/>
    <xf numFmtId="0" fontId="35" fillId="88" borderId="259" applyNumberFormat="0" applyAlignment="0" applyProtection="0"/>
    <xf numFmtId="0" fontId="20" fillId="0" borderId="258">
      <alignment horizontal="left" vertical="center"/>
    </xf>
    <xf numFmtId="10" fontId="42" fillId="52" borderId="257" applyNumberFormat="0" applyBorder="0" applyAlignment="0" applyProtection="0"/>
    <xf numFmtId="0" fontId="51" fillId="84" borderId="259" applyNumberFormat="0" applyAlignment="0" applyProtection="0"/>
    <xf numFmtId="0" fontId="51" fillId="84" borderId="259" applyNumberFormat="0" applyAlignment="0" applyProtection="0"/>
    <xf numFmtId="0" fontId="51" fillId="62" borderId="259" applyNumberFormat="0" applyAlignment="0" applyProtection="0"/>
    <xf numFmtId="0" fontId="24" fillId="75" borderId="256" applyNumberFormat="0" applyFont="0" applyAlignment="0" applyProtection="0"/>
    <xf numFmtId="0" fontId="27" fillId="95" borderId="256" applyNumberFormat="0" applyFont="0" applyAlignment="0" applyProtection="0"/>
    <xf numFmtId="0" fontId="27" fillId="95" borderId="256" applyNumberFormat="0" applyFont="0" applyAlignment="0" applyProtection="0"/>
    <xf numFmtId="0" fontId="24" fillId="75" borderId="260" applyNumberFormat="0" applyFont="0" applyAlignment="0" applyProtection="0"/>
    <xf numFmtId="0" fontId="27" fillId="95" borderId="260" applyNumberFormat="0" applyFont="0" applyAlignment="0" applyProtection="0"/>
    <xf numFmtId="0" fontId="27" fillId="95" borderId="260" applyNumberFormat="0" applyFont="0" applyAlignment="0" applyProtection="0"/>
    <xf numFmtId="0" fontId="56" fillId="56" borderId="265" applyNumberFormat="0" applyAlignment="0" applyProtection="0"/>
    <xf numFmtId="0" fontId="56" fillId="88" borderId="265" applyNumberFormat="0" applyAlignment="0" applyProtection="0"/>
    <xf numFmtId="0" fontId="29" fillId="0" borderId="266" applyNumberFormat="0" applyFill="0" applyAlignment="0" applyProtection="0"/>
    <xf numFmtId="0" fontId="29" fillId="0" borderId="267" applyNumberFormat="0" applyFill="0" applyAlignment="0" applyProtection="0"/>
    <xf numFmtId="49" fontId="37" fillId="0" borderId="262">
      <alignment horizontal="right" wrapText="1"/>
    </xf>
    <xf numFmtId="0" fontId="34" fillId="56" borderId="272" applyNumberFormat="0" applyAlignment="0" applyProtection="0"/>
    <xf numFmtId="0" fontId="35" fillId="88" borderId="272" applyNumberFormat="0" applyAlignment="0" applyProtection="0"/>
    <xf numFmtId="0" fontId="20" fillId="0" borderId="271">
      <alignment horizontal="left" vertical="center"/>
    </xf>
    <xf numFmtId="10" fontId="42" fillId="52" borderId="269" applyNumberFormat="0" applyBorder="0" applyAlignment="0" applyProtection="0"/>
    <xf numFmtId="0" fontId="51" fillId="84" borderId="272" applyNumberFormat="0" applyAlignment="0" applyProtection="0"/>
    <xf numFmtId="0" fontId="51" fillId="84" borderId="272" applyNumberFormat="0" applyAlignment="0" applyProtection="0"/>
    <xf numFmtId="0" fontId="51" fillId="62" borderId="272" applyNumberFormat="0" applyAlignment="0" applyProtection="0"/>
    <xf numFmtId="0" fontId="24" fillId="75" borderId="268" applyNumberFormat="0" applyFont="0" applyAlignment="0" applyProtection="0"/>
    <xf numFmtId="0" fontId="27" fillId="95" borderId="268" applyNumberFormat="0" applyFont="0" applyAlignment="0" applyProtection="0"/>
    <xf numFmtId="0" fontId="27" fillId="95" borderId="268" applyNumberFormat="0" applyFont="0" applyAlignment="0" applyProtection="0"/>
    <xf numFmtId="0" fontId="56" fillId="56" borderId="273" applyNumberFormat="0" applyAlignment="0" applyProtection="0"/>
    <xf numFmtId="0" fontId="56" fillId="88" borderId="273" applyNumberFormat="0" applyAlignment="0" applyProtection="0"/>
    <xf numFmtId="0" fontId="29" fillId="0" borderId="274" applyNumberFormat="0" applyFill="0" applyAlignment="0" applyProtection="0"/>
    <xf numFmtId="0" fontId="29" fillId="0" borderId="275" applyNumberFormat="0" applyFill="0" applyAlignment="0" applyProtection="0"/>
    <xf numFmtId="49" fontId="37" fillId="0" borderId="270">
      <alignment horizontal="right" wrapText="1"/>
    </xf>
    <xf numFmtId="0" fontId="34" fillId="56" borderId="279" applyNumberFormat="0" applyAlignment="0" applyProtection="0"/>
    <xf numFmtId="0" fontId="35" fillId="88" borderId="279" applyNumberFormat="0" applyAlignment="0" applyProtection="0"/>
    <xf numFmtId="0" fontId="20" fillId="0" borderId="278">
      <alignment horizontal="left" vertical="center"/>
    </xf>
    <xf numFmtId="10" fontId="42" fillId="52" borderId="277" applyNumberFormat="0" applyBorder="0" applyAlignment="0" applyProtection="0"/>
    <xf numFmtId="0" fontId="51" fillId="84" borderId="279" applyNumberFormat="0" applyAlignment="0" applyProtection="0"/>
    <xf numFmtId="0" fontId="51" fillId="84" borderId="279" applyNumberFormat="0" applyAlignment="0" applyProtection="0"/>
    <xf numFmtId="0" fontId="51" fillId="62" borderId="279" applyNumberFormat="0" applyAlignment="0" applyProtection="0"/>
    <xf numFmtId="0" fontId="24" fillId="75" borderId="276" applyNumberFormat="0" applyFont="0" applyAlignment="0" applyProtection="0"/>
    <xf numFmtId="0" fontId="27" fillId="95" borderId="276" applyNumberFormat="0" applyFont="0" applyAlignment="0" applyProtection="0"/>
    <xf numFmtId="0" fontId="27" fillId="95" borderId="276" applyNumberFormat="0" applyFont="0" applyAlignment="0" applyProtection="0"/>
    <xf numFmtId="10" fontId="42" fillId="52" borderId="473" applyNumberFormat="0" applyBorder="0" applyAlignment="0" applyProtection="0"/>
    <xf numFmtId="0" fontId="29" fillId="0" borderId="286" applyNumberFormat="0" applyFill="0" applyAlignment="0" applyProtection="0"/>
    <xf numFmtId="0" fontId="29" fillId="0" borderId="287" applyNumberFormat="0" applyFill="0" applyAlignment="0" applyProtection="0"/>
    <xf numFmtId="0" fontId="51" fillId="62" borderId="436" applyNumberFormat="0" applyAlignment="0" applyProtection="0"/>
    <xf numFmtId="0" fontId="51" fillId="62" borderId="903" applyNumberFormat="0" applyAlignment="0" applyProtection="0"/>
    <xf numFmtId="0" fontId="51" fillId="84" borderId="355" applyNumberFormat="0" applyAlignment="0" applyProtection="0"/>
    <xf numFmtId="49" fontId="37" fillId="0" borderId="282">
      <alignment horizontal="right" wrapText="1"/>
    </xf>
    <xf numFmtId="0" fontId="51" fillId="62" borderId="304" applyNumberFormat="0" applyAlignment="0" applyProtection="0"/>
    <xf numFmtId="0" fontId="51" fillId="84" borderId="304" applyNumberFormat="0" applyAlignment="0" applyProtection="0"/>
    <xf numFmtId="0" fontId="51" fillId="84" borderId="304" applyNumberFormat="0" applyAlignment="0" applyProtection="0"/>
    <xf numFmtId="10" fontId="42" fillId="52" borderId="301" applyNumberFormat="0" applyBorder="0" applyAlignment="0" applyProtection="0"/>
    <xf numFmtId="0" fontId="20" fillId="0" borderId="303">
      <alignment horizontal="left" vertical="center"/>
    </xf>
    <xf numFmtId="0" fontId="35" fillId="88" borderId="304" applyNumberFormat="0" applyAlignment="0" applyProtection="0"/>
    <xf numFmtId="0" fontId="34" fillId="56" borderId="304" applyNumberFormat="0" applyAlignment="0" applyProtection="0"/>
    <xf numFmtId="0" fontId="34" fillId="56" borderId="292" applyNumberFormat="0" applyAlignment="0" applyProtection="0"/>
    <xf numFmtId="0" fontId="35" fillId="88" borderId="292" applyNumberFormat="0" applyAlignment="0" applyProtection="0"/>
    <xf numFmtId="0" fontId="20" fillId="0" borderId="291">
      <alignment horizontal="left" vertical="center"/>
    </xf>
    <xf numFmtId="10" fontId="42" fillId="52" borderId="289" applyNumberFormat="0" applyBorder="0" applyAlignment="0" applyProtection="0"/>
    <xf numFmtId="0" fontId="51" fillId="84" borderId="292" applyNumberFormat="0" applyAlignment="0" applyProtection="0"/>
    <xf numFmtId="0" fontId="51" fillId="84" borderId="292" applyNumberFormat="0" applyAlignment="0" applyProtection="0"/>
    <xf numFmtId="0" fontId="51" fillId="62" borderId="292" applyNumberFormat="0" applyAlignment="0" applyProtection="0"/>
    <xf numFmtId="0" fontId="24" fillId="75" borderId="288" applyNumberFormat="0" applyFont="0" applyAlignment="0" applyProtection="0"/>
    <xf numFmtId="0" fontId="27" fillId="95" borderId="288" applyNumberFormat="0" applyFont="0" applyAlignment="0" applyProtection="0"/>
    <xf numFmtId="0" fontId="27" fillId="95" borderId="288" applyNumberFormat="0" applyFont="0" applyAlignment="0" applyProtection="0"/>
    <xf numFmtId="0" fontId="51" fillId="84" borderId="549" applyNumberFormat="0" applyAlignment="0" applyProtection="0"/>
    <xf numFmtId="49" fontId="37" fillId="0" borderId="581">
      <alignment horizontal="right" wrapText="1"/>
    </xf>
    <xf numFmtId="0" fontId="51" fillId="84" borderId="867" applyNumberFormat="0" applyAlignment="0" applyProtection="0"/>
    <xf numFmtId="49" fontId="37" fillId="0" borderId="290">
      <alignment horizontal="right" wrapText="1"/>
    </xf>
    <xf numFmtId="0" fontId="34" fillId="56" borderId="292" applyNumberFormat="0" applyAlignment="0" applyProtection="0"/>
    <xf numFmtId="0" fontId="35" fillId="88" borderId="292" applyNumberFormat="0" applyAlignment="0" applyProtection="0"/>
    <xf numFmtId="0" fontId="20" fillId="0" borderId="291">
      <alignment horizontal="left" vertical="center"/>
    </xf>
    <xf numFmtId="10" fontId="42" fillId="52" borderId="289" applyNumberFormat="0" applyBorder="0" applyAlignment="0" applyProtection="0"/>
    <xf numFmtId="0" fontId="51" fillId="84" borderId="292" applyNumberFormat="0" applyAlignment="0" applyProtection="0"/>
    <xf numFmtId="0" fontId="51" fillId="84" borderId="292" applyNumberFormat="0" applyAlignment="0" applyProtection="0"/>
    <xf numFmtId="0" fontId="51" fillId="62" borderId="292" applyNumberFormat="0" applyAlignment="0" applyProtection="0"/>
    <xf numFmtId="0" fontId="24" fillId="75" borderId="288" applyNumberFormat="0" applyFont="0" applyAlignment="0" applyProtection="0"/>
    <xf numFmtId="0" fontId="27" fillId="95" borderId="288" applyNumberFormat="0" applyFont="0" applyAlignment="0" applyProtection="0"/>
    <xf numFmtId="0" fontId="27" fillId="95" borderId="288" applyNumberFormat="0" applyFont="0" applyAlignment="0" applyProtection="0"/>
    <xf numFmtId="0" fontId="56" fillId="56" borderId="293" applyNumberFormat="0" applyAlignment="0" applyProtection="0"/>
    <xf numFmtId="0" fontId="56" fillId="88" borderId="293" applyNumberFormat="0" applyAlignment="0" applyProtection="0"/>
    <xf numFmtId="0" fontId="29" fillId="0" borderId="294" applyNumberFormat="0" applyFill="0" applyAlignment="0" applyProtection="0"/>
    <xf numFmtId="0" fontId="29" fillId="0" borderId="295" applyNumberFormat="0" applyFill="0" applyAlignment="0" applyProtection="0"/>
    <xf numFmtId="0" fontId="34" fillId="56" borderId="867" applyNumberFormat="0" applyAlignment="0" applyProtection="0"/>
    <xf numFmtId="49" fontId="37" fillId="0" borderId="290">
      <alignment horizontal="right" wrapText="1"/>
    </xf>
    <xf numFmtId="0" fontId="34" fillId="56" borderId="299" applyNumberFormat="0" applyAlignment="0" applyProtection="0"/>
    <xf numFmtId="0" fontId="35" fillId="88" borderId="299" applyNumberFormat="0" applyAlignment="0" applyProtection="0"/>
    <xf numFmtId="0" fontId="20" fillId="0" borderId="298">
      <alignment horizontal="left" vertical="center"/>
    </xf>
    <xf numFmtId="10" fontId="42" fillId="52" borderId="297" applyNumberFormat="0" applyBorder="0" applyAlignment="0" applyProtection="0"/>
    <xf numFmtId="0" fontId="51" fillId="84" borderId="299" applyNumberFormat="0" applyAlignment="0" applyProtection="0"/>
    <xf numFmtId="0" fontId="51" fillId="84" borderId="299" applyNumberFormat="0" applyAlignment="0" applyProtection="0"/>
    <xf numFmtId="0" fontId="51" fillId="62" borderId="299" applyNumberFormat="0" applyAlignment="0" applyProtection="0"/>
    <xf numFmtId="0" fontId="24" fillId="75" borderId="296" applyNumberFormat="0" applyFont="0" applyAlignment="0" applyProtection="0"/>
    <xf numFmtId="0" fontId="27" fillId="95" borderId="296" applyNumberFormat="0" applyFont="0" applyAlignment="0" applyProtection="0"/>
    <xf numFmtId="0" fontId="27" fillId="95" borderId="296" applyNumberFormat="0" applyFont="0" applyAlignment="0" applyProtection="0"/>
    <xf numFmtId="0" fontId="24" fillId="75" borderId="300" applyNumberFormat="0" applyFont="0" applyAlignment="0" applyProtection="0"/>
    <xf numFmtId="0" fontId="27" fillId="95" borderId="300" applyNumberFormat="0" applyFont="0" applyAlignment="0" applyProtection="0"/>
    <xf numFmtId="0" fontId="27" fillId="95" borderId="300" applyNumberFormat="0" applyFont="0" applyAlignment="0" applyProtection="0"/>
    <xf numFmtId="0" fontId="56" fillId="56" borderId="305" applyNumberFormat="0" applyAlignment="0" applyProtection="0"/>
    <xf numFmtId="0" fontId="56" fillId="88" borderId="305" applyNumberFormat="0" applyAlignment="0" applyProtection="0"/>
    <xf numFmtId="0" fontId="29" fillId="0" borderId="306" applyNumberFormat="0" applyFill="0" applyAlignment="0" applyProtection="0"/>
    <xf numFmtId="0" fontId="29" fillId="0" borderId="307" applyNumberFormat="0" applyFill="0" applyAlignment="0" applyProtection="0"/>
    <xf numFmtId="49" fontId="37" fillId="0" borderId="302">
      <alignment horizontal="right" wrapText="1"/>
    </xf>
    <xf numFmtId="0" fontId="34" fillId="56" borderId="312" applyNumberFormat="0" applyAlignment="0" applyProtection="0"/>
    <xf numFmtId="0" fontId="35" fillId="88" borderId="312" applyNumberFormat="0" applyAlignment="0" applyProtection="0"/>
    <xf numFmtId="0" fontId="20" fillId="0" borderId="311">
      <alignment horizontal="left" vertical="center"/>
    </xf>
    <xf numFmtId="10" fontId="42" fillId="52" borderId="309" applyNumberFormat="0" applyBorder="0" applyAlignment="0" applyProtection="0"/>
    <xf numFmtId="0" fontId="51" fillId="84" borderId="312" applyNumberFormat="0" applyAlignment="0" applyProtection="0"/>
    <xf numFmtId="0" fontId="51" fillId="84" borderId="312" applyNumberFormat="0" applyAlignment="0" applyProtection="0"/>
    <xf numFmtId="0" fontId="51" fillId="62" borderId="312" applyNumberFormat="0" applyAlignment="0" applyProtection="0"/>
    <xf numFmtId="0" fontId="24" fillId="75" borderId="308" applyNumberFormat="0" applyFont="0" applyAlignment="0" applyProtection="0"/>
    <xf numFmtId="0" fontId="27" fillId="95" borderId="308" applyNumberFormat="0" applyFont="0" applyAlignment="0" applyProtection="0"/>
    <xf numFmtId="0" fontId="27" fillId="95" borderId="308" applyNumberFormat="0" applyFont="0" applyAlignment="0" applyProtection="0"/>
    <xf numFmtId="0" fontId="56" fillId="56" borderId="313" applyNumberFormat="0" applyAlignment="0" applyProtection="0"/>
    <xf numFmtId="0" fontId="56" fillId="88" borderId="313" applyNumberFormat="0" applyAlignment="0" applyProtection="0"/>
    <xf numFmtId="0" fontId="29" fillId="0" borderId="314" applyNumberFormat="0" applyFill="0" applyAlignment="0" applyProtection="0"/>
    <xf numFmtId="0" fontId="29" fillId="0" borderId="315" applyNumberFormat="0" applyFill="0" applyAlignment="0" applyProtection="0"/>
    <xf numFmtId="49" fontId="37" fillId="0" borderId="310">
      <alignment horizontal="right" wrapText="1"/>
    </xf>
    <xf numFmtId="0" fontId="34" fillId="56" borderId="319" applyNumberFormat="0" applyAlignment="0" applyProtection="0"/>
    <xf numFmtId="0" fontId="35" fillId="88" borderId="319" applyNumberFormat="0" applyAlignment="0" applyProtection="0"/>
    <xf numFmtId="0" fontId="20" fillId="0" borderId="318">
      <alignment horizontal="left" vertical="center"/>
    </xf>
    <xf numFmtId="10" fontId="42" fillId="52" borderId="317" applyNumberFormat="0" applyBorder="0" applyAlignment="0" applyProtection="0"/>
    <xf numFmtId="0" fontId="51" fillId="84" borderId="319" applyNumberFormat="0" applyAlignment="0" applyProtection="0"/>
    <xf numFmtId="0" fontId="51" fillId="84" borderId="319" applyNumberFormat="0" applyAlignment="0" applyProtection="0"/>
    <xf numFmtId="0" fontId="51" fillId="62" borderId="319" applyNumberFormat="0" applyAlignment="0" applyProtection="0"/>
    <xf numFmtId="0" fontId="24" fillId="75" borderId="316" applyNumberFormat="0" applyFont="0" applyAlignment="0" applyProtection="0"/>
    <xf numFmtId="0" fontId="27" fillId="95" borderId="316" applyNumberFormat="0" applyFont="0" applyAlignment="0" applyProtection="0"/>
    <xf numFmtId="0" fontId="27" fillId="95" borderId="316" applyNumberFormat="0" applyFont="0" applyAlignment="0" applyProtection="0"/>
    <xf numFmtId="0" fontId="51" fillId="84" borderId="517" applyNumberFormat="0" applyAlignment="0" applyProtection="0"/>
    <xf numFmtId="0" fontId="35" fillId="88" borderId="517" applyNumberFormat="0" applyAlignment="0" applyProtection="0"/>
    <xf numFmtId="0" fontId="24" fillId="75" borderId="741" applyNumberFormat="0" applyFont="0" applyAlignment="0" applyProtection="0"/>
    <xf numFmtId="0" fontId="34" fillId="56" borderId="517" applyNumberFormat="0" applyAlignment="0" applyProtection="0"/>
    <xf numFmtId="0" fontId="24" fillId="75" borderId="1020" applyNumberFormat="0" applyFont="0" applyAlignment="0" applyProtection="0"/>
    <xf numFmtId="0" fontId="56" fillId="56" borderId="828" applyNumberFormat="0" applyAlignment="0" applyProtection="0"/>
    <xf numFmtId="0" fontId="51" fillId="84" borderId="476" applyNumberFormat="0" applyAlignment="0" applyProtection="0"/>
    <xf numFmtId="0" fontId="20" fillId="0" borderId="395">
      <alignment horizontal="left" vertical="center"/>
    </xf>
    <xf numFmtId="49" fontId="37" fillId="0" borderId="321">
      <alignment horizontal="right" wrapText="1"/>
    </xf>
    <xf numFmtId="0" fontId="51" fillId="62" borderId="335" applyNumberFormat="0" applyAlignment="0" applyProtection="0"/>
    <xf numFmtId="0" fontId="51" fillId="84" borderId="335" applyNumberFormat="0" applyAlignment="0" applyProtection="0"/>
    <xf numFmtId="0" fontId="51" fillId="84" borderId="335" applyNumberFormat="0" applyAlignment="0" applyProtection="0"/>
    <xf numFmtId="10" fontId="42" fillId="52" borderId="332" applyNumberFormat="0" applyBorder="0" applyAlignment="0" applyProtection="0"/>
    <xf numFmtId="0" fontId="20" fillId="0" borderId="334">
      <alignment horizontal="left" vertical="center"/>
    </xf>
    <xf numFmtId="0" fontId="35" fillId="88" borderId="335" applyNumberFormat="0" applyAlignment="0" applyProtection="0"/>
    <xf numFmtId="0" fontId="34" fillId="56" borderId="335" applyNumberFormat="0" applyAlignment="0" applyProtection="0"/>
    <xf numFmtId="0" fontId="34" fillId="56" borderId="323" applyNumberFormat="0" applyAlignment="0" applyProtection="0"/>
    <xf numFmtId="0" fontId="35" fillId="88" borderId="323" applyNumberFormat="0" applyAlignment="0" applyProtection="0"/>
    <xf numFmtId="0" fontId="20" fillId="0" borderId="322">
      <alignment horizontal="left" vertical="center"/>
    </xf>
    <xf numFmtId="10" fontId="42" fillId="52" borderId="320" applyNumberFormat="0" applyBorder="0" applyAlignment="0" applyProtection="0"/>
    <xf numFmtId="0" fontId="51" fillId="84" borderId="323" applyNumberFormat="0" applyAlignment="0" applyProtection="0"/>
    <xf numFmtId="0" fontId="51" fillId="84" borderId="323" applyNumberFormat="0" applyAlignment="0" applyProtection="0"/>
    <xf numFmtId="0" fontId="51" fillId="62" borderId="323" applyNumberFormat="0" applyAlignment="0" applyProtection="0"/>
    <xf numFmtId="0" fontId="24" fillId="75" borderId="316" applyNumberFormat="0" applyFont="0" applyAlignment="0" applyProtection="0"/>
    <xf numFmtId="0" fontId="27" fillId="95" borderId="316" applyNumberFormat="0" applyFont="0" applyAlignment="0" applyProtection="0"/>
    <xf numFmtId="0" fontId="27" fillId="95" borderId="316" applyNumberFormat="0" applyFont="0" applyAlignment="0" applyProtection="0"/>
    <xf numFmtId="0" fontId="51" fillId="84" borderId="626" applyNumberFormat="0" applyAlignment="0" applyProtection="0"/>
    <xf numFmtId="49" fontId="37" fillId="0" borderId="391">
      <alignment horizontal="right" wrapText="1"/>
    </xf>
    <xf numFmtId="0" fontId="51" fillId="84" borderId="786" applyNumberFormat="0" applyAlignment="0" applyProtection="0"/>
    <xf numFmtId="49" fontId="37" fillId="0" borderId="321">
      <alignment horizontal="right" wrapText="1"/>
    </xf>
    <xf numFmtId="0" fontId="34" fillId="56" borderId="323" applyNumberFormat="0" applyAlignment="0" applyProtection="0"/>
    <xf numFmtId="0" fontId="35" fillId="88" borderId="323" applyNumberFormat="0" applyAlignment="0" applyProtection="0"/>
    <xf numFmtId="0" fontId="20" fillId="0" borderId="322">
      <alignment horizontal="left" vertical="center"/>
    </xf>
    <xf numFmtId="10" fontId="42" fillId="52" borderId="320" applyNumberFormat="0" applyBorder="0" applyAlignment="0" applyProtection="0"/>
    <xf numFmtId="0" fontId="51" fillId="84" borderId="323" applyNumberFormat="0" applyAlignment="0" applyProtection="0"/>
    <xf numFmtId="0" fontId="51" fillId="84" borderId="323" applyNumberFormat="0" applyAlignment="0" applyProtection="0"/>
    <xf numFmtId="0" fontId="51" fillId="62" borderId="323" applyNumberFormat="0" applyAlignment="0" applyProtection="0"/>
    <xf numFmtId="0" fontId="24" fillId="75" borderId="316" applyNumberFormat="0" applyFont="0" applyAlignment="0" applyProtection="0"/>
    <xf numFmtId="0" fontId="27" fillId="95" borderId="316" applyNumberFormat="0" applyFont="0" applyAlignment="0" applyProtection="0"/>
    <xf numFmtId="0" fontId="27" fillId="95" borderId="316" applyNumberFormat="0" applyFont="0" applyAlignment="0" applyProtection="0"/>
    <xf numFmtId="0" fontId="56" fillId="56" borderId="324" applyNumberFormat="0" applyAlignment="0" applyProtection="0"/>
    <xf numFmtId="0" fontId="56" fillId="88" borderId="324" applyNumberFormat="0" applyAlignment="0" applyProtection="0"/>
    <xf numFmtId="0" fontId="29" fillId="0" borderId="325" applyNumberFormat="0" applyFill="0" applyAlignment="0" applyProtection="0"/>
    <xf numFmtId="0" fontId="29" fillId="0" borderId="326" applyNumberFormat="0" applyFill="0" applyAlignment="0" applyProtection="0"/>
    <xf numFmtId="49" fontId="37" fillId="0" borderId="321">
      <alignment horizontal="right" wrapText="1"/>
    </xf>
    <xf numFmtId="0" fontId="34" fillId="56" borderId="330" applyNumberFormat="0" applyAlignment="0" applyProtection="0"/>
    <xf numFmtId="0" fontId="35" fillId="88" borderId="330" applyNumberFormat="0" applyAlignment="0" applyProtection="0"/>
    <xf numFmtId="0" fontId="20" fillId="0" borderId="329">
      <alignment horizontal="left" vertical="center"/>
    </xf>
    <xf numFmtId="10" fontId="42" fillId="52" borderId="328" applyNumberFormat="0" applyBorder="0" applyAlignment="0" applyProtection="0"/>
    <xf numFmtId="0" fontId="51" fillId="84" borderId="330" applyNumberFormat="0" applyAlignment="0" applyProtection="0"/>
    <xf numFmtId="0" fontId="51" fillId="84" borderId="330" applyNumberFormat="0" applyAlignment="0" applyProtection="0"/>
    <xf numFmtId="0" fontId="51" fillId="62" borderId="330" applyNumberFormat="0" applyAlignment="0" applyProtection="0"/>
    <xf numFmtId="0" fontId="24" fillId="75" borderId="327" applyNumberFormat="0" applyFont="0" applyAlignment="0" applyProtection="0"/>
    <xf numFmtId="0" fontId="27" fillId="95" borderId="327" applyNumberFormat="0" applyFont="0" applyAlignment="0" applyProtection="0"/>
    <xf numFmtId="0" fontId="27" fillId="95" borderId="327" applyNumberFormat="0" applyFont="0" applyAlignment="0" applyProtection="0"/>
    <xf numFmtId="0" fontId="24" fillId="75" borderId="331" applyNumberFormat="0" applyFont="0" applyAlignment="0" applyProtection="0"/>
    <xf numFmtId="0" fontId="27" fillId="95" borderId="331" applyNumberFormat="0" applyFont="0" applyAlignment="0" applyProtection="0"/>
    <xf numFmtId="0" fontId="27" fillId="95" borderId="331" applyNumberFormat="0" applyFont="0" applyAlignment="0" applyProtection="0"/>
    <xf numFmtId="0" fontId="56" fillId="56" borderId="336" applyNumberFormat="0" applyAlignment="0" applyProtection="0"/>
    <xf numFmtId="0" fontId="56" fillId="88" borderId="336" applyNumberFormat="0" applyAlignment="0" applyProtection="0"/>
    <xf numFmtId="0" fontId="29" fillId="0" borderId="337" applyNumberFormat="0" applyFill="0" applyAlignment="0" applyProtection="0"/>
    <xf numFmtId="0" fontId="29" fillId="0" borderId="338" applyNumberFormat="0" applyFill="0" applyAlignment="0" applyProtection="0"/>
    <xf numFmtId="49" fontId="37" fillId="0" borderId="333">
      <alignment horizontal="right" wrapText="1"/>
    </xf>
    <xf numFmtId="0" fontId="34" fillId="56" borderId="343" applyNumberFormat="0" applyAlignment="0" applyProtection="0"/>
    <xf numFmtId="0" fontId="35" fillId="88" borderId="343" applyNumberFormat="0" applyAlignment="0" applyProtection="0"/>
    <xf numFmtId="0" fontId="20" fillId="0" borderId="342">
      <alignment horizontal="left" vertical="center"/>
    </xf>
    <xf numFmtId="10" fontId="42" fillId="52" borderId="340" applyNumberFormat="0" applyBorder="0" applyAlignment="0" applyProtection="0"/>
    <xf numFmtId="0" fontId="51" fillId="84" borderId="343" applyNumberFormat="0" applyAlignment="0" applyProtection="0"/>
    <xf numFmtId="0" fontId="51" fillId="84" borderId="343" applyNumberFormat="0" applyAlignment="0" applyProtection="0"/>
    <xf numFmtId="0" fontId="51" fillId="62" borderId="343" applyNumberFormat="0" applyAlignment="0" applyProtection="0"/>
    <xf numFmtId="0" fontId="24" fillId="75" borderId="339" applyNumberFormat="0" applyFont="0" applyAlignment="0" applyProtection="0"/>
    <xf numFmtId="0" fontId="27" fillId="95" borderId="339" applyNumberFormat="0" applyFont="0" applyAlignment="0" applyProtection="0"/>
    <xf numFmtId="0" fontId="27" fillId="95" borderId="339" applyNumberFormat="0" applyFont="0" applyAlignment="0" applyProtection="0"/>
    <xf numFmtId="0" fontId="56" fillId="56" borderId="344" applyNumberFormat="0" applyAlignment="0" applyProtection="0"/>
    <xf numFmtId="0" fontId="56" fillId="88" borderId="344" applyNumberFormat="0" applyAlignment="0" applyProtection="0"/>
    <xf numFmtId="0" fontId="29" fillId="0" borderId="345" applyNumberFormat="0" applyFill="0" applyAlignment="0" applyProtection="0"/>
    <xf numFmtId="0" fontId="29" fillId="0" borderId="346" applyNumberFormat="0" applyFill="0" applyAlignment="0" applyProtection="0"/>
    <xf numFmtId="49" fontId="37" fillId="0" borderId="341">
      <alignment horizontal="right" wrapText="1"/>
    </xf>
    <xf numFmtId="0" fontId="34" fillId="56" borderId="350" applyNumberFormat="0" applyAlignment="0" applyProtection="0"/>
    <xf numFmtId="0" fontId="35" fillId="88" borderId="350" applyNumberFormat="0" applyAlignment="0" applyProtection="0"/>
    <xf numFmtId="0" fontId="20" fillId="0" borderId="349">
      <alignment horizontal="left" vertical="center"/>
    </xf>
    <xf numFmtId="10" fontId="42" fillId="52" borderId="348" applyNumberFormat="0" applyBorder="0" applyAlignment="0" applyProtection="0"/>
    <xf numFmtId="0" fontId="51" fillId="84" borderId="350" applyNumberFormat="0" applyAlignment="0" applyProtection="0"/>
    <xf numFmtId="0" fontId="51" fillId="84" borderId="350" applyNumberFormat="0" applyAlignment="0" applyProtection="0"/>
    <xf numFmtId="0" fontId="51" fillId="62" borderId="350" applyNumberFormat="0" applyAlignment="0" applyProtection="0"/>
    <xf numFmtId="0" fontId="24" fillId="75" borderId="347" applyNumberFormat="0" applyFont="0" applyAlignment="0" applyProtection="0"/>
    <xf numFmtId="0" fontId="27" fillId="95" borderId="347" applyNumberFormat="0" applyFont="0" applyAlignment="0" applyProtection="0"/>
    <xf numFmtId="0" fontId="27" fillId="95" borderId="347" applyNumberFormat="0" applyFont="0" applyAlignment="0" applyProtection="0"/>
    <xf numFmtId="0" fontId="24" fillId="75" borderId="513" applyNumberFormat="0" applyFont="0" applyAlignment="0" applyProtection="0"/>
    <xf numFmtId="0" fontId="56" fillId="56" borderId="518" applyNumberFormat="0" applyAlignment="0" applyProtection="0"/>
    <xf numFmtId="49" fontId="37" fillId="0" borderId="353">
      <alignment horizontal="right" wrapText="1"/>
    </xf>
    <xf numFmtId="0" fontId="51" fillId="62" borderId="375" applyNumberFormat="0" applyAlignment="0" applyProtection="0"/>
    <xf numFmtId="0" fontId="51" fillId="84" borderId="375" applyNumberFormat="0" applyAlignment="0" applyProtection="0"/>
    <xf numFmtId="0" fontId="51" fillId="84" borderId="375" applyNumberFormat="0" applyAlignment="0" applyProtection="0"/>
    <xf numFmtId="10" fontId="42" fillId="52" borderId="372" applyNumberFormat="0" applyBorder="0" applyAlignment="0" applyProtection="0"/>
    <xf numFmtId="0" fontId="20" fillId="0" borderId="374">
      <alignment horizontal="left" vertical="center"/>
    </xf>
    <xf numFmtId="0" fontId="35" fillId="88" borderId="375" applyNumberFormat="0" applyAlignment="0" applyProtection="0"/>
    <xf numFmtId="0" fontId="34" fillId="56" borderId="375" applyNumberFormat="0" applyAlignment="0" applyProtection="0"/>
    <xf numFmtId="0" fontId="34" fillId="56" borderId="363" applyNumberFormat="0" applyAlignment="0" applyProtection="0"/>
    <xf numFmtId="0" fontId="35" fillId="88" borderId="363" applyNumberFormat="0" applyAlignment="0" applyProtection="0"/>
    <xf numFmtId="0" fontId="20" fillId="0" borderId="362">
      <alignment horizontal="left" vertical="center"/>
    </xf>
    <xf numFmtId="10" fontId="42" fillId="52" borderId="360" applyNumberFormat="0" applyBorder="0" applyAlignment="0" applyProtection="0"/>
    <xf numFmtId="0" fontId="51" fillId="84" borderId="363" applyNumberFormat="0" applyAlignment="0" applyProtection="0"/>
    <xf numFmtId="0" fontId="51" fillId="84" borderId="363" applyNumberFormat="0" applyAlignment="0" applyProtection="0"/>
    <xf numFmtId="0" fontId="51" fillId="62" borderId="363" applyNumberFormat="0" applyAlignment="0" applyProtection="0"/>
    <xf numFmtId="0" fontId="24" fillId="75" borderId="359" applyNumberFormat="0" applyFont="0" applyAlignment="0" applyProtection="0"/>
    <xf numFmtId="0" fontId="27" fillId="95" borderId="359" applyNumberFormat="0" applyFont="0" applyAlignment="0" applyProtection="0"/>
    <xf numFmtId="0" fontId="27" fillId="95" borderId="359" applyNumberFormat="0" applyFont="0" applyAlignment="0" applyProtection="0"/>
    <xf numFmtId="0" fontId="51" fillId="62" borderId="1132" applyNumberFormat="0" applyAlignment="0" applyProtection="0"/>
    <xf numFmtId="0" fontId="35" fillId="88" borderId="549" applyNumberFormat="0" applyAlignment="0" applyProtection="0"/>
    <xf numFmtId="49" fontId="37" fillId="0" borderId="361">
      <alignment horizontal="right" wrapText="1"/>
    </xf>
    <xf numFmtId="0" fontId="34" fillId="56" borderId="363" applyNumberFormat="0" applyAlignment="0" applyProtection="0"/>
    <xf numFmtId="0" fontId="35" fillId="88" borderId="363" applyNumberFormat="0" applyAlignment="0" applyProtection="0"/>
    <xf numFmtId="0" fontId="20" fillId="0" borderId="362">
      <alignment horizontal="left" vertical="center"/>
    </xf>
    <xf numFmtId="10" fontId="42" fillId="52" borderId="360" applyNumberFormat="0" applyBorder="0" applyAlignment="0" applyProtection="0"/>
    <xf numFmtId="0" fontId="51" fillId="84" borderId="363" applyNumberFormat="0" applyAlignment="0" applyProtection="0"/>
    <xf numFmtId="0" fontId="51" fillId="84" borderId="363" applyNumberFormat="0" applyAlignment="0" applyProtection="0"/>
    <xf numFmtId="0" fontId="51" fillId="62" borderId="363" applyNumberFormat="0" applyAlignment="0" applyProtection="0"/>
    <xf numFmtId="0" fontId="24" fillId="75" borderId="359" applyNumberFormat="0" applyFont="0" applyAlignment="0" applyProtection="0"/>
    <xf numFmtId="0" fontId="27" fillId="95" borderId="359" applyNumberFormat="0" applyFont="0" applyAlignment="0" applyProtection="0"/>
    <xf numFmtId="0" fontId="27" fillId="95" borderId="359" applyNumberFormat="0" applyFont="0" applyAlignment="0" applyProtection="0"/>
    <xf numFmtId="0" fontId="56" fillId="56" borderId="364" applyNumberFormat="0" applyAlignment="0" applyProtection="0"/>
    <xf numFmtId="0" fontId="56" fillId="88" borderId="364" applyNumberFormat="0" applyAlignment="0" applyProtection="0"/>
    <xf numFmtId="0" fontId="29" fillId="0" borderId="365" applyNumberFormat="0" applyFill="0" applyAlignment="0" applyProtection="0"/>
    <xf numFmtId="0" fontId="29" fillId="0" borderId="366" applyNumberFormat="0" applyFill="0" applyAlignment="0" applyProtection="0"/>
    <xf numFmtId="0" fontId="51" fillId="84" borderId="745" applyNumberFormat="0" applyAlignment="0" applyProtection="0"/>
    <xf numFmtId="49" fontId="37" fillId="0" borderId="361">
      <alignment horizontal="right" wrapText="1"/>
    </xf>
    <xf numFmtId="0" fontId="34" fillId="56" borderId="370" applyNumberFormat="0" applyAlignment="0" applyProtection="0"/>
    <xf numFmtId="0" fontId="35" fillId="88" borderId="370" applyNumberFormat="0" applyAlignment="0" applyProtection="0"/>
    <xf numFmtId="0" fontId="20" fillId="0" borderId="369">
      <alignment horizontal="left" vertical="center"/>
    </xf>
    <xf numFmtId="10" fontId="42" fillId="52" borderId="368" applyNumberFormat="0" applyBorder="0" applyAlignment="0" applyProtection="0"/>
    <xf numFmtId="0" fontId="51" fillId="84" borderId="370" applyNumberFormat="0" applyAlignment="0" applyProtection="0"/>
    <xf numFmtId="0" fontId="51" fillId="84" borderId="370" applyNumberFormat="0" applyAlignment="0" applyProtection="0"/>
    <xf numFmtId="0" fontId="51" fillId="62" borderId="370" applyNumberFormat="0" applyAlignment="0" applyProtection="0"/>
    <xf numFmtId="0" fontId="24" fillId="75" borderId="367" applyNumberFormat="0" applyFont="0" applyAlignment="0" applyProtection="0"/>
    <xf numFmtId="0" fontId="27" fillId="95" borderId="367" applyNumberFormat="0" applyFont="0" applyAlignment="0" applyProtection="0"/>
    <xf numFmtId="0" fontId="27" fillId="95" borderId="367" applyNumberFormat="0" applyFont="0" applyAlignment="0" applyProtection="0"/>
    <xf numFmtId="0" fontId="24" fillId="75" borderId="371" applyNumberFormat="0" applyFont="0" applyAlignment="0" applyProtection="0"/>
    <xf numFmtId="0" fontId="27" fillId="95" borderId="371" applyNumberFormat="0" applyFont="0" applyAlignment="0" applyProtection="0"/>
    <xf numFmtId="0" fontId="27" fillId="95" borderId="371" applyNumberFormat="0" applyFont="0" applyAlignment="0" applyProtection="0"/>
    <xf numFmtId="0" fontId="56" fillId="56" borderId="376" applyNumberFormat="0" applyAlignment="0" applyProtection="0"/>
    <xf numFmtId="0" fontId="56" fillId="88" borderId="376" applyNumberFormat="0" applyAlignment="0" applyProtection="0"/>
    <xf numFmtId="0" fontId="29" fillId="0" borderId="377" applyNumberFormat="0" applyFill="0" applyAlignment="0" applyProtection="0"/>
    <xf numFmtId="0" fontId="29" fillId="0" borderId="378" applyNumberFormat="0" applyFill="0" applyAlignment="0" applyProtection="0"/>
    <xf numFmtId="49" fontId="37" fillId="0" borderId="373">
      <alignment horizontal="right" wrapText="1"/>
    </xf>
    <xf numFmtId="0" fontId="34" fillId="56" borderId="383" applyNumberFormat="0" applyAlignment="0" applyProtection="0"/>
    <xf numFmtId="0" fontId="35" fillId="88" borderId="383" applyNumberFormat="0" applyAlignment="0" applyProtection="0"/>
    <xf numFmtId="0" fontId="20" fillId="0" borderId="382">
      <alignment horizontal="left" vertical="center"/>
    </xf>
    <xf numFmtId="10" fontId="42" fillId="52" borderId="380" applyNumberFormat="0" applyBorder="0" applyAlignment="0" applyProtection="0"/>
    <xf numFmtId="0" fontId="51" fillId="84" borderId="383" applyNumberFormat="0" applyAlignment="0" applyProtection="0"/>
    <xf numFmtId="0" fontId="51" fillId="84" borderId="383" applyNumberFormat="0" applyAlignment="0" applyProtection="0"/>
    <xf numFmtId="0" fontId="51" fillId="62" borderId="383" applyNumberFormat="0" applyAlignment="0" applyProtection="0"/>
    <xf numFmtId="0" fontId="24" fillId="75" borderId="379" applyNumberFormat="0" applyFont="0" applyAlignment="0" applyProtection="0"/>
    <xf numFmtId="0" fontId="27" fillId="95" borderId="379" applyNumberFormat="0" applyFont="0" applyAlignment="0" applyProtection="0"/>
    <xf numFmtId="0" fontId="27" fillId="95" borderId="379" applyNumberFormat="0" applyFont="0" applyAlignment="0" applyProtection="0"/>
    <xf numFmtId="0" fontId="56" fillId="56" borderId="384" applyNumberFormat="0" applyAlignment="0" applyProtection="0"/>
    <xf numFmtId="0" fontId="56" fillId="88" borderId="384" applyNumberFormat="0" applyAlignment="0" applyProtection="0"/>
    <xf numFmtId="0" fontId="29" fillId="0" borderId="385" applyNumberFormat="0" applyFill="0" applyAlignment="0" applyProtection="0"/>
    <xf numFmtId="0" fontId="29" fillId="0" borderId="386" applyNumberFormat="0" applyFill="0" applyAlignment="0" applyProtection="0"/>
    <xf numFmtId="49" fontId="37" fillId="0" borderId="381">
      <alignment horizontal="right" wrapText="1"/>
    </xf>
    <xf numFmtId="0" fontId="34" fillId="56" borderId="390" applyNumberFormat="0" applyAlignment="0" applyProtection="0"/>
    <xf numFmtId="0" fontId="35" fillId="88" borderId="390" applyNumberFormat="0" applyAlignment="0" applyProtection="0"/>
    <xf numFmtId="0" fontId="20" fillId="0" borderId="389">
      <alignment horizontal="left" vertical="center"/>
    </xf>
    <xf numFmtId="10" fontId="42" fillId="52" borderId="388" applyNumberFormat="0" applyBorder="0" applyAlignment="0" applyProtection="0"/>
    <xf numFmtId="0" fontId="51" fillId="84" borderId="390" applyNumberFormat="0" applyAlignment="0" applyProtection="0"/>
    <xf numFmtId="0" fontId="51" fillId="84" borderId="390" applyNumberFormat="0" applyAlignment="0" applyProtection="0"/>
    <xf numFmtId="0" fontId="51" fillId="62" borderId="390" applyNumberFormat="0" applyAlignment="0" applyProtection="0"/>
    <xf numFmtId="0" fontId="24" fillId="75" borderId="387" applyNumberFormat="0" applyFont="0" applyAlignment="0" applyProtection="0"/>
    <xf numFmtId="0" fontId="27" fillId="95" borderId="387" applyNumberFormat="0" applyFont="0" applyAlignment="0" applyProtection="0"/>
    <xf numFmtId="0" fontId="27" fillId="95" borderId="387" applyNumberFormat="0" applyFont="0" applyAlignment="0" applyProtection="0"/>
    <xf numFmtId="0" fontId="27" fillId="95" borderId="622" applyNumberFormat="0" applyFont="0" applyAlignment="0" applyProtection="0"/>
    <xf numFmtId="0" fontId="51" fillId="84" borderId="664" applyNumberFormat="0" applyAlignment="0" applyProtection="0"/>
    <xf numFmtId="0" fontId="29" fillId="0" borderId="398" applyNumberFormat="0" applyFill="0" applyAlignment="0" applyProtection="0"/>
    <xf numFmtId="0" fontId="29" fillId="0" borderId="399" applyNumberFormat="0" applyFill="0" applyAlignment="0" applyProtection="0"/>
    <xf numFmtId="0" fontId="56" fillId="88" borderId="1025" applyNumberFormat="0" applyAlignment="0" applyProtection="0"/>
    <xf numFmtId="0" fontId="51" fillId="62" borderId="827" applyNumberFormat="0" applyAlignment="0" applyProtection="0"/>
    <xf numFmtId="0" fontId="56" fillId="88" borderId="587" applyNumberFormat="0" applyAlignment="0" applyProtection="0"/>
    <xf numFmtId="0" fontId="24" fillId="75" borderId="545" applyNumberFormat="0" applyFont="0" applyAlignment="0" applyProtection="0"/>
    <xf numFmtId="0" fontId="51" fillId="62" borderId="626" applyNumberFormat="0" applyAlignment="0" applyProtection="0"/>
    <xf numFmtId="0" fontId="51" fillId="62" borderId="664" applyNumberFormat="0" applyAlignment="0" applyProtection="0"/>
    <xf numFmtId="49" fontId="37" fillId="0" borderId="394">
      <alignment horizontal="right" wrapText="1"/>
    </xf>
    <xf numFmtId="0" fontId="51" fillId="62" borderId="416" applyNumberFormat="0" applyAlignment="0" applyProtection="0"/>
    <xf numFmtId="0" fontId="51" fillId="84" borderId="416" applyNumberFormat="0" applyAlignment="0" applyProtection="0"/>
    <xf numFmtId="0" fontId="51" fillId="84" borderId="416" applyNumberFormat="0" applyAlignment="0" applyProtection="0"/>
    <xf numFmtId="10" fontId="42" fillId="52" borderId="413" applyNumberFormat="0" applyBorder="0" applyAlignment="0" applyProtection="0"/>
    <xf numFmtId="0" fontId="20" fillId="0" borderId="415">
      <alignment horizontal="left" vertical="center"/>
    </xf>
    <xf numFmtId="0" fontId="35" fillId="88" borderId="416" applyNumberFormat="0" applyAlignment="0" applyProtection="0"/>
    <xf numFmtId="0" fontId="34" fillId="56" borderId="416" applyNumberFormat="0" applyAlignment="0" applyProtection="0"/>
    <xf numFmtId="0" fontId="34" fillId="56" borderId="404" applyNumberFormat="0" applyAlignment="0" applyProtection="0"/>
    <xf numFmtId="0" fontId="35" fillId="88" borderId="404" applyNumberFormat="0" applyAlignment="0" applyProtection="0"/>
    <xf numFmtId="0" fontId="20" fillId="0" borderId="403">
      <alignment horizontal="left" vertical="center"/>
    </xf>
    <xf numFmtId="10" fontId="42" fillId="52" borderId="401" applyNumberFormat="0" applyBorder="0" applyAlignment="0" applyProtection="0"/>
    <xf numFmtId="0" fontId="51" fillId="84" borderId="404" applyNumberFormat="0" applyAlignment="0" applyProtection="0"/>
    <xf numFmtId="0" fontId="51" fillId="84" borderId="404" applyNumberFormat="0" applyAlignment="0" applyProtection="0"/>
    <xf numFmtId="0" fontId="51" fillId="62" borderId="404" applyNumberFormat="0" applyAlignment="0" applyProtection="0"/>
    <xf numFmtId="0" fontId="24" fillId="75" borderId="400" applyNumberFormat="0" applyFont="0" applyAlignment="0" applyProtection="0"/>
    <xf numFmtId="0" fontId="27" fillId="95" borderId="400" applyNumberFormat="0" applyFont="0" applyAlignment="0" applyProtection="0"/>
    <xf numFmtId="0" fontId="27" fillId="95" borderId="400" applyNumberFormat="0" applyFont="0" applyAlignment="0" applyProtection="0"/>
    <xf numFmtId="0" fontId="27" fillId="95" borderId="863" applyNumberFormat="0" applyFont="0" applyAlignment="0" applyProtection="0"/>
    <xf numFmtId="0" fontId="27" fillId="95" borderId="582" applyNumberFormat="0" applyFont="0" applyAlignment="0" applyProtection="0"/>
    <xf numFmtId="49" fontId="37" fillId="0" borderId="512">
      <alignment horizontal="right" wrapText="1"/>
    </xf>
    <xf numFmtId="49" fontId="37" fillId="0" borderId="402">
      <alignment horizontal="right" wrapText="1"/>
    </xf>
    <xf numFmtId="0" fontId="34" fillId="56" borderId="404" applyNumberFormat="0" applyAlignment="0" applyProtection="0"/>
    <xf numFmtId="0" fontId="35" fillId="88" borderId="404" applyNumberFormat="0" applyAlignment="0" applyProtection="0"/>
    <xf numFmtId="0" fontId="20" fillId="0" borderId="403">
      <alignment horizontal="left" vertical="center"/>
    </xf>
    <xf numFmtId="10" fontId="42" fillId="52" borderId="401" applyNumberFormat="0" applyBorder="0" applyAlignment="0" applyProtection="0"/>
    <xf numFmtId="0" fontId="51" fillId="84" borderId="404" applyNumberFormat="0" applyAlignment="0" applyProtection="0"/>
    <xf numFmtId="0" fontId="51" fillId="84" borderId="404" applyNumberFormat="0" applyAlignment="0" applyProtection="0"/>
    <xf numFmtId="0" fontId="51" fillId="62" borderId="404" applyNumberFormat="0" applyAlignment="0" applyProtection="0"/>
    <xf numFmtId="0" fontId="24" fillId="75" borderId="400" applyNumberFormat="0" applyFont="0" applyAlignment="0" applyProtection="0"/>
    <xf numFmtId="0" fontId="27" fillId="95" borderId="400" applyNumberFormat="0" applyFont="0" applyAlignment="0" applyProtection="0"/>
    <xf numFmtId="0" fontId="27" fillId="95" borderId="400" applyNumberFormat="0" applyFont="0" applyAlignment="0" applyProtection="0"/>
    <xf numFmtId="0" fontId="56" fillId="56" borderId="405" applyNumberFormat="0" applyAlignment="0" applyProtection="0"/>
    <xf numFmtId="0" fontId="56" fillId="88" borderId="405" applyNumberFormat="0" applyAlignment="0" applyProtection="0"/>
    <xf numFmtId="0" fontId="29" fillId="0" borderId="406" applyNumberFormat="0" applyFill="0" applyAlignment="0" applyProtection="0"/>
    <xf numFmtId="0" fontId="29" fillId="0" borderId="407" applyNumberFormat="0" applyFill="0" applyAlignment="0" applyProtection="0"/>
    <xf numFmtId="0" fontId="27" fillId="95" borderId="582" applyNumberFormat="0" applyFont="0" applyAlignment="0" applyProtection="0"/>
    <xf numFmtId="49" fontId="37" fillId="0" borderId="402">
      <alignment horizontal="right" wrapText="1"/>
    </xf>
    <xf numFmtId="0" fontId="34" fillId="56" borderId="411" applyNumberFormat="0" applyAlignment="0" applyProtection="0"/>
    <xf numFmtId="0" fontId="35" fillId="88" borderId="411" applyNumberFormat="0" applyAlignment="0" applyProtection="0"/>
    <xf numFmtId="0" fontId="20" fillId="0" borderId="410">
      <alignment horizontal="left" vertical="center"/>
    </xf>
    <xf numFmtId="10" fontId="42" fillId="52" borderId="409" applyNumberFormat="0" applyBorder="0" applyAlignment="0" applyProtection="0"/>
    <xf numFmtId="0" fontId="51" fillId="84" borderId="411" applyNumberFormat="0" applyAlignment="0" applyProtection="0"/>
    <xf numFmtId="0" fontId="51" fillId="84" borderId="411" applyNumberFormat="0" applyAlignment="0" applyProtection="0"/>
    <xf numFmtId="0" fontId="51" fillId="62" borderId="411" applyNumberFormat="0" applyAlignment="0" applyProtection="0"/>
    <xf numFmtId="0" fontId="24" fillId="75" borderId="408" applyNumberFormat="0" applyFont="0" applyAlignment="0" applyProtection="0"/>
    <xf numFmtId="0" fontId="27" fillId="95" borderId="408" applyNumberFormat="0" applyFont="0" applyAlignment="0" applyProtection="0"/>
    <xf numFmtId="0" fontId="27" fillId="95" borderId="408" applyNumberFormat="0" applyFont="0" applyAlignment="0" applyProtection="0"/>
    <xf numFmtId="0" fontId="24" fillId="75" borderId="412" applyNumberFormat="0" applyFont="0" applyAlignment="0" applyProtection="0"/>
    <xf numFmtId="0" fontId="27" fillId="95" borderId="412" applyNumberFormat="0" applyFont="0" applyAlignment="0" applyProtection="0"/>
    <xf numFmtId="0" fontId="27" fillId="95" borderId="412" applyNumberFormat="0" applyFont="0" applyAlignment="0" applyProtection="0"/>
    <xf numFmtId="0" fontId="56" fillId="56" borderId="417" applyNumberFormat="0" applyAlignment="0" applyProtection="0"/>
    <xf numFmtId="0" fontId="56" fillId="88" borderId="417" applyNumberFormat="0" applyAlignment="0" applyProtection="0"/>
    <xf numFmtId="0" fontId="29" fillId="0" borderId="418" applyNumberFormat="0" applyFill="0" applyAlignment="0" applyProtection="0"/>
    <xf numFmtId="0" fontId="29" fillId="0" borderId="419" applyNumberFormat="0" applyFill="0" applyAlignment="0" applyProtection="0"/>
    <xf numFmtId="49" fontId="37" fillId="0" borderId="414">
      <alignment horizontal="right" wrapText="1"/>
    </xf>
    <xf numFmtId="0" fontId="34" fillId="56" borderId="424" applyNumberFormat="0" applyAlignment="0" applyProtection="0"/>
    <xf numFmtId="0" fontId="35" fillId="88" borderId="424" applyNumberFormat="0" applyAlignment="0" applyProtection="0"/>
    <xf numFmtId="0" fontId="20" fillId="0" borderId="423">
      <alignment horizontal="left" vertical="center"/>
    </xf>
    <xf numFmtId="10" fontId="42" fillId="52" borderId="421" applyNumberFormat="0" applyBorder="0" applyAlignment="0" applyProtection="0"/>
    <xf numFmtId="0" fontId="51" fillId="84" borderId="424" applyNumberFormat="0" applyAlignment="0" applyProtection="0"/>
    <xf numFmtId="0" fontId="51" fillId="84" borderId="424" applyNumberFormat="0" applyAlignment="0" applyProtection="0"/>
    <xf numFmtId="0" fontId="51" fillId="62" borderId="424" applyNumberFormat="0" applyAlignment="0" applyProtection="0"/>
    <xf numFmtId="0" fontId="24" fillId="75" borderId="420" applyNumberFormat="0" applyFont="0" applyAlignment="0" applyProtection="0"/>
    <xf numFmtId="0" fontId="27" fillId="95" borderId="420" applyNumberFormat="0" applyFont="0" applyAlignment="0" applyProtection="0"/>
    <xf numFmtId="0" fontId="27" fillId="95" borderId="420" applyNumberFormat="0" applyFont="0" applyAlignment="0" applyProtection="0"/>
    <xf numFmtId="0" fontId="56" fillId="56" borderId="425" applyNumberFormat="0" applyAlignment="0" applyProtection="0"/>
    <xf numFmtId="0" fontId="56" fillId="88" borderId="425" applyNumberFormat="0" applyAlignment="0" applyProtection="0"/>
    <xf numFmtId="0" fontId="29" fillId="0" borderId="426" applyNumberFormat="0" applyFill="0" applyAlignment="0" applyProtection="0"/>
    <xf numFmtId="0" fontId="29" fillId="0" borderId="427" applyNumberFormat="0" applyFill="0" applyAlignment="0" applyProtection="0"/>
    <xf numFmtId="49" fontId="37" fillId="0" borderId="422">
      <alignment horizontal="right" wrapText="1"/>
    </xf>
    <xf numFmtId="0" fontId="34" fillId="56" borderId="431" applyNumberFormat="0" applyAlignment="0" applyProtection="0"/>
    <xf numFmtId="0" fontId="35" fillId="88" borderId="431" applyNumberFormat="0" applyAlignment="0" applyProtection="0"/>
    <xf numFmtId="0" fontId="20" fillId="0" borderId="430">
      <alignment horizontal="left" vertical="center"/>
    </xf>
    <xf numFmtId="10" fontId="42" fillId="52" borderId="429" applyNumberFormat="0" applyBorder="0" applyAlignment="0" applyProtection="0"/>
    <xf numFmtId="0" fontId="51" fillId="84" borderId="431" applyNumberFormat="0" applyAlignment="0" applyProtection="0"/>
    <xf numFmtId="0" fontId="51" fillId="84" borderId="431" applyNumberFormat="0" applyAlignment="0" applyProtection="0"/>
    <xf numFmtId="0" fontId="51" fillId="62" borderId="431" applyNumberFormat="0" applyAlignment="0" applyProtection="0"/>
    <xf numFmtId="0" fontId="24" fillId="75" borderId="428" applyNumberFormat="0" applyFont="0" applyAlignment="0" applyProtection="0"/>
    <xf numFmtId="0" fontId="27" fillId="95" borderId="428" applyNumberFormat="0" applyFont="0" applyAlignment="0" applyProtection="0"/>
    <xf numFmtId="0" fontId="27" fillId="95" borderId="428" applyNumberFormat="0" applyFont="0" applyAlignment="0" applyProtection="0"/>
    <xf numFmtId="0" fontId="34" fillId="56" borderId="626" applyNumberFormat="0" applyAlignment="0" applyProtection="0"/>
    <xf numFmtId="0" fontId="51" fillId="84" borderId="586" applyNumberFormat="0" applyAlignment="0" applyProtection="0"/>
    <xf numFmtId="0" fontId="29" fillId="0" borderId="438" applyNumberFormat="0" applyFill="0" applyAlignment="0" applyProtection="0"/>
    <xf numFmtId="0" fontId="29" fillId="0" borderId="439" applyNumberFormat="0" applyFill="0" applyAlignment="0" applyProtection="0"/>
    <xf numFmtId="0" fontId="34" fillId="56" borderId="1024" applyNumberFormat="0" applyAlignment="0" applyProtection="0"/>
    <xf numFmtId="0" fontId="20" fillId="0" borderId="1210">
      <alignment horizontal="left" vertical="center"/>
    </xf>
    <xf numFmtId="0" fontId="20" fillId="0" borderId="1250">
      <alignment horizontal="left" vertical="center"/>
    </xf>
    <xf numFmtId="0" fontId="51" fillId="84" borderId="1064" applyNumberFormat="0" applyAlignment="0" applyProtection="0"/>
    <xf numFmtId="0" fontId="56" fillId="88" borderId="944" applyNumberFormat="0" applyAlignment="0" applyProtection="0"/>
    <xf numFmtId="0" fontId="29" fillId="0" borderId="588" applyNumberFormat="0" applyFill="0" applyAlignment="0" applyProtection="0"/>
    <xf numFmtId="49" fontId="37" fillId="0" borderId="434">
      <alignment horizontal="right" wrapText="1"/>
    </xf>
    <xf numFmtId="0" fontId="51" fillId="62" borderId="456" applyNumberFormat="0" applyAlignment="0" applyProtection="0"/>
    <xf numFmtId="0" fontId="51" fillId="84" borderId="456" applyNumberFormat="0" applyAlignment="0" applyProtection="0"/>
    <xf numFmtId="0" fontId="51" fillId="84" borderId="456" applyNumberFormat="0" applyAlignment="0" applyProtection="0"/>
    <xf numFmtId="10" fontId="42" fillId="52" borderId="453" applyNumberFormat="0" applyBorder="0" applyAlignment="0" applyProtection="0"/>
    <xf numFmtId="0" fontId="20" fillId="0" borderId="455">
      <alignment horizontal="left" vertical="center"/>
    </xf>
    <xf numFmtId="0" fontId="35" fillId="88" borderId="456" applyNumberFormat="0" applyAlignment="0" applyProtection="0"/>
    <xf numFmtId="0" fontId="34" fillId="56" borderId="456" applyNumberFormat="0" applyAlignment="0" applyProtection="0"/>
    <xf numFmtId="0" fontId="34" fillId="56" borderId="444" applyNumberFormat="0" applyAlignment="0" applyProtection="0"/>
    <xf numFmtId="0" fontId="35" fillId="88" borderId="444" applyNumberFormat="0" applyAlignment="0" applyProtection="0"/>
    <xf numFmtId="0" fontId="20" fillId="0" borderId="443">
      <alignment horizontal="left" vertical="center"/>
    </xf>
    <xf numFmtId="10" fontId="42" fillId="52" borderId="441" applyNumberFormat="0" applyBorder="0" applyAlignment="0" applyProtection="0"/>
    <xf numFmtId="0" fontId="51" fillId="84" borderId="444" applyNumberFormat="0" applyAlignment="0" applyProtection="0"/>
    <xf numFmtId="0" fontId="51" fillId="84" borderId="444" applyNumberFormat="0" applyAlignment="0" applyProtection="0"/>
    <xf numFmtId="0" fontId="51" fillId="62" borderId="444" applyNumberFormat="0" applyAlignment="0" applyProtection="0"/>
    <xf numFmtId="0" fontId="24" fillId="75" borderId="440" applyNumberFormat="0" applyFont="0" applyAlignment="0" applyProtection="0"/>
    <xf numFmtId="0" fontId="27" fillId="95" borderId="440" applyNumberFormat="0" applyFont="0" applyAlignment="0" applyProtection="0"/>
    <xf numFmtId="0" fontId="27" fillId="95" borderId="440" applyNumberFormat="0" applyFont="0" applyAlignment="0" applyProtection="0"/>
    <xf numFmtId="49" fontId="37" fillId="0" borderId="442">
      <alignment horizontal="right" wrapText="1"/>
    </xf>
    <xf numFmtId="0" fontId="34" fillId="56" borderId="444" applyNumberFormat="0" applyAlignment="0" applyProtection="0"/>
    <xf numFmtId="0" fontId="35" fillId="88" borderId="444" applyNumberFormat="0" applyAlignment="0" applyProtection="0"/>
    <xf numFmtId="0" fontId="20" fillId="0" borderId="443">
      <alignment horizontal="left" vertical="center"/>
    </xf>
    <xf numFmtId="10" fontId="42" fillId="52" borderId="441" applyNumberFormat="0" applyBorder="0" applyAlignment="0" applyProtection="0"/>
    <xf numFmtId="0" fontId="51" fillId="84" borderId="444" applyNumberFormat="0" applyAlignment="0" applyProtection="0"/>
    <xf numFmtId="0" fontId="51" fillId="84" borderId="444" applyNumberFormat="0" applyAlignment="0" applyProtection="0"/>
    <xf numFmtId="0" fontId="51" fillId="62" borderId="444" applyNumberFormat="0" applyAlignment="0" applyProtection="0"/>
    <xf numFmtId="0" fontId="24" fillId="75" borderId="440" applyNumberFormat="0" applyFont="0" applyAlignment="0" applyProtection="0"/>
    <xf numFmtId="0" fontId="27" fillId="95" borderId="440" applyNumberFormat="0" applyFont="0" applyAlignment="0" applyProtection="0"/>
    <xf numFmtId="0" fontId="27" fillId="95" borderId="440" applyNumberFormat="0" applyFont="0" applyAlignment="0" applyProtection="0"/>
    <xf numFmtId="0" fontId="56" fillId="56" borderId="445" applyNumberFormat="0" applyAlignment="0" applyProtection="0"/>
    <xf numFmtId="0" fontId="56" fillId="88" borderId="445" applyNumberFormat="0" applyAlignment="0" applyProtection="0"/>
    <xf numFmtId="0" fontId="29" fillId="0" borderId="446" applyNumberFormat="0" applyFill="0" applyAlignment="0" applyProtection="0"/>
    <xf numFmtId="0" fontId="29" fillId="0" borderId="447" applyNumberFormat="0" applyFill="0" applyAlignment="0" applyProtection="0"/>
    <xf numFmtId="0" fontId="20" fillId="0" borderId="548">
      <alignment horizontal="left" vertical="center"/>
    </xf>
    <xf numFmtId="49" fontId="37" fillId="0" borderId="442">
      <alignment horizontal="right" wrapText="1"/>
    </xf>
    <xf numFmtId="0" fontId="34" fillId="56" borderId="451" applyNumberFormat="0" applyAlignment="0" applyProtection="0"/>
    <xf numFmtId="0" fontId="35" fillId="88" borderId="451" applyNumberFormat="0" applyAlignment="0" applyProtection="0"/>
    <xf numFmtId="0" fontId="20" fillId="0" borderId="450">
      <alignment horizontal="left" vertical="center"/>
    </xf>
    <xf numFmtId="10" fontId="42" fillId="52" borderId="449" applyNumberFormat="0" applyBorder="0" applyAlignment="0" applyProtection="0"/>
    <xf numFmtId="0" fontId="51" fillId="84" borderId="451" applyNumberFormat="0" applyAlignment="0" applyProtection="0"/>
    <xf numFmtId="0" fontId="51" fillId="84" borderId="451" applyNumberFormat="0" applyAlignment="0" applyProtection="0"/>
    <xf numFmtId="0" fontId="51" fillId="62" borderId="451" applyNumberFormat="0" applyAlignment="0" applyProtection="0"/>
    <xf numFmtId="0" fontId="24" fillId="75" borderId="448" applyNumberFormat="0" applyFont="0" applyAlignment="0" applyProtection="0"/>
    <xf numFmtId="0" fontId="27" fillId="95" borderId="448" applyNumberFormat="0" applyFont="0" applyAlignment="0" applyProtection="0"/>
    <xf numFmtId="0" fontId="27" fillId="95" borderId="448" applyNumberFormat="0" applyFont="0" applyAlignment="0" applyProtection="0"/>
    <xf numFmtId="0" fontId="24" fillId="75" borderId="452" applyNumberFormat="0" applyFont="0" applyAlignment="0" applyProtection="0"/>
    <xf numFmtId="0" fontId="27" fillId="95" borderId="452" applyNumberFormat="0" applyFont="0" applyAlignment="0" applyProtection="0"/>
    <xf numFmtId="0" fontId="27" fillId="95" borderId="452" applyNumberFormat="0" applyFont="0" applyAlignment="0" applyProtection="0"/>
    <xf numFmtId="0" fontId="56" fillId="56" borderId="457" applyNumberFormat="0" applyAlignment="0" applyProtection="0"/>
    <xf numFmtId="0" fontId="56" fillId="88" borderId="457" applyNumberFormat="0" applyAlignment="0" applyProtection="0"/>
    <xf numFmtId="0" fontId="29" fillId="0" borderId="458" applyNumberFormat="0" applyFill="0" applyAlignment="0" applyProtection="0"/>
    <xf numFmtId="0" fontId="29" fillId="0" borderId="459" applyNumberFormat="0" applyFill="0" applyAlignment="0" applyProtection="0"/>
    <xf numFmtId="49" fontId="37" fillId="0" borderId="454">
      <alignment horizontal="right" wrapText="1"/>
    </xf>
    <xf numFmtId="0" fontId="34" fillId="56" borderId="464" applyNumberFormat="0" applyAlignment="0" applyProtection="0"/>
    <xf numFmtId="0" fontId="35" fillId="88" borderId="464" applyNumberFormat="0" applyAlignment="0" applyProtection="0"/>
    <xf numFmtId="0" fontId="20" fillId="0" borderId="463">
      <alignment horizontal="left" vertical="center"/>
    </xf>
    <xf numFmtId="10" fontId="42" fillId="52" borderId="461" applyNumberFormat="0" applyBorder="0" applyAlignment="0" applyProtection="0"/>
    <xf numFmtId="0" fontId="51" fillId="84" borderId="464" applyNumberFormat="0" applyAlignment="0" applyProtection="0"/>
    <xf numFmtId="0" fontId="51" fillId="84" borderId="464" applyNumberFormat="0" applyAlignment="0" applyProtection="0"/>
    <xf numFmtId="0" fontId="51" fillId="62" borderId="464" applyNumberFormat="0" applyAlignment="0" applyProtection="0"/>
    <xf numFmtId="0" fontId="24" fillId="75" borderId="460" applyNumberFormat="0" applyFont="0" applyAlignment="0" applyProtection="0"/>
    <xf numFmtId="0" fontId="27" fillId="95" borderId="460" applyNumberFormat="0" applyFont="0" applyAlignment="0" applyProtection="0"/>
    <xf numFmtId="0" fontId="27" fillId="95" borderId="460" applyNumberFormat="0" applyFont="0" applyAlignment="0" applyProtection="0"/>
    <xf numFmtId="0" fontId="56" fillId="56" borderId="465" applyNumberFormat="0" applyAlignment="0" applyProtection="0"/>
    <xf numFmtId="0" fontId="56" fillId="88" borderId="465" applyNumberFormat="0" applyAlignment="0" applyProtection="0"/>
    <xf numFmtId="0" fontId="29" fillId="0" borderId="466" applyNumberFormat="0" applyFill="0" applyAlignment="0" applyProtection="0"/>
    <xf numFmtId="0" fontId="29" fillId="0" borderId="467" applyNumberFormat="0" applyFill="0" applyAlignment="0" applyProtection="0"/>
    <xf numFmtId="49" fontId="37" fillId="0" borderId="462">
      <alignment horizontal="right" wrapText="1"/>
    </xf>
    <xf numFmtId="0" fontId="34" fillId="56" borderId="471" applyNumberFormat="0" applyAlignment="0" applyProtection="0"/>
    <xf numFmtId="0" fontId="35" fillId="88" borderId="471" applyNumberFormat="0" applyAlignment="0" applyProtection="0"/>
    <xf numFmtId="0" fontId="20" fillId="0" borderId="470">
      <alignment horizontal="left" vertical="center"/>
    </xf>
    <xf numFmtId="10" fontId="42" fillId="52" borderId="469" applyNumberFormat="0" applyBorder="0" applyAlignment="0" applyProtection="0"/>
    <xf numFmtId="0" fontId="51" fillId="84" borderId="471" applyNumberFormat="0" applyAlignment="0" applyProtection="0"/>
    <xf numFmtId="0" fontId="51" fillId="84" borderId="471" applyNumberFormat="0" applyAlignment="0" applyProtection="0"/>
    <xf numFmtId="0" fontId="51" fillId="62" borderId="471" applyNumberFormat="0" applyAlignment="0" applyProtection="0"/>
    <xf numFmtId="0" fontId="24" fillId="75" borderId="468" applyNumberFormat="0" applyFont="0" applyAlignment="0" applyProtection="0"/>
    <xf numFmtId="0" fontId="27" fillId="95" borderId="468" applyNumberFormat="0" applyFont="0" applyAlignment="0" applyProtection="0"/>
    <xf numFmtId="0" fontId="27" fillId="95" borderId="468" applyNumberFormat="0" applyFont="0" applyAlignment="0" applyProtection="0"/>
    <xf numFmtId="0" fontId="56" fillId="88" borderId="706" applyNumberFormat="0" applyAlignment="0" applyProtection="0"/>
    <xf numFmtId="0" fontId="29" fillId="0" borderId="478" applyNumberFormat="0" applyFill="0" applyAlignment="0" applyProtection="0"/>
    <xf numFmtId="0" fontId="29" fillId="0" borderId="479" applyNumberFormat="0" applyFill="0" applyAlignment="0" applyProtection="0"/>
    <xf numFmtId="0" fontId="51" fillId="62" borderId="1291" applyNumberFormat="0" applyAlignment="0" applyProtection="0"/>
    <xf numFmtId="0" fontId="20" fillId="0" borderId="585">
      <alignment horizontal="left" vertical="center"/>
    </xf>
    <xf numFmtId="10" fontId="42" fillId="52" borderId="940" applyNumberFormat="0" applyBorder="0" applyAlignment="0" applyProtection="0"/>
    <xf numFmtId="0" fontId="20" fillId="0" borderId="1063">
      <alignment horizontal="left" vertical="center"/>
    </xf>
    <xf numFmtId="0" fontId="56" fillId="88" borderId="1252" applyNumberFormat="0" applyAlignment="0" applyProtection="0"/>
    <xf numFmtId="0" fontId="34" fillId="56" borderId="984" applyNumberFormat="0" applyAlignment="0" applyProtection="0"/>
    <xf numFmtId="49" fontId="37" fillId="0" borderId="474">
      <alignment horizontal="right" wrapText="1"/>
    </xf>
    <xf numFmtId="0" fontId="51" fillId="62" borderId="496" applyNumberFormat="0" applyAlignment="0" applyProtection="0"/>
    <xf numFmtId="0" fontId="51" fillId="84" borderId="496" applyNumberFormat="0" applyAlignment="0" applyProtection="0"/>
    <xf numFmtId="0" fontId="51" fillId="84" borderId="496" applyNumberFormat="0" applyAlignment="0" applyProtection="0"/>
    <xf numFmtId="10" fontId="42" fillId="52" borderId="493" applyNumberFormat="0" applyBorder="0" applyAlignment="0" applyProtection="0"/>
    <xf numFmtId="0" fontId="20" fillId="0" borderId="495">
      <alignment horizontal="left" vertical="center"/>
    </xf>
    <xf numFmtId="0" fontId="35" fillId="88" borderId="496" applyNumberFormat="0" applyAlignment="0" applyProtection="0"/>
    <xf numFmtId="0" fontId="34" fillId="56" borderId="496" applyNumberFormat="0" applyAlignment="0" applyProtection="0"/>
    <xf numFmtId="0" fontId="34" fillId="56" borderId="484" applyNumberFormat="0" applyAlignment="0" applyProtection="0"/>
    <xf numFmtId="0" fontId="35" fillId="88" borderId="484" applyNumberFormat="0" applyAlignment="0" applyProtection="0"/>
    <xf numFmtId="0" fontId="20" fillId="0" borderId="483">
      <alignment horizontal="left" vertical="center"/>
    </xf>
    <xf numFmtId="10" fontId="42" fillId="52" borderId="481" applyNumberFormat="0" applyBorder="0" applyAlignment="0" applyProtection="0"/>
    <xf numFmtId="0" fontId="51" fillId="84" borderId="484" applyNumberFormat="0" applyAlignment="0" applyProtection="0"/>
    <xf numFmtId="0" fontId="51" fillId="84" borderId="484" applyNumberFormat="0" applyAlignment="0" applyProtection="0"/>
    <xf numFmtId="0" fontId="51" fillId="62" borderId="484" applyNumberFormat="0" applyAlignment="0" applyProtection="0"/>
    <xf numFmtId="0" fontId="24" fillId="75" borderId="480" applyNumberFormat="0" applyFont="0" applyAlignment="0" applyProtection="0"/>
    <xf numFmtId="0" fontId="27" fillId="95" borderId="480" applyNumberFormat="0" applyFont="0" applyAlignment="0" applyProtection="0"/>
    <xf numFmtId="0" fontId="27" fillId="95" borderId="480" applyNumberFormat="0" applyFont="0" applyAlignment="0" applyProtection="0"/>
    <xf numFmtId="0" fontId="27" fillId="95" borderId="939" applyNumberFormat="0" applyFont="0" applyAlignment="0" applyProtection="0"/>
    <xf numFmtId="10" fontId="42" fillId="52" borderId="783" applyNumberFormat="0" applyBorder="0" applyAlignment="0" applyProtection="0"/>
    <xf numFmtId="49" fontId="37" fillId="0" borderId="482">
      <alignment horizontal="right" wrapText="1"/>
    </xf>
    <xf numFmtId="0" fontId="34" fillId="56" borderId="484" applyNumberFormat="0" applyAlignment="0" applyProtection="0"/>
    <xf numFmtId="0" fontId="35" fillId="88" borderId="484" applyNumberFormat="0" applyAlignment="0" applyProtection="0"/>
    <xf numFmtId="0" fontId="20" fillId="0" borderId="483">
      <alignment horizontal="left" vertical="center"/>
    </xf>
    <xf numFmtId="10" fontId="42" fillId="52" borderId="481" applyNumberFormat="0" applyBorder="0" applyAlignment="0" applyProtection="0"/>
    <xf numFmtId="0" fontId="51" fillId="84" borderId="484" applyNumberFormat="0" applyAlignment="0" applyProtection="0"/>
    <xf numFmtId="0" fontId="51" fillId="84" borderId="484" applyNumberFormat="0" applyAlignment="0" applyProtection="0"/>
    <xf numFmtId="0" fontId="51" fillId="62" borderId="484" applyNumberFormat="0" applyAlignment="0" applyProtection="0"/>
    <xf numFmtId="0" fontId="24" fillId="75" borderId="480" applyNumberFormat="0" applyFont="0" applyAlignment="0" applyProtection="0"/>
    <xf numFmtId="0" fontId="27" fillId="95" borderId="480" applyNumberFormat="0" applyFont="0" applyAlignment="0" applyProtection="0"/>
    <xf numFmtId="0" fontId="27" fillId="95" borderId="480" applyNumberFormat="0" applyFont="0" applyAlignment="0" applyProtection="0"/>
    <xf numFmtId="0" fontId="56" fillId="56" borderId="485" applyNumberFormat="0" applyAlignment="0" applyProtection="0"/>
    <xf numFmtId="0" fontId="56" fillId="88" borderId="485" applyNumberFormat="0" applyAlignment="0" applyProtection="0"/>
    <xf numFmtId="0" fontId="29" fillId="0" borderId="486" applyNumberFormat="0" applyFill="0" applyAlignment="0" applyProtection="0"/>
    <xf numFmtId="0" fontId="29" fillId="0" borderId="487" applyNumberFormat="0" applyFill="0" applyAlignment="0" applyProtection="0"/>
    <xf numFmtId="0" fontId="56" fillId="88" borderId="665" applyNumberFormat="0" applyAlignment="0" applyProtection="0"/>
    <xf numFmtId="49" fontId="37" fillId="0" borderId="482">
      <alignment horizontal="right" wrapText="1"/>
    </xf>
    <xf numFmtId="0" fontId="34" fillId="56" borderId="491" applyNumberFormat="0" applyAlignment="0" applyProtection="0"/>
    <xf numFmtId="0" fontId="35" fillId="88" borderId="491" applyNumberFormat="0" applyAlignment="0" applyProtection="0"/>
    <xf numFmtId="0" fontId="20" fillId="0" borderId="490">
      <alignment horizontal="left" vertical="center"/>
    </xf>
    <xf numFmtId="10" fontId="42" fillId="52" borderId="489" applyNumberFormat="0" applyBorder="0" applyAlignment="0" applyProtection="0"/>
    <xf numFmtId="0" fontId="51" fillId="84" borderId="491" applyNumberFormat="0" applyAlignment="0" applyProtection="0"/>
    <xf numFmtId="0" fontId="51" fillId="84" borderId="491" applyNumberFormat="0" applyAlignment="0" applyProtection="0"/>
    <xf numFmtId="0" fontId="51" fillId="62" borderId="491" applyNumberFormat="0" applyAlignment="0" applyProtection="0"/>
    <xf numFmtId="0" fontId="24" fillId="75" borderId="488" applyNumberFormat="0" applyFont="0" applyAlignment="0" applyProtection="0"/>
    <xf numFmtId="0" fontId="27" fillId="95" borderId="488" applyNumberFormat="0" applyFont="0" applyAlignment="0" applyProtection="0"/>
    <xf numFmtId="0" fontId="27" fillId="95" borderId="488" applyNumberFormat="0" applyFont="0" applyAlignment="0" applyProtection="0"/>
    <xf numFmtId="0" fontId="24" fillId="75" borderId="492" applyNumberFormat="0" applyFont="0" applyAlignment="0" applyProtection="0"/>
    <xf numFmtId="0" fontId="27" fillId="95" borderId="492" applyNumberFormat="0" applyFont="0" applyAlignment="0" applyProtection="0"/>
    <xf numFmtId="0" fontId="27" fillId="95" borderId="492" applyNumberFormat="0" applyFont="0" applyAlignment="0" applyProtection="0"/>
    <xf numFmtId="0" fontId="56" fillId="56" borderId="497" applyNumberFormat="0" applyAlignment="0" applyProtection="0"/>
    <xf numFmtId="0" fontId="56" fillId="88" borderId="497" applyNumberFormat="0" applyAlignment="0" applyProtection="0"/>
    <xf numFmtId="0" fontId="29" fillId="0" borderId="498" applyNumberFormat="0" applyFill="0" applyAlignment="0" applyProtection="0"/>
    <xf numFmtId="0" fontId="29" fillId="0" borderId="499" applyNumberFormat="0" applyFill="0" applyAlignment="0" applyProtection="0"/>
    <xf numFmtId="49" fontId="37" fillId="0" borderId="494">
      <alignment horizontal="right" wrapText="1"/>
    </xf>
    <xf numFmtId="0" fontId="34" fillId="56" borderId="504" applyNumberFormat="0" applyAlignment="0" applyProtection="0"/>
    <xf numFmtId="0" fontId="35" fillId="88" borderId="504" applyNumberFormat="0" applyAlignment="0" applyProtection="0"/>
    <xf numFmtId="0" fontId="20" fillId="0" borderId="503">
      <alignment horizontal="left" vertical="center"/>
    </xf>
    <xf numFmtId="10" fontId="42" fillId="52" borderId="501" applyNumberFormat="0" applyBorder="0" applyAlignment="0" applyProtection="0"/>
    <xf numFmtId="0" fontId="51" fillId="84" borderId="504" applyNumberFormat="0" applyAlignment="0" applyProtection="0"/>
    <xf numFmtId="0" fontId="51" fillId="84" borderId="504" applyNumberFormat="0" applyAlignment="0" applyProtection="0"/>
    <xf numFmtId="0" fontId="51" fillId="62" borderId="504" applyNumberFormat="0" applyAlignment="0" applyProtection="0"/>
    <xf numFmtId="0" fontId="24" fillId="75" borderId="500" applyNumberFormat="0" applyFont="0" applyAlignment="0" applyProtection="0"/>
    <xf numFmtId="0" fontId="27" fillId="95" borderId="500" applyNumberFormat="0" applyFont="0" applyAlignment="0" applyProtection="0"/>
    <xf numFmtId="0" fontId="27" fillId="95" borderId="500" applyNumberFormat="0" applyFont="0" applyAlignment="0" applyProtection="0"/>
    <xf numFmtId="0" fontId="56" fillId="56" borderId="505" applyNumberFormat="0" applyAlignment="0" applyProtection="0"/>
    <xf numFmtId="0" fontId="56" fillId="88" borderId="505" applyNumberFormat="0" applyAlignment="0" applyProtection="0"/>
    <xf numFmtId="0" fontId="29" fillId="0" borderId="506" applyNumberFormat="0" applyFill="0" applyAlignment="0" applyProtection="0"/>
    <xf numFmtId="0" fontId="29" fillId="0" borderId="507" applyNumberFormat="0" applyFill="0" applyAlignment="0" applyProtection="0"/>
    <xf numFmtId="49" fontId="37" fillId="0" borderId="502">
      <alignment horizontal="right" wrapText="1"/>
    </xf>
    <xf numFmtId="0" fontId="34" fillId="56" borderId="511" applyNumberFormat="0" applyAlignment="0" applyProtection="0"/>
    <xf numFmtId="0" fontId="35" fillId="88" borderId="511" applyNumberFormat="0" applyAlignment="0" applyProtection="0"/>
    <xf numFmtId="0" fontId="20" fillId="0" borderId="510">
      <alignment horizontal="left" vertical="center"/>
    </xf>
    <xf numFmtId="10" fontId="42" fillId="52" borderId="509" applyNumberFormat="0" applyBorder="0" applyAlignment="0" applyProtection="0"/>
    <xf numFmtId="0" fontId="51" fillId="84" borderId="511" applyNumberFormat="0" applyAlignment="0" applyProtection="0"/>
    <xf numFmtId="0" fontId="51" fillId="84" borderId="511" applyNumberFormat="0" applyAlignment="0" applyProtection="0"/>
    <xf numFmtId="0" fontId="51" fillId="62" borderId="511" applyNumberFormat="0" applyAlignment="0" applyProtection="0"/>
    <xf numFmtId="0" fontId="24" fillId="75" borderId="508" applyNumberFormat="0" applyFont="0" applyAlignment="0" applyProtection="0"/>
    <xf numFmtId="0" fontId="27" fillId="95" borderId="508" applyNumberFormat="0" applyFont="0" applyAlignment="0" applyProtection="0"/>
    <xf numFmtId="0" fontId="27" fillId="95" borderId="508" applyNumberFormat="0" applyFont="0" applyAlignment="0" applyProtection="0"/>
    <xf numFmtId="0" fontId="51" fillId="84" borderId="705" applyNumberFormat="0" applyAlignment="0" applyProtection="0"/>
    <xf numFmtId="0" fontId="34" fillId="56" borderId="786" applyNumberFormat="0" applyAlignment="0" applyProtection="0"/>
    <xf numFmtId="0" fontId="29" fillId="0" borderId="519" applyNumberFormat="0" applyFill="0" applyAlignment="0" applyProtection="0"/>
    <xf numFmtId="0" fontId="29" fillId="0" borderId="520" applyNumberFormat="0" applyFill="0" applyAlignment="0" applyProtection="0"/>
    <xf numFmtId="0" fontId="35" fillId="88" borderId="745" applyNumberFormat="0" applyAlignment="0" applyProtection="0"/>
    <xf numFmtId="0" fontId="51" fillId="62" borderId="705" applyNumberFormat="0" applyAlignment="0" applyProtection="0"/>
    <xf numFmtId="0" fontId="51" fillId="62" borderId="1171" applyNumberFormat="0" applyAlignment="0" applyProtection="0"/>
    <xf numFmtId="0" fontId="35" fillId="88" borderId="867" applyNumberFormat="0" applyAlignment="0" applyProtection="0"/>
    <xf numFmtId="0" fontId="56" fillId="56" borderId="1292" applyNumberFormat="0" applyAlignment="0" applyProtection="0"/>
    <xf numFmtId="49" fontId="37" fillId="0" borderId="515">
      <alignment horizontal="right" wrapText="1"/>
    </xf>
    <xf numFmtId="0" fontId="51" fillId="62" borderId="529" applyNumberFormat="0" applyAlignment="0" applyProtection="0"/>
    <xf numFmtId="0" fontId="51" fillId="84" borderId="529" applyNumberFormat="0" applyAlignment="0" applyProtection="0"/>
    <xf numFmtId="0" fontId="51" fillId="84" borderId="529" applyNumberFormat="0" applyAlignment="0" applyProtection="0"/>
    <xf numFmtId="10" fontId="42" fillId="52" borderId="526" applyNumberFormat="0" applyBorder="0" applyAlignment="0" applyProtection="0"/>
    <xf numFmtId="0" fontId="20" fillId="0" borderId="528">
      <alignment horizontal="left" vertical="center"/>
    </xf>
    <xf numFmtId="0" fontId="35" fillId="88" borderId="529" applyNumberFormat="0" applyAlignment="0" applyProtection="0"/>
    <xf numFmtId="0" fontId="34" fillId="56" borderId="529" applyNumberFormat="0" applyAlignment="0" applyProtection="0"/>
    <xf numFmtId="0" fontId="34" fillId="56" borderId="517" applyNumberFormat="0" applyAlignment="0" applyProtection="0"/>
    <xf numFmtId="0" fontId="35" fillId="88" borderId="517" applyNumberFormat="0" applyAlignment="0" applyProtection="0"/>
    <xf numFmtId="0" fontId="20" fillId="0" borderId="516">
      <alignment horizontal="left" vertical="center"/>
    </xf>
    <xf numFmtId="10" fontId="42" fillId="52" borderId="514" applyNumberFormat="0" applyBorder="0" applyAlignment="0" applyProtection="0"/>
    <xf numFmtId="0" fontId="51" fillId="84" borderId="517" applyNumberFormat="0" applyAlignment="0" applyProtection="0"/>
    <xf numFmtId="0" fontId="51" fillId="84" borderId="517" applyNumberFormat="0" applyAlignment="0" applyProtection="0"/>
    <xf numFmtId="0" fontId="51" fillId="62" borderId="517" applyNumberFormat="0" applyAlignment="0" applyProtection="0"/>
    <xf numFmtId="0" fontId="24" fillId="75" borderId="513" applyNumberFormat="0" applyFont="0" applyAlignment="0" applyProtection="0"/>
    <xf numFmtId="0" fontId="27" fillId="95" borderId="513" applyNumberFormat="0" applyFont="0" applyAlignment="0" applyProtection="0"/>
    <xf numFmtId="0" fontId="27" fillId="95" borderId="513" applyNumberFormat="0" applyFont="0" applyAlignment="0" applyProtection="0"/>
    <xf numFmtId="10" fontId="42" fillId="52" borderId="702" applyNumberFormat="0" applyBorder="0" applyAlignment="0" applyProtection="0"/>
    <xf numFmtId="0" fontId="51" fillId="62" borderId="1024" applyNumberFormat="0" applyAlignment="0" applyProtection="0"/>
    <xf numFmtId="0" fontId="51" fillId="84" borderId="745" applyNumberFormat="0" applyAlignment="0" applyProtection="0"/>
    <xf numFmtId="49" fontId="37" fillId="0" borderId="515">
      <alignment horizontal="right" wrapText="1"/>
    </xf>
    <xf numFmtId="0" fontId="34" fillId="56" borderId="517" applyNumberFormat="0" applyAlignment="0" applyProtection="0"/>
    <xf numFmtId="0" fontId="35" fillId="88" borderId="517" applyNumberFormat="0" applyAlignment="0" applyProtection="0"/>
    <xf numFmtId="0" fontId="20" fillId="0" borderId="516">
      <alignment horizontal="left" vertical="center"/>
    </xf>
    <xf numFmtId="10" fontId="42" fillId="52" borderId="514" applyNumberFormat="0" applyBorder="0" applyAlignment="0" applyProtection="0"/>
    <xf numFmtId="0" fontId="51" fillId="84" borderId="517" applyNumberFormat="0" applyAlignment="0" applyProtection="0"/>
    <xf numFmtId="0" fontId="51" fillId="84" borderId="517" applyNumberFormat="0" applyAlignment="0" applyProtection="0"/>
    <xf numFmtId="0" fontId="51" fillId="62" borderId="517" applyNumberFormat="0" applyAlignment="0" applyProtection="0"/>
    <xf numFmtId="0" fontId="24" fillId="75" borderId="513" applyNumberFormat="0" applyFont="0" applyAlignment="0" applyProtection="0"/>
    <xf numFmtId="0" fontId="27" fillId="95" borderId="513" applyNumberFormat="0" applyFont="0" applyAlignment="0" applyProtection="0"/>
    <xf numFmtId="0" fontId="27" fillId="95" borderId="513" applyNumberFormat="0" applyFont="0" applyAlignment="0" applyProtection="0"/>
    <xf numFmtId="0" fontId="56" fillId="56" borderId="518" applyNumberFormat="0" applyAlignment="0" applyProtection="0"/>
    <xf numFmtId="0" fontId="56" fillId="88" borderId="518" applyNumberFormat="0" applyAlignment="0" applyProtection="0"/>
    <xf numFmtId="0" fontId="29" fillId="0" borderId="519" applyNumberFormat="0" applyFill="0" applyAlignment="0" applyProtection="0"/>
    <xf numFmtId="0" fontId="29" fillId="0" borderId="520" applyNumberFormat="0" applyFill="0" applyAlignment="0" applyProtection="0"/>
    <xf numFmtId="0" fontId="56" fillId="88" borderId="1292" applyNumberFormat="0" applyAlignment="0" applyProtection="0"/>
    <xf numFmtId="49" fontId="37" fillId="0" borderId="515">
      <alignment horizontal="right" wrapText="1"/>
    </xf>
    <xf numFmtId="0" fontId="34" fillId="56" borderId="524" applyNumberFormat="0" applyAlignment="0" applyProtection="0"/>
    <xf numFmtId="0" fontId="35" fillId="88" borderId="524" applyNumberFormat="0" applyAlignment="0" applyProtection="0"/>
    <xf numFmtId="0" fontId="20" fillId="0" borderId="523">
      <alignment horizontal="left" vertical="center"/>
    </xf>
    <xf numFmtId="10" fontId="42" fillId="52" borderId="522" applyNumberFormat="0" applyBorder="0" applyAlignment="0" applyProtection="0"/>
    <xf numFmtId="0" fontId="51" fillId="84" borderId="524" applyNumberFormat="0" applyAlignment="0" applyProtection="0"/>
    <xf numFmtId="0" fontId="51" fillId="84" borderId="524" applyNumberFormat="0" applyAlignment="0" applyProtection="0"/>
    <xf numFmtId="0" fontId="51" fillId="62" borderId="524" applyNumberFormat="0" applyAlignment="0" applyProtection="0"/>
    <xf numFmtId="0" fontId="24" fillId="75" borderId="521" applyNumberFormat="0" applyFont="0" applyAlignment="0" applyProtection="0"/>
    <xf numFmtId="0" fontId="27" fillId="95" borderId="521" applyNumberFormat="0" applyFont="0" applyAlignment="0" applyProtection="0"/>
    <xf numFmtId="0" fontId="27" fillId="95" borderId="521" applyNumberFormat="0" applyFont="0" applyAlignment="0" applyProtection="0"/>
    <xf numFmtId="0" fontId="24" fillId="75" borderId="525" applyNumberFormat="0" applyFont="0" applyAlignment="0" applyProtection="0"/>
    <xf numFmtId="0" fontId="27" fillId="95" borderId="525" applyNumberFormat="0" applyFont="0" applyAlignment="0" applyProtection="0"/>
    <xf numFmtId="0" fontId="27" fillId="95" borderId="525" applyNumberFormat="0" applyFont="0" applyAlignment="0" applyProtection="0"/>
    <xf numFmtId="0" fontId="56" fillId="56" borderId="530" applyNumberFormat="0" applyAlignment="0" applyProtection="0"/>
    <xf numFmtId="0" fontId="56" fillId="88" borderId="530" applyNumberFormat="0" applyAlignment="0" applyProtection="0"/>
    <xf numFmtId="0" fontId="29" fillId="0" borderId="531" applyNumberFormat="0" applyFill="0" applyAlignment="0" applyProtection="0"/>
    <xf numFmtId="0" fontId="29" fillId="0" borderId="532" applyNumberFormat="0" applyFill="0" applyAlignment="0" applyProtection="0"/>
    <xf numFmtId="49" fontId="37" fillId="0" borderId="527">
      <alignment horizontal="right" wrapText="1"/>
    </xf>
    <xf numFmtId="0" fontId="34" fillId="56" borderId="537" applyNumberFormat="0" applyAlignment="0" applyProtection="0"/>
    <xf numFmtId="0" fontId="35" fillId="88" borderId="537" applyNumberFormat="0" applyAlignment="0" applyProtection="0"/>
    <xf numFmtId="0" fontId="20" fillId="0" borderId="536">
      <alignment horizontal="left" vertical="center"/>
    </xf>
    <xf numFmtId="10" fontId="42" fillId="52" borderId="534" applyNumberFormat="0" applyBorder="0" applyAlignment="0" applyProtection="0"/>
    <xf numFmtId="0" fontId="51" fillId="84" borderId="537" applyNumberFormat="0" applyAlignment="0" applyProtection="0"/>
    <xf numFmtId="0" fontId="51" fillId="84" borderId="537" applyNumberFormat="0" applyAlignment="0" applyProtection="0"/>
    <xf numFmtId="0" fontId="51" fillId="62" borderId="537" applyNumberFormat="0" applyAlignment="0" applyProtection="0"/>
    <xf numFmtId="0" fontId="24" fillId="75" borderId="533" applyNumberFormat="0" applyFont="0" applyAlignment="0" applyProtection="0"/>
    <xf numFmtId="0" fontId="27" fillId="95" borderId="533" applyNumberFormat="0" applyFont="0" applyAlignment="0" applyProtection="0"/>
    <xf numFmtId="0" fontId="27" fillId="95" borderId="533" applyNumberFormat="0" applyFont="0" applyAlignment="0" applyProtection="0"/>
    <xf numFmtId="0" fontId="56" fillId="56" borderId="538" applyNumberFormat="0" applyAlignment="0" applyProtection="0"/>
    <xf numFmtId="0" fontId="56" fillId="88" borderId="538" applyNumberFormat="0" applyAlignment="0" applyProtection="0"/>
    <xf numFmtId="0" fontId="29" fillId="0" borderId="539" applyNumberFormat="0" applyFill="0" applyAlignment="0" applyProtection="0"/>
    <xf numFmtId="0" fontId="29" fillId="0" borderId="540" applyNumberFormat="0" applyFill="0" applyAlignment="0" applyProtection="0"/>
    <xf numFmtId="49" fontId="37" fillId="0" borderId="535">
      <alignment horizontal="right" wrapText="1"/>
    </xf>
    <xf numFmtId="0" fontId="34" fillId="56" borderId="544" applyNumberFormat="0" applyAlignment="0" applyProtection="0"/>
    <xf numFmtId="0" fontId="35" fillId="88" borderId="544" applyNumberFormat="0" applyAlignment="0" applyProtection="0"/>
    <xf numFmtId="0" fontId="20" fillId="0" borderId="543">
      <alignment horizontal="left" vertical="center"/>
    </xf>
    <xf numFmtId="10" fontId="42" fillId="52" borderId="542" applyNumberFormat="0" applyBorder="0" applyAlignment="0" applyProtection="0"/>
    <xf numFmtId="0" fontId="51" fillId="84" borderId="544" applyNumberFormat="0" applyAlignment="0" applyProtection="0"/>
    <xf numFmtId="0" fontId="51" fillId="84" borderId="544" applyNumberFormat="0" applyAlignment="0" applyProtection="0"/>
    <xf numFmtId="0" fontId="51" fillId="62" borderId="544" applyNumberFormat="0" applyAlignment="0" applyProtection="0"/>
    <xf numFmtId="0" fontId="24" fillId="75" borderId="541" applyNumberFormat="0" applyFont="0" applyAlignment="0" applyProtection="0"/>
    <xf numFmtId="0" fontId="27" fillId="95" borderId="541" applyNumberFormat="0" applyFont="0" applyAlignment="0" applyProtection="0"/>
    <xf numFmtId="0" fontId="27" fillId="95" borderId="541" applyNumberFormat="0" applyFont="0" applyAlignment="0" applyProtection="0"/>
    <xf numFmtId="0" fontId="51" fillId="84" borderId="664" applyNumberFormat="0" applyAlignment="0" applyProtection="0"/>
    <xf numFmtId="0" fontId="51" fillId="84" borderId="867" applyNumberFormat="0" applyAlignment="0" applyProtection="0"/>
    <xf numFmtId="0" fontId="56" fillId="88" borderId="828" applyNumberFormat="0" applyAlignment="0" applyProtection="0"/>
    <xf numFmtId="0" fontId="27" fillId="95" borderId="899" applyNumberFormat="0" applyFont="0" applyAlignment="0" applyProtection="0"/>
    <xf numFmtId="0" fontId="27" fillId="95" borderId="823" applyNumberFormat="0" applyFont="0" applyAlignment="0" applyProtection="0"/>
    <xf numFmtId="0" fontId="24" fillId="75" borderId="782" applyNumberFormat="0" applyFont="0" applyAlignment="0" applyProtection="0"/>
    <xf numFmtId="0" fontId="51" fillId="84" borderId="827" applyNumberFormat="0" applyAlignment="0" applyProtection="0"/>
    <xf numFmtId="0" fontId="35" fillId="88" borderId="1024" applyNumberFormat="0" applyAlignment="0" applyProtection="0"/>
    <xf numFmtId="0" fontId="29" fillId="0" borderId="906" applyNumberFormat="0" applyFill="0" applyAlignment="0" applyProtection="0"/>
    <xf numFmtId="0" fontId="51" fillId="84" borderId="705" applyNumberFormat="0" applyAlignment="0" applyProtection="0"/>
    <xf numFmtId="0" fontId="24" fillId="75" borderId="701" applyNumberFormat="0" applyFont="0" applyAlignment="0" applyProtection="0"/>
    <xf numFmtId="49" fontId="37" fillId="0" borderId="547">
      <alignment horizontal="right" wrapText="1"/>
    </xf>
    <xf numFmtId="0" fontId="51" fillId="62" borderId="565" applyNumberFormat="0" applyAlignment="0" applyProtection="0"/>
    <xf numFmtId="0" fontId="51" fillId="84" borderId="565" applyNumberFormat="0" applyAlignment="0" applyProtection="0"/>
    <xf numFmtId="0" fontId="51" fillId="84" borderId="565" applyNumberFormat="0" applyAlignment="0" applyProtection="0"/>
    <xf numFmtId="10" fontId="42" fillId="52" borderId="562" applyNumberFormat="0" applyBorder="0" applyAlignment="0" applyProtection="0"/>
    <xf numFmtId="0" fontId="20" fillId="0" borderId="564">
      <alignment horizontal="left" vertical="center"/>
    </xf>
    <xf numFmtId="0" fontId="35" fillId="88" borderId="565" applyNumberFormat="0" applyAlignment="0" applyProtection="0"/>
    <xf numFmtId="0" fontId="34" fillId="56" borderId="565" applyNumberFormat="0" applyAlignment="0" applyProtection="0"/>
    <xf numFmtId="0" fontId="34" fillId="56" borderId="553" applyNumberFormat="0" applyAlignment="0" applyProtection="0"/>
    <xf numFmtId="0" fontId="35" fillId="88" borderId="553" applyNumberFormat="0" applyAlignment="0" applyProtection="0"/>
    <xf numFmtId="0" fontId="20" fillId="0" borderId="552">
      <alignment horizontal="left" vertical="center"/>
    </xf>
    <xf numFmtId="10" fontId="42" fillId="52" borderId="550" applyNumberFormat="0" applyBorder="0" applyAlignment="0" applyProtection="0"/>
    <xf numFmtId="0" fontId="51" fillId="84" borderId="553" applyNumberFormat="0" applyAlignment="0" applyProtection="0"/>
    <xf numFmtId="0" fontId="51" fillId="84" borderId="553" applyNumberFormat="0" applyAlignment="0" applyProtection="0"/>
    <xf numFmtId="0" fontId="51" fillId="62" borderId="553" applyNumberFormat="0" applyAlignment="0" applyProtection="0"/>
    <xf numFmtId="0" fontId="24" fillId="75" borderId="545" applyNumberFormat="0" applyFont="0" applyAlignment="0" applyProtection="0"/>
    <xf numFmtId="0" fontId="27" fillId="95" borderId="545" applyNumberFormat="0" applyFont="0" applyAlignment="0" applyProtection="0"/>
    <xf numFmtId="0" fontId="27" fillId="95" borderId="545" applyNumberFormat="0" applyFont="0" applyAlignment="0" applyProtection="0"/>
    <xf numFmtId="0" fontId="27" fillId="95" borderId="939" applyNumberFormat="0" applyFont="0" applyAlignment="0" applyProtection="0"/>
    <xf numFmtId="0" fontId="51" fillId="84" borderId="786" applyNumberFormat="0" applyAlignment="0" applyProtection="0"/>
    <xf numFmtId="49" fontId="37" fillId="0" borderId="551">
      <alignment horizontal="right" wrapText="1"/>
    </xf>
    <xf numFmtId="0" fontId="34" fillId="56" borderId="553" applyNumberFormat="0" applyAlignment="0" applyProtection="0"/>
    <xf numFmtId="0" fontId="35" fillId="88" borderId="553" applyNumberFormat="0" applyAlignment="0" applyProtection="0"/>
    <xf numFmtId="0" fontId="20" fillId="0" borderId="552">
      <alignment horizontal="left" vertical="center"/>
    </xf>
    <xf numFmtId="10" fontId="42" fillId="52" borderId="550" applyNumberFormat="0" applyBorder="0" applyAlignment="0" applyProtection="0"/>
    <xf numFmtId="0" fontId="51" fillId="84" borderId="553" applyNumberFormat="0" applyAlignment="0" applyProtection="0"/>
    <xf numFmtId="0" fontId="51" fillId="84" borderId="553" applyNumberFormat="0" applyAlignment="0" applyProtection="0"/>
    <xf numFmtId="0" fontId="51" fillId="62" borderId="553" applyNumberFormat="0" applyAlignment="0" applyProtection="0"/>
    <xf numFmtId="0" fontId="24" fillId="75" borderId="545" applyNumberFormat="0" applyFont="0" applyAlignment="0" applyProtection="0"/>
    <xf numFmtId="0" fontId="27" fillId="95" borderId="545" applyNumberFormat="0" applyFont="0" applyAlignment="0" applyProtection="0"/>
    <xf numFmtId="0" fontId="27" fillId="95" borderId="545" applyNumberFormat="0" applyFont="0" applyAlignment="0" applyProtection="0"/>
    <xf numFmtId="0" fontId="56" fillId="56" borderId="554" applyNumberFormat="0" applyAlignment="0" applyProtection="0"/>
    <xf numFmtId="0" fontId="56" fillId="88" borderId="554" applyNumberFormat="0" applyAlignment="0" applyProtection="0"/>
    <xf numFmtId="0" fontId="29" fillId="0" borderId="555" applyNumberFormat="0" applyFill="0" applyAlignment="0" applyProtection="0"/>
    <xf numFmtId="0" fontId="29" fillId="0" borderId="556" applyNumberFormat="0" applyFill="0" applyAlignment="0" applyProtection="0"/>
    <xf numFmtId="49" fontId="37" fillId="0" borderId="551">
      <alignment horizontal="right" wrapText="1"/>
    </xf>
    <xf numFmtId="0" fontId="34" fillId="56" borderId="560" applyNumberFormat="0" applyAlignment="0" applyProtection="0"/>
    <xf numFmtId="0" fontId="35" fillId="88" borderId="560" applyNumberFormat="0" applyAlignment="0" applyProtection="0"/>
    <xf numFmtId="0" fontId="20" fillId="0" borderId="559">
      <alignment horizontal="left" vertical="center"/>
    </xf>
    <xf numFmtId="10" fontId="42" fillId="52" borderId="558" applyNumberFormat="0" applyBorder="0" applyAlignment="0" applyProtection="0"/>
    <xf numFmtId="0" fontId="51" fillId="84" borderId="560" applyNumberFormat="0" applyAlignment="0" applyProtection="0"/>
    <xf numFmtId="0" fontId="51" fillId="84" borderId="560" applyNumberFormat="0" applyAlignment="0" applyProtection="0"/>
    <xf numFmtId="0" fontId="51" fillId="62" borderId="560" applyNumberFormat="0" applyAlignment="0" applyProtection="0"/>
    <xf numFmtId="0" fontId="24" fillId="75" borderId="557" applyNumberFormat="0" applyFont="0" applyAlignment="0" applyProtection="0"/>
    <xf numFmtId="0" fontId="27" fillId="95" borderId="557" applyNumberFormat="0" applyFont="0" applyAlignment="0" applyProtection="0"/>
    <xf numFmtId="0" fontId="27" fillId="95" borderId="557" applyNumberFormat="0" applyFont="0" applyAlignment="0" applyProtection="0"/>
    <xf numFmtId="0" fontId="24" fillId="75" borderId="561" applyNumberFormat="0" applyFont="0" applyAlignment="0" applyProtection="0"/>
    <xf numFmtId="0" fontId="27" fillId="95" borderId="561" applyNumberFormat="0" applyFont="0" applyAlignment="0" applyProtection="0"/>
    <xf numFmtId="0" fontId="27" fillId="95" borderId="561" applyNumberFormat="0" applyFont="0" applyAlignment="0" applyProtection="0"/>
    <xf numFmtId="0" fontId="56" fillId="56" borderId="566" applyNumberFormat="0" applyAlignment="0" applyProtection="0"/>
    <xf numFmtId="0" fontId="56" fillId="88" borderId="566" applyNumberFormat="0" applyAlignment="0" applyProtection="0"/>
    <xf numFmtId="0" fontId="29" fillId="0" borderId="567" applyNumberFormat="0" applyFill="0" applyAlignment="0" applyProtection="0"/>
    <xf numFmtId="0" fontId="29" fillId="0" borderId="568" applyNumberFormat="0" applyFill="0" applyAlignment="0" applyProtection="0"/>
    <xf numFmtId="49" fontId="37" fillId="0" borderId="563">
      <alignment horizontal="right" wrapText="1"/>
    </xf>
    <xf numFmtId="0" fontId="34" fillId="56" borderId="573" applyNumberFormat="0" applyAlignment="0" applyProtection="0"/>
    <xf numFmtId="0" fontId="35" fillId="88" borderId="573" applyNumberFormat="0" applyAlignment="0" applyProtection="0"/>
    <xf numFmtId="0" fontId="20" fillId="0" borderId="572">
      <alignment horizontal="left" vertical="center"/>
    </xf>
    <xf numFmtId="10" fontId="42" fillId="52" borderId="570" applyNumberFormat="0" applyBorder="0" applyAlignment="0" applyProtection="0"/>
    <xf numFmtId="0" fontId="51" fillId="84" borderId="573" applyNumberFormat="0" applyAlignment="0" applyProtection="0"/>
    <xf numFmtId="0" fontId="51" fillId="84" borderId="573" applyNumberFormat="0" applyAlignment="0" applyProtection="0"/>
    <xf numFmtId="0" fontId="51" fillId="62" borderId="573" applyNumberFormat="0" applyAlignment="0" applyProtection="0"/>
    <xf numFmtId="0" fontId="24" fillId="75" borderId="569" applyNumberFormat="0" applyFont="0" applyAlignment="0" applyProtection="0"/>
    <xf numFmtId="0" fontId="27" fillId="95" borderId="569" applyNumberFormat="0" applyFont="0" applyAlignment="0" applyProtection="0"/>
    <xf numFmtId="0" fontId="27" fillId="95" borderId="569" applyNumberFormat="0" applyFont="0" applyAlignment="0" applyProtection="0"/>
    <xf numFmtId="0" fontId="56" fillId="56" borderId="574" applyNumberFormat="0" applyAlignment="0" applyProtection="0"/>
    <xf numFmtId="0" fontId="56" fillId="88" borderId="574" applyNumberFormat="0" applyAlignment="0" applyProtection="0"/>
    <xf numFmtId="0" fontId="29" fillId="0" borderId="575" applyNumberFormat="0" applyFill="0" applyAlignment="0" applyProtection="0"/>
    <xf numFmtId="0" fontId="29" fillId="0" borderId="576" applyNumberFormat="0" applyFill="0" applyAlignment="0" applyProtection="0"/>
    <xf numFmtId="49" fontId="37" fillId="0" borderId="571">
      <alignment horizontal="right" wrapText="1"/>
    </xf>
    <xf numFmtId="0" fontId="34" fillId="56" borderId="580" applyNumberFormat="0" applyAlignment="0" applyProtection="0"/>
    <xf numFmtId="0" fontId="35" fillId="88" borderId="580" applyNumberFormat="0" applyAlignment="0" applyProtection="0"/>
    <xf numFmtId="0" fontId="20" fillId="0" borderId="579">
      <alignment horizontal="left" vertical="center"/>
    </xf>
    <xf numFmtId="10" fontId="42" fillId="52" borderId="578" applyNumberFormat="0" applyBorder="0" applyAlignment="0" applyProtection="0"/>
    <xf numFmtId="0" fontId="51" fillId="84" borderId="580" applyNumberFormat="0" applyAlignment="0" applyProtection="0"/>
    <xf numFmtId="0" fontId="51" fillId="84" borderId="580" applyNumberFormat="0" applyAlignment="0" applyProtection="0"/>
    <xf numFmtId="0" fontId="51" fillId="62" borderId="580" applyNumberFormat="0" applyAlignment="0" applyProtection="0"/>
    <xf numFmtId="0" fontId="24" fillId="75" borderId="577" applyNumberFormat="0" applyFont="0" applyAlignment="0" applyProtection="0"/>
    <xf numFmtId="0" fontId="27" fillId="95" borderId="577" applyNumberFormat="0" applyFont="0" applyAlignment="0" applyProtection="0"/>
    <xf numFmtId="0" fontId="27" fillId="95" borderId="577" applyNumberFormat="0" applyFont="0" applyAlignment="0" applyProtection="0"/>
    <xf numFmtId="0" fontId="27" fillId="95" borderId="782" applyNumberFormat="0" applyFont="0" applyAlignment="0" applyProtection="0"/>
    <xf numFmtId="0" fontId="20" fillId="0" borderId="1095">
      <alignment horizontal="left" vertical="center"/>
    </xf>
    <xf numFmtId="0" fontId="34" fillId="56" borderId="1211" applyNumberFormat="0" applyAlignment="0" applyProtection="0"/>
    <xf numFmtId="0" fontId="27" fillId="95" borderId="741" applyNumberFormat="0" applyFont="0" applyAlignment="0" applyProtection="0"/>
    <xf numFmtId="49" fontId="37" fillId="0" borderId="584">
      <alignment horizontal="right" wrapText="1"/>
    </xf>
    <xf numFmtId="0" fontId="51" fillId="62" borderId="606" applyNumberFormat="0" applyAlignment="0" applyProtection="0"/>
    <xf numFmtId="0" fontId="51" fillId="84" borderId="606" applyNumberFormat="0" applyAlignment="0" applyProtection="0"/>
    <xf numFmtId="0" fontId="51" fillId="84" borderId="606" applyNumberFormat="0" applyAlignment="0" applyProtection="0"/>
    <xf numFmtId="10" fontId="42" fillId="52" borderId="603" applyNumberFormat="0" applyBorder="0" applyAlignment="0" applyProtection="0"/>
    <xf numFmtId="0" fontId="20" fillId="0" borderId="605">
      <alignment horizontal="left" vertical="center"/>
    </xf>
    <xf numFmtId="0" fontId="35" fillId="88" borderId="606" applyNumberFormat="0" applyAlignment="0" applyProtection="0"/>
    <xf numFmtId="0" fontId="34" fillId="56" borderId="606" applyNumberFormat="0" applyAlignment="0" applyProtection="0"/>
    <xf numFmtId="0" fontId="34" fillId="56" borderId="594" applyNumberFormat="0" applyAlignment="0" applyProtection="0"/>
    <xf numFmtId="0" fontId="35" fillId="88" borderId="594" applyNumberFormat="0" applyAlignment="0" applyProtection="0"/>
    <xf numFmtId="0" fontId="20" fillId="0" borderId="593">
      <alignment horizontal="left" vertical="center"/>
    </xf>
    <xf numFmtId="10" fontId="42" fillId="52" borderId="591" applyNumberFormat="0" applyBorder="0" applyAlignment="0" applyProtection="0"/>
    <xf numFmtId="0" fontId="51" fillId="84" borderId="594" applyNumberFormat="0" applyAlignment="0" applyProtection="0"/>
    <xf numFmtId="0" fontId="51" fillId="84" borderId="594" applyNumberFormat="0" applyAlignment="0" applyProtection="0"/>
    <xf numFmtId="0" fontId="51" fillId="62" borderId="594" applyNumberFormat="0" applyAlignment="0" applyProtection="0"/>
    <xf numFmtId="0" fontId="24" fillId="75" borderId="590" applyNumberFormat="0" applyFont="0" applyAlignment="0" applyProtection="0"/>
    <xf numFmtId="0" fontId="27" fillId="95" borderId="590" applyNumberFormat="0" applyFont="0" applyAlignment="0" applyProtection="0"/>
    <xf numFmtId="0" fontId="27" fillId="95" borderId="590" applyNumberFormat="0" applyFont="0" applyAlignment="0" applyProtection="0"/>
    <xf numFmtId="0" fontId="20" fillId="0" borderId="704">
      <alignment horizontal="left" vertical="center"/>
    </xf>
    <xf numFmtId="10" fontId="42" fillId="52" borderId="1168" applyNumberFormat="0" applyBorder="0" applyAlignment="0" applyProtection="0"/>
    <xf numFmtId="49" fontId="37" fillId="0" borderId="592">
      <alignment horizontal="right" wrapText="1"/>
    </xf>
    <xf numFmtId="0" fontId="34" fillId="56" borderId="594" applyNumberFormat="0" applyAlignment="0" applyProtection="0"/>
    <xf numFmtId="0" fontId="35" fillId="88" borderId="594" applyNumberFormat="0" applyAlignment="0" applyProtection="0"/>
    <xf numFmtId="0" fontId="20" fillId="0" borderId="593">
      <alignment horizontal="left" vertical="center"/>
    </xf>
    <xf numFmtId="10" fontId="42" fillId="52" borderId="591" applyNumberFormat="0" applyBorder="0" applyAlignment="0" applyProtection="0"/>
    <xf numFmtId="0" fontId="51" fillId="84" borderId="594" applyNumberFormat="0" applyAlignment="0" applyProtection="0"/>
    <xf numFmtId="0" fontId="51" fillId="84" borderId="594" applyNumberFormat="0" applyAlignment="0" applyProtection="0"/>
    <xf numFmtId="0" fontId="51" fillId="62" borderId="594" applyNumberFormat="0" applyAlignment="0" applyProtection="0"/>
    <xf numFmtId="0" fontId="24" fillId="75" borderId="590" applyNumberFormat="0" applyFont="0" applyAlignment="0" applyProtection="0"/>
    <xf numFmtId="0" fontId="27" fillId="95" borderId="590" applyNumberFormat="0" applyFont="0" applyAlignment="0" applyProtection="0"/>
    <xf numFmtId="0" fontId="27" fillId="95" borderId="590" applyNumberFormat="0" applyFont="0" applyAlignment="0" applyProtection="0"/>
    <xf numFmtId="0" fontId="56" fillId="56" borderId="595" applyNumberFormat="0" applyAlignment="0" applyProtection="0"/>
    <xf numFmtId="0" fontId="56" fillId="88" borderId="595" applyNumberFormat="0" applyAlignment="0" applyProtection="0"/>
    <xf numFmtId="0" fontId="29" fillId="0" borderId="596" applyNumberFormat="0" applyFill="0" applyAlignment="0" applyProtection="0"/>
    <xf numFmtId="0" fontId="29" fillId="0" borderId="597" applyNumberFormat="0" applyFill="0" applyAlignment="0" applyProtection="0"/>
    <xf numFmtId="49" fontId="37" fillId="0" borderId="592">
      <alignment horizontal="right" wrapText="1"/>
    </xf>
    <xf numFmtId="0" fontId="34" fillId="56" borderId="601" applyNumberFormat="0" applyAlignment="0" applyProtection="0"/>
    <xf numFmtId="0" fontId="35" fillId="88" borderId="601" applyNumberFormat="0" applyAlignment="0" applyProtection="0"/>
    <xf numFmtId="0" fontId="20" fillId="0" borderId="600">
      <alignment horizontal="left" vertical="center"/>
    </xf>
    <xf numFmtId="10" fontId="42" fillId="52" borderId="599" applyNumberFormat="0" applyBorder="0" applyAlignment="0" applyProtection="0"/>
    <xf numFmtId="0" fontId="51" fillId="84" borderId="601" applyNumberFormat="0" applyAlignment="0" applyProtection="0"/>
    <xf numFmtId="0" fontId="51" fillId="84" borderId="601" applyNumberFormat="0" applyAlignment="0" applyProtection="0"/>
    <xf numFmtId="0" fontId="51" fillId="62" borderId="601" applyNumberFormat="0" applyAlignment="0" applyProtection="0"/>
    <xf numFmtId="0" fontId="24" fillId="75" borderId="598" applyNumberFormat="0" applyFont="0" applyAlignment="0" applyProtection="0"/>
    <xf numFmtId="0" fontId="27" fillId="95" borderId="598" applyNumberFormat="0" applyFont="0" applyAlignment="0" applyProtection="0"/>
    <xf numFmtId="0" fontId="27" fillId="95" borderId="598" applyNumberFormat="0" applyFont="0" applyAlignment="0" applyProtection="0"/>
    <xf numFmtId="0" fontId="24" fillId="75" borderId="602" applyNumberFormat="0" applyFont="0" applyAlignment="0" applyProtection="0"/>
    <xf numFmtId="0" fontId="27" fillId="95" borderId="602" applyNumberFormat="0" applyFont="0" applyAlignment="0" applyProtection="0"/>
    <xf numFmtId="0" fontId="27" fillId="95" borderId="602" applyNumberFormat="0" applyFont="0" applyAlignment="0" applyProtection="0"/>
    <xf numFmtId="0" fontId="56" fillId="56" borderId="607" applyNumberFormat="0" applyAlignment="0" applyProtection="0"/>
    <xf numFmtId="0" fontId="56" fillId="88" borderId="607" applyNumberFormat="0" applyAlignment="0" applyProtection="0"/>
    <xf numFmtId="0" fontId="29" fillId="0" borderId="608" applyNumberFormat="0" applyFill="0" applyAlignment="0" applyProtection="0"/>
    <xf numFmtId="0" fontId="29" fillId="0" borderId="609" applyNumberFormat="0" applyFill="0" applyAlignment="0" applyProtection="0"/>
    <xf numFmtId="49" fontId="37" fillId="0" borderId="604">
      <alignment horizontal="right" wrapText="1"/>
    </xf>
    <xf numFmtId="0" fontId="34" fillId="56" borderId="614" applyNumberFormat="0" applyAlignment="0" applyProtection="0"/>
    <xf numFmtId="0" fontId="35" fillId="88" borderId="614" applyNumberFormat="0" applyAlignment="0" applyProtection="0"/>
    <xf numFmtId="0" fontId="20" fillId="0" borderId="613">
      <alignment horizontal="left" vertical="center"/>
    </xf>
    <xf numFmtId="10" fontId="42" fillId="52" borderId="611" applyNumberFormat="0" applyBorder="0" applyAlignment="0" applyProtection="0"/>
    <xf numFmtId="0" fontId="51" fillId="84" borderId="614" applyNumberFormat="0" applyAlignment="0" applyProtection="0"/>
    <xf numFmtId="0" fontId="51" fillId="84" borderId="614" applyNumberFormat="0" applyAlignment="0" applyProtection="0"/>
    <xf numFmtId="0" fontId="51" fillId="62" borderId="614" applyNumberFormat="0" applyAlignment="0" applyProtection="0"/>
    <xf numFmtId="0" fontId="24" fillId="75" borderId="610" applyNumberFormat="0" applyFont="0" applyAlignment="0" applyProtection="0"/>
    <xf numFmtId="0" fontId="27" fillId="95" borderId="610" applyNumberFormat="0" applyFont="0" applyAlignment="0" applyProtection="0"/>
    <xf numFmtId="0" fontId="27" fillId="95" borderId="610" applyNumberFormat="0" applyFont="0" applyAlignment="0" applyProtection="0"/>
    <xf numFmtId="0" fontId="56" fillId="56" borderId="615" applyNumberFormat="0" applyAlignment="0" applyProtection="0"/>
    <xf numFmtId="0" fontId="56" fillId="88" borderId="615" applyNumberFormat="0" applyAlignment="0" applyProtection="0"/>
    <xf numFmtId="0" fontId="29" fillId="0" borderId="616" applyNumberFormat="0" applyFill="0" applyAlignment="0" applyProtection="0"/>
    <xf numFmtId="0" fontId="29" fillId="0" borderId="617" applyNumberFormat="0" applyFill="0" applyAlignment="0" applyProtection="0"/>
    <xf numFmtId="49" fontId="37" fillId="0" borderId="612">
      <alignment horizontal="right" wrapText="1"/>
    </xf>
    <xf numFmtId="0" fontId="34" fillId="56" borderId="621" applyNumberFormat="0" applyAlignment="0" applyProtection="0"/>
    <xf numFmtId="0" fontId="35" fillId="88" borderId="621" applyNumberFormat="0" applyAlignment="0" applyProtection="0"/>
    <xf numFmtId="0" fontId="20" fillId="0" borderId="620">
      <alignment horizontal="left" vertical="center"/>
    </xf>
    <xf numFmtId="10" fontId="42" fillId="52" borderId="619" applyNumberFormat="0" applyBorder="0" applyAlignment="0" applyProtection="0"/>
    <xf numFmtId="0" fontId="51" fillId="84" borderId="621" applyNumberFormat="0" applyAlignment="0" applyProtection="0"/>
    <xf numFmtId="0" fontId="51" fillId="84" borderId="621" applyNumberFormat="0" applyAlignment="0" applyProtection="0"/>
    <xf numFmtId="0" fontId="51" fillId="62" borderId="621" applyNumberFormat="0" applyAlignment="0" applyProtection="0"/>
    <xf numFmtId="0" fontId="24" fillId="75" borderId="618" applyNumberFormat="0" applyFont="0" applyAlignment="0" applyProtection="0"/>
    <xf numFmtId="0" fontId="27" fillId="95" borderId="618" applyNumberFormat="0" applyFont="0" applyAlignment="0" applyProtection="0"/>
    <xf numFmtId="0" fontId="27" fillId="95" borderId="618" applyNumberFormat="0" applyFont="0" applyAlignment="0" applyProtection="0"/>
    <xf numFmtId="0" fontId="20" fillId="0" borderId="983">
      <alignment horizontal="left" vertical="center"/>
    </xf>
    <xf numFmtId="0" fontId="27" fillId="95" borderId="1060" applyNumberFormat="0" applyFont="0" applyAlignment="0" applyProtection="0"/>
    <xf numFmtId="0" fontId="35" fillId="88" borderId="984" applyNumberFormat="0" applyAlignment="0" applyProtection="0"/>
    <xf numFmtId="0" fontId="29" fillId="0" borderId="627" applyNumberFormat="0" applyFill="0" applyAlignment="0" applyProtection="0"/>
    <xf numFmtId="0" fontId="29" fillId="0" borderId="628" applyNumberFormat="0" applyFill="0" applyAlignment="0" applyProtection="0"/>
    <xf numFmtId="0" fontId="51" fillId="62" borderId="786" applyNumberFormat="0" applyAlignment="0" applyProtection="0"/>
    <xf numFmtId="0" fontId="35" fillId="88" borderId="827" applyNumberFormat="0" applyAlignment="0" applyProtection="0"/>
    <xf numFmtId="0" fontId="27" fillId="95" borderId="782" applyNumberFormat="0" applyFont="0" applyAlignment="0" applyProtection="0"/>
    <xf numFmtId="0" fontId="24" fillId="75" borderId="1287" applyNumberFormat="0" applyFont="0" applyAlignment="0" applyProtection="0"/>
    <xf numFmtId="0" fontId="51" fillId="84" borderId="1171" applyNumberFormat="0" applyAlignment="0" applyProtection="0"/>
    <xf numFmtId="49" fontId="37" fillId="0" borderId="624">
      <alignment horizontal="right" wrapText="1"/>
    </xf>
    <xf numFmtId="0" fontId="51" fillId="62" borderId="645" applyNumberFormat="0" applyAlignment="0" applyProtection="0"/>
    <xf numFmtId="0" fontId="51" fillId="84" borderId="645" applyNumberFormat="0" applyAlignment="0" applyProtection="0"/>
    <xf numFmtId="0" fontId="51" fillId="84" borderId="645" applyNumberFormat="0" applyAlignment="0" applyProtection="0"/>
    <xf numFmtId="10" fontId="42" fillId="52" borderId="642" applyNumberFormat="0" applyBorder="0" applyAlignment="0" applyProtection="0"/>
    <xf numFmtId="0" fontId="20" fillId="0" borderId="644">
      <alignment horizontal="left" vertical="center"/>
    </xf>
    <xf numFmtId="0" fontId="35" fillId="88" borderId="645" applyNumberFormat="0" applyAlignment="0" applyProtection="0"/>
    <xf numFmtId="0" fontId="34" fillId="56" borderId="645" applyNumberFormat="0" applyAlignment="0" applyProtection="0"/>
    <xf numFmtId="0" fontId="34" fillId="56" borderId="633" applyNumberFormat="0" applyAlignment="0" applyProtection="0"/>
    <xf numFmtId="0" fontId="35" fillId="88" borderId="633" applyNumberFormat="0" applyAlignment="0" applyProtection="0"/>
    <xf numFmtId="0" fontId="20" fillId="0" borderId="632">
      <alignment horizontal="left" vertical="center"/>
    </xf>
    <xf numFmtId="10" fontId="42" fillId="52" borderId="630" applyNumberFormat="0" applyBorder="0" applyAlignment="0" applyProtection="0"/>
    <xf numFmtId="0" fontId="51" fillId="84" borderId="633" applyNumberFormat="0" applyAlignment="0" applyProtection="0"/>
    <xf numFmtId="0" fontId="51" fillId="84" borderId="633" applyNumberFormat="0" applyAlignment="0" applyProtection="0"/>
    <xf numFmtId="0" fontId="51" fillId="62" borderId="633" applyNumberFormat="0" applyAlignment="0" applyProtection="0"/>
    <xf numFmtId="0" fontId="24" fillId="75" borderId="629" applyNumberFormat="0" applyFont="0" applyAlignment="0" applyProtection="0"/>
    <xf numFmtId="0" fontId="27" fillId="95" borderId="629" applyNumberFormat="0" applyFont="0" applyAlignment="0" applyProtection="0"/>
    <xf numFmtId="0" fontId="27" fillId="95" borderId="629" applyNumberFormat="0" applyFont="0" applyAlignment="0" applyProtection="0"/>
    <xf numFmtId="10" fontId="42" fillId="52" borderId="1248" applyNumberFormat="0" applyBorder="0" applyAlignment="0" applyProtection="0"/>
    <xf numFmtId="0" fontId="35" fillId="88" borderId="1291" applyNumberFormat="0" applyAlignment="0" applyProtection="0"/>
    <xf numFmtId="0" fontId="24" fillId="75" borderId="939" applyNumberFormat="0" applyFont="0" applyAlignment="0" applyProtection="0"/>
    <xf numFmtId="49" fontId="37" fillId="0" borderId="631">
      <alignment horizontal="right" wrapText="1"/>
    </xf>
    <xf numFmtId="0" fontId="34" fillId="56" borderId="633" applyNumberFormat="0" applyAlignment="0" applyProtection="0"/>
    <xf numFmtId="0" fontId="35" fillId="88" borderId="633" applyNumberFormat="0" applyAlignment="0" applyProtection="0"/>
    <xf numFmtId="0" fontId="20" fillId="0" borderId="632">
      <alignment horizontal="left" vertical="center"/>
    </xf>
    <xf numFmtId="10" fontId="42" fillId="52" borderId="630" applyNumberFormat="0" applyBorder="0" applyAlignment="0" applyProtection="0"/>
    <xf numFmtId="0" fontId="51" fillId="84" borderId="633" applyNumberFormat="0" applyAlignment="0" applyProtection="0"/>
    <xf numFmtId="0" fontId="51" fillId="84" borderId="633" applyNumberFormat="0" applyAlignment="0" applyProtection="0"/>
    <xf numFmtId="0" fontId="51" fillId="62" borderId="633" applyNumberFormat="0" applyAlignment="0" applyProtection="0"/>
    <xf numFmtId="0" fontId="24" fillId="75" borderId="629" applyNumberFormat="0" applyFont="0" applyAlignment="0" applyProtection="0"/>
    <xf numFmtId="0" fontId="27" fillId="95" borderId="629" applyNumberFormat="0" applyFont="0" applyAlignment="0" applyProtection="0"/>
    <xf numFmtId="0" fontId="27" fillId="95" borderId="629" applyNumberFormat="0" applyFont="0" applyAlignment="0" applyProtection="0"/>
    <xf numFmtId="0" fontId="56" fillId="56" borderId="634" applyNumberFormat="0" applyAlignment="0" applyProtection="0"/>
    <xf numFmtId="0" fontId="56" fillId="88" borderId="634" applyNumberFormat="0" applyAlignment="0" applyProtection="0"/>
    <xf numFmtId="0" fontId="29" fillId="0" borderId="635" applyNumberFormat="0" applyFill="0" applyAlignment="0" applyProtection="0"/>
    <xf numFmtId="0" fontId="29" fillId="0" borderId="636" applyNumberFormat="0" applyFill="0" applyAlignment="0" applyProtection="0"/>
    <xf numFmtId="49" fontId="37" fillId="0" borderId="631">
      <alignment horizontal="right" wrapText="1"/>
    </xf>
    <xf numFmtId="0" fontId="34" fillId="56" borderId="640" applyNumberFormat="0" applyAlignment="0" applyProtection="0"/>
    <xf numFmtId="0" fontId="35" fillId="88" borderId="640" applyNumberFormat="0" applyAlignment="0" applyProtection="0"/>
    <xf numFmtId="0" fontId="20" fillId="0" borderId="639">
      <alignment horizontal="left" vertical="center"/>
    </xf>
    <xf numFmtId="10" fontId="42" fillId="52" borderId="638" applyNumberFormat="0" applyBorder="0" applyAlignment="0" applyProtection="0"/>
    <xf numFmtId="0" fontId="51" fillId="84" borderId="640" applyNumberFormat="0" applyAlignment="0" applyProtection="0"/>
    <xf numFmtId="0" fontId="51" fillId="84" borderId="640" applyNumberFormat="0" applyAlignment="0" applyProtection="0"/>
    <xf numFmtId="0" fontId="51" fillId="62" borderId="640" applyNumberFormat="0" applyAlignment="0" applyProtection="0"/>
    <xf numFmtId="0" fontId="24" fillId="75" borderId="637" applyNumberFormat="0" applyFont="0" applyAlignment="0" applyProtection="0"/>
    <xf numFmtId="0" fontId="27" fillId="95" borderId="637" applyNumberFormat="0" applyFont="0" applyAlignment="0" applyProtection="0"/>
    <xf numFmtId="0" fontId="27" fillId="95" borderId="637" applyNumberFormat="0" applyFont="0" applyAlignment="0" applyProtection="0"/>
    <xf numFmtId="0" fontId="24" fillId="75" borderId="641" applyNumberFormat="0" applyFont="0" applyAlignment="0" applyProtection="0"/>
    <xf numFmtId="0" fontId="27" fillId="95" borderId="641" applyNumberFormat="0" applyFont="0" applyAlignment="0" applyProtection="0"/>
    <xf numFmtId="0" fontId="27" fillId="95" borderId="641" applyNumberFormat="0" applyFont="0" applyAlignment="0" applyProtection="0"/>
    <xf numFmtId="0" fontId="56" fillId="56" borderId="646" applyNumberFormat="0" applyAlignment="0" applyProtection="0"/>
    <xf numFmtId="0" fontId="56" fillId="88" borderId="646" applyNumberFormat="0" applyAlignment="0" applyProtection="0"/>
    <xf numFmtId="0" fontId="29" fillId="0" borderId="647" applyNumberFormat="0" applyFill="0" applyAlignment="0" applyProtection="0"/>
    <xf numFmtId="0" fontId="29" fillId="0" borderId="648" applyNumberFormat="0" applyFill="0" applyAlignment="0" applyProtection="0"/>
    <xf numFmtId="49" fontId="37" fillId="0" borderId="643">
      <alignment horizontal="right" wrapText="1"/>
    </xf>
    <xf numFmtId="0" fontId="34" fillId="56" borderId="653" applyNumberFormat="0" applyAlignment="0" applyProtection="0"/>
    <xf numFmtId="0" fontId="35" fillId="88" borderId="653" applyNumberFormat="0" applyAlignment="0" applyProtection="0"/>
    <xf numFmtId="0" fontId="20" fillId="0" borderId="652">
      <alignment horizontal="left" vertical="center"/>
    </xf>
    <xf numFmtId="10" fontId="42" fillId="52" borderId="650" applyNumberFormat="0" applyBorder="0" applyAlignment="0" applyProtection="0"/>
    <xf numFmtId="0" fontId="51" fillId="84" borderId="653" applyNumberFormat="0" applyAlignment="0" applyProtection="0"/>
    <xf numFmtId="0" fontId="51" fillId="84" borderId="653" applyNumberFormat="0" applyAlignment="0" applyProtection="0"/>
    <xf numFmtId="0" fontId="51" fillId="62" borderId="653" applyNumberFormat="0" applyAlignment="0" applyProtection="0"/>
    <xf numFmtId="0" fontId="24" fillId="75" borderId="649" applyNumberFormat="0" applyFont="0" applyAlignment="0" applyProtection="0"/>
    <xf numFmtId="0" fontId="27" fillId="95" borderId="649" applyNumberFormat="0" applyFont="0" applyAlignment="0" applyProtection="0"/>
    <xf numFmtId="0" fontId="27" fillId="95" borderId="649" applyNumberFormat="0" applyFont="0" applyAlignment="0" applyProtection="0"/>
    <xf numFmtId="0" fontId="56" fillId="56" borderId="654" applyNumberFormat="0" applyAlignment="0" applyProtection="0"/>
    <xf numFmtId="0" fontId="56" fillId="88" borderId="654" applyNumberFormat="0" applyAlignment="0" applyProtection="0"/>
    <xf numFmtId="0" fontId="29" fillId="0" borderId="655" applyNumberFormat="0" applyFill="0" applyAlignment="0" applyProtection="0"/>
    <xf numFmtId="0" fontId="29" fillId="0" borderId="656" applyNumberFormat="0" applyFill="0" applyAlignment="0" applyProtection="0"/>
    <xf numFmtId="49" fontId="37" fillId="0" borderId="651">
      <alignment horizontal="right" wrapText="1"/>
    </xf>
    <xf numFmtId="0" fontId="34" fillId="56" borderId="660" applyNumberFormat="0" applyAlignment="0" applyProtection="0"/>
    <xf numFmtId="0" fontId="35" fillId="88" borderId="660" applyNumberFormat="0" applyAlignment="0" applyProtection="0"/>
    <xf numFmtId="0" fontId="20" fillId="0" borderId="659">
      <alignment horizontal="left" vertical="center"/>
    </xf>
    <xf numFmtId="10" fontId="42" fillId="52" borderId="658" applyNumberFormat="0" applyBorder="0" applyAlignment="0" applyProtection="0"/>
    <xf numFmtId="0" fontId="51" fillId="84" borderId="660" applyNumberFormat="0" applyAlignment="0" applyProtection="0"/>
    <xf numFmtId="0" fontId="51" fillId="84" borderId="660" applyNumberFormat="0" applyAlignment="0" applyProtection="0"/>
    <xf numFmtId="0" fontId="51" fillId="62" borderId="660" applyNumberFormat="0" applyAlignment="0" applyProtection="0"/>
    <xf numFmtId="0" fontId="24" fillId="75" borderId="657" applyNumberFormat="0" applyFont="0" applyAlignment="0" applyProtection="0"/>
    <xf numFmtId="0" fontId="27" fillId="95" borderId="657" applyNumberFormat="0" applyFont="0" applyAlignment="0" applyProtection="0"/>
    <xf numFmtId="0" fontId="27" fillId="95" borderId="657" applyNumberFormat="0" applyFont="0" applyAlignment="0" applyProtection="0"/>
    <xf numFmtId="0" fontId="29" fillId="0" borderId="666" applyNumberFormat="0" applyFill="0" applyAlignment="0" applyProtection="0"/>
    <xf numFmtId="0" fontId="29" fillId="0" borderId="667" applyNumberFormat="0" applyFill="0" applyAlignment="0" applyProtection="0"/>
    <xf numFmtId="0" fontId="27" fillId="95" borderId="899" applyNumberFormat="0" applyFont="0" applyAlignment="0" applyProtection="0"/>
    <xf numFmtId="0" fontId="56" fillId="56" borderId="1252" applyNumberFormat="0" applyAlignment="0" applyProtection="0"/>
    <xf numFmtId="0" fontId="20" fillId="0" borderId="744">
      <alignment horizontal="left" vertical="center"/>
    </xf>
    <xf numFmtId="0" fontId="29" fillId="0" borderId="1134" applyNumberFormat="0" applyFill="0" applyAlignment="0" applyProtection="0"/>
    <xf numFmtId="49" fontId="37" fillId="0" borderId="662">
      <alignment horizontal="right" wrapText="1"/>
    </xf>
    <xf numFmtId="0" fontId="51" fillId="62" borderId="684" applyNumberFormat="0" applyAlignment="0" applyProtection="0"/>
    <xf numFmtId="0" fontId="51" fillId="84" borderId="684" applyNumberFormat="0" applyAlignment="0" applyProtection="0"/>
    <xf numFmtId="0" fontId="51" fillId="84" borderId="684" applyNumberFormat="0" applyAlignment="0" applyProtection="0"/>
    <xf numFmtId="10" fontId="42" fillId="52" borderId="681" applyNumberFormat="0" applyBorder="0" applyAlignment="0" applyProtection="0"/>
    <xf numFmtId="0" fontId="20" fillId="0" borderId="683">
      <alignment horizontal="left" vertical="center"/>
    </xf>
    <xf numFmtId="0" fontId="35" fillId="88" borderId="684" applyNumberFormat="0" applyAlignment="0" applyProtection="0"/>
    <xf numFmtId="0" fontId="34" fillId="56" borderId="684" applyNumberFormat="0" applyAlignment="0" applyProtection="0"/>
    <xf numFmtId="0" fontId="34" fillId="56" borderId="672" applyNumberFormat="0" applyAlignment="0" applyProtection="0"/>
    <xf numFmtId="0" fontId="35" fillId="88" borderId="672" applyNumberFormat="0" applyAlignment="0" applyProtection="0"/>
    <xf numFmtId="0" fontId="20" fillId="0" borderId="671">
      <alignment horizontal="left" vertical="center"/>
    </xf>
    <xf numFmtId="10" fontId="42" fillId="52" borderId="669" applyNumberFormat="0" applyBorder="0" applyAlignment="0" applyProtection="0"/>
    <xf numFmtId="0" fontId="51" fillId="84" borderId="672" applyNumberFormat="0" applyAlignment="0" applyProtection="0"/>
    <xf numFmtId="0" fontId="51" fillId="84" borderId="672" applyNumberFormat="0" applyAlignment="0" applyProtection="0"/>
    <xf numFmtId="0" fontId="51" fillId="62" borderId="672" applyNumberFormat="0" applyAlignment="0" applyProtection="0"/>
    <xf numFmtId="0" fontId="24" fillId="75" borderId="668" applyNumberFormat="0" applyFont="0" applyAlignment="0" applyProtection="0"/>
    <xf numFmtId="0" fontId="27" fillId="95" borderId="668" applyNumberFormat="0" applyFont="0" applyAlignment="0" applyProtection="0"/>
    <xf numFmtId="0" fontId="27" fillId="95" borderId="668" applyNumberFormat="0" applyFont="0" applyAlignment="0" applyProtection="0"/>
    <xf numFmtId="0" fontId="51" fillId="84" borderId="1291" applyNumberFormat="0" applyAlignment="0" applyProtection="0"/>
    <xf numFmtId="0" fontId="51" fillId="62" borderId="943" applyNumberFormat="0" applyAlignment="0" applyProtection="0"/>
    <xf numFmtId="49" fontId="37" fillId="0" borderId="781">
      <alignment horizontal="right" wrapText="1"/>
    </xf>
    <xf numFmtId="49" fontId="37" fillId="0" borderId="670">
      <alignment horizontal="right" wrapText="1"/>
    </xf>
    <xf numFmtId="0" fontId="34" fillId="56" borderId="672" applyNumberFormat="0" applyAlignment="0" applyProtection="0"/>
    <xf numFmtId="0" fontId="35" fillId="88" borderId="672" applyNumberFormat="0" applyAlignment="0" applyProtection="0"/>
    <xf numFmtId="0" fontId="20" fillId="0" borderId="671">
      <alignment horizontal="left" vertical="center"/>
    </xf>
    <xf numFmtId="10" fontId="42" fillId="52" borderId="669" applyNumberFormat="0" applyBorder="0" applyAlignment="0" applyProtection="0"/>
    <xf numFmtId="0" fontId="51" fillId="84" borderId="672" applyNumberFormat="0" applyAlignment="0" applyProtection="0"/>
    <xf numFmtId="0" fontId="51" fillId="84" borderId="672" applyNumberFormat="0" applyAlignment="0" applyProtection="0"/>
    <xf numFmtId="0" fontId="51" fillId="62" borderId="672" applyNumberFormat="0" applyAlignment="0" applyProtection="0"/>
    <xf numFmtId="0" fontId="24" fillId="75" borderId="668" applyNumberFormat="0" applyFont="0" applyAlignment="0" applyProtection="0"/>
    <xf numFmtId="0" fontId="27" fillId="95" borderId="668" applyNumberFormat="0" applyFont="0" applyAlignment="0" applyProtection="0"/>
    <xf numFmtId="0" fontId="27" fillId="95" borderId="668" applyNumberFormat="0" applyFont="0" applyAlignment="0" applyProtection="0"/>
    <xf numFmtId="0" fontId="56" fillId="56" borderId="673" applyNumberFormat="0" applyAlignment="0" applyProtection="0"/>
    <xf numFmtId="0" fontId="56" fillId="88" borderId="673" applyNumberFormat="0" applyAlignment="0" applyProtection="0"/>
    <xf numFmtId="0" fontId="29" fillId="0" borderId="674" applyNumberFormat="0" applyFill="0" applyAlignment="0" applyProtection="0"/>
    <xf numFmtId="0" fontId="29" fillId="0" borderId="675" applyNumberFormat="0" applyFill="0" applyAlignment="0" applyProtection="0"/>
    <xf numFmtId="49" fontId="37" fillId="0" borderId="670">
      <alignment horizontal="right" wrapText="1"/>
    </xf>
    <xf numFmtId="0" fontId="34" fillId="56" borderId="679" applyNumberFormat="0" applyAlignment="0" applyProtection="0"/>
    <xf numFmtId="0" fontId="35" fillId="88" borderId="679" applyNumberFormat="0" applyAlignment="0" applyProtection="0"/>
    <xf numFmtId="0" fontId="20" fillId="0" borderId="678">
      <alignment horizontal="left" vertical="center"/>
    </xf>
    <xf numFmtId="10" fontId="42" fillId="52" borderId="677" applyNumberFormat="0" applyBorder="0" applyAlignment="0" applyProtection="0"/>
    <xf numFmtId="0" fontId="51" fillId="84" borderId="679" applyNumberFormat="0" applyAlignment="0" applyProtection="0"/>
    <xf numFmtId="0" fontId="51" fillId="84" borderId="679" applyNumberFormat="0" applyAlignment="0" applyProtection="0"/>
    <xf numFmtId="0" fontId="51" fillId="62" borderId="679" applyNumberFormat="0" applyAlignment="0" applyProtection="0"/>
    <xf numFmtId="0" fontId="24" fillId="75" borderId="676" applyNumberFormat="0" applyFont="0" applyAlignment="0" applyProtection="0"/>
    <xf numFmtId="0" fontId="27" fillId="95" borderId="676" applyNumberFormat="0" applyFont="0" applyAlignment="0" applyProtection="0"/>
    <xf numFmtId="0" fontId="27" fillId="95" borderId="676" applyNumberFormat="0" applyFont="0" applyAlignment="0" applyProtection="0"/>
    <xf numFmtId="0" fontId="24" fillId="75" borderId="680" applyNumberFormat="0" applyFont="0" applyAlignment="0" applyProtection="0"/>
    <xf numFmtId="0" fontId="27" fillId="95" borderId="680" applyNumberFormat="0" applyFont="0" applyAlignment="0" applyProtection="0"/>
    <xf numFmtId="0" fontId="27" fillId="95" borderId="680" applyNumberFormat="0" applyFont="0" applyAlignment="0" applyProtection="0"/>
    <xf numFmtId="0" fontId="56" fillId="56" borderId="685" applyNumberFormat="0" applyAlignment="0" applyProtection="0"/>
    <xf numFmtId="0" fontId="56" fillId="88" borderId="685" applyNumberFormat="0" applyAlignment="0" applyProtection="0"/>
    <xf numFmtId="0" fontId="29" fillId="0" borderId="686" applyNumberFormat="0" applyFill="0" applyAlignment="0" applyProtection="0"/>
    <xf numFmtId="0" fontId="29" fillId="0" borderId="687" applyNumberFormat="0" applyFill="0" applyAlignment="0" applyProtection="0"/>
    <xf numFmtId="49" fontId="37" fillId="0" borderId="682">
      <alignment horizontal="right" wrapText="1"/>
    </xf>
    <xf numFmtId="0" fontId="34" fillId="56" borderId="692" applyNumberFormat="0" applyAlignment="0" applyProtection="0"/>
    <xf numFmtId="0" fontId="35" fillId="88" borderId="692" applyNumberFormat="0" applyAlignment="0" applyProtection="0"/>
    <xf numFmtId="0" fontId="20" fillId="0" borderId="691">
      <alignment horizontal="left" vertical="center"/>
    </xf>
    <xf numFmtId="10" fontId="42" fillId="52" borderId="689" applyNumberFormat="0" applyBorder="0" applyAlignment="0" applyProtection="0"/>
    <xf numFmtId="0" fontId="51" fillId="84" borderId="692" applyNumberFormat="0" applyAlignment="0" applyProtection="0"/>
    <xf numFmtId="0" fontId="51" fillId="84" borderId="692" applyNumberFormat="0" applyAlignment="0" applyProtection="0"/>
    <xf numFmtId="0" fontId="51" fillId="62" borderId="692" applyNumberFormat="0" applyAlignment="0" applyProtection="0"/>
    <xf numFmtId="0" fontId="24" fillId="75" borderId="688" applyNumberFormat="0" applyFont="0" applyAlignment="0" applyProtection="0"/>
    <xf numFmtId="0" fontId="27" fillId="95" borderId="688" applyNumberFormat="0" applyFont="0" applyAlignment="0" applyProtection="0"/>
    <xf numFmtId="0" fontId="27" fillId="95" borderId="688" applyNumberFormat="0" applyFont="0" applyAlignment="0" applyProtection="0"/>
    <xf numFmtId="0" fontId="56" fillId="56" borderId="693" applyNumberFormat="0" applyAlignment="0" applyProtection="0"/>
    <xf numFmtId="0" fontId="56" fillId="88" borderId="693" applyNumberFormat="0" applyAlignment="0" applyProtection="0"/>
    <xf numFmtId="0" fontId="29" fillId="0" borderId="694" applyNumberFormat="0" applyFill="0" applyAlignment="0" applyProtection="0"/>
    <xf numFmtId="0" fontId="29" fillId="0" borderId="695" applyNumberFormat="0" applyFill="0" applyAlignment="0" applyProtection="0"/>
    <xf numFmtId="49" fontId="37" fillId="0" borderId="690">
      <alignment horizontal="right" wrapText="1"/>
    </xf>
    <xf numFmtId="0" fontId="34" fillId="56" borderId="699" applyNumberFormat="0" applyAlignment="0" applyProtection="0"/>
    <xf numFmtId="0" fontId="35" fillId="88" borderId="699" applyNumberFormat="0" applyAlignment="0" applyProtection="0"/>
    <xf numFmtId="0" fontId="20" fillId="0" borderId="698">
      <alignment horizontal="left" vertical="center"/>
    </xf>
    <xf numFmtId="10" fontId="42" fillId="52" borderId="697" applyNumberFormat="0" applyBorder="0" applyAlignment="0" applyProtection="0"/>
    <xf numFmtId="0" fontId="51" fillId="84" borderId="699" applyNumberFormat="0" applyAlignment="0" applyProtection="0"/>
    <xf numFmtId="0" fontId="51" fillId="84" borderId="699" applyNumberFormat="0" applyAlignment="0" applyProtection="0"/>
    <xf numFmtId="0" fontId="51" fillId="62" borderId="699" applyNumberFormat="0" applyAlignment="0" applyProtection="0"/>
    <xf numFmtId="0" fontId="24" fillId="75" borderId="696" applyNumberFormat="0" applyFont="0" applyAlignment="0" applyProtection="0"/>
    <xf numFmtId="0" fontId="27" fillId="95" borderId="696" applyNumberFormat="0" applyFont="0" applyAlignment="0" applyProtection="0"/>
    <xf numFmtId="0" fontId="27" fillId="95" borderId="696" applyNumberFormat="0" applyFont="0" applyAlignment="0" applyProtection="0"/>
    <xf numFmtId="0" fontId="29" fillId="0" borderId="708" applyNumberFormat="0" applyFill="0" applyAlignment="0" applyProtection="0"/>
    <xf numFmtId="0" fontId="51" fillId="62" borderId="1251" applyNumberFormat="0" applyAlignment="0" applyProtection="0"/>
    <xf numFmtId="0" fontId="27" fillId="95" borderId="1167" applyNumberFormat="0" applyFont="0" applyAlignment="0" applyProtection="0"/>
    <xf numFmtId="0" fontId="56" fillId="56" borderId="904" applyNumberFormat="0" applyAlignment="0" applyProtection="0"/>
    <xf numFmtId="0" fontId="24" fillId="75" borderId="863" applyNumberFormat="0" applyFont="0" applyAlignment="0" applyProtection="0"/>
    <xf numFmtId="0" fontId="20" fillId="0" borderId="1131">
      <alignment horizontal="left" vertical="center"/>
    </xf>
    <xf numFmtId="0" fontId="51" fillId="84" borderId="984" applyNumberFormat="0" applyAlignment="0" applyProtection="0"/>
    <xf numFmtId="49" fontId="37" fillId="0" borderId="703">
      <alignment horizontal="right" wrapText="1"/>
    </xf>
    <xf numFmtId="0" fontId="51" fillId="62" borderId="725" applyNumberFormat="0" applyAlignment="0" applyProtection="0"/>
    <xf numFmtId="0" fontId="51" fillId="84" borderId="725" applyNumberFormat="0" applyAlignment="0" applyProtection="0"/>
    <xf numFmtId="0" fontId="51" fillId="84" borderId="725" applyNumberFormat="0" applyAlignment="0" applyProtection="0"/>
    <xf numFmtId="10" fontId="42" fillId="52" borderId="722" applyNumberFormat="0" applyBorder="0" applyAlignment="0" applyProtection="0"/>
    <xf numFmtId="0" fontId="20" fillId="0" borderId="724">
      <alignment horizontal="left" vertical="center"/>
    </xf>
    <xf numFmtId="0" fontId="35" fillId="88" borderId="725" applyNumberFormat="0" applyAlignment="0" applyProtection="0"/>
    <xf numFmtId="0" fontId="34" fillId="56" borderId="725" applyNumberFormat="0" applyAlignment="0" applyProtection="0"/>
    <xf numFmtId="0" fontId="34" fillId="56" borderId="713" applyNumberFormat="0" applyAlignment="0" applyProtection="0"/>
    <xf numFmtId="0" fontId="35" fillId="88" borderId="713" applyNumberFormat="0" applyAlignment="0" applyProtection="0"/>
    <xf numFmtId="0" fontId="20" fillId="0" borderId="712">
      <alignment horizontal="left" vertical="center"/>
    </xf>
    <xf numFmtId="10" fontId="42" fillId="52" borderId="710" applyNumberFormat="0" applyBorder="0" applyAlignment="0" applyProtection="0"/>
    <xf numFmtId="0" fontId="51" fillId="84" borderId="713" applyNumberFormat="0" applyAlignment="0" applyProtection="0"/>
    <xf numFmtId="0" fontId="51" fillId="84" borderId="713" applyNumberFormat="0" applyAlignment="0" applyProtection="0"/>
    <xf numFmtId="0" fontId="51" fillId="62" borderId="713" applyNumberFormat="0" applyAlignment="0" applyProtection="0"/>
    <xf numFmtId="0" fontId="24" fillId="75" borderId="709" applyNumberFormat="0" applyFont="0" applyAlignment="0" applyProtection="0"/>
    <xf numFmtId="0" fontId="27" fillId="95" borderId="709" applyNumberFormat="0" applyFont="0" applyAlignment="0" applyProtection="0"/>
    <xf numFmtId="0" fontId="27" fillId="95" borderId="709" applyNumberFormat="0" applyFont="0" applyAlignment="0" applyProtection="0"/>
    <xf numFmtId="0" fontId="24" fillId="75" borderId="899" applyNumberFormat="0" applyFont="0" applyAlignment="0" applyProtection="0"/>
    <xf numFmtId="49" fontId="37" fillId="0" borderId="822">
      <alignment horizontal="right" wrapText="1"/>
    </xf>
    <xf numFmtId="49" fontId="37" fillId="0" borderId="711">
      <alignment horizontal="right" wrapText="1"/>
    </xf>
    <xf numFmtId="0" fontId="34" fillId="56" borderId="713" applyNumberFormat="0" applyAlignment="0" applyProtection="0"/>
    <xf numFmtId="0" fontId="35" fillId="88" borderId="713" applyNumberFormat="0" applyAlignment="0" applyProtection="0"/>
    <xf numFmtId="0" fontId="20" fillId="0" borderId="712">
      <alignment horizontal="left" vertical="center"/>
    </xf>
    <xf numFmtId="10" fontId="42" fillId="52" borderId="710" applyNumberFormat="0" applyBorder="0" applyAlignment="0" applyProtection="0"/>
    <xf numFmtId="0" fontId="51" fillId="84" borderId="713" applyNumberFormat="0" applyAlignment="0" applyProtection="0"/>
    <xf numFmtId="0" fontId="51" fillId="84" borderId="713" applyNumberFormat="0" applyAlignment="0" applyProtection="0"/>
    <xf numFmtId="0" fontId="51" fillId="62" borderId="713" applyNumberFormat="0" applyAlignment="0" applyProtection="0"/>
    <xf numFmtId="0" fontId="24" fillId="75" borderId="709" applyNumberFormat="0" applyFont="0" applyAlignment="0" applyProtection="0"/>
    <xf numFmtId="0" fontId="27" fillId="95" borderId="709" applyNumberFormat="0" applyFont="0" applyAlignment="0" applyProtection="0"/>
    <xf numFmtId="0" fontId="27" fillId="95" borderId="709" applyNumberFormat="0" applyFont="0" applyAlignment="0" applyProtection="0"/>
    <xf numFmtId="0" fontId="56" fillId="56" borderId="714" applyNumberFormat="0" applyAlignment="0" applyProtection="0"/>
    <xf numFmtId="0" fontId="56" fillId="88" borderId="714" applyNumberFormat="0" applyAlignment="0" applyProtection="0"/>
    <xf numFmtId="0" fontId="29" fillId="0" borderId="715" applyNumberFormat="0" applyFill="0" applyAlignment="0" applyProtection="0"/>
    <xf numFmtId="0" fontId="29" fillId="0" borderId="716" applyNumberFormat="0" applyFill="0" applyAlignment="0" applyProtection="0"/>
    <xf numFmtId="0" fontId="20" fillId="0" borderId="826">
      <alignment horizontal="left" vertical="center"/>
    </xf>
    <xf numFmtId="49" fontId="37" fillId="0" borderId="711">
      <alignment horizontal="right" wrapText="1"/>
    </xf>
    <xf numFmtId="0" fontId="34" fillId="56" borderId="720" applyNumberFormat="0" applyAlignment="0" applyProtection="0"/>
    <xf numFmtId="0" fontId="35" fillId="88" borderId="720" applyNumberFormat="0" applyAlignment="0" applyProtection="0"/>
    <xf numFmtId="0" fontId="20" fillId="0" borderId="719">
      <alignment horizontal="left" vertical="center"/>
    </xf>
    <xf numFmtId="10" fontId="42" fillId="52" borderId="718" applyNumberFormat="0" applyBorder="0" applyAlignment="0" applyProtection="0"/>
    <xf numFmtId="0" fontId="51" fillId="84" borderId="720" applyNumberFormat="0" applyAlignment="0" applyProtection="0"/>
    <xf numFmtId="0" fontId="51" fillId="84" borderId="720" applyNumberFormat="0" applyAlignment="0" applyProtection="0"/>
    <xf numFmtId="0" fontId="51" fillId="62" borderId="720" applyNumberFormat="0" applyAlignment="0" applyProtection="0"/>
    <xf numFmtId="0" fontId="24" fillId="75" borderId="717" applyNumberFormat="0" applyFont="0" applyAlignment="0" applyProtection="0"/>
    <xf numFmtId="0" fontId="27" fillId="95" borderId="717" applyNumberFormat="0" applyFont="0" applyAlignment="0" applyProtection="0"/>
    <xf numFmtId="0" fontId="27" fillId="95" borderId="717" applyNumberFormat="0" applyFont="0" applyAlignment="0" applyProtection="0"/>
    <xf numFmtId="0" fontId="24" fillId="75" borderId="721" applyNumberFormat="0" applyFont="0" applyAlignment="0" applyProtection="0"/>
    <xf numFmtId="0" fontId="27" fillId="95" borderId="721" applyNumberFormat="0" applyFont="0" applyAlignment="0" applyProtection="0"/>
    <xf numFmtId="0" fontId="27" fillId="95" borderId="721" applyNumberFormat="0" applyFont="0" applyAlignment="0" applyProtection="0"/>
    <xf numFmtId="0" fontId="56" fillId="56" borderId="726" applyNumberFormat="0" applyAlignment="0" applyProtection="0"/>
    <xf numFmtId="0" fontId="56" fillId="88" borderId="726" applyNumberFormat="0" applyAlignment="0" applyProtection="0"/>
    <xf numFmtId="0" fontId="29" fillId="0" borderId="727" applyNumberFormat="0" applyFill="0" applyAlignment="0" applyProtection="0"/>
    <xf numFmtId="0" fontId="29" fillId="0" borderId="728" applyNumberFormat="0" applyFill="0" applyAlignment="0" applyProtection="0"/>
    <xf numFmtId="49" fontId="37" fillId="0" borderId="723">
      <alignment horizontal="right" wrapText="1"/>
    </xf>
    <xf numFmtId="0" fontId="34" fillId="56" borderId="733" applyNumberFormat="0" applyAlignment="0" applyProtection="0"/>
    <xf numFmtId="0" fontId="35" fillId="88" borderId="733" applyNumberFormat="0" applyAlignment="0" applyProtection="0"/>
    <xf numFmtId="0" fontId="20" fillId="0" borderId="732">
      <alignment horizontal="left" vertical="center"/>
    </xf>
    <xf numFmtId="10" fontId="42" fillId="52" borderId="730" applyNumberFormat="0" applyBorder="0" applyAlignment="0" applyProtection="0"/>
    <xf numFmtId="0" fontId="51" fillId="84" borderId="733" applyNumberFormat="0" applyAlignment="0" applyProtection="0"/>
    <xf numFmtId="0" fontId="51" fillId="84" borderId="733" applyNumberFormat="0" applyAlignment="0" applyProtection="0"/>
    <xf numFmtId="0" fontId="51" fillId="62" borderId="733" applyNumberFormat="0" applyAlignment="0" applyProtection="0"/>
    <xf numFmtId="0" fontId="24" fillId="75" borderId="729" applyNumberFormat="0" applyFont="0" applyAlignment="0" applyProtection="0"/>
    <xf numFmtId="0" fontId="27" fillId="95" borderId="729" applyNumberFormat="0" applyFont="0" applyAlignment="0" applyProtection="0"/>
    <xf numFmtId="0" fontId="27" fillId="95" borderId="729" applyNumberFormat="0" applyFont="0" applyAlignment="0" applyProtection="0"/>
    <xf numFmtId="0" fontId="56" fillId="56" borderId="734" applyNumberFormat="0" applyAlignment="0" applyProtection="0"/>
    <xf numFmtId="0" fontId="56" fillId="88" borderId="734" applyNumberFormat="0" applyAlignment="0" applyProtection="0"/>
    <xf numFmtId="0" fontId="29" fillId="0" borderId="735" applyNumberFormat="0" applyFill="0" applyAlignment="0" applyProtection="0"/>
    <xf numFmtId="0" fontId="29" fillId="0" borderId="736" applyNumberFormat="0" applyFill="0" applyAlignment="0" applyProtection="0"/>
    <xf numFmtId="49" fontId="37" fillId="0" borderId="731">
      <alignment horizontal="right" wrapText="1"/>
    </xf>
    <xf numFmtId="0" fontId="34" fillId="56" borderId="740" applyNumberFormat="0" applyAlignment="0" applyProtection="0"/>
    <xf numFmtId="0" fontId="35" fillId="88" borderId="740" applyNumberFormat="0" applyAlignment="0" applyProtection="0"/>
    <xf numFmtId="0" fontId="20" fillId="0" borderId="739">
      <alignment horizontal="left" vertical="center"/>
    </xf>
    <xf numFmtId="10" fontId="42" fillId="52" borderId="738" applyNumberFormat="0" applyBorder="0" applyAlignment="0" applyProtection="0"/>
    <xf numFmtId="0" fontId="51" fillId="84" borderId="740" applyNumberFormat="0" applyAlignment="0" applyProtection="0"/>
    <xf numFmtId="0" fontId="51" fillId="84" borderId="740" applyNumberFormat="0" applyAlignment="0" applyProtection="0"/>
    <xf numFmtId="0" fontId="51" fillId="62" borderId="740" applyNumberFormat="0" applyAlignment="0" applyProtection="0"/>
    <xf numFmtId="0" fontId="24" fillId="75" borderId="737" applyNumberFormat="0" applyFont="0" applyAlignment="0" applyProtection="0"/>
    <xf numFmtId="0" fontId="27" fillId="95" borderId="737" applyNumberFormat="0" applyFont="0" applyAlignment="0" applyProtection="0"/>
    <xf numFmtId="0" fontId="27" fillId="95" borderId="737" applyNumberFormat="0" applyFont="0" applyAlignment="0" applyProtection="0"/>
    <xf numFmtId="0" fontId="35" fillId="88" borderId="943" applyNumberFormat="0" applyAlignment="0" applyProtection="0"/>
    <xf numFmtId="0" fontId="51" fillId="84" borderId="903" applyNumberFormat="0" applyAlignment="0" applyProtection="0"/>
    <xf numFmtId="0" fontId="29" fillId="0" borderId="747" applyNumberFormat="0" applyFill="0" applyAlignment="0" applyProtection="0"/>
    <xf numFmtId="0" fontId="29" fillId="0" borderId="748" applyNumberFormat="0" applyFill="0" applyAlignment="0" applyProtection="0"/>
    <xf numFmtId="0" fontId="56" fillId="56" borderId="985" applyNumberFormat="0" applyAlignment="0" applyProtection="0"/>
    <xf numFmtId="0" fontId="56" fillId="88" borderId="904" applyNumberFormat="0" applyAlignment="0" applyProtection="0"/>
    <xf numFmtId="0" fontId="24" fillId="75" borderId="1247" applyNumberFormat="0" applyFont="0" applyAlignment="0" applyProtection="0"/>
    <xf numFmtId="49" fontId="37" fillId="0" borderId="743">
      <alignment horizontal="right" wrapText="1"/>
    </xf>
    <xf numFmtId="0" fontId="51" fillId="62" borderId="765" applyNumberFormat="0" applyAlignment="0" applyProtection="0"/>
    <xf numFmtId="0" fontId="51" fillId="84" borderId="765" applyNumberFormat="0" applyAlignment="0" applyProtection="0"/>
    <xf numFmtId="0" fontId="51" fillId="84" borderId="765" applyNumberFormat="0" applyAlignment="0" applyProtection="0"/>
    <xf numFmtId="10" fontId="42" fillId="52" borderId="762" applyNumberFormat="0" applyBorder="0" applyAlignment="0" applyProtection="0"/>
    <xf numFmtId="0" fontId="20" fillId="0" borderId="764">
      <alignment horizontal="left" vertical="center"/>
    </xf>
    <xf numFmtId="0" fontId="35" fillId="88" borderId="765" applyNumberFormat="0" applyAlignment="0" applyProtection="0"/>
    <xf numFmtId="0" fontId="34" fillId="56" borderId="765" applyNumberFormat="0" applyAlignment="0" applyProtection="0"/>
    <xf numFmtId="0" fontId="34" fillId="56" borderId="753" applyNumberFormat="0" applyAlignment="0" applyProtection="0"/>
    <xf numFmtId="0" fontId="35" fillId="88" borderId="753" applyNumberFormat="0" applyAlignment="0" applyProtection="0"/>
    <xf numFmtId="0" fontId="20" fillId="0" borderId="752">
      <alignment horizontal="left" vertical="center"/>
    </xf>
    <xf numFmtId="10" fontId="42" fillId="52" borderId="750" applyNumberFormat="0" applyBorder="0" applyAlignment="0" applyProtection="0"/>
    <xf numFmtId="0" fontId="51" fillId="84" borderId="753" applyNumberFormat="0" applyAlignment="0" applyProtection="0"/>
    <xf numFmtId="0" fontId="51" fillId="84" borderId="753" applyNumberFormat="0" applyAlignment="0" applyProtection="0"/>
    <xf numFmtId="0" fontId="51" fillId="62" borderId="753" applyNumberFormat="0" applyAlignment="0" applyProtection="0"/>
    <xf numFmtId="0" fontId="24" fillId="75" borderId="749" applyNumberFormat="0" applyFont="0" applyAlignment="0" applyProtection="0"/>
    <xf numFmtId="0" fontId="27" fillId="95" borderId="749" applyNumberFormat="0" applyFont="0" applyAlignment="0" applyProtection="0"/>
    <xf numFmtId="0" fontId="27" fillId="95" borderId="749" applyNumberFormat="0" applyFont="0" applyAlignment="0" applyProtection="0"/>
    <xf numFmtId="0" fontId="51" fillId="62" borderId="1064" applyNumberFormat="0" applyAlignment="0" applyProtection="0"/>
    <xf numFmtId="0" fontId="56" fillId="56" borderId="1212" applyNumberFormat="0" applyAlignment="0" applyProtection="0"/>
    <xf numFmtId="49" fontId="37" fillId="0" borderId="751">
      <alignment horizontal="right" wrapText="1"/>
    </xf>
    <xf numFmtId="0" fontId="34" fillId="56" borderId="753" applyNumberFormat="0" applyAlignment="0" applyProtection="0"/>
    <xf numFmtId="0" fontId="35" fillId="88" borderId="753" applyNumberFormat="0" applyAlignment="0" applyProtection="0"/>
    <xf numFmtId="0" fontId="20" fillId="0" borderId="752">
      <alignment horizontal="left" vertical="center"/>
    </xf>
    <xf numFmtId="10" fontId="42" fillId="52" borderId="750" applyNumberFormat="0" applyBorder="0" applyAlignment="0" applyProtection="0"/>
    <xf numFmtId="0" fontId="51" fillId="84" borderId="753" applyNumberFormat="0" applyAlignment="0" applyProtection="0"/>
    <xf numFmtId="0" fontId="51" fillId="84" borderId="753" applyNumberFormat="0" applyAlignment="0" applyProtection="0"/>
    <xf numFmtId="0" fontId="51" fillId="62" borderId="753" applyNumberFormat="0" applyAlignment="0" applyProtection="0"/>
    <xf numFmtId="0" fontId="24" fillId="75" borderId="749" applyNumberFormat="0" applyFont="0" applyAlignment="0" applyProtection="0"/>
    <xf numFmtId="0" fontId="27" fillId="95" borderId="749" applyNumberFormat="0" applyFont="0" applyAlignment="0" applyProtection="0"/>
    <xf numFmtId="0" fontId="27" fillId="95" borderId="749" applyNumberFormat="0" applyFont="0" applyAlignment="0" applyProtection="0"/>
    <xf numFmtId="0" fontId="56" fillId="56" borderId="754" applyNumberFormat="0" applyAlignment="0" applyProtection="0"/>
    <xf numFmtId="0" fontId="56" fillId="88" borderId="754" applyNumberFormat="0" applyAlignment="0" applyProtection="0"/>
    <xf numFmtId="0" fontId="29" fillId="0" borderId="755" applyNumberFormat="0" applyFill="0" applyAlignment="0" applyProtection="0"/>
    <xf numFmtId="0" fontId="29" fillId="0" borderId="756" applyNumberFormat="0" applyFill="0" applyAlignment="0" applyProtection="0"/>
    <xf numFmtId="0" fontId="20" fillId="0" borderId="866">
      <alignment horizontal="left" vertical="center"/>
    </xf>
    <xf numFmtId="49" fontId="37" fillId="0" borderId="751">
      <alignment horizontal="right" wrapText="1"/>
    </xf>
    <xf numFmtId="0" fontId="34" fillId="56" borderId="760" applyNumberFormat="0" applyAlignment="0" applyProtection="0"/>
    <xf numFmtId="0" fontId="35" fillId="88" borderId="760" applyNumberFormat="0" applyAlignment="0" applyProtection="0"/>
    <xf numFmtId="0" fontId="20" fillId="0" borderId="759">
      <alignment horizontal="left" vertical="center"/>
    </xf>
    <xf numFmtId="10" fontId="42" fillId="52" borderId="758" applyNumberFormat="0" applyBorder="0" applyAlignment="0" applyProtection="0"/>
    <xf numFmtId="0" fontId="51" fillId="84" borderId="760" applyNumberFormat="0" applyAlignment="0" applyProtection="0"/>
    <xf numFmtId="0" fontId="51" fillId="84" borderId="760" applyNumberFormat="0" applyAlignment="0" applyProtection="0"/>
    <xf numFmtId="0" fontId="51" fillId="62" borderId="760" applyNumberFormat="0" applyAlignment="0" applyProtection="0"/>
    <xf numFmtId="0" fontId="24" fillId="75" borderId="757" applyNumberFormat="0" applyFont="0" applyAlignment="0" applyProtection="0"/>
    <xf numFmtId="0" fontId="27" fillId="95" borderId="757" applyNumberFormat="0" applyFont="0" applyAlignment="0" applyProtection="0"/>
    <xf numFmtId="0" fontId="27" fillId="95" borderId="757" applyNumberFormat="0" applyFont="0" applyAlignment="0" applyProtection="0"/>
    <xf numFmtId="0" fontId="24" fillId="75" borderId="761" applyNumberFormat="0" applyFont="0" applyAlignment="0" applyProtection="0"/>
    <xf numFmtId="0" fontId="27" fillId="95" borderId="761" applyNumberFormat="0" applyFont="0" applyAlignment="0" applyProtection="0"/>
    <xf numFmtId="0" fontId="27" fillId="95" borderId="761" applyNumberFormat="0" applyFont="0" applyAlignment="0" applyProtection="0"/>
    <xf numFmtId="0" fontId="56" fillId="56" borderId="766" applyNumberFormat="0" applyAlignment="0" applyProtection="0"/>
    <xf numFmtId="0" fontId="56" fillId="88" borderId="766" applyNumberFormat="0" applyAlignment="0" applyProtection="0"/>
    <xf numFmtId="0" fontId="29" fillId="0" borderId="767" applyNumberFormat="0" applyFill="0" applyAlignment="0" applyProtection="0"/>
    <xf numFmtId="0" fontId="29" fillId="0" borderId="768" applyNumberFormat="0" applyFill="0" applyAlignment="0" applyProtection="0"/>
    <xf numFmtId="49" fontId="37" fillId="0" borderId="763">
      <alignment horizontal="right" wrapText="1"/>
    </xf>
    <xf numFmtId="0" fontId="34" fillId="56" borderId="773" applyNumberFormat="0" applyAlignment="0" applyProtection="0"/>
    <xf numFmtId="0" fontId="35" fillId="88" borderId="773" applyNumberFormat="0" applyAlignment="0" applyProtection="0"/>
    <xf numFmtId="0" fontId="20" fillId="0" borderId="772">
      <alignment horizontal="left" vertical="center"/>
    </xf>
    <xf numFmtId="10" fontId="42" fillId="52" borderId="770" applyNumberFormat="0" applyBorder="0" applyAlignment="0" applyProtection="0"/>
    <xf numFmtId="0" fontId="51" fillId="84" borderId="773" applyNumberFormat="0" applyAlignment="0" applyProtection="0"/>
    <xf numFmtId="0" fontId="51" fillId="84" borderId="773" applyNumberFormat="0" applyAlignment="0" applyProtection="0"/>
    <xf numFmtId="0" fontId="51" fillId="62" borderId="773" applyNumberFormat="0" applyAlignment="0" applyProtection="0"/>
    <xf numFmtId="0" fontId="24" fillId="75" borderId="769" applyNumberFormat="0" applyFont="0" applyAlignment="0" applyProtection="0"/>
    <xf numFmtId="0" fontId="27" fillId="95" borderId="769" applyNumberFormat="0" applyFont="0" applyAlignment="0" applyProtection="0"/>
    <xf numFmtId="0" fontId="27" fillId="95" borderId="769" applyNumberFormat="0" applyFont="0" applyAlignment="0" applyProtection="0"/>
    <xf numFmtId="0" fontId="56" fillId="56" borderId="774" applyNumberFormat="0" applyAlignment="0" applyProtection="0"/>
    <xf numFmtId="0" fontId="56" fillId="88" borderId="774" applyNumberFormat="0" applyAlignment="0" applyProtection="0"/>
    <xf numFmtId="0" fontId="29" fillId="0" borderId="775" applyNumberFormat="0" applyFill="0" applyAlignment="0" applyProtection="0"/>
    <xf numFmtId="0" fontId="29" fillId="0" borderId="776" applyNumberFormat="0" applyFill="0" applyAlignment="0" applyProtection="0"/>
    <xf numFmtId="49" fontId="37" fillId="0" borderId="771">
      <alignment horizontal="right" wrapText="1"/>
    </xf>
    <xf numFmtId="0" fontId="34" fillId="56" borderId="780" applyNumberFormat="0" applyAlignment="0" applyProtection="0"/>
    <xf numFmtId="0" fontId="35" fillId="88" borderId="780" applyNumberFormat="0" applyAlignment="0" applyProtection="0"/>
    <xf numFmtId="0" fontId="20" fillId="0" borderId="779">
      <alignment horizontal="left" vertical="center"/>
    </xf>
    <xf numFmtId="10" fontId="42" fillId="52" borderId="778" applyNumberFormat="0" applyBorder="0" applyAlignment="0" applyProtection="0"/>
    <xf numFmtId="0" fontId="51" fillId="84" borderId="780" applyNumberFormat="0" applyAlignment="0" applyProtection="0"/>
    <xf numFmtId="0" fontId="51" fillId="84" borderId="780" applyNumberFormat="0" applyAlignment="0" applyProtection="0"/>
    <xf numFmtId="0" fontId="51" fillId="62" borderId="780" applyNumberFormat="0" applyAlignment="0" applyProtection="0"/>
    <xf numFmtId="0" fontId="24" fillId="75" borderId="777" applyNumberFormat="0" applyFont="0" applyAlignment="0" applyProtection="0"/>
    <xf numFmtId="0" fontId="27" fillId="95" borderId="777" applyNumberFormat="0" applyFont="0" applyAlignment="0" applyProtection="0"/>
    <xf numFmtId="0" fontId="27" fillId="95" borderId="777" applyNumberFormat="0" applyFont="0" applyAlignment="0" applyProtection="0"/>
    <xf numFmtId="0" fontId="56" fillId="56" borderId="1025" applyNumberFormat="0" applyAlignment="0" applyProtection="0"/>
    <xf numFmtId="0" fontId="51" fillId="84" borderId="984" applyNumberFormat="0" applyAlignment="0" applyProtection="0"/>
    <xf numFmtId="0" fontId="29" fillId="0" borderId="788" applyNumberFormat="0" applyFill="0" applyAlignment="0" applyProtection="0"/>
    <xf numFmtId="0" fontId="29" fillId="0" borderId="789" applyNumberFormat="0" applyFill="0" applyAlignment="0" applyProtection="0"/>
    <xf numFmtId="0" fontId="20" fillId="0" borderId="902">
      <alignment horizontal="left" vertical="center"/>
    </xf>
    <xf numFmtId="0" fontId="56" fillId="88" borderId="985" applyNumberFormat="0" applyAlignment="0" applyProtection="0"/>
    <xf numFmtId="0" fontId="27" fillId="95" borderId="1207" applyNumberFormat="0" applyFont="0" applyAlignment="0" applyProtection="0"/>
    <xf numFmtId="0" fontId="51" fillId="84" borderId="1096" applyNumberFormat="0" applyAlignment="0" applyProtection="0"/>
    <xf numFmtId="49" fontId="37" fillId="0" borderId="784">
      <alignment horizontal="right" wrapText="1"/>
    </xf>
    <xf numFmtId="0" fontId="51" fillId="62" borderId="806" applyNumberFormat="0" applyAlignment="0" applyProtection="0"/>
    <xf numFmtId="0" fontId="51" fillId="84" borderId="806" applyNumberFormat="0" applyAlignment="0" applyProtection="0"/>
    <xf numFmtId="0" fontId="51" fillId="84" borderId="806" applyNumberFormat="0" applyAlignment="0" applyProtection="0"/>
    <xf numFmtId="10" fontId="42" fillId="52" borderId="803" applyNumberFormat="0" applyBorder="0" applyAlignment="0" applyProtection="0"/>
    <xf numFmtId="0" fontId="20" fillId="0" borderId="805">
      <alignment horizontal="left" vertical="center"/>
    </xf>
    <xf numFmtId="0" fontId="35" fillId="88" borderId="806" applyNumberFormat="0" applyAlignment="0" applyProtection="0"/>
    <xf numFmtId="0" fontId="34" fillId="56" borderId="806" applyNumberFormat="0" applyAlignment="0" applyProtection="0"/>
    <xf numFmtId="0" fontId="34" fillId="56" borderId="794" applyNumberFormat="0" applyAlignment="0" applyProtection="0"/>
    <xf numFmtId="0" fontId="35" fillId="88" borderId="794" applyNumberFormat="0" applyAlignment="0" applyProtection="0"/>
    <xf numFmtId="0" fontId="20" fillId="0" borderId="793">
      <alignment horizontal="left" vertical="center"/>
    </xf>
    <xf numFmtId="10" fontId="42" fillId="52" borderId="791" applyNumberFormat="0" applyBorder="0" applyAlignment="0" applyProtection="0"/>
    <xf numFmtId="0" fontId="51" fillId="84" borderId="794" applyNumberFormat="0" applyAlignment="0" applyProtection="0"/>
    <xf numFmtId="0" fontId="51" fillId="84" borderId="794" applyNumberFormat="0" applyAlignment="0" applyProtection="0"/>
    <xf numFmtId="0" fontId="51" fillId="62" borderId="794" applyNumberFormat="0" applyAlignment="0" applyProtection="0"/>
    <xf numFmtId="0" fontId="24" fillId="75" borderId="790" applyNumberFormat="0" applyFont="0" applyAlignment="0" applyProtection="0"/>
    <xf numFmtId="0" fontId="27" fillId="95" borderId="790" applyNumberFormat="0" applyFont="0" applyAlignment="0" applyProtection="0"/>
    <xf numFmtId="0" fontId="27" fillId="95" borderId="790" applyNumberFormat="0" applyFont="0" applyAlignment="0" applyProtection="0"/>
    <xf numFmtId="0" fontId="24" fillId="75" borderId="980" applyNumberFormat="0" applyFont="0" applyAlignment="0" applyProtection="0"/>
    <xf numFmtId="0" fontId="20" fillId="0" borderId="1330">
      <alignment horizontal="left" vertical="center"/>
    </xf>
    <xf numFmtId="49" fontId="37" fillId="0" borderId="792">
      <alignment horizontal="right" wrapText="1"/>
    </xf>
    <xf numFmtId="0" fontId="34" fillId="56" borderId="794" applyNumberFormat="0" applyAlignment="0" applyProtection="0"/>
    <xf numFmtId="0" fontId="35" fillId="88" borderId="794" applyNumberFormat="0" applyAlignment="0" applyProtection="0"/>
    <xf numFmtId="0" fontId="20" fillId="0" borderId="793">
      <alignment horizontal="left" vertical="center"/>
    </xf>
    <xf numFmtId="10" fontId="42" fillId="52" borderId="791" applyNumberFormat="0" applyBorder="0" applyAlignment="0" applyProtection="0"/>
    <xf numFmtId="0" fontId="51" fillId="84" borderId="794" applyNumberFormat="0" applyAlignment="0" applyProtection="0"/>
    <xf numFmtId="0" fontId="51" fillId="84" borderId="794" applyNumberFormat="0" applyAlignment="0" applyProtection="0"/>
    <xf numFmtId="0" fontId="51" fillId="62" borderId="794" applyNumberFormat="0" applyAlignment="0" applyProtection="0"/>
    <xf numFmtId="0" fontId="24" fillId="75" borderId="790" applyNumberFormat="0" applyFont="0" applyAlignment="0" applyProtection="0"/>
    <xf numFmtId="0" fontId="27" fillId="95" borderId="790" applyNumberFormat="0" applyFont="0" applyAlignment="0" applyProtection="0"/>
    <xf numFmtId="0" fontId="27" fillId="95" borderId="790" applyNumberFormat="0" applyFont="0" applyAlignment="0" applyProtection="0"/>
    <xf numFmtId="0" fontId="56" fillId="56" borderId="795" applyNumberFormat="0" applyAlignment="0" applyProtection="0"/>
    <xf numFmtId="0" fontId="56" fillId="88" borderId="795" applyNumberFormat="0" applyAlignment="0" applyProtection="0"/>
    <xf numFmtId="0" fontId="29" fillId="0" borderId="796" applyNumberFormat="0" applyFill="0" applyAlignment="0" applyProtection="0"/>
    <xf numFmtId="0" fontId="29" fillId="0" borderId="797" applyNumberFormat="0" applyFill="0" applyAlignment="0" applyProtection="0"/>
    <xf numFmtId="0" fontId="27" fillId="95" borderId="980" applyNumberFormat="0" applyFont="0" applyAlignment="0" applyProtection="0"/>
    <xf numFmtId="49" fontId="37" fillId="0" borderId="792">
      <alignment horizontal="right" wrapText="1"/>
    </xf>
    <xf numFmtId="0" fontId="34" fillId="56" borderId="801" applyNumberFormat="0" applyAlignment="0" applyProtection="0"/>
    <xf numFmtId="0" fontId="35" fillId="88" borderId="801" applyNumberFormat="0" applyAlignment="0" applyProtection="0"/>
    <xf numFmtId="0" fontId="20" fillId="0" borderId="800">
      <alignment horizontal="left" vertical="center"/>
    </xf>
    <xf numFmtId="10" fontId="42" fillId="52" borderId="799" applyNumberFormat="0" applyBorder="0" applyAlignment="0" applyProtection="0"/>
    <xf numFmtId="0" fontId="51" fillId="84" borderId="801" applyNumberFormat="0" applyAlignment="0" applyProtection="0"/>
    <xf numFmtId="0" fontId="51" fillId="84" borderId="801" applyNumberFormat="0" applyAlignment="0" applyProtection="0"/>
    <xf numFmtId="0" fontId="51" fillId="62" borderId="801" applyNumberFormat="0" applyAlignment="0" applyProtection="0"/>
    <xf numFmtId="0" fontId="24" fillId="75" borderId="798" applyNumberFormat="0" applyFont="0" applyAlignment="0" applyProtection="0"/>
    <xf numFmtId="0" fontId="27" fillId="95" borderId="798" applyNumberFormat="0" applyFont="0" applyAlignment="0" applyProtection="0"/>
    <xf numFmtId="0" fontId="27" fillId="95" borderId="798" applyNumberFormat="0" applyFont="0" applyAlignment="0" applyProtection="0"/>
    <xf numFmtId="0" fontId="24" fillId="75" borderId="802" applyNumberFormat="0" applyFont="0" applyAlignment="0" applyProtection="0"/>
    <xf numFmtId="0" fontId="27" fillId="95" borderId="802" applyNumberFormat="0" applyFont="0" applyAlignment="0" applyProtection="0"/>
    <xf numFmtId="0" fontId="27" fillId="95" borderId="802" applyNumberFormat="0" applyFont="0" applyAlignment="0" applyProtection="0"/>
    <xf numFmtId="0" fontId="56" fillId="56" borderId="807" applyNumberFormat="0" applyAlignment="0" applyProtection="0"/>
    <xf numFmtId="0" fontId="56" fillId="88" borderId="807" applyNumberFormat="0" applyAlignment="0" applyProtection="0"/>
    <xf numFmtId="0" fontId="29" fillId="0" borderId="808" applyNumberFormat="0" applyFill="0" applyAlignment="0" applyProtection="0"/>
    <xf numFmtId="0" fontId="29" fillId="0" borderId="809" applyNumberFormat="0" applyFill="0" applyAlignment="0" applyProtection="0"/>
    <xf numFmtId="49" fontId="37" fillId="0" borderId="804">
      <alignment horizontal="right" wrapText="1"/>
    </xf>
    <xf numFmtId="0" fontId="34" fillId="56" borderId="814" applyNumberFormat="0" applyAlignment="0" applyProtection="0"/>
    <xf numFmtId="0" fontId="35" fillId="88" borderId="814" applyNumberFormat="0" applyAlignment="0" applyProtection="0"/>
    <xf numFmtId="0" fontId="20" fillId="0" borderId="813">
      <alignment horizontal="left" vertical="center"/>
    </xf>
    <xf numFmtId="10" fontId="42" fillId="52" borderId="811" applyNumberFormat="0" applyBorder="0" applyAlignment="0" applyProtection="0"/>
    <xf numFmtId="0" fontId="51" fillId="84" borderId="814" applyNumberFormat="0" applyAlignment="0" applyProtection="0"/>
    <xf numFmtId="0" fontId="51" fillId="84" borderId="814" applyNumberFormat="0" applyAlignment="0" applyProtection="0"/>
    <xf numFmtId="0" fontId="51" fillId="62" borderId="814" applyNumberFormat="0" applyAlignment="0" applyProtection="0"/>
    <xf numFmtId="0" fontId="24" fillId="75" borderId="810" applyNumberFormat="0" applyFont="0" applyAlignment="0" applyProtection="0"/>
    <xf numFmtId="0" fontId="27" fillId="95" borderId="810" applyNumberFormat="0" applyFont="0" applyAlignment="0" applyProtection="0"/>
    <xf numFmtId="0" fontId="27" fillId="95" borderId="810" applyNumberFormat="0" applyFont="0" applyAlignment="0" applyProtection="0"/>
    <xf numFmtId="0" fontId="56" fillId="56" borderId="815" applyNumberFormat="0" applyAlignment="0" applyProtection="0"/>
    <xf numFmtId="0" fontId="56" fillId="88" borderId="815" applyNumberFormat="0" applyAlignment="0" applyProtection="0"/>
    <xf numFmtId="0" fontId="29" fillId="0" borderId="816" applyNumberFormat="0" applyFill="0" applyAlignment="0" applyProtection="0"/>
    <xf numFmtId="0" fontId="29" fillId="0" borderId="817" applyNumberFormat="0" applyFill="0" applyAlignment="0" applyProtection="0"/>
    <xf numFmtId="49" fontId="37" fillId="0" borderId="812">
      <alignment horizontal="right" wrapText="1"/>
    </xf>
    <xf numFmtId="0" fontId="34" fillId="56" borderId="821" applyNumberFormat="0" applyAlignment="0" applyProtection="0"/>
    <xf numFmtId="0" fontId="35" fillId="88" borderId="821" applyNumberFormat="0" applyAlignment="0" applyProtection="0"/>
    <xf numFmtId="0" fontId="20" fillId="0" borderId="820">
      <alignment horizontal="left" vertical="center"/>
    </xf>
    <xf numFmtId="10" fontId="42" fillId="52" borderId="819" applyNumberFormat="0" applyBorder="0" applyAlignment="0" applyProtection="0"/>
    <xf numFmtId="0" fontId="51" fillId="84" borderId="821" applyNumberFormat="0" applyAlignment="0" applyProtection="0"/>
    <xf numFmtId="0" fontId="51" fillId="84" borderId="821" applyNumberFormat="0" applyAlignment="0" applyProtection="0"/>
    <xf numFmtId="0" fontId="51" fillId="62" borderId="821" applyNumberFormat="0" applyAlignment="0" applyProtection="0"/>
    <xf numFmtId="0" fontId="24" fillId="75" borderId="818" applyNumberFormat="0" applyFont="0" applyAlignment="0" applyProtection="0"/>
    <xf numFmtId="0" fontId="27" fillId="95" borderId="818" applyNumberFormat="0" applyFont="0" applyAlignment="0" applyProtection="0"/>
    <xf numFmtId="0" fontId="27" fillId="95" borderId="818" applyNumberFormat="0" applyFont="0" applyAlignment="0" applyProtection="0"/>
    <xf numFmtId="0" fontId="20" fillId="0" borderId="1170">
      <alignment horizontal="left" vertical="center"/>
    </xf>
    <xf numFmtId="0" fontId="34" fillId="56" borderId="1096" applyNumberFormat="0" applyAlignment="0" applyProtection="0"/>
    <xf numFmtId="0" fontId="29" fillId="0" borderId="829" applyNumberFormat="0" applyFill="0" applyAlignment="0" applyProtection="0"/>
    <xf numFmtId="0" fontId="29" fillId="0" borderId="830" applyNumberFormat="0" applyFill="0" applyAlignment="0" applyProtection="0"/>
    <xf numFmtId="0" fontId="51" fillId="62" borderId="1211" applyNumberFormat="0" applyAlignment="0" applyProtection="0"/>
    <xf numFmtId="0" fontId="34" fillId="56" borderId="1171" applyNumberFormat="0" applyAlignment="0" applyProtection="0"/>
    <xf numFmtId="49" fontId="37" fillId="0" borderId="825">
      <alignment horizontal="right" wrapText="1"/>
    </xf>
    <xf numFmtId="0" fontId="51" fillId="62" borderId="847" applyNumberFormat="0" applyAlignment="0" applyProtection="0"/>
    <xf numFmtId="0" fontId="51" fillId="84" borderId="847" applyNumberFormat="0" applyAlignment="0" applyProtection="0"/>
    <xf numFmtId="0" fontId="51" fillId="84" borderId="847" applyNumberFormat="0" applyAlignment="0" applyProtection="0"/>
    <xf numFmtId="10" fontId="42" fillId="52" borderId="844" applyNumberFormat="0" applyBorder="0" applyAlignment="0" applyProtection="0"/>
    <xf numFmtId="0" fontId="20" fillId="0" borderId="846">
      <alignment horizontal="left" vertical="center"/>
    </xf>
    <xf numFmtId="0" fontId="35" fillId="88" borderId="847" applyNumberFormat="0" applyAlignment="0" applyProtection="0"/>
    <xf numFmtId="0" fontId="34" fillId="56" borderId="847" applyNumberFormat="0" applyAlignment="0" applyProtection="0"/>
    <xf numFmtId="0" fontId="34" fillId="56" borderId="835" applyNumberFormat="0" applyAlignment="0" applyProtection="0"/>
    <xf numFmtId="0" fontId="35" fillId="88" borderId="835" applyNumberFormat="0" applyAlignment="0" applyProtection="0"/>
    <xf numFmtId="0" fontId="20" fillId="0" borderId="834">
      <alignment horizontal="left" vertical="center"/>
    </xf>
    <xf numFmtId="10" fontId="42" fillId="52" borderId="832" applyNumberFormat="0" applyBorder="0" applyAlignment="0" applyProtection="0"/>
    <xf numFmtId="0" fontId="51" fillId="84" borderId="835" applyNumberFormat="0" applyAlignment="0" applyProtection="0"/>
    <xf numFmtId="0" fontId="51" fillId="84" borderId="835" applyNumberFormat="0" applyAlignment="0" applyProtection="0"/>
    <xf numFmtId="0" fontId="51" fillId="62" borderId="835" applyNumberFormat="0" applyAlignment="0" applyProtection="0"/>
    <xf numFmtId="0" fontId="24" fillId="75" borderId="831" applyNumberFormat="0" applyFont="0" applyAlignment="0" applyProtection="0"/>
    <xf numFmtId="0" fontId="27" fillId="95" borderId="831" applyNumberFormat="0" applyFont="0" applyAlignment="0" applyProtection="0"/>
    <xf numFmtId="0" fontId="27" fillId="95" borderId="831" applyNumberFormat="0" applyFont="0" applyAlignment="0" applyProtection="0"/>
    <xf numFmtId="0" fontId="51" fillId="84" borderId="1024" applyNumberFormat="0" applyAlignment="0" applyProtection="0"/>
    <xf numFmtId="49" fontId="37" fillId="0" borderId="833">
      <alignment horizontal="right" wrapText="1"/>
    </xf>
    <xf numFmtId="0" fontId="34" fillId="56" borderId="835" applyNumberFormat="0" applyAlignment="0" applyProtection="0"/>
    <xf numFmtId="0" fontId="35" fillId="88" borderId="835" applyNumberFormat="0" applyAlignment="0" applyProtection="0"/>
    <xf numFmtId="0" fontId="20" fillId="0" borderId="834">
      <alignment horizontal="left" vertical="center"/>
    </xf>
    <xf numFmtId="10" fontId="42" fillId="52" borderId="832" applyNumberFormat="0" applyBorder="0" applyAlignment="0" applyProtection="0"/>
    <xf numFmtId="0" fontId="51" fillId="84" borderId="835" applyNumberFormat="0" applyAlignment="0" applyProtection="0"/>
    <xf numFmtId="0" fontId="51" fillId="84" borderId="835" applyNumberFormat="0" applyAlignment="0" applyProtection="0"/>
    <xf numFmtId="0" fontId="51" fillId="62" borderId="835" applyNumberFormat="0" applyAlignment="0" applyProtection="0"/>
    <xf numFmtId="0" fontId="24" fillId="75" borderId="831" applyNumberFormat="0" applyFont="0" applyAlignment="0" applyProtection="0"/>
    <xf numFmtId="0" fontId="27" fillId="95" borderId="831" applyNumberFormat="0" applyFont="0" applyAlignment="0" applyProtection="0"/>
    <xf numFmtId="0" fontId="27" fillId="95" borderId="831" applyNumberFormat="0" applyFont="0" applyAlignment="0" applyProtection="0"/>
    <xf numFmtId="0" fontId="56" fillId="56" borderId="836" applyNumberFormat="0" applyAlignment="0" applyProtection="0"/>
    <xf numFmtId="0" fontId="56" fillId="88" borderId="836" applyNumberFormat="0" applyAlignment="0" applyProtection="0"/>
    <xf numFmtId="0" fontId="29" fillId="0" borderId="837" applyNumberFormat="0" applyFill="0" applyAlignment="0" applyProtection="0"/>
    <xf numFmtId="0" fontId="29" fillId="0" borderId="838" applyNumberFormat="0" applyFill="0" applyAlignment="0" applyProtection="0"/>
    <xf numFmtId="49" fontId="37" fillId="0" borderId="833">
      <alignment horizontal="right" wrapText="1"/>
    </xf>
    <xf numFmtId="0" fontId="34" fillId="56" borderId="842" applyNumberFormat="0" applyAlignment="0" applyProtection="0"/>
    <xf numFmtId="0" fontId="35" fillId="88" borderId="842" applyNumberFormat="0" applyAlignment="0" applyProtection="0"/>
    <xf numFmtId="0" fontId="20" fillId="0" borderId="841">
      <alignment horizontal="left" vertical="center"/>
    </xf>
    <xf numFmtId="10" fontId="42" fillId="52" borderId="840" applyNumberFormat="0" applyBorder="0" applyAlignment="0" applyProtection="0"/>
    <xf numFmtId="0" fontId="51" fillId="84" borderId="842" applyNumberFormat="0" applyAlignment="0" applyProtection="0"/>
    <xf numFmtId="0" fontId="51" fillId="84" borderId="842" applyNumberFormat="0" applyAlignment="0" applyProtection="0"/>
    <xf numFmtId="0" fontId="51" fillId="62" borderId="842" applyNumberFormat="0" applyAlignment="0" applyProtection="0"/>
    <xf numFmtId="0" fontId="24" fillId="75" borderId="839" applyNumberFormat="0" applyFont="0" applyAlignment="0" applyProtection="0"/>
    <xf numFmtId="0" fontId="27" fillId="95" borderId="839" applyNumberFormat="0" applyFont="0" applyAlignment="0" applyProtection="0"/>
    <xf numFmtId="0" fontId="27" fillId="95" borderId="839" applyNumberFormat="0" applyFont="0" applyAlignment="0" applyProtection="0"/>
    <xf numFmtId="0" fontId="24" fillId="75" borderId="843" applyNumberFormat="0" applyFont="0" applyAlignment="0" applyProtection="0"/>
    <xf numFmtId="0" fontId="27" fillId="95" borderId="843" applyNumberFormat="0" applyFont="0" applyAlignment="0" applyProtection="0"/>
    <xf numFmtId="0" fontId="27" fillId="95" borderId="843" applyNumberFormat="0" applyFont="0" applyAlignment="0" applyProtection="0"/>
    <xf numFmtId="0" fontId="56" fillId="56" borderId="848" applyNumberFormat="0" applyAlignment="0" applyProtection="0"/>
    <xf numFmtId="0" fontId="56" fillId="88" borderId="848" applyNumberFormat="0" applyAlignment="0" applyProtection="0"/>
    <xf numFmtId="0" fontId="29" fillId="0" borderId="849" applyNumberFormat="0" applyFill="0" applyAlignment="0" applyProtection="0"/>
    <xf numFmtId="0" fontId="29" fillId="0" borderId="850" applyNumberFormat="0" applyFill="0" applyAlignment="0" applyProtection="0"/>
    <xf numFmtId="49" fontId="37" fillId="0" borderId="845">
      <alignment horizontal="right" wrapText="1"/>
    </xf>
    <xf numFmtId="0" fontId="34" fillId="56" borderId="855" applyNumberFormat="0" applyAlignment="0" applyProtection="0"/>
    <xf numFmtId="0" fontId="35" fillId="88" borderId="855" applyNumberFormat="0" applyAlignment="0" applyProtection="0"/>
    <xf numFmtId="0" fontId="20" fillId="0" borderId="854">
      <alignment horizontal="left" vertical="center"/>
    </xf>
    <xf numFmtId="10" fontId="42" fillId="52" borderId="852" applyNumberFormat="0" applyBorder="0" applyAlignment="0" applyProtection="0"/>
    <xf numFmtId="0" fontId="51" fillId="84" borderId="855" applyNumberFormat="0" applyAlignment="0" applyProtection="0"/>
    <xf numFmtId="0" fontId="51" fillId="84" borderId="855" applyNumberFormat="0" applyAlignment="0" applyProtection="0"/>
    <xf numFmtId="0" fontId="51" fillId="62" borderId="855" applyNumberFormat="0" applyAlignment="0" applyProtection="0"/>
    <xf numFmtId="0" fontId="24" fillId="75" borderId="851" applyNumberFormat="0" applyFont="0" applyAlignment="0" applyProtection="0"/>
    <xf numFmtId="0" fontId="27" fillId="95" borderId="851" applyNumberFormat="0" applyFont="0" applyAlignment="0" applyProtection="0"/>
    <xf numFmtId="0" fontId="27" fillId="95" borderId="851" applyNumberFormat="0" applyFont="0" applyAlignment="0" applyProtection="0"/>
    <xf numFmtId="0" fontId="56" fillId="56" borderId="856" applyNumberFormat="0" applyAlignment="0" applyProtection="0"/>
    <xf numFmtId="0" fontId="56" fillId="88" borderId="856" applyNumberFormat="0" applyAlignment="0" applyProtection="0"/>
    <xf numFmtId="0" fontId="29" fillId="0" borderId="857" applyNumberFormat="0" applyFill="0" applyAlignment="0" applyProtection="0"/>
    <xf numFmtId="0" fontId="29" fillId="0" borderId="858" applyNumberFormat="0" applyFill="0" applyAlignment="0" applyProtection="0"/>
    <xf numFmtId="49" fontId="37" fillId="0" borderId="853">
      <alignment horizontal="right" wrapText="1"/>
    </xf>
    <xf numFmtId="0" fontId="34" fillId="56" borderId="862" applyNumberFormat="0" applyAlignment="0" applyProtection="0"/>
    <xf numFmtId="0" fontId="35" fillId="88" borderId="862" applyNumberFormat="0" applyAlignment="0" applyProtection="0"/>
    <xf numFmtId="0" fontId="20" fillId="0" borderId="861">
      <alignment horizontal="left" vertical="center"/>
    </xf>
    <xf numFmtId="10" fontId="42" fillId="52" borderId="860" applyNumberFormat="0" applyBorder="0" applyAlignment="0" applyProtection="0"/>
    <xf numFmtId="0" fontId="51" fillId="84" borderId="862" applyNumberFormat="0" applyAlignment="0" applyProtection="0"/>
    <xf numFmtId="0" fontId="51" fillId="84" borderId="862" applyNumberFormat="0" applyAlignment="0" applyProtection="0"/>
    <xf numFmtId="0" fontId="51" fillId="62" borderId="862" applyNumberFormat="0" applyAlignment="0" applyProtection="0"/>
    <xf numFmtId="0" fontId="24" fillId="75" borderId="859" applyNumberFormat="0" applyFont="0" applyAlignment="0" applyProtection="0"/>
    <xf numFmtId="0" fontId="27" fillId="95" borderId="859" applyNumberFormat="0" applyFont="0" applyAlignment="0" applyProtection="0"/>
    <xf numFmtId="0" fontId="27" fillId="95" borderId="859" applyNumberFormat="0" applyFont="0" applyAlignment="0" applyProtection="0"/>
    <xf numFmtId="10" fontId="42" fillId="52" borderId="981" applyNumberFormat="0" applyBorder="0" applyAlignment="0" applyProtection="0"/>
    <xf numFmtId="0" fontId="51" fillId="84" borderId="1171" applyNumberFormat="0" applyAlignment="0" applyProtection="0"/>
    <xf numFmtId="0" fontId="24" fillId="75" borderId="1092" applyNumberFormat="0" applyFont="0" applyAlignment="0" applyProtection="0"/>
    <xf numFmtId="0" fontId="20" fillId="0" borderId="942">
      <alignment horizontal="left" vertical="center"/>
    </xf>
    <xf numFmtId="10" fontId="42" fillId="52" borderId="1021" applyNumberFormat="0" applyBorder="0" applyAlignment="0" applyProtection="0"/>
    <xf numFmtId="49" fontId="37" fillId="0" borderId="865">
      <alignment horizontal="right" wrapText="1"/>
    </xf>
    <xf numFmtId="0" fontId="51" fillId="62" borderId="883" applyNumberFormat="0" applyAlignment="0" applyProtection="0"/>
    <xf numFmtId="0" fontId="51" fillId="84" borderId="883" applyNumberFormat="0" applyAlignment="0" applyProtection="0"/>
    <xf numFmtId="0" fontId="51" fillId="84" borderId="883" applyNumberFormat="0" applyAlignment="0" applyProtection="0"/>
    <xf numFmtId="10" fontId="42" fillId="52" borderId="880" applyNumberFormat="0" applyBorder="0" applyAlignment="0" applyProtection="0"/>
    <xf numFmtId="0" fontId="20" fillId="0" borderId="882">
      <alignment horizontal="left" vertical="center"/>
    </xf>
    <xf numFmtId="0" fontId="35" fillId="88" borderId="883" applyNumberFormat="0" applyAlignment="0" applyProtection="0"/>
    <xf numFmtId="0" fontId="34" fillId="56" borderId="883" applyNumberFormat="0" applyAlignment="0" applyProtection="0"/>
    <xf numFmtId="0" fontId="34" fillId="56" borderId="871" applyNumberFormat="0" applyAlignment="0" applyProtection="0"/>
    <xf numFmtId="0" fontId="35" fillId="88" borderId="871" applyNumberFormat="0" applyAlignment="0" applyProtection="0"/>
    <xf numFmtId="0" fontId="20" fillId="0" borderId="870">
      <alignment horizontal="left" vertical="center"/>
    </xf>
    <xf numFmtId="10" fontId="42" fillId="52" borderId="868" applyNumberFormat="0" applyBorder="0" applyAlignment="0" applyProtection="0"/>
    <xf numFmtId="0" fontId="51" fillId="84" borderId="871" applyNumberFormat="0" applyAlignment="0" applyProtection="0"/>
    <xf numFmtId="0" fontId="51" fillId="84" borderId="871" applyNumberFormat="0" applyAlignment="0" applyProtection="0"/>
    <xf numFmtId="0" fontId="51" fillId="62" borderId="871" applyNumberFormat="0" applyAlignment="0" applyProtection="0"/>
    <xf numFmtId="0" fontId="24" fillId="75" borderId="863" applyNumberFormat="0" applyFont="0" applyAlignment="0" applyProtection="0"/>
    <xf numFmtId="0" fontId="27" fillId="95" borderId="863" applyNumberFormat="0" applyFont="0" applyAlignment="0" applyProtection="0"/>
    <xf numFmtId="0" fontId="27" fillId="95" borderId="863" applyNumberFormat="0" applyFont="0" applyAlignment="0" applyProtection="0"/>
    <xf numFmtId="0" fontId="24" fillId="75" borderId="1060" applyNumberFormat="0" applyFont="0" applyAlignment="0" applyProtection="0"/>
    <xf numFmtId="49" fontId="37" fillId="0" borderId="869">
      <alignment horizontal="right" wrapText="1"/>
    </xf>
    <xf numFmtId="0" fontId="34" fillId="56" borderId="871" applyNumberFormat="0" applyAlignment="0" applyProtection="0"/>
    <xf numFmtId="0" fontId="35" fillId="88" borderId="871" applyNumberFormat="0" applyAlignment="0" applyProtection="0"/>
    <xf numFmtId="0" fontId="20" fillId="0" borderId="870">
      <alignment horizontal="left" vertical="center"/>
    </xf>
    <xf numFmtId="10" fontId="42" fillId="52" borderId="868" applyNumberFormat="0" applyBorder="0" applyAlignment="0" applyProtection="0"/>
    <xf numFmtId="0" fontId="51" fillId="84" borderId="871" applyNumberFormat="0" applyAlignment="0" applyProtection="0"/>
    <xf numFmtId="0" fontId="51" fillId="84" borderId="871" applyNumberFormat="0" applyAlignment="0" applyProtection="0"/>
    <xf numFmtId="0" fontId="51" fillId="62" borderId="871" applyNumberFormat="0" applyAlignment="0" applyProtection="0"/>
    <xf numFmtId="0" fontId="24" fillId="75" borderId="863" applyNumberFormat="0" applyFont="0" applyAlignment="0" applyProtection="0"/>
    <xf numFmtId="0" fontId="27" fillId="95" borderId="863" applyNumberFormat="0" applyFont="0" applyAlignment="0" applyProtection="0"/>
    <xf numFmtId="0" fontId="27" fillId="95" borderId="863" applyNumberFormat="0" applyFont="0" applyAlignment="0" applyProtection="0"/>
    <xf numFmtId="0" fontId="56" fillId="56" borderId="872" applyNumberFormat="0" applyAlignment="0" applyProtection="0"/>
    <xf numFmtId="0" fontId="56" fillId="88" borderId="872" applyNumberFormat="0" applyAlignment="0" applyProtection="0"/>
    <xf numFmtId="0" fontId="29" fillId="0" borderId="873" applyNumberFormat="0" applyFill="0" applyAlignment="0" applyProtection="0"/>
    <xf numFmtId="0" fontId="29" fillId="0" borderId="874" applyNumberFormat="0" applyFill="0" applyAlignment="0" applyProtection="0"/>
    <xf numFmtId="49" fontId="37" fillId="0" borderId="869">
      <alignment horizontal="right" wrapText="1"/>
    </xf>
    <xf numFmtId="0" fontId="34" fillId="56" borderId="878" applyNumberFormat="0" applyAlignment="0" applyProtection="0"/>
    <xf numFmtId="0" fontId="35" fillId="88" borderId="878" applyNumberFormat="0" applyAlignment="0" applyProtection="0"/>
    <xf numFmtId="0" fontId="20" fillId="0" borderId="877">
      <alignment horizontal="left" vertical="center"/>
    </xf>
    <xf numFmtId="10" fontId="42" fillId="52" borderId="876" applyNumberFormat="0" applyBorder="0" applyAlignment="0" applyProtection="0"/>
    <xf numFmtId="0" fontId="51" fillId="84" borderId="878" applyNumberFormat="0" applyAlignment="0" applyProtection="0"/>
    <xf numFmtId="0" fontId="51" fillId="84" borderId="878" applyNumberFormat="0" applyAlignment="0" applyProtection="0"/>
    <xf numFmtId="0" fontId="51" fillId="62" borderId="878" applyNumberFormat="0" applyAlignment="0" applyProtection="0"/>
    <xf numFmtId="0" fontId="24" fillId="75" borderId="875" applyNumberFormat="0" applyFont="0" applyAlignment="0" applyProtection="0"/>
    <xf numFmtId="0" fontId="27" fillId="95" borderId="875" applyNumberFormat="0" applyFont="0" applyAlignment="0" applyProtection="0"/>
    <xf numFmtId="0" fontId="27" fillId="95" borderId="875" applyNumberFormat="0" applyFont="0" applyAlignment="0" applyProtection="0"/>
    <xf numFmtId="0" fontId="24" fillId="75" borderId="879" applyNumberFormat="0" applyFont="0" applyAlignment="0" applyProtection="0"/>
    <xf numFmtId="0" fontId="27" fillId="95" borderId="879" applyNumberFormat="0" applyFont="0" applyAlignment="0" applyProtection="0"/>
    <xf numFmtId="0" fontId="27" fillId="95" borderId="879" applyNumberFormat="0" applyFont="0" applyAlignment="0" applyProtection="0"/>
    <xf numFmtId="0" fontId="56" fillId="56" borderId="884" applyNumberFormat="0" applyAlignment="0" applyProtection="0"/>
    <xf numFmtId="0" fontId="56" fillId="88" borderId="884" applyNumberFormat="0" applyAlignment="0" applyProtection="0"/>
    <xf numFmtId="0" fontId="29" fillId="0" borderId="885" applyNumberFormat="0" applyFill="0" applyAlignment="0" applyProtection="0"/>
    <xf numFmtId="0" fontId="29" fillId="0" borderId="886" applyNumberFormat="0" applyFill="0" applyAlignment="0" applyProtection="0"/>
    <xf numFmtId="49" fontId="37" fillId="0" borderId="881">
      <alignment horizontal="right" wrapText="1"/>
    </xf>
    <xf numFmtId="0" fontId="34" fillId="56" borderId="891" applyNumberFormat="0" applyAlignment="0" applyProtection="0"/>
    <xf numFmtId="0" fontId="35" fillId="88" borderId="891" applyNumberFormat="0" applyAlignment="0" applyProtection="0"/>
    <xf numFmtId="0" fontId="20" fillId="0" borderId="890">
      <alignment horizontal="left" vertical="center"/>
    </xf>
    <xf numFmtId="10" fontId="42" fillId="52" borderId="888" applyNumberFormat="0" applyBorder="0" applyAlignment="0" applyProtection="0"/>
    <xf numFmtId="0" fontId="51" fillId="84" borderId="891" applyNumberFormat="0" applyAlignment="0" applyProtection="0"/>
    <xf numFmtId="0" fontId="51" fillId="84" borderId="891" applyNumberFormat="0" applyAlignment="0" applyProtection="0"/>
    <xf numFmtId="0" fontId="51" fillId="62" borderId="891" applyNumberFormat="0" applyAlignment="0" applyProtection="0"/>
    <xf numFmtId="0" fontId="24" fillId="75" borderId="887" applyNumberFormat="0" applyFont="0" applyAlignment="0" applyProtection="0"/>
    <xf numFmtId="0" fontId="27" fillId="95" borderId="887" applyNumberFormat="0" applyFont="0" applyAlignment="0" applyProtection="0"/>
    <xf numFmtId="0" fontId="27" fillId="95" borderId="887" applyNumberFormat="0" applyFont="0" applyAlignment="0" applyProtection="0"/>
    <xf numFmtId="0" fontId="56" fillId="56" borderId="892" applyNumberFormat="0" applyAlignment="0" applyProtection="0"/>
    <xf numFmtId="0" fontId="56" fillId="88" borderId="892" applyNumberFormat="0" applyAlignment="0" applyProtection="0"/>
    <xf numFmtId="0" fontId="29" fillId="0" borderId="893" applyNumberFormat="0" applyFill="0" applyAlignment="0" applyProtection="0"/>
    <xf numFmtId="0" fontId="29" fillId="0" borderId="894" applyNumberFormat="0" applyFill="0" applyAlignment="0" applyProtection="0"/>
    <xf numFmtId="49" fontId="37" fillId="0" borderId="889">
      <alignment horizontal="right" wrapText="1"/>
    </xf>
    <xf numFmtId="0" fontId="34" fillId="56" borderId="898" applyNumberFormat="0" applyAlignment="0" applyProtection="0"/>
    <xf numFmtId="0" fontId="35" fillId="88" borderId="898" applyNumberFormat="0" applyAlignment="0" applyProtection="0"/>
    <xf numFmtId="0" fontId="20" fillId="0" borderId="897">
      <alignment horizontal="left" vertical="center"/>
    </xf>
    <xf numFmtId="10" fontId="42" fillId="52" borderId="896" applyNumberFormat="0" applyBorder="0" applyAlignment="0" applyProtection="0"/>
    <xf numFmtId="0" fontId="51" fillId="84" borderId="898" applyNumberFormat="0" applyAlignment="0" applyProtection="0"/>
    <xf numFmtId="0" fontId="51" fillId="84" borderId="898" applyNumberFormat="0" applyAlignment="0" applyProtection="0"/>
    <xf numFmtId="0" fontId="51" fillId="62" borderId="898" applyNumberFormat="0" applyAlignment="0" applyProtection="0"/>
    <xf numFmtId="0" fontId="24" fillId="75" borderId="895" applyNumberFormat="0" applyFont="0" applyAlignment="0" applyProtection="0"/>
    <xf numFmtId="0" fontId="27" fillId="95" borderId="895" applyNumberFormat="0" applyFont="0" applyAlignment="0" applyProtection="0"/>
    <xf numFmtId="0" fontId="27" fillId="95" borderId="895" applyNumberFormat="0" applyFont="0" applyAlignment="0" applyProtection="0"/>
    <xf numFmtId="0" fontId="27" fillId="95" borderId="1128" applyNumberFormat="0" applyFont="0" applyAlignment="0" applyProtection="0"/>
    <xf numFmtId="0" fontId="35" fillId="88" borderId="1331" applyNumberFormat="0" applyAlignment="0" applyProtection="0"/>
    <xf numFmtId="0" fontId="27" fillId="95" borderId="1092" applyNumberFormat="0" applyFont="0" applyAlignment="0" applyProtection="0"/>
    <xf numFmtId="0" fontId="27" fillId="95" borderId="1060" applyNumberFormat="0" applyFont="0" applyAlignment="0" applyProtection="0"/>
    <xf numFmtId="49" fontId="37" fillId="0" borderId="901">
      <alignment horizontal="right" wrapText="1"/>
    </xf>
    <xf numFmtId="0" fontId="51" fillId="62" borderId="923" applyNumberFormat="0" applyAlignment="0" applyProtection="0"/>
    <xf numFmtId="0" fontId="51" fillId="84" borderId="923" applyNumberFormat="0" applyAlignment="0" applyProtection="0"/>
    <xf numFmtId="0" fontId="51" fillId="84" borderId="923" applyNumberFormat="0" applyAlignment="0" applyProtection="0"/>
    <xf numFmtId="10" fontId="42" fillId="52" borderId="920" applyNumberFormat="0" applyBorder="0" applyAlignment="0" applyProtection="0"/>
    <xf numFmtId="0" fontId="20" fillId="0" borderId="922">
      <alignment horizontal="left" vertical="center"/>
    </xf>
    <xf numFmtId="0" fontId="35" fillId="88" borderId="923" applyNumberFormat="0" applyAlignment="0" applyProtection="0"/>
    <xf numFmtId="0" fontId="34" fillId="56" borderId="923" applyNumberFormat="0" applyAlignment="0" applyProtection="0"/>
    <xf numFmtId="0" fontId="34" fillId="56" borderId="911" applyNumberFormat="0" applyAlignment="0" applyProtection="0"/>
    <xf numFmtId="0" fontId="35" fillId="88" borderId="911" applyNumberFormat="0" applyAlignment="0" applyProtection="0"/>
    <xf numFmtId="0" fontId="20" fillId="0" borderId="910">
      <alignment horizontal="left" vertical="center"/>
    </xf>
    <xf numFmtId="10" fontId="42" fillId="52" borderId="908" applyNumberFormat="0" applyBorder="0" applyAlignment="0" applyProtection="0"/>
    <xf numFmtId="0" fontId="51" fillId="84" borderId="911" applyNumberFormat="0" applyAlignment="0" applyProtection="0"/>
    <xf numFmtId="0" fontId="51" fillId="84" borderId="911" applyNumberFormat="0" applyAlignment="0" applyProtection="0"/>
    <xf numFmtId="0" fontId="51" fillId="62" borderId="911" applyNumberFormat="0" applyAlignment="0" applyProtection="0"/>
    <xf numFmtId="0" fontId="24" fillId="75" borderId="907" applyNumberFormat="0" applyFont="0" applyAlignment="0" applyProtection="0"/>
    <xf numFmtId="0" fontId="27" fillId="95" borderId="907" applyNumberFormat="0" applyFont="0" applyAlignment="0" applyProtection="0"/>
    <xf numFmtId="0" fontId="27" fillId="95" borderId="907" applyNumberFormat="0" applyFont="0" applyAlignment="0" applyProtection="0"/>
    <xf numFmtId="0" fontId="51" fillId="84" borderId="1291" applyNumberFormat="0" applyAlignment="0" applyProtection="0"/>
    <xf numFmtId="49" fontId="37" fillId="0" borderId="909">
      <alignment horizontal="right" wrapText="1"/>
    </xf>
    <xf numFmtId="0" fontId="34" fillId="56" borderId="911" applyNumberFormat="0" applyAlignment="0" applyProtection="0"/>
    <xf numFmtId="0" fontId="35" fillId="88" borderId="911" applyNumberFormat="0" applyAlignment="0" applyProtection="0"/>
    <xf numFmtId="0" fontId="20" fillId="0" borderId="910">
      <alignment horizontal="left" vertical="center"/>
    </xf>
    <xf numFmtId="10" fontId="42" fillId="52" borderId="908" applyNumberFormat="0" applyBorder="0" applyAlignment="0" applyProtection="0"/>
    <xf numFmtId="0" fontId="51" fillId="84" borderId="911" applyNumberFormat="0" applyAlignment="0" applyProtection="0"/>
    <xf numFmtId="0" fontId="51" fillId="84" borderId="911" applyNumberFormat="0" applyAlignment="0" applyProtection="0"/>
    <xf numFmtId="0" fontId="51" fillId="62" borderId="911" applyNumberFormat="0" applyAlignment="0" applyProtection="0"/>
    <xf numFmtId="0" fontId="24" fillId="75" borderId="907" applyNumberFormat="0" applyFont="0" applyAlignment="0" applyProtection="0"/>
    <xf numFmtId="0" fontId="27" fillId="95" borderId="907" applyNumberFormat="0" applyFont="0" applyAlignment="0" applyProtection="0"/>
    <xf numFmtId="0" fontId="27" fillId="95" borderId="907" applyNumberFormat="0" applyFont="0" applyAlignment="0" applyProtection="0"/>
    <xf numFmtId="0" fontId="56" fillId="56" borderId="912" applyNumberFormat="0" applyAlignment="0" applyProtection="0"/>
    <xf numFmtId="0" fontId="56" fillId="88" borderId="912" applyNumberFormat="0" applyAlignment="0" applyProtection="0"/>
    <xf numFmtId="0" fontId="29" fillId="0" borderId="913" applyNumberFormat="0" applyFill="0" applyAlignment="0" applyProtection="0"/>
    <xf numFmtId="0" fontId="29" fillId="0" borderId="914" applyNumberFormat="0" applyFill="0" applyAlignment="0" applyProtection="0"/>
    <xf numFmtId="0" fontId="20" fillId="0" borderId="1023">
      <alignment horizontal="left" vertical="center"/>
    </xf>
    <xf numFmtId="49" fontId="37" fillId="0" borderId="909">
      <alignment horizontal="right" wrapText="1"/>
    </xf>
    <xf numFmtId="0" fontId="34" fillId="56" borderId="918" applyNumberFormat="0" applyAlignment="0" applyProtection="0"/>
    <xf numFmtId="0" fontId="35" fillId="88" borderId="918" applyNumberFormat="0" applyAlignment="0" applyProtection="0"/>
    <xf numFmtId="0" fontId="20" fillId="0" borderId="917">
      <alignment horizontal="left" vertical="center"/>
    </xf>
    <xf numFmtId="10" fontId="42" fillId="52" borderId="916" applyNumberFormat="0" applyBorder="0" applyAlignment="0" applyProtection="0"/>
    <xf numFmtId="0" fontId="51" fillId="84" borderId="918" applyNumberFormat="0" applyAlignment="0" applyProtection="0"/>
    <xf numFmtId="0" fontId="51" fillId="84" borderId="918" applyNumberFormat="0" applyAlignment="0" applyProtection="0"/>
    <xf numFmtId="0" fontId="51" fillId="62" borderId="918" applyNumberFormat="0" applyAlignment="0" applyProtection="0"/>
    <xf numFmtId="0" fontId="24" fillId="75" borderId="915" applyNumberFormat="0" applyFont="0" applyAlignment="0" applyProtection="0"/>
    <xf numFmtId="0" fontId="27" fillId="95" borderId="915" applyNumberFormat="0" applyFont="0" applyAlignment="0" applyProtection="0"/>
    <xf numFmtId="0" fontId="27" fillId="95" borderId="915" applyNumberFormat="0" applyFont="0" applyAlignment="0" applyProtection="0"/>
    <xf numFmtId="0" fontId="24" fillId="75" borderId="919" applyNumberFormat="0" applyFont="0" applyAlignment="0" applyProtection="0"/>
    <xf numFmtId="0" fontId="27" fillId="95" borderId="919" applyNumberFormat="0" applyFont="0" applyAlignment="0" applyProtection="0"/>
    <xf numFmtId="0" fontId="27" fillId="95" borderId="919" applyNumberFormat="0" applyFont="0" applyAlignment="0" applyProtection="0"/>
    <xf numFmtId="0" fontId="56" fillId="56" borderId="924" applyNumberFormat="0" applyAlignment="0" applyProtection="0"/>
    <xf numFmtId="0" fontId="56" fillId="88" borderId="924" applyNumberFormat="0" applyAlignment="0" applyProtection="0"/>
    <xf numFmtId="0" fontId="29" fillId="0" borderId="925" applyNumberFormat="0" applyFill="0" applyAlignment="0" applyProtection="0"/>
    <xf numFmtId="0" fontId="29" fillId="0" borderId="926" applyNumberFormat="0" applyFill="0" applyAlignment="0" applyProtection="0"/>
    <xf numFmtId="49" fontId="37" fillId="0" borderId="921">
      <alignment horizontal="right" wrapText="1"/>
    </xf>
    <xf numFmtId="0" fontId="34" fillId="56" borderId="931" applyNumberFormat="0" applyAlignment="0" applyProtection="0"/>
    <xf numFmtId="0" fontId="35" fillId="88" borderId="931" applyNumberFormat="0" applyAlignment="0" applyProtection="0"/>
    <xf numFmtId="0" fontId="20" fillId="0" borderId="930">
      <alignment horizontal="left" vertical="center"/>
    </xf>
    <xf numFmtId="10" fontId="42" fillId="52" borderId="928" applyNumberFormat="0" applyBorder="0" applyAlignment="0" applyProtection="0"/>
    <xf numFmtId="0" fontId="51" fillId="84" borderId="931" applyNumberFormat="0" applyAlignment="0" applyProtection="0"/>
    <xf numFmtId="0" fontId="51" fillId="84" borderId="931" applyNumberFormat="0" applyAlignment="0" applyProtection="0"/>
    <xf numFmtId="0" fontId="51" fillId="62" borderId="931" applyNumberFormat="0" applyAlignment="0" applyProtection="0"/>
    <xf numFmtId="0" fontId="24" fillId="75" borderId="927" applyNumberFormat="0" applyFont="0" applyAlignment="0" applyProtection="0"/>
    <xf numFmtId="0" fontId="27" fillId="95" borderId="927" applyNumberFormat="0" applyFont="0" applyAlignment="0" applyProtection="0"/>
    <xf numFmtId="0" fontId="27" fillId="95" borderId="927" applyNumberFormat="0" applyFont="0" applyAlignment="0" applyProtection="0"/>
    <xf numFmtId="0" fontId="56" fillId="56" borderId="932" applyNumberFormat="0" applyAlignment="0" applyProtection="0"/>
    <xf numFmtId="0" fontId="56" fillId="88" borderId="932" applyNumberFormat="0" applyAlignment="0" applyProtection="0"/>
    <xf numFmtId="0" fontId="29" fillId="0" borderId="933" applyNumberFormat="0" applyFill="0" applyAlignment="0" applyProtection="0"/>
    <xf numFmtId="0" fontId="29" fillId="0" borderId="934" applyNumberFormat="0" applyFill="0" applyAlignment="0" applyProtection="0"/>
    <xf numFmtId="49" fontId="37" fillId="0" borderId="929">
      <alignment horizontal="right" wrapText="1"/>
    </xf>
    <xf numFmtId="0" fontId="34" fillId="56" borderId="938" applyNumberFormat="0" applyAlignment="0" applyProtection="0"/>
    <xf numFmtId="0" fontId="35" fillId="88" borderId="938" applyNumberFormat="0" applyAlignment="0" applyProtection="0"/>
    <xf numFmtId="0" fontId="20" fillId="0" borderId="937">
      <alignment horizontal="left" vertical="center"/>
    </xf>
    <xf numFmtId="10" fontId="42" fillId="52" borderId="936" applyNumberFormat="0" applyBorder="0" applyAlignment="0" applyProtection="0"/>
    <xf numFmtId="0" fontId="51" fillId="84" borderId="938" applyNumberFormat="0" applyAlignment="0" applyProtection="0"/>
    <xf numFmtId="0" fontId="51" fillId="84" borderId="938" applyNumberFormat="0" applyAlignment="0" applyProtection="0"/>
    <xf numFmtId="0" fontId="51" fillId="62" borderId="938" applyNumberFormat="0" applyAlignment="0" applyProtection="0"/>
    <xf numFmtId="0" fontId="24" fillId="75" borderId="935" applyNumberFormat="0" applyFont="0" applyAlignment="0" applyProtection="0"/>
    <xf numFmtId="0" fontId="27" fillId="95" borderId="935" applyNumberFormat="0" applyFont="0" applyAlignment="0" applyProtection="0"/>
    <xf numFmtId="0" fontId="27" fillId="95" borderId="935" applyNumberFormat="0" applyFont="0" applyAlignment="0" applyProtection="0"/>
    <xf numFmtId="10" fontId="42" fillId="52" borderId="1093" applyNumberFormat="0" applyBorder="0" applyAlignment="0" applyProtection="0"/>
    <xf numFmtId="0" fontId="29" fillId="0" borderId="945" applyNumberFormat="0" applyFill="0" applyAlignment="0" applyProtection="0"/>
    <xf numFmtId="0" fontId="29" fillId="0" borderId="946" applyNumberFormat="0" applyFill="0" applyAlignment="0" applyProtection="0"/>
    <xf numFmtId="0" fontId="27" fillId="95" borderId="1128" applyNumberFormat="0" applyFont="0" applyAlignment="0" applyProtection="0"/>
    <xf numFmtId="0" fontId="27" fillId="95" borderId="1092" applyNumberFormat="0" applyFont="0" applyAlignment="0" applyProtection="0"/>
    <xf numFmtId="49" fontId="37" fillId="0" borderId="941">
      <alignment horizontal="right" wrapText="1"/>
    </xf>
    <xf numFmtId="0" fontId="51" fillId="62" borderId="963" applyNumberFormat="0" applyAlignment="0" applyProtection="0"/>
    <xf numFmtId="0" fontId="51" fillId="84" borderId="963" applyNumberFormat="0" applyAlignment="0" applyProtection="0"/>
    <xf numFmtId="0" fontId="51" fillId="84" borderId="963" applyNumberFormat="0" applyAlignment="0" applyProtection="0"/>
    <xf numFmtId="10" fontId="42" fillId="52" borderId="960" applyNumberFormat="0" applyBorder="0" applyAlignment="0" applyProtection="0"/>
    <xf numFmtId="0" fontId="20" fillId="0" borderId="962">
      <alignment horizontal="left" vertical="center"/>
    </xf>
    <xf numFmtId="0" fontId="35" fillId="88" borderId="963" applyNumberFormat="0" applyAlignment="0" applyProtection="0"/>
    <xf numFmtId="0" fontId="34" fillId="56" borderId="963" applyNumberFormat="0" applyAlignment="0" applyProtection="0"/>
    <xf numFmtId="0" fontId="34" fillId="56" borderId="951" applyNumberFormat="0" applyAlignment="0" applyProtection="0"/>
    <xf numFmtId="0" fontId="35" fillId="88" borderId="951" applyNumberFormat="0" applyAlignment="0" applyProtection="0"/>
    <xf numFmtId="0" fontId="20" fillId="0" borderId="950">
      <alignment horizontal="left" vertical="center"/>
    </xf>
    <xf numFmtId="10" fontId="42" fillId="52" borderId="948" applyNumberFormat="0" applyBorder="0" applyAlignment="0" applyProtection="0"/>
    <xf numFmtId="0" fontId="51" fillId="84" borderId="951" applyNumberFormat="0" applyAlignment="0" applyProtection="0"/>
    <xf numFmtId="0" fontId="51" fillId="84" borderId="951" applyNumberFormat="0" applyAlignment="0" applyProtection="0"/>
    <xf numFmtId="0" fontId="51" fillId="62" borderId="951" applyNumberFormat="0" applyAlignment="0" applyProtection="0"/>
    <xf numFmtId="0" fontId="24" fillId="75" borderId="947" applyNumberFormat="0" applyFont="0" applyAlignment="0" applyProtection="0"/>
    <xf numFmtId="0" fontId="27" fillId="95" borderId="947" applyNumberFormat="0" applyFont="0" applyAlignment="0" applyProtection="0"/>
    <xf numFmtId="0" fontId="27" fillId="95" borderId="947" applyNumberFormat="0" applyFont="0" applyAlignment="0" applyProtection="0"/>
    <xf numFmtId="0" fontId="51" fillId="84" borderId="1251" applyNumberFormat="0" applyAlignment="0" applyProtection="0"/>
    <xf numFmtId="49" fontId="37" fillId="0" borderId="949">
      <alignment horizontal="right" wrapText="1"/>
    </xf>
    <xf numFmtId="0" fontId="34" fillId="56" borderId="951" applyNumberFormat="0" applyAlignment="0" applyProtection="0"/>
    <xf numFmtId="0" fontId="35" fillId="88" borderId="951" applyNumberFormat="0" applyAlignment="0" applyProtection="0"/>
    <xf numFmtId="0" fontId="20" fillId="0" borderId="950">
      <alignment horizontal="left" vertical="center"/>
    </xf>
    <xf numFmtId="10" fontId="42" fillId="52" borderId="948" applyNumberFormat="0" applyBorder="0" applyAlignment="0" applyProtection="0"/>
    <xf numFmtId="0" fontId="51" fillId="84" borderId="951" applyNumberFormat="0" applyAlignment="0" applyProtection="0"/>
    <xf numFmtId="0" fontId="51" fillId="84" borderId="951" applyNumberFormat="0" applyAlignment="0" applyProtection="0"/>
    <xf numFmtId="0" fontId="51" fillId="62" borderId="951" applyNumberFormat="0" applyAlignment="0" applyProtection="0"/>
    <xf numFmtId="0" fontId="24" fillId="75" borderId="947" applyNumberFormat="0" applyFont="0" applyAlignment="0" applyProtection="0"/>
    <xf numFmtId="0" fontId="27" fillId="95" borderId="947" applyNumberFormat="0" applyFont="0" applyAlignment="0" applyProtection="0"/>
    <xf numFmtId="0" fontId="27" fillId="95" borderId="947" applyNumberFormat="0" applyFont="0" applyAlignment="0" applyProtection="0"/>
    <xf numFmtId="0" fontId="56" fillId="56" borderId="952" applyNumberFormat="0" applyAlignment="0" applyProtection="0"/>
    <xf numFmtId="0" fontId="56" fillId="88" borderId="952" applyNumberFormat="0" applyAlignment="0" applyProtection="0"/>
    <xf numFmtId="0" fontId="29" fillId="0" borderId="953" applyNumberFormat="0" applyFill="0" applyAlignment="0" applyProtection="0"/>
    <xf numFmtId="0" fontId="29" fillId="0" borderId="954" applyNumberFormat="0" applyFill="0" applyAlignment="0" applyProtection="0"/>
    <xf numFmtId="0" fontId="24" fillId="75" borderId="1128" applyNumberFormat="0" applyFont="0" applyAlignment="0" applyProtection="0"/>
    <xf numFmtId="49" fontId="37" fillId="0" borderId="949">
      <alignment horizontal="right" wrapText="1"/>
    </xf>
    <xf numFmtId="0" fontId="34" fillId="56" borderId="958" applyNumberFormat="0" applyAlignment="0" applyProtection="0"/>
    <xf numFmtId="0" fontId="35" fillId="88" borderId="958" applyNumberFormat="0" applyAlignment="0" applyProtection="0"/>
    <xf numFmtId="0" fontId="20" fillId="0" borderId="957">
      <alignment horizontal="left" vertical="center"/>
    </xf>
    <xf numFmtId="10" fontId="42" fillId="52" borderId="956" applyNumberFormat="0" applyBorder="0" applyAlignment="0" applyProtection="0"/>
    <xf numFmtId="0" fontId="51" fillId="84" borderId="958" applyNumberFormat="0" applyAlignment="0" applyProtection="0"/>
    <xf numFmtId="0" fontId="51" fillId="84" borderId="958" applyNumberFormat="0" applyAlignment="0" applyProtection="0"/>
    <xf numFmtId="0" fontId="51" fillId="62" borderId="958" applyNumberFormat="0" applyAlignment="0" applyProtection="0"/>
    <xf numFmtId="0" fontId="24" fillId="75" borderId="955" applyNumberFormat="0" applyFont="0" applyAlignment="0" applyProtection="0"/>
    <xf numFmtId="0" fontId="27" fillId="95" borderId="955" applyNumberFormat="0" applyFont="0" applyAlignment="0" applyProtection="0"/>
    <xf numFmtId="0" fontId="27" fillId="95" borderId="955" applyNumberFormat="0" applyFont="0" applyAlignment="0" applyProtection="0"/>
    <xf numFmtId="0" fontId="24" fillId="75" borderId="959" applyNumberFormat="0" applyFont="0" applyAlignment="0" applyProtection="0"/>
    <xf numFmtId="0" fontId="27" fillId="95" borderId="959" applyNumberFormat="0" applyFont="0" applyAlignment="0" applyProtection="0"/>
    <xf numFmtId="0" fontId="27" fillId="95" borderId="959" applyNumberFormat="0" applyFont="0" applyAlignment="0" applyProtection="0"/>
    <xf numFmtId="0" fontId="56" fillId="56" borderId="964" applyNumberFormat="0" applyAlignment="0" applyProtection="0"/>
    <xf numFmtId="0" fontId="56" fillId="88" borderId="964" applyNumberFormat="0" applyAlignment="0" applyProtection="0"/>
    <xf numFmtId="0" fontId="29" fillId="0" borderId="965" applyNumberFormat="0" applyFill="0" applyAlignment="0" applyProtection="0"/>
    <xf numFmtId="0" fontId="29" fillId="0" borderId="966" applyNumberFormat="0" applyFill="0" applyAlignment="0" applyProtection="0"/>
    <xf numFmtId="49" fontId="37" fillId="0" borderId="961">
      <alignment horizontal="right" wrapText="1"/>
    </xf>
    <xf numFmtId="0" fontId="34" fillId="56" borderId="971" applyNumberFormat="0" applyAlignment="0" applyProtection="0"/>
    <xf numFmtId="0" fontId="35" fillId="88" borderId="971" applyNumberFormat="0" applyAlignment="0" applyProtection="0"/>
    <xf numFmtId="0" fontId="20" fillId="0" borderId="970">
      <alignment horizontal="left" vertical="center"/>
    </xf>
    <xf numFmtId="10" fontId="42" fillId="52" borderId="968" applyNumberFormat="0" applyBorder="0" applyAlignment="0" applyProtection="0"/>
    <xf numFmtId="0" fontId="51" fillId="84" borderId="971" applyNumberFormat="0" applyAlignment="0" applyProtection="0"/>
    <xf numFmtId="0" fontId="51" fillId="84" borderId="971" applyNumberFormat="0" applyAlignment="0" applyProtection="0"/>
    <xf numFmtId="0" fontId="51" fillId="62" borderId="971" applyNumberFormat="0" applyAlignment="0" applyProtection="0"/>
    <xf numFmtId="0" fontId="24" fillId="75" borderId="967" applyNumberFormat="0" applyFont="0" applyAlignment="0" applyProtection="0"/>
    <xf numFmtId="0" fontId="27" fillId="95" borderId="967" applyNumberFormat="0" applyFont="0" applyAlignment="0" applyProtection="0"/>
    <xf numFmtId="0" fontId="27" fillId="95" borderId="967" applyNumberFormat="0" applyFont="0" applyAlignment="0" applyProtection="0"/>
    <xf numFmtId="0" fontId="56" fillId="56" borderId="972" applyNumberFormat="0" applyAlignment="0" applyProtection="0"/>
    <xf numFmtId="0" fontId="56" fillId="88" borderId="972" applyNumberFormat="0" applyAlignment="0" applyProtection="0"/>
    <xf numFmtId="0" fontId="29" fillId="0" borderId="973" applyNumberFormat="0" applyFill="0" applyAlignment="0" applyProtection="0"/>
    <xf numFmtId="0" fontId="29" fillId="0" borderId="974" applyNumberFormat="0" applyFill="0" applyAlignment="0" applyProtection="0"/>
    <xf numFmtId="49" fontId="37" fillId="0" borderId="969">
      <alignment horizontal="right" wrapText="1"/>
    </xf>
    <xf numFmtId="0" fontId="34" fillId="56" borderId="978" applyNumberFormat="0" applyAlignment="0" applyProtection="0"/>
    <xf numFmtId="0" fontId="35" fillId="88" borderId="978" applyNumberFormat="0" applyAlignment="0" applyProtection="0"/>
    <xf numFmtId="0" fontId="20" fillId="0" borderId="977">
      <alignment horizontal="left" vertical="center"/>
    </xf>
    <xf numFmtId="10" fontId="42" fillId="52" borderId="976" applyNumberFormat="0" applyBorder="0" applyAlignment="0" applyProtection="0"/>
    <xf numFmtId="0" fontId="51" fillId="84" borderId="978" applyNumberFormat="0" applyAlignment="0" applyProtection="0"/>
    <xf numFmtId="0" fontId="51" fillId="84" borderId="978" applyNumberFormat="0" applyAlignment="0" applyProtection="0"/>
    <xf numFmtId="0" fontId="51" fillId="62" borderId="978" applyNumberFormat="0" applyAlignment="0" applyProtection="0"/>
    <xf numFmtId="0" fontId="24" fillId="75" borderId="975" applyNumberFormat="0" applyFont="0" applyAlignment="0" applyProtection="0"/>
    <xf numFmtId="0" fontId="27" fillId="95" borderId="975" applyNumberFormat="0" applyFont="0" applyAlignment="0" applyProtection="0"/>
    <xf numFmtId="0" fontId="27" fillId="95" borderId="975" applyNumberFormat="0" applyFont="0" applyAlignment="0" applyProtection="0"/>
    <xf numFmtId="10" fontId="42" fillId="52" borderId="1129" applyNumberFormat="0" applyBorder="0" applyAlignment="0" applyProtection="0"/>
    <xf numFmtId="0" fontId="29" fillId="0" borderId="986" applyNumberFormat="0" applyFill="0" applyAlignment="0" applyProtection="0"/>
    <xf numFmtId="0" fontId="29" fillId="0" borderId="987" applyNumberFormat="0" applyFill="0" applyAlignment="0" applyProtection="0"/>
    <xf numFmtId="0" fontId="24" fillId="75" borderId="1167" applyNumberFormat="0" applyFont="0" applyAlignment="0" applyProtection="0"/>
    <xf numFmtId="10" fontId="42" fillId="52" borderId="1288" applyNumberFormat="0" applyBorder="0" applyAlignment="0" applyProtection="0"/>
    <xf numFmtId="49" fontId="37" fillId="0" borderId="982">
      <alignment horizontal="right" wrapText="1"/>
    </xf>
    <xf numFmtId="0" fontId="51" fillId="62" borderId="1004" applyNumberFormat="0" applyAlignment="0" applyProtection="0"/>
    <xf numFmtId="0" fontId="51" fillId="84" borderId="1004" applyNumberFormat="0" applyAlignment="0" applyProtection="0"/>
    <xf numFmtId="0" fontId="51" fillId="84" borderId="1004" applyNumberFormat="0" applyAlignment="0" applyProtection="0"/>
    <xf numFmtId="10" fontId="42" fillId="52" borderId="1001" applyNumberFormat="0" applyBorder="0" applyAlignment="0" applyProtection="0"/>
    <xf numFmtId="0" fontId="20" fillId="0" borderId="1003">
      <alignment horizontal="left" vertical="center"/>
    </xf>
    <xf numFmtId="0" fontId="35" fillId="88" borderId="1004" applyNumberFormat="0" applyAlignment="0" applyProtection="0"/>
    <xf numFmtId="0" fontId="34" fillId="56" borderId="1004" applyNumberFormat="0" applyAlignment="0" applyProtection="0"/>
    <xf numFmtId="0" fontId="34" fillId="56" borderId="992" applyNumberFormat="0" applyAlignment="0" applyProtection="0"/>
    <xf numFmtId="0" fontId="35" fillId="88" borderId="992" applyNumberFormat="0" applyAlignment="0" applyProtection="0"/>
    <xf numFmtId="0" fontId="20" fillId="0" borderId="991">
      <alignment horizontal="left" vertical="center"/>
    </xf>
    <xf numFmtId="10" fontId="42" fillId="52" borderId="989" applyNumberFormat="0" applyBorder="0" applyAlignment="0" applyProtection="0"/>
    <xf numFmtId="0" fontId="51" fillId="84" borderId="992" applyNumberFormat="0" applyAlignment="0" applyProtection="0"/>
    <xf numFmtId="0" fontId="51" fillId="84" borderId="992" applyNumberFormat="0" applyAlignment="0" applyProtection="0"/>
    <xf numFmtId="0" fontId="51" fillId="62" borderId="992" applyNumberFormat="0" applyAlignment="0" applyProtection="0"/>
    <xf numFmtId="0" fontId="24" fillId="75" borderId="988" applyNumberFormat="0" applyFont="0" applyAlignment="0" applyProtection="0"/>
    <xf numFmtId="0" fontId="27" fillId="95" borderId="988" applyNumberFormat="0" applyFont="0" applyAlignment="0" applyProtection="0"/>
    <xf numFmtId="0" fontId="27" fillId="95" borderId="988" applyNumberFormat="0" applyFont="0" applyAlignment="0" applyProtection="0"/>
    <xf numFmtId="0" fontId="51" fillId="84" borderId="1251" applyNumberFormat="0" applyAlignment="0" applyProtection="0"/>
    <xf numFmtId="49" fontId="37" fillId="0" borderId="990">
      <alignment horizontal="right" wrapText="1"/>
    </xf>
    <xf numFmtId="0" fontId="34" fillId="56" borderId="992" applyNumberFormat="0" applyAlignment="0" applyProtection="0"/>
    <xf numFmtId="0" fontId="35" fillId="88" borderId="992" applyNumberFormat="0" applyAlignment="0" applyProtection="0"/>
    <xf numFmtId="0" fontId="20" fillId="0" borderId="991">
      <alignment horizontal="left" vertical="center"/>
    </xf>
    <xf numFmtId="10" fontId="42" fillId="52" borderId="989" applyNumberFormat="0" applyBorder="0" applyAlignment="0" applyProtection="0"/>
    <xf numFmtId="0" fontId="51" fillId="84" borderId="992" applyNumberFormat="0" applyAlignment="0" applyProtection="0"/>
    <xf numFmtId="0" fontId="51" fillId="84" borderId="992" applyNumberFormat="0" applyAlignment="0" applyProtection="0"/>
    <xf numFmtId="0" fontId="51" fillId="62" borderId="992" applyNumberFormat="0" applyAlignment="0" applyProtection="0"/>
    <xf numFmtId="0" fontId="24" fillId="75" borderId="988" applyNumberFormat="0" applyFont="0" applyAlignment="0" applyProtection="0"/>
    <xf numFmtId="0" fontId="27" fillId="95" borderId="988" applyNumberFormat="0" applyFont="0" applyAlignment="0" applyProtection="0"/>
    <xf numFmtId="0" fontId="27" fillId="95" borderId="988" applyNumberFormat="0" applyFont="0" applyAlignment="0" applyProtection="0"/>
    <xf numFmtId="0" fontId="56" fillId="56" borderId="993" applyNumberFormat="0" applyAlignment="0" applyProtection="0"/>
    <xf numFmtId="0" fontId="56" fillId="88" borderId="993" applyNumberFormat="0" applyAlignment="0" applyProtection="0"/>
    <xf numFmtId="0" fontId="29" fillId="0" borderId="994" applyNumberFormat="0" applyFill="0" applyAlignment="0" applyProtection="0"/>
    <xf numFmtId="0" fontId="29" fillId="0" borderId="995" applyNumberFormat="0" applyFill="0" applyAlignment="0" applyProtection="0"/>
    <xf numFmtId="49" fontId="37" fillId="0" borderId="990">
      <alignment horizontal="right" wrapText="1"/>
    </xf>
    <xf numFmtId="0" fontId="34" fillId="56" borderId="999" applyNumberFormat="0" applyAlignment="0" applyProtection="0"/>
    <xf numFmtId="0" fontId="35" fillId="88" borderId="999" applyNumberFormat="0" applyAlignment="0" applyProtection="0"/>
    <xf numFmtId="0" fontId="20" fillId="0" borderId="998">
      <alignment horizontal="left" vertical="center"/>
    </xf>
    <xf numFmtId="10" fontId="42" fillId="52" borderId="997" applyNumberFormat="0" applyBorder="0" applyAlignment="0" applyProtection="0"/>
    <xf numFmtId="0" fontId="51" fillId="84" borderId="999" applyNumberFormat="0" applyAlignment="0" applyProtection="0"/>
    <xf numFmtId="0" fontId="51" fillId="84" borderId="999" applyNumberFormat="0" applyAlignment="0" applyProtection="0"/>
    <xf numFmtId="0" fontId="51" fillId="62" borderId="999" applyNumberFormat="0" applyAlignment="0" applyProtection="0"/>
    <xf numFmtId="0" fontId="24" fillId="75" borderId="996" applyNumberFormat="0" applyFont="0" applyAlignment="0" applyProtection="0"/>
    <xf numFmtId="0" fontId="27" fillId="95" borderId="996" applyNumberFormat="0" applyFont="0" applyAlignment="0" applyProtection="0"/>
    <xf numFmtId="0" fontId="27" fillId="95" borderId="996" applyNumberFormat="0" applyFont="0" applyAlignment="0" applyProtection="0"/>
    <xf numFmtId="0" fontId="24" fillId="75" borderId="1000" applyNumberFormat="0" applyFont="0" applyAlignment="0" applyProtection="0"/>
    <xf numFmtId="0" fontId="27" fillId="95" borderId="1000" applyNumberFormat="0" applyFont="0" applyAlignment="0" applyProtection="0"/>
    <xf numFmtId="0" fontId="27" fillId="95" borderId="1000" applyNumberFormat="0" applyFont="0" applyAlignment="0" applyProtection="0"/>
    <xf numFmtId="0" fontId="56" fillId="56" borderId="1005" applyNumberFormat="0" applyAlignment="0" applyProtection="0"/>
    <xf numFmtId="0" fontId="56" fillId="88" borderId="1005" applyNumberFormat="0" applyAlignment="0" applyProtection="0"/>
    <xf numFmtId="0" fontId="29" fillId="0" borderId="1006" applyNumberFormat="0" applyFill="0" applyAlignment="0" applyProtection="0"/>
    <xf numFmtId="0" fontId="29" fillId="0" borderId="1007" applyNumberFormat="0" applyFill="0" applyAlignment="0" applyProtection="0"/>
    <xf numFmtId="49" fontId="37" fillId="0" borderId="1002">
      <alignment horizontal="right" wrapText="1"/>
    </xf>
    <xf numFmtId="0" fontId="34" fillId="56" borderId="1012" applyNumberFormat="0" applyAlignment="0" applyProtection="0"/>
    <xf numFmtId="0" fontId="35" fillId="88" borderId="1012" applyNumberFormat="0" applyAlignment="0" applyProtection="0"/>
    <xf numFmtId="0" fontId="20" fillId="0" borderId="1011">
      <alignment horizontal="left" vertical="center"/>
    </xf>
    <xf numFmtId="10" fontId="42" fillId="52" borderId="1009" applyNumberFormat="0" applyBorder="0" applyAlignment="0" applyProtection="0"/>
    <xf numFmtId="0" fontId="51" fillId="84" borderId="1012" applyNumberFormat="0" applyAlignment="0" applyProtection="0"/>
    <xf numFmtId="0" fontId="51" fillId="84" borderId="1012" applyNumberFormat="0" applyAlignment="0" applyProtection="0"/>
    <xf numFmtId="0" fontId="51" fillId="62" borderId="1012" applyNumberFormat="0" applyAlignment="0" applyProtection="0"/>
    <xf numFmtId="0" fontId="24" fillId="75" borderId="1008" applyNumberFormat="0" applyFont="0" applyAlignment="0" applyProtection="0"/>
    <xf numFmtId="0" fontId="27" fillId="95" borderId="1008" applyNumberFormat="0" applyFont="0" applyAlignment="0" applyProtection="0"/>
    <xf numFmtId="0" fontId="27" fillId="95" borderId="1008" applyNumberFormat="0" applyFont="0" applyAlignment="0" applyProtection="0"/>
    <xf numFmtId="0" fontId="56" fillId="56" borderId="1013" applyNumberFormat="0" applyAlignment="0" applyProtection="0"/>
    <xf numFmtId="0" fontId="56" fillId="88" borderId="1013" applyNumberFormat="0" applyAlignment="0" applyProtection="0"/>
    <xf numFmtId="0" fontId="29" fillId="0" borderId="1014" applyNumberFormat="0" applyFill="0" applyAlignment="0" applyProtection="0"/>
    <xf numFmtId="0" fontId="29" fillId="0" borderId="1015" applyNumberFormat="0" applyFill="0" applyAlignment="0" applyProtection="0"/>
    <xf numFmtId="49" fontId="37" fillId="0" borderId="1010">
      <alignment horizontal="right" wrapText="1"/>
    </xf>
    <xf numFmtId="0" fontId="34" fillId="56" borderId="1019" applyNumberFormat="0" applyAlignment="0" applyProtection="0"/>
    <xf numFmtId="0" fontId="35" fillId="88" borderId="1019" applyNumberFormat="0" applyAlignment="0" applyProtection="0"/>
    <xf numFmtId="0" fontId="20" fillId="0" borderId="1018">
      <alignment horizontal="left" vertical="center"/>
    </xf>
    <xf numFmtId="10" fontId="42" fillId="52" borderId="1017" applyNumberFormat="0" applyBorder="0" applyAlignment="0" applyProtection="0"/>
    <xf numFmtId="0" fontId="51" fillId="84" borderId="1019" applyNumberFormat="0" applyAlignment="0" applyProtection="0"/>
    <xf numFmtId="0" fontId="51" fillId="84" borderId="1019" applyNumberFormat="0" applyAlignment="0" applyProtection="0"/>
    <xf numFmtId="0" fontId="51" fillId="62" borderId="1019" applyNumberFormat="0" applyAlignment="0" applyProtection="0"/>
    <xf numFmtId="0" fontId="24" fillId="75" borderId="1016" applyNumberFormat="0" applyFont="0" applyAlignment="0" applyProtection="0"/>
    <xf numFmtId="0" fontId="27" fillId="95" borderId="1016" applyNumberFormat="0" applyFont="0" applyAlignment="0" applyProtection="0"/>
    <xf numFmtId="0" fontId="27" fillId="95" borderId="1016" applyNumberFormat="0" applyFont="0" applyAlignment="0" applyProtection="0"/>
    <xf numFmtId="0" fontId="29" fillId="0" borderId="1026" applyNumberFormat="0" applyFill="0" applyAlignment="0" applyProtection="0"/>
    <xf numFmtId="0" fontId="29" fillId="0" borderId="1027" applyNumberFormat="0" applyFill="0" applyAlignment="0" applyProtection="0"/>
    <xf numFmtId="0" fontId="24" fillId="75" borderId="1207" applyNumberFormat="0" applyFont="0" applyAlignment="0" applyProtection="0"/>
    <xf numFmtId="0" fontId="27" fillId="95" borderId="1167" applyNumberFormat="0" applyFont="0" applyAlignment="0" applyProtection="0"/>
    <xf numFmtId="0" fontId="56" fillId="88" borderId="1172" applyNumberFormat="0" applyAlignment="0" applyProtection="0"/>
    <xf numFmtId="49" fontId="37" fillId="0" borderId="1022">
      <alignment horizontal="right" wrapText="1"/>
    </xf>
    <xf numFmtId="0" fontId="51" fillId="62" borderId="1044" applyNumberFormat="0" applyAlignment="0" applyProtection="0"/>
    <xf numFmtId="0" fontId="51" fillId="84" borderId="1044" applyNumberFormat="0" applyAlignment="0" applyProtection="0"/>
    <xf numFmtId="0" fontId="51" fillId="84" borderId="1044" applyNumberFormat="0" applyAlignment="0" applyProtection="0"/>
    <xf numFmtId="10" fontId="42" fillId="52" borderId="1041" applyNumberFormat="0" applyBorder="0" applyAlignment="0" applyProtection="0"/>
    <xf numFmtId="0" fontId="20" fillId="0" borderId="1043">
      <alignment horizontal="left" vertical="center"/>
    </xf>
    <xf numFmtId="0" fontId="35" fillId="88" borderId="1044" applyNumberFormat="0" applyAlignment="0" applyProtection="0"/>
    <xf numFmtId="0" fontId="34" fillId="56" borderId="1044" applyNumberFormat="0" applyAlignment="0" applyProtection="0"/>
    <xf numFmtId="0" fontId="34" fillId="56" borderId="1032" applyNumberFormat="0" applyAlignment="0" applyProtection="0"/>
    <xf numFmtId="0" fontId="35" fillId="88" borderId="1032" applyNumberFormat="0" applyAlignment="0" applyProtection="0"/>
    <xf numFmtId="0" fontId="20" fillId="0" borderId="1031">
      <alignment horizontal="left" vertical="center"/>
    </xf>
    <xf numFmtId="10" fontId="42" fillId="52" borderId="1029" applyNumberFormat="0" applyBorder="0" applyAlignment="0" applyProtection="0"/>
    <xf numFmtId="0" fontId="51" fillId="84" borderId="1032" applyNumberFormat="0" applyAlignment="0" applyProtection="0"/>
    <xf numFmtId="0" fontId="51" fillId="84" borderId="1032" applyNumberFormat="0" applyAlignment="0" applyProtection="0"/>
    <xf numFmtId="0" fontId="51" fillId="62" borderId="1032" applyNumberFormat="0" applyAlignment="0" applyProtection="0"/>
    <xf numFmtId="0" fontId="24" fillId="75" borderId="1028" applyNumberFormat="0" applyFont="0" applyAlignment="0" applyProtection="0"/>
    <xf numFmtId="0" fontId="27" fillId="95" borderId="1028" applyNumberFormat="0" applyFont="0" applyAlignment="0" applyProtection="0"/>
    <xf numFmtId="0" fontId="27" fillId="95" borderId="1028" applyNumberFormat="0" applyFont="0" applyAlignment="0" applyProtection="0"/>
    <xf numFmtId="0" fontId="27" fillId="95" borderId="1287" applyNumberFormat="0" applyFont="0" applyAlignment="0" applyProtection="0"/>
    <xf numFmtId="49" fontId="37" fillId="0" borderId="1030">
      <alignment horizontal="right" wrapText="1"/>
    </xf>
    <xf numFmtId="0" fontId="34" fillId="56" borderId="1032" applyNumberFormat="0" applyAlignment="0" applyProtection="0"/>
    <xf numFmtId="0" fontId="35" fillId="88" borderId="1032" applyNumberFormat="0" applyAlignment="0" applyProtection="0"/>
    <xf numFmtId="0" fontId="20" fillId="0" borderId="1031">
      <alignment horizontal="left" vertical="center"/>
    </xf>
    <xf numFmtId="10" fontId="42" fillId="52" borderId="1029" applyNumberFormat="0" applyBorder="0" applyAlignment="0" applyProtection="0"/>
    <xf numFmtId="0" fontId="51" fillId="84" borderId="1032" applyNumberFormat="0" applyAlignment="0" applyProtection="0"/>
    <xf numFmtId="0" fontId="51" fillId="84" borderId="1032" applyNumberFormat="0" applyAlignment="0" applyProtection="0"/>
    <xf numFmtId="0" fontId="51" fillId="62" borderId="1032" applyNumberFormat="0" applyAlignment="0" applyProtection="0"/>
    <xf numFmtId="0" fontId="24" fillId="75" borderId="1028" applyNumberFormat="0" applyFont="0" applyAlignment="0" applyProtection="0"/>
    <xf numFmtId="0" fontId="27" fillId="95" borderId="1028" applyNumberFormat="0" applyFont="0" applyAlignment="0" applyProtection="0"/>
    <xf numFmtId="0" fontId="27" fillId="95" borderId="1028" applyNumberFormat="0" applyFont="0" applyAlignment="0" applyProtection="0"/>
    <xf numFmtId="0" fontId="56" fillId="56" borderId="1033" applyNumberFormat="0" applyAlignment="0" applyProtection="0"/>
    <xf numFmtId="0" fontId="56" fillId="88" borderId="1033" applyNumberFormat="0" applyAlignment="0" applyProtection="0"/>
    <xf numFmtId="0" fontId="29" fillId="0" borderId="1034" applyNumberFormat="0" applyFill="0" applyAlignment="0" applyProtection="0"/>
    <xf numFmtId="0" fontId="29" fillId="0" borderId="1035" applyNumberFormat="0" applyFill="0" applyAlignment="0" applyProtection="0"/>
    <xf numFmtId="49" fontId="37" fillId="0" borderId="1030">
      <alignment horizontal="right" wrapText="1"/>
    </xf>
    <xf numFmtId="0" fontId="34" fillId="56" borderId="1039" applyNumberFormat="0" applyAlignment="0" applyProtection="0"/>
    <xf numFmtId="0" fontId="35" fillId="88" borderId="1039" applyNumberFormat="0" applyAlignment="0" applyProtection="0"/>
    <xf numFmtId="0" fontId="20" fillId="0" borderId="1038">
      <alignment horizontal="left" vertical="center"/>
    </xf>
    <xf numFmtId="10" fontId="42" fillId="52" borderId="1037" applyNumberFormat="0" applyBorder="0" applyAlignment="0" applyProtection="0"/>
    <xf numFmtId="0" fontId="51" fillId="84" borderId="1039" applyNumberFormat="0" applyAlignment="0" applyProtection="0"/>
    <xf numFmtId="0" fontId="51" fillId="84" borderId="1039" applyNumberFormat="0" applyAlignment="0" applyProtection="0"/>
    <xf numFmtId="0" fontId="51" fillId="62" borderId="1039" applyNumberFormat="0" applyAlignment="0" applyProtection="0"/>
    <xf numFmtId="0" fontId="24" fillId="75" borderId="1036" applyNumberFormat="0" applyFont="0" applyAlignment="0" applyProtection="0"/>
    <xf numFmtId="0" fontId="27" fillId="95" borderId="1036" applyNumberFormat="0" applyFont="0" applyAlignment="0" applyProtection="0"/>
    <xf numFmtId="0" fontId="27" fillId="95" borderId="1036" applyNumberFormat="0" applyFont="0" applyAlignment="0" applyProtection="0"/>
    <xf numFmtId="0" fontId="24" fillId="75" borderId="1040" applyNumberFormat="0" applyFont="0" applyAlignment="0" applyProtection="0"/>
    <xf numFmtId="0" fontId="27" fillId="95" borderId="1040" applyNumberFormat="0" applyFont="0" applyAlignment="0" applyProtection="0"/>
    <xf numFmtId="0" fontId="27" fillId="95" borderId="1040" applyNumberFormat="0" applyFont="0" applyAlignment="0" applyProtection="0"/>
    <xf numFmtId="0" fontId="56" fillId="56" borderId="1045" applyNumberFormat="0" applyAlignment="0" applyProtection="0"/>
    <xf numFmtId="0" fontId="56" fillId="88" borderId="1045" applyNumberFormat="0" applyAlignment="0" applyProtection="0"/>
    <xf numFmtId="0" fontId="29" fillId="0" borderId="1046" applyNumberFormat="0" applyFill="0" applyAlignment="0" applyProtection="0"/>
    <xf numFmtId="0" fontId="29" fillId="0" borderId="1047" applyNumberFormat="0" applyFill="0" applyAlignment="0" applyProtection="0"/>
    <xf numFmtId="49" fontId="37" fillId="0" borderId="1042">
      <alignment horizontal="right" wrapText="1"/>
    </xf>
    <xf numFmtId="0" fontId="34" fillId="56" borderId="1052" applyNumberFormat="0" applyAlignment="0" applyProtection="0"/>
    <xf numFmtId="0" fontId="35" fillId="88" borderId="1052" applyNumberFormat="0" applyAlignment="0" applyProtection="0"/>
    <xf numFmtId="0" fontId="20" fillId="0" borderId="1051">
      <alignment horizontal="left" vertical="center"/>
    </xf>
    <xf numFmtId="10" fontId="42" fillId="52" borderId="1049" applyNumberFormat="0" applyBorder="0" applyAlignment="0" applyProtection="0"/>
    <xf numFmtId="0" fontId="51" fillId="84" borderId="1052" applyNumberFormat="0" applyAlignment="0" applyProtection="0"/>
    <xf numFmtId="0" fontId="51" fillId="84" borderId="1052" applyNumberFormat="0" applyAlignment="0" applyProtection="0"/>
    <xf numFmtId="0" fontId="51" fillId="62" borderId="1052" applyNumberFormat="0" applyAlignment="0" applyProtection="0"/>
    <xf numFmtId="0" fontId="24" fillId="75" borderId="1048" applyNumberFormat="0" applyFont="0" applyAlignment="0" applyProtection="0"/>
    <xf numFmtId="0" fontId="27" fillId="95" borderId="1048" applyNumberFormat="0" applyFont="0" applyAlignment="0" applyProtection="0"/>
    <xf numFmtId="0" fontId="27" fillId="95" borderId="1048" applyNumberFormat="0" applyFont="0" applyAlignment="0" applyProtection="0"/>
    <xf numFmtId="0" fontId="56" fillId="56" borderId="1053" applyNumberFormat="0" applyAlignment="0" applyProtection="0"/>
    <xf numFmtId="0" fontId="56" fillId="88" borderId="1053" applyNumberFormat="0" applyAlignment="0" applyProtection="0"/>
    <xf numFmtId="0" fontId="29" fillId="0" borderId="1054" applyNumberFormat="0" applyFill="0" applyAlignment="0" applyProtection="0"/>
    <xf numFmtId="0" fontId="29" fillId="0" borderId="1055" applyNumberFormat="0" applyFill="0" applyAlignment="0" applyProtection="0"/>
    <xf numFmtId="49" fontId="37" fillId="0" borderId="1050">
      <alignment horizontal="right" wrapText="1"/>
    </xf>
    <xf numFmtId="0" fontId="34" fillId="56" borderId="1059" applyNumberFormat="0" applyAlignment="0" applyProtection="0"/>
    <xf numFmtId="0" fontId="35" fillId="88" borderId="1059" applyNumberFormat="0" applyAlignment="0" applyProtection="0"/>
    <xf numFmtId="0" fontId="20" fillId="0" borderId="1058">
      <alignment horizontal="left" vertical="center"/>
    </xf>
    <xf numFmtId="10" fontId="42" fillId="52" borderId="1057" applyNumberFormat="0" applyBorder="0" applyAlignment="0" applyProtection="0"/>
    <xf numFmtId="0" fontId="51" fillId="84" borderId="1059" applyNumberFormat="0" applyAlignment="0" applyProtection="0"/>
    <xf numFmtId="0" fontId="51" fillId="84" borderId="1059" applyNumberFormat="0" applyAlignment="0" applyProtection="0"/>
    <xf numFmtId="0" fontId="51" fillId="62" borderId="1059" applyNumberFormat="0" applyAlignment="0" applyProtection="0"/>
    <xf numFmtId="0" fontId="24" fillId="75" borderId="1056" applyNumberFormat="0" applyFont="0" applyAlignment="0" applyProtection="0"/>
    <xf numFmtId="0" fontId="27" fillId="95" borderId="1056" applyNumberFormat="0" applyFont="0" applyAlignment="0" applyProtection="0"/>
    <xf numFmtId="0" fontId="27" fillId="95" borderId="1056" applyNumberFormat="0" applyFont="0" applyAlignment="0" applyProtection="0"/>
    <xf numFmtId="0" fontId="35" fillId="88" borderId="1171" applyNumberFormat="0" applyAlignment="0" applyProtection="0"/>
    <xf numFmtId="0" fontId="29" fillId="0" borderId="1065" applyNumberFormat="0" applyFill="0" applyAlignment="0" applyProtection="0"/>
    <xf numFmtId="0" fontId="29" fillId="0" borderId="1066" applyNumberFormat="0" applyFill="0" applyAlignment="0" applyProtection="0"/>
    <xf numFmtId="0" fontId="27" fillId="95" borderId="1207" applyNumberFormat="0" applyFont="0" applyAlignment="0" applyProtection="0"/>
    <xf numFmtId="0" fontId="56" fillId="88" borderId="1212" applyNumberFormat="0" applyAlignment="0" applyProtection="0"/>
    <xf numFmtId="49" fontId="37" fillId="0" borderId="1062">
      <alignment horizontal="right" wrapText="1"/>
    </xf>
    <xf numFmtId="0" fontId="51" fillId="62" borderId="1076" applyNumberFormat="0" applyAlignment="0" applyProtection="0"/>
    <xf numFmtId="0" fontId="51" fillId="84" borderId="1076" applyNumberFormat="0" applyAlignment="0" applyProtection="0"/>
    <xf numFmtId="0" fontId="51" fillId="84" borderId="1076" applyNumberFormat="0" applyAlignment="0" applyProtection="0"/>
    <xf numFmtId="10" fontId="42" fillId="52" borderId="1073" applyNumberFormat="0" applyBorder="0" applyAlignment="0" applyProtection="0"/>
    <xf numFmtId="0" fontId="20" fillId="0" borderId="1075">
      <alignment horizontal="left" vertical="center"/>
    </xf>
    <xf numFmtId="0" fontId="35" fillId="88" borderId="1076" applyNumberFormat="0" applyAlignment="0" applyProtection="0"/>
    <xf numFmtId="0" fontId="34" fillId="56" borderId="1076" applyNumberFormat="0" applyAlignment="0" applyProtection="0"/>
    <xf numFmtId="0" fontId="34" fillId="56" borderId="1064" applyNumberFormat="0" applyAlignment="0" applyProtection="0"/>
    <xf numFmtId="0" fontId="35" fillId="88" borderId="1064" applyNumberFormat="0" applyAlignment="0" applyProtection="0"/>
    <xf numFmtId="0" fontId="20" fillId="0" borderId="1063">
      <alignment horizontal="left" vertical="center"/>
    </xf>
    <xf numFmtId="10" fontId="42" fillId="52" borderId="1061" applyNumberFormat="0" applyBorder="0" applyAlignment="0" applyProtection="0"/>
    <xf numFmtId="0" fontId="51" fillId="84" borderId="1064" applyNumberFormat="0" applyAlignment="0" applyProtection="0"/>
    <xf numFmtId="0" fontId="51" fillId="84" borderId="1064" applyNumberFormat="0" applyAlignment="0" applyProtection="0"/>
    <xf numFmtId="0" fontId="51" fillId="62" borderId="1064" applyNumberFormat="0" applyAlignment="0" applyProtection="0"/>
    <xf numFmtId="0" fontId="24" fillId="75" borderId="1060" applyNumberFormat="0" applyFont="0" applyAlignment="0" applyProtection="0"/>
    <xf numFmtId="0" fontId="27" fillId="95" borderId="1060" applyNumberFormat="0" applyFont="0" applyAlignment="0" applyProtection="0"/>
    <xf numFmtId="0" fontId="27" fillId="95" borderId="1060" applyNumberFormat="0" applyFont="0" applyAlignment="0" applyProtection="0"/>
    <xf numFmtId="49" fontId="37" fillId="0" borderId="1062">
      <alignment horizontal="right" wrapText="1"/>
    </xf>
    <xf numFmtId="0" fontId="34" fillId="56" borderId="1064" applyNumberFormat="0" applyAlignment="0" applyProtection="0"/>
    <xf numFmtId="0" fontId="35" fillId="88" borderId="1064" applyNumberFormat="0" applyAlignment="0" applyProtection="0"/>
    <xf numFmtId="0" fontId="20" fillId="0" borderId="1063">
      <alignment horizontal="left" vertical="center"/>
    </xf>
    <xf numFmtId="10" fontId="42" fillId="52" borderId="1061" applyNumberFormat="0" applyBorder="0" applyAlignment="0" applyProtection="0"/>
    <xf numFmtId="0" fontId="51" fillId="84" borderId="1064" applyNumberFormat="0" applyAlignment="0" applyProtection="0"/>
    <xf numFmtId="0" fontId="51" fillId="84" borderId="1064" applyNumberFormat="0" applyAlignment="0" applyProtection="0"/>
    <xf numFmtId="0" fontId="51" fillId="62" borderId="1064" applyNumberFormat="0" applyAlignment="0" applyProtection="0"/>
    <xf numFmtId="0" fontId="24" fillId="75" borderId="1060" applyNumberFormat="0" applyFont="0" applyAlignment="0" applyProtection="0"/>
    <xf numFmtId="0" fontId="27" fillId="95" borderId="1060" applyNumberFormat="0" applyFont="0" applyAlignment="0" applyProtection="0"/>
    <xf numFmtId="0" fontId="27" fillId="95" borderId="1060" applyNumberFormat="0" applyFont="0" applyAlignment="0" applyProtection="0"/>
    <xf numFmtId="0" fontId="56" fillId="56" borderId="1067" applyNumberFormat="0" applyAlignment="0" applyProtection="0"/>
    <xf numFmtId="0" fontId="56" fillId="88" borderId="1067" applyNumberFormat="0" applyAlignment="0" applyProtection="0"/>
    <xf numFmtId="0" fontId="29" fillId="0" borderId="1065" applyNumberFormat="0" applyFill="0" applyAlignment="0" applyProtection="0"/>
    <xf numFmtId="0" fontId="29" fillId="0" borderId="1066" applyNumberFormat="0" applyFill="0" applyAlignment="0" applyProtection="0"/>
    <xf numFmtId="49" fontId="37" fillId="0" borderId="1062">
      <alignment horizontal="right" wrapText="1"/>
    </xf>
    <xf numFmtId="0" fontId="34" fillId="56" borderId="1071" applyNumberFormat="0" applyAlignment="0" applyProtection="0"/>
    <xf numFmtId="0" fontId="35" fillId="88" borderId="1071" applyNumberFormat="0" applyAlignment="0" applyProtection="0"/>
    <xf numFmtId="0" fontId="20" fillId="0" borderId="1070">
      <alignment horizontal="left" vertical="center"/>
    </xf>
    <xf numFmtId="10" fontId="42" fillId="52" borderId="1069" applyNumberFormat="0" applyBorder="0" applyAlignment="0" applyProtection="0"/>
    <xf numFmtId="0" fontId="51" fillId="84" borderId="1071" applyNumberFormat="0" applyAlignment="0" applyProtection="0"/>
    <xf numFmtId="0" fontId="51" fillId="84" borderId="1071" applyNumberFormat="0" applyAlignment="0" applyProtection="0"/>
    <xf numFmtId="0" fontId="51" fillId="62" borderId="1071" applyNumberFormat="0" applyAlignment="0" applyProtection="0"/>
    <xf numFmtId="0" fontId="24" fillId="75" borderId="1068" applyNumberFormat="0" applyFont="0" applyAlignment="0" applyProtection="0"/>
    <xf numFmtId="0" fontId="27" fillId="95" borderId="1068" applyNumberFormat="0" applyFont="0" applyAlignment="0" applyProtection="0"/>
    <xf numFmtId="0" fontId="27" fillId="95" borderId="1068" applyNumberFormat="0" applyFont="0" applyAlignment="0" applyProtection="0"/>
    <xf numFmtId="0" fontId="24" fillId="75" borderId="1072" applyNumberFormat="0" applyFont="0" applyAlignment="0" applyProtection="0"/>
    <xf numFmtId="0" fontId="27" fillId="95" borderId="1072" applyNumberFormat="0" applyFont="0" applyAlignment="0" applyProtection="0"/>
    <xf numFmtId="0" fontId="27" fillId="95" borderId="1072" applyNumberFormat="0" applyFont="0" applyAlignment="0" applyProtection="0"/>
    <xf numFmtId="0" fontId="56" fillId="56" borderId="1077" applyNumberFormat="0" applyAlignment="0" applyProtection="0"/>
    <xf numFmtId="0" fontId="56" fillId="88" borderId="1077" applyNumberFormat="0" applyAlignment="0" applyProtection="0"/>
    <xf numFmtId="0" fontId="29" fillId="0" borderId="1078" applyNumberFormat="0" applyFill="0" applyAlignment="0" applyProtection="0"/>
    <xf numFmtId="0" fontId="29" fillId="0" borderId="1079" applyNumberFormat="0" applyFill="0" applyAlignment="0" applyProtection="0"/>
    <xf numFmtId="49" fontId="37" fillId="0" borderId="1074">
      <alignment horizontal="right" wrapText="1"/>
    </xf>
    <xf numFmtId="0" fontId="34" fillId="56" borderId="1084" applyNumberFormat="0" applyAlignment="0" applyProtection="0"/>
    <xf numFmtId="0" fontId="35" fillId="88" borderId="1084" applyNumberFormat="0" applyAlignment="0" applyProtection="0"/>
    <xf numFmtId="0" fontId="20" fillId="0" borderId="1083">
      <alignment horizontal="left" vertical="center"/>
    </xf>
    <xf numFmtId="10" fontId="42" fillId="52" borderId="1081" applyNumberFormat="0" applyBorder="0" applyAlignment="0" applyProtection="0"/>
    <xf numFmtId="0" fontId="51" fillId="84" borderId="1084" applyNumberFormat="0" applyAlignment="0" applyProtection="0"/>
    <xf numFmtId="0" fontId="51" fillId="84" borderId="1084" applyNumberFormat="0" applyAlignment="0" applyProtection="0"/>
    <xf numFmtId="0" fontId="51" fillId="62" borderId="1084" applyNumberFormat="0" applyAlignment="0" applyProtection="0"/>
    <xf numFmtId="0" fontId="24" fillId="75" borderId="1080" applyNumberFormat="0" applyFont="0" applyAlignment="0" applyProtection="0"/>
    <xf numFmtId="0" fontId="27" fillId="95" borderId="1080" applyNumberFormat="0" applyFont="0" applyAlignment="0" applyProtection="0"/>
    <xf numFmtId="0" fontId="27" fillId="95" borderId="1080" applyNumberFormat="0" applyFont="0" applyAlignment="0" applyProtection="0"/>
    <xf numFmtId="0" fontId="56" fillId="56" borderId="1085" applyNumberFormat="0" applyAlignment="0" applyProtection="0"/>
    <xf numFmtId="0" fontId="56" fillId="88" borderId="1085" applyNumberFormat="0" applyAlignment="0" applyProtection="0"/>
    <xf numFmtId="0" fontId="29" fillId="0" borderId="1086" applyNumberFormat="0" applyFill="0" applyAlignment="0" applyProtection="0"/>
    <xf numFmtId="0" fontId="29" fillId="0" borderId="1087" applyNumberFormat="0" applyFill="0" applyAlignment="0" applyProtection="0"/>
    <xf numFmtId="49" fontId="37" fillId="0" borderId="1082">
      <alignment horizontal="right" wrapText="1"/>
    </xf>
    <xf numFmtId="0" fontId="34" fillId="56" borderId="1091" applyNumberFormat="0" applyAlignment="0" applyProtection="0"/>
    <xf numFmtId="0" fontId="35" fillId="88" borderId="1091" applyNumberFormat="0" applyAlignment="0" applyProtection="0"/>
    <xf numFmtId="0" fontId="20" fillId="0" borderId="1090">
      <alignment horizontal="left" vertical="center"/>
    </xf>
    <xf numFmtId="10" fontId="42" fillId="52" borderId="1089" applyNumberFormat="0" applyBorder="0" applyAlignment="0" applyProtection="0"/>
    <xf numFmtId="0" fontId="51" fillId="84" borderId="1091" applyNumberFormat="0" applyAlignment="0" applyProtection="0"/>
    <xf numFmtId="0" fontId="51" fillId="84" borderId="1091" applyNumberFormat="0" applyAlignment="0" applyProtection="0"/>
    <xf numFmtId="0" fontId="51" fillId="62" borderId="1091" applyNumberFormat="0" applyAlignment="0" applyProtection="0"/>
    <xf numFmtId="0" fontId="24" fillId="75" borderId="1088" applyNumberFormat="0" applyFont="0" applyAlignment="0" applyProtection="0"/>
    <xf numFmtId="0" fontId="27" fillId="95" borderId="1088" applyNumberFormat="0" applyFont="0" applyAlignment="0" applyProtection="0"/>
    <xf numFmtId="0" fontId="27" fillId="95" borderId="1088" applyNumberFormat="0" applyFont="0" applyAlignment="0" applyProtection="0"/>
    <xf numFmtId="0" fontId="35" fillId="88" borderId="1211" applyNumberFormat="0" applyAlignment="0" applyProtection="0"/>
    <xf numFmtId="0" fontId="27" fillId="95" borderId="1247" applyNumberFormat="0" applyFont="0" applyAlignment="0" applyProtection="0"/>
    <xf numFmtId="49" fontId="37" fillId="0" borderId="1094">
      <alignment horizontal="right" wrapText="1"/>
    </xf>
    <xf numFmtId="0" fontId="51" fillId="62" borderId="1112" applyNumberFormat="0" applyAlignment="0" applyProtection="0"/>
    <xf numFmtId="0" fontId="51" fillId="84" borderId="1112" applyNumberFormat="0" applyAlignment="0" applyProtection="0"/>
    <xf numFmtId="0" fontId="51" fillId="84" borderId="1112" applyNumberFormat="0" applyAlignment="0" applyProtection="0"/>
    <xf numFmtId="10" fontId="42" fillId="52" borderId="1109" applyNumberFormat="0" applyBorder="0" applyAlignment="0" applyProtection="0"/>
    <xf numFmtId="0" fontId="20" fillId="0" borderId="1111">
      <alignment horizontal="left" vertical="center"/>
    </xf>
    <xf numFmtId="0" fontId="35" fillId="88" borderId="1112" applyNumberFormat="0" applyAlignment="0" applyProtection="0"/>
    <xf numFmtId="0" fontId="34" fillId="56" borderId="1112" applyNumberFormat="0" applyAlignment="0" applyProtection="0"/>
    <xf numFmtId="0" fontId="34" fillId="56" borderId="1100" applyNumberFormat="0" applyAlignment="0" applyProtection="0"/>
    <xf numFmtId="0" fontId="35" fillId="88" borderId="1100" applyNumberFormat="0" applyAlignment="0" applyProtection="0"/>
    <xf numFmtId="0" fontId="20" fillId="0" borderId="1099">
      <alignment horizontal="left" vertical="center"/>
    </xf>
    <xf numFmtId="10" fontId="42" fillId="52" borderId="1097" applyNumberFormat="0" applyBorder="0" applyAlignment="0" applyProtection="0"/>
    <xf numFmtId="0" fontId="51" fillId="84" borderId="1100" applyNumberFormat="0" applyAlignment="0" applyProtection="0"/>
    <xf numFmtId="0" fontId="51" fillId="84" borderId="1100" applyNumberFormat="0" applyAlignment="0" applyProtection="0"/>
    <xf numFmtId="0" fontId="51" fillId="62" borderId="1100" applyNumberFormat="0" applyAlignment="0" applyProtection="0"/>
    <xf numFmtId="0" fontId="24" fillId="75" borderId="1092" applyNumberFormat="0" applyFont="0" applyAlignment="0" applyProtection="0"/>
    <xf numFmtId="0" fontId="27" fillId="95" borderId="1092" applyNumberFormat="0" applyFont="0" applyAlignment="0" applyProtection="0"/>
    <xf numFmtId="0" fontId="27" fillId="95" borderId="1092" applyNumberFormat="0" applyFont="0" applyAlignment="0" applyProtection="0"/>
    <xf numFmtId="0" fontId="51" fillId="62" borderId="1331" applyNumberFormat="0" applyAlignment="0" applyProtection="0"/>
    <xf numFmtId="49" fontId="37" fillId="0" borderId="1098">
      <alignment horizontal="right" wrapText="1"/>
    </xf>
    <xf numFmtId="0" fontId="34" fillId="56" borderId="1100" applyNumberFormat="0" applyAlignment="0" applyProtection="0"/>
    <xf numFmtId="0" fontId="35" fillId="88" borderId="1100" applyNumberFormat="0" applyAlignment="0" applyProtection="0"/>
    <xf numFmtId="0" fontId="20" fillId="0" borderId="1099">
      <alignment horizontal="left" vertical="center"/>
    </xf>
    <xf numFmtId="10" fontId="42" fillId="52" borderId="1097" applyNumberFormat="0" applyBorder="0" applyAlignment="0" applyProtection="0"/>
    <xf numFmtId="0" fontId="51" fillId="84" borderId="1100" applyNumberFormat="0" applyAlignment="0" applyProtection="0"/>
    <xf numFmtId="0" fontId="51" fillId="84" borderId="1100" applyNumberFormat="0" applyAlignment="0" applyProtection="0"/>
    <xf numFmtId="0" fontId="51" fillId="62" borderId="1100" applyNumberFormat="0" applyAlignment="0" applyProtection="0"/>
    <xf numFmtId="0" fontId="24" fillId="75" borderId="1092" applyNumberFormat="0" applyFont="0" applyAlignment="0" applyProtection="0"/>
    <xf numFmtId="0" fontId="27" fillId="95" borderId="1092" applyNumberFormat="0" applyFont="0" applyAlignment="0" applyProtection="0"/>
    <xf numFmtId="0" fontId="27" fillId="95" borderId="1092" applyNumberFormat="0" applyFont="0" applyAlignment="0" applyProtection="0"/>
    <xf numFmtId="0" fontId="56" fillId="56" borderId="1101" applyNumberFormat="0" applyAlignment="0" applyProtection="0"/>
    <xf numFmtId="0" fontId="56" fillId="88" borderId="1101" applyNumberFormat="0" applyAlignment="0" applyProtection="0"/>
    <xf numFmtId="0" fontId="29" fillId="0" borderId="1102" applyNumberFormat="0" applyFill="0" applyAlignment="0" applyProtection="0"/>
    <xf numFmtId="0" fontId="29" fillId="0" borderId="1103" applyNumberFormat="0" applyFill="0" applyAlignment="0" applyProtection="0"/>
    <xf numFmtId="49" fontId="37" fillId="0" borderId="1098">
      <alignment horizontal="right" wrapText="1"/>
    </xf>
    <xf numFmtId="0" fontId="34" fillId="56" borderId="1107" applyNumberFormat="0" applyAlignment="0" applyProtection="0"/>
    <xf numFmtId="0" fontId="35" fillId="88" borderId="1107" applyNumberFormat="0" applyAlignment="0" applyProtection="0"/>
    <xf numFmtId="0" fontId="20" fillId="0" borderId="1106">
      <alignment horizontal="left" vertical="center"/>
    </xf>
    <xf numFmtId="10" fontId="42" fillId="52" borderId="1105" applyNumberFormat="0" applyBorder="0" applyAlignment="0" applyProtection="0"/>
    <xf numFmtId="0" fontId="51" fillId="84" borderId="1107" applyNumberFormat="0" applyAlignment="0" applyProtection="0"/>
    <xf numFmtId="0" fontId="51" fillId="84" borderId="1107" applyNumberFormat="0" applyAlignment="0" applyProtection="0"/>
    <xf numFmtId="0" fontId="51" fillId="62" borderId="1107" applyNumberFormat="0" applyAlignment="0" applyProtection="0"/>
    <xf numFmtId="0" fontId="24" fillId="75" borderId="1104" applyNumberFormat="0" applyFont="0" applyAlignment="0" applyProtection="0"/>
    <xf numFmtId="0" fontId="27" fillId="95" borderId="1104" applyNumberFormat="0" applyFont="0" applyAlignment="0" applyProtection="0"/>
    <xf numFmtId="0" fontId="27" fillId="95" borderId="1104" applyNumberFormat="0" applyFont="0" applyAlignment="0" applyProtection="0"/>
    <xf numFmtId="0" fontId="24" fillId="75" borderId="1108" applyNumberFormat="0" applyFont="0" applyAlignment="0" applyProtection="0"/>
    <xf numFmtId="0" fontId="27" fillId="95" borderId="1108" applyNumberFormat="0" applyFont="0" applyAlignment="0" applyProtection="0"/>
    <xf numFmtId="0" fontId="27" fillId="95" borderId="1108" applyNumberFormat="0" applyFont="0" applyAlignment="0" applyProtection="0"/>
    <xf numFmtId="0" fontId="56" fillId="56" borderId="1113" applyNumberFormat="0" applyAlignment="0" applyProtection="0"/>
    <xf numFmtId="0" fontId="56" fillId="88" borderId="1113" applyNumberFormat="0" applyAlignment="0" applyProtection="0"/>
    <xf numFmtId="0" fontId="29" fillId="0" borderId="1114" applyNumberFormat="0" applyFill="0" applyAlignment="0" applyProtection="0"/>
    <xf numFmtId="0" fontId="29" fillId="0" borderId="1115" applyNumberFormat="0" applyFill="0" applyAlignment="0" applyProtection="0"/>
    <xf numFmtId="49" fontId="37" fillId="0" borderId="1110">
      <alignment horizontal="right" wrapText="1"/>
    </xf>
    <xf numFmtId="0" fontId="34" fillId="56" borderId="1120" applyNumberFormat="0" applyAlignment="0" applyProtection="0"/>
    <xf numFmtId="0" fontId="35" fillId="88" borderId="1120" applyNumberFormat="0" applyAlignment="0" applyProtection="0"/>
    <xf numFmtId="0" fontId="20" fillId="0" borderId="1119">
      <alignment horizontal="left" vertical="center"/>
    </xf>
    <xf numFmtId="10" fontId="42" fillId="52" borderId="1117" applyNumberFormat="0" applyBorder="0" applyAlignment="0" applyProtection="0"/>
    <xf numFmtId="0" fontId="51" fillId="84" borderId="1120" applyNumberFormat="0" applyAlignment="0" applyProtection="0"/>
    <xf numFmtId="0" fontId="51" fillId="84" borderId="1120" applyNumberFormat="0" applyAlignment="0" applyProtection="0"/>
    <xf numFmtId="0" fontId="51" fillId="62" borderId="1120" applyNumberFormat="0" applyAlignment="0" applyProtection="0"/>
    <xf numFmtId="0" fontId="24" fillId="75" borderId="1116" applyNumberFormat="0" applyFont="0" applyAlignment="0" applyProtection="0"/>
    <xf numFmtId="0" fontId="27" fillId="95" borderId="1116" applyNumberFormat="0" applyFont="0" applyAlignment="0" applyProtection="0"/>
    <xf numFmtId="0" fontId="27" fillId="95" borderId="1116" applyNumberFormat="0" applyFont="0" applyAlignment="0" applyProtection="0"/>
    <xf numFmtId="0" fontId="56" fillId="56" borderId="1121" applyNumberFormat="0" applyAlignment="0" applyProtection="0"/>
    <xf numFmtId="0" fontId="56" fillId="88" borderId="1121" applyNumberFormat="0" applyAlignment="0" applyProtection="0"/>
    <xf numFmtId="0" fontId="29" fillId="0" borderId="1122" applyNumberFormat="0" applyFill="0" applyAlignment="0" applyProtection="0"/>
    <xf numFmtId="0" fontId="29" fillId="0" borderId="1123" applyNumberFormat="0" applyFill="0" applyAlignment="0" applyProtection="0"/>
    <xf numFmtId="49" fontId="37" fillId="0" borderId="1118">
      <alignment horizontal="right" wrapText="1"/>
    </xf>
    <xf numFmtId="0" fontId="34" fillId="56" borderId="1127" applyNumberFormat="0" applyAlignment="0" applyProtection="0"/>
    <xf numFmtId="0" fontId="35" fillId="88" borderId="1127" applyNumberFormat="0" applyAlignment="0" applyProtection="0"/>
    <xf numFmtId="0" fontId="20" fillId="0" borderId="1126">
      <alignment horizontal="left" vertical="center"/>
    </xf>
    <xf numFmtId="10" fontId="42" fillId="52" borderId="1125" applyNumberFormat="0" applyBorder="0" applyAlignment="0" applyProtection="0"/>
    <xf numFmtId="0" fontId="51" fillId="84" borderId="1127" applyNumberFormat="0" applyAlignment="0" applyProtection="0"/>
    <xf numFmtId="0" fontId="51" fillId="84" borderId="1127" applyNumberFormat="0" applyAlignment="0" applyProtection="0"/>
    <xf numFmtId="0" fontId="51" fillId="62" borderId="1127" applyNumberFormat="0" applyAlignment="0" applyProtection="0"/>
    <xf numFmtId="0" fontId="24" fillId="75" borderId="1124" applyNumberFormat="0" applyFont="0" applyAlignment="0" applyProtection="0"/>
    <xf numFmtId="0" fontId="27" fillId="95" borderId="1124" applyNumberFormat="0" applyFont="0" applyAlignment="0" applyProtection="0"/>
    <xf numFmtId="0" fontId="27" fillId="95" borderId="1124" applyNumberFormat="0" applyFont="0" applyAlignment="0" applyProtection="0"/>
    <xf numFmtId="0" fontId="27" fillId="95" borderId="1287" applyNumberFormat="0" applyFont="0" applyAlignment="0" applyProtection="0"/>
    <xf numFmtId="49" fontId="37" fillId="0" borderId="1130">
      <alignment horizontal="right" wrapText="1"/>
    </xf>
    <xf numFmtId="0" fontId="51" fillId="62" borderId="1151" applyNumberFormat="0" applyAlignment="0" applyProtection="0"/>
    <xf numFmtId="0" fontId="51" fillId="84" borderId="1151" applyNumberFormat="0" applyAlignment="0" applyProtection="0"/>
    <xf numFmtId="0" fontId="51" fillId="84" borderId="1151" applyNumberFormat="0" applyAlignment="0" applyProtection="0"/>
    <xf numFmtId="10" fontId="42" fillId="52" borderId="1148" applyNumberFormat="0" applyBorder="0" applyAlignment="0" applyProtection="0"/>
    <xf numFmtId="0" fontId="20" fillId="0" borderId="1150">
      <alignment horizontal="left" vertical="center"/>
    </xf>
    <xf numFmtId="0" fontId="35" fillId="88" borderId="1151" applyNumberFormat="0" applyAlignment="0" applyProtection="0"/>
    <xf numFmtId="0" fontId="34" fillId="56" borderId="1151" applyNumberFormat="0" applyAlignment="0" applyProtection="0"/>
    <xf numFmtId="0" fontId="34" fillId="56" borderId="1139" applyNumberFormat="0" applyAlignment="0" applyProtection="0"/>
    <xf numFmtId="0" fontId="35" fillId="88" borderId="1139" applyNumberFormat="0" applyAlignment="0" applyProtection="0"/>
    <xf numFmtId="0" fontId="20" fillId="0" borderId="1138">
      <alignment horizontal="left" vertical="center"/>
    </xf>
    <xf numFmtId="10" fontId="42" fillId="52" borderId="1136" applyNumberFormat="0" applyBorder="0" applyAlignment="0" applyProtection="0"/>
    <xf numFmtId="0" fontId="51" fillId="84" borderId="1139" applyNumberFormat="0" applyAlignment="0" applyProtection="0"/>
    <xf numFmtId="0" fontId="51" fillId="84" borderId="1139" applyNumberFormat="0" applyAlignment="0" applyProtection="0"/>
    <xf numFmtId="0" fontId="51" fillId="62" borderId="1139" applyNumberFormat="0" applyAlignment="0" applyProtection="0"/>
    <xf numFmtId="0" fontId="24" fillId="75" borderId="1135" applyNumberFormat="0" applyFont="0" applyAlignment="0" applyProtection="0"/>
    <xf numFmtId="0" fontId="27" fillId="95" borderId="1135" applyNumberFormat="0" applyFont="0" applyAlignment="0" applyProtection="0"/>
    <xf numFmtId="0" fontId="27" fillId="95" borderId="1135" applyNumberFormat="0" applyFont="0" applyAlignment="0" applyProtection="0"/>
    <xf numFmtId="49" fontId="37" fillId="0" borderId="1137">
      <alignment horizontal="right" wrapText="1"/>
    </xf>
    <xf numFmtId="0" fontId="34" fillId="56" borderId="1139" applyNumberFormat="0" applyAlignment="0" applyProtection="0"/>
    <xf numFmtId="0" fontId="35" fillId="88" borderId="1139" applyNumberFormat="0" applyAlignment="0" applyProtection="0"/>
    <xf numFmtId="0" fontId="20" fillId="0" borderId="1138">
      <alignment horizontal="left" vertical="center"/>
    </xf>
    <xf numFmtId="10" fontId="42" fillId="52" borderId="1136" applyNumberFormat="0" applyBorder="0" applyAlignment="0" applyProtection="0"/>
    <xf numFmtId="0" fontId="51" fillId="84" borderId="1139" applyNumberFormat="0" applyAlignment="0" applyProtection="0"/>
    <xf numFmtId="0" fontId="51" fillId="84" borderId="1139" applyNumberFormat="0" applyAlignment="0" applyProtection="0"/>
    <xf numFmtId="0" fontId="51" fillId="62" borderId="1139" applyNumberFormat="0" applyAlignment="0" applyProtection="0"/>
    <xf numFmtId="0" fontId="24" fillId="75" borderId="1135" applyNumberFormat="0" applyFont="0" applyAlignment="0" applyProtection="0"/>
    <xf numFmtId="0" fontId="27" fillId="95" borderId="1135" applyNumberFormat="0" applyFont="0" applyAlignment="0" applyProtection="0"/>
    <xf numFmtId="0" fontId="27" fillId="95" borderId="1135" applyNumberFormat="0" applyFont="0" applyAlignment="0" applyProtection="0"/>
    <xf numFmtId="0" fontId="56" fillId="56" borderId="1140" applyNumberFormat="0" applyAlignment="0" applyProtection="0"/>
    <xf numFmtId="0" fontId="56" fillId="88" borderId="1140" applyNumberFormat="0" applyAlignment="0" applyProtection="0"/>
    <xf numFmtId="0" fontId="29" fillId="0" borderId="1141" applyNumberFormat="0" applyFill="0" applyAlignment="0" applyProtection="0"/>
    <xf numFmtId="0" fontId="29" fillId="0" borderId="1142" applyNumberFormat="0" applyFill="0" applyAlignment="0" applyProtection="0"/>
    <xf numFmtId="49" fontId="37" fillId="0" borderId="1137">
      <alignment horizontal="right" wrapText="1"/>
    </xf>
    <xf numFmtId="0" fontId="34" fillId="56" borderId="1146" applyNumberFormat="0" applyAlignment="0" applyProtection="0"/>
    <xf numFmtId="0" fontId="35" fillId="88" borderId="1146" applyNumberFormat="0" applyAlignment="0" applyProtection="0"/>
    <xf numFmtId="0" fontId="20" fillId="0" borderId="1145">
      <alignment horizontal="left" vertical="center"/>
    </xf>
    <xf numFmtId="10" fontId="42" fillId="52" borderId="1144" applyNumberFormat="0" applyBorder="0" applyAlignment="0" applyProtection="0"/>
    <xf numFmtId="0" fontId="51" fillId="84" borderId="1146" applyNumberFormat="0" applyAlignment="0" applyProtection="0"/>
    <xf numFmtId="0" fontId="51" fillId="84" borderId="1146" applyNumberFormat="0" applyAlignment="0" applyProtection="0"/>
    <xf numFmtId="0" fontId="51" fillId="62" borderId="1146" applyNumberFormat="0" applyAlignment="0" applyProtection="0"/>
    <xf numFmtId="0" fontId="24" fillId="75" borderId="1143" applyNumberFormat="0" applyFont="0" applyAlignment="0" applyProtection="0"/>
    <xf numFmtId="0" fontId="27" fillId="95" borderId="1143" applyNumberFormat="0" applyFont="0" applyAlignment="0" applyProtection="0"/>
    <xf numFmtId="0" fontId="27" fillId="95" borderId="1143" applyNumberFormat="0" applyFont="0" applyAlignment="0" applyProtection="0"/>
    <xf numFmtId="0" fontId="24" fillId="75" borderId="1147" applyNumberFormat="0" applyFont="0" applyAlignment="0" applyProtection="0"/>
    <xf numFmtId="0" fontId="27" fillId="95" borderId="1147" applyNumberFormat="0" applyFont="0" applyAlignment="0" applyProtection="0"/>
    <xf numFmtId="0" fontId="27" fillId="95" borderId="1147" applyNumberFormat="0" applyFont="0" applyAlignment="0" applyProtection="0"/>
    <xf numFmtId="0" fontId="56" fillId="56" borderId="1152" applyNumberFormat="0" applyAlignment="0" applyProtection="0"/>
    <xf numFmtId="0" fontId="56" fillId="88" borderId="1152" applyNumberFormat="0" applyAlignment="0" applyProtection="0"/>
    <xf numFmtId="0" fontId="29" fillId="0" borderId="1153" applyNumberFormat="0" applyFill="0" applyAlignment="0" applyProtection="0"/>
    <xf numFmtId="0" fontId="29" fillId="0" borderId="1154" applyNumberFormat="0" applyFill="0" applyAlignment="0" applyProtection="0"/>
    <xf numFmtId="49" fontId="37" fillId="0" borderId="1149">
      <alignment horizontal="right" wrapText="1"/>
    </xf>
    <xf numFmtId="0" fontId="34" fillId="56" borderId="1159" applyNumberFormat="0" applyAlignment="0" applyProtection="0"/>
    <xf numFmtId="0" fontId="35" fillId="88" borderId="1159" applyNumberFormat="0" applyAlignment="0" applyProtection="0"/>
    <xf numFmtId="0" fontId="20" fillId="0" borderId="1158">
      <alignment horizontal="left" vertical="center"/>
    </xf>
    <xf numFmtId="10" fontId="42" fillId="52" borderId="1156" applyNumberFormat="0" applyBorder="0" applyAlignment="0" applyProtection="0"/>
    <xf numFmtId="0" fontId="51" fillId="84" borderId="1159" applyNumberFormat="0" applyAlignment="0" applyProtection="0"/>
    <xf numFmtId="0" fontId="51" fillId="84" borderId="1159" applyNumberFormat="0" applyAlignment="0" applyProtection="0"/>
    <xf numFmtId="0" fontId="51" fillId="62" borderId="1159" applyNumberFormat="0" applyAlignment="0" applyProtection="0"/>
    <xf numFmtId="0" fontId="24" fillId="75" borderId="1155" applyNumberFormat="0" applyFont="0" applyAlignment="0" applyProtection="0"/>
    <xf numFmtId="0" fontId="27" fillId="95" borderId="1155" applyNumberFormat="0" applyFont="0" applyAlignment="0" applyProtection="0"/>
    <xf numFmtId="0" fontId="27" fillId="95" borderId="1155" applyNumberFormat="0" applyFont="0" applyAlignment="0" applyProtection="0"/>
    <xf numFmtId="0" fontId="56" fillId="56" borderId="1160" applyNumberFormat="0" applyAlignment="0" applyProtection="0"/>
    <xf numFmtId="0" fontId="56" fillId="88" borderId="1160" applyNumberFormat="0" applyAlignment="0" applyProtection="0"/>
    <xf numFmtId="0" fontId="29" fillId="0" borderId="1161" applyNumberFormat="0" applyFill="0" applyAlignment="0" applyProtection="0"/>
    <xf numFmtId="0" fontId="29" fillId="0" borderId="1162" applyNumberFormat="0" applyFill="0" applyAlignment="0" applyProtection="0"/>
    <xf numFmtId="49" fontId="37" fillId="0" borderId="1157">
      <alignment horizontal="right" wrapText="1"/>
    </xf>
    <xf numFmtId="0" fontId="34" fillId="56" borderId="1166" applyNumberFormat="0" applyAlignment="0" applyProtection="0"/>
    <xf numFmtId="0" fontId="35" fillId="88" borderId="1166" applyNumberFormat="0" applyAlignment="0" applyProtection="0"/>
    <xf numFmtId="0" fontId="20" fillId="0" borderId="1165">
      <alignment horizontal="left" vertical="center"/>
    </xf>
    <xf numFmtId="10" fontId="42" fillId="52" borderId="1164" applyNumberFormat="0" applyBorder="0" applyAlignment="0" applyProtection="0"/>
    <xf numFmtId="0" fontId="51" fillId="84" borderId="1166" applyNumberFormat="0" applyAlignment="0" applyProtection="0"/>
    <xf numFmtId="0" fontId="51" fillId="84" borderId="1166" applyNumberFormat="0" applyAlignment="0" applyProtection="0"/>
    <xf numFmtId="0" fontId="51" fillId="62" borderId="1166" applyNumberFormat="0" applyAlignment="0" applyProtection="0"/>
    <xf numFmtId="0" fontId="24" fillId="75" borderId="1163" applyNumberFormat="0" applyFont="0" applyAlignment="0" applyProtection="0"/>
    <xf numFmtId="0" fontId="27" fillId="95" borderId="1163" applyNumberFormat="0" applyFont="0" applyAlignment="0" applyProtection="0"/>
    <xf numFmtId="0" fontId="27" fillId="95" borderId="1163" applyNumberFormat="0" applyFont="0" applyAlignment="0" applyProtection="0"/>
    <xf numFmtId="0" fontId="29" fillId="0" borderId="1173" applyNumberFormat="0" applyFill="0" applyAlignment="0" applyProtection="0"/>
    <xf numFmtId="0" fontId="29" fillId="0" borderId="1174" applyNumberFormat="0" applyFill="0" applyAlignment="0" applyProtection="0"/>
    <xf numFmtId="49" fontId="37" fillId="0" borderId="1169">
      <alignment horizontal="right" wrapText="1"/>
    </xf>
    <xf numFmtId="0" fontId="51" fillId="62" borderId="1191" applyNumberFormat="0" applyAlignment="0" applyProtection="0"/>
    <xf numFmtId="0" fontId="51" fillId="84" borderId="1191" applyNumberFormat="0" applyAlignment="0" applyProtection="0"/>
    <xf numFmtId="0" fontId="51" fillId="84" borderId="1191" applyNumberFormat="0" applyAlignment="0" applyProtection="0"/>
    <xf numFmtId="10" fontId="42" fillId="52" borderId="1188" applyNumberFormat="0" applyBorder="0" applyAlignment="0" applyProtection="0"/>
    <xf numFmtId="0" fontId="20" fillId="0" borderId="1190">
      <alignment horizontal="left" vertical="center"/>
    </xf>
    <xf numFmtId="0" fontId="35" fillId="88" borderId="1191" applyNumberFormat="0" applyAlignment="0" applyProtection="0"/>
    <xf numFmtId="0" fontId="34" fillId="56" borderId="1191" applyNumberFormat="0" applyAlignment="0" applyProtection="0"/>
    <xf numFmtId="0" fontId="34" fillId="56" borderId="1179" applyNumberFormat="0" applyAlignment="0" applyProtection="0"/>
    <xf numFmtId="0" fontId="35" fillId="88" borderId="1179" applyNumberFormat="0" applyAlignment="0" applyProtection="0"/>
    <xf numFmtId="0" fontId="20" fillId="0" borderId="1178">
      <alignment horizontal="left" vertical="center"/>
    </xf>
    <xf numFmtId="10" fontId="42" fillId="52" borderId="1176" applyNumberFormat="0" applyBorder="0" applyAlignment="0" applyProtection="0"/>
    <xf numFmtId="0" fontId="51" fillId="84" borderId="1179" applyNumberFormat="0" applyAlignment="0" applyProtection="0"/>
    <xf numFmtId="0" fontId="51" fillId="84" borderId="1179" applyNumberFormat="0" applyAlignment="0" applyProtection="0"/>
    <xf numFmtId="0" fontId="51" fillId="62" borderId="1179" applyNumberFormat="0" applyAlignment="0" applyProtection="0"/>
    <xf numFmtId="0" fontId="24" fillId="75" borderId="1175" applyNumberFormat="0" applyFont="0" applyAlignment="0" applyProtection="0"/>
    <xf numFmtId="0" fontId="27" fillId="95" borderId="1175" applyNumberFormat="0" applyFont="0" applyAlignment="0" applyProtection="0"/>
    <xf numFmtId="0" fontId="27" fillId="95" borderId="1175" applyNumberFormat="0" applyFont="0" applyAlignment="0" applyProtection="0"/>
    <xf numFmtId="49" fontId="37" fillId="0" borderId="1177">
      <alignment horizontal="right" wrapText="1"/>
    </xf>
    <xf numFmtId="0" fontId="34" fillId="56" borderId="1179" applyNumberFormat="0" applyAlignment="0" applyProtection="0"/>
    <xf numFmtId="0" fontId="35" fillId="88" borderId="1179" applyNumberFormat="0" applyAlignment="0" applyProtection="0"/>
    <xf numFmtId="0" fontId="20" fillId="0" borderId="1178">
      <alignment horizontal="left" vertical="center"/>
    </xf>
    <xf numFmtId="10" fontId="42" fillId="52" borderId="1176" applyNumberFormat="0" applyBorder="0" applyAlignment="0" applyProtection="0"/>
    <xf numFmtId="0" fontId="51" fillId="84" borderId="1179" applyNumberFormat="0" applyAlignment="0" applyProtection="0"/>
    <xf numFmtId="0" fontId="51" fillId="84" borderId="1179" applyNumberFormat="0" applyAlignment="0" applyProtection="0"/>
    <xf numFmtId="0" fontId="51" fillId="62" borderId="1179" applyNumberFormat="0" applyAlignment="0" applyProtection="0"/>
    <xf numFmtId="0" fontId="24" fillId="75" borderId="1175" applyNumberFormat="0" applyFont="0" applyAlignment="0" applyProtection="0"/>
    <xf numFmtId="0" fontId="27" fillId="95" borderId="1175" applyNumberFormat="0" applyFont="0" applyAlignment="0" applyProtection="0"/>
    <xf numFmtId="0" fontId="27" fillId="95" borderId="1175" applyNumberFormat="0" applyFont="0" applyAlignment="0" applyProtection="0"/>
    <xf numFmtId="0" fontId="56" fillId="56" borderId="1180" applyNumberFormat="0" applyAlignment="0" applyProtection="0"/>
    <xf numFmtId="0" fontId="56" fillId="88" borderId="1180" applyNumberFormat="0" applyAlignment="0" applyProtection="0"/>
    <xf numFmtId="0" fontId="29" fillId="0" borderId="1181" applyNumberFormat="0" applyFill="0" applyAlignment="0" applyProtection="0"/>
    <xf numFmtId="0" fontId="29" fillId="0" borderId="1182" applyNumberFormat="0" applyFill="0" applyAlignment="0" applyProtection="0"/>
    <xf numFmtId="49" fontId="37" fillId="0" borderId="1177">
      <alignment horizontal="right" wrapText="1"/>
    </xf>
    <xf numFmtId="0" fontId="34" fillId="56" borderId="1186" applyNumberFormat="0" applyAlignment="0" applyProtection="0"/>
    <xf numFmtId="0" fontId="35" fillId="88" borderId="1186" applyNumberFormat="0" applyAlignment="0" applyProtection="0"/>
    <xf numFmtId="0" fontId="20" fillId="0" borderId="1185">
      <alignment horizontal="left" vertical="center"/>
    </xf>
    <xf numFmtId="10" fontId="42" fillId="52" borderId="1184" applyNumberFormat="0" applyBorder="0" applyAlignment="0" applyProtection="0"/>
    <xf numFmtId="0" fontId="51" fillId="84" borderId="1186" applyNumberFormat="0" applyAlignment="0" applyProtection="0"/>
    <xf numFmtId="0" fontId="51" fillId="84" borderId="1186" applyNumberFormat="0" applyAlignment="0" applyProtection="0"/>
    <xf numFmtId="0" fontId="51" fillId="62" borderId="1186" applyNumberFormat="0" applyAlignment="0" applyProtection="0"/>
    <xf numFmtId="0" fontId="24" fillId="75" borderId="1183" applyNumberFormat="0" applyFont="0" applyAlignment="0" applyProtection="0"/>
    <xf numFmtId="0" fontId="27" fillId="95" borderId="1183" applyNumberFormat="0" applyFont="0" applyAlignment="0" applyProtection="0"/>
    <xf numFmtId="0" fontId="27" fillId="95" borderId="1183" applyNumberFormat="0" applyFont="0" applyAlignment="0" applyProtection="0"/>
    <xf numFmtId="0" fontId="24" fillId="75" borderId="1187" applyNumberFormat="0" applyFont="0" applyAlignment="0" applyProtection="0"/>
    <xf numFmtId="0" fontId="27" fillId="95" borderId="1187" applyNumberFormat="0" applyFont="0" applyAlignment="0" applyProtection="0"/>
    <xf numFmtId="0" fontId="27" fillId="95" borderId="1187" applyNumberFormat="0" applyFont="0" applyAlignment="0" applyProtection="0"/>
    <xf numFmtId="0" fontId="56" fillId="56" borderId="1192" applyNumberFormat="0" applyAlignment="0" applyProtection="0"/>
    <xf numFmtId="0" fontId="56" fillId="88" borderId="1192" applyNumberFormat="0" applyAlignment="0" applyProtection="0"/>
    <xf numFmtId="0" fontId="29" fillId="0" borderId="1193" applyNumberFormat="0" applyFill="0" applyAlignment="0" applyProtection="0"/>
    <xf numFmtId="0" fontId="29" fillId="0" borderId="1194" applyNumberFormat="0" applyFill="0" applyAlignment="0" applyProtection="0"/>
    <xf numFmtId="49" fontId="37" fillId="0" borderId="1189">
      <alignment horizontal="right" wrapText="1"/>
    </xf>
    <xf numFmtId="0" fontId="34" fillId="56" borderId="1199" applyNumberFormat="0" applyAlignment="0" applyProtection="0"/>
    <xf numFmtId="0" fontId="35" fillId="88" borderId="1199" applyNumberFormat="0" applyAlignment="0" applyProtection="0"/>
    <xf numFmtId="0" fontId="20" fillId="0" borderId="1198">
      <alignment horizontal="left" vertical="center"/>
    </xf>
    <xf numFmtId="10" fontId="42" fillId="52" borderId="1196" applyNumberFormat="0" applyBorder="0" applyAlignment="0" applyProtection="0"/>
    <xf numFmtId="0" fontId="51" fillId="84" borderId="1199" applyNumberFormat="0" applyAlignment="0" applyProtection="0"/>
    <xf numFmtId="0" fontId="51" fillId="84" borderId="1199" applyNumberFormat="0" applyAlignment="0" applyProtection="0"/>
    <xf numFmtId="0" fontId="51" fillId="62" borderId="1199" applyNumberFormat="0" applyAlignment="0" applyProtection="0"/>
    <xf numFmtId="0" fontId="24" fillId="75" borderId="1195" applyNumberFormat="0" applyFont="0" applyAlignment="0" applyProtection="0"/>
    <xf numFmtId="0" fontId="27" fillId="95" borderId="1195" applyNumberFormat="0" applyFont="0" applyAlignment="0" applyProtection="0"/>
    <xf numFmtId="0" fontId="27" fillId="95" borderId="1195" applyNumberFormat="0" applyFont="0" applyAlignment="0" applyProtection="0"/>
    <xf numFmtId="0" fontId="56" fillId="56" borderId="1200" applyNumberFormat="0" applyAlignment="0" applyProtection="0"/>
    <xf numFmtId="0" fontId="56" fillId="88" borderId="1200" applyNumberFormat="0" applyAlignment="0" applyProtection="0"/>
    <xf numFmtId="0" fontId="29" fillId="0" borderId="1201" applyNumberFormat="0" applyFill="0" applyAlignment="0" applyProtection="0"/>
    <xf numFmtId="0" fontId="29" fillId="0" borderId="1202" applyNumberFormat="0" applyFill="0" applyAlignment="0" applyProtection="0"/>
    <xf numFmtId="49" fontId="37" fillId="0" borderId="1197">
      <alignment horizontal="right" wrapText="1"/>
    </xf>
    <xf numFmtId="0" fontId="34" fillId="56" borderId="1206" applyNumberFormat="0" applyAlignment="0" applyProtection="0"/>
    <xf numFmtId="0" fontId="35" fillId="88" borderId="1206" applyNumberFormat="0" applyAlignment="0" applyProtection="0"/>
    <xf numFmtId="0" fontId="20" fillId="0" borderId="1205">
      <alignment horizontal="left" vertical="center"/>
    </xf>
    <xf numFmtId="10" fontId="42" fillId="52" borderId="1204" applyNumberFormat="0" applyBorder="0" applyAlignment="0" applyProtection="0"/>
    <xf numFmtId="0" fontId="51" fillId="84" borderId="1206" applyNumberFormat="0" applyAlignment="0" applyProtection="0"/>
    <xf numFmtId="0" fontId="51" fillId="84" borderId="1206" applyNumberFormat="0" applyAlignment="0" applyProtection="0"/>
    <xf numFmtId="0" fontId="51" fillId="62" borderId="1206" applyNumberFormat="0" applyAlignment="0" applyProtection="0"/>
    <xf numFmtId="0" fontId="24" fillId="75" borderId="1203" applyNumberFormat="0" applyFont="0" applyAlignment="0" applyProtection="0"/>
    <xf numFmtId="0" fontId="27" fillId="95" borderId="1203" applyNumberFormat="0" applyFont="0" applyAlignment="0" applyProtection="0"/>
    <xf numFmtId="0" fontId="27" fillId="95" borderId="1203" applyNumberFormat="0" applyFont="0" applyAlignment="0" applyProtection="0"/>
    <xf numFmtId="0" fontId="29" fillId="0" borderId="1213" applyNumberFormat="0" applyFill="0" applyAlignment="0" applyProtection="0"/>
    <xf numFmtId="0" fontId="29" fillId="0" borderId="1214" applyNumberFormat="0" applyFill="0" applyAlignment="0" applyProtection="0"/>
    <xf numFmtId="49" fontId="37" fillId="0" borderId="1209">
      <alignment horizontal="right" wrapText="1"/>
    </xf>
    <xf numFmtId="0" fontId="51" fillId="62" borderId="1231" applyNumberFormat="0" applyAlignment="0" applyProtection="0"/>
    <xf numFmtId="0" fontId="51" fillId="84" borderId="1231" applyNumberFormat="0" applyAlignment="0" applyProtection="0"/>
    <xf numFmtId="0" fontId="51" fillId="84" borderId="1231" applyNumberFormat="0" applyAlignment="0" applyProtection="0"/>
    <xf numFmtId="10" fontId="42" fillId="52" borderId="1228" applyNumberFormat="0" applyBorder="0" applyAlignment="0" applyProtection="0"/>
    <xf numFmtId="0" fontId="20" fillId="0" borderId="1230">
      <alignment horizontal="left" vertical="center"/>
    </xf>
    <xf numFmtId="0" fontId="35" fillId="88" borderId="1231" applyNumberFormat="0" applyAlignment="0" applyProtection="0"/>
    <xf numFmtId="0" fontId="34" fillId="56" borderId="1231" applyNumberFormat="0" applyAlignment="0" applyProtection="0"/>
    <xf numFmtId="0" fontId="34" fillId="56" borderId="1219" applyNumberFormat="0" applyAlignment="0" applyProtection="0"/>
    <xf numFmtId="0" fontId="35" fillId="88" borderId="1219" applyNumberFormat="0" applyAlignment="0" applyProtection="0"/>
    <xf numFmtId="0" fontId="20" fillId="0" borderId="1218">
      <alignment horizontal="left" vertical="center"/>
    </xf>
    <xf numFmtId="10" fontId="42" fillId="52" borderId="1216" applyNumberFormat="0" applyBorder="0" applyAlignment="0" applyProtection="0"/>
    <xf numFmtId="0" fontId="51" fillId="84" borderId="1219" applyNumberFormat="0" applyAlignment="0" applyProtection="0"/>
    <xf numFmtId="0" fontId="51" fillId="84" borderId="1219" applyNumberFormat="0" applyAlignment="0" applyProtection="0"/>
    <xf numFmtId="0" fontId="51" fillId="62" borderId="1219" applyNumberFormat="0" applyAlignment="0" applyProtection="0"/>
    <xf numFmtId="0" fontId="24" fillId="75" borderId="1215" applyNumberFormat="0" applyFont="0" applyAlignment="0" applyProtection="0"/>
    <xf numFmtId="0" fontId="27" fillId="95" borderId="1215" applyNumberFormat="0" applyFont="0" applyAlignment="0" applyProtection="0"/>
    <xf numFmtId="0" fontId="27" fillId="95" borderId="1215" applyNumberFormat="0" applyFont="0" applyAlignment="0" applyProtection="0"/>
    <xf numFmtId="49" fontId="37" fillId="0" borderId="1217">
      <alignment horizontal="right" wrapText="1"/>
    </xf>
    <xf numFmtId="0" fontId="34" fillId="56" borderId="1219" applyNumberFormat="0" applyAlignment="0" applyProtection="0"/>
    <xf numFmtId="0" fontId="35" fillId="88" borderId="1219" applyNumberFormat="0" applyAlignment="0" applyProtection="0"/>
    <xf numFmtId="0" fontId="20" fillId="0" borderId="1218">
      <alignment horizontal="left" vertical="center"/>
    </xf>
    <xf numFmtId="10" fontId="42" fillId="52" borderId="1216" applyNumberFormat="0" applyBorder="0" applyAlignment="0" applyProtection="0"/>
    <xf numFmtId="0" fontId="51" fillId="84" borderId="1219" applyNumberFormat="0" applyAlignment="0" applyProtection="0"/>
    <xf numFmtId="0" fontId="51" fillId="84" borderId="1219" applyNumberFormat="0" applyAlignment="0" applyProtection="0"/>
    <xf numFmtId="0" fontId="51" fillId="62" borderId="1219" applyNumberFormat="0" applyAlignment="0" applyProtection="0"/>
    <xf numFmtId="0" fontId="24" fillId="75" borderId="1215" applyNumberFormat="0" applyFont="0" applyAlignment="0" applyProtection="0"/>
    <xf numFmtId="0" fontId="27" fillId="95" borderId="1215" applyNumberFormat="0" applyFont="0" applyAlignment="0" applyProtection="0"/>
    <xf numFmtId="0" fontId="27" fillId="95" borderId="1215" applyNumberFormat="0" applyFont="0" applyAlignment="0" applyProtection="0"/>
    <xf numFmtId="0" fontId="56" fillId="56" borderId="1220" applyNumberFormat="0" applyAlignment="0" applyProtection="0"/>
    <xf numFmtId="0" fontId="56" fillId="88" borderId="1220" applyNumberFormat="0" applyAlignment="0" applyProtection="0"/>
    <xf numFmtId="0" fontId="29" fillId="0" borderId="1221" applyNumberFormat="0" applyFill="0" applyAlignment="0" applyProtection="0"/>
    <xf numFmtId="0" fontId="29" fillId="0" borderId="1222" applyNumberFormat="0" applyFill="0" applyAlignment="0" applyProtection="0"/>
    <xf numFmtId="49" fontId="37" fillId="0" borderId="1217">
      <alignment horizontal="right" wrapText="1"/>
    </xf>
    <xf numFmtId="0" fontId="34" fillId="56" borderId="1226" applyNumberFormat="0" applyAlignment="0" applyProtection="0"/>
    <xf numFmtId="0" fontId="35" fillId="88" borderId="1226" applyNumberFormat="0" applyAlignment="0" applyProtection="0"/>
    <xf numFmtId="0" fontId="20" fillId="0" borderId="1225">
      <alignment horizontal="left" vertical="center"/>
    </xf>
    <xf numFmtId="10" fontId="42" fillId="52" borderId="1224" applyNumberFormat="0" applyBorder="0" applyAlignment="0" applyProtection="0"/>
    <xf numFmtId="0" fontId="51" fillId="84" borderId="1226" applyNumberFormat="0" applyAlignment="0" applyProtection="0"/>
    <xf numFmtId="0" fontId="51" fillId="84" borderId="1226" applyNumberFormat="0" applyAlignment="0" applyProtection="0"/>
    <xf numFmtId="0" fontId="51" fillId="62" borderId="1226" applyNumberFormat="0" applyAlignment="0" applyProtection="0"/>
    <xf numFmtId="0" fontId="24" fillId="75" borderId="1223" applyNumberFormat="0" applyFont="0" applyAlignment="0" applyProtection="0"/>
    <xf numFmtId="0" fontId="27" fillId="95" borderId="1223" applyNumberFormat="0" applyFont="0" applyAlignment="0" applyProtection="0"/>
    <xf numFmtId="0" fontId="27" fillId="95" borderId="1223" applyNumberFormat="0" applyFont="0" applyAlignment="0" applyProtection="0"/>
    <xf numFmtId="0" fontId="24" fillId="75" borderId="1227" applyNumberFormat="0" applyFont="0" applyAlignment="0" applyProtection="0"/>
    <xf numFmtId="0" fontId="27" fillId="95" borderId="1227" applyNumberFormat="0" applyFont="0" applyAlignment="0" applyProtection="0"/>
    <xf numFmtId="0" fontId="27" fillId="95" borderId="1227" applyNumberFormat="0" applyFont="0" applyAlignment="0" applyProtection="0"/>
    <xf numFmtId="0" fontId="56" fillId="56" borderId="1232" applyNumberFormat="0" applyAlignment="0" applyProtection="0"/>
    <xf numFmtId="0" fontId="56" fillId="88" borderId="1232" applyNumberFormat="0" applyAlignment="0" applyProtection="0"/>
    <xf numFmtId="0" fontId="29" fillId="0" borderId="1233" applyNumberFormat="0" applyFill="0" applyAlignment="0" applyProtection="0"/>
    <xf numFmtId="0" fontId="29" fillId="0" borderId="1234" applyNumberFormat="0" applyFill="0" applyAlignment="0" applyProtection="0"/>
    <xf numFmtId="49" fontId="37" fillId="0" borderId="1229">
      <alignment horizontal="right" wrapText="1"/>
    </xf>
    <xf numFmtId="0" fontId="34" fillId="56" borderId="1239" applyNumberFormat="0" applyAlignment="0" applyProtection="0"/>
    <xf numFmtId="0" fontId="35" fillId="88" borderId="1239" applyNumberFormat="0" applyAlignment="0" applyProtection="0"/>
    <xf numFmtId="0" fontId="20" fillId="0" borderId="1238">
      <alignment horizontal="left" vertical="center"/>
    </xf>
    <xf numFmtId="10" fontId="42" fillId="52" borderId="1236" applyNumberFormat="0" applyBorder="0" applyAlignment="0" applyProtection="0"/>
    <xf numFmtId="0" fontId="51" fillId="84" borderId="1239" applyNumberFormat="0" applyAlignment="0" applyProtection="0"/>
    <xf numFmtId="0" fontId="51" fillId="84" borderId="1239" applyNumberFormat="0" applyAlignment="0" applyProtection="0"/>
    <xf numFmtId="0" fontId="51" fillId="62" borderId="1239" applyNumberFormat="0" applyAlignment="0" applyProtection="0"/>
    <xf numFmtId="0" fontId="24" fillId="75" borderId="1235" applyNumberFormat="0" applyFont="0" applyAlignment="0" applyProtection="0"/>
    <xf numFmtId="0" fontId="27" fillId="95" borderId="1235" applyNumberFormat="0" applyFont="0" applyAlignment="0" applyProtection="0"/>
    <xf numFmtId="0" fontId="27" fillId="95" borderId="1235" applyNumberFormat="0" applyFont="0" applyAlignment="0" applyProtection="0"/>
    <xf numFmtId="0" fontId="56" fillId="56" borderId="1240" applyNumberFormat="0" applyAlignment="0" applyProtection="0"/>
    <xf numFmtId="0" fontId="56" fillId="88" borderId="1240" applyNumberFormat="0" applyAlignment="0" applyProtection="0"/>
    <xf numFmtId="0" fontId="29" fillId="0" borderId="1241" applyNumberFormat="0" applyFill="0" applyAlignment="0" applyProtection="0"/>
    <xf numFmtId="0" fontId="29" fillId="0" borderId="1242" applyNumberFormat="0" applyFill="0" applyAlignment="0" applyProtection="0"/>
    <xf numFmtId="49" fontId="37" fillId="0" borderId="1237">
      <alignment horizontal="right" wrapText="1"/>
    </xf>
    <xf numFmtId="0" fontId="34" fillId="56" borderId="1246" applyNumberFormat="0" applyAlignment="0" applyProtection="0"/>
    <xf numFmtId="0" fontId="35" fillId="88" borderId="1246" applyNumberFormat="0" applyAlignment="0" applyProtection="0"/>
    <xf numFmtId="0" fontId="20" fillId="0" borderId="1245">
      <alignment horizontal="left" vertical="center"/>
    </xf>
    <xf numFmtId="10" fontId="42" fillId="52" borderId="1244" applyNumberFormat="0" applyBorder="0" applyAlignment="0" applyProtection="0"/>
    <xf numFmtId="0" fontId="51" fillId="84" borderId="1246" applyNumberFormat="0" applyAlignment="0" applyProtection="0"/>
    <xf numFmtId="0" fontId="51" fillId="84" borderId="1246" applyNumberFormat="0" applyAlignment="0" applyProtection="0"/>
    <xf numFmtId="0" fontId="51" fillId="62" borderId="1246" applyNumberFormat="0" applyAlignment="0" applyProtection="0"/>
    <xf numFmtId="0" fontId="24" fillId="75" borderId="1243" applyNumberFormat="0" applyFont="0" applyAlignment="0" applyProtection="0"/>
    <xf numFmtId="0" fontId="27" fillId="95" borderId="1243" applyNumberFormat="0" applyFont="0" applyAlignment="0" applyProtection="0"/>
    <xf numFmtId="0" fontId="27" fillId="95" borderId="1243" applyNumberFormat="0" applyFont="0" applyAlignment="0" applyProtection="0"/>
    <xf numFmtId="0" fontId="29" fillId="0" borderId="1253" applyNumberFormat="0" applyFill="0" applyAlignment="0" applyProtection="0"/>
    <xf numFmtId="0" fontId="29" fillId="0" borderId="1254" applyNumberFormat="0" applyFill="0" applyAlignment="0" applyProtection="0"/>
    <xf numFmtId="49" fontId="37" fillId="0" borderId="1249">
      <alignment horizontal="right" wrapText="1"/>
    </xf>
    <xf numFmtId="0" fontId="51" fillId="62" borderId="1271" applyNumberFormat="0" applyAlignment="0" applyProtection="0"/>
    <xf numFmtId="0" fontId="51" fillId="84" borderId="1271" applyNumberFormat="0" applyAlignment="0" applyProtection="0"/>
    <xf numFmtId="0" fontId="51" fillId="84" borderId="1271" applyNumberFormat="0" applyAlignment="0" applyProtection="0"/>
    <xf numFmtId="10" fontId="42" fillId="52" borderId="1268" applyNumberFormat="0" applyBorder="0" applyAlignment="0" applyProtection="0"/>
    <xf numFmtId="0" fontId="20" fillId="0" borderId="1270">
      <alignment horizontal="left" vertical="center"/>
    </xf>
    <xf numFmtId="0" fontId="35" fillId="88" borderId="1271" applyNumberFormat="0" applyAlignment="0" applyProtection="0"/>
    <xf numFmtId="0" fontId="34" fillId="56" borderId="1271" applyNumberFormat="0" applyAlignment="0" applyProtection="0"/>
    <xf numFmtId="0" fontId="34" fillId="56" borderId="1259" applyNumberFormat="0" applyAlignment="0" applyProtection="0"/>
    <xf numFmtId="0" fontId="35" fillId="88" borderId="1259" applyNumberFormat="0" applyAlignment="0" applyProtection="0"/>
    <xf numFmtId="0" fontId="20" fillId="0" borderId="1258">
      <alignment horizontal="left" vertical="center"/>
    </xf>
    <xf numFmtId="10" fontId="42" fillId="52" borderId="1256" applyNumberFormat="0" applyBorder="0" applyAlignment="0" applyProtection="0"/>
    <xf numFmtId="0" fontId="51" fillId="84" borderId="1259" applyNumberFormat="0" applyAlignment="0" applyProtection="0"/>
    <xf numFmtId="0" fontId="51" fillId="84" borderId="1259" applyNumberFormat="0" applyAlignment="0" applyProtection="0"/>
    <xf numFmtId="0" fontId="51" fillId="62" borderId="1259" applyNumberFormat="0" applyAlignment="0" applyProtection="0"/>
    <xf numFmtId="0" fontId="24" fillId="75" borderId="1255" applyNumberFormat="0" applyFont="0" applyAlignment="0" applyProtection="0"/>
    <xf numFmtId="0" fontId="27" fillId="95" borderId="1255" applyNumberFormat="0" applyFont="0" applyAlignment="0" applyProtection="0"/>
    <xf numFmtId="0" fontId="27" fillId="95" borderId="1255" applyNumberFormat="0" applyFont="0" applyAlignment="0" applyProtection="0"/>
    <xf numFmtId="49" fontId="37" fillId="0" borderId="1257">
      <alignment horizontal="right" wrapText="1"/>
    </xf>
    <xf numFmtId="0" fontId="34" fillId="56" borderId="1259" applyNumberFormat="0" applyAlignment="0" applyProtection="0"/>
    <xf numFmtId="0" fontId="35" fillId="88" borderId="1259" applyNumberFormat="0" applyAlignment="0" applyProtection="0"/>
    <xf numFmtId="0" fontId="20" fillId="0" borderId="1258">
      <alignment horizontal="left" vertical="center"/>
    </xf>
    <xf numFmtId="10" fontId="42" fillId="52" borderId="1256" applyNumberFormat="0" applyBorder="0" applyAlignment="0" applyProtection="0"/>
    <xf numFmtId="0" fontId="51" fillId="84" borderId="1259" applyNumberFormat="0" applyAlignment="0" applyProtection="0"/>
    <xf numFmtId="0" fontId="51" fillId="84" borderId="1259" applyNumberFormat="0" applyAlignment="0" applyProtection="0"/>
    <xf numFmtId="0" fontId="51" fillId="62" borderId="1259" applyNumberFormat="0" applyAlignment="0" applyProtection="0"/>
    <xf numFmtId="0" fontId="24" fillId="75" borderId="1255" applyNumberFormat="0" applyFont="0" applyAlignment="0" applyProtection="0"/>
    <xf numFmtId="0" fontId="27" fillId="95" borderId="1255" applyNumberFormat="0" applyFont="0" applyAlignment="0" applyProtection="0"/>
    <xf numFmtId="0" fontId="27" fillId="95" borderId="1255" applyNumberFormat="0" applyFont="0" applyAlignment="0" applyProtection="0"/>
    <xf numFmtId="0" fontId="56" fillId="56" borderId="1260" applyNumberFormat="0" applyAlignment="0" applyProtection="0"/>
    <xf numFmtId="0" fontId="56" fillId="88" borderId="1260" applyNumberFormat="0" applyAlignment="0" applyProtection="0"/>
    <xf numFmtId="0" fontId="29" fillId="0" borderId="1261" applyNumberFormat="0" applyFill="0" applyAlignment="0" applyProtection="0"/>
    <xf numFmtId="0" fontId="29" fillId="0" borderId="1262" applyNumberFormat="0" applyFill="0" applyAlignment="0" applyProtection="0"/>
    <xf numFmtId="49" fontId="37" fillId="0" borderId="1257">
      <alignment horizontal="right" wrapText="1"/>
    </xf>
    <xf numFmtId="0" fontId="34" fillId="56" borderId="1266" applyNumberFormat="0" applyAlignment="0" applyProtection="0"/>
    <xf numFmtId="0" fontId="35" fillId="88" borderId="1266" applyNumberFormat="0" applyAlignment="0" applyProtection="0"/>
    <xf numFmtId="0" fontId="20" fillId="0" borderId="1265">
      <alignment horizontal="left" vertical="center"/>
    </xf>
    <xf numFmtId="10" fontId="42" fillId="52" borderId="1264" applyNumberFormat="0" applyBorder="0" applyAlignment="0" applyProtection="0"/>
    <xf numFmtId="0" fontId="51" fillId="84" borderId="1266" applyNumberFormat="0" applyAlignment="0" applyProtection="0"/>
    <xf numFmtId="0" fontId="51" fillId="84" borderId="1266" applyNumberFormat="0" applyAlignment="0" applyProtection="0"/>
    <xf numFmtId="0" fontId="51" fillId="62" borderId="1266" applyNumberFormat="0" applyAlignment="0" applyProtection="0"/>
    <xf numFmtId="0" fontId="24" fillId="75" borderId="1263" applyNumberFormat="0" applyFont="0" applyAlignment="0" applyProtection="0"/>
    <xf numFmtId="0" fontId="27" fillId="95" borderId="1263" applyNumberFormat="0" applyFont="0" applyAlignment="0" applyProtection="0"/>
    <xf numFmtId="0" fontId="27" fillId="95" borderId="1263" applyNumberFormat="0" applyFont="0" applyAlignment="0" applyProtection="0"/>
    <xf numFmtId="0" fontId="24" fillId="75" borderId="1267" applyNumberFormat="0" applyFont="0" applyAlignment="0" applyProtection="0"/>
    <xf numFmtId="0" fontId="27" fillId="95" borderId="1267" applyNumberFormat="0" applyFont="0" applyAlignment="0" applyProtection="0"/>
    <xf numFmtId="0" fontId="27" fillId="95" borderId="1267" applyNumberFormat="0" applyFont="0" applyAlignment="0" applyProtection="0"/>
    <xf numFmtId="0" fontId="56" fillId="56" borderId="1272" applyNumberFormat="0" applyAlignment="0" applyProtection="0"/>
    <xf numFmtId="0" fontId="56" fillId="88" borderId="1272" applyNumberFormat="0" applyAlignment="0" applyProtection="0"/>
    <xf numFmtId="0" fontId="29" fillId="0" borderId="1273" applyNumberFormat="0" applyFill="0" applyAlignment="0" applyProtection="0"/>
    <xf numFmtId="0" fontId="29" fillId="0" borderId="1274" applyNumberFormat="0" applyFill="0" applyAlignment="0" applyProtection="0"/>
    <xf numFmtId="49" fontId="37" fillId="0" borderId="1269">
      <alignment horizontal="right" wrapText="1"/>
    </xf>
    <xf numFmtId="0" fontId="34" fillId="56" borderId="1279" applyNumberFormat="0" applyAlignment="0" applyProtection="0"/>
    <xf numFmtId="0" fontId="35" fillId="88" borderId="1279" applyNumberFormat="0" applyAlignment="0" applyProtection="0"/>
    <xf numFmtId="0" fontId="20" fillId="0" borderId="1278">
      <alignment horizontal="left" vertical="center"/>
    </xf>
    <xf numFmtId="10" fontId="42" fillId="52" borderId="1276" applyNumberFormat="0" applyBorder="0" applyAlignment="0" applyProtection="0"/>
    <xf numFmtId="0" fontId="51" fillId="84" borderId="1279" applyNumberFormat="0" applyAlignment="0" applyProtection="0"/>
    <xf numFmtId="0" fontId="51" fillId="84" borderId="1279" applyNumberFormat="0" applyAlignment="0" applyProtection="0"/>
    <xf numFmtId="0" fontId="51" fillId="62" borderId="1279" applyNumberFormat="0" applyAlignment="0" applyProtection="0"/>
    <xf numFmtId="0" fontId="24" fillId="75" borderId="1275" applyNumberFormat="0" applyFont="0" applyAlignment="0" applyProtection="0"/>
    <xf numFmtId="0" fontId="27" fillId="95" borderId="1275" applyNumberFormat="0" applyFont="0" applyAlignment="0" applyProtection="0"/>
    <xf numFmtId="0" fontId="27" fillId="95" borderId="1275" applyNumberFormat="0" applyFont="0" applyAlignment="0" applyProtection="0"/>
    <xf numFmtId="0" fontId="56" fillId="56" borderId="1280" applyNumberFormat="0" applyAlignment="0" applyProtection="0"/>
    <xf numFmtId="0" fontId="56" fillId="88" borderId="1280" applyNumberFormat="0" applyAlignment="0" applyProtection="0"/>
    <xf numFmtId="0" fontId="29" fillId="0" borderId="1281" applyNumberFormat="0" applyFill="0" applyAlignment="0" applyProtection="0"/>
    <xf numFmtId="0" fontId="29" fillId="0" borderId="1282" applyNumberFormat="0" applyFill="0" applyAlignment="0" applyProtection="0"/>
    <xf numFmtId="49" fontId="37" fillId="0" borderId="1277">
      <alignment horizontal="right" wrapText="1"/>
    </xf>
    <xf numFmtId="0" fontId="34" fillId="56" borderId="1286" applyNumberFormat="0" applyAlignment="0" applyProtection="0"/>
    <xf numFmtId="0" fontId="35" fillId="88" borderId="1286" applyNumberFormat="0" applyAlignment="0" applyProtection="0"/>
    <xf numFmtId="0" fontId="20" fillId="0" borderId="1285">
      <alignment horizontal="left" vertical="center"/>
    </xf>
    <xf numFmtId="10" fontId="42" fillId="52" borderId="1284" applyNumberFormat="0" applyBorder="0" applyAlignment="0" applyProtection="0"/>
    <xf numFmtId="0" fontId="51" fillId="84" borderId="1286" applyNumberFormat="0" applyAlignment="0" applyProtection="0"/>
    <xf numFmtId="0" fontId="51" fillId="84" borderId="1286" applyNumberFormat="0" applyAlignment="0" applyProtection="0"/>
    <xf numFmtId="0" fontId="51" fillId="62" borderId="1286" applyNumberFormat="0" applyAlignment="0" applyProtection="0"/>
    <xf numFmtId="0" fontId="24" fillId="75" borderId="1283" applyNumberFormat="0" applyFont="0" applyAlignment="0" applyProtection="0"/>
    <xf numFmtId="0" fontId="27" fillId="95" borderId="1283" applyNumberFormat="0" applyFont="0" applyAlignment="0" applyProtection="0"/>
    <xf numFmtId="0" fontId="27" fillId="95" borderId="1283" applyNumberFormat="0" applyFont="0" applyAlignment="0" applyProtection="0"/>
    <xf numFmtId="0" fontId="29" fillId="0" borderId="1293" applyNumberFormat="0" applyFill="0" applyAlignment="0" applyProtection="0"/>
    <xf numFmtId="0" fontId="29" fillId="0" borderId="1294" applyNumberFormat="0" applyFill="0" applyAlignment="0" applyProtection="0"/>
    <xf numFmtId="49" fontId="37" fillId="0" borderId="1289">
      <alignment horizontal="right" wrapText="1"/>
    </xf>
    <xf numFmtId="0" fontId="51" fillId="62" borderId="1311" applyNumberFormat="0" applyAlignment="0" applyProtection="0"/>
    <xf numFmtId="0" fontId="51" fillId="84" borderId="1311" applyNumberFormat="0" applyAlignment="0" applyProtection="0"/>
    <xf numFmtId="0" fontId="51" fillId="84" borderId="1311" applyNumberFormat="0" applyAlignment="0" applyProtection="0"/>
    <xf numFmtId="10" fontId="42" fillId="52" borderId="1308" applyNumberFormat="0" applyBorder="0" applyAlignment="0" applyProtection="0"/>
    <xf numFmtId="0" fontId="20" fillId="0" borderId="1310">
      <alignment horizontal="left" vertical="center"/>
    </xf>
    <xf numFmtId="0" fontId="35" fillId="88" borderId="1311" applyNumberFormat="0" applyAlignment="0" applyProtection="0"/>
    <xf numFmtId="0" fontId="34" fillId="56" borderId="1311" applyNumberFormat="0" applyAlignment="0" applyProtection="0"/>
    <xf numFmtId="0" fontId="34" fillId="56" borderId="1299" applyNumberFormat="0" applyAlignment="0" applyProtection="0"/>
    <xf numFmtId="0" fontId="35" fillId="88" borderId="1299" applyNumberFormat="0" applyAlignment="0" applyProtection="0"/>
    <xf numFmtId="0" fontId="20" fillId="0" borderId="1298">
      <alignment horizontal="left" vertical="center"/>
    </xf>
    <xf numFmtId="10" fontId="42" fillId="52" borderId="1296" applyNumberFormat="0" applyBorder="0" applyAlignment="0" applyProtection="0"/>
    <xf numFmtId="0" fontId="51" fillId="84" borderId="1299" applyNumberFormat="0" applyAlignment="0" applyProtection="0"/>
    <xf numFmtId="0" fontId="51" fillId="84" borderId="1299" applyNumberFormat="0" applyAlignment="0" applyProtection="0"/>
    <xf numFmtId="0" fontId="51" fillId="62" borderId="1299" applyNumberFormat="0" applyAlignment="0" applyProtection="0"/>
    <xf numFmtId="0" fontId="24" fillId="75" borderId="1295" applyNumberFormat="0" applyFont="0" applyAlignment="0" applyProtection="0"/>
    <xf numFmtId="0" fontId="27" fillId="95" borderId="1295" applyNumberFormat="0" applyFont="0" applyAlignment="0" applyProtection="0"/>
    <xf numFmtId="0" fontId="27" fillId="95" borderId="1295" applyNumberFormat="0" applyFont="0" applyAlignment="0" applyProtection="0"/>
    <xf numFmtId="49" fontId="37" fillId="0" borderId="1297">
      <alignment horizontal="right" wrapText="1"/>
    </xf>
    <xf numFmtId="0" fontId="34" fillId="56" borderId="1299" applyNumberFormat="0" applyAlignment="0" applyProtection="0"/>
    <xf numFmtId="0" fontId="35" fillId="88" borderId="1299" applyNumberFormat="0" applyAlignment="0" applyProtection="0"/>
    <xf numFmtId="0" fontId="20" fillId="0" borderId="1298">
      <alignment horizontal="left" vertical="center"/>
    </xf>
    <xf numFmtId="10" fontId="42" fillId="52" borderId="1296" applyNumberFormat="0" applyBorder="0" applyAlignment="0" applyProtection="0"/>
    <xf numFmtId="0" fontId="51" fillId="84" borderId="1299" applyNumberFormat="0" applyAlignment="0" applyProtection="0"/>
    <xf numFmtId="0" fontId="51" fillId="84" borderId="1299" applyNumberFormat="0" applyAlignment="0" applyProtection="0"/>
    <xf numFmtId="0" fontId="51" fillId="62" borderId="1299" applyNumberFormat="0" applyAlignment="0" applyProtection="0"/>
    <xf numFmtId="0" fontId="24" fillId="75" borderId="1295" applyNumberFormat="0" applyFont="0" applyAlignment="0" applyProtection="0"/>
    <xf numFmtId="0" fontId="27" fillId="95" borderId="1295" applyNumberFormat="0" applyFont="0" applyAlignment="0" applyProtection="0"/>
    <xf numFmtId="0" fontId="27" fillId="95" borderId="1295" applyNumberFormat="0" applyFont="0" applyAlignment="0" applyProtection="0"/>
    <xf numFmtId="0" fontId="56" fillId="56" borderId="1300" applyNumberFormat="0" applyAlignment="0" applyProtection="0"/>
    <xf numFmtId="0" fontId="56" fillId="88" borderId="1300" applyNumberFormat="0" applyAlignment="0" applyProtection="0"/>
    <xf numFmtId="0" fontId="29" fillId="0" borderId="1301" applyNumberFormat="0" applyFill="0" applyAlignment="0" applyProtection="0"/>
    <xf numFmtId="0" fontId="29" fillId="0" borderId="1302" applyNumberFormat="0" applyFill="0" applyAlignment="0" applyProtection="0"/>
    <xf numFmtId="49" fontId="37" fillId="0" borderId="1297">
      <alignment horizontal="right" wrapText="1"/>
    </xf>
    <xf numFmtId="0" fontId="34" fillId="56" borderId="1306" applyNumberFormat="0" applyAlignment="0" applyProtection="0"/>
    <xf numFmtId="0" fontId="35" fillId="88" borderId="1306" applyNumberFormat="0" applyAlignment="0" applyProtection="0"/>
    <xf numFmtId="0" fontId="20" fillId="0" borderId="1305">
      <alignment horizontal="left" vertical="center"/>
    </xf>
    <xf numFmtId="10" fontId="42" fillId="52" borderId="1304" applyNumberFormat="0" applyBorder="0" applyAlignment="0" applyProtection="0"/>
    <xf numFmtId="0" fontId="51" fillId="84" borderId="1306" applyNumberFormat="0" applyAlignment="0" applyProtection="0"/>
    <xf numFmtId="0" fontId="51" fillId="84" borderId="1306" applyNumberFormat="0" applyAlignment="0" applyProtection="0"/>
    <xf numFmtId="0" fontId="51" fillId="62" borderId="1306" applyNumberFormat="0" applyAlignment="0" applyProtection="0"/>
    <xf numFmtId="0" fontId="24" fillId="7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4" fillId="75" borderId="1307" applyNumberFormat="0" applyFont="0" applyAlignment="0" applyProtection="0"/>
    <xf numFmtId="0" fontId="27" fillId="95" borderId="1307" applyNumberFormat="0" applyFont="0" applyAlignment="0" applyProtection="0"/>
    <xf numFmtId="0" fontId="27" fillId="95" borderId="1307" applyNumberFormat="0" applyFont="0" applyAlignment="0" applyProtection="0"/>
    <xf numFmtId="0" fontId="56" fillId="56" borderId="1312" applyNumberFormat="0" applyAlignment="0" applyProtection="0"/>
    <xf numFmtId="0" fontId="56" fillId="88" borderId="1312" applyNumberFormat="0" applyAlignment="0" applyProtection="0"/>
    <xf numFmtId="0" fontId="29" fillId="0" borderId="1313" applyNumberFormat="0" applyFill="0" applyAlignment="0" applyProtection="0"/>
    <xf numFmtId="0" fontId="29" fillId="0" borderId="1314" applyNumberFormat="0" applyFill="0" applyAlignment="0" applyProtection="0"/>
    <xf numFmtId="49" fontId="37" fillId="0" borderId="1309">
      <alignment horizontal="right" wrapText="1"/>
    </xf>
    <xf numFmtId="0" fontId="34" fillId="56" borderId="1319" applyNumberFormat="0" applyAlignment="0" applyProtection="0"/>
    <xf numFmtId="0" fontId="35" fillId="88" borderId="1319" applyNumberFormat="0" applyAlignment="0" applyProtection="0"/>
    <xf numFmtId="0" fontId="20" fillId="0" borderId="1318">
      <alignment horizontal="left" vertical="center"/>
    </xf>
    <xf numFmtId="10" fontId="42" fillId="52" borderId="1316" applyNumberFormat="0" applyBorder="0" applyAlignment="0" applyProtection="0"/>
    <xf numFmtId="0" fontId="51" fillId="84" borderId="1319" applyNumberFormat="0" applyAlignment="0" applyProtection="0"/>
    <xf numFmtId="0" fontId="51" fillId="84" borderId="1319" applyNumberFormat="0" applyAlignment="0" applyProtection="0"/>
    <xf numFmtId="0" fontId="51" fillId="62" borderId="1319" applyNumberFormat="0" applyAlignment="0" applyProtection="0"/>
    <xf numFmtId="0" fontId="24" fillId="75" borderId="1315" applyNumberFormat="0" applyFont="0" applyAlignment="0" applyProtection="0"/>
    <xf numFmtId="0" fontId="27" fillId="95" borderId="1315" applyNumberFormat="0" applyFont="0" applyAlignment="0" applyProtection="0"/>
    <xf numFmtId="0" fontId="27" fillId="95" borderId="1315" applyNumberFormat="0" applyFont="0" applyAlignment="0" applyProtection="0"/>
    <xf numFmtId="0" fontId="56" fillId="56" borderId="1320" applyNumberFormat="0" applyAlignment="0" applyProtection="0"/>
    <xf numFmtId="0" fontId="56" fillId="88" borderId="1320" applyNumberFormat="0" applyAlignment="0" applyProtection="0"/>
    <xf numFmtId="0" fontId="29" fillId="0" borderId="1321" applyNumberFormat="0" applyFill="0" applyAlignment="0" applyProtection="0"/>
    <xf numFmtId="0" fontId="29" fillId="0" borderId="1322" applyNumberFormat="0" applyFill="0" applyAlignment="0" applyProtection="0"/>
    <xf numFmtId="49" fontId="37" fillId="0" borderId="1317">
      <alignment horizontal="right" wrapText="1"/>
    </xf>
    <xf numFmtId="0" fontId="34" fillId="56" borderId="1326" applyNumberFormat="0" applyAlignment="0" applyProtection="0"/>
    <xf numFmtId="0" fontId="35" fillId="88" borderId="1326" applyNumberFormat="0" applyAlignment="0" applyProtection="0"/>
    <xf numFmtId="0" fontId="20" fillId="0" borderId="1325">
      <alignment horizontal="left" vertical="center"/>
    </xf>
    <xf numFmtId="10" fontId="42" fillId="52" borderId="1324" applyNumberFormat="0" applyBorder="0" applyAlignment="0" applyProtection="0"/>
    <xf numFmtId="0" fontId="51" fillId="84" borderId="1326" applyNumberFormat="0" applyAlignment="0" applyProtection="0"/>
    <xf numFmtId="0" fontId="51" fillId="84" borderId="1326" applyNumberFormat="0" applyAlignment="0" applyProtection="0"/>
    <xf numFmtId="0" fontId="51" fillId="62" borderId="1326" applyNumberFormat="0" applyAlignment="0" applyProtection="0"/>
    <xf numFmtId="0" fontId="24" fillId="75" borderId="1323" applyNumberFormat="0" applyFont="0" applyAlignment="0" applyProtection="0"/>
    <xf numFmtId="0" fontId="27" fillId="95" borderId="1323" applyNumberFormat="0" applyFont="0" applyAlignment="0" applyProtection="0"/>
    <xf numFmtId="0" fontId="27" fillId="95" borderId="1323" applyNumberFormat="0" applyFont="0" applyAlignment="0" applyProtection="0"/>
    <xf numFmtId="0" fontId="24" fillId="75" borderId="1327" applyNumberFormat="0" applyFont="0" applyAlignment="0" applyProtection="0"/>
    <xf numFmtId="0" fontId="27" fillId="95" borderId="1327" applyNumberFormat="0" applyFont="0" applyAlignment="0" applyProtection="0"/>
    <xf numFmtId="0" fontId="27" fillId="95" borderId="1327" applyNumberFormat="0" applyFont="0" applyAlignment="0" applyProtection="0"/>
    <xf numFmtId="0" fontId="56" fillId="56" borderId="1332" applyNumberFormat="0" applyAlignment="0" applyProtection="0"/>
    <xf numFmtId="0" fontId="56" fillId="88" borderId="1332" applyNumberFormat="0" applyAlignment="0" applyProtection="0"/>
    <xf numFmtId="0" fontId="29" fillId="0" borderId="1333" applyNumberFormat="0" applyFill="0" applyAlignment="0" applyProtection="0"/>
    <xf numFmtId="0" fontId="29" fillId="0" borderId="1334" applyNumberFormat="0" applyFill="0" applyAlignment="0" applyProtection="0"/>
    <xf numFmtId="49" fontId="37" fillId="0" borderId="1329">
      <alignment horizontal="right" wrapText="1"/>
    </xf>
    <xf numFmtId="0" fontId="51" fillId="62" borderId="1351" applyNumberFormat="0" applyAlignment="0" applyProtection="0"/>
    <xf numFmtId="0" fontId="51" fillId="84" borderId="1351" applyNumberFormat="0" applyAlignment="0" applyProtection="0"/>
    <xf numFmtId="0" fontId="51" fillId="84" borderId="1351" applyNumberFormat="0" applyAlignment="0" applyProtection="0"/>
    <xf numFmtId="10" fontId="42" fillId="52" borderId="1348" applyNumberFormat="0" applyBorder="0" applyAlignment="0" applyProtection="0"/>
    <xf numFmtId="0" fontId="20" fillId="0" borderId="1350">
      <alignment horizontal="left" vertical="center"/>
    </xf>
    <xf numFmtId="0" fontId="35" fillId="88" borderId="1351" applyNumberFormat="0" applyAlignment="0" applyProtection="0"/>
    <xf numFmtId="0" fontId="34" fillId="56" borderId="1351" applyNumberFormat="0" applyAlignment="0" applyProtection="0"/>
    <xf numFmtId="0" fontId="34" fillId="56" borderId="1339" applyNumberFormat="0" applyAlignment="0" applyProtection="0"/>
    <xf numFmtId="0" fontId="35" fillId="88" borderId="1339" applyNumberFormat="0" applyAlignment="0" applyProtection="0"/>
    <xf numFmtId="0" fontId="20" fillId="0" borderId="1338">
      <alignment horizontal="left" vertical="center"/>
    </xf>
    <xf numFmtId="10" fontId="42" fillId="52" borderId="1336" applyNumberFormat="0" applyBorder="0" applyAlignment="0" applyProtection="0"/>
    <xf numFmtId="0" fontId="51" fillId="84" borderId="1339" applyNumberFormat="0" applyAlignment="0" applyProtection="0"/>
    <xf numFmtId="0" fontId="51" fillId="84" borderId="1339" applyNumberFormat="0" applyAlignment="0" applyProtection="0"/>
    <xf numFmtId="0" fontId="51" fillId="62" borderId="1339" applyNumberFormat="0" applyAlignment="0" applyProtection="0"/>
    <xf numFmtId="0" fontId="24" fillId="75" borderId="1335" applyNumberFormat="0" applyFont="0" applyAlignment="0" applyProtection="0"/>
    <xf numFmtId="0" fontId="27" fillId="95" borderId="1335" applyNumberFormat="0" applyFont="0" applyAlignment="0" applyProtection="0"/>
    <xf numFmtId="0" fontId="27" fillId="95" borderId="1335" applyNumberFormat="0" applyFont="0" applyAlignment="0" applyProtection="0"/>
    <xf numFmtId="49" fontId="37" fillId="0" borderId="1337">
      <alignment horizontal="right" wrapText="1"/>
    </xf>
    <xf numFmtId="0" fontId="34" fillId="56" borderId="1339" applyNumberFormat="0" applyAlignment="0" applyProtection="0"/>
    <xf numFmtId="0" fontId="35" fillId="88" borderId="1339" applyNumberFormat="0" applyAlignment="0" applyProtection="0"/>
    <xf numFmtId="0" fontId="20" fillId="0" borderId="1338">
      <alignment horizontal="left" vertical="center"/>
    </xf>
    <xf numFmtId="10" fontId="42" fillId="52" borderId="1336" applyNumberFormat="0" applyBorder="0" applyAlignment="0" applyProtection="0"/>
    <xf numFmtId="0" fontId="51" fillId="84" borderId="1339" applyNumberFormat="0" applyAlignment="0" applyProtection="0"/>
    <xf numFmtId="0" fontId="51" fillId="84" borderId="1339" applyNumberFormat="0" applyAlignment="0" applyProtection="0"/>
    <xf numFmtId="0" fontId="51" fillId="62" borderId="1339" applyNumberFormat="0" applyAlignment="0" applyProtection="0"/>
    <xf numFmtId="0" fontId="24" fillId="75" borderId="1335" applyNumberFormat="0" applyFont="0" applyAlignment="0" applyProtection="0"/>
    <xf numFmtId="0" fontId="27" fillId="95" borderId="1335" applyNumberFormat="0" applyFont="0" applyAlignment="0" applyProtection="0"/>
    <xf numFmtId="0" fontId="27" fillId="95" borderId="1335" applyNumberFormat="0" applyFont="0" applyAlignment="0" applyProtection="0"/>
    <xf numFmtId="0" fontId="56" fillId="56" borderId="1340" applyNumberFormat="0" applyAlignment="0" applyProtection="0"/>
    <xf numFmtId="0" fontId="56" fillId="88" borderId="1340" applyNumberFormat="0" applyAlignment="0" applyProtection="0"/>
    <xf numFmtId="0" fontId="29" fillId="0" borderId="1341" applyNumberFormat="0" applyFill="0" applyAlignment="0" applyProtection="0"/>
    <xf numFmtId="0" fontId="29" fillId="0" borderId="1342" applyNumberFormat="0" applyFill="0" applyAlignment="0" applyProtection="0"/>
    <xf numFmtId="49" fontId="37" fillId="0" borderId="1337">
      <alignment horizontal="right" wrapText="1"/>
    </xf>
    <xf numFmtId="0" fontId="34" fillId="56" borderId="1346" applyNumberFormat="0" applyAlignment="0" applyProtection="0"/>
    <xf numFmtId="0" fontId="35" fillId="88" borderId="1346" applyNumberFormat="0" applyAlignment="0" applyProtection="0"/>
    <xf numFmtId="0" fontId="20" fillId="0" borderId="1345">
      <alignment horizontal="left" vertical="center"/>
    </xf>
    <xf numFmtId="10" fontId="42" fillId="52" borderId="1344" applyNumberFormat="0" applyBorder="0" applyAlignment="0" applyProtection="0"/>
    <xf numFmtId="0" fontId="51" fillId="84" borderId="1346" applyNumberFormat="0" applyAlignment="0" applyProtection="0"/>
    <xf numFmtId="0" fontId="51" fillId="84" borderId="1346" applyNumberFormat="0" applyAlignment="0" applyProtection="0"/>
    <xf numFmtId="0" fontId="51" fillId="62" borderId="1346" applyNumberFormat="0" applyAlignment="0" applyProtection="0"/>
    <xf numFmtId="0" fontId="24" fillId="75" borderId="1343" applyNumberFormat="0" applyFont="0" applyAlignment="0" applyProtection="0"/>
    <xf numFmtId="0" fontId="27" fillId="95" borderId="1343" applyNumberFormat="0" applyFont="0" applyAlignment="0" applyProtection="0"/>
    <xf numFmtId="0" fontId="27" fillId="95" borderId="1343" applyNumberFormat="0" applyFont="0" applyAlignment="0" applyProtection="0"/>
    <xf numFmtId="0" fontId="24" fillId="75" borderId="1347" applyNumberFormat="0" applyFont="0" applyAlignment="0" applyProtection="0"/>
    <xf numFmtId="0" fontId="27" fillId="95" borderId="1347" applyNumberFormat="0" applyFont="0" applyAlignment="0" applyProtection="0"/>
    <xf numFmtId="0" fontId="27" fillId="95" borderId="1347" applyNumberFormat="0" applyFont="0" applyAlignment="0" applyProtection="0"/>
    <xf numFmtId="0" fontId="56" fillId="56" borderId="1352" applyNumberFormat="0" applyAlignment="0" applyProtection="0"/>
    <xf numFmtId="0" fontId="56" fillId="88" borderId="1352" applyNumberFormat="0" applyAlignment="0" applyProtection="0"/>
    <xf numFmtId="0" fontId="29" fillId="0" borderId="1353" applyNumberFormat="0" applyFill="0" applyAlignment="0" applyProtection="0"/>
    <xf numFmtId="0" fontId="29" fillId="0" borderId="1354" applyNumberFormat="0" applyFill="0" applyAlignment="0" applyProtection="0"/>
    <xf numFmtId="49" fontId="37" fillId="0" borderId="1349">
      <alignment horizontal="right" wrapText="1"/>
    </xf>
    <xf numFmtId="0" fontId="34" fillId="56" borderId="1359" applyNumberFormat="0" applyAlignment="0" applyProtection="0"/>
    <xf numFmtId="0" fontId="35" fillId="88" borderId="1359" applyNumberFormat="0" applyAlignment="0" applyProtection="0"/>
    <xf numFmtId="0" fontId="20" fillId="0" borderId="1358">
      <alignment horizontal="left" vertical="center"/>
    </xf>
    <xf numFmtId="10" fontId="42" fillId="52" borderId="1356" applyNumberFormat="0" applyBorder="0" applyAlignment="0" applyProtection="0"/>
    <xf numFmtId="0" fontId="51" fillId="84" borderId="1359" applyNumberFormat="0" applyAlignment="0" applyProtection="0"/>
    <xf numFmtId="0" fontId="51" fillId="84" borderId="1359" applyNumberFormat="0" applyAlignment="0" applyProtection="0"/>
    <xf numFmtId="0" fontId="51" fillId="62" borderId="1359" applyNumberFormat="0" applyAlignment="0" applyProtection="0"/>
    <xf numFmtId="0" fontId="24" fillId="75" borderId="1355" applyNumberFormat="0" applyFont="0" applyAlignment="0" applyProtection="0"/>
    <xf numFmtId="0" fontId="27" fillId="95" borderId="1355" applyNumberFormat="0" applyFont="0" applyAlignment="0" applyProtection="0"/>
    <xf numFmtId="0" fontId="27" fillId="95" borderId="1355" applyNumberFormat="0" applyFont="0" applyAlignment="0" applyProtection="0"/>
    <xf numFmtId="0" fontId="56" fillId="56" borderId="1360" applyNumberFormat="0" applyAlignment="0" applyProtection="0"/>
    <xf numFmtId="0" fontId="56" fillId="88" borderId="1360" applyNumberFormat="0" applyAlignment="0" applyProtection="0"/>
    <xf numFmtId="0" fontId="29" fillId="0" borderId="1361" applyNumberFormat="0" applyFill="0" applyAlignment="0" applyProtection="0"/>
    <xf numFmtId="0" fontId="29" fillId="0" borderId="1362" applyNumberFormat="0" applyFill="0" applyAlignment="0" applyProtection="0"/>
    <xf numFmtId="49" fontId="37" fillId="0" borderId="1357">
      <alignment horizontal="right" wrapText="1"/>
    </xf>
    <xf numFmtId="0" fontId="34" fillId="56" borderId="1366" applyNumberFormat="0" applyAlignment="0" applyProtection="0"/>
    <xf numFmtId="0" fontId="35" fillId="88" borderId="1366" applyNumberFormat="0" applyAlignment="0" applyProtection="0"/>
    <xf numFmtId="0" fontId="20" fillId="0" borderId="1365">
      <alignment horizontal="left" vertical="center"/>
    </xf>
    <xf numFmtId="10" fontId="42" fillId="52" borderId="1364" applyNumberFormat="0" applyBorder="0" applyAlignment="0" applyProtection="0"/>
    <xf numFmtId="0" fontId="51" fillId="84" borderId="1366" applyNumberFormat="0" applyAlignment="0" applyProtection="0"/>
    <xf numFmtId="0" fontId="51" fillId="84" borderId="1366" applyNumberFormat="0" applyAlignment="0" applyProtection="0"/>
    <xf numFmtId="0" fontId="51" fillId="62" borderId="1366" applyNumberFormat="0" applyAlignment="0" applyProtection="0"/>
    <xf numFmtId="0" fontId="24" fillId="75" borderId="1363" applyNumberFormat="0" applyFont="0" applyAlignment="0" applyProtection="0"/>
    <xf numFmtId="0" fontId="27" fillId="95" borderId="1363" applyNumberFormat="0" applyFont="0" applyAlignment="0" applyProtection="0"/>
    <xf numFmtId="0" fontId="27" fillId="95" borderId="1363" applyNumberFormat="0" applyFont="0" applyAlignment="0" applyProtection="0"/>
    <xf numFmtId="0" fontId="6" fillId="0" borderId="0"/>
    <xf numFmtId="0" fontId="16" fillId="0" borderId="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7" fillId="61"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27" fillId="95"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7" fillId="6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7" fillId="6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27" fillId="58"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27" fillId="6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27" fillId="95" borderId="0" applyNumberFormat="0" applyBorder="0" applyAlignment="0" applyProtection="0"/>
    <xf numFmtId="0" fontId="31" fillId="96" borderId="0" applyNumberFormat="0" applyBorder="0" applyAlignment="0" applyProtection="0"/>
    <xf numFmtId="0" fontId="31" fillId="86" borderId="0" applyNumberFormat="0" applyBorder="0" applyAlignment="0" applyProtection="0"/>
    <xf numFmtId="0" fontId="31" fillId="66" borderId="0" applyNumberFormat="0" applyBorder="0" applyAlignment="0" applyProtection="0"/>
    <xf numFmtId="0" fontId="31" fillId="97" borderId="0" applyNumberFormat="0" applyBorder="0" applyAlignment="0" applyProtection="0"/>
    <xf numFmtId="0" fontId="31" fillId="69" borderId="0" applyNumberFormat="0" applyBorder="0" applyAlignment="0" applyProtection="0"/>
    <xf numFmtId="0" fontId="31" fillId="79" borderId="0" applyNumberFormat="0" applyBorder="0" applyAlignment="0" applyProtection="0"/>
    <xf numFmtId="0" fontId="33" fillId="60" borderId="0" applyNumberFormat="0" applyBorder="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4" fillId="56"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74" fillId="9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35" fillId="88" borderId="1299" applyNumberFormat="0" applyAlignment="0" applyProtection="0"/>
    <xf numFmtId="0" fontId="74" fillId="98" borderId="1299" applyNumberFormat="0" applyAlignment="0" applyProtection="0"/>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9" fontId="37" fillId="0" borderId="1209">
      <alignment horizontal="right" wrapText="1"/>
    </xf>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1" fillId="61" borderId="0" applyNumberFormat="0" applyBorder="0" applyAlignment="0" applyProtection="0"/>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20" fillId="0" borderId="1330">
      <alignment horizontal="left" vertical="center"/>
    </xf>
    <xf numFmtId="0" fontId="47" fillId="0" borderId="46" applyNumberFormat="0" applyFill="0" applyAlignment="0" applyProtection="0"/>
    <xf numFmtId="0" fontId="47" fillId="0" borderId="0" applyNumberFormat="0" applyFill="0" applyBorder="0" applyAlignment="0" applyProtection="0"/>
    <xf numFmtId="0" fontId="94" fillId="0" borderId="0" applyNumberFormat="0" applyFill="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10" fontId="42" fillId="52" borderId="1316" applyNumberFormat="0" applyBorder="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9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84"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62" borderId="1299" applyNumberFormat="0" applyAlignment="0" applyProtection="0"/>
    <xf numFmtId="0" fontId="51" fillId="94" borderId="1299" applyNumberFormat="0" applyAlignment="0" applyProtection="0"/>
    <xf numFmtId="0" fontId="59" fillId="0" borderId="47" applyNumberFormat="0" applyFill="0" applyAlignment="0" applyProtection="0"/>
    <xf numFmtId="0" fontId="84" fillId="9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4" fillId="7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6" fillId="19" borderId="22"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1"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27" fillId="95" borderId="1303" applyNumberFormat="0" applyFon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56"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9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0" fontId="56" fillId="88" borderId="1300"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 fontId="87" fillId="94" borderId="1367" applyNumberFormat="0" applyProtection="0">
      <alignment vertical="center"/>
    </xf>
    <xf numFmtId="4" fontId="87" fillId="94" borderId="1367" applyNumberFormat="0" applyProtection="0">
      <alignment vertical="center"/>
    </xf>
    <xf numFmtId="4" fontId="87" fillId="94" borderId="1367" applyNumberFormat="0" applyProtection="0">
      <alignment vertical="center"/>
    </xf>
    <xf numFmtId="4" fontId="87" fillId="94" borderId="1367" applyNumberFormat="0" applyProtection="0">
      <alignment vertical="center"/>
    </xf>
    <xf numFmtId="4" fontId="87" fillId="94" borderId="1367" applyNumberFormat="0" applyProtection="0">
      <alignment vertical="center"/>
    </xf>
    <xf numFmtId="4" fontId="88" fillId="99" borderId="1367" applyNumberFormat="0" applyProtection="0">
      <alignment vertical="center"/>
    </xf>
    <xf numFmtId="4" fontId="88" fillId="99" borderId="1367" applyNumberFormat="0" applyProtection="0">
      <alignment vertical="center"/>
    </xf>
    <xf numFmtId="4" fontId="88" fillId="99" borderId="1367" applyNumberFormat="0" applyProtection="0">
      <alignment vertical="center"/>
    </xf>
    <xf numFmtId="4" fontId="88" fillId="99" borderId="1367" applyNumberFormat="0" applyProtection="0">
      <alignment vertical="center"/>
    </xf>
    <xf numFmtId="4" fontId="88" fillId="99" borderId="1367" applyNumberFormat="0" applyProtection="0">
      <alignment vertical="center"/>
    </xf>
    <xf numFmtId="4" fontId="87" fillId="99" borderId="1367" applyNumberFormat="0" applyProtection="0">
      <alignment horizontal="left" vertical="center" indent="1"/>
    </xf>
    <xf numFmtId="4" fontId="87" fillId="99" borderId="1367" applyNumberFormat="0" applyProtection="0">
      <alignment horizontal="left" vertical="center" indent="1"/>
    </xf>
    <xf numFmtId="4" fontId="87" fillId="99" borderId="1367" applyNumberFormat="0" applyProtection="0">
      <alignment horizontal="left" vertical="center" indent="1"/>
    </xf>
    <xf numFmtId="4" fontId="87" fillId="99" borderId="1367" applyNumberFormat="0" applyProtection="0">
      <alignment horizontal="left" vertical="center" indent="1"/>
    </xf>
    <xf numFmtId="4" fontId="87" fillId="99" borderId="1367" applyNumberFormat="0" applyProtection="0">
      <alignment horizontal="left" vertical="center" indent="1"/>
    </xf>
    <xf numFmtId="0" fontId="87" fillId="99" borderId="1367" applyNumberFormat="0" applyProtection="0">
      <alignment horizontal="left" vertical="top" indent="1"/>
    </xf>
    <xf numFmtId="0" fontId="87" fillId="99" borderId="1367" applyNumberFormat="0" applyProtection="0">
      <alignment horizontal="left" vertical="top" indent="1"/>
    </xf>
    <xf numFmtId="0" fontId="87" fillId="99" borderId="1367" applyNumberFormat="0" applyProtection="0">
      <alignment horizontal="left" vertical="top" indent="1"/>
    </xf>
    <xf numFmtId="0" fontId="87" fillId="99" borderId="1367" applyNumberFormat="0" applyProtection="0">
      <alignment horizontal="left" vertical="top" indent="1"/>
    </xf>
    <xf numFmtId="0" fontId="87" fillId="99" borderId="1367" applyNumberFormat="0" applyProtection="0">
      <alignment horizontal="left" vertical="top" indent="1"/>
    </xf>
    <xf numFmtId="4" fontId="19" fillId="58" borderId="1367" applyNumberFormat="0" applyProtection="0">
      <alignment horizontal="right" vertical="center"/>
    </xf>
    <xf numFmtId="4" fontId="19" fillId="58" borderId="1367" applyNumberFormat="0" applyProtection="0">
      <alignment horizontal="right" vertical="center"/>
    </xf>
    <xf numFmtId="4" fontId="19" fillId="58" borderId="1367" applyNumberFormat="0" applyProtection="0">
      <alignment horizontal="right" vertical="center"/>
    </xf>
    <xf numFmtId="4" fontId="19" fillId="58" borderId="1367" applyNumberFormat="0" applyProtection="0">
      <alignment horizontal="right" vertical="center"/>
    </xf>
    <xf numFmtId="4" fontId="19" fillId="58" borderId="1367" applyNumberFormat="0" applyProtection="0">
      <alignment horizontal="right" vertical="center"/>
    </xf>
    <xf numFmtId="4" fontId="19" fillId="64" borderId="1367" applyNumberFormat="0" applyProtection="0">
      <alignment horizontal="right" vertical="center"/>
    </xf>
    <xf numFmtId="4" fontId="19" fillId="64" borderId="1367" applyNumberFormat="0" applyProtection="0">
      <alignment horizontal="right" vertical="center"/>
    </xf>
    <xf numFmtId="4" fontId="19" fillId="64" borderId="1367" applyNumberFormat="0" applyProtection="0">
      <alignment horizontal="right" vertical="center"/>
    </xf>
    <xf numFmtId="4" fontId="19" fillId="64" borderId="1367" applyNumberFormat="0" applyProtection="0">
      <alignment horizontal="right" vertical="center"/>
    </xf>
    <xf numFmtId="4" fontId="19" fillId="64" borderId="1367" applyNumberFormat="0" applyProtection="0">
      <alignment horizontal="right" vertical="center"/>
    </xf>
    <xf numFmtId="4" fontId="19" fillId="79" borderId="1367" applyNumberFormat="0" applyProtection="0">
      <alignment horizontal="right" vertical="center"/>
    </xf>
    <xf numFmtId="4" fontId="19" fillId="79" borderId="1367" applyNumberFormat="0" applyProtection="0">
      <alignment horizontal="right" vertical="center"/>
    </xf>
    <xf numFmtId="4" fontId="19" fillId="79" borderId="1367" applyNumberFormat="0" applyProtection="0">
      <alignment horizontal="right" vertical="center"/>
    </xf>
    <xf numFmtId="4" fontId="19" fillId="79" borderId="1367" applyNumberFormat="0" applyProtection="0">
      <alignment horizontal="right" vertical="center"/>
    </xf>
    <xf numFmtId="4" fontId="19" fillId="79" borderId="1367" applyNumberFormat="0" applyProtection="0">
      <alignment horizontal="right" vertical="center"/>
    </xf>
    <xf numFmtId="4" fontId="19" fillId="66" borderId="1367" applyNumberFormat="0" applyProtection="0">
      <alignment horizontal="right" vertical="center"/>
    </xf>
    <xf numFmtId="4" fontId="19" fillId="66" borderId="1367" applyNumberFormat="0" applyProtection="0">
      <alignment horizontal="right" vertical="center"/>
    </xf>
    <xf numFmtId="4" fontId="19" fillId="66" borderId="1367" applyNumberFormat="0" applyProtection="0">
      <alignment horizontal="right" vertical="center"/>
    </xf>
    <xf numFmtId="4" fontId="19" fillId="66" borderId="1367" applyNumberFormat="0" applyProtection="0">
      <alignment horizontal="right" vertical="center"/>
    </xf>
    <xf numFmtId="4" fontId="19" fillId="66" borderId="1367" applyNumberFormat="0" applyProtection="0">
      <alignment horizontal="right" vertical="center"/>
    </xf>
    <xf numFmtId="4" fontId="19" fillId="70" borderId="1367" applyNumberFormat="0" applyProtection="0">
      <alignment horizontal="right" vertical="center"/>
    </xf>
    <xf numFmtId="4" fontId="19" fillId="70" borderId="1367" applyNumberFormat="0" applyProtection="0">
      <alignment horizontal="right" vertical="center"/>
    </xf>
    <xf numFmtId="4" fontId="19" fillId="70" borderId="1367" applyNumberFormat="0" applyProtection="0">
      <alignment horizontal="right" vertical="center"/>
    </xf>
    <xf numFmtId="4" fontId="19" fillId="70" borderId="1367" applyNumberFormat="0" applyProtection="0">
      <alignment horizontal="right" vertical="center"/>
    </xf>
    <xf numFmtId="4" fontId="19" fillId="70" borderId="1367" applyNumberFormat="0" applyProtection="0">
      <alignment horizontal="right" vertical="center"/>
    </xf>
    <xf numFmtId="4" fontId="19" fillId="86" borderId="1367" applyNumberFormat="0" applyProtection="0">
      <alignment horizontal="right" vertical="center"/>
    </xf>
    <xf numFmtId="4" fontId="19" fillId="86" borderId="1367" applyNumberFormat="0" applyProtection="0">
      <alignment horizontal="right" vertical="center"/>
    </xf>
    <xf numFmtId="4" fontId="19" fillId="86" borderId="1367" applyNumberFormat="0" applyProtection="0">
      <alignment horizontal="right" vertical="center"/>
    </xf>
    <xf numFmtId="4" fontId="19" fillId="86" borderId="1367" applyNumberFormat="0" applyProtection="0">
      <alignment horizontal="right" vertical="center"/>
    </xf>
    <xf numFmtId="4" fontId="19" fillId="86" borderId="1367" applyNumberFormat="0" applyProtection="0">
      <alignment horizontal="right" vertical="center"/>
    </xf>
    <xf numFmtId="4" fontId="19" fillId="81" borderId="1367" applyNumberFormat="0" applyProtection="0">
      <alignment horizontal="right" vertical="center"/>
    </xf>
    <xf numFmtId="4" fontId="19" fillId="81" borderId="1367" applyNumberFormat="0" applyProtection="0">
      <alignment horizontal="right" vertical="center"/>
    </xf>
    <xf numFmtId="4" fontId="19" fillId="81" borderId="1367" applyNumberFormat="0" applyProtection="0">
      <alignment horizontal="right" vertical="center"/>
    </xf>
    <xf numFmtId="4" fontId="19" fillId="81" borderId="1367" applyNumberFormat="0" applyProtection="0">
      <alignment horizontal="right" vertical="center"/>
    </xf>
    <xf numFmtId="4" fontId="19" fillId="81" borderId="1367" applyNumberFormat="0" applyProtection="0">
      <alignment horizontal="right" vertical="center"/>
    </xf>
    <xf numFmtId="4" fontId="19" fillId="101" borderId="1367" applyNumberFormat="0" applyProtection="0">
      <alignment horizontal="right" vertical="center"/>
    </xf>
    <xf numFmtId="4" fontId="19" fillId="101" borderId="1367" applyNumberFormat="0" applyProtection="0">
      <alignment horizontal="right" vertical="center"/>
    </xf>
    <xf numFmtId="4" fontId="19" fillId="101" borderId="1367" applyNumberFormat="0" applyProtection="0">
      <alignment horizontal="right" vertical="center"/>
    </xf>
    <xf numFmtId="4" fontId="19" fillId="101" borderId="1367" applyNumberFormat="0" applyProtection="0">
      <alignment horizontal="right" vertical="center"/>
    </xf>
    <xf numFmtId="4" fontId="19" fillId="101" borderId="1367" applyNumberFormat="0" applyProtection="0">
      <alignment horizontal="right" vertical="center"/>
    </xf>
    <xf numFmtId="4" fontId="19" fillId="65" borderId="1367" applyNumberFormat="0" applyProtection="0">
      <alignment horizontal="right" vertical="center"/>
    </xf>
    <xf numFmtId="4" fontId="19" fillId="65" borderId="1367" applyNumberFormat="0" applyProtection="0">
      <alignment horizontal="right" vertical="center"/>
    </xf>
    <xf numFmtId="4" fontId="19" fillId="65" borderId="1367" applyNumberFormat="0" applyProtection="0">
      <alignment horizontal="right" vertical="center"/>
    </xf>
    <xf numFmtId="4" fontId="19" fillId="65" borderId="1367" applyNumberFormat="0" applyProtection="0">
      <alignment horizontal="right" vertical="center"/>
    </xf>
    <xf numFmtId="4" fontId="19" fillId="65" borderId="1367" applyNumberFormat="0" applyProtection="0">
      <alignment horizontal="right" vertical="center"/>
    </xf>
    <xf numFmtId="4" fontId="19" fillId="105" borderId="1367" applyNumberFormat="0" applyProtection="0">
      <alignment horizontal="right" vertical="center"/>
    </xf>
    <xf numFmtId="4" fontId="19" fillId="105" borderId="1367" applyNumberFormat="0" applyProtection="0">
      <alignment horizontal="right" vertical="center"/>
    </xf>
    <xf numFmtId="4" fontId="19" fillId="105" borderId="1367" applyNumberFormat="0" applyProtection="0">
      <alignment horizontal="right" vertical="center"/>
    </xf>
    <xf numFmtId="4" fontId="19" fillId="105" borderId="1367" applyNumberFormat="0" applyProtection="0">
      <alignment horizontal="right" vertical="center"/>
    </xf>
    <xf numFmtId="4" fontId="19" fillId="105" borderId="1367" applyNumberFormat="0" applyProtection="0">
      <alignment horizontal="right" vertical="center"/>
    </xf>
    <xf numFmtId="0" fontId="16" fillId="104" borderId="1367" applyNumberFormat="0" applyProtection="0">
      <alignment horizontal="left" vertical="center" indent="1"/>
    </xf>
    <xf numFmtId="0" fontId="16" fillId="104" borderId="1367" applyNumberFormat="0" applyProtection="0">
      <alignment horizontal="left" vertical="center" indent="1"/>
    </xf>
    <xf numFmtId="0" fontId="16" fillId="104" borderId="1367" applyNumberFormat="0" applyProtection="0">
      <alignment horizontal="left" vertical="center" indent="1"/>
    </xf>
    <xf numFmtId="0" fontId="16" fillId="104" borderId="1367" applyNumberFormat="0" applyProtection="0">
      <alignment horizontal="left" vertical="center" indent="1"/>
    </xf>
    <xf numFmtId="0" fontId="16" fillId="104" borderId="1367" applyNumberFormat="0" applyProtection="0">
      <alignment horizontal="left" vertical="center" indent="1"/>
    </xf>
    <xf numFmtId="0" fontId="16" fillId="104" borderId="1367" applyNumberFormat="0" applyProtection="0">
      <alignment horizontal="left" vertical="top" indent="1"/>
    </xf>
    <xf numFmtId="0" fontId="16" fillId="104" borderId="1367" applyNumberFormat="0" applyProtection="0">
      <alignment horizontal="left" vertical="top" indent="1"/>
    </xf>
    <xf numFmtId="0" fontId="16" fillId="104" borderId="1367" applyNumberFormat="0" applyProtection="0">
      <alignment horizontal="left" vertical="top" indent="1"/>
    </xf>
    <xf numFmtId="0" fontId="16" fillId="104" borderId="1367" applyNumberFormat="0" applyProtection="0">
      <alignment horizontal="left" vertical="top" indent="1"/>
    </xf>
    <xf numFmtId="0" fontId="16" fillId="104" borderId="1367" applyNumberFormat="0" applyProtection="0">
      <alignment horizontal="left" vertical="top" indent="1"/>
    </xf>
    <xf numFmtId="0" fontId="16" fillId="100" borderId="1367" applyNumberFormat="0" applyProtection="0">
      <alignment horizontal="left" vertical="center" indent="1"/>
    </xf>
    <xf numFmtId="0" fontId="16" fillId="100" borderId="1367" applyNumberFormat="0" applyProtection="0">
      <alignment horizontal="left" vertical="center" indent="1"/>
    </xf>
    <xf numFmtId="0" fontId="16" fillId="100" borderId="1367" applyNumberFormat="0" applyProtection="0">
      <alignment horizontal="left" vertical="center" indent="1"/>
    </xf>
    <xf numFmtId="0" fontId="16" fillId="100" borderId="1367" applyNumberFormat="0" applyProtection="0">
      <alignment horizontal="left" vertical="center" indent="1"/>
    </xf>
    <xf numFmtId="0" fontId="16" fillId="100" borderId="1367" applyNumberFormat="0" applyProtection="0">
      <alignment horizontal="left" vertical="center" indent="1"/>
    </xf>
    <xf numFmtId="0" fontId="16" fillId="100" borderId="1367" applyNumberFormat="0" applyProtection="0">
      <alignment horizontal="left" vertical="top" indent="1"/>
    </xf>
    <xf numFmtId="0" fontId="16" fillId="100" borderId="1367" applyNumberFormat="0" applyProtection="0">
      <alignment horizontal="left" vertical="top" indent="1"/>
    </xf>
    <xf numFmtId="0" fontId="16" fillId="100" borderId="1367" applyNumberFormat="0" applyProtection="0">
      <alignment horizontal="left" vertical="top" indent="1"/>
    </xf>
    <xf numFmtId="0" fontId="16" fillId="100" borderId="1367" applyNumberFormat="0" applyProtection="0">
      <alignment horizontal="left" vertical="top" indent="1"/>
    </xf>
    <xf numFmtId="0" fontId="16" fillId="100" borderId="1367" applyNumberFormat="0" applyProtection="0">
      <alignment horizontal="left" vertical="top" indent="1"/>
    </xf>
    <xf numFmtId="0" fontId="16" fillId="106" borderId="1367" applyNumberFormat="0" applyProtection="0">
      <alignment horizontal="left" vertical="center" indent="1"/>
    </xf>
    <xf numFmtId="0" fontId="16" fillId="106" borderId="1367" applyNumberFormat="0" applyProtection="0">
      <alignment horizontal="left" vertical="center" indent="1"/>
    </xf>
    <xf numFmtId="0" fontId="16" fillId="106" borderId="1367" applyNumberFormat="0" applyProtection="0">
      <alignment horizontal="left" vertical="center" indent="1"/>
    </xf>
    <xf numFmtId="0" fontId="16" fillId="106" borderId="1367" applyNumberFormat="0" applyProtection="0">
      <alignment horizontal="left" vertical="center" indent="1"/>
    </xf>
    <xf numFmtId="0" fontId="16" fillId="106" borderId="1367" applyNumberFormat="0" applyProtection="0">
      <alignment horizontal="left" vertical="center" indent="1"/>
    </xf>
    <xf numFmtId="0" fontId="16" fillId="106" borderId="1367" applyNumberFormat="0" applyProtection="0">
      <alignment horizontal="left" vertical="top" indent="1"/>
    </xf>
    <xf numFmtId="0" fontId="16" fillId="106" borderId="1367" applyNumberFormat="0" applyProtection="0">
      <alignment horizontal="left" vertical="top" indent="1"/>
    </xf>
    <xf numFmtId="0" fontId="16" fillId="106" borderId="1367" applyNumberFormat="0" applyProtection="0">
      <alignment horizontal="left" vertical="top" indent="1"/>
    </xf>
    <xf numFmtId="0" fontId="16" fillId="106" borderId="1367" applyNumberFormat="0" applyProtection="0">
      <alignment horizontal="left" vertical="top" indent="1"/>
    </xf>
    <xf numFmtId="0" fontId="16" fillId="106" borderId="1367" applyNumberFormat="0" applyProtection="0">
      <alignment horizontal="left" vertical="top" indent="1"/>
    </xf>
    <xf numFmtId="0" fontId="16" fillId="54" borderId="1367" applyNumberFormat="0" applyProtection="0">
      <alignment horizontal="left" vertical="center" indent="1"/>
    </xf>
    <xf numFmtId="0" fontId="16" fillId="54" borderId="1367" applyNumberFormat="0" applyProtection="0">
      <alignment horizontal="left" vertical="center" indent="1"/>
    </xf>
    <xf numFmtId="0" fontId="16" fillId="54" borderId="1367" applyNumberFormat="0" applyProtection="0">
      <alignment horizontal="left" vertical="center" indent="1"/>
    </xf>
    <xf numFmtId="0" fontId="16" fillId="54" borderId="1367" applyNumberFormat="0" applyProtection="0">
      <alignment horizontal="left" vertical="center" indent="1"/>
    </xf>
    <xf numFmtId="0" fontId="16" fillId="54" borderId="1367" applyNumberFormat="0" applyProtection="0">
      <alignment horizontal="left" vertical="center" indent="1"/>
    </xf>
    <xf numFmtId="0" fontId="16" fillId="54" borderId="1367" applyNumberFormat="0" applyProtection="0">
      <alignment horizontal="left" vertical="top" indent="1"/>
    </xf>
    <xf numFmtId="0" fontId="16" fillId="54" borderId="1367" applyNumberFormat="0" applyProtection="0">
      <alignment horizontal="left" vertical="top" indent="1"/>
    </xf>
    <xf numFmtId="0" fontId="16" fillId="54" borderId="1367" applyNumberFormat="0" applyProtection="0">
      <alignment horizontal="left" vertical="top" indent="1"/>
    </xf>
    <xf numFmtId="0" fontId="16" fillId="54" borderId="1367" applyNumberFormat="0" applyProtection="0">
      <alignment horizontal="left" vertical="top" indent="1"/>
    </xf>
    <xf numFmtId="0" fontId="16" fillId="54" borderId="1367" applyNumberFormat="0" applyProtection="0">
      <alignment horizontal="left" vertical="top" indent="1"/>
    </xf>
    <xf numFmtId="4" fontId="19" fillId="107" borderId="1367" applyNumberFormat="0" applyProtection="0">
      <alignment vertical="center"/>
    </xf>
    <xf numFmtId="4" fontId="19" fillId="107" borderId="1367" applyNumberFormat="0" applyProtection="0">
      <alignment vertical="center"/>
    </xf>
    <xf numFmtId="4" fontId="19" fillId="107" borderId="1367" applyNumberFormat="0" applyProtection="0">
      <alignment vertical="center"/>
    </xf>
    <xf numFmtId="4" fontId="19" fillId="107" borderId="1367" applyNumberFormat="0" applyProtection="0">
      <alignment vertical="center"/>
    </xf>
    <xf numFmtId="4" fontId="19" fillId="107" borderId="1367" applyNumberFormat="0" applyProtection="0">
      <alignment vertical="center"/>
    </xf>
    <xf numFmtId="4" fontId="90" fillId="107" borderId="1367" applyNumberFormat="0" applyProtection="0">
      <alignment vertical="center"/>
    </xf>
    <xf numFmtId="4" fontId="90" fillId="107" borderId="1367" applyNumberFormat="0" applyProtection="0">
      <alignment vertical="center"/>
    </xf>
    <xf numFmtId="4" fontId="90" fillId="107" borderId="1367" applyNumberFormat="0" applyProtection="0">
      <alignment vertical="center"/>
    </xf>
    <xf numFmtId="4" fontId="90" fillId="107" borderId="1367" applyNumberFormat="0" applyProtection="0">
      <alignment vertical="center"/>
    </xf>
    <xf numFmtId="4" fontId="90" fillId="107" borderId="1367" applyNumberFormat="0" applyProtection="0">
      <alignment vertical="center"/>
    </xf>
    <xf numFmtId="4" fontId="19" fillId="107" borderId="1367" applyNumberFormat="0" applyProtection="0">
      <alignment horizontal="left" vertical="center" indent="1"/>
    </xf>
    <xf numFmtId="4" fontId="19" fillId="107" borderId="1367" applyNumberFormat="0" applyProtection="0">
      <alignment horizontal="left" vertical="center" indent="1"/>
    </xf>
    <xf numFmtId="4" fontId="19" fillId="107" borderId="1367" applyNumberFormat="0" applyProtection="0">
      <alignment horizontal="left" vertical="center" indent="1"/>
    </xf>
    <xf numFmtId="4" fontId="19" fillId="107" borderId="1367" applyNumberFormat="0" applyProtection="0">
      <alignment horizontal="left" vertical="center" indent="1"/>
    </xf>
    <xf numFmtId="4" fontId="19" fillId="107" borderId="1367" applyNumberFormat="0" applyProtection="0">
      <alignment horizontal="left" vertical="center" indent="1"/>
    </xf>
    <xf numFmtId="0" fontId="19" fillId="107" borderId="1367" applyNumberFormat="0" applyProtection="0">
      <alignment horizontal="left" vertical="top" indent="1"/>
    </xf>
    <xf numFmtId="0" fontId="19" fillId="107" borderId="1367" applyNumberFormat="0" applyProtection="0">
      <alignment horizontal="left" vertical="top" indent="1"/>
    </xf>
    <xf numFmtId="0" fontId="19" fillId="107" borderId="1367" applyNumberFormat="0" applyProtection="0">
      <alignment horizontal="left" vertical="top" indent="1"/>
    </xf>
    <xf numFmtId="0" fontId="19" fillId="107" borderId="1367" applyNumberFormat="0" applyProtection="0">
      <alignment horizontal="left" vertical="top" indent="1"/>
    </xf>
    <xf numFmtId="0" fontId="19" fillId="107" borderId="1367" applyNumberFormat="0" applyProtection="0">
      <alignment horizontal="left" vertical="top" indent="1"/>
    </xf>
    <xf numFmtId="4" fontId="19" fillId="108" borderId="1300" applyNumberFormat="0" applyProtection="0">
      <alignment horizontal="right" vertical="center"/>
    </xf>
    <xf numFmtId="4" fontId="19" fillId="108" borderId="1300" applyNumberFormat="0" applyProtection="0">
      <alignment horizontal="right" vertical="center"/>
    </xf>
    <xf numFmtId="4" fontId="19" fillId="108" borderId="1300" applyNumberFormat="0" applyProtection="0">
      <alignment horizontal="right" vertical="center"/>
    </xf>
    <xf numFmtId="4" fontId="19" fillId="108" borderId="1300" applyNumberFormat="0" applyProtection="0">
      <alignment horizontal="right" vertical="center"/>
    </xf>
    <xf numFmtId="4" fontId="19" fillId="108" borderId="1300" applyNumberFormat="0" applyProtection="0">
      <alignment horizontal="right" vertical="center"/>
    </xf>
    <xf numFmtId="4" fontId="90" fillId="103" borderId="1367" applyNumberFormat="0" applyProtection="0">
      <alignment horizontal="right" vertical="center"/>
    </xf>
    <xf numFmtId="4" fontId="90" fillId="103" borderId="1367" applyNumberFormat="0" applyProtection="0">
      <alignment horizontal="right" vertical="center"/>
    </xf>
    <xf numFmtId="4" fontId="90" fillId="103" borderId="1367" applyNumberFormat="0" applyProtection="0">
      <alignment horizontal="right" vertical="center"/>
    </xf>
    <xf numFmtId="4" fontId="90" fillId="103" borderId="1367" applyNumberFormat="0" applyProtection="0">
      <alignment horizontal="right" vertical="center"/>
    </xf>
    <xf numFmtId="4" fontId="90" fillId="103" borderId="1367" applyNumberFormat="0" applyProtection="0">
      <alignment horizontal="right" vertical="center"/>
    </xf>
    <xf numFmtId="0" fontId="16" fillId="109" borderId="1300" applyNumberFormat="0" applyProtection="0">
      <alignment horizontal="left" vertical="center" indent="1"/>
    </xf>
    <xf numFmtId="0" fontId="16" fillId="109" borderId="1300" applyNumberFormat="0" applyProtection="0">
      <alignment horizontal="left" vertical="center" indent="1"/>
    </xf>
    <xf numFmtId="0" fontId="16" fillId="109" borderId="1300" applyNumberFormat="0" applyProtection="0">
      <alignment horizontal="left" vertical="center" indent="1"/>
    </xf>
    <xf numFmtId="0" fontId="16" fillId="109" borderId="1300" applyNumberFormat="0" applyProtection="0">
      <alignment horizontal="left" vertical="center" indent="1"/>
    </xf>
    <xf numFmtId="0" fontId="16" fillId="109" borderId="1300" applyNumberFormat="0" applyProtection="0">
      <alignment horizontal="left" vertical="center" indent="1"/>
    </xf>
    <xf numFmtId="0" fontId="19" fillId="100" borderId="1367" applyNumberFormat="0" applyProtection="0">
      <alignment horizontal="left" vertical="top" indent="1"/>
    </xf>
    <xf numFmtId="0" fontId="19" fillId="100" borderId="1367" applyNumberFormat="0" applyProtection="0">
      <alignment horizontal="left" vertical="top" indent="1"/>
    </xf>
    <xf numFmtId="0" fontId="19" fillId="100" borderId="1367" applyNumberFormat="0" applyProtection="0">
      <alignment horizontal="left" vertical="top" indent="1"/>
    </xf>
    <xf numFmtId="0" fontId="19" fillId="100" borderId="1367" applyNumberFormat="0" applyProtection="0">
      <alignment horizontal="left" vertical="top" indent="1"/>
    </xf>
    <xf numFmtId="0" fontId="19" fillId="100" borderId="1367" applyNumberFormat="0" applyProtection="0">
      <alignment horizontal="left" vertical="top" indent="1"/>
    </xf>
    <xf numFmtId="4" fontId="92" fillId="103" borderId="1367" applyNumberFormat="0" applyProtection="0">
      <alignment horizontal="right" vertical="center"/>
    </xf>
    <xf numFmtId="4" fontId="92" fillId="103" borderId="1367" applyNumberFormat="0" applyProtection="0">
      <alignment horizontal="right" vertical="center"/>
    </xf>
    <xf numFmtId="4" fontId="92" fillId="103" borderId="1367" applyNumberFormat="0" applyProtection="0">
      <alignment horizontal="right" vertical="center"/>
    </xf>
    <xf numFmtId="4" fontId="92" fillId="103" borderId="1367" applyNumberFormat="0" applyProtection="0">
      <alignment horizontal="right" vertical="center"/>
    </xf>
    <xf numFmtId="4" fontId="92" fillId="103" borderId="1367" applyNumberFormat="0" applyProtection="0">
      <alignment horizontal="right" vertical="center"/>
    </xf>
    <xf numFmtId="0" fontId="57" fillId="0" borderId="0" applyNumberFormat="0" applyFill="0" applyBorder="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1"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9" fillId="0" borderId="1302" applyNumberFormat="0" applyFill="0" applyAlignment="0" applyProtection="0"/>
    <xf numFmtId="0" fontId="24" fillId="0" borderId="50" applyNumberFormat="0" applyFill="0" applyAlignment="0" applyProtection="0"/>
    <xf numFmtId="0" fontId="6" fillId="0" borderId="0"/>
    <xf numFmtId="0" fontId="74" fillId="98" borderId="1351" applyNumberFormat="0" applyAlignment="0" applyProtection="0"/>
    <xf numFmtId="0" fontId="76" fillId="27" borderId="30" applyNumberFormat="0" applyAlignment="0" applyProtection="0"/>
    <xf numFmtId="43"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6" fillId="0" borderId="24" applyNumberFormat="0" applyFill="0" applyAlignment="0" applyProtection="0"/>
    <xf numFmtId="0" fontId="95" fillId="0" borderId="0" applyNumberFormat="0" applyFill="0" applyBorder="0" applyAlignment="0" applyProtection="0"/>
    <xf numFmtId="0" fontId="51" fillId="94" borderId="1351" applyNumberFormat="0" applyAlignment="0" applyProtection="0"/>
    <xf numFmtId="0" fontId="16" fillId="0" borderId="0"/>
    <xf numFmtId="0" fontId="16" fillId="0" borderId="0"/>
    <xf numFmtId="0" fontId="6" fillId="0" borderId="0"/>
    <xf numFmtId="0" fontId="6" fillId="0" borderId="0"/>
    <xf numFmtId="0" fontId="16" fillId="0" borderId="0"/>
    <xf numFmtId="0" fontId="6" fillId="0" borderId="0"/>
    <xf numFmtId="0" fontId="6" fillId="0" borderId="0"/>
    <xf numFmtId="0" fontId="16" fillId="0" borderId="0"/>
    <xf numFmtId="0" fontId="16" fillId="0" borderId="0"/>
    <xf numFmtId="0" fontId="21" fillId="95" borderId="1355" applyNumberFormat="0" applyFont="0" applyAlignment="0" applyProtection="0"/>
    <xf numFmtId="0" fontId="97" fillId="26" borderId="28" applyNumberFormat="0" applyAlignment="0" applyProtection="0"/>
    <xf numFmtId="0" fontId="56" fillId="98" borderId="1352"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0" fontId="57" fillId="0" borderId="0" applyNumberFormat="0" applyFill="0" applyBorder="0" applyAlignment="0" applyProtection="0"/>
    <xf numFmtId="0" fontId="6" fillId="0" borderId="0"/>
    <xf numFmtId="0" fontId="6" fillId="29" borderId="0" applyNumberFormat="0" applyBorder="0" applyAlignment="0" applyProtection="0"/>
    <xf numFmtId="0" fontId="6" fillId="49"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98" fillId="0" borderId="0" applyNumberFormat="0" applyFill="0" applyBorder="0" applyAlignment="0" applyProtection="0"/>
    <xf numFmtId="0" fontId="61" fillId="0" borderId="24" applyNumberFormat="0" applyFill="0" applyAlignment="0" applyProtection="0"/>
    <xf numFmtId="0" fontId="62" fillId="0" borderId="25" applyNumberFormat="0" applyFill="0" applyAlignment="0" applyProtection="0"/>
    <xf numFmtId="0" fontId="63" fillId="0" borderId="26" applyNumberFormat="0" applyFill="0" applyAlignment="0" applyProtection="0"/>
    <xf numFmtId="0" fontId="63" fillId="0" borderId="0" applyNumberFormat="0" applyFill="0" applyBorder="0" applyAlignment="0" applyProtection="0"/>
    <xf numFmtId="0" fontId="64" fillId="22" borderId="0" applyNumberFormat="0" applyBorder="0" applyAlignment="0" applyProtection="0"/>
    <xf numFmtId="0" fontId="65" fillId="23" borderId="0" applyNumberFormat="0" applyBorder="0" applyAlignment="0" applyProtection="0"/>
    <xf numFmtId="0" fontId="66" fillId="24" borderId="0" applyNumberFormat="0" applyBorder="0" applyAlignment="0" applyProtection="0"/>
    <xf numFmtId="0" fontId="67" fillId="25" borderId="27" applyNumberFormat="0" applyAlignment="0" applyProtection="0"/>
    <xf numFmtId="0" fontId="68" fillId="26" borderId="28" applyNumberFormat="0" applyAlignment="0" applyProtection="0"/>
    <xf numFmtId="0" fontId="69" fillId="26" borderId="27" applyNumberFormat="0" applyAlignment="0" applyProtection="0"/>
    <xf numFmtId="0" fontId="70" fillId="0" borderId="29" applyNumberFormat="0" applyFill="0" applyAlignment="0" applyProtection="0"/>
    <xf numFmtId="0" fontId="60" fillId="27" borderId="30" applyNumberFormat="0" applyAlignment="0" applyProtection="0"/>
    <xf numFmtId="0" fontId="26" fillId="0" borderId="0" applyNumberFormat="0" applyFill="0" applyBorder="0" applyAlignment="0" applyProtection="0"/>
    <xf numFmtId="0" fontId="71" fillId="0" borderId="0" applyNumberFormat="0" applyFill="0" applyBorder="0" applyAlignment="0" applyProtection="0"/>
    <xf numFmtId="0" fontId="8" fillId="0" borderId="31" applyNumberFormat="0" applyFill="0" applyAlignment="0" applyProtection="0"/>
    <xf numFmtId="0" fontId="23" fillId="28" borderId="0" applyNumberFormat="0" applyBorder="0" applyAlignment="0" applyProtection="0"/>
    <xf numFmtId="0" fontId="6"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6" fillId="50" borderId="0" applyNumberFormat="0" applyBorder="0" applyAlignment="0" applyProtection="0"/>
    <xf numFmtId="0" fontId="23" fillId="51" borderId="0" applyNumberFormat="0" applyBorder="0" applyAlignment="0" applyProtection="0"/>
    <xf numFmtId="0" fontId="6" fillId="0" borderId="0"/>
    <xf numFmtId="0" fontId="6" fillId="0" borderId="0"/>
    <xf numFmtId="0" fontId="6" fillId="19" borderId="22" applyNumberFormat="0" applyFont="0" applyAlignment="0" applyProtection="0"/>
    <xf numFmtId="0" fontId="6" fillId="29" borderId="0" applyNumberFormat="0" applyBorder="0" applyAlignment="0" applyProtection="0"/>
    <xf numFmtId="0" fontId="6" fillId="0" borderId="0"/>
    <xf numFmtId="0" fontId="6" fillId="4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16" fillId="0" borderId="0"/>
    <xf numFmtId="0" fontId="16" fillId="0" borderId="0"/>
    <xf numFmtId="43" fontId="39"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19" borderId="22" applyNumberFormat="0" applyFont="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19" borderId="22" applyNumberFormat="0" applyFont="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0" borderId="0"/>
    <xf numFmtId="0" fontId="6" fillId="45" borderId="0" applyNumberFormat="0" applyBorder="0" applyAlignment="0" applyProtection="0"/>
    <xf numFmtId="0" fontId="6" fillId="46"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19" borderId="22" applyNumberFormat="0" applyFont="0" applyAlignment="0" applyProtection="0"/>
    <xf numFmtId="0" fontId="6" fillId="0" borderId="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4" fontId="101" fillId="0" borderId="0" applyFont="0" applyFill="0" applyBorder="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51" fillId="62" borderId="13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0" fontId="9" fillId="0" borderId="0"/>
    <xf numFmtId="0" fontId="9" fillId="0" borderId="0"/>
    <xf numFmtId="0" fontId="9"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9" borderId="0" applyNumberFormat="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2"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4" fontId="39" fillId="0" borderId="0" applyFont="0" applyFill="0" applyBorder="0" applyAlignment="0" applyProtection="0"/>
    <xf numFmtId="0" fontId="9" fillId="0" borderId="0"/>
    <xf numFmtId="43" fontId="2"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9" fontId="102" fillId="0" borderId="0" applyFont="0" applyFill="0" applyBorder="0" applyAlignment="0" applyProtection="0"/>
    <xf numFmtId="44" fontId="102"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27"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103" fillId="0" borderId="0" applyNumberFormat="0" applyFill="0" applyBorder="0" applyAlignment="0" applyProtection="0"/>
    <xf numFmtId="0" fontId="6" fillId="34" borderId="0" applyNumberFormat="0" applyBorder="0" applyAlignment="0" applyProtection="0"/>
    <xf numFmtId="0" fontId="6" fillId="46" borderId="0" applyNumberFormat="0" applyBorder="0" applyAlignment="0" applyProtection="0"/>
    <xf numFmtId="0" fontId="19" fillId="0" borderId="0"/>
    <xf numFmtId="42" fontId="16" fillId="0" borderId="0" applyFont="0" applyFill="0" applyBorder="0" applyAlignment="0" applyProtection="0"/>
    <xf numFmtId="41" fontId="16" fillId="0" borderId="0" applyFont="0" applyFill="0" applyBorder="0" applyAlignment="0" applyProtection="0"/>
    <xf numFmtId="0" fontId="94" fillId="0" borderId="0" applyNumberFormat="0" applyFill="0" applyBorder="0" applyAlignment="0" applyProtection="0"/>
    <xf numFmtId="0" fontId="6" fillId="34" borderId="0" applyNumberFormat="0" applyBorder="0" applyAlignment="0" applyProtection="0"/>
    <xf numFmtId="0" fontId="6" fillId="46" borderId="0" applyNumberFormat="0" applyBorder="0" applyAlignment="0" applyProtection="0"/>
    <xf numFmtId="9" fontId="19"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46" borderId="0" applyNumberFormat="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34" borderId="0" applyNumberFormat="0" applyBorder="0" applyAlignment="0" applyProtection="0"/>
    <xf numFmtId="0" fontId="6" fillId="46" borderId="0" applyNumberFormat="0" applyBorder="0" applyAlignment="0" applyProtection="0"/>
    <xf numFmtId="0" fontId="6" fillId="34" borderId="0" applyNumberFormat="0" applyBorder="0" applyAlignment="0" applyProtection="0"/>
    <xf numFmtId="0" fontId="6" fillId="46" borderId="0" applyNumberFormat="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04" fillId="0" borderId="0"/>
    <xf numFmtId="44" fontId="104" fillId="0" borderId="0" applyFont="0" applyFill="0" applyBorder="0" applyAlignment="0" applyProtection="0"/>
    <xf numFmtId="9" fontId="104" fillId="0" borderId="0" applyFont="0" applyFill="0" applyBorder="0" applyAlignment="0" applyProtection="0"/>
    <xf numFmtId="43" fontId="19" fillId="0" borderId="0" applyFont="0" applyFill="0" applyBorder="0" applyAlignment="0" applyProtection="0"/>
    <xf numFmtId="0" fontId="6"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1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5" fillId="8" borderId="0"/>
    <xf numFmtId="49" fontId="25" fillId="111" borderId="0"/>
    <xf numFmtId="44" fontId="6" fillId="0" borderId="0" applyFont="0" applyFill="0" applyBorder="0" applyAlignment="0" applyProtection="0"/>
    <xf numFmtId="0" fontId="1" fillId="0" borderId="0"/>
    <xf numFmtId="43" fontId="1" fillId="0" borderId="0" applyFont="0" applyFill="0" applyBorder="0" applyAlignment="0" applyProtection="0"/>
    <xf numFmtId="0" fontId="6" fillId="0" borderId="0"/>
  </cellStyleXfs>
  <cellXfs count="198">
    <xf numFmtId="0" fontId="0" fillId="0" borderId="0" xfId="0"/>
    <xf numFmtId="0" fontId="8" fillId="0" borderId="2" xfId="0" applyFont="1" applyBorder="1" applyAlignment="1">
      <alignment horizontal="left" wrapText="1"/>
    </xf>
    <xf numFmtId="0" fontId="8" fillId="3" borderId="20" xfId="0" applyFont="1" applyFill="1" applyBorder="1"/>
    <xf numFmtId="166" fontId="7" fillId="0" borderId="2" xfId="0" applyNumberFormat="1" applyFont="1" applyBorder="1"/>
    <xf numFmtId="0" fontId="0" fillId="0" borderId="0" xfId="0" applyAlignment="1">
      <alignment horizontal="center"/>
    </xf>
    <xf numFmtId="165" fontId="0" fillId="0" borderId="0" xfId="0" applyNumberFormat="1"/>
    <xf numFmtId="0" fontId="10" fillId="0" borderId="0" xfId="0" applyFont="1"/>
    <xf numFmtId="166" fontId="0" fillId="0" borderId="0" xfId="0" applyNumberFormat="1"/>
    <xf numFmtId="0" fontId="0" fillId="0" borderId="3" xfId="0" applyBorder="1"/>
    <xf numFmtId="167" fontId="0" fillId="0" borderId="0" xfId="0" applyNumberFormat="1"/>
    <xf numFmtId="0" fontId="0" fillId="0" borderId="0" xfId="0" applyAlignment="1">
      <alignment wrapText="1"/>
    </xf>
    <xf numFmtId="166" fontId="0" fillId="0" borderId="2" xfId="0" applyNumberFormat="1" applyBorder="1"/>
    <xf numFmtId="165" fontId="0" fillId="0" borderId="0" xfId="0" applyNumberFormat="1" applyAlignment="1">
      <alignment horizontal="center"/>
    </xf>
    <xf numFmtId="8" fontId="0" fillId="0" borderId="0" xfId="0" applyNumberFormat="1"/>
    <xf numFmtId="0" fontId="0" fillId="0" borderId="0" xfId="0" applyAlignment="1">
      <alignment horizontal="center" wrapText="1"/>
    </xf>
    <xf numFmtId="44" fontId="0" fillId="0" borderId="0" xfId="0" applyNumberFormat="1"/>
    <xf numFmtId="0" fontId="8" fillId="0" borderId="0" xfId="0" applyFont="1" applyAlignment="1">
      <alignment horizontal="center" wrapText="1"/>
    </xf>
    <xf numFmtId="164" fontId="8" fillId="0" borderId="0" xfId="0" applyNumberFormat="1" applyFont="1" applyAlignment="1">
      <alignment horizontal="center"/>
    </xf>
    <xf numFmtId="164" fontId="0" fillId="0" borderId="9" xfId="0" applyNumberFormat="1" applyBorder="1"/>
    <xf numFmtId="0" fontId="8" fillId="0" borderId="8" xfId="0" applyFont="1" applyBorder="1" applyAlignment="1">
      <alignment wrapText="1"/>
    </xf>
    <xf numFmtId="164" fontId="0" fillId="0" borderId="2" xfId="0" applyNumberFormat="1" applyBorder="1"/>
    <xf numFmtId="0" fontId="8" fillId="0" borderId="7" xfId="0" applyFont="1" applyBorder="1" applyAlignment="1" applyProtection="1">
      <alignment horizontal="center" vertical="center"/>
      <protection locked="0"/>
    </xf>
    <xf numFmtId="0" fontId="8" fillId="0" borderId="13" xfId="0" applyFont="1" applyBorder="1" applyAlignment="1">
      <alignment wrapText="1"/>
    </xf>
    <xf numFmtId="164" fontId="0" fillId="0" borderId="4" xfId="0" applyNumberFormat="1" applyBorder="1"/>
    <xf numFmtId="164" fontId="0" fillId="0" borderId="0" xfId="0" applyNumberFormat="1"/>
    <xf numFmtId="0" fontId="8" fillId="0" borderId="0" xfId="0" applyFont="1"/>
    <xf numFmtId="164" fontId="8" fillId="0" borderId="0" xfId="0" applyNumberFormat="1" applyFont="1"/>
    <xf numFmtId="0" fontId="8" fillId="0" borderId="0" xfId="0" applyFont="1" applyAlignment="1">
      <alignment wrapText="1"/>
    </xf>
    <xf numFmtId="164" fontId="0" fillId="0" borderId="0" xfId="0" applyNumberFormat="1" applyAlignment="1">
      <alignment horizontal="center" wrapText="1"/>
    </xf>
    <xf numFmtId="166" fontId="0" fillId="0" borderId="0" xfId="0" applyNumberFormat="1" applyAlignment="1">
      <alignment horizontal="center"/>
    </xf>
    <xf numFmtId="0" fontId="6" fillId="0" borderId="0" xfId="0" applyFont="1"/>
    <xf numFmtId="0" fontId="6" fillId="0" borderId="0" xfId="0" applyFont="1" applyAlignment="1">
      <alignment wrapText="1"/>
    </xf>
    <xf numFmtId="8" fontId="6" fillId="0" borderId="0" xfId="0" applyNumberFormat="1" applyFont="1"/>
    <xf numFmtId="165" fontId="6" fillId="0" borderId="0" xfId="0" applyNumberFormat="1" applyFont="1"/>
    <xf numFmtId="0" fontId="6" fillId="0" borderId="0" xfId="0" applyFont="1" applyAlignment="1">
      <alignment horizontal="center"/>
    </xf>
    <xf numFmtId="166" fontId="6" fillId="0" borderId="0" xfId="0" applyNumberFormat="1" applyFont="1" applyAlignment="1">
      <alignment horizontal="center"/>
    </xf>
    <xf numFmtId="0" fontId="6" fillId="5" borderId="0" xfId="0" applyFont="1" applyFill="1"/>
    <xf numFmtId="0" fontId="6" fillId="0" borderId="0" xfId="0" applyFont="1" applyAlignment="1">
      <alignment horizontal="center" wrapText="1"/>
    </xf>
    <xf numFmtId="165" fontId="0" fillId="0" borderId="0" xfId="0" applyNumberFormat="1" applyAlignment="1">
      <alignment horizontal="center" wrapText="1"/>
    </xf>
    <xf numFmtId="0" fontId="8" fillId="0" borderId="0" xfId="0" applyFont="1" applyAlignment="1">
      <alignment horizontal="center"/>
    </xf>
    <xf numFmtId="165" fontId="7" fillId="6" borderId="2" xfId="0" applyNumberFormat="1" applyFont="1" applyFill="1" applyBorder="1" applyAlignment="1">
      <alignment horizontal="center" vertical="center" wrapText="1"/>
    </xf>
    <xf numFmtId="165" fontId="0" fillId="12" borderId="14" xfId="0" applyNumberFormat="1" applyFill="1" applyBorder="1" applyAlignment="1">
      <alignment wrapText="1"/>
    </xf>
    <xf numFmtId="165" fontId="0" fillId="12" borderId="3" xfId="0" applyNumberFormat="1" applyFill="1" applyBorder="1"/>
    <xf numFmtId="165" fontId="0" fillId="12" borderId="15" xfId="0" applyNumberFormat="1" applyFill="1" applyBorder="1"/>
    <xf numFmtId="165" fontId="7" fillId="10" borderId="2" xfId="0" applyNumberFormat="1" applyFont="1" applyFill="1" applyBorder="1" applyAlignment="1">
      <alignment horizontal="center" vertical="center" wrapText="1"/>
    </xf>
    <xf numFmtId="0" fontId="0" fillId="0" borderId="2" xfId="0" applyBorder="1"/>
    <xf numFmtId="44" fontId="0" fillId="0" borderId="0" xfId="0" applyNumberFormat="1" applyAlignment="1">
      <alignment horizontal="center"/>
    </xf>
    <xf numFmtId="166" fontId="8" fillId="0" borderId="0" xfId="0" applyNumberFormat="1" applyFont="1" applyAlignment="1">
      <alignment horizontal="center" wrapText="1"/>
    </xf>
    <xf numFmtId="44" fontId="0" fillId="0" borderId="0" xfId="0" applyNumberFormat="1" applyAlignment="1">
      <alignment horizontal="center" wrapText="1"/>
    </xf>
    <xf numFmtId="0" fontId="0" fillId="0" borderId="0" xfId="0" pivotButton="1"/>
    <xf numFmtId="0" fontId="0" fillId="0" borderId="0" xfId="0" applyAlignment="1">
      <alignment horizontal="left"/>
    </xf>
    <xf numFmtId="164" fontId="8" fillId="0" borderId="16" xfId="0" applyNumberFormat="1" applyFont="1" applyBorder="1" applyAlignment="1">
      <alignment horizontal="center"/>
    </xf>
    <xf numFmtId="49" fontId="0" fillId="0" borderId="0" xfId="0" applyNumberFormat="1" applyProtection="1">
      <protection locked="0"/>
    </xf>
    <xf numFmtId="49" fontId="0" fillId="0" borderId="0" xfId="0" applyNumberFormat="1"/>
    <xf numFmtId="0" fontId="9" fillId="0" borderId="0" xfId="0" applyFont="1" applyAlignment="1">
      <alignment horizontal="center"/>
    </xf>
    <xf numFmtId="166" fontId="0" fillId="0" borderId="0" xfId="0" applyNumberFormat="1" applyAlignment="1">
      <alignment wrapText="1"/>
    </xf>
    <xf numFmtId="165" fontId="0" fillId="0" borderId="0" xfId="0" applyNumberFormat="1" applyAlignment="1">
      <alignment wrapText="1"/>
    </xf>
    <xf numFmtId="166" fontId="0" fillId="0" borderId="0" xfId="0" applyNumberFormat="1" applyAlignment="1">
      <alignment horizontal="left" indent="2"/>
    </xf>
    <xf numFmtId="0" fontId="8" fillId="0" borderId="0" xfId="0" applyFont="1" applyProtection="1">
      <protection locked="0"/>
    </xf>
    <xf numFmtId="10" fontId="0" fillId="0" borderId="2" xfId="0" applyNumberFormat="1" applyBorder="1"/>
    <xf numFmtId="0" fontId="0" fillId="4" borderId="2" xfId="0" applyFill="1" applyBorder="1" applyAlignment="1">
      <alignment horizontal="center" wrapText="1"/>
    </xf>
    <xf numFmtId="0" fontId="0" fillId="0" borderId="0" xfId="0" quotePrefix="1"/>
    <xf numFmtId="10" fontId="0" fillId="0" borderId="0" xfId="1" applyNumberFormat="1" applyFont="1"/>
    <xf numFmtId="0" fontId="0" fillId="0" borderId="21" xfId="0" applyBorder="1"/>
    <xf numFmtId="0" fontId="0" fillId="0" borderId="17" xfId="0" applyBorder="1" applyProtection="1">
      <protection locked="0"/>
    </xf>
    <xf numFmtId="8" fontId="0" fillId="0" borderId="17" xfId="0" applyNumberFormat="1" applyBorder="1" applyProtection="1">
      <protection locked="0"/>
    </xf>
    <xf numFmtId="0" fontId="8" fillId="0" borderId="19" xfId="0" applyFont="1" applyBorder="1" applyAlignment="1">
      <alignment horizontal="right"/>
    </xf>
    <xf numFmtId="8" fontId="0" fillId="0" borderId="1" xfId="0" applyNumberFormat="1" applyBorder="1"/>
    <xf numFmtId="8" fontId="0" fillId="0" borderId="20" xfId="0" applyNumberFormat="1" applyBorder="1"/>
    <xf numFmtId="49" fontId="8" fillId="0" borderId="18" xfId="0" applyNumberFormat="1" applyFont="1" applyBorder="1" applyAlignment="1" applyProtection="1">
      <alignment horizontal="right"/>
      <protection locked="0"/>
    </xf>
    <xf numFmtId="0" fontId="0" fillId="0" borderId="0" xfId="0" applyProtection="1">
      <protection locked="0"/>
    </xf>
    <xf numFmtId="166" fontId="0" fillId="0" borderId="0" xfId="0" applyNumberFormat="1" applyAlignment="1">
      <alignment horizontal="right"/>
    </xf>
    <xf numFmtId="44" fontId="13" fillId="0" borderId="0" xfId="0" applyNumberFormat="1" applyFont="1" applyAlignment="1">
      <alignment horizontal="right"/>
    </xf>
    <xf numFmtId="10" fontId="13" fillId="0" borderId="0" xfId="0" applyNumberFormat="1" applyFont="1" applyAlignment="1">
      <alignment wrapText="1"/>
    </xf>
    <xf numFmtId="169" fontId="0" fillId="0" borderId="0" xfId="0" applyNumberFormat="1"/>
    <xf numFmtId="8" fontId="0" fillId="9" borderId="0" xfId="0" applyNumberFormat="1" applyFill="1" applyAlignment="1">
      <alignment horizontal="right"/>
    </xf>
    <xf numFmtId="8" fontId="0" fillId="9" borderId="0" xfId="0" applyNumberFormat="1" applyFill="1"/>
    <xf numFmtId="8" fontId="0" fillId="2" borderId="0" xfId="0" applyNumberFormat="1" applyFill="1" applyAlignment="1">
      <alignment horizontal="right"/>
    </xf>
    <xf numFmtId="8" fontId="0" fillId="2" borderId="0" xfId="0" applyNumberFormat="1" applyFill="1"/>
    <xf numFmtId="0" fontId="0" fillId="8" borderId="0" xfId="0" applyFill="1" applyAlignment="1">
      <alignment horizontal="left"/>
    </xf>
    <xf numFmtId="164" fontId="0" fillId="0" borderId="0" xfId="0" applyNumberFormat="1" applyAlignment="1">
      <alignment horizontal="right"/>
    </xf>
    <xf numFmtId="49" fontId="0" fillId="0" borderId="0" xfId="0" applyNumberFormat="1" applyAlignment="1">
      <alignment wrapText="1"/>
    </xf>
    <xf numFmtId="0" fontId="0" fillId="9" borderId="0" xfId="0" applyFill="1" applyAlignment="1">
      <alignment wrapText="1"/>
    </xf>
    <xf numFmtId="164" fontId="8" fillId="19" borderId="22" xfId="19" applyNumberFormat="1" applyFont="1" applyAlignment="1">
      <alignment horizontal="center"/>
    </xf>
    <xf numFmtId="0" fontId="8" fillId="0" borderId="0" xfId="0" applyFont="1" applyAlignment="1">
      <alignment horizontal="left"/>
    </xf>
    <xf numFmtId="0" fontId="8" fillId="0" borderId="0" xfId="0" applyFont="1" applyAlignment="1">
      <alignment horizontal="left" wrapText="1"/>
    </xf>
    <xf numFmtId="10" fontId="0" fillId="0" borderId="0" xfId="1" applyNumberFormat="1" applyFont="1" applyFill="1" applyBorder="1"/>
    <xf numFmtId="177" fontId="0" fillId="0" borderId="0" xfId="0" applyNumberFormat="1"/>
    <xf numFmtId="166" fontId="0" fillId="21" borderId="3" xfId="0" applyNumberFormat="1" applyFill="1" applyBorder="1"/>
    <xf numFmtId="10" fontId="0" fillId="21" borderId="2" xfId="0" applyNumberFormat="1" applyFill="1" applyBorder="1"/>
    <xf numFmtId="165" fontId="0" fillId="3" borderId="2" xfId="0" applyNumberFormat="1" applyFill="1" applyBorder="1"/>
    <xf numFmtId="0" fontId="0" fillId="0" borderId="1368" xfId="0" applyBorder="1" applyProtection="1">
      <protection locked="0"/>
    </xf>
    <xf numFmtId="164" fontId="0" fillId="0" borderId="0" xfId="0" applyNumberFormat="1" applyAlignment="1">
      <alignment horizontal="center"/>
    </xf>
    <xf numFmtId="164" fontId="8" fillId="0" borderId="22" xfId="19" applyNumberFormat="1" applyFont="1" applyFill="1" applyAlignment="1">
      <alignment horizontal="center"/>
    </xf>
    <xf numFmtId="43" fontId="0" fillId="8" borderId="0" xfId="2" applyFont="1" applyFill="1"/>
    <xf numFmtId="43" fontId="0" fillId="0" borderId="0" xfId="0" applyNumberFormat="1"/>
    <xf numFmtId="0" fontId="0" fillId="0" borderId="22" xfId="3" applyNumberFormat="1" applyFont="1" applyFill="1" applyProtection="1">
      <protection locked="0"/>
    </xf>
    <xf numFmtId="49" fontId="6" fillId="0" borderId="22" xfId="3" applyNumberFormat="1" applyFont="1" applyFill="1" applyProtection="1">
      <protection locked="0"/>
    </xf>
    <xf numFmtId="0" fontId="27" fillId="0" borderId="0" xfId="3674" applyFill="1"/>
    <xf numFmtId="44" fontId="0" fillId="0" borderId="22" xfId="3" applyNumberFormat="1" applyFont="1" applyFill="1" applyProtection="1">
      <protection locked="0"/>
    </xf>
    <xf numFmtId="166" fontId="8" fillId="13" borderId="1368" xfId="0" applyNumberFormat="1" applyFont="1" applyFill="1" applyBorder="1" applyAlignment="1">
      <alignment horizontal="center"/>
    </xf>
    <xf numFmtId="0" fontId="0" fillId="0" borderId="1368" xfId="0" applyBorder="1" applyAlignment="1">
      <alignment wrapText="1"/>
    </xf>
    <xf numFmtId="164" fontId="13" fillId="0" borderId="1368" xfId="0" applyNumberFormat="1" applyFont="1" applyBorder="1" applyAlignment="1">
      <alignment horizontal="right"/>
    </xf>
    <xf numFmtId="166" fontId="0" fillId="0" borderId="1368" xfId="0" applyNumberFormat="1" applyBorder="1" applyAlignment="1">
      <alignment horizontal="right"/>
    </xf>
    <xf numFmtId="0" fontId="0" fillId="0" borderId="1368" xfId="0" applyBorder="1" applyAlignment="1">
      <alignment horizontal="left"/>
    </xf>
    <xf numFmtId="166" fontId="0" fillId="0" borderId="1368" xfId="0" applyNumberFormat="1" applyBorder="1"/>
    <xf numFmtId="168" fontId="0" fillId="0" borderId="1368" xfId="0" applyNumberFormat="1" applyBorder="1"/>
    <xf numFmtId="164" fontId="0" fillId="21" borderId="1368" xfId="0" applyNumberFormat="1" applyFill="1" applyBorder="1"/>
    <xf numFmtId="165" fontId="0" fillId="0" borderId="1368" xfId="0" applyNumberFormat="1" applyBorder="1"/>
    <xf numFmtId="164" fontId="0" fillId="0" borderId="1368" xfId="0" applyNumberFormat="1" applyBorder="1"/>
    <xf numFmtId="0" fontId="0" fillId="3" borderId="1368" xfId="0" applyFill="1" applyBorder="1" applyAlignment="1">
      <alignment horizontal="left"/>
    </xf>
    <xf numFmtId="168" fontId="0" fillId="2" borderId="1368" xfId="0" applyNumberFormat="1" applyFill="1" applyBorder="1"/>
    <xf numFmtId="0" fontId="8" fillId="0" borderId="1368" xfId="0" applyFont="1" applyBorder="1" applyAlignment="1">
      <alignment horizontal="left"/>
    </xf>
    <xf numFmtId="0" fontId="0" fillId="0" borderId="1368" xfId="0" applyBorder="1" applyAlignment="1">
      <alignment horizontal="right"/>
    </xf>
    <xf numFmtId="0" fontId="0" fillId="0" borderId="1368" xfId="0" applyBorder="1"/>
    <xf numFmtId="164" fontId="0" fillId="0" borderId="1369" xfId="0" applyNumberFormat="1" applyBorder="1"/>
    <xf numFmtId="0" fontId="8" fillId="0" borderId="1370" xfId="0" applyFont="1" applyBorder="1" applyAlignment="1">
      <alignment wrapText="1"/>
    </xf>
    <xf numFmtId="164" fontId="0" fillId="0" borderId="1371" xfId="0" applyNumberFormat="1" applyBorder="1"/>
    <xf numFmtId="9" fontId="0" fillId="0" borderId="1368" xfId="0" applyNumberFormat="1" applyBorder="1" applyAlignment="1">
      <alignment horizontal="center"/>
    </xf>
    <xf numFmtId="9" fontId="0" fillId="0" borderId="1369" xfId="0" applyNumberFormat="1" applyBorder="1" applyAlignment="1">
      <alignment horizontal="center"/>
    </xf>
    <xf numFmtId="0" fontId="8" fillId="0" borderId="1372" xfId="0" applyFont="1" applyBorder="1" applyAlignment="1">
      <alignment wrapText="1"/>
    </xf>
    <xf numFmtId="164" fontId="0" fillId="0" borderId="1373" xfId="0" applyNumberFormat="1" applyBorder="1"/>
    <xf numFmtId="164" fontId="0" fillId="0" borderId="1374" xfId="0" applyNumberFormat="1" applyBorder="1"/>
    <xf numFmtId="164" fontId="7" fillId="11" borderId="1368" xfId="0" applyNumberFormat="1" applyFont="1" applyFill="1" applyBorder="1" applyAlignment="1">
      <alignment horizontal="center" vertical="center" wrapText="1"/>
    </xf>
    <xf numFmtId="164" fontId="7" fillId="15" borderId="1368" xfId="0" applyNumberFormat="1" applyFont="1" applyFill="1" applyBorder="1" applyAlignment="1">
      <alignment horizontal="center" vertical="center" wrapText="1"/>
    </xf>
    <xf numFmtId="0" fontId="7" fillId="15" borderId="1368" xfId="0" applyFont="1" applyFill="1" applyBorder="1" applyAlignment="1">
      <alignment horizontal="center" vertical="center" wrapText="1"/>
    </xf>
    <xf numFmtId="164" fontId="7" fillId="10" borderId="1368" xfId="0" applyNumberFormat="1" applyFont="1" applyFill="1" applyBorder="1" applyAlignment="1">
      <alignment horizontal="center" vertical="center" wrapText="1"/>
    </xf>
    <xf numFmtId="164" fontId="7" fillId="2" borderId="1368" xfId="0" applyNumberFormat="1" applyFont="1" applyFill="1" applyBorder="1" applyAlignment="1">
      <alignment horizontal="center" vertical="center" wrapText="1"/>
    </xf>
    <xf numFmtId="164" fontId="7" fillId="14" borderId="1368" xfId="0" applyNumberFormat="1" applyFont="1" applyFill="1" applyBorder="1" applyAlignment="1">
      <alignment horizontal="center" vertical="center" wrapText="1"/>
    </xf>
    <xf numFmtId="49" fontId="0" fillId="0" borderId="1368" xfId="0" applyNumberFormat="1" applyBorder="1" applyProtection="1">
      <protection locked="0"/>
    </xf>
    <xf numFmtId="0" fontId="0" fillId="0" borderId="1368" xfId="0" applyBorder="1" applyAlignment="1" applyProtection="1">
      <alignment horizontal="center"/>
      <protection locked="0"/>
    </xf>
    <xf numFmtId="44" fontId="0" fillId="0" borderId="1368" xfId="0" applyNumberFormat="1" applyBorder="1" applyProtection="1">
      <protection locked="0"/>
    </xf>
    <xf numFmtId="44" fontId="27" fillId="0" borderId="1368" xfId="107" applyNumberFormat="1" applyFill="1" applyBorder="1" applyProtection="1">
      <protection locked="0"/>
    </xf>
    <xf numFmtId="166" fontId="0" fillId="0" borderId="1368" xfId="0" applyNumberFormat="1" applyBorder="1" applyAlignment="1">
      <alignment horizontal="center"/>
    </xf>
    <xf numFmtId="0" fontId="0" fillId="12" borderId="1375" xfId="0" applyFill="1" applyBorder="1" applyAlignment="1">
      <alignment horizontal="center" wrapText="1"/>
    </xf>
    <xf numFmtId="164" fontId="0" fillId="12" borderId="1376" xfId="0" applyNumberFormat="1" applyFill="1" applyBorder="1" applyAlignment="1">
      <alignment horizontal="center" wrapText="1"/>
    </xf>
    <xf numFmtId="164" fontId="0" fillId="12" borderId="1377" xfId="0" applyNumberFormat="1" applyFill="1" applyBorder="1" applyAlignment="1">
      <alignment horizontal="center" wrapText="1"/>
    </xf>
    <xf numFmtId="49" fontId="7" fillId="11" borderId="1368" xfId="0" applyNumberFormat="1" applyFont="1" applyFill="1" applyBorder="1" applyAlignment="1">
      <alignment horizontal="center" vertical="center" wrapText="1"/>
    </xf>
    <xf numFmtId="0" fontId="7" fillId="11" borderId="1368" xfId="0" applyFont="1" applyFill="1" applyBorder="1" applyAlignment="1">
      <alignment horizontal="center" vertical="center" wrapText="1"/>
    </xf>
    <xf numFmtId="164" fontId="7" fillId="10" borderId="1371" xfId="0" applyNumberFormat="1" applyFont="1" applyFill="1" applyBorder="1" applyAlignment="1">
      <alignment horizontal="center" vertical="center" wrapText="1"/>
    </xf>
    <xf numFmtId="165" fontId="7" fillId="10" borderId="1368" xfId="0" applyNumberFormat="1" applyFont="1" applyFill="1" applyBorder="1" applyAlignment="1">
      <alignment horizontal="center" vertical="center" wrapText="1"/>
    </xf>
    <xf numFmtId="165" fontId="7" fillId="11" borderId="1368" xfId="0" applyNumberFormat="1" applyFont="1" applyFill="1" applyBorder="1" applyAlignment="1">
      <alignment horizontal="center" vertical="center" wrapText="1"/>
    </xf>
    <xf numFmtId="164" fontId="7" fillId="2" borderId="1371" xfId="0" applyNumberFormat="1" applyFont="1" applyFill="1" applyBorder="1" applyAlignment="1">
      <alignment horizontal="center" vertical="center" wrapText="1"/>
    </xf>
    <xf numFmtId="165" fontId="7" fillId="15" borderId="1368" xfId="0" applyNumberFormat="1" applyFont="1" applyFill="1" applyBorder="1" applyAlignment="1">
      <alignment horizontal="center" vertical="center" wrapText="1"/>
    </xf>
    <xf numFmtId="165" fontId="7" fillId="14" borderId="1368" xfId="0" applyNumberFormat="1" applyFont="1" applyFill="1" applyBorder="1" applyAlignment="1">
      <alignment horizontal="center" vertical="center" wrapText="1"/>
    </xf>
    <xf numFmtId="8" fontId="7" fillId="10" borderId="1368" xfId="0" applyNumberFormat="1" applyFont="1" applyFill="1" applyBorder="1" applyAlignment="1">
      <alignment horizontal="center" vertical="center" wrapText="1"/>
    </xf>
    <xf numFmtId="8" fontId="7" fillId="14" borderId="1368" xfId="0" applyNumberFormat="1" applyFont="1" applyFill="1" applyBorder="1" applyAlignment="1">
      <alignment horizontal="center" vertical="center" wrapText="1"/>
    </xf>
    <xf numFmtId="8" fontId="7" fillId="18" borderId="1368" xfId="0" applyNumberFormat="1" applyFont="1" applyFill="1" applyBorder="1" applyAlignment="1">
      <alignment horizontal="center" vertical="center" wrapText="1"/>
    </xf>
    <xf numFmtId="8" fontId="7" fillId="13" borderId="1368" xfId="0" applyNumberFormat="1" applyFont="1" applyFill="1" applyBorder="1" applyAlignment="1">
      <alignment horizontal="center" vertical="center" wrapText="1"/>
    </xf>
    <xf numFmtId="8" fontId="7" fillId="16" borderId="1368" xfId="0" applyNumberFormat="1" applyFont="1" applyFill="1" applyBorder="1" applyAlignment="1">
      <alignment horizontal="center" vertical="center" wrapText="1"/>
    </xf>
    <xf numFmtId="2" fontId="0" fillId="0" borderId="1368" xfId="0" applyNumberFormat="1" applyBorder="1" applyProtection="1">
      <protection locked="0"/>
    </xf>
    <xf numFmtId="165" fontId="0" fillId="0" borderId="1368" xfId="0" applyNumberFormat="1" applyBorder="1" applyProtection="1">
      <protection locked="0"/>
    </xf>
    <xf numFmtId="166" fontId="0" fillId="0" borderId="1368" xfId="0" applyNumberFormat="1" applyBorder="1" applyAlignment="1" applyProtection="1">
      <alignment horizontal="center"/>
      <protection locked="0"/>
    </xf>
    <xf numFmtId="166" fontId="0" fillId="0" borderId="1368" xfId="0" applyNumberFormat="1" applyBorder="1" applyProtection="1">
      <protection locked="0"/>
    </xf>
    <xf numFmtId="8" fontId="0" fillId="0" borderId="1368" xfId="0" applyNumberFormat="1" applyBorder="1" applyProtection="1">
      <protection locked="0"/>
    </xf>
    <xf numFmtId="166" fontId="0" fillId="0" borderId="1368" xfId="0" applyNumberFormat="1" applyBorder="1" applyAlignment="1">
      <alignment wrapText="1"/>
    </xf>
    <xf numFmtId="0" fontId="27" fillId="0" borderId="1368" xfId="3496" applyNumberFormat="1" applyFill="1" applyBorder="1" applyProtection="1">
      <protection locked="0"/>
    </xf>
    <xf numFmtId="49" fontId="0" fillId="0" borderId="1368" xfId="0" applyNumberFormat="1" applyBorder="1"/>
    <xf numFmtId="49" fontId="0" fillId="0" borderId="1368" xfId="9" quotePrefix="1" applyNumberFormat="1" applyFont="1" applyFill="1" applyBorder="1"/>
    <xf numFmtId="164" fontId="0" fillId="0" borderId="1368" xfId="9" applyNumberFormat="1" applyFont="1" applyFill="1" applyBorder="1"/>
    <xf numFmtId="49" fontId="0" fillId="0" borderId="1368" xfId="9" applyNumberFormat="1" applyFont="1" applyFill="1" applyBorder="1"/>
    <xf numFmtId="0" fontId="0" fillId="0" borderId="1368" xfId="0" applyBorder="1" applyAlignment="1">
      <alignment horizontal="center"/>
    </xf>
    <xf numFmtId="165" fontId="0" fillId="0" borderId="1368" xfId="0" applyNumberFormat="1" applyBorder="1" applyAlignment="1">
      <alignment horizontal="center"/>
    </xf>
    <xf numFmtId="177" fontId="7" fillId="10" borderId="1368" xfId="0" applyNumberFormat="1" applyFont="1" applyFill="1" applyBorder="1" applyAlignment="1">
      <alignment horizontal="center" vertical="center" wrapText="1"/>
    </xf>
    <xf numFmtId="165" fontId="7" fillId="17" borderId="1368" xfId="0" applyNumberFormat="1" applyFont="1" applyFill="1" applyBorder="1" applyAlignment="1">
      <alignment horizontal="center" vertical="center" wrapText="1"/>
    </xf>
    <xf numFmtId="8" fontId="0" fillId="0" borderId="1368" xfId="44821" applyNumberFormat="1" applyFont="1" applyBorder="1" applyAlignment="1" applyProtection="1">
      <alignment horizontal="center"/>
      <protection locked="0"/>
    </xf>
    <xf numFmtId="164" fontId="7" fillId="5" borderId="1368" xfId="0" applyNumberFormat="1" applyFont="1" applyFill="1" applyBorder="1" applyAlignment="1">
      <alignment vertical="top" wrapText="1"/>
    </xf>
    <xf numFmtId="0" fontId="7" fillId="5" borderId="1368" xfId="0" applyFont="1" applyFill="1" applyBorder="1" applyAlignment="1">
      <alignment vertical="top" wrapText="1"/>
    </xf>
    <xf numFmtId="164" fontId="7" fillId="5" borderId="1368" xfId="0" applyNumberFormat="1" applyFont="1" applyFill="1" applyBorder="1" applyAlignment="1">
      <alignment horizontal="center" vertical="top" wrapText="1"/>
    </xf>
    <xf numFmtId="0" fontId="7" fillId="5" borderId="1368" xfId="0" applyFont="1" applyFill="1" applyBorder="1" applyAlignment="1">
      <alignment horizontal="center" vertical="top" wrapText="1"/>
    </xf>
    <xf numFmtId="164" fontId="7" fillId="5" borderId="1371" xfId="0" applyNumberFormat="1" applyFont="1" applyFill="1" applyBorder="1" applyAlignment="1">
      <alignment horizontal="center" vertical="top" wrapText="1"/>
    </xf>
    <xf numFmtId="165" fontId="7" fillId="5" borderId="1368" xfId="0" applyNumberFormat="1" applyFont="1" applyFill="1" applyBorder="1" applyAlignment="1">
      <alignment horizontal="center" vertical="top" wrapText="1"/>
    </xf>
    <xf numFmtId="165" fontId="7" fillId="9" borderId="1368" xfId="0" applyNumberFormat="1" applyFont="1" applyFill="1" applyBorder="1" applyAlignment="1">
      <alignment horizontal="center" vertical="top" wrapText="1"/>
    </xf>
    <xf numFmtId="165" fontId="7" fillId="6" borderId="1368" xfId="0" applyNumberFormat="1" applyFont="1" applyFill="1" applyBorder="1" applyAlignment="1">
      <alignment horizontal="center" vertical="top" wrapText="1"/>
    </xf>
    <xf numFmtId="165" fontId="7" fillId="7" borderId="1368" xfId="0" applyNumberFormat="1" applyFont="1" applyFill="1" applyBorder="1" applyAlignment="1">
      <alignment horizontal="center" vertical="top" wrapText="1"/>
    </xf>
    <xf numFmtId="165" fontId="7" fillId="8" borderId="1368" xfId="0" applyNumberFormat="1" applyFont="1" applyFill="1" applyBorder="1" applyAlignment="1">
      <alignment horizontal="center" vertical="top" wrapText="1"/>
    </xf>
    <xf numFmtId="8" fontId="7" fillId="5" borderId="1368" xfId="0" applyNumberFormat="1" applyFont="1" applyFill="1" applyBorder="1" applyAlignment="1">
      <alignment horizontal="center" vertical="top" wrapText="1"/>
    </xf>
    <xf numFmtId="49" fontId="6" fillId="0" borderId="1368" xfId="0" applyNumberFormat="1" applyFont="1" applyBorder="1" applyProtection="1">
      <protection locked="0"/>
    </xf>
    <xf numFmtId="0" fontId="6" fillId="0" borderId="1368" xfId="0" applyFont="1" applyBorder="1" applyProtection="1">
      <protection locked="0"/>
    </xf>
    <xf numFmtId="0" fontId="6" fillId="0" borderId="1368" xfId="0" applyFont="1" applyBorder="1" applyAlignment="1">
      <alignment horizontal="center"/>
    </xf>
    <xf numFmtId="166" fontId="6" fillId="0" borderId="1368" xfId="0" applyNumberFormat="1" applyFont="1" applyBorder="1" applyAlignment="1" applyProtection="1">
      <alignment horizontal="center"/>
      <protection locked="0"/>
    </xf>
    <xf numFmtId="166" fontId="6" fillId="0" borderId="1368" xfId="0" applyNumberFormat="1" applyFont="1" applyBorder="1" applyAlignment="1">
      <alignment horizontal="center"/>
    </xf>
    <xf numFmtId="165" fontId="6" fillId="0" borderId="1368" xfId="0" applyNumberFormat="1" applyFont="1" applyBorder="1" applyAlignment="1">
      <alignment horizontal="center"/>
    </xf>
    <xf numFmtId="165" fontId="6" fillId="0" borderId="1368" xfId="0" applyNumberFormat="1" applyFont="1" applyBorder="1" applyProtection="1">
      <protection locked="0"/>
    </xf>
    <xf numFmtId="8" fontId="6" fillId="0" borderId="1368" xfId="0" applyNumberFormat="1" applyFont="1" applyBorder="1" applyProtection="1">
      <protection locked="0"/>
    </xf>
    <xf numFmtId="0" fontId="6" fillId="0" borderId="1368" xfId="0" applyFont="1" applyBorder="1" applyAlignment="1">
      <alignment wrapText="1"/>
    </xf>
    <xf numFmtId="166" fontId="6" fillId="0" borderId="1368" xfId="0" applyNumberFormat="1" applyFont="1" applyBorder="1" applyAlignment="1">
      <alignment wrapText="1"/>
    </xf>
    <xf numFmtId="49" fontId="6" fillId="2" borderId="1368" xfId="0" applyNumberFormat="1" applyFont="1" applyFill="1" applyBorder="1" applyProtection="1">
      <protection locked="0"/>
    </xf>
    <xf numFmtId="0" fontId="6" fillId="0" borderId="1368" xfId="0" applyFont="1" applyBorder="1"/>
    <xf numFmtId="165" fontId="6" fillId="0" borderId="1368" xfId="0" applyNumberFormat="1" applyFont="1" applyBorder="1"/>
    <xf numFmtId="0" fontId="6" fillId="0" borderId="1368" xfId="0" applyFont="1" applyBorder="1" applyAlignment="1">
      <alignment horizontal="left"/>
    </xf>
    <xf numFmtId="8" fontId="6" fillId="0" borderId="1368" xfId="0" applyNumberFormat="1" applyFont="1" applyBorder="1" applyAlignment="1">
      <alignment horizontal="right"/>
    </xf>
    <xf numFmtId="0" fontId="8" fillId="3" borderId="19" xfId="0" applyFont="1" applyFill="1" applyBorder="1" applyAlignment="1">
      <alignment horizontal="center"/>
    </xf>
    <xf numFmtId="0" fontId="8" fillId="3" borderId="20" xfId="0" applyFont="1" applyFill="1" applyBorder="1" applyAlignment="1">
      <alignment horizontal="center"/>
    </xf>
    <xf numFmtId="0" fontId="8" fillId="0" borderId="10" xfId="0" applyFont="1" applyBorder="1" applyAlignment="1">
      <alignment horizontal="center"/>
    </xf>
    <xf numFmtId="0" fontId="8" fillId="0" borderId="11" xfId="0" applyFont="1" applyBorder="1" applyAlignment="1">
      <alignment horizontal="center"/>
    </xf>
    <xf numFmtId="0" fontId="8" fillId="0" borderId="12" xfId="0" applyFont="1" applyBorder="1" applyAlignment="1">
      <alignment horizontal="center"/>
    </xf>
    <xf numFmtId="0" fontId="8" fillId="3" borderId="1" xfId="0" applyFont="1" applyFill="1" applyBorder="1" applyAlignment="1">
      <alignment horizontal="center"/>
    </xf>
  </cellXfs>
  <cellStyles count="44825">
    <cellStyle name="20% - Accent1 10" xfId="44288" xr:uid="{7FC82BFC-2966-46B0-A791-253EBE60A200}"/>
    <cellStyle name="20% - Accent1 11" xfId="44307" xr:uid="{272945A1-B570-4F26-A407-63382CCBA3C2}"/>
    <cellStyle name="20% - Accent1 12" xfId="44193" xr:uid="{8B01076E-5A55-45B8-83EA-C530C7910317}"/>
    <cellStyle name="20% - Accent1 2" xfId="69" xr:uid="{117EBB2F-18F8-4E71-898B-4A67510C0945}"/>
    <cellStyle name="20% - Accent1 2 2" xfId="3319" xr:uid="{D28B3D0C-E5C5-4795-A489-FE91336721F1}"/>
    <cellStyle name="20% - Accent1 2 2 2" xfId="3320" xr:uid="{33E2A9DB-C94D-4E6F-B6CC-D01D9182EA86}"/>
    <cellStyle name="20% - Accent1 2 2 3" xfId="3321" xr:uid="{04B883C2-A028-4B9C-828B-43973045AA80}"/>
    <cellStyle name="20% - Accent1 2 2 4" xfId="3322" xr:uid="{8983829D-06CB-4B2F-9CD7-48E24B1C9659}"/>
    <cellStyle name="20% - Accent1 2 2 5" xfId="3323" xr:uid="{429D2211-422C-40A1-B06F-442E82D60A1F}"/>
    <cellStyle name="20% - Accent1 2 2 6" xfId="3324" xr:uid="{9174A2D3-2582-4C27-B2E3-966D9CAC804A}"/>
    <cellStyle name="20% - Accent1 2 3" xfId="3325" xr:uid="{1F88813C-0878-472B-84FB-B8860A3D5FB0}"/>
    <cellStyle name="20% - Accent1 2 3 2" xfId="3326" xr:uid="{CEA31153-004B-4832-AA0F-651811588BE9}"/>
    <cellStyle name="20% - Accent1 2 3 3" xfId="3327" xr:uid="{335B2BBB-E98C-4B2A-AF25-959303437B8D}"/>
    <cellStyle name="20% - Accent1 2 3 4" xfId="3328" xr:uid="{9D3BF140-40E9-4004-B71C-305F12A2169F}"/>
    <cellStyle name="20% - Accent1 2 4" xfId="3329" xr:uid="{D063533F-C6CD-4D27-92CC-2E0AF1E2CF65}"/>
    <cellStyle name="20% - Accent1 2 5" xfId="3330" xr:uid="{34F38C03-99A0-40FA-B236-F2544C384E21}"/>
    <cellStyle name="20% - Accent1 2 6" xfId="3331" xr:uid="{CD22EBCF-B405-404A-8AC9-88A51DD7B9B3}"/>
    <cellStyle name="20% - Accent1 3" xfId="70" xr:uid="{059D5A31-D5ED-4D5E-8401-FF9BF220C672}"/>
    <cellStyle name="20% - Accent1 3 2" xfId="3332" xr:uid="{52CE4EAB-058F-405B-B2D6-C67F28F3C851}"/>
    <cellStyle name="20% - Accent1 3 2 2" xfId="3333" xr:uid="{B86C32F4-F393-4D21-ACA2-0B3744DF67E8}"/>
    <cellStyle name="20% - Accent1 3 2 2 2" xfId="3334" xr:uid="{6DB21AC3-AF5F-48B6-997E-9968D5B8A7EB}"/>
    <cellStyle name="20% - Accent1 3 2 2 2 2" xfId="12792" xr:uid="{B3891FB6-6C96-49B3-B511-5B67A0547580}"/>
    <cellStyle name="20% - Accent1 3 2 2 3" xfId="3335" xr:uid="{94783D76-A05C-4771-95B8-0AA18565D543}"/>
    <cellStyle name="20% - Accent1 3 2 2 3 2" xfId="12793" xr:uid="{BD996B1B-0C26-4359-9B9D-20B424394D05}"/>
    <cellStyle name="20% - Accent1 3 2 2 4" xfId="12794" xr:uid="{E053B673-4E91-4812-83A9-D96DE1507B1F}"/>
    <cellStyle name="20% - Accent1 3 2 3" xfId="3336" xr:uid="{AACD8D67-00BB-45B8-B480-DF467C4967F7}"/>
    <cellStyle name="20% - Accent1 3 2 4" xfId="3337" xr:uid="{6DA217EE-4B27-412E-8136-ECF4BFACE33A}"/>
    <cellStyle name="20% - Accent1 3 2 4 2" xfId="12795" xr:uid="{75407F73-5A21-4D6A-9539-E455ACB732E9}"/>
    <cellStyle name="20% - Accent1 3 2 5" xfId="3338" xr:uid="{41B66B29-6EE5-4D5E-9488-15053EF8617A}"/>
    <cellStyle name="20% - Accent1 3 2 6" xfId="12796" xr:uid="{4C4EACC8-4508-4212-8373-C463D9621064}"/>
    <cellStyle name="20% - Accent1 3 3" xfId="3339" xr:uid="{8012CC57-F981-469B-B040-DD464DCD161B}"/>
    <cellStyle name="20% - Accent1 3 3 2" xfId="3340" xr:uid="{E4FD91B7-A593-447B-A315-C5B28467A63E}"/>
    <cellStyle name="20% - Accent1 3 3 2 2" xfId="3341" xr:uid="{1712354F-5402-42E0-8394-DD2DD59151AE}"/>
    <cellStyle name="20% - Accent1 3 3 2 2 2" xfId="12797" xr:uid="{D915082F-3A13-4F6D-8F3C-DD8BA244A1DC}"/>
    <cellStyle name="20% - Accent1 3 3 2 3" xfId="12798" xr:uid="{5D436E87-0C1B-4B81-998F-9697449803F4}"/>
    <cellStyle name="20% - Accent1 3 3 3" xfId="3342" xr:uid="{62D0F2E2-3560-49AC-8062-40F4DD921904}"/>
    <cellStyle name="20% - Accent1 3 3 3 2" xfId="12799" xr:uid="{30EB15A7-C223-4EA5-8580-155E79DF4C63}"/>
    <cellStyle name="20% - Accent1 3 3 4" xfId="3343" xr:uid="{CBD9A13E-E602-40DC-833F-1D88F0730070}"/>
    <cellStyle name="20% - Accent1 3 3 4 2" xfId="12800" xr:uid="{A385B2F8-777D-4305-81D1-BC3B2EB93BB2}"/>
    <cellStyle name="20% - Accent1 3 3 5" xfId="12801" xr:uid="{FC07E545-8295-4F53-8173-D4AE04BED810}"/>
    <cellStyle name="20% - Accent1 3 4" xfId="3344" xr:uid="{E8F31D32-C3D1-4E24-A365-9882E7556476}"/>
    <cellStyle name="20% - Accent1 3 4 2" xfId="3345" xr:uid="{43B74A73-D7CA-4655-BB61-FB5999203BAE}"/>
    <cellStyle name="20% - Accent1 3 4 2 2" xfId="12802" xr:uid="{2ECBDCC3-655E-4A0C-855F-2F11C6AA344A}"/>
    <cellStyle name="20% - Accent1 3 4 3" xfId="3346" xr:uid="{7A8EFC64-3EFE-499A-8AF2-E29945CC62AB}"/>
    <cellStyle name="20% - Accent1 3 4 3 2" xfId="12803" xr:uid="{8F0DA853-485C-4610-949C-BBE2D8E95319}"/>
    <cellStyle name="20% - Accent1 3 4 4" xfId="12804" xr:uid="{32311A56-4D52-48C4-9BE0-56BA3D55350E}"/>
    <cellStyle name="20% - Accent1 3 5" xfId="3347" xr:uid="{0E15CA18-5D03-4085-9D4F-43B1C5E608EF}"/>
    <cellStyle name="20% - Accent1 3 5 2" xfId="3348" xr:uid="{345E6495-44F8-4934-98D0-0CA1DD079DEE}"/>
    <cellStyle name="20% - Accent1 3 5 2 2" xfId="12805" xr:uid="{AC38CA69-2F13-46C9-BCC9-374997994DD5}"/>
    <cellStyle name="20% - Accent1 3 5 3" xfId="3349" xr:uid="{358066AB-66AB-4D49-A230-3E4B325E6BB5}"/>
    <cellStyle name="20% - Accent1 3 5 4" xfId="12806" xr:uid="{C6A2FC81-C611-4D16-86B6-FF2EA81AA5BB}"/>
    <cellStyle name="20% - Accent1 3 6" xfId="3350" xr:uid="{3B2D99FA-A4F4-4D22-9B6B-7B2FBC47AC4D}"/>
    <cellStyle name="20% - Accent1 3 6 2" xfId="12807" xr:uid="{E60C5D31-D7A4-4F8C-BAED-9C20825DDD6F}"/>
    <cellStyle name="20% - Accent1 3 7" xfId="3351" xr:uid="{112D400C-B3F5-4C82-861B-C87F76690AAD}"/>
    <cellStyle name="20% - Accent1 3 8" xfId="3352" xr:uid="{315E8AEB-A5B0-47B0-8152-3357BA1DEE71}"/>
    <cellStyle name="20% - Accent1 3 8 2" xfId="12808" xr:uid="{13CF33C4-1D45-4808-81AF-A210EDC9C7EA}"/>
    <cellStyle name="20% - Accent1 4" xfId="3353" xr:uid="{45D1C799-97D3-4CBE-8394-9B7F07BEA345}"/>
    <cellStyle name="20% - Accent1 5" xfId="3354" xr:uid="{EFAA5AD2-05A9-414E-AEB8-75C17590EF3B}"/>
    <cellStyle name="20% - Accent1 6" xfId="3355" xr:uid="{3BC9A548-D2B1-45DD-8AA8-35759485AEE4}"/>
    <cellStyle name="20% - Accent1 7" xfId="3356" xr:uid="{B31AB97D-D586-4220-8482-7DA7D74BCED1}"/>
    <cellStyle name="20% - Accent1 8" xfId="44240" xr:uid="{04F2B1A7-09B3-449C-BFD7-92D61FCB6E53}"/>
    <cellStyle name="20% - Accent1 9" xfId="44273" xr:uid="{ED237C82-F52C-49BC-89D9-7FFB1A21B69C}"/>
    <cellStyle name="20% - Accent2 10" xfId="44219" xr:uid="{A1374987-BD4B-4E3F-A92E-F2AF56A3C2EE}"/>
    <cellStyle name="20% - Accent2 2" xfId="71" xr:uid="{FDA0FEE0-8B15-430F-9E69-FE557D3DF1FB}"/>
    <cellStyle name="20% - Accent2 2 2" xfId="3357" xr:uid="{EA3C9C0F-8705-4D8B-BA26-1AE237C21A4E}"/>
    <cellStyle name="20% - Accent2 2 2 2" xfId="3358" xr:uid="{8B4D375F-6C34-4541-9E9A-4EF76FC5EB8D}"/>
    <cellStyle name="20% - Accent2 2 2 3" xfId="3359" xr:uid="{6AEA117B-303E-44C2-8679-8C3D5B21F7C5}"/>
    <cellStyle name="20% - Accent2 2 2 4" xfId="3360" xr:uid="{B3038F18-5986-46F7-A7F6-8F56EEBC67C7}"/>
    <cellStyle name="20% - Accent2 2 2 5" xfId="3361" xr:uid="{7B70F9C4-CA45-4F93-AF62-A98D591EDD42}"/>
    <cellStyle name="20% - Accent2 2 2 6" xfId="3362" xr:uid="{346DFCD4-4E27-4374-9D6E-1368F3CDDA51}"/>
    <cellStyle name="20% - Accent2 2 3" xfId="3363" xr:uid="{9A17F4D0-3078-4427-B9C0-94063A745EE5}"/>
    <cellStyle name="20% - Accent2 2 3 2" xfId="3364" xr:uid="{23934A95-63F5-4681-B144-1C02434A41DC}"/>
    <cellStyle name="20% - Accent2 2 3 3" xfId="3365" xr:uid="{F5594F75-8732-4CE4-810B-53D7BC4BACED}"/>
    <cellStyle name="20% - Accent2 2 3 4" xfId="3366" xr:uid="{BD72A86D-39DD-4B97-BA9A-CFBB05A9EC32}"/>
    <cellStyle name="20% - Accent2 2 4" xfId="3367" xr:uid="{732E58AE-8C2F-4CF5-A2C7-AEAF164F6BB2}"/>
    <cellStyle name="20% - Accent2 2 5" xfId="3368" xr:uid="{D110BEF3-9692-4583-8C54-838DB2DDD5F8}"/>
    <cellStyle name="20% - Accent2 2 6" xfId="3369" xr:uid="{32814B2B-8993-4C71-B305-5E1BB538ED17}"/>
    <cellStyle name="20% - Accent2 3" xfId="72" xr:uid="{6CFADD28-3B87-43DC-9B55-0CC61391C8C7}"/>
    <cellStyle name="20% - Accent2 3 2" xfId="3370" xr:uid="{B3693E8D-C41A-4FA5-9E4A-A5830EA0D9B9}"/>
    <cellStyle name="20% - Accent2 3 2 2" xfId="3371" xr:uid="{F7D133A2-4BE9-43B9-975E-DCDC99420605}"/>
    <cellStyle name="20% - Accent2 3 2 2 2" xfId="3372" xr:uid="{5D8802CB-6FAE-4C45-9C64-D32CA8A731DF}"/>
    <cellStyle name="20% - Accent2 3 2 2 2 2" xfId="12809" xr:uid="{6B66BCE5-9EF9-4906-88FF-9F19C0759A39}"/>
    <cellStyle name="20% - Accent2 3 2 2 3" xfId="3373" xr:uid="{DDC513DF-DD71-4569-861C-39DFB91C32EF}"/>
    <cellStyle name="20% - Accent2 3 2 2 3 2" xfId="12810" xr:uid="{03A55EAE-20BB-435E-B31B-16A208DF48FE}"/>
    <cellStyle name="20% - Accent2 3 2 2 4" xfId="12811" xr:uid="{69B5B235-35DE-41A7-9CDA-9214519550F6}"/>
    <cellStyle name="20% - Accent2 3 2 3" xfId="3374" xr:uid="{6288C935-EDB4-48FC-ADE4-4812C85CF705}"/>
    <cellStyle name="20% - Accent2 3 2 4" xfId="3375" xr:uid="{ECB02269-5F98-472A-BC3A-EFD71FA8D5B4}"/>
    <cellStyle name="20% - Accent2 3 2 4 2" xfId="12812" xr:uid="{6938F068-0834-4BEE-B773-B9673BD6FDF2}"/>
    <cellStyle name="20% - Accent2 3 2 5" xfId="3376" xr:uid="{B580ED71-2FB3-427A-B847-65A83F43CB27}"/>
    <cellStyle name="20% - Accent2 3 2 6" xfId="12813" xr:uid="{6CD82366-6EAF-4BDB-B472-95E1A7F59C37}"/>
    <cellStyle name="20% - Accent2 3 3" xfId="3377" xr:uid="{9606D1A9-86F3-470A-B1FD-94D951B99B67}"/>
    <cellStyle name="20% - Accent2 3 3 2" xfId="3378" xr:uid="{2B545B66-7CC5-4C49-A98D-6F744FBCB07B}"/>
    <cellStyle name="20% - Accent2 3 3 2 2" xfId="3379" xr:uid="{0AB42EFB-8D6F-4E16-987B-61FE18518BC5}"/>
    <cellStyle name="20% - Accent2 3 3 2 2 2" xfId="12814" xr:uid="{00F86291-94EE-4798-9F0A-2F6F417F1BE1}"/>
    <cellStyle name="20% - Accent2 3 3 2 3" xfId="12815" xr:uid="{3B9EEDB4-0CB2-43D6-8EF2-B1BCEFCE46D9}"/>
    <cellStyle name="20% - Accent2 3 3 3" xfId="3380" xr:uid="{4F8E7C1C-35A9-490E-892D-531A177D1361}"/>
    <cellStyle name="20% - Accent2 3 3 3 2" xfId="12816" xr:uid="{371C0C5A-6189-47F2-959A-2385E1B92D48}"/>
    <cellStyle name="20% - Accent2 3 3 4" xfId="3381" xr:uid="{0D6722B8-F4C5-4489-B530-BBC6A8D52885}"/>
    <cellStyle name="20% - Accent2 3 3 4 2" xfId="12817" xr:uid="{DB93D331-64A4-42AA-85B7-CB78EA9E716B}"/>
    <cellStyle name="20% - Accent2 3 3 5" xfId="12818" xr:uid="{DB17D066-D9EB-45CB-A72E-888CA3738151}"/>
    <cellStyle name="20% - Accent2 3 4" xfId="3382" xr:uid="{BF90F502-6355-408C-BD64-9B514E1E13A2}"/>
    <cellStyle name="20% - Accent2 3 4 2" xfId="3383" xr:uid="{436C21B8-3489-4F67-93B2-72EF9B1EC89E}"/>
    <cellStyle name="20% - Accent2 3 4 2 2" xfId="12819" xr:uid="{0DF99E41-DCD0-43B0-8090-995925E4926B}"/>
    <cellStyle name="20% - Accent2 3 4 3" xfId="3384" xr:uid="{E8C24F56-0BCF-4CE0-A5B2-683C8297D2C1}"/>
    <cellStyle name="20% - Accent2 3 4 3 2" xfId="12820" xr:uid="{E067CC7B-9364-42A8-B10E-D314074651E1}"/>
    <cellStyle name="20% - Accent2 3 4 4" xfId="12821" xr:uid="{4DFBF7D4-F29B-45A4-A8CE-FEAA7A839322}"/>
    <cellStyle name="20% - Accent2 3 5" xfId="3385" xr:uid="{6DC41F57-40EC-45CC-BA61-484F7D1BCFC4}"/>
    <cellStyle name="20% - Accent2 3 5 2" xfId="3386" xr:uid="{D9C0C528-AB6B-402C-BEA5-0A29FBD8F226}"/>
    <cellStyle name="20% - Accent2 3 5 2 2" xfId="12822" xr:uid="{E6CE4C17-0BBB-41AD-AC3B-6F300DF2FEB9}"/>
    <cellStyle name="20% - Accent2 3 5 3" xfId="3387" xr:uid="{4C404F0B-D3B0-4FC9-B6B2-D8F341706D85}"/>
    <cellStyle name="20% - Accent2 3 5 4" xfId="12823" xr:uid="{60F378E0-FA1B-4EAF-88B0-4082EAE627C3}"/>
    <cellStyle name="20% - Accent2 3 6" xfId="3388" xr:uid="{B992D0DD-3A9B-48FA-AE03-6B9FC93E9099}"/>
    <cellStyle name="20% - Accent2 3 6 2" xfId="12824" xr:uid="{2BE9984C-B096-4450-BA0B-F6384450A799}"/>
    <cellStyle name="20% - Accent2 3 7" xfId="3389" xr:uid="{5FC618B2-EA70-453D-8D77-C7373315E449}"/>
    <cellStyle name="20% - Accent2 3 8" xfId="3390" xr:uid="{F452C693-060B-4CAC-9DB3-B796FB4011A0}"/>
    <cellStyle name="20% - Accent2 3 8 2" xfId="12825" xr:uid="{8A2AF476-A3B1-479C-988C-4FBD07D154DC}"/>
    <cellStyle name="20% - Accent2 4" xfId="3391" xr:uid="{91F03BED-51FB-40FB-8735-DCB47FDA7306}"/>
    <cellStyle name="20% - Accent2 5" xfId="3392" xr:uid="{6E8A853B-D541-4857-984F-2414B04472D1}"/>
    <cellStyle name="20% - Accent2 6" xfId="3393" xr:uid="{01F9B18B-818D-4652-A0BD-4931C0A351BD}"/>
    <cellStyle name="20% - Accent2 7" xfId="44275" xr:uid="{7AFE758E-9409-4791-A29A-1AB929FC3DFC}"/>
    <cellStyle name="20% - Accent2 8" xfId="44290" xr:uid="{3C3BDD53-E5D3-4E4B-B517-A80AD2871476}"/>
    <cellStyle name="20% - Accent2 9" xfId="44309" xr:uid="{4B120760-4991-42AB-8D79-5C7D933700D4}"/>
    <cellStyle name="20% - Accent3 10" xfId="44223" xr:uid="{E6CFF329-9C44-416E-A039-5C200FE50585}"/>
    <cellStyle name="20% - Accent3 2" xfId="73" xr:uid="{B1795782-EF05-4E4F-A30D-ACA396E9040D}"/>
    <cellStyle name="20% - Accent3 2 2" xfId="3394" xr:uid="{0C63EAD3-8A2E-443B-B328-C834D2F4FBB8}"/>
    <cellStyle name="20% - Accent3 2 2 2" xfId="3395" xr:uid="{8E79B550-F272-4E2E-BDF9-14BE74E56EC0}"/>
    <cellStyle name="20% - Accent3 2 2 3" xfId="3396" xr:uid="{D80D15C0-E84E-45C5-8E43-8058D234EED4}"/>
    <cellStyle name="20% - Accent3 2 2 4" xfId="3397" xr:uid="{8A963F13-B98F-4668-8830-5BA5DB37683C}"/>
    <cellStyle name="20% - Accent3 2 2 5" xfId="3398" xr:uid="{F51103F2-D45F-44DD-9233-266B8D081F94}"/>
    <cellStyle name="20% - Accent3 2 2 6" xfId="3399" xr:uid="{DD7390BF-4045-4C60-B817-4F8BF49ACD8B}"/>
    <cellStyle name="20% - Accent3 2 3" xfId="3400" xr:uid="{D492552B-6CEE-4793-813E-C8FA884A8B60}"/>
    <cellStyle name="20% - Accent3 2 3 2" xfId="3401" xr:uid="{6057AE81-4C6E-4F45-86F2-85AA789E1B8A}"/>
    <cellStyle name="20% - Accent3 2 3 3" xfId="3402" xr:uid="{8CDF00C9-C582-400F-AA84-DB97C53F0E7A}"/>
    <cellStyle name="20% - Accent3 2 3 4" xfId="3403" xr:uid="{900A19B2-04C9-44EF-94D8-0A58BB9D2416}"/>
    <cellStyle name="20% - Accent3 2 4" xfId="3404" xr:uid="{2E99EB3F-AAC7-4E01-BE50-2154E28C1895}"/>
    <cellStyle name="20% - Accent3 2 5" xfId="3405" xr:uid="{F0BCE90F-BD30-44D3-BE8F-E6D4CFDF927B}"/>
    <cellStyle name="20% - Accent3 2 6" xfId="3406" xr:uid="{695ACBAF-EA7F-4034-B7B4-4888AD63BBF7}"/>
    <cellStyle name="20% - Accent3 3" xfId="74" xr:uid="{C66AEDB1-0A9D-4D48-8B3A-DD8674C12232}"/>
    <cellStyle name="20% - Accent3 3 2" xfId="3407" xr:uid="{E7019967-FBC9-48CE-A19A-5F0291D44A98}"/>
    <cellStyle name="20% - Accent3 3 2 2" xfId="3408" xr:uid="{22471EAE-18B1-4CC2-8BCC-D90DF852FE0B}"/>
    <cellStyle name="20% - Accent3 3 2 2 2" xfId="3409" xr:uid="{31A616F3-CB8A-4200-A4F4-47D39BECC297}"/>
    <cellStyle name="20% - Accent3 3 2 2 2 2" xfId="12826" xr:uid="{7668EACE-8A73-4131-BD55-5E0A76C98B56}"/>
    <cellStyle name="20% - Accent3 3 2 2 3" xfId="3410" xr:uid="{35039D41-8D35-4FFB-9CE6-BA4D1DBB25FF}"/>
    <cellStyle name="20% - Accent3 3 2 2 3 2" xfId="12827" xr:uid="{8E629CCF-61C7-459A-B8BD-19ACEDD56379}"/>
    <cellStyle name="20% - Accent3 3 2 2 4" xfId="12828" xr:uid="{7A98DAAE-7492-4C0C-9D5F-C0B8D2564D9A}"/>
    <cellStyle name="20% - Accent3 3 2 3" xfId="3411" xr:uid="{C4E51F32-90EE-4562-9958-A281515EBFEE}"/>
    <cellStyle name="20% - Accent3 3 2 4" xfId="3412" xr:uid="{B7B8D3E9-C3C9-454D-B482-AB8FE12CB59F}"/>
    <cellStyle name="20% - Accent3 3 2 4 2" xfId="12829" xr:uid="{60814618-DEA4-42C1-A8A6-03240C4FF98D}"/>
    <cellStyle name="20% - Accent3 3 2 5" xfId="3413" xr:uid="{36234C7A-580A-4052-8B4E-14379F7BA01A}"/>
    <cellStyle name="20% - Accent3 3 2 6" xfId="12830" xr:uid="{961D2525-7342-4BD6-BCEE-42AEECACE531}"/>
    <cellStyle name="20% - Accent3 3 3" xfId="3414" xr:uid="{A7B062D5-E924-4CD6-8688-6815894F70E1}"/>
    <cellStyle name="20% - Accent3 3 3 2" xfId="3415" xr:uid="{52DCA981-67BF-4CDA-BD9B-03E4B6327E8A}"/>
    <cellStyle name="20% - Accent3 3 3 2 2" xfId="3416" xr:uid="{A32827E3-F269-4953-BAC3-1D7C0F4C63CE}"/>
    <cellStyle name="20% - Accent3 3 3 2 2 2" xfId="12831" xr:uid="{233FA649-C54E-4F50-ACB5-4FE413B1271A}"/>
    <cellStyle name="20% - Accent3 3 3 2 3" xfId="12832" xr:uid="{4ADAA5FF-05D8-404D-9AE5-37C9D864A1D4}"/>
    <cellStyle name="20% - Accent3 3 3 3" xfId="3417" xr:uid="{12E15CA8-F78D-4969-86A1-194281D03DCA}"/>
    <cellStyle name="20% - Accent3 3 3 3 2" xfId="12833" xr:uid="{0E62F3EA-0B99-4C4C-BEA3-10E3CC8DFA7F}"/>
    <cellStyle name="20% - Accent3 3 3 4" xfId="3418" xr:uid="{DFF99044-B77F-404E-A22D-CBD000DB2BDF}"/>
    <cellStyle name="20% - Accent3 3 3 4 2" xfId="12834" xr:uid="{0115FC13-2B56-4E6C-9FE8-8DFB884FA54F}"/>
    <cellStyle name="20% - Accent3 3 3 5" xfId="12835" xr:uid="{EC7DC5A1-4BCA-4F0C-8F4C-B8F80F352555}"/>
    <cellStyle name="20% - Accent3 3 4" xfId="3419" xr:uid="{A692AD39-D79D-453C-9D5D-247A963D2BCF}"/>
    <cellStyle name="20% - Accent3 3 4 2" xfId="3420" xr:uid="{D7613095-E696-46D6-AE41-2DCB7ACCD9E0}"/>
    <cellStyle name="20% - Accent3 3 4 2 2" xfId="12836" xr:uid="{0BC02710-B305-43E0-98C4-A7AEAAED8E75}"/>
    <cellStyle name="20% - Accent3 3 4 3" xfId="3421" xr:uid="{D5BA0768-7748-455F-A2B1-74B3BAA85659}"/>
    <cellStyle name="20% - Accent3 3 4 3 2" xfId="12837" xr:uid="{725A179D-9F9E-4C99-9960-15BDEA827EF5}"/>
    <cellStyle name="20% - Accent3 3 4 4" xfId="12838" xr:uid="{F815E641-9673-4EF4-BB00-DDCD9489828F}"/>
    <cellStyle name="20% - Accent3 3 5" xfId="3422" xr:uid="{07C535CF-3AFE-4437-82D9-4A9464C352D4}"/>
    <cellStyle name="20% - Accent3 3 5 2" xfId="3423" xr:uid="{502A8040-8D0A-44B6-BC26-BD662166E0D2}"/>
    <cellStyle name="20% - Accent3 3 5 2 2" xfId="12839" xr:uid="{EFADFFFB-7908-4CD6-9465-28351504B188}"/>
    <cellStyle name="20% - Accent3 3 5 3" xfId="3424" xr:uid="{C21FE143-5C3D-42D4-AE4B-D215EBB3F43E}"/>
    <cellStyle name="20% - Accent3 3 5 4" xfId="12840" xr:uid="{22C8E0A4-7F96-47F1-814C-8257674F97D4}"/>
    <cellStyle name="20% - Accent3 3 6" xfId="3425" xr:uid="{F24DD6EF-0E44-4A10-8CDF-BF814EC518DB}"/>
    <cellStyle name="20% - Accent3 3 6 2" xfId="12841" xr:uid="{2DE05258-84CF-41D3-A2F5-7193092ECF03}"/>
    <cellStyle name="20% - Accent3 3 7" xfId="3426" xr:uid="{8B53FBCB-BD38-424B-B65B-D7CF605B10F5}"/>
    <cellStyle name="20% - Accent3 3 8" xfId="3427" xr:uid="{107F6357-B648-4A64-8F0E-E153B14F8AF9}"/>
    <cellStyle name="20% - Accent3 3 8 2" xfId="12842" xr:uid="{F6F2283F-D6E4-4D47-AC8C-1E2D0D89AA34}"/>
    <cellStyle name="20% - Accent3 4" xfId="3428" xr:uid="{3E023012-5A64-4938-99CF-1A6F93826336}"/>
    <cellStyle name="20% - Accent3 5" xfId="3429" xr:uid="{700626B5-3FA3-402B-8B39-607345750E85}"/>
    <cellStyle name="20% - Accent3 6" xfId="3430" xr:uid="{BA2C3E57-D4AD-4C01-BD7E-D9C88972FD65}"/>
    <cellStyle name="20% - Accent3 7" xfId="44277" xr:uid="{6029445F-BF84-437B-B9DF-5C4CD873973E}"/>
    <cellStyle name="20% - Accent3 8" xfId="44292" xr:uid="{1AECE697-2AF5-4734-8C4E-C0405AA0BEC6}"/>
    <cellStyle name="20% - Accent3 9" xfId="44311" xr:uid="{FB881ADD-3357-45E2-9899-88C63564F679}"/>
    <cellStyle name="20% - Accent4 10" xfId="44227" xr:uid="{97BB35D7-30C3-4617-9D57-4EDC12075115}"/>
    <cellStyle name="20% - Accent4 2" xfId="75" xr:uid="{41A13EEA-3755-436C-B872-DFE492844A04}"/>
    <cellStyle name="20% - Accent4 2 2" xfId="3431" xr:uid="{79987B36-C3E9-4452-8B08-6FB60F8C4E48}"/>
    <cellStyle name="20% - Accent4 2 2 2" xfId="3432" xr:uid="{BE5C859B-AD47-4E71-BAC2-38048DC73870}"/>
    <cellStyle name="20% - Accent4 2 2 3" xfId="3433" xr:uid="{2B9FBFD2-C04B-40F1-A387-85901BE125EF}"/>
    <cellStyle name="20% - Accent4 2 2 4" xfId="3434" xr:uid="{3D362927-5362-454D-A642-CC82504AD038}"/>
    <cellStyle name="20% - Accent4 2 2 5" xfId="3435" xr:uid="{58CEAD25-E6D2-429C-B9A9-C46679F5E332}"/>
    <cellStyle name="20% - Accent4 2 2 6" xfId="3436" xr:uid="{D8B54081-6E94-4AF6-BFC4-83607A171B76}"/>
    <cellStyle name="20% - Accent4 2 3" xfId="3437" xr:uid="{D1AAACA4-5513-44DA-9399-2D53854BDC0E}"/>
    <cellStyle name="20% - Accent4 2 3 2" xfId="3438" xr:uid="{3E4540BA-AFB9-49A4-8A02-79274EEC31F3}"/>
    <cellStyle name="20% - Accent4 2 3 3" xfId="3439" xr:uid="{F8E430A7-9B8F-4778-88E7-916ADC2D2D01}"/>
    <cellStyle name="20% - Accent4 2 3 4" xfId="3440" xr:uid="{B14A3BD3-D481-4BC2-9516-89C1F70E154A}"/>
    <cellStyle name="20% - Accent4 2 4" xfId="3441" xr:uid="{ADC2A18A-CCA2-4F6B-870E-18E46B8789D7}"/>
    <cellStyle name="20% - Accent4 2 5" xfId="3442" xr:uid="{56DC76FF-2519-478B-8C81-7BE597346626}"/>
    <cellStyle name="20% - Accent4 2 6" xfId="3443" xr:uid="{FCAB1FAD-C5D7-465D-9B64-F6BDBB741E0F}"/>
    <cellStyle name="20% - Accent4 3" xfId="76" xr:uid="{065A1DFD-454D-4720-939C-03E1DC9C9106}"/>
    <cellStyle name="20% - Accent4 3 2" xfId="3444" xr:uid="{7AB36E96-DE8F-4AA6-B09B-CE0C8DEBDE51}"/>
    <cellStyle name="20% - Accent4 3 2 2" xfId="3445" xr:uid="{69494172-AA48-41CB-BB7A-7F49C3F9CD1B}"/>
    <cellStyle name="20% - Accent4 3 2 2 2" xfId="3446" xr:uid="{2261B440-516E-476C-BF0F-0B4ECAEF56A1}"/>
    <cellStyle name="20% - Accent4 3 2 2 2 2" xfId="12843" xr:uid="{880ED8FA-C6B6-484A-A3B4-094268B0F3E6}"/>
    <cellStyle name="20% - Accent4 3 2 2 3" xfId="3447" xr:uid="{13811635-6C3C-4F78-9252-8FDC00DB01E3}"/>
    <cellStyle name="20% - Accent4 3 2 2 3 2" xfId="12844" xr:uid="{FF039119-0E55-4B5D-95BD-146973BC9CD9}"/>
    <cellStyle name="20% - Accent4 3 2 2 4" xfId="12845" xr:uid="{26599372-02D1-4138-9DD3-54584F181F12}"/>
    <cellStyle name="20% - Accent4 3 2 3" xfId="3448" xr:uid="{FD6F1159-B827-4522-9D4D-581B227A1C5E}"/>
    <cellStyle name="20% - Accent4 3 2 4" xfId="3449" xr:uid="{68A02A01-83C4-4E8F-8EBB-5AF438C39DB5}"/>
    <cellStyle name="20% - Accent4 3 2 4 2" xfId="12846" xr:uid="{47E78BC0-AD10-40BD-B512-5617FF438151}"/>
    <cellStyle name="20% - Accent4 3 2 5" xfId="3450" xr:uid="{79B724BA-075D-47FE-A3E5-072D596E380B}"/>
    <cellStyle name="20% - Accent4 3 2 6" xfId="12847" xr:uid="{6B695C29-6811-47EB-B846-BC67E1523C66}"/>
    <cellStyle name="20% - Accent4 3 3" xfId="3451" xr:uid="{81A9B4FE-494E-4A6B-8863-0F06FB41693C}"/>
    <cellStyle name="20% - Accent4 3 3 2" xfId="3452" xr:uid="{DCFD9A05-A175-402B-B845-6CC67162EB2C}"/>
    <cellStyle name="20% - Accent4 3 3 2 2" xfId="3453" xr:uid="{A9E70BAB-C85C-4834-A782-C399E7FE4F91}"/>
    <cellStyle name="20% - Accent4 3 3 2 2 2" xfId="12848" xr:uid="{4A736B56-AA02-4502-B22F-8CA78D9DCF7E}"/>
    <cellStyle name="20% - Accent4 3 3 2 3" xfId="12849" xr:uid="{94576026-F4FA-4E40-8AE1-8D03683EDDA1}"/>
    <cellStyle name="20% - Accent4 3 3 3" xfId="3454" xr:uid="{9E610E7B-EDF8-4F1E-B620-10E8A72B5F80}"/>
    <cellStyle name="20% - Accent4 3 3 3 2" xfId="12850" xr:uid="{A771BBF9-E3CA-4214-B689-BCDA3D5B6108}"/>
    <cellStyle name="20% - Accent4 3 3 4" xfId="3455" xr:uid="{3A397F03-D92F-44ED-8CD2-5C1039510178}"/>
    <cellStyle name="20% - Accent4 3 3 4 2" xfId="12851" xr:uid="{D59E2075-9B2D-41C0-9468-12B7B600D6DA}"/>
    <cellStyle name="20% - Accent4 3 3 5" xfId="12852" xr:uid="{9730CC05-6418-42EB-AAE6-2658AA6903DF}"/>
    <cellStyle name="20% - Accent4 3 4" xfId="3456" xr:uid="{C3F5D8B9-9687-47B7-A59D-7DEB5B772D18}"/>
    <cellStyle name="20% - Accent4 3 4 2" xfId="3457" xr:uid="{58D7E4B4-540D-4881-B774-67287060096C}"/>
    <cellStyle name="20% - Accent4 3 4 2 2" xfId="12853" xr:uid="{E46E2843-FC19-4F87-AD2C-F4D64EEE40A9}"/>
    <cellStyle name="20% - Accent4 3 4 3" xfId="3458" xr:uid="{E03A0368-82CA-4EF0-A177-A9FC78DF632E}"/>
    <cellStyle name="20% - Accent4 3 4 3 2" xfId="12854" xr:uid="{632A0C31-23BA-4760-98A3-1C0B7A941228}"/>
    <cellStyle name="20% - Accent4 3 4 4" xfId="12855" xr:uid="{05AE626C-4441-4012-B046-DFBF4A1E9396}"/>
    <cellStyle name="20% - Accent4 3 5" xfId="3459" xr:uid="{C6A35E5C-FEC7-4090-8E44-BC3AB5E06BCC}"/>
    <cellStyle name="20% - Accent4 3 5 2" xfId="3460" xr:uid="{905995AC-EAEB-468F-A539-5FD8B2E825A1}"/>
    <cellStyle name="20% - Accent4 3 5 2 2" xfId="12856" xr:uid="{7E6EA109-8E3F-448A-9631-748227404B99}"/>
    <cellStyle name="20% - Accent4 3 5 3" xfId="3461" xr:uid="{228E64F5-6A56-481F-91D3-1820D299EFF4}"/>
    <cellStyle name="20% - Accent4 3 5 4" xfId="12857" xr:uid="{9CAB6A04-72DA-4E05-A01F-EA70B41B24B6}"/>
    <cellStyle name="20% - Accent4 3 6" xfId="3462" xr:uid="{5AB8A3EC-65F9-4C6C-BDD1-6370895FB7A7}"/>
    <cellStyle name="20% - Accent4 3 6 2" xfId="12858" xr:uid="{59061620-458A-49F5-8A58-CD47F5FB9154}"/>
    <cellStyle name="20% - Accent4 3 7" xfId="3463" xr:uid="{AD13B429-E995-42BC-A0AC-9E1670AC1B11}"/>
    <cellStyle name="20% - Accent4 3 8" xfId="3464" xr:uid="{1742043C-6881-437B-9618-2A3D48C49F59}"/>
    <cellStyle name="20% - Accent4 3 8 2" xfId="12859" xr:uid="{7F6ECC0E-065D-47A3-AA15-8258BD8D4376}"/>
    <cellStyle name="20% - Accent4 4" xfId="3465" xr:uid="{44590384-1690-4C98-A883-E0E8BDD020BA}"/>
    <cellStyle name="20% - Accent4 5" xfId="3466" xr:uid="{EF579FF9-B419-4A8A-B50A-B1EC240082F8}"/>
    <cellStyle name="20% - Accent4 6" xfId="3467" xr:uid="{DFB67710-DB08-4154-9BDF-2071BF0413BA}"/>
    <cellStyle name="20% - Accent4 7" xfId="44279" xr:uid="{3199C1B1-AF48-4DFD-A79B-E3FDC531A444}"/>
    <cellStyle name="20% - Accent4 8" xfId="44294" xr:uid="{CA0BEFF6-DFAF-4ACE-99FF-E357C82E1934}"/>
    <cellStyle name="20% - Accent4 9" xfId="44313" xr:uid="{8F9FD58F-CFB3-408C-AD95-531467E796D0}"/>
    <cellStyle name="20% - Accent5 2" xfId="77" xr:uid="{6FCF2A82-17FC-4A76-9862-14F6E6FB57AD}"/>
    <cellStyle name="20% - Accent5 2 2" xfId="3468" xr:uid="{1E53F376-1715-48C4-A940-AE2E063CD0AD}"/>
    <cellStyle name="20% - Accent5 2 2 2" xfId="3469" xr:uid="{E9D34F6A-7ABB-4B3A-9096-212C7945E69A}"/>
    <cellStyle name="20% - Accent5 2 3" xfId="3470" xr:uid="{376C433D-35B7-4AA4-B2BF-2645DDFF378C}"/>
    <cellStyle name="20% - Accent5 2 4" xfId="3471" xr:uid="{832479A3-61B9-430F-A002-395E7FBC511C}"/>
    <cellStyle name="20% - Accent5 2 5" xfId="3472" xr:uid="{410D0533-12B1-483D-A3C5-C150F27FB059}"/>
    <cellStyle name="20% - Accent5 2 6" xfId="3473" xr:uid="{E63B94E3-5682-48E9-BEA5-BBA80C9CE752}"/>
    <cellStyle name="20% - Accent5 3" xfId="78" xr:uid="{2C2A01B5-02A9-40A2-826E-DC6DA273817F}"/>
    <cellStyle name="20% - Accent5 3 2" xfId="3474" xr:uid="{BE5F6F89-DEE5-414A-A02D-D28A91C1464D}"/>
    <cellStyle name="20% - Accent5 3 2 2" xfId="3475" xr:uid="{D6628F60-667D-4B8C-A7B6-8F89010158A8}"/>
    <cellStyle name="20% - Accent5 3 2 2 2" xfId="3476" xr:uid="{9232ED4F-A918-4C81-B20E-F61375088591}"/>
    <cellStyle name="20% - Accent5 3 2 2 2 2" xfId="12860" xr:uid="{6ADEDDD1-1185-4490-BB20-07C7EA956E52}"/>
    <cellStyle name="20% - Accent5 3 2 2 3" xfId="3477" xr:uid="{604F2413-F650-447B-8E23-8A1A55C5CCCF}"/>
    <cellStyle name="20% - Accent5 3 2 2 3 2" xfId="12861" xr:uid="{E59E4826-8E3B-493F-9839-C5C50DB34BA9}"/>
    <cellStyle name="20% - Accent5 3 2 2 4" xfId="12862" xr:uid="{95F92930-236C-4B05-9E46-4F09E1E674EF}"/>
    <cellStyle name="20% - Accent5 3 2 3" xfId="3478" xr:uid="{E4B203DB-6CA7-4FAF-9F3F-7524D5DFD8D8}"/>
    <cellStyle name="20% - Accent5 3 2 4" xfId="3479" xr:uid="{D21246CF-8340-4CC8-A4C4-9B79A5EDF8DD}"/>
    <cellStyle name="20% - Accent5 3 2 4 2" xfId="12863" xr:uid="{00838EFC-D07A-4CFE-BB22-A46533BF6E0E}"/>
    <cellStyle name="20% - Accent5 3 2 5" xfId="3480" xr:uid="{A6F80420-0CB2-49E7-800A-02A192507C56}"/>
    <cellStyle name="20% - Accent5 3 2 6" xfId="12864" xr:uid="{AC5F8E46-F3F1-4C94-94B5-3DF110571555}"/>
    <cellStyle name="20% - Accent5 3 3" xfId="3481" xr:uid="{A0D73CBF-6FCE-4526-AD6E-9ADF08ADCE15}"/>
    <cellStyle name="20% - Accent5 3 3 2" xfId="3482" xr:uid="{ABB2C462-30A3-4B3C-8D95-D11E9E1E3C4D}"/>
    <cellStyle name="20% - Accent5 3 3 2 2" xfId="3483" xr:uid="{F2489C00-4F61-4659-816E-75FC354DB682}"/>
    <cellStyle name="20% - Accent5 3 3 2 2 2" xfId="12865" xr:uid="{2877F284-CCEE-46CE-B179-2308A63A9D17}"/>
    <cellStyle name="20% - Accent5 3 3 2 3" xfId="12866" xr:uid="{05647CA1-5D33-4D28-819B-FEDD37E1C3EA}"/>
    <cellStyle name="20% - Accent5 3 3 3" xfId="3484" xr:uid="{024BC527-FBD7-4560-82F9-AA3D863EACBC}"/>
    <cellStyle name="20% - Accent5 3 3 3 2" xfId="12867" xr:uid="{F5ED075E-3D30-41D0-AFD3-A47CB4BD2DFB}"/>
    <cellStyle name="20% - Accent5 3 3 4" xfId="3485" xr:uid="{97C2DD1A-0CCF-4F64-84D3-DA7B03CFC624}"/>
    <cellStyle name="20% - Accent5 3 3 4 2" xfId="12868" xr:uid="{6960E3CB-86C4-47E3-9740-5CF81F2A6E73}"/>
    <cellStyle name="20% - Accent5 3 3 5" xfId="12869" xr:uid="{182249F9-D998-4DC3-A26D-2EF7A919CC16}"/>
    <cellStyle name="20% - Accent5 3 4" xfId="3486" xr:uid="{292F23D7-98D2-4F8C-AA63-95F040A223ED}"/>
    <cellStyle name="20% - Accent5 3 4 2" xfId="3487" xr:uid="{BAA4D776-8738-41F0-BC84-537C95FEA47E}"/>
    <cellStyle name="20% - Accent5 3 4 2 2" xfId="12870" xr:uid="{C6CC4A77-9BF3-4818-A0DC-0B7B986150BE}"/>
    <cellStyle name="20% - Accent5 3 4 3" xfId="3488" xr:uid="{1D7B9286-20FF-4316-B867-96C920E59E02}"/>
    <cellStyle name="20% - Accent5 3 4 3 2" xfId="12871" xr:uid="{8B6E4129-8492-443F-819B-E9F566272AD9}"/>
    <cellStyle name="20% - Accent5 3 4 4" xfId="12872" xr:uid="{C6E91283-7A0A-442E-8BA1-0569EBE6A22C}"/>
    <cellStyle name="20% - Accent5 3 5" xfId="3489" xr:uid="{2E92732F-5A2A-4898-897E-D971500F0601}"/>
    <cellStyle name="20% - Accent5 3 5 2" xfId="3490" xr:uid="{4E6D359F-AFF7-4112-A8C5-7B73AADC90E2}"/>
    <cellStyle name="20% - Accent5 3 5 2 2" xfId="12873" xr:uid="{15E27EDE-09C7-4ED6-9F90-4FD8FCCBF440}"/>
    <cellStyle name="20% - Accent5 3 5 3" xfId="3491" xr:uid="{16163B1A-0046-426E-8B34-3F81AB16D778}"/>
    <cellStyle name="20% - Accent5 3 5 4" xfId="12874" xr:uid="{40CBB8FD-C9ED-4993-B496-439821AA16C7}"/>
    <cellStyle name="20% - Accent5 3 6" xfId="3492" xr:uid="{05CAF880-BCEE-4076-AAA9-2E47ABB7C581}"/>
    <cellStyle name="20% - Accent5 3 6 2" xfId="12875" xr:uid="{B4EF5DF5-7559-4378-AABE-D2032A59DF16}"/>
    <cellStyle name="20% - Accent5 3 7" xfId="3493" xr:uid="{9614E665-9C1A-455E-A296-F2C14657C678}"/>
    <cellStyle name="20% - Accent5 3 8" xfId="3494" xr:uid="{78677193-9136-44D2-B623-21624A3F777F}"/>
    <cellStyle name="20% - Accent5 3 8 2" xfId="12876" xr:uid="{32AC843A-F932-4ADF-B5B4-ED7B40E448A1}"/>
    <cellStyle name="20% - Accent5 4" xfId="12877" xr:uid="{698E150D-54D4-4E09-B8CA-8A18ECFED913}"/>
    <cellStyle name="20% - Accent5 5" xfId="44281" xr:uid="{8B4304FD-C76A-4B91-B325-D6BDEE879028}"/>
    <cellStyle name="20% - Accent5 6" xfId="44297" xr:uid="{650AB288-E21D-41AE-A21B-612324A036B5}"/>
    <cellStyle name="20% - Accent5 7" xfId="44315" xr:uid="{6817C05B-02DC-4B7D-B4DE-8BF99716093A}"/>
    <cellStyle name="20% - Accent5 8" xfId="44231" xr:uid="{D43D9111-BB2B-436C-A0E8-8D29554F61BA}"/>
    <cellStyle name="20% - Accent6 10" xfId="44194" xr:uid="{7AF74693-2FEF-485B-80B2-2FBC9AAFE4F2}"/>
    <cellStyle name="20% - Accent6 2" xfId="79" xr:uid="{C8C952D4-82C4-46B8-B940-A9B2C384B8E2}"/>
    <cellStyle name="20% - Accent6 2 2" xfId="3495" xr:uid="{50383BD8-29E0-4D74-830F-1B2FC211CF9C}"/>
    <cellStyle name="20% - Accent6 2 2 2" xfId="3496" xr:uid="{93A3413B-7CCE-4E56-9148-83E841574667}"/>
    <cellStyle name="20% - Accent6 2 2 3" xfId="3497" xr:uid="{ACABE085-BFD0-489D-B498-5B17BEC72939}"/>
    <cellStyle name="20% - Accent6 2 3" xfId="3498" xr:uid="{ADFA6156-8B7C-430D-871B-ACE83E6D3F78}"/>
    <cellStyle name="20% - Accent6 2 4" xfId="3499" xr:uid="{85BA9DD4-C54D-4AA1-8E18-37B33815D1FC}"/>
    <cellStyle name="20% - Accent6 2 5" xfId="3500" xr:uid="{D35ECB63-12B5-4194-9251-7BF9D80842EF}"/>
    <cellStyle name="20% - Accent6 2 6" xfId="3501" xr:uid="{B8EC6666-FDA6-4379-A90A-024D077AEA39}"/>
    <cellStyle name="20% - Accent6 3" xfId="80" xr:uid="{C9B13BFB-5005-42F7-8D6B-1C95942DD216}"/>
    <cellStyle name="20% - Accent6 3 2" xfId="3502" xr:uid="{4E1BA4E1-EB2F-40D4-99F2-9506BD40B43A}"/>
    <cellStyle name="20% - Accent6 3 2 2" xfId="3503" xr:uid="{54A4FE54-A153-4852-9F54-F3B46D69C5B6}"/>
    <cellStyle name="20% - Accent6 3 2 2 2" xfId="3504" xr:uid="{3508ED32-3DD1-4397-A508-524B7FD6A449}"/>
    <cellStyle name="20% - Accent6 3 2 2 2 2" xfId="12878" xr:uid="{59490041-A82A-4212-8F1C-523906DD6F56}"/>
    <cellStyle name="20% - Accent6 3 2 2 3" xfId="3505" xr:uid="{4FE99297-1557-4B16-AF4D-A13B645A482C}"/>
    <cellStyle name="20% - Accent6 3 2 2 3 2" xfId="12879" xr:uid="{55FA5B4D-4693-477E-947E-5F7C1D27002D}"/>
    <cellStyle name="20% - Accent6 3 2 2 4" xfId="12880" xr:uid="{977208B0-627F-4DE5-9EBD-768255DCB8BA}"/>
    <cellStyle name="20% - Accent6 3 2 3" xfId="3506" xr:uid="{09495627-F958-436F-ADAB-8CC334A66B42}"/>
    <cellStyle name="20% - Accent6 3 2 4" xfId="3507" xr:uid="{B727B0FF-29DD-4DA5-BC34-BF387E2F4C6E}"/>
    <cellStyle name="20% - Accent6 3 2 4 2" xfId="12881" xr:uid="{7A7AAA4E-4AA7-4312-82DE-997A0BEA1DAE}"/>
    <cellStyle name="20% - Accent6 3 2 5" xfId="3508" xr:uid="{60104867-A773-4C05-ADA4-0136387CCEA2}"/>
    <cellStyle name="20% - Accent6 3 2 6" xfId="12882" xr:uid="{7EA23722-F804-4642-906F-7C359F0F3B62}"/>
    <cellStyle name="20% - Accent6 3 3" xfId="3509" xr:uid="{CCEE78B7-3CFD-4E59-9BDA-232D8D451972}"/>
    <cellStyle name="20% - Accent6 3 3 2" xfId="3510" xr:uid="{922A03BD-5DC7-4F8F-B18A-CEE0F685F622}"/>
    <cellStyle name="20% - Accent6 3 3 2 2" xfId="3511" xr:uid="{5778EC28-64EA-492C-B373-765C4E2F25B1}"/>
    <cellStyle name="20% - Accent6 3 3 2 2 2" xfId="12883" xr:uid="{38E83A2D-E5E3-4ED9-A969-3C34046F8F63}"/>
    <cellStyle name="20% - Accent6 3 3 2 3" xfId="12884" xr:uid="{9EE8A945-4058-4177-ADD8-2B665DB959C4}"/>
    <cellStyle name="20% - Accent6 3 3 3" xfId="3512" xr:uid="{D6E596D2-64DA-4EA6-BD62-1A29CDAD6FB2}"/>
    <cellStyle name="20% - Accent6 3 3 3 2" xfId="12885" xr:uid="{CD3F9BC7-697E-47F6-968E-A98AF20F9829}"/>
    <cellStyle name="20% - Accent6 3 3 4" xfId="3513" xr:uid="{E909E60C-71A3-4D1C-8228-BEDE9882CBEE}"/>
    <cellStyle name="20% - Accent6 3 3 4 2" xfId="12886" xr:uid="{BC2CEB09-9F33-40A4-A29B-7C868B8D205A}"/>
    <cellStyle name="20% - Accent6 3 3 5" xfId="12887" xr:uid="{C0B6D273-F5C3-4248-A779-A6C0744190E5}"/>
    <cellStyle name="20% - Accent6 3 4" xfId="3514" xr:uid="{BB7AAA19-F3B2-4301-A556-8ECF6AB797E3}"/>
    <cellStyle name="20% - Accent6 3 4 2" xfId="3515" xr:uid="{288F4970-1B8A-4A11-A584-6F8717D847F8}"/>
    <cellStyle name="20% - Accent6 3 4 2 2" xfId="12888" xr:uid="{78F94AFD-934C-498B-96BF-B29B8574F8CB}"/>
    <cellStyle name="20% - Accent6 3 4 3" xfId="3516" xr:uid="{2EB20033-21E5-4214-B5A7-55CD9C5FCB2A}"/>
    <cellStyle name="20% - Accent6 3 4 3 2" xfId="12889" xr:uid="{C934B90B-3AB3-4376-9DEA-57D253DB5C39}"/>
    <cellStyle name="20% - Accent6 3 4 4" xfId="12890" xr:uid="{6E555139-AF0F-4E02-A14C-BE36BB378416}"/>
    <cellStyle name="20% - Accent6 3 5" xfId="3517" xr:uid="{71C8EC03-F4BA-4954-9E77-681AD63E80FA}"/>
    <cellStyle name="20% - Accent6 3 5 2" xfId="3518" xr:uid="{9239F42D-4768-4F6A-94A9-448AEB1AACA6}"/>
    <cellStyle name="20% - Accent6 3 5 2 2" xfId="12891" xr:uid="{BC706040-8339-410D-A35A-2A5CAD9C2570}"/>
    <cellStyle name="20% - Accent6 3 5 3" xfId="3519" xr:uid="{9BE5B3A3-5D9B-4628-B139-A234A2E614F3}"/>
    <cellStyle name="20% - Accent6 3 5 4" xfId="12892" xr:uid="{631FD144-92FC-47BE-847C-405E9887D231}"/>
    <cellStyle name="20% - Accent6 3 6" xfId="3520" xr:uid="{E3AE0804-2294-4196-9E7D-60621DCD31EF}"/>
    <cellStyle name="20% - Accent6 3 6 2" xfId="12893" xr:uid="{20B604B4-35BE-4A06-95C4-466736EF5CE6}"/>
    <cellStyle name="20% - Accent6 3 7" xfId="3521" xr:uid="{02592DA0-36C2-4A20-B71E-78911C4CAAF5}"/>
    <cellStyle name="20% - Accent6 3 8" xfId="3522" xr:uid="{97D93ED8-A456-42B7-97E3-D3689D9BA112}"/>
    <cellStyle name="20% - Accent6 3 8 2" xfId="12894" xr:uid="{2A3EE58C-E4E9-4D2E-963C-32CF855D1A9F}"/>
    <cellStyle name="20% - Accent6 4" xfId="12895" xr:uid="{5D1ABFB3-6F2A-4B49-9EDC-A5B13D5962E2}"/>
    <cellStyle name="20% - Accent6 5" xfId="44242" xr:uid="{372990CE-3D3C-47F4-B261-7D36CD179536}"/>
    <cellStyle name="20% - Accent6 6" xfId="44283" xr:uid="{1D765A57-FD36-4A1F-8207-6F5FCA898ADA}"/>
    <cellStyle name="20% - Accent6 7" xfId="44299" xr:uid="{33AE8C49-CC79-4D95-A5B0-C2B19CD019F3}"/>
    <cellStyle name="20% - Accent6 8" xfId="44317" xr:uid="{A7FBA2CB-E094-4D3E-8A8A-8D54094024DC}"/>
    <cellStyle name="20% - Accent6 9" xfId="44738" xr:uid="{244086DE-1E8C-4EF8-A4FF-EC90E06A29CE}"/>
    <cellStyle name="40% - Accent1 2" xfId="81" xr:uid="{A84A216B-EC55-4C0B-85F0-D774E033A3AB}"/>
    <cellStyle name="40% - Accent1 2 2" xfId="3523" xr:uid="{B24F7CDC-F88A-493D-9052-51AB788E1C57}"/>
    <cellStyle name="40% - Accent1 2 2 2" xfId="3524" xr:uid="{E42FECC8-2418-451A-8D6B-3D6603D26D01}"/>
    <cellStyle name="40% - Accent1 2 2 3" xfId="3525" xr:uid="{96B08BF3-5714-4968-B2B0-836F9440D09E}"/>
    <cellStyle name="40% - Accent1 2 3" xfId="3526" xr:uid="{91104524-DE90-434E-BC15-E398D5EAF1BE}"/>
    <cellStyle name="40% - Accent1 2 4" xfId="3527" xr:uid="{3F966984-E5E3-4C6C-8774-00FA987A8272}"/>
    <cellStyle name="40% - Accent1 2 5" xfId="3528" xr:uid="{05F78050-34BC-4A08-BD77-A5CD24B88814}"/>
    <cellStyle name="40% - Accent1 2 6" xfId="3529" xr:uid="{DA00F502-7A6C-4A90-B737-19E11FCB6506}"/>
    <cellStyle name="40% - Accent1 3" xfId="82" xr:uid="{0B4E2229-8C38-4066-91BD-E3E294F2AEFC}"/>
    <cellStyle name="40% - Accent1 3 2" xfId="3530" xr:uid="{551F4A3B-1C6B-4462-8E72-DCC51189F9D3}"/>
    <cellStyle name="40% - Accent1 3 2 2" xfId="3531" xr:uid="{D427F134-BFC3-4E23-8C88-9622554ED0B7}"/>
    <cellStyle name="40% - Accent1 3 2 2 2" xfId="3532" xr:uid="{00F4B5FB-A241-4BB1-8BB5-8909433FDFBE}"/>
    <cellStyle name="40% - Accent1 3 2 2 2 2" xfId="12896" xr:uid="{407337DB-6953-4446-A5EF-CBD4C3F9A07F}"/>
    <cellStyle name="40% - Accent1 3 2 2 3" xfId="3533" xr:uid="{F95EA448-CF39-498E-AA30-8A02F17FCB46}"/>
    <cellStyle name="40% - Accent1 3 2 2 3 2" xfId="12897" xr:uid="{BFADCBE4-C159-4227-8CE3-E56E39D90D78}"/>
    <cellStyle name="40% - Accent1 3 2 2 4" xfId="12898" xr:uid="{98CFE52E-2ECD-40E8-B29F-443CA635CD78}"/>
    <cellStyle name="40% - Accent1 3 2 3" xfId="3534" xr:uid="{2259C5DF-A17F-4940-8E8F-47316047429D}"/>
    <cellStyle name="40% - Accent1 3 2 4" xfId="3535" xr:uid="{B186C268-7542-48D2-BCC1-6FDD5FB4FC02}"/>
    <cellStyle name="40% - Accent1 3 2 4 2" xfId="12899" xr:uid="{83016093-FE87-4144-9B8C-AEB8A4E98705}"/>
    <cellStyle name="40% - Accent1 3 2 5" xfId="3536" xr:uid="{2FBE4BAE-B9FA-4B3D-8D34-89F20F03A8A5}"/>
    <cellStyle name="40% - Accent1 3 2 6" xfId="12900" xr:uid="{6AA10652-4139-4D33-AFC0-6EAE989064E8}"/>
    <cellStyle name="40% - Accent1 3 3" xfId="3537" xr:uid="{144AB61A-1F8B-425A-A7B6-84494E2A0508}"/>
    <cellStyle name="40% - Accent1 3 3 2" xfId="3538" xr:uid="{9D760A1B-CE00-4B39-B1A8-F2AF0F31578F}"/>
    <cellStyle name="40% - Accent1 3 3 2 2" xfId="3539" xr:uid="{17975E35-6AB0-4AF5-8168-ECBE939E394F}"/>
    <cellStyle name="40% - Accent1 3 3 2 2 2" xfId="12901" xr:uid="{37DC4AC3-D2F8-4E3B-9BE2-DA19E3CA75A2}"/>
    <cellStyle name="40% - Accent1 3 3 2 3" xfId="12902" xr:uid="{7A8850BB-66D7-4EDD-9948-41B865280312}"/>
    <cellStyle name="40% - Accent1 3 3 3" xfId="3540" xr:uid="{0BFA159B-19F4-4EDB-AF2B-B0864736B0CC}"/>
    <cellStyle name="40% - Accent1 3 3 3 2" xfId="12903" xr:uid="{A9079EE8-C106-47AC-AC7B-424384223023}"/>
    <cellStyle name="40% - Accent1 3 3 4" xfId="3541" xr:uid="{4CAC5E83-D6FE-4C04-81A0-945A1BB7901E}"/>
    <cellStyle name="40% - Accent1 3 3 4 2" xfId="12904" xr:uid="{8F5473F2-9193-4CEF-8136-A7516C09A78C}"/>
    <cellStyle name="40% - Accent1 3 3 5" xfId="12905" xr:uid="{C8A53734-5AED-4E41-A09B-EFC88A0D0A45}"/>
    <cellStyle name="40% - Accent1 3 4" xfId="3542" xr:uid="{6CAB4378-CCAE-4552-A7DC-519608175F0E}"/>
    <cellStyle name="40% - Accent1 3 4 2" xfId="3543" xr:uid="{0E2C70E0-AEAA-4A1F-9512-56DE84F87A6D}"/>
    <cellStyle name="40% - Accent1 3 4 2 2" xfId="12906" xr:uid="{1A0419E2-E37C-4006-B51B-25694E99963C}"/>
    <cellStyle name="40% - Accent1 3 4 3" xfId="3544" xr:uid="{8D6DECA8-4F96-43C8-8CA8-4DD4AE4FECF7}"/>
    <cellStyle name="40% - Accent1 3 4 3 2" xfId="12907" xr:uid="{7D9CAA78-388F-423C-AC35-74602EB78656}"/>
    <cellStyle name="40% - Accent1 3 4 4" xfId="12908" xr:uid="{8FBC6648-85CA-4D01-9185-340131A9EF4B}"/>
    <cellStyle name="40% - Accent1 3 5" xfId="3545" xr:uid="{1509EDB6-0516-47BD-9859-72E3A1C515A4}"/>
    <cellStyle name="40% - Accent1 3 5 2" xfId="3546" xr:uid="{E3F207A7-E337-44CD-B484-595C117D124A}"/>
    <cellStyle name="40% - Accent1 3 5 2 2" xfId="12909" xr:uid="{E457137A-1FF3-4CDC-86EC-396CC36B3FBE}"/>
    <cellStyle name="40% - Accent1 3 5 3" xfId="3547" xr:uid="{5AB554FB-7854-4E80-88F9-92263416B9F1}"/>
    <cellStyle name="40% - Accent1 3 5 4" xfId="12910" xr:uid="{AE7A9C4F-49FF-475E-AD9E-2AA281751B53}"/>
    <cellStyle name="40% - Accent1 3 6" xfId="3548" xr:uid="{91F35B2E-327E-4A1D-93D3-4879C0129F5F}"/>
    <cellStyle name="40% - Accent1 3 6 2" xfId="12911" xr:uid="{A963C59D-8C87-4734-B2DA-94A45A8F2B6B}"/>
    <cellStyle name="40% - Accent1 3 7" xfId="3549" xr:uid="{24E947A4-7582-41F1-A379-051EEAD731F4}"/>
    <cellStyle name="40% - Accent1 3 8" xfId="3550" xr:uid="{A105E609-03BE-4BAA-9B7D-EEBA9B7BED69}"/>
    <cellStyle name="40% - Accent1 3 8 2" xfId="12912" xr:uid="{00FEDC89-1308-4D12-8A3D-56DEFF454DEE}"/>
    <cellStyle name="40% - Accent1 4" xfId="12913" xr:uid="{7F181B41-190C-4FD8-A787-DD53A8E9CFD1}"/>
    <cellStyle name="40% - Accent1 5" xfId="44274" xr:uid="{C49105D8-73BF-4C08-B6BF-0BF892D964B0}"/>
    <cellStyle name="40% - Accent1 6" xfId="44289" xr:uid="{31BF2EE3-911F-439F-870C-593C946B70EF}"/>
    <cellStyle name="40% - Accent1 7" xfId="44308" xr:uid="{7957FCB4-9FD8-44A2-A522-E7E45DBA6A93}"/>
    <cellStyle name="40% - Accent1 8" xfId="44216" xr:uid="{95639BEA-BDAD-4656-BFCB-4EAB5234AD0F}"/>
    <cellStyle name="40% - Accent2 2" xfId="83" xr:uid="{5471DB53-5A04-4FC3-AB57-498B7B020A9A}"/>
    <cellStyle name="40% - Accent2 2 2" xfId="3551" xr:uid="{EFF4F104-87CA-4D5F-8601-282EB7B638BE}"/>
    <cellStyle name="40% - Accent2 2 2 2" xfId="3552" xr:uid="{9808B360-C4B7-46BA-87D4-15087B52EBA2}"/>
    <cellStyle name="40% - Accent2 2 2 3" xfId="44794" xr:uid="{532B806F-4D03-4F59-90AB-793CE624381A}"/>
    <cellStyle name="40% - Accent2 2 3" xfId="3553" xr:uid="{145661CC-FDA7-42E1-9832-1EF23AD9646B}"/>
    <cellStyle name="40% - Accent2 2 4" xfId="3554" xr:uid="{9139E307-4804-4F96-B7B0-10433BAE93B5}"/>
    <cellStyle name="40% - Accent2 2 5" xfId="3555" xr:uid="{403B7E58-48FB-49CB-93DF-E6388FDE9D36}"/>
    <cellStyle name="40% - Accent2 2 6" xfId="3556" xr:uid="{1F35CE98-0552-4A03-B112-976D445BD123}"/>
    <cellStyle name="40% - Accent2 2 7" xfId="44776" xr:uid="{00C54EB1-2E2C-4E8B-8F2A-93177717095B}"/>
    <cellStyle name="40% - Accent2 3" xfId="84" xr:uid="{2242B130-8B84-4877-BB67-6AFDE07357A5}"/>
    <cellStyle name="40% - Accent2 3 2" xfId="3557" xr:uid="{03F24665-F784-41B7-ACEB-273E04C302EF}"/>
    <cellStyle name="40% - Accent2 3 2 2" xfId="3558" xr:uid="{F625688D-E56A-4B33-AAA8-4938A15D7D30}"/>
    <cellStyle name="40% - Accent2 3 2 2 2" xfId="3559" xr:uid="{25D4AF96-9EDC-4D52-851D-A9765C0B3B33}"/>
    <cellStyle name="40% - Accent2 3 2 2 2 2" xfId="12914" xr:uid="{ACD70952-3CDE-4F7F-8ACC-C988008FD8DF}"/>
    <cellStyle name="40% - Accent2 3 2 2 3" xfId="3560" xr:uid="{1BB2A02C-DC56-429B-A09F-EA76BDCD0217}"/>
    <cellStyle name="40% - Accent2 3 2 2 3 2" xfId="12915" xr:uid="{699D47F7-659A-4A02-BAFD-D598683F9FB8}"/>
    <cellStyle name="40% - Accent2 3 2 2 4" xfId="12916" xr:uid="{879A889B-1AE1-4523-8B16-14DA2EA27756}"/>
    <cellStyle name="40% - Accent2 3 2 3" xfId="3561" xr:uid="{EACCA9B4-64BB-44CA-8EF3-462C4038F33E}"/>
    <cellStyle name="40% - Accent2 3 2 4" xfId="3562" xr:uid="{B960C17D-3C72-45D5-977F-2F581B67C376}"/>
    <cellStyle name="40% - Accent2 3 2 4 2" xfId="12917" xr:uid="{7EE4A03B-9C00-4117-ADE7-3C9480BB696A}"/>
    <cellStyle name="40% - Accent2 3 2 5" xfId="3563" xr:uid="{0637B1CF-07BE-4BF0-9146-1EAB565B524D}"/>
    <cellStyle name="40% - Accent2 3 2 6" xfId="12918" xr:uid="{5DE03BDA-5529-40AA-9079-D560728D4E82}"/>
    <cellStyle name="40% - Accent2 3 2 7" xfId="44792" xr:uid="{2E69AE0E-7780-40C1-993E-4C3FB035E4A9}"/>
    <cellStyle name="40% - Accent2 3 3" xfId="3564" xr:uid="{71CA395F-B523-480A-A8BB-881ACBA3ECBA}"/>
    <cellStyle name="40% - Accent2 3 3 2" xfId="3565" xr:uid="{8CA469EE-946D-4A3A-B4D6-CD43267E7551}"/>
    <cellStyle name="40% - Accent2 3 3 2 2" xfId="3566" xr:uid="{87E21699-79D9-4B15-8887-6BDD13C2E7F2}"/>
    <cellStyle name="40% - Accent2 3 3 2 2 2" xfId="12919" xr:uid="{4690FA7E-2107-4466-A52A-1496BAE3D76A}"/>
    <cellStyle name="40% - Accent2 3 3 2 3" xfId="12920" xr:uid="{D4B5D17A-5C82-4113-8971-9F991EAB6232}"/>
    <cellStyle name="40% - Accent2 3 3 3" xfId="3567" xr:uid="{AEED74D2-11A5-45BC-8433-46F92303E605}"/>
    <cellStyle name="40% - Accent2 3 3 3 2" xfId="12921" xr:uid="{46E062A4-563C-4E76-9BEF-64FB7B0D71AE}"/>
    <cellStyle name="40% - Accent2 3 3 4" xfId="3568" xr:uid="{432F4694-5160-4D54-875E-51ABD35AF9E5}"/>
    <cellStyle name="40% - Accent2 3 3 4 2" xfId="12922" xr:uid="{DC03F6FC-3FCC-4FCC-B494-577F2FD80AA0}"/>
    <cellStyle name="40% - Accent2 3 3 5" xfId="12923" xr:uid="{687F778E-9D29-4F33-B380-BCA3587E62E8}"/>
    <cellStyle name="40% - Accent2 3 4" xfId="3569" xr:uid="{B876D538-CFBF-4396-81D9-2623E349126C}"/>
    <cellStyle name="40% - Accent2 3 4 2" xfId="3570" xr:uid="{86B3906E-364B-4B35-AB33-807C2C78FD78}"/>
    <cellStyle name="40% - Accent2 3 4 2 2" xfId="12924" xr:uid="{C736341E-F538-492D-8E72-60775BC7CB44}"/>
    <cellStyle name="40% - Accent2 3 4 3" xfId="3571" xr:uid="{B289817E-20A6-41CD-8373-9AF296F874E2}"/>
    <cellStyle name="40% - Accent2 3 4 3 2" xfId="12925" xr:uid="{0E9B74DC-5358-447F-A4DC-4F10AF01D01F}"/>
    <cellStyle name="40% - Accent2 3 4 4" xfId="12926" xr:uid="{3C88F186-522C-4FF0-B429-834D6A313737}"/>
    <cellStyle name="40% - Accent2 3 5" xfId="3572" xr:uid="{9712A0C2-8130-487B-B5EB-D1FE76483C6A}"/>
    <cellStyle name="40% - Accent2 3 5 2" xfId="3573" xr:uid="{D6B16EF2-B2B6-4D78-835C-A7BBE0CEBDEF}"/>
    <cellStyle name="40% - Accent2 3 5 2 2" xfId="12927" xr:uid="{2BA57E60-C864-4D2E-B8B6-014CEEB5C188}"/>
    <cellStyle name="40% - Accent2 3 5 3" xfId="3574" xr:uid="{E9E9C443-7CEA-4444-8E23-34DD5E5106A6}"/>
    <cellStyle name="40% - Accent2 3 5 4" xfId="12928" xr:uid="{DF8FD4D1-CFF7-4FFD-BAB8-0295C53E35DF}"/>
    <cellStyle name="40% - Accent2 3 6" xfId="3575" xr:uid="{89DAC2F1-F73F-44C1-AD23-93315B7911E4}"/>
    <cellStyle name="40% - Accent2 3 6 2" xfId="12929" xr:uid="{44D17B59-0F7E-45A3-89FD-F78D07C30BF4}"/>
    <cellStyle name="40% - Accent2 3 7" xfId="3576" xr:uid="{6990BC6F-C9D2-43C2-938E-5997F53E7CE7}"/>
    <cellStyle name="40% - Accent2 3 8" xfId="3577" xr:uid="{B2639F65-68D1-4BE1-BA18-767DACB6979A}"/>
    <cellStyle name="40% - Accent2 3 8 2" xfId="12930" xr:uid="{F5D3A072-DE4E-4986-9D50-D1896D3A5C77}"/>
    <cellStyle name="40% - Accent2 3 9" xfId="44770" xr:uid="{0997C311-B108-4343-B17E-B63D458FD992}"/>
    <cellStyle name="40% - Accent2 4" xfId="12931" xr:uid="{ED309084-82CB-4F66-BF8E-4257111DB2F7}"/>
    <cellStyle name="40% - Accent2 5" xfId="44276" xr:uid="{002030A6-0254-491C-A22F-CF88B89E8ABB}"/>
    <cellStyle name="40% - Accent2 6" xfId="44291" xr:uid="{CE08BEED-91FA-40D2-BF94-E95D8BF222C7}"/>
    <cellStyle name="40% - Accent2 7" xfId="44310" xr:uid="{6E9F9FE4-C151-4C3C-B2C9-98C42E66661F}"/>
    <cellStyle name="40% - Accent2 8" xfId="44220" xr:uid="{02341D01-FED2-44D0-B797-885C6537070F}"/>
    <cellStyle name="40% - Accent3 10" xfId="44224" xr:uid="{05854B98-B561-4CD3-8915-84C5AA57F936}"/>
    <cellStyle name="40% - Accent3 2" xfId="85" xr:uid="{2E9B9235-E300-4F3C-B43C-3C234E91B361}"/>
    <cellStyle name="40% - Accent3 2 2" xfId="3578" xr:uid="{047E1AD9-273A-41BF-8E2E-E5AEC286515B}"/>
    <cellStyle name="40% - Accent3 2 2 2" xfId="3579" xr:uid="{995786B5-02DC-4254-A040-8D95E5F3FF7C}"/>
    <cellStyle name="40% - Accent3 2 2 3" xfId="3580" xr:uid="{5C2A9A64-7BE0-4024-B68D-9937A7154E4D}"/>
    <cellStyle name="40% - Accent3 2 2 4" xfId="3581" xr:uid="{2A34CEF5-1109-441F-8A67-6699AEBB8B0C}"/>
    <cellStyle name="40% - Accent3 2 2 5" xfId="3582" xr:uid="{F4E46F0E-9F33-418F-92B5-F2578CADA4E8}"/>
    <cellStyle name="40% - Accent3 2 2 6" xfId="3583" xr:uid="{7B81865F-1A9F-4451-9B1B-A5CEA6F822ED}"/>
    <cellStyle name="40% - Accent3 2 3" xfId="3584" xr:uid="{72C0E574-0597-4A7B-ACAE-8CCDC905C029}"/>
    <cellStyle name="40% - Accent3 2 3 2" xfId="3585" xr:uid="{A12088CB-E5FB-41FA-89D5-D47B6E906683}"/>
    <cellStyle name="40% - Accent3 2 3 3" xfId="3586" xr:uid="{56393470-E3C8-4B72-9928-7D6FE7003BDE}"/>
    <cellStyle name="40% - Accent3 2 3 4" xfId="3587" xr:uid="{AF3A2622-7B5C-442E-89F6-44BF40C6DF2A}"/>
    <cellStyle name="40% - Accent3 2 4" xfId="3588" xr:uid="{67F4D75F-D75C-4E97-BB99-FBB7E98DACA5}"/>
    <cellStyle name="40% - Accent3 2 5" xfId="3589" xr:uid="{EA193210-1604-4C08-9B9B-7D9DC956CD16}"/>
    <cellStyle name="40% - Accent3 2 6" xfId="3590" xr:uid="{A3528944-FD77-4F43-BC36-04922F055485}"/>
    <cellStyle name="40% - Accent3 3" xfId="86" xr:uid="{A9658F56-AAD1-4814-A39E-16A8B0E4B65C}"/>
    <cellStyle name="40% - Accent3 3 2" xfId="3591" xr:uid="{9350B3CD-BA55-4632-8D10-FDA470C1368D}"/>
    <cellStyle name="40% - Accent3 3 2 2" xfId="3592" xr:uid="{D1DFE0B1-F9CF-441D-9451-D7E55068EA30}"/>
    <cellStyle name="40% - Accent3 3 2 2 2" xfId="3593" xr:uid="{31B977D4-6CF0-47F2-B2B7-EE5D89D05633}"/>
    <cellStyle name="40% - Accent3 3 2 2 2 2" xfId="12932" xr:uid="{E6C53590-763E-4844-87AF-5E168B083ECE}"/>
    <cellStyle name="40% - Accent3 3 2 2 3" xfId="3594" xr:uid="{2118D766-79F7-4FF7-858B-03F53ADC0078}"/>
    <cellStyle name="40% - Accent3 3 2 2 3 2" xfId="12933" xr:uid="{596BAD16-B4D5-49AD-BD17-63341D857A06}"/>
    <cellStyle name="40% - Accent3 3 2 2 4" xfId="12934" xr:uid="{49897B6D-4776-4BCE-B546-9102A1F46EE0}"/>
    <cellStyle name="40% - Accent3 3 2 3" xfId="3595" xr:uid="{E01A9397-9873-441D-8D87-8322F474F515}"/>
    <cellStyle name="40% - Accent3 3 2 4" xfId="3596" xr:uid="{94060330-3150-4C2C-874E-4DDEBD512815}"/>
    <cellStyle name="40% - Accent3 3 2 4 2" xfId="12935" xr:uid="{BA7B2CE4-6071-40B6-B96C-775722E1AC43}"/>
    <cellStyle name="40% - Accent3 3 2 5" xfId="3597" xr:uid="{12CADF27-CF74-4B1D-AA63-86EBD38661F4}"/>
    <cellStyle name="40% - Accent3 3 2 6" xfId="12936" xr:uid="{92CB8105-6AFF-43D0-BA04-BEFCD5959B81}"/>
    <cellStyle name="40% - Accent3 3 3" xfId="3598" xr:uid="{FB53B584-3886-41E8-A603-E78A6BB65751}"/>
    <cellStyle name="40% - Accent3 3 3 2" xfId="3599" xr:uid="{FDAA050A-AF89-4D2A-99F9-4988E748172F}"/>
    <cellStyle name="40% - Accent3 3 3 2 2" xfId="3600" xr:uid="{22FBCE48-F84A-47B3-9AE3-02D70DC63393}"/>
    <cellStyle name="40% - Accent3 3 3 2 2 2" xfId="12937" xr:uid="{5D0F06B4-99E1-458F-BA12-668901D28379}"/>
    <cellStyle name="40% - Accent3 3 3 2 3" xfId="12938" xr:uid="{55AEAF44-C8E8-4DB1-839A-5AB4DE03096B}"/>
    <cellStyle name="40% - Accent3 3 3 3" xfId="3601" xr:uid="{59219AE1-4A73-4A51-9576-C844DC226B77}"/>
    <cellStyle name="40% - Accent3 3 3 3 2" xfId="12939" xr:uid="{5A07F730-4B88-4493-9A58-C0865A5A5E70}"/>
    <cellStyle name="40% - Accent3 3 3 4" xfId="3602" xr:uid="{C979F1F4-8466-4C07-AF08-343B11405AD5}"/>
    <cellStyle name="40% - Accent3 3 3 4 2" xfId="12940" xr:uid="{418339C1-25B9-468B-8843-D2B7C5982A0B}"/>
    <cellStyle name="40% - Accent3 3 3 5" xfId="12941" xr:uid="{9DFEFD2A-C1D2-4996-B87B-CD363C64060C}"/>
    <cellStyle name="40% - Accent3 3 4" xfId="3603" xr:uid="{03690857-E5AF-4FBE-8C1F-17E6780BE588}"/>
    <cellStyle name="40% - Accent3 3 4 2" xfId="3604" xr:uid="{3E0D0065-46F5-4477-BD7B-4C380C9B52C9}"/>
    <cellStyle name="40% - Accent3 3 4 2 2" xfId="12942" xr:uid="{5747D9B7-51CF-4156-A8DD-B5D14C5C73E7}"/>
    <cellStyle name="40% - Accent3 3 4 3" xfId="3605" xr:uid="{BF51A8A7-B03E-4E72-803B-A8DA448CDC99}"/>
    <cellStyle name="40% - Accent3 3 4 3 2" xfId="12943" xr:uid="{EC18E5A4-F59A-4081-A02D-25DD9B4DBE7E}"/>
    <cellStyle name="40% - Accent3 3 4 4" xfId="12944" xr:uid="{35786012-9539-4853-AC4A-248A08DF8AB2}"/>
    <cellStyle name="40% - Accent3 3 5" xfId="3606" xr:uid="{349FF5E9-F7C8-4AEF-B854-7F05808B4B6B}"/>
    <cellStyle name="40% - Accent3 3 5 2" xfId="3607" xr:uid="{4C66024F-B607-4879-9785-0C96298233F5}"/>
    <cellStyle name="40% - Accent3 3 5 2 2" xfId="12945" xr:uid="{5C63489B-2BDE-4972-980A-B62EA1DA9CB3}"/>
    <cellStyle name="40% - Accent3 3 5 3" xfId="3608" xr:uid="{D4074F00-D8F2-45B5-821D-ED1373E3B821}"/>
    <cellStyle name="40% - Accent3 3 5 4" xfId="12946" xr:uid="{B0A6C83E-0DD6-4C22-B821-D65DEDB839F7}"/>
    <cellStyle name="40% - Accent3 3 6" xfId="3609" xr:uid="{890D544B-1671-42FE-8A98-53CB277CB731}"/>
    <cellStyle name="40% - Accent3 3 6 2" xfId="12947" xr:uid="{0CD1121E-9C6A-4450-B971-40ABF5C8CD20}"/>
    <cellStyle name="40% - Accent3 3 7" xfId="3610" xr:uid="{92105626-98AD-4FF8-8CEE-02E4C62547B3}"/>
    <cellStyle name="40% - Accent3 3 8" xfId="3611" xr:uid="{EB6BA913-A750-4A03-B319-ABD983D6C72E}"/>
    <cellStyle name="40% - Accent3 3 8 2" xfId="12948" xr:uid="{A959FC0C-3F40-4031-82A1-D8B3397D4AF0}"/>
    <cellStyle name="40% - Accent3 4" xfId="3612" xr:uid="{F2D2740D-0493-420E-A9EE-FF6237139313}"/>
    <cellStyle name="40% - Accent3 5" xfId="3613" xr:uid="{5D458546-24D4-42C9-AF27-9B364ABCD147}"/>
    <cellStyle name="40% - Accent3 6" xfId="3614" xr:uid="{78AF8F48-A335-4DC2-9444-E4F3C76989ED}"/>
    <cellStyle name="40% - Accent3 7" xfId="44278" xr:uid="{90EFE035-DE94-47B0-A4BF-A1920C497F11}"/>
    <cellStyle name="40% - Accent3 8" xfId="44293" xr:uid="{19ED66E9-5759-4EB8-BB4E-123F4C91C411}"/>
    <cellStyle name="40% - Accent3 9" xfId="44312" xr:uid="{E3BFD133-C1AB-4CE0-900F-F32E86D9BF5B}"/>
    <cellStyle name="40% - Accent4 2" xfId="87" xr:uid="{D094904E-6520-4DE6-A6B6-EA356CF1FA90}"/>
    <cellStyle name="40% - Accent4 2 2" xfId="3615" xr:uid="{174103FA-F381-44F8-B7D7-364D0E6D1B79}"/>
    <cellStyle name="40% - Accent4 2 2 2" xfId="3616" xr:uid="{C9039197-E307-47A6-A104-16698D2DBAC4}"/>
    <cellStyle name="40% - Accent4 2 2 3" xfId="3617" xr:uid="{28F7E1CE-4185-4A32-B556-8771DAA8C3F4}"/>
    <cellStyle name="40% - Accent4 2 3" xfId="3618" xr:uid="{93962728-6509-4F09-AE06-17AB40C3B10B}"/>
    <cellStyle name="40% - Accent4 2 4" xfId="3619" xr:uid="{57EB561F-6502-4B18-BAF4-6670906D85EA}"/>
    <cellStyle name="40% - Accent4 2 5" xfId="3620" xr:uid="{E43ABE05-72FC-46C8-9F18-5B39EC694509}"/>
    <cellStyle name="40% - Accent4 2 6" xfId="3621" xr:uid="{F8DE33AD-BC5C-487B-AC4A-BB5820599F9B}"/>
    <cellStyle name="40% - Accent4 3" xfId="88" xr:uid="{4C30952A-EA4D-402C-A1CB-6BD07AFEE413}"/>
    <cellStyle name="40% - Accent4 3 2" xfId="3622" xr:uid="{CF1A51D8-F149-458D-8B1F-A31C0D1B7B7C}"/>
    <cellStyle name="40% - Accent4 3 2 2" xfId="3623" xr:uid="{0C26CC04-3891-4DE4-ADF1-5E06F4DE520A}"/>
    <cellStyle name="40% - Accent4 3 2 2 2" xfId="3624" xr:uid="{B6926F3B-734D-409E-ADC7-09BC82AE0F79}"/>
    <cellStyle name="40% - Accent4 3 2 2 2 2" xfId="12949" xr:uid="{FBE6B195-6FF8-4274-AF80-D72C8E9F947B}"/>
    <cellStyle name="40% - Accent4 3 2 2 3" xfId="3625" xr:uid="{609FF432-3C07-436D-A37C-8F3D4A5DD82F}"/>
    <cellStyle name="40% - Accent4 3 2 2 3 2" xfId="12950" xr:uid="{9872A38B-AD1A-44F4-A93C-70E7C8256A52}"/>
    <cellStyle name="40% - Accent4 3 2 2 4" xfId="12951" xr:uid="{D6ECA82F-896A-44BB-8A0C-970889B98EC5}"/>
    <cellStyle name="40% - Accent4 3 2 3" xfId="3626" xr:uid="{C1BBD981-B2A0-4FDD-9FCE-8D97BB292324}"/>
    <cellStyle name="40% - Accent4 3 2 4" xfId="3627" xr:uid="{3BC55010-7288-44EC-8E31-384137F5C128}"/>
    <cellStyle name="40% - Accent4 3 2 4 2" xfId="12952" xr:uid="{B36D42A4-578C-4D30-8420-88914B2B5CB8}"/>
    <cellStyle name="40% - Accent4 3 2 5" xfId="3628" xr:uid="{82CF1870-9748-428C-AC09-F9BE435774F9}"/>
    <cellStyle name="40% - Accent4 3 2 6" xfId="12953" xr:uid="{0BA8E0C5-CD6F-49BE-AA8B-EC1211F0ABFC}"/>
    <cellStyle name="40% - Accent4 3 3" xfId="3629" xr:uid="{58D06120-1A44-4FAC-BA32-AB30378CA36D}"/>
    <cellStyle name="40% - Accent4 3 3 2" xfId="3630" xr:uid="{BA6BEC03-D527-4876-869A-AD503967677B}"/>
    <cellStyle name="40% - Accent4 3 3 2 2" xfId="3631" xr:uid="{1FC504E7-96D8-4782-80D7-F9BD7B9C4E20}"/>
    <cellStyle name="40% - Accent4 3 3 2 2 2" xfId="12954" xr:uid="{B6345045-4CC6-4D1B-BFB1-CF40CC645DA3}"/>
    <cellStyle name="40% - Accent4 3 3 2 3" xfId="12955" xr:uid="{D03BCC3A-F0AD-4FAD-BD17-FB81D5495540}"/>
    <cellStyle name="40% - Accent4 3 3 3" xfId="3632" xr:uid="{1E27AB21-FA99-4D5F-8B22-34462932AA18}"/>
    <cellStyle name="40% - Accent4 3 3 3 2" xfId="12956" xr:uid="{10D1631B-5E8A-4028-80BD-F739FFD9FFCA}"/>
    <cellStyle name="40% - Accent4 3 3 4" xfId="3633" xr:uid="{BA7483CF-B9FE-46BA-8FAC-EB38B2360943}"/>
    <cellStyle name="40% - Accent4 3 3 4 2" xfId="12957" xr:uid="{0BA971B5-3D00-4249-BDD0-2C1A12252A32}"/>
    <cellStyle name="40% - Accent4 3 3 5" xfId="12958" xr:uid="{5E50F53C-7463-427C-80A7-E9869577F706}"/>
    <cellStyle name="40% - Accent4 3 4" xfId="3634" xr:uid="{CD486473-FB08-45CB-A733-7398B104037F}"/>
    <cellStyle name="40% - Accent4 3 4 2" xfId="3635" xr:uid="{CEB8CE33-9E34-4CE7-9A1C-FB87E00F2B61}"/>
    <cellStyle name="40% - Accent4 3 4 2 2" xfId="12959" xr:uid="{52173213-900A-4705-9E1A-1169831412FD}"/>
    <cellStyle name="40% - Accent4 3 4 3" xfId="3636" xr:uid="{806B71F5-68C3-4652-ADF3-844B0651CB7A}"/>
    <cellStyle name="40% - Accent4 3 4 3 2" xfId="12960" xr:uid="{420C93C9-5B21-429F-AE42-1717206C41EA}"/>
    <cellStyle name="40% - Accent4 3 4 4" xfId="12961" xr:uid="{28AD57F9-7F0B-4C84-9C67-1FEF6E814D1B}"/>
    <cellStyle name="40% - Accent4 3 5" xfId="3637" xr:uid="{05AC6009-D123-4144-85B0-25BD7D0B26F7}"/>
    <cellStyle name="40% - Accent4 3 5 2" xfId="3638" xr:uid="{ACA16505-3A90-457F-8756-0D0CB775FABC}"/>
    <cellStyle name="40% - Accent4 3 5 2 2" xfId="12962" xr:uid="{9EA9CF93-1E77-4B9E-B825-4C26D8F61D3D}"/>
    <cellStyle name="40% - Accent4 3 5 3" xfId="3639" xr:uid="{A812ED6B-0621-4888-BCA3-79ECEDD18BBC}"/>
    <cellStyle name="40% - Accent4 3 5 4" xfId="12963" xr:uid="{E8C09A42-2612-4503-9DFB-3DBBF91CBFF8}"/>
    <cellStyle name="40% - Accent4 3 6" xfId="3640" xr:uid="{590CD9C3-ACBE-46EE-B36A-B73956EE7364}"/>
    <cellStyle name="40% - Accent4 3 6 2" xfId="12964" xr:uid="{E6704736-103C-4625-993D-DFFF72FA6313}"/>
    <cellStyle name="40% - Accent4 3 7" xfId="3641" xr:uid="{6C44754E-F63D-470A-91F8-B35F5AAA22B1}"/>
    <cellStyle name="40% - Accent4 3 8" xfId="3642" xr:uid="{EC3085B4-37D3-4F11-A2B6-3B2D488A5217}"/>
    <cellStyle name="40% - Accent4 3 8 2" xfId="12965" xr:uid="{5E9F2A35-E784-40B7-9668-295836B7D2D0}"/>
    <cellStyle name="40% - Accent4 4" xfId="12966" xr:uid="{44A9DB1E-45D0-4754-963D-D602F9D11020}"/>
    <cellStyle name="40% - Accent4 5" xfId="44280" xr:uid="{16E4044B-DBC7-4B78-A86C-B00DC8CE548E}"/>
    <cellStyle name="40% - Accent4 6" xfId="44295" xr:uid="{64998D99-93E6-4751-8014-74ADC796373F}"/>
    <cellStyle name="40% - Accent4 7" xfId="44314" xr:uid="{D5AFBF84-D79C-46FA-8552-32F24A81EE85}"/>
    <cellStyle name="40% - Accent4 8" xfId="44228" xr:uid="{5F87F74D-A887-45F4-9D74-A64A48A2DD9E}"/>
    <cellStyle name="40% - Accent5 2" xfId="89" xr:uid="{7B040AF0-B88F-460F-96B2-3370B5DDF32C}"/>
    <cellStyle name="40% - Accent5 2 2" xfId="3643" xr:uid="{37DF2DC5-31A7-442A-AAB1-55C238E96178}"/>
    <cellStyle name="40% - Accent5 2 2 2" xfId="3644" xr:uid="{E3EBDC2A-3E82-4A28-961D-40D0D1022BC2}"/>
    <cellStyle name="40% - Accent5 2 2 3" xfId="3645" xr:uid="{E1BC3F3F-5FF4-4016-8563-EFD8C0106951}"/>
    <cellStyle name="40% - Accent5 2 2 4" xfId="44795" xr:uid="{6C3CFE2A-B874-44FA-86CD-B46894FD7ADD}"/>
    <cellStyle name="40% - Accent5 2 3" xfId="3646" xr:uid="{EDECC373-105E-4B98-B6DE-5F0B345E516F}"/>
    <cellStyle name="40% - Accent5 2 4" xfId="3647" xr:uid="{73D41F0C-E25D-49FC-8342-43F0B9B96963}"/>
    <cellStyle name="40% - Accent5 2 5" xfId="3648" xr:uid="{98F16177-867B-47EF-AC1B-FF81093EFEE4}"/>
    <cellStyle name="40% - Accent5 2 6" xfId="3649" xr:uid="{A60AB245-2849-4360-8D5D-BA1836F28F11}"/>
    <cellStyle name="40% - Accent5 2 7" xfId="44777" xr:uid="{26AD6ADB-304F-4ED2-832B-FD3224202EB7}"/>
    <cellStyle name="40% - Accent5 3" xfId="90" xr:uid="{137B7895-86E7-4D6E-ABAD-BFD59006897F}"/>
    <cellStyle name="40% - Accent5 3 2" xfId="3650" xr:uid="{84B154F1-57AB-49A2-9B42-BD4D4E3BBB4A}"/>
    <cellStyle name="40% - Accent5 3 2 2" xfId="3651" xr:uid="{04D958FF-AC00-4328-9204-AFAFAFE1B368}"/>
    <cellStyle name="40% - Accent5 3 2 2 2" xfId="3652" xr:uid="{CB4CF97B-69F5-4422-8BBD-55BAC9FDF063}"/>
    <cellStyle name="40% - Accent5 3 2 2 2 2" xfId="12967" xr:uid="{00BD1F33-41A1-4477-8BFA-A793A41B58EC}"/>
    <cellStyle name="40% - Accent5 3 2 2 3" xfId="3653" xr:uid="{D70B7D0C-5E69-4FB4-8150-1713E278DF04}"/>
    <cellStyle name="40% - Accent5 3 2 2 3 2" xfId="12968" xr:uid="{84176DF8-22C0-4E1D-9F90-40A7B871F4A6}"/>
    <cellStyle name="40% - Accent5 3 2 2 4" xfId="12969" xr:uid="{30E5683E-2DC9-4D2F-9618-0D33C3A12C8A}"/>
    <cellStyle name="40% - Accent5 3 2 3" xfId="3654" xr:uid="{CF1B5EF5-36AE-4940-9874-9F6F3E10373E}"/>
    <cellStyle name="40% - Accent5 3 2 4" xfId="3655" xr:uid="{E46B3242-2859-4FBE-B26E-803D7B602637}"/>
    <cellStyle name="40% - Accent5 3 2 4 2" xfId="12970" xr:uid="{D099A8B1-9934-485C-B889-091B8C9B62F4}"/>
    <cellStyle name="40% - Accent5 3 2 5" xfId="3656" xr:uid="{C0DF335B-BE69-4502-8079-FE35505094B2}"/>
    <cellStyle name="40% - Accent5 3 2 6" xfId="12971" xr:uid="{8BA4FE78-049C-4E0A-A2FA-B4F54CA22622}"/>
    <cellStyle name="40% - Accent5 3 2 7" xfId="44793" xr:uid="{8DC5BA25-1A5E-4797-953F-C24EEB902681}"/>
    <cellStyle name="40% - Accent5 3 3" xfId="3657" xr:uid="{4134B563-D858-4C1F-AD97-5004210F01CB}"/>
    <cellStyle name="40% - Accent5 3 3 2" xfId="3658" xr:uid="{42858DD8-9028-4638-B796-F255D363A9B6}"/>
    <cellStyle name="40% - Accent5 3 3 2 2" xfId="3659" xr:uid="{5B76A7A0-5812-4C2F-A7A3-15EB18B0493E}"/>
    <cellStyle name="40% - Accent5 3 3 2 2 2" xfId="12972" xr:uid="{E89E3E85-22D3-4DDE-8286-26F4E9098C36}"/>
    <cellStyle name="40% - Accent5 3 3 2 3" xfId="12973" xr:uid="{6810C2D7-BA6F-415D-AE6C-91749B496F64}"/>
    <cellStyle name="40% - Accent5 3 3 3" xfId="3660" xr:uid="{E3B8DC50-25B3-4276-92BD-C7BB50716C61}"/>
    <cellStyle name="40% - Accent5 3 3 3 2" xfId="12974" xr:uid="{33E1E477-B31F-4CF3-B016-545AB5CFF9F3}"/>
    <cellStyle name="40% - Accent5 3 3 4" xfId="3661" xr:uid="{C9C3091D-5F95-4FD8-9F75-A479CA62597C}"/>
    <cellStyle name="40% - Accent5 3 3 4 2" xfId="12975" xr:uid="{8872DBE7-A192-48E5-90BA-9350E39CBA9B}"/>
    <cellStyle name="40% - Accent5 3 3 5" xfId="12976" xr:uid="{1BED36E2-00D4-4F4E-A72D-7F7996C0A2E8}"/>
    <cellStyle name="40% - Accent5 3 4" xfId="3662" xr:uid="{6AB62BE4-96B0-4D7E-A9F2-EDB3741C2089}"/>
    <cellStyle name="40% - Accent5 3 4 2" xfId="3663" xr:uid="{0707787B-7FAB-4FBE-8D5A-95C5D8EBB227}"/>
    <cellStyle name="40% - Accent5 3 4 2 2" xfId="12977" xr:uid="{9E9E36A5-C784-4BED-8F78-ADFEAEDA098A}"/>
    <cellStyle name="40% - Accent5 3 4 3" xfId="3664" xr:uid="{36DB8E6F-7DA3-44CC-AC4A-27A8F3EC5147}"/>
    <cellStyle name="40% - Accent5 3 4 3 2" xfId="12978" xr:uid="{189FD427-74EF-41DA-B4F8-6207A0BB1332}"/>
    <cellStyle name="40% - Accent5 3 4 4" xfId="12979" xr:uid="{24ABA016-2190-4403-A6A4-D946138A3CF2}"/>
    <cellStyle name="40% - Accent5 3 5" xfId="3665" xr:uid="{0E30D413-EF9F-4454-B5BB-5CD6D60F09A4}"/>
    <cellStyle name="40% - Accent5 3 5 2" xfId="3666" xr:uid="{F7D56D2B-855A-4810-869C-368EA90BB971}"/>
    <cellStyle name="40% - Accent5 3 5 2 2" xfId="12980" xr:uid="{A454EE0C-F371-422B-B54C-599131D176BB}"/>
    <cellStyle name="40% - Accent5 3 5 3" xfId="3667" xr:uid="{170F0749-FF6A-409B-B2DE-D1F0727E4BB2}"/>
    <cellStyle name="40% - Accent5 3 5 4" xfId="12981" xr:uid="{2444D161-0D62-472A-A2F3-873D4D44663C}"/>
    <cellStyle name="40% - Accent5 3 6" xfId="3668" xr:uid="{3ED07DF9-66DD-4F2A-B1F1-29D6C0DAD63B}"/>
    <cellStyle name="40% - Accent5 3 6 2" xfId="12982" xr:uid="{2F702AD6-58B4-454C-B8FF-3F76E4D2B052}"/>
    <cellStyle name="40% - Accent5 3 7" xfId="3669" xr:uid="{91155E71-BA0C-4C89-9AC8-C48AEA3C06A7}"/>
    <cellStyle name="40% - Accent5 3 8" xfId="3670" xr:uid="{FC92F5ED-539C-4260-8524-582441756636}"/>
    <cellStyle name="40% - Accent5 3 8 2" xfId="12983" xr:uid="{F74A66C8-36E1-411D-86EF-79975645EC0D}"/>
    <cellStyle name="40% - Accent5 3 9" xfId="44771" xr:uid="{C4E0C402-6F8A-43B7-8BF2-92AEEBC35666}"/>
    <cellStyle name="40% - Accent5 4" xfId="12984" xr:uid="{17B255E3-6A52-44E5-9FEE-7E194FF472C5}"/>
    <cellStyle name="40% - Accent5 4 2" xfId="44785" xr:uid="{1232AC64-DEFC-4C60-92DD-CF88795EC809}"/>
    <cellStyle name="40% - Accent5 5" xfId="44282" xr:uid="{75629AA6-8143-472D-8F69-17F50C250686}"/>
    <cellStyle name="40% - Accent5 6" xfId="44298" xr:uid="{43157096-0903-4F17-86A3-E9B6643FC7C7}"/>
    <cellStyle name="40% - Accent5 7" xfId="44316" xr:uid="{43B223D5-1AF8-44F3-9D6D-6D01B8C38256}"/>
    <cellStyle name="40% - Accent5 8" xfId="44232" xr:uid="{537EC9A7-9B42-4015-9528-72E2584ED738}"/>
    <cellStyle name="40% - Accent6 2" xfId="91" xr:uid="{46F61F5A-5B1A-4838-B087-C095AC3E252D}"/>
    <cellStyle name="40% - Accent6 2 2" xfId="3671" xr:uid="{BA7D8BE8-65AB-4227-A8AA-D71B340D1BEB}"/>
    <cellStyle name="40% - Accent6 2 2 2" xfId="3672" xr:uid="{C70F8358-A976-4E0D-8A7C-CF14BE66FF38}"/>
    <cellStyle name="40% - Accent6 2 2 3" xfId="3673" xr:uid="{371A5FEE-ED91-49A7-A83D-BE9C48FDC039}"/>
    <cellStyle name="40% - Accent6 2 3" xfId="3674" xr:uid="{603B8B4B-0B0B-4B42-BCEB-96A24C23496B}"/>
    <cellStyle name="40% - Accent6 2 4" xfId="3675" xr:uid="{FC6CAD94-A5C7-4E2B-A861-6A01974EBAC3}"/>
    <cellStyle name="40% - Accent6 2 5" xfId="3676" xr:uid="{9C395795-7680-4A07-B13F-1160DB5C264A}"/>
    <cellStyle name="40% - Accent6 2 6" xfId="3677" xr:uid="{51D912A5-5DBD-44FE-AF84-4B6758C0F822}"/>
    <cellStyle name="40% - Accent6 3" xfId="92" xr:uid="{272C0E3C-C5F1-48FD-B530-23538AE92146}"/>
    <cellStyle name="40% - Accent6 3 2" xfId="3678" xr:uid="{02A1E957-0D22-4C77-8FE3-CB6F35BD8724}"/>
    <cellStyle name="40% - Accent6 3 2 2" xfId="3679" xr:uid="{FBF536CD-99ED-491A-AD73-F8AC241D981C}"/>
    <cellStyle name="40% - Accent6 3 2 2 2" xfId="3680" xr:uid="{5B10F80D-06FF-406E-A791-FF2FFB179B43}"/>
    <cellStyle name="40% - Accent6 3 2 2 2 2" xfId="12985" xr:uid="{0954B0D0-053E-48A3-8C14-E2B2407024D7}"/>
    <cellStyle name="40% - Accent6 3 2 2 3" xfId="3681" xr:uid="{5CA1CF54-B135-4E1B-8732-E8619FC36B5B}"/>
    <cellStyle name="40% - Accent6 3 2 2 3 2" xfId="12986" xr:uid="{48A89598-03CC-46B9-9836-E7DC91222AD1}"/>
    <cellStyle name="40% - Accent6 3 2 2 4" xfId="12987" xr:uid="{FABAF88A-9EB7-4684-9F61-6BF1D28DCBF4}"/>
    <cellStyle name="40% - Accent6 3 2 3" xfId="3682" xr:uid="{1FE5DAA5-3196-49B6-9920-E83E6D374E29}"/>
    <cellStyle name="40% - Accent6 3 2 4" xfId="3683" xr:uid="{837363D3-92C7-4390-86EB-F8BC1B176F81}"/>
    <cellStyle name="40% - Accent6 3 2 4 2" xfId="12988" xr:uid="{CD723B73-E8AA-4714-A2CF-DCA240B671E6}"/>
    <cellStyle name="40% - Accent6 3 2 5" xfId="3684" xr:uid="{540BD249-3A03-4A7A-82B3-9289FE6914D0}"/>
    <cellStyle name="40% - Accent6 3 2 6" xfId="12989" xr:uid="{048D9D7D-48A5-440C-BD97-985AA3773BAC}"/>
    <cellStyle name="40% - Accent6 3 3" xfId="3685" xr:uid="{61714B79-9539-4954-AA7E-C55A48702206}"/>
    <cellStyle name="40% - Accent6 3 3 2" xfId="3686" xr:uid="{5D9CD1C9-CCCE-4C58-8C29-FD7138E567EE}"/>
    <cellStyle name="40% - Accent6 3 3 2 2" xfId="3687" xr:uid="{56A2BACC-162D-4F9A-8E28-58EF1321C2AD}"/>
    <cellStyle name="40% - Accent6 3 3 2 2 2" xfId="12990" xr:uid="{59F2DA91-A9B6-45AF-B836-51B5EBCB1F6A}"/>
    <cellStyle name="40% - Accent6 3 3 2 3" xfId="12991" xr:uid="{00C5163A-9730-45D6-B696-9F016BFF5901}"/>
    <cellStyle name="40% - Accent6 3 3 3" xfId="3688" xr:uid="{E51EC3AB-1D78-4CA7-B602-5273F1FC206C}"/>
    <cellStyle name="40% - Accent6 3 3 3 2" xfId="12992" xr:uid="{0E882A72-6412-4D6A-9EFE-9CD03E947DC5}"/>
    <cellStyle name="40% - Accent6 3 3 4" xfId="3689" xr:uid="{3ECB409B-C5C6-41F2-BB91-4AD8315A51BC}"/>
    <cellStyle name="40% - Accent6 3 3 4 2" xfId="12993" xr:uid="{16FDC2E0-3AC4-4175-98A5-1490E3C2A3C5}"/>
    <cellStyle name="40% - Accent6 3 3 5" xfId="12994" xr:uid="{BDD73AF5-1341-416B-9B5B-8209DD6647C2}"/>
    <cellStyle name="40% - Accent6 3 4" xfId="3690" xr:uid="{7971CDEE-9A92-4BAD-BC18-DD5B77104872}"/>
    <cellStyle name="40% - Accent6 3 4 2" xfId="3691" xr:uid="{BC3F4A26-E0D4-486D-B515-C3F53BBA5F30}"/>
    <cellStyle name="40% - Accent6 3 4 2 2" xfId="12995" xr:uid="{345B3549-8E8F-4A71-ADD5-EE1D8D85627A}"/>
    <cellStyle name="40% - Accent6 3 4 3" xfId="3692" xr:uid="{9298460E-56D6-48D2-AB40-8AF9BC66FB1D}"/>
    <cellStyle name="40% - Accent6 3 4 3 2" xfId="12996" xr:uid="{9BCF131F-8A9D-4B82-8ACB-BAADE478A73F}"/>
    <cellStyle name="40% - Accent6 3 4 4" xfId="12997" xr:uid="{B224A192-B7C0-4D64-8D56-1864835FE9FB}"/>
    <cellStyle name="40% - Accent6 3 5" xfId="3693" xr:uid="{95F5A635-4E79-4A80-8AA5-C18A205FBB01}"/>
    <cellStyle name="40% - Accent6 3 5 2" xfId="3694" xr:uid="{CCBE8D6B-E06B-490A-A0D8-BBF127C20E5B}"/>
    <cellStyle name="40% - Accent6 3 5 2 2" xfId="12998" xr:uid="{2A785E19-B4E3-45EA-A2FB-416185B96057}"/>
    <cellStyle name="40% - Accent6 3 5 3" xfId="3695" xr:uid="{45CB8794-FF01-4D0A-97A4-1098180CB0FD}"/>
    <cellStyle name="40% - Accent6 3 5 4" xfId="12999" xr:uid="{C92AE530-FF17-413F-9865-4346071448C5}"/>
    <cellStyle name="40% - Accent6 3 6" xfId="3696" xr:uid="{97F0C571-7A28-4DC7-81E6-3192C4B7928F}"/>
    <cellStyle name="40% - Accent6 3 6 2" xfId="13000" xr:uid="{5156581A-083B-48FE-921E-EC5DAEFD92E5}"/>
    <cellStyle name="40% - Accent6 3 7" xfId="3697" xr:uid="{BAB50EBA-5A5A-42EE-A9EE-133D4BFE10E6}"/>
    <cellStyle name="40% - Accent6 3 8" xfId="3698" xr:uid="{20579EA5-9595-4CF7-838F-F1B7F95E1671}"/>
    <cellStyle name="40% - Accent6 3 8 2" xfId="13001" xr:uid="{648988B0-4A42-464E-B09D-1FF6C2F78B2B}"/>
    <cellStyle name="40% - Accent6 4" xfId="13002" xr:uid="{AC604A3C-A0B8-4C5B-A6CF-A49054A12396}"/>
    <cellStyle name="40% - Accent6 5" xfId="44284" xr:uid="{CE863643-3DDB-4093-8F97-15BC8B57A602}"/>
    <cellStyle name="40% - Accent6 6" xfId="44300" xr:uid="{CF6CA38F-DA35-49D2-B2D4-2F7A8317538D}"/>
    <cellStyle name="40% - Accent6 7" xfId="44318" xr:uid="{9FB1B379-49D5-4AAA-BF87-5924A2278841}"/>
    <cellStyle name="40% - Accent6 8" xfId="44235" xr:uid="{ECD54E10-A421-4C07-A912-87842382532C}"/>
    <cellStyle name="60% - Accent1 2" xfId="93" xr:uid="{DB5B829A-44AB-4392-92E0-FCEEF41538A5}"/>
    <cellStyle name="60% - Accent1 2 2" xfId="3699" xr:uid="{DA232BEE-4ABF-44DF-A723-520600A47E6B}"/>
    <cellStyle name="60% - Accent1 2 2 2" xfId="3700" xr:uid="{CD973F32-0056-4444-B883-34EA0CA8C161}"/>
    <cellStyle name="60% - Accent1 2 3" xfId="3701" xr:uid="{353AA39F-4DD4-4DAB-97B5-20A38FD6E906}"/>
    <cellStyle name="60% - Accent1 2 4" xfId="3702" xr:uid="{56867C75-2BA7-4B51-965B-25099168E25D}"/>
    <cellStyle name="60% - Accent1 3" xfId="3703" xr:uid="{4A13A2D8-4C75-4CA4-B9FA-01C2C7D2656A}"/>
    <cellStyle name="60% - Accent1 3 2" xfId="3704" xr:uid="{8C30F3D9-358C-44C7-9DC3-B5A5B879D872}"/>
    <cellStyle name="60% - Accent1 3 3" xfId="3705" xr:uid="{E6701235-A8ED-4D38-9234-1794258ECE42}"/>
    <cellStyle name="60% - Accent1 3 4" xfId="3706" xr:uid="{0302457C-1ECF-454D-8AE7-17D32C7AEC08}"/>
    <cellStyle name="60% - Accent1 4" xfId="44217" xr:uid="{242E0C69-D87E-4E69-B543-65420D90D077}"/>
    <cellStyle name="60% - Accent2 2" xfId="94" xr:uid="{11407760-A5F8-4F3A-A39D-14E5C6571223}"/>
    <cellStyle name="60% - Accent2 2 2" xfId="3707" xr:uid="{82556E82-E1D9-4408-B01A-103E2380DAFA}"/>
    <cellStyle name="60% - Accent2 2 2 2" xfId="3708" xr:uid="{D4AE0840-8604-46C1-A5FB-6D192D0EBBF4}"/>
    <cellStyle name="60% - Accent2 2 3" xfId="3709" xr:uid="{9CDF0039-9C67-49B5-A97C-9CF11B8F3311}"/>
    <cellStyle name="60% - Accent2 2 4" xfId="3710" xr:uid="{2FBFA407-CB28-4094-BEF4-9678729D5597}"/>
    <cellStyle name="60% - Accent2 3" xfId="3711" xr:uid="{56D0214F-C5E4-461D-BE9C-885797838E03}"/>
    <cellStyle name="60% - Accent2 3 2" xfId="3712" xr:uid="{AEC0D21D-F37D-4DFC-9CEF-D895450BE3E2}"/>
    <cellStyle name="60% - Accent2 3 3" xfId="3713" xr:uid="{565CD350-26C7-4B69-B93E-9F994A3060D5}"/>
    <cellStyle name="60% - Accent2 3 4" xfId="3714" xr:uid="{91853BB7-2221-4134-8838-60A4B7C1F687}"/>
    <cellStyle name="60% - Accent2 4" xfId="44221" xr:uid="{E006E719-99FE-49F0-9A9B-7C7B2B0EA6AE}"/>
    <cellStyle name="60% - Accent3 2" xfId="95" xr:uid="{7AF3B04B-0B17-4FB7-B880-31C4F8A97B2F}"/>
    <cellStyle name="60% - Accent3 2 2" xfId="3715" xr:uid="{83D12F95-15B6-4BEA-AD42-D756FC1CF860}"/>
    <cellStyle name="60% - Accent3 2 2 2" xfId="3716" xr:uid="{A392C77F-A9E3-402D-8ACF-2B204FF620DD}"/>
    <cellStyle name="60% - Accent3 2 3" xfId="3717" xr:uid="{32DA115A-36BA-4F22-95B2-0D998F7AEF5A}"/>
    <cellStyle name="60% - Accent3 2 4" xfId="3718" xr:uid="{77CD88F1-F4E3-4682-B638-EE9C2B8A8E57}"/>
    <cellStyle name="60% - Accent3 2 5" xfId="3719" xr:uid="{7F338A9B-646E-452C-8BDB-3ED8C5E3F3A7}"/>
    <cellStyle name="60% - Accent3 2 6" xfId="3720" xr:uid="{33A411F1-10A6-4217-B49C-B65FDFEA9432}"/>
    <cellStyle name="60% - Accent3 3" xfId="3721" xr:uid="{4E973396-CFF0-4C48-B51C-D67364457B2D}"/>
    <cellStyle name="60% - Accent3 3 2" xfId="3722" xr:uid="{15622E31-2E5A-4067-AE56-C995EF4981D3}"/>
    <cellStyle name="60% - Accent3 3 3" xfId="3723" xr:uid="{18CCD049-E1F1-4BA7-A017-A9D0ABA77725}"/>
    <cellStyle name="60% - Accent3 3 4" xfId="3724" xr:uid="{224583EB-E29B-47DF-9259-469D5F1EEACE}"/>
    <cellStyle name="60% - Accent3 4" xfId="3725" xr:uid="{B5E66775-2D5B-40AD-BEE8-EBED056DAF08}"/>
    <cellStyle name="60% - Accent3 5" xfId="3726" xr:uid="{401329CD-C3AD-405B-9123-4CBA581AB9A7}"/>
    <cellStyle name="60% - Accent3 6" xfId="3727" xr:uid="{54BE0B89-FAF5-46E2-BBA4-427A76CB6288}"/>
    <cellStyle name="60% - Accent3 7" xfId="44225" xr:uid="{78614DEE-0037-409D-8689-EF8C3B1EB084}"/>
    <cellStyle name="60% - Accent4 2" xfId="96" xr:uid="{E36B1B44-46FD-4AE2-8BC7-73D63FBC6D94}"/>
    <cellStyle name="60% - Accent4 2 2" xfId="3728" xr:uid="{194F1244-0B84-4150-A02B-26237CD7E1F2}"/>
    <cellStyle name="60% - Accent4 2 2 2" xfId="3729" xr:uid="{A075B50A-92EE-4448-9984-F14A7965E0DC}"/>
    <cellStyle name="60% - Accent4 2 3" xfId="3730" xr:uid="{F00773A6-8E49-40E8-9420-AFC10B127164}"/>
    <cellStyle name="60% - Accent4 2 4" xfId="3731" xr:uid="{4666ED6F-9603-49F4-994C-099B0DC6AA23}"/>
    <cellStyle name="60% - Accent4 2 5" xfId="3732" xr:uid="{68FAFB7C-96EC-4C20-8E35-8087CBD9E8DE}"/>
    <cellStyle name="60% - Accent4 2 6" xfId="3733" xr:uid="{A20B2D47-2D7C-42FB-B438-82C55A27928A}"/>
    <cellStyle name="60% - Accent4 3" xfId="3734" xr:uid="{C382C02F-FB25-47CB-92F5-3D8D64025880}"/>
    <cellStyle name="60% - Accent4 3 2" xfId="3735" xr:uid="{53D3C5F7-A213-4F86-8C00-17D9F3F90653}"/>
    <cellStyle name="60% - Accent4 3 3" xfId="3736" xr:uid="{BEA5AEC1-F833-463E-97FD-CCECA8703039}"/>
    <cellStyle name="60% - Accent4 3 4" xfId="3737" xr:uid="{3A873A7C-D1FE-4AA3-B305-5906F3D64A4F}"/>
    <cellStyle name="60% - Accent4 4" xfId="3738" xr:uid="{D88D05AB-D731-4FAA-9B48-7E1F6CF340BD}"/>
    <cellStyle name="60% - Accent4 5" xfId="3739" xr:uid="{458672B6-F9FB-4742-8C74-94908C03DF7B}"/>
    <cellStyle name="60% - Accent4 6" xfId="3740" xr:uid="{93FB70FF-0324-4D5D-9836-474A631818EE}"/>
    <cellStyle name="60% - Accent4 7" xfId="44229" xr:uid="{0B14C9F3-ECEF-4B0D-B2AC-AC61FE306FD7}"/>
    <cellStyle name="60% - Accent5 2" xfId="97" xr:uid="{345A8213-9D12-4BF9-9890-DC78CE833A51}"/>
    <cellStyle name="60% - Accent5 2 2" xfId="3741" xr:uid="{6967082B-B33B-4C6F-9C88-BE4755DEA5E0}"/>
    <cellStyle name="60% - Accent5 2 2 2" xfId="3742" xr:uid="{D2666EB6-3BB6-4818-B40B-C6F93C6BD002}"/>
    <cellStyle name="60% - Accent5 2 3" xfId="3743" xr:uid="{69C94B32-4F48-4151-8DFD-3D7D6B1295DB}"/>
    <cellStyle name="60% - Accent5 2 4" xfId="3744" xr:uid="{16CFC7EC-3467-49F5-9E30-14110E80555C}"/>
    <cellStyle name="60% - Accent5 3" xfId="3745" xr:uid="{A866DB73-B4A7-4C63-BC3F-5528F0EF971F}"/>
    <cellStyle name="60% - Accent5 3 2" xfId="3746" xr:uid="{C60A53B3-A7ED-4CB8-85DD-DF82AA879E65}"/>
    <cellStyle name="60% - Accent5 3 3" xfId="3747" xr:uid="{D8B1C1B0-4E8E-4CB1-B0D3-85E43853FED7}"/>
    <cellStyle name="60% - Accent5 3 4" xfId="3748" xr:uid="{383692B7-1D71-4DB5-8625-1515AAAB859E}"/>
    <cellStyle name="60% - Accent5 4" xfId="44233" xr:uid="{58F1C5B4-6E20-42D9-A825-B47FE4F4924C}"/>
    <cellStyle name="60% - Accent6 2" xfId="98" xr:uid="{1D6BF23D-9FC2-4E83-929B-D2CB4C93D684}"/>
    <cellStyle name="60% - Accent6 2 2" xfId="3749" xr:uid="{D4B09321-91E1-4840-B23F-F62A20C1C8D3}"/>
    <cellStyle name="60% - Accent6 2 2 2" xfId="3750" xr:uid="{E610A845-32FB-4EDE-A2FF-79E1CCB3716C}"/>
    <cellStyle name="60% - Accent6 2 3" xfId="3751" xr:uid="{494BACEE-8A3B-4666-AB99-E1C6C79A79A8}"/>
    <cellStyle name="60% - Accent6 2 4" xfId="3752" xr:uid="{C75F7453-80F7-406B-937B-0427054700CE}"/>
    <cellStyle name="60% - Accent6 2 5" xfId="3753" xr:uid="{7AC8EF05-5178-494B-BE6A-A97EC505DB66}"/>
    <cellStyle name="60% - Accent6 2 6" xfId="3754" xr:uid="{CF7A3692-6108-4772-A843-3D1C6ED190C5}"/>
    <cellStyle name="60% - Accent6 3" xfId="3755" xr:uid="{BF19D8E2-0732-473B-A9DE-4063BC68174E}"/>
    <cellStyle name="60% - Accent6 3 2" xfId="3756" xr:uid="{D873C984-89D7-4DE1-BAF2-877269D8DC0F}"/>
    <cellStyle name="60% - Accent6 3 3" xfId="3757" xr:uid="{0F78C473-4D73-4FF9-BAA9-DEDB1A024757}"/>
    <cellStyle name="60% - Accent6 3 4" xfId="3758" xr:uid="{C54C921C-9F30-4278-B7B6-5071597BD652}"/>
    <cellStyle name="60% - Accent6 4" xfId="3759" xr:uid="{071952CC-5B59-4078-ABD9-29BCA93F201E}"/>
    <cellStyle name="60% - Accent6 5" xfId="3760" xr:uid="{5890D41C-9B60-4C76-987A-680763ED7352}"/>
    <cellStyle name="60% - Accent6 6" xfId="3761" xr:uid="{61A95913-0206-40C9-8235-75C262B5E088}"/>
    <cellStyle name="60% - Accent6 7" xfId="44236" xr:uid="{457465CE-D9FC-4AC7-9293-EFF2B0DA33AC}"/>
    <cellStyle name="Accent1 - 20%" xfId="99" xr:uid="{F67B846A-0D2A-473A-98C9-5596215055CC}"/>
    <cellStyle name="Accent1 - 20% 2" xfId="100" xr:uid="{46AFE190-323B-4A98-9C34-016AE22DE474}"/>
    <cellStyle name="Accent1 - 40%" xfId="101" xr:uid="{57EFDDA7-2926-4C84-9587-3C22E3840E55}"/>
    <cellStyle name="Accent1 - 40% 2" xfId="102" xr:uid="{57031B37-EA48-44D6-84AF-74AC44450829}"/>
    <cellStyle name="Accent1 - 60%" xfId="103" xr:uid="{7446DAD6-691D-4510-A1A9-3E0611CD21E5}"/>
    <cellStyle name="Accent1 2" xfId="104" xr:uid="{94F79C87-006E-494C-ADF5-A8981331AA19}"/>
    <cellStyle name="Accent1 2 2" xfId="3762" xr:uid="{D09444D5-CD28-4A13-9EAE-1CA19A1EF09A}"/>
    <cellStyle name="Accent1 2 2 2" xfId="3763" xr:uid="{ED6CECF5-54E3-4D58-BA3E-8329C38AA016}"/>
    <cellStyle name="Accent1 2 3" xfId="3764" xr:uid="{8FBC09F3-6055-4DBC-B4CD-16739B28C2BC}"/>
    <cellStyle name="Accent1 2 4" xfId="3765" xr:uid="{2C3A1FFC-3314-44CF-8971-E57F33F33C56}"/>
    <cellStyle name="Accent1 3" xfId="105" xr:uid="{4DDE6093-5FB9-4849-B7FF-07C0D63FBC5D}"/>
    <cellStyle name="Accent1 3 2" xfId="3766" xr:uid="{25609DEF-1D67-4903-BE12-995A512D72B2}"/>
    <cellStyle name="Accent1 3 3" xfId="3767" xr:uid="{9C776FF6-8217-4971-BE56-0D0AEF24804A}"/>
    <cellStyle name="Accent1 3 4" xfId="3768" xr:uid="{461D87E4-68F8-4D16-BDCB-F17825E193F4}"/>
    <cellStyle name="Accent1 3 5" xfId="3769" xr:uid="{96D66653-771F-4776-BCE8-C104CC78CB27}"/>
    <cellStyle name="Accent1 4" xfId="106" xr:uid="{387C64BC-8916-468F-874B-C834300EDF52}"/>
    <cellStyle name="Accent1 5" xfId="13003" xr:uid="{DFE6A5AC-21D6-4741-9F45-65ED53BE77E2}"/>
    <cellStyle name="Accent1 6" xfId="44215" xr:uid="{615DC67C-8C0C-4AB0-9829-B62AE1A616CD}"/>
    <cellStyle name="Accent2 - 20%" xfId="107" xr:uid="{D68FDA46-6C1C-48C5-A9BB-75309BC1CB03}"/>
    <cellStyle name="Accent2 - 20% 2" xfId="108" xr:uid="{BE7E95C0-5D11-480E-A2D3-AFE865156870}"/>
    <cellStyle name="Accent2 - 40%" xfId="109" xr:uid="{AE164ECC-EBED-4D4D-9FA2-A04C251EFCB6}"/>
    <cellStyle name="Accent2 - 40% 2" xfId="110" xr:uid="{3EE8A850-F91C-4FCE-A464-B9E786A8AFB3}"/>
    <cellStyle name="Accent2 - 60%" xfId="111" xr:uid="{CAA27697-9A38-4A4F-BB94-6F965EE4E633}"/>
    <cellStyle name="Accent2 2" xfId="112" xr:uid="{74902099-B80A-45F7-98E3-1C1EC938C2A5}"/>
    <cellStyle name="Accent2 2 2" xfId="3770" xr:uid="{DD457E43-8C41-4222-878F-98483401A33B}"/>
    <cellStyle name="Accent2 2 2 2" xfId="3771" xr:uid="{8F578919-81FE-42E0-AF1B-BB78713D6F9C}"/>
    <cellStyle name="Accent2 2 3" xfId="3772" xr:uid="{F5EEF0E3-D62E-4CA1-B48F-F097A29DCF3C}"/>
    <cellStyle name="Accent2 2 4" xfId="3773" xr:uid="{4CE23C4B-9846-4FA3-8B37-A147427EA643}"/>
    <cellStyle name="Accent2 3" xfId="113" xr:uid="{34E84965-80C4-4D65-8512-E531EF34D302}"/>
    <cellStyle name="Accent2 3 2" xfId="3774" xr:uid="{764C5D73-9B10-49DB-B986-04504C60FBA2}"/>
    <cellStyle name="Accent2 3 3" xfId="3775" xr:uid="{B799339B-860E-4647-A9BD-1227DD57C675}"/>
    <cellStyle name="Accent2 3 4" xfId="3776" xr:uid="{519D5090-8B24-42ED-BB9D-3634B3BF2890}"/>
    <cellStyle name="Accent2 3 5" xfId="3777" xr:uid="{C032C320-F182-4A37-A66F-A76227E587D5}"/>
    <cellStyle name="Accent2 4" xfId="114" xr:uid="{9940B8B9-3D53-4D95-A048-E9A984DD7952}"/>
    <cellStyle name="Accent2 5" xfId="13004" xr:uid="{DABFF321-BB05-4BBD-917D-6A6F855B90EE}"/>
    <cellStyle name="Accent2 6" xfId="44218" xr:uid="{5E4A054C-5432-4FAC-9160-ECD5D1915BE3}"/>
    <cellStyle name="Accent3 - 20%" xfId="115" xr:uid="{F2508DF4-56C0-416A-B6EF-2F62755721E4}"/>
    <cellStyle name="Accent3 - 20% 2" xfId="116" xr:uid="{812126E3-2BF7-4688-B6A5-B15269B5E8F2}"/>
    <cellStyle name="Accent3 - 40%" xfId="117" xr:uid="{85E81611-8E37-4C56-B1C7-2DD97E9C117E}"/>
    <cellStyle name="Accent3 - 40% 2" xfId="118" xr:uid="{B21869BE-A3B0-4F89-B015-5942C530960D}"/>
    <cellStyle name="Accent3 - 60%" xfId="119" xr:uid="{E678F14E-BBB4-4F01-839F-9B52D99994C9}"/>
    <cellStyle name="Accent3 2" xfId="120" xr:uid="{35B71991-5A5C-4EE9-84C8-531F9A298E58}"/>
    <cellStyle name="Accent3 2 2" xfId="3778" xr:uid="{A5CB53EC-6AA5-4EE0-9FEC-560D773F3233}"/>
    <cellStyle name="Accent3 2 2 2" xfId="3779" xr:uid="{74237BE4-2429-4E7F-B320-69FEFFB4CE0A}"/>
    <cellStyle name="Accent3 2 3" xfId="3780" xr:uid="{8517319C-3BBD-4E50-9E98-2168F5F561C8}"/>
    <cellStyle name="Accent3 2 4" xfId="3781" xr:uid="{9B2DCD9B-C78E-457C-AE4C-EA87059D11DB}"/>
    <cellStyle name="Accent3 3" xfId="121" xr:uid="{E21C4590-488E-4BA7-9509-5BDA09614068}"/>
    <cellStyle name="Accent3 3 2" xfId="3782" xr:uid="{942A7D6F-F32E-412E-9C53-BC1AA7388798}"/>
    <cellStyle name="Accent3 3 3" xfId="3783" xr:uid="{B04F8447-ACB1-4A2F-ABDE-C382E4CAF7E5}"/>
    <cellStyle name="Accent3 3 4" xfId="3784" xr:uid="{C05F15AF-F5C0-40E5-A13A-2E2FBC50BE94}"/>
    <cellStyle name="Accent3 3 5" xfId="3785" xr:uid="{CBBB4A99-5492-45EF-86D9-AC12C2C7D514}"/>
    <cellStyle name="Accent3 4" xfId="122" xr:uid="{0E6F2631-6AEE-4A66-B668-5702C46F7F6A}"/>
    <cellStyle name="Accent3 5" xfId="13005" xr:uid="{04872D12-C086-4414-9072-1FAE393B6BA7}"/>
    <cellStyle name="Accent3 6" xfId="44222" xr:uid="{05E978EE-2E2B-4C13-A464-F57C73B640FB}"/>
    <cellStyle name="Accent4 - 20%" xfId="123" xr:uid="{FCCC1CC3-7AB3-46D2-A21A-A1C350874C34}"/>
    <cellStyle name="Accent4 - 20% 2" xfId="124" xr:uid="{C3B81069-C651-458E-B961-5D564C69B938}"/>
    <cellStyle name="Accent4 - 40%" xfId="125" xr:uid="{19F9617C-49BB-4D69-8D54-DCD840CAD352}"/>
    <cellStyle name="Accent4 - 40% 2" xfId="126" xr:uid="{DAB16247-132C-440D-B743-D9393A91078C}"/>
    <cellStyle name="Accent4 - 60%" xfId="127" xr:uid="{099A3E68-4891-4C30-8E08-C0381A64B8D0}"/>
    <cellStyle name="Accent4 2" xfId="128" xr:uid="{E79EE45A-0A84-4103-829C-113A61724561}"/>
    <cellStyle name="Accent4 2 2" xfId="3786" xr:uid="{DEB30E84-0C1C-4E88-A622-AB36D708EBAC}"/>
    <cellStyle name="Accent4 2 2 2" xfId="3787" xr:uid="{AF33B522-7787-48EA-A378-8ED1C0D1957A}"/>
    <cellStyle name="Accent4 2 3" xfId="3788" xr:uid="{DAC45B56-DF18-4A02-BF98-55CE087D6EF6}"/>
    <cellStyle name="Accent4 2 4" xfId="3789" xr:uid="{4CF7F0C1-482D-4AE4-8E8A-E207D30DAB80}"/>
    <cellStyle name="Accent4 3" xfId="129" xr:uid="{D4738483-9CC8-431E-ADD2-C92F8D48DE47}"/>
    <cellStyle name="Accent4 3 2" xfId="3790" xr:uid="{03BF5F04-A1E8-4E0A-A92F-0389F3308ED1}"/>
    <cellStyle name="Accent4 3 3" xfId="3791" xr:uid="{BE5AECE8-21C3-4827-A45C-04CAED8192E5}"/>
    <cellStyle name="Accent4 3 4" xfId="3792" xr:uid="{E57B0853-816A-49B6-B076-9DC5966FFB93}"/>
    <cellStyle name="Accent4 3 5" xfId="3793" xr:uid="{FFC1CF57-1279-4DC8-A3A9-124DD11CA2BB}"/>
    <cellStyle name="Accent4 4" xfId="130" xr:uid="{D5A19604-09BB-4993-987F-99BC81A7A483}"/>
    <cellStyle name="Accent4 5" xfId="13006" xr:uid="{33B002D0-3200-4147-9F53-5E9CB77B7D78}"/>
    <cellStyle name="Accent4 6" xfId="44226" xr:uid="{E7B85890-2081-48BC-85E8-3D4A37B3EE81}"/>
    <cellStyle name="Accent5 - 20%" xfId="131" xr:uid="{AAB07784-B688-4E44-829A-C2790FE3737B}"/>
    <cellStyle name="Accent5 - 20% 2" xfId="132" xr:uid="{EA3C677C-C263-48EB-A8E9-8292C48631E8}"/>
    <cellStyle name="Accent5 - 40%" xfId="133" xr:uid="{E4B32966-C9CF-4ED3-89AD-346052E0E19F}"/>
    <cellStyle name="Accent5 - 40% 2" xfId="134" xr:uid="{DC735CE4-B0AF-4F87-BEA5-2349F8749C2A}"/>
    <cellStyle name="Accent5 - 60%" xfId="135" xr:uid="{7ABC6B00-6904-4042-81A3-A3011C4A8539}"/>
    <cellStyle name="Accent5 2" xfId="136" xr:uid="{26B68160-E867-43B8-AB2D-B6547846E70E}"/>
    <cellStyle name="Accent5 2 2" xfId="3794" xr:uid="{249EE6E7-56C0-471C-80F2-5B7980529C78}"/>
    <cellStyle name="Accent5 2 2 2" xfId="3795" xr:uid="{A415541B-5464-4DA7-805C-8E42EC211161}"/>
    <cellStyle name="Accent5 2 3" xfId="3796" xr:uid="{DFB36DF4-B3FF-474B-BC3B-D9983E4E9BCD}"/>
    <cellStyle name="Accent5 2 4" xfId="3797" xr:uid="{1F428632-A072-43CF-8656-C0B725656E01}"/>
    <cellStyle name="Accent5 3" xfId="137" xr:uid="{A59A757D-0479-4502-BDF5-915167150EB5}"/>
    <cellStyle name="Accent5 3 2" xfId="3798" xr:uid="{433D3BBA-5A77-49F3-A075-1D64250CFBC8}"/>
    <cellStyle name="Accent5 3 3" xfId="3799" xr:uid="{7F59C3BD-645C-46EC-9EDB-09BBE6A5B3CF}"/>
    <cellStyle name="Accent5 3 4" xfId="3800" xr:uid="{D5FF64B9-F050-4730-8C0F-5AB3FC167CCF}"/>
    <cellStyle name="Accent5 3 5" xfId="3801" xr:uid="{C37E147C-8479-46F1-AADE-21A572EC97DF}"/>
    <cellStyle name="Accent5 4" xfId="138" xr:uid="{1A9E9928-E4DA-4A5C-AAEE-1E17D6387CD1}"/>
    <cellStyle name="Accent5 5" xfId="13007" xr:uid="{A9C95133-F5DA-48F3-BA8C-FBE240064B0D}"/>
    <cellStyle name="Accent5 6" xfId="44230" xr:uid="{CD8CD546-FFC4-428A-9A18-F4C7F15AD31C}"/>
    <cellStyle name="Accent6 - 20%" xfId="25" xr:uid="{77745313-07EE-4FE3-99A9-510A47EB726F}"/>
    <cellStyle name="Accent6 - 20% 2" xfId="140" xr:uid="{BC53E13B-4B91-44AE-A66B-B5FF26E748B0}"/>
    <cellStyle name="Accent6 - 20% 3" xfId="139" xr:uid="{E096F262-557D-42B4-914D-4F47890D9BBE}"/>
    <cellStyle name="Accent6 - 40%" xfId="141" xr:uid="{CDE185A7-0A2E-4AE9-AC20-A89C3BBFACDE}"/>
    <cellStyle name="Accent6 - 40% 2" xfId="142" xr:uid="{7747AD49-6D96-4D78-8074-189523318EEF}"/>
    <cellStyle name="Accent6 - 60%" xfId="143" xr:uid="{6F24939C-3DF3-4BC2-BD56-70F463913058}"/>
    <cellStyle name="Accent6 2" xfId="144" xr:uid="{DC27E34B-457B-4D46-A894-0547075F4C3C}"/>
    <cellStyle name="Accent6 2 2" xfId="3802" xr:uid="{7E9BE4E8-5D04-433A-B28A-DF2C678320E0}"/>
    <cellStyle name="Accent6 2 2 2" xfId="3803" xr:uid="{836BF3DF-4E56-4133-910F-9396EC09CC39}"/>
    <cellStyle name="Accent6 2 3" xfId="3804" xr:uid="{D0C4DF0B-85D6-4618-B6D8-4924C8D7F533}"/>
    <cellStyle name="Accent6 2 4" xfId="3805" xr:uid="{63BD639D-BC9D-4962-952E-70B82CBC1159}"/>
    <cellStyle name="Accent6 3" xfId="145" xr:uid="{595ADEBE-E4E8-460F-8608-62933732826A}"/>
    <cellStyle name="Accent6 3 2" xfId="3806" xr:uid="{0CE88A7B-28C3-4C84-BC69-46D0A4A8BA79}"/>
    <cellStyle name="Accent6 3 3" xfId="3807" xr:uid="{23472BF9-D804-469D-9797-3316226CCC2F}"/>
    <cellStyle name="Accent6 3 4" xfId="3808" xr:uid="{4F64B636-39FB-43C8-95AE-CA02E05654AF}"/>
    <cellStyle name="Accent6 3 5" xfId="3809" xr:uid="{68D898F5-C30B-4AFD-988C-A14891E9A4B8}"/>
    <cellStyle name="Accent6 4" xfId="146" xr:uid="{D4BEA7A4-7A99-479F-AE31-8266B7F55C2B}"/>
    <cellStyle name="Accent6 5" xfId="13008" xr:uid="{B23E530B-605A-4447-82D3-E87253BD9AA9}"/>
    <cellStyle name="Accent6 6" xfId="44234" xr:uid="{3CE2D32F-44CF-4254-B421-AF7B026D5FDC}"/>
    <cellStyle name="Bad 2" xfId="147" xr:uid="{1ADFD927-88DC-4008-9319-A4535AD90F37}"/>
    <cellStyle name="Bad 2 2" xfId="3810" xr:uid="{9AC9374B-B424-450A-82DF-77D0A62CC208}"/>
    <cellStyle name="Bad 2 2 2" xfId="3811" xr:uid="{529EB0DE-F89A-49C4-A8D5-3DC0078685C1}"/>
    <cellStyle name="Bad 2 3" xfId="3812" xr:uid="{D1011422-2FD6-42F3-9B57-5D346FAB2266}"/>
    <cellStyle name="Bad 2 4" xfId="3813" xr:uid="{DAE2D329-B77B-4BB8-B1EA-32ECB2CE5AA2}"/>
    <cellStyle name="Bad 3" xfId="148" xr:uid="{3A7433FA-9117-4215-8E5F-8875EDC7BF3E}"/>
    <cellStyle name="Bad 3 2" xfId="3814" xr:uid="{4C1DD989-4A23-4ACC-B699-BC00E06D8B0F}"/>
    <cellStyle name="Bad 3 3" xfId="3815" xr:uid="{85B6DF93-2AC9-48B1-8F56-DFBEB4C638D7}"/>
    <cellStyle name="Bad 3 4" xfId="3816" xr:uid="{C41C3D86-0290-47BE-B812-63C455337E02}"/>
    <cellStyle name="Bad 3 5" xfId="3817" xr:uid="{32DF8743-89FB-40F7-B498-F09B3DEBA85D}"/>
    <cellStyle name="Bad 4" xfId="13009" xr:uid="{5ADE86A5-4803-43A8-9082-AC8EF353FF0F}"/>
    <cellStyle name="Bad 5" xfId="44205" xr:uid="{ACEA9E90-03D1-4312-BBBD-365C5F26CC2B}"/>
    <cellStyle name="Calculation 2" xfId="149" xr:uid="{BF03968A-98E5-4596-92F8-3E788B2169C1}"/>
    <cellStyle name="Calculation 2 10" xfId="150" xr:uid="{C991B48F-C39F-4804-99DF-2BD25343C418}"/>
    <cellStyle name="Calculation 2 10 2" xfId="9929" xr:uid="{324B07EF-C2D0-49C9-A73E-4BF4E9CCC052}"/>
    <cellStyle name="Calculation 2 10 2 2" xfId="13010" xr:uid="{7BF8BFC7-8DB1-4411-9F6E-63D949DA6FD0}"/>
    <cellStyle name="Calculation 2 10 2 3" xfId="13011" xr:uid="{1A3016C6-BB0D-4FCA-B22B-1E882B6483E0}"/>
    <cellStyle name="Calculation 2 10 2 4" xfId="13012" xr:uid="{DFEA7F1D-7C53-4978-8A29-79937937E8FC}"/>
    <cellStyle name="Calculation 2 10 2 5" xfId="13013" xr:uid="{4C8672B6-DD28-40BC-B094-0B83686AA7E2}"/>
    <cellStyle name="Calculation 2 10 2 6" xfId="13014" xr:uid="{2CB4FAAF-AC9B-45B0-853C-9EC7A232031E}"/>
    <cellStyle name="Calculation 2 10 3" xfId="13015" xr:uid="{6182451A-3AB0-46C2-B5A5-6F7541989143}"/>
    <cellStyle name="Calculation 2 10 4" xfId="13016" xr:uid="{3A0532DF-9B3D-4598-A001-1593E37950E3}"/>
    <cellStyle name="Calculation 2 10 5" xfId="13017" xr:uid="{F9C23467-B885-4C5C-84DB-A7981534CC29}"/>
    <cellStyle name="Calculation 2 10 6" xfId="13018" xr:uid="{A1739C5C-F4A9-4A57-906D-DEF97E664579}"/>
    <cellStyle name="Calculation 2 10 7" xfId="13019" xr:uid="{6EBA484B-A5D2-496F-B70B-90A2BC1F1333}"/>
    <cellStyle name="Calculation 2 11" xfId="151" xr:uid="{F0E8A82E-13A7-4FAA-8812-F58F4892892D}"/>
    <cellStyle name="Calculation 2 11 2" xfId="10008" xr:uid="{4B8E405E-BBE8-4439-9A1A-C5A92166AC9F}"/>
    <cellStyle name="Calculation 2 11 2 2" xfId="13020" xr:uid="{297FA660-CC85-4B65-BC74-C5B6BFD9136C}"/>
    <cellStyle name="Calculation 2 11 2 3" xfId="13021" xr:uid="{D0962DAC-CCBF-4BD9-8F80-3A0AB88B578E}"/>
    <cellStyle name="Calculation 2 11 2 4" xfId="13022" xr:uid="{6C9967C7-29F1-4F1C-8FFB-C3DD7DE7986F}"/>
    <cellStyle name="Calculation 2 11 2 5" xfId="13023" xr:uid="{00F39EA6-C308-4AA8-8DFB-17D0692914C2}"/>
    <cellStyle name="Calculation 2 11 2 6" xfId="13024" xr:uid="{742FA229-A07C-4470-8C55-AA2D33DEF0D6}"/>
    <cellStyle name="Calculation 2 11 3" xfId="13025" xr:uid="{288B87FA-1024-40E9-B657-7FEDD95A8A2F}"/>
    <cellStyle name="Calculation 2 11 4" xfId="13026" xr:uid="{A6741436-FA9B-4F24-98F3-8CDC6808208E}"/>
    <cellStyle name="Calculation 2 11 5" xfId="13027" xr:uid="{F754C405-1911-4630-91F2-07B5162F42C9}"/>
    <cellStyle name="Calculation 2 11 6" xfId="13028" xr:uid="{369A3F50-DF59-4828-A9B9-4C9EA81C477E}"/>
    <cellStyle name="Calculation 2 11 7" xfId="13029" xr:uid="{11215DE1-1AE1-40A1-B663-400F8D1226A1}"/>
    <cellStyle name="Calculation 2 12" xfId="152" xr:uid="{AD5CD69C-CDC6-47F2-BAC1-C7A3DB2AFAA7}"/>
    <cellStyle name="Calculation 2 12 2" xfId="9931" xr:uid="{1CA209FC-E1EE-4611-ACAD-DDB62B2065C0}"/>
    <cellStyle name="Calculation 2 12 2 2" xfId="13030" xr:uid="{F4BB9626-A8D7-4F98-BF5A-47B29CCFA7FE}"/>
    <cellStyle name="Calculation 2 12 2 3" xfId="13031" xr:uid="{3C131733-49A1-4617-9B40-1A9579F2A2C8}"/>
    <cellStyle name="Calculation 2 12 2 4" xfId="13032" xr:uid="{69EE0DC3-932A-4D00-8177-47A76684B3DB}"/>
    <cellStyle name="Calculation 2 12 2 5" xfId="13033" xr:uid="{0E2FED52-A193-4660-BDBD-6489FC210D40}"/>
    <cellStyle name="Calculation 2 12 2 6" xfId="13034" xr:uid="{7125434C-8209-4E3D-B078-D0CAC8A17595}"/>
    <cellStyle name="Calculation 2 12 3" xfId="13035" xr:uid="{6C851C15-8790-4E59-B94F-962F7729F54B}"/>
    <cellStyle name="Calculation 2 12 4" xfId="13036" xr:uid="{F2CB256B-4308-4463-B51C-3BE25E915108}"/>
    <cellStyle name="Calculation 2 12 5" xfId="13037" xr:uid="{D68ABE19-B5C0-4AC3-9A8B-9324A5D9D78A}"/>
    <cellStyle name="Calculation 2 12 6" xfId="13038" xr:uid="{1402CE9D-B740-4D8E-8D0F-0B74C099A5DC}"/>
    <cellStyle name="Calculation 2 12 7" xfId="13039" xr:uid="{9C8D7BD4-A0A3-4CF7-AB32-39C5C899EB24}"/>
    <cellStyle name="Calculation 2 13" xfId="153" xr:uid="{EB52AA61-0A4E-479F-B71C-053D2179DDE3}"/>
    <cellStyle name="Calculation 2 13 2" xfId="9918" xr:uid="{1F2B4281-697B-48CC-90A6-5F9DF49D7B74}"/>
    <cellStyle name="Calculation 2 13 2 2" xfId="13040" xr:uid="{88AE0600-6303-40E5-9FEC-B6EBA7B55BF7}"/>
    <cellStyle name="Calculation 2 13 2 3" xfId="13041" xr:uid="{06C4D322-702F-4754-AE13-A72C40481817}"/>
    <cellStyle name="Calculation 2 13 2 4" xfId="13042" xr:uid="{380BFA2D-E261-4FA4-9E18-FACC6F41F778}"/>
    <cellStyle name="Calculation 2 13 2 5" xfId="13043" xr:uid="{7F1B18AC-36D3-4921-90F5-2CEE4DF9B365}"/>
    <cellStyle name="Calculation 2 13 2 6" xfId="13044" xr:uid="{E053736F-C4FE-4C60-A313-A283D984D36A}"/>
    <cellStyle name="Calculation 2 13 3" xfId="13045" xr:uid="{27551B09-32BD-42ED-9EF8-E5258CCBD20D}"/>
    <cellStyle name="Calculation 2 13 4" xfId="13046" xr:uid="{27577C2A-2D76-43CA-ADB9-1B735D8B4A2C}"/>
    <cellStyle name="Calculation 2 13 5" xfId="13047" xr:uid="{5CED095F-3D87-45FD-A66C-2F91FD092BA2}"/>
    <cellStyle name="Calculation 2 13 6" xfId="13048" xr:uid="{B2EDF5B9-850F-4B88-96C8-C3FCBD9D3D90}"/>
    <cellStyle name="Calculation 2 13 7" xfId="13049" xr:uid="{415D8D3B-4516-4DC8-9F42-079D2D838433}"/>
    <cellStyle name="Calculation 2 14" xfId="154" xr:uid="{F55615D0-8513-4EE0-8298-FB575FD8B0A0}"/>
    <cellStyle name="Calculation 2 14 2" xfId="9891" xr:uid="{16D93F8B-7675-4069-9111-B5B0A87B5ED9}"/>
    <cellStyle name="Calculation 2 14 2 2" xfId="13050" xr:uid="{EE79BC2D-5E1F-4411-BCC5-079B3553628B}"/>
    <cellStyle name="Calculation 2 14 2 3" xfId="13051" xr:uid="{81467F30-F9A8-4C89-8CDD-83279C8484E7}"/>
    <cellStyle name="Calculation 2 14 2 4" xfId="13052" xr:uid="{AA2F814E-EAD2-491F-944D-8D2F0C8F95DB}"/>
    <cellStyle name="Calculation 2 14 2 5" xfId="13053" xr:uid="{EE8A19F8-FE0E-448E-A49B-22812A35736B}"/>
    <cellStyle name="Calculation 2 14 2 6" xfId="13054" xr:uid="{E97547AA-1684-483B-B59F-96BC44D152DC}"/>
    <cellStyle name="Calculation 2 14 3" xfId="13055" xr:uid="{DF5BEF0E-9E27-4ACF-9A1B-47E812E793F9}"/>
    <cellStyle name="Calculation 2 14 4" xfId="13056" xr:uid="{9317F4CB-697D-4AFF-AC18-8033AA4CBA30}"/>
    <cellStyle name="Calculation 2 14 5" xfId="13057" xr:uid="{54BE4657-F0D3-4446-A9A5-10E8514A4B41}"/>
    <cellStyle name="Calculation 2 14 6" xfId="13058" xr:uid="{53306D9E-A07C-456C-B1D6-0BF0BD4B06FE}"/>
    <cellStyle name="Calculation 2 14 7" xfId="13059" xr:uid="{A3287716-9C9E-44F8-933C-72ECFC15AF12}"/>
    <cellStyle name="Calculation 2 15" xfId="155" xr:uid="{FA0C5238-F76A-4B8F-A215-94832441E9D7}"/>
    <cellStyle name="Calculation 2 15 2" xfId="9916" xr:uid="{F35E7069-016A-4A02-8CD0-D9DF5AE22417}"/>
    <cellStyle name="Calculation 2 15 2 2" xfId="13060" xr:uid="{3DC0CB8F-C69B-4396-A0E1-9A645BA4FB8C}"/>
    <cellStyle name="Calculation 2 15 2 3" xfId="13061" xr:uid="{281D8BFC-7F54-433F-ADEC-8ECA5D0CA52B}"/>
    <cellStyle name="Calculation 2 15 2 4" xfId="13062" xr:uid="{1D903C16-3727-4FAC-B02A-DAE0F106E5E7}"/>
    <cellStyle name="Calculation 2 15 2 5" xfId="13063" xr:uid="{E87BFA9F-74D9-4BF6-AA41-FDE0ED8E86B2}"/>
    <cellStyle name="Calculation 2 15 2 6" xfId="13064" xr:uid="{2410AB7D-EFCC-48DF-8260-71D1843D4CFA}"/>
    <cellStyle name="Calculation 2 15 3" xfId="13065" xr:uid="{EF3DE400-64B5-4C9D-9BE8-CD9BA761560A}"/>
    <cellStyle name="Calculation 2 15 4" xfId="13066" xr:uid="{2685EC21-4953-497A-BBCF-BD4FB575EE16}"/>
    <cellStyle name="Calculation 2 15 5" xfId="13067" xr:uid="{CC5B3559-9E1C-4FEA-BE1C-F607929C238C}"/>
    <cellStyle name="Calculation 2 15 6" xfId="13068" xr:uid="{5A52C25A-4852-47BC-A950-05F9E3833DBF}"/>
    <cellStyle name="Calculation 2 15 7" xfId="13069" xr:uid="{B0E3D26C-52A6-4821-A49A-2C787614DDCB}"/>
    <cellStyle name="Calculation 2 16" xfId="156" xr:uid="{BA739869-4212-45F2-B755-25507A0ABA84}"/>
    <cellStyle name="Calculation 2 16 2" xfId="9910" xr:uid="{E22A56B8-1A92-4D36-B3DE-C0B9FF9F225A}"/>
    <cellStyle name="Calculation 2 16 2 2" xfId="13070" xr:uid="{F9DEE9FD-7107-4645-817C-B24072DCA1FC}"/>
    <cellStyle name="Calculation 2 16 2 3" xfId="13071" xr:uid="{E100BE6A-AE5E-4D95-A047-E3F45601F4FF}"/>
    <cellStyle name="Calculation 2 16 2 4" xfId="13072" xr:uid="{820EC4D6-4C2F-466D-886F-21DEBC35755E}"/>
    <cellStyle name="Calculation 2 16 2 5" xfId="13073" xr:uid="{BF52473D-253E-49F6-8B2F-BAA8CD289EAA}"/>
    <cellStyle name="Calculation 2 16 2 6" xfId="13074" xr:uid="{E146EEED-9C85-489C-904A-797A66AEE665}"/>
    <cellStyle name="Calculation 2 16 3" xfId="13075" xr:uid="{22CC6D49-C5D9-49FA-9D8E-B7F12BF918A6}"/>
    <cellStyle name="Calculation 2 16 4" xfId="13076" xr:uid="{0AEBB35F-4F20-41D2-9104-FE76792678E8}"/>
    <cellStyle name="Calculation 2 16 5" xfId="13077" xr:uid="{89D3AAF0-B0C1-467F-9971-FB87ED75BAEB}"/>
    <cellStyle name="Calculation 2 16 6" xfId="13078" xr:uid="{D0C6DE01-27B0-4F7C-B750-558978758E62}"/>
    <cellStyle name="Calculation 2 16 7" xfId="13079" xr:uid="{D2E149CC-1D80-4AB5-879D-78CCB413B4D6}"/>
    <cellStyle name="Calculation 2 17" xfId="157" xr:uid="{45B734B3-1556-4C1B-B2BA-B6AE18C65BDF}"/>
    <cellStyle name="Calculation 2 17 2" xfId="10514" xr:uid="{A97326D2-99B0-4AE0-B029-EA4A5ADBFEF1}"/>
    <cellStyle name="Calculation 2 17 2 2" xfId="13080" xr:uid="{7128A94A-8ADA-47E6-83E6-E499EE11E239}"/>
    <cellStyle name="Calculation 2 17 2 3" xfId="13081" xr:uid="{2ACF692D-BCBA-4902-AFFD-F90437E2F650}"/>
    <cellStyle name="Calculation 2 17 2 4" xfId="13082" xr:uid="{341CA3D2-4AA5-4DDA-8D30-BE2CB25C9C65}"/>
    <cellStyle name="Calculation 2 17 2 5" xfId="13083" xr:uid="{034ACC6E-BA60-411E-8312-FBABCF739C60}"/>
    <cellStyle name="Calculation 2 17 2 6" xfId="13084" xr:uid="{201949D7-B021-4E13-A351-9CA06527509E}"/>
    <cellStyle name="Calculation 2 17 3" xfId="13085" xr:uid="{E488676F-DBF5-4DE1-B6BF-4D142A68FE4D}"/>
    <cellStyle name="Calculation 2 17 4" xfId="13086" xr:uid="{9C5741A2-870B-43B6-944B-BD9520385F7F}"/>
    <cellStyle name="Calculation 2 17 5" xfId="13087" xr:uid="{2A224264-761F-41E8-9249-346FE79F7080}"/>
    <cellStyle name="Calculation 2 17 6" xfId="13088" xr:uid="{F35274DC-75E9-4D3C-BBF5-1B2C56C261C5}"/>
    <cellStyle name="Calculation 2 17 7" xfId="13089" xr:uid="{8A04DD06-1DD9-4043-BBFC-6490B45BEAFF}"/>
    <cellStyle name="Calculation 2 18" xfId="158" xr:uid="{BEF1DDFF-5E7A-449F-9C06-F1934B79EE74}"/>
    <cellStyle name="Calculation 2 18 2" xfId="9970" xr:uid="{31239288-96E1-488C-9202-2C20ACC6476E}"/>
    <cellStyle name="Calculation 2 18 2 2" xfId="13090" xr:uid="{96F4DEA8-CA79-4C6E-93B1-F7DB48FF2246}"/>
    <cellStyle name="Calculation 2 18 2 3" xfId="13091" xr:uid="{D490A8AD-3DD7-405D-922B-41C13C408732}"/>
    <cellStyle name="Calculation 2 18 2 4" xfId="13092" xr:uid="{EE5E2241-6E14-4524-9ABB-B41175ED4922}"/>
    <cellStyle name="Calculation 2 18 2 5" xfId="13093" xr:uid="{F3E4B762-3118-49EE-87E4-AF734A130CF7}"/>
    <cellStyle name="Calculation 2 18 2 6" xfId="13094" xr:uid="{8BB81C89-AAF6-4940-BEE9-57C74BEB91C1}"/>
    <cellStyle name="Calculation 2 18 3" xfId="13095" xr:uid="{6E7D5DD1-BD7E-4AF1-8593-56DB64FF700E}"/>
    <cellStyle name="Calculation 2 18 4" xfId="13096" xr:uid="{309FAC2A-874E-404C-AA41-DC3EF87973A4}"/>
    <cellStyle name="Calculation 2 18 5" xfId="13097" xr:uid="{527B021B-CE70-4628-9A71-BC7410D4D293}"/>
    <cellStyle name="Calculation 2 18 6" xfId="13098" xr:uid="{B88A6CC3-797D-482C-ADC0-7044ABA4158F}"/>
    <cellStyle name="Calculation 2 18 7" xfId="13099" xr:uid="{E9B7E099-A464-4794-828A-55F5B541F5A1}"/>
    <cellStyle name="Calculation 2 19" xfId="159" xr:uid="{F40B38F0-BD98-49D1-83AD-3D16CFD25C85}"/>
    <cellStyle name="Calculation 2 19 2" xfId="9922" xr:uid="{47EA2009-B4B0-44FA-88A4-622B577A8681}"/>
    <cellStyle name="Calculation 2 19 2 2" xfId="13100" xr:uid="{FC040E47-8300-4B21-8A1C-87922561ED45}"/>
    <cellStyle name="Calculation 2 19 2 3" xfId="13101" xr:uid="{2679A256-7BD2-4C12-8A13-50BD5E4067B6}"/>
    <cellStyle name="Calculation 2 19 2 4" xfId="13102" xr:uid="{175B8581-E71A-4E9B-9906-C837E0C4B4A3}"/>
    <cellStyle name="Calculation 2 19 2 5" xfId="13103" xr:uid="{636980F9-7E53-45A7-B3D7-0E9DD71BEFAE}"/>
    <cellStyle name="Calculation 2 19 2 6" xfId="13104" xr:uid="{7E4BD836-C364-4C5B-AFF5-A9AAF22187B6}"/>
    <cellStyle name="Calculation 2 19 3" xfId="13105" xr:uid="{0322ED52-0263-486A-840A-980955F06E10}"/>
    <cellStyle name="Calculation 2 19 4" xfId="13106" xr:uid="{3FF76596-61B1-4863-8DD4-58856479F418}"/>
    <cellStyle name="Calculation 2 19 5" xfId="13107" xr:uid="{1E83887B-E55B-4FE4-A5FF-5C4E33F0C949}"/>
    <cellStyle name="Calculation 2 19 6" xfId="13108" xr:uid="{5CB9DF7D-D56A-460A-B47C-35D3EF909199}"/>
    <cellStyle name="Calculation 2 19 7" xfId="13109" xr:uid="{C98F99B0-2B55-4774-97A1-0F8C48213658}"/>
    <cellStyle name="Calculation 2 2" xfId="160" xr:uid="{E05C51A0-0898-41A3-9BAD-B6D66DD677C5}"/>
    <cellStyle name="Calculation 2 2 10" xfId="161" xr:uid="{81D7DCB1-7BE8-434D-871B-B111F7380635}"/>
    <cellStyle name="Calculation 2 2 10 2" xfId="10638" xr:uid="{AFCCD1D8-0FFA-4E20-A717-47A84BAF9A39}"/>
    <cellStyle name="Calculation 2 2 10 2 2" xfId="13110" xr:uid="{3278BE12-54B4-4E79-91AE-094CCE4489A3}"/>
    <cellStyle name="Calculation 2 2 10 2 3" xfId="13111" xr:uid="{8ACA9B75-EDC2-4101-9216-5B8FD1B63A0D}"/>
    <cellStyle name="Calculation 2 2 10 2 4" xfId="13112" xr:uid="{CF6F7AA8-5454-48C0-AC01-48CD86885C95}"/>
    <cellStyle name="Calculation 2 2 10 2 5" xfId="13113" xr:uid="{B11DF948-447C-490F-801F-C1FAA9689FED}"/>
    <cellStyle name="Calculation 2 2 10 2 6" xfId="13114" xr:uid="{7F27F621-75EA-4E23-BF5B-E1E4445949FB}"/>
    <cellStyle name="Calculation 2 2 10 3" xfId="13115" xr:uid="{FC7BC5D8-52A2-481C-BCEE-0B7A813990A4}"/>
    <cellStyle name="Calculation 2 2 10 4" xfId="13116" xr:uid="{2D5AAC43-5F9D-4E1F-A5BA-5B45D9BA0BA9}"/>
    <cellStyle name="Calculation 2 2 10 5" xfId="13117" xr:uid="{88F5C395-97AF-4583-869D-AF32D2114547}"/>
    <cellStyle name="Calculation 2 2 10 6" xfId="13118" xr:uid="{71A51E35-C519-458A-A1DE-DE1B47C46460}"/>
    <cellStyle name="Calculation 2 2 10 7" xfId="13119" xr:uid="{DB9EB312-F7E0-46AA-AE14-2D265FF7BA39}"/>
    <cellStyle name="Calculation 2 2 11" xfId="162" xr:uid="{A3D92EDD-4C94-4BA9-9F06-87A3728D4CA7}"/>
    <cellStyle name="Calculation 2 2 11 2" xfId="10729" xr:uid="{E1D220ED-6525-42DE-9469-B44A3D7E4322}"/>
    <cellStyle name="Calculation 2 2 11 2 2" xfId="13120" xr:uid="{B7611DCE-3241-4071-8E07-A8860A0F8C27}"/>
    <cellStyle name="Calculation 2 2 11 2 3" xfId="13121" xr:uid="{EDF685CD-B00A-4D56-A961-A3C487FE44CD}"/>
    <cellStyle name="Calculation 2 2 11 2 4" xfId="13122" xr:uid="{15E49B6E-71E5-44DE-A8A0-DEF5D84BDC5C}"/>
    <cellStyle name="Calculation 2 2 11 2 5" xfId="13123" xr:uid="{B7E25169-1247-41C0-B9E1-938872BD09AE}"/>
    <cellStyle name="Calculation 2 2 11 2 6" xfId="13124" xr:uid="{E3C45841-87F5-4B9A-B8A6-367C43071B78}"/>
    <cellStyle name="Calculation 2 2 11 3" xfId="13125" xr:uid="{57F1341F-69E4-4B12-8036-94BB5F01CBC3}"/>
    <cellStyle name="Calculation 2 2 11 4" xfId="13126" xr:uid="{53E9E188-B51D-4C68-B580-0CAB98C77FAB}"/>
    <cellStyle name="Calculation 2 2 11 5" xfId="13127" xr:uid="{AE1B71F8-01EC-4018-979A-DE85CE881271}"/>
    <cellStyle name="Calculation 2 2 11 6" xfId="13128" xr:uid="{7688B632-8546-4584-A272-DFFE71B6F694}"/>
    <cellStyle name="Calculation 2 2 11 7" xfId="13129" xr:uid="{7BCD8AC0-2E52-498A-8816-9F64BB37D18D}"/>
    <cellStyle name="Calculation 2 2 12" xfId="163" xr:uid="{D37635DC-706D-4ED4-A331-A03E7B6269A7}"/>
    <cellStyle name="Calculation 2 2 12 2" xfId="10817" xr:uid="{47A0800D-1431-4AEB-9B55-68BC468D5606}"/>
    <cellStyle name="Calculation 2 2 12 2 2" xfId="13130" xr:uid="{A13BC62E-AB39-4AE3-9878-34B551F20068}"/>
    <cellStyle name="Calculation 2 2 12 2 3" xfId="13131" xr:uid="{465C2509-DFAB-4CE8-966E-6CF2025AD89C}"/>
    <cellStyle name="Calculation 2 2 12 2 4" xfId="13132" xr:uid="{DC75E0A7-99F7-4465-9469-418A67D243AF}"/>
    <cellStyle name="Calculation 2 2 12 2 5" xfId="13133" xr:uid="{4F6E84BA-575D-4EB6-B5E7-9BCC77CADCA0}"/>
    <cellStyle name="Calculation 2 2 12 2 6" xfId="13134" xr:uid="{FC355210-3A91-4864-B04E-B34EF96C0622}"/>
    <cellStyle name="Calculation 2 2 12 3" xfId="13135" xr:uid="{36D4E7A1-12D9-4370-A1F2-2379048FC488}"/>
    <cellStyle name="Calculation 2 2 12 4" xfId="13136" xr:uid="{F1EAD89E-A941-46DD-A28B-F4F6484113E2}"/>
    <cellStyle name="Calculation 2 2 12 5" xfId="13137" xr:uid="{F4AA9FC3-BE7C-4A18-A854-3EE164092F10}"/>
    <cellStyle name="Calculation 2 2 12 6" xfId="13138" xr:uid="{D71D34CE-D328-4D11-B222-EF7BEB8805AB}"/>
    <cellStyle name="Calculation 2 2 12 7" xfId="13139" xr:uid="{69426B8B-B7D3-4B4F-8353-BCA3D091A14A}"/>
    <cellStyle name="Calculation 2 2 13" xfId="164" xr:uid="{6B82F976-C99B-4AC2-9796-90DB44CFBEED}"/>
    <cellStyle name="Calculation 2 2 13 2" xfId="10906" xr:uid="{A0FE5496-C5ED-45EB-8311-6585235B32B9}"/>
    <cellStyle name="Calculation 2 2 13 2 2" xfId="13140" xr:uid="{2B8DD5D3-5A3E-4B45-9F82-9980684CD7BB}"/>
    <cellStyle name="Calculation 2 2 13 2 3" xfId="13141" xr:uid="{8531C123-CE9B-4D23-8CD8-2AA6FF30362A}"/>
    <cellStyle name="Calculation 2 2 13 2 4" xfId="13142" xr:uid="{D3602A39-4176-4ACD-BB44-A18DEB01EC30}"/>
    <cellStyle name="Calculation 2 2 13 2 5" xfId="13143" xr:uid="{824146A4-C702-408F-BA49-18810D51BDB1}"/>
    <cellStyle name="Calculation 2 2 13 2 6" xfId="13144" xr:uid="{EE300A1B-E0D2-4595-8471-69213F7D9394}"/>
    <cellStyle name="Calculation 2 2 13 3" xfId="13145" xr:uid="{0C1F5A80-1A12-4E91-BFB9-14356C71CB12}"/>
    <cellStyle name="Calculation 2 2 13 4" xfId="13146" xr:uid="{B554F573-00E0-4028-870C-CE4D33D9032B}"/>
    <cellStyle name="Calculation 2 2 13 5" xfId="13147" xr:uid="{1D39C024-1C1F-4962-91A6-A3AA560AE8CC}"/>
    <cellStyle name="Calculation 2 2 13 6" xfId="13148" xr:uid="{21DE13E5-2128-4D6A-833A-E24835BA66BD}"/>
    <cellStyle name="Calculation 2 2 13 7" xfId="13149" xr:uid="{2D3BF543-3D1C-4AEE-9596-5C729876847E}"/>
    <cellStyle name="Calculation 2 2 14" xfId="165" xr:uid="{EBEE1CF2-94CB-4536-83C0-E46F3F402F6E}"/>
    <cellStyle name="Calculation 2 2 14 2" xfId="10996" xr:uid="{ABE21319-8CC4-44F2-B3F6-D2755A52C64B}"/>
    <cellStyle name="Calculation 2 2 14 2 2" xfId="13150" xr:uid="{B5232CDC-3005-422F-B41F-006358F806B7}"/>
    <cellStyle name="Calculation 2 2 14 2 3" xfId="13151" xr:uid="{CD00463D-EE18-42D5-BAF1-C683DB8AD9C5}"/>
    <cellStyle name="Calculation 2 2 14 2 4" xfId="13152" xr:uid="{25ED0E13-4D3D-4091-8DDB-BE66503F7E3F}"/>
    <cellStyle name="Calculation 2 2 14 2 5" xfId="13153" xr:uid="{F7BDA70E-7EF8-4F4C-9AAB-C80372491BDF}"/>
    <cellStyle name="Calculation 2 2 14 2 6" xfId="13154" xr:uid="{3B6E0A7F-26B9-403D-8EEA-F6B64CC22279}"/>
    <cellStyle name="Calculation 2 2 14 3" xfId="13155" xr:uid="{5100A02B-6783-4063-8B2D-18357CACC5A5}"/>
    <cellStyle name="Calculation 2 2 14 4" xfId="13156" xr:uid="{3E1D2E20-3F07-4E6A-A5A9-4B4E5ED5C921}"/>
    <cellStyle name="Calculation 2 2 14 5" xfId="13157" xr:uid="{CC7E1740-C1DC-4C74-B48C-DC3361AA4DD4}"/>
    <cellStyle name="Calculation 2 2 14 6" xfId="13158" xr:uid="{F5A4DC97-2A5A-4F9A-BE4D-9CD6B5383316}"/>
    <cellStyle name="Calculation 2 2 14 7" xfId="13159" xr:uid="{7FC82066-1B41-49F8-B217-0C6D05470D3C}"/>
    <cellStyle name="Calculation 2 2 15" xfId="166" xr:uid="{190CFC4B-B426-4ED7-AE70-D1AB435EEF6F}"/>
    <cellStyle name="Calculation 2 2 15 2" xfId="11086" xr:uid="{ECECB0BD-3994-46E9-9ECC-F5C5F16572CD}"/>
    <cellStyle name="Calculation 2 2 15 2 2" xfId="13160" xr:uid="{B19DD432-90CC-4D35-A7BD-71A18239ABA2}"/>
    <cellStyle name="Calculation 2 2 15 2 3" xfId="13161" xr:uid="{98DFAABD-CD24-4A3B-9F0F-93A9C3FD817D}"/>
    <cellStyle name="Calculation 2 2 15 2 4" xfId="13162" xr:uid="{DCDDFCE5-C72F-467E-8769-DC27C95CBA67}"/>
    <cellStyle name="Calculation 2 2 15 2 5" xfId="13163" xr:uid="{7E418903-09B3-4637-855D-8484F11A791D}"/>
    <cellStyle name="Calculation 2 2 15 2 6" xfId="13164" xr:uid="{0A3E23FD-8994-45DC-A403-B91E4C1E2FBA}"/>
    <cellStyle name="Calculation 2 2 15 3" xfId="13165" xr:uid="{75143FA5-9162-497B-937C-50CC9D75FA53}"/>
    <cellStyle name="Calculation 2 2 15 4" xfId="13166" xr:uid="{FC5251E4-5C1F-4ABB-A097-EB163DC77121}"/>
    <cellStyle name="Calculation 2 2 15 5" xfId="13167" xr:uid="{2EB4DC7E-44D6-4599-B743-D6092F783D0F}"/>
    <cellStyle name="Calculation 2 2 15 6" xfId="13168" xr:uid="{CCC15B85-1117-45FB-B651-6B575BD84C9C}"/>
    <cellStyle name="Calculation 2 2 15 7" xfId="13169" xr:uid="{D364A41D-4318-490D-BA5E-83DB4F935FD0}"/>
    <cellStyle name="Calculation 2 2 16" xfId="167" xr:uid="{D11F1836-FAB0-4986-878A-A83EAA8FC667}"/>
    <cellStyle name="Calculation 2 2 16 2" xfId="11169" xr:uid="{B10BACD2-B335-4B92-8399-18F370E46ED0}"/>
    <cellStyle name="Calculation 2 2 16 2 2" xfId="13170" xr:uid="{D057A688-CB0C-472C-B580-31E9F6A01B6C}"/>
    <cellStyle name="Calculation 2 2 16 2 3" xfId="13171" xr:uid="{B2972E05-23E5-4DA4-B8A9-1C5DC49773B6}"/>
    <cellStyle name="Calculation 2 2 16 2 4" xfId="13172" xr:uid="{9BC12A84-B243-4C23-BEFB-F8722E46F6AC}"/>
    <cellStyle name="Calculation 2 2 16 2 5" xfId="13173" xr:uid="{F7B88EBA-E386-4861-9028-7C3E80EE028E}"/>
    <cellStyle name="Calculation 2 2 16 2 6" xfId="13174" xr:uid="{12BE61B2-A598-481D-A052-EDD1C8D73CA1}"/>
    <cellStyle name="Calculation 2 2 16 3" xfId="13175" xr:uid="{E2D39AB4-FF91-4198-BD42-DD8FD4F88C76}"/>
    <cellStyle name="Calculation 2 2 16 4" xfId="13176" xr:uid="{A3289816-5C3D-47DC-886B-C55B7A1D5B10}"/>
    <cellStyle name="Calculation 2 2 16 5" xfId="13177" xr:uid="{57100DA3-9FD0-4064-ACE8-1D14C226332F}"/>
    <cellStyle name="Calculation 2 2 16 6" xfId="13178" xr:uid="{C01CDA64-1C43-4D66-AB57-D4EC388BAF80}"/>
    <cellStyle name="Calculation 2 2 16 7" xfId="13179" xr:uid="{272D87B9-4B78-4A93-A7F1-C0E2A86940EB}"/>
    <cellStyle name="Calculation 2 2 17" xfId="168" xr:uid="{9FAFDFF8-4E19-45DC-B3E1-FFA727A643C2}"/>
    <cellStyle name="Calculation 2 2 17 2" xfId="11259" xr:uid="{9525285C-DCA3-42C5-BEDC-BFA01F407169}"/>
    <cellStyle name="Calculation 2 2 17 2 2" xfId="13180" xr:uid="{22BE2ECD-577E-468F-A7EA-309F35B75D73}"/>
    <cellStyle name="Calculation 2 2 17 2 3" xfId="13181" xr:uid="{23ECA147-F197-4452-ACB4-AA6B52B03684}"/>
    <cellStyle name="Calculation 2 2 17 2 4" xfId="13182" xr:uid="{C1BD9ECD-2101-4C52-A724-221DC21A9CED}"/>
    <cellStyle name="Calculation 2 2 17 2 5" xfId="13183" xr:uid="{BC9F2324-BDC6-4223-BF55-17E9AD732A9B}"/>
    <cellStyle name="Calculation 2 2 17 2 6" xfId="13184" xr:uid="{7D8020FB-FCB6-4880-A9E2-5749783B12A8}"/>
    <cellStyle name="Calculation 2 2 17 3" xfId="13185" xr:uid="{15A39F3D-AF83-4259-A1F1-FAF19536B95F}"/>
    <cellStyle name="Calculation 2 2 17 4" xfId="13186" xr:uid="{EBA40340-5C0B-4AA5-9984-3E95B987A57E}"/>
    <cellStyle name="Calculation 2 2 17 5" xfId="13187" xr:uid="{465F2A78-7E3B-46C2-8FB0-58B47BA4ACE7}"/>
    <cellStyle name="Calculation 2 2 17 6" xfId="13188" xr:uid="{F7E5F5D5-5509-4DF8-9DCE-637A837B0FB2}"/>
    <cellStyle name="Calculation 2 2 17 7" xfId="13189" xr:uid="{7F0BC774-8537-4268-A39D-4F5126BB7228}"/>
    <cellStyle name="Calculation 2 2 18" xfId="169" xr:uid="{6701AAF8-50A7-40FC-9CF3-A8492AE1A069}"/>
    <cellStyle name="Calculation 2 2 18 2" xfId="11345" xr:uid="{A9C4780D-8F3B-4DB4-9CF1-6AAADB064FFA}"/>
    <cellStyle name="Calculation 2 2 18 2 2" xfId="13190" xr:uid="{51A3BCFF-BE8E-48FF-A4E5-57B96C702D45}"/>
    <cellStyle name="Calculation 2 2 18 2 3" xfId="13191" xr:uid="{DEB63795-E7E9-42A1-8FD1-BE745BC057A0}"/>
    <cellStyle name="Calculation 2 2 18 2 4" xfId="13192" xr:uid="{B39D08D2-B95A-4D9D-A523-C0C99E9EDEF5}"/>
    <cellStyle name="Calculation 2 2 18 2 5" xfId="13193" xr:uid="{52B18AD6-B8A7-4569-ACD6-22F10D2AE9A9}"/>
    <cellStyle name="Calculation 2 2 18 2 6" xfId="13194" xr:uid="{9F39A21E-5F3C-478A-AD6B-2BE46BEC0132}"/>
    <cellStyle name="Calculation 2 2 18 3" xfId="13195" xr:uid="{E608C878-6BCD-42B6-8F58-0EEB628D52CE}"/>
    <cellStyle name="Calculation 2 2 18 4" xfId="13196" xr:uid="{051F672F-6164-43A8-B556-C7DA5E1226E3}"/>
    <cellStyle name="Calculation 2 2 18 5" xfId="13197" xr:uid="{F1DC3003-6790-4E75-8D1A-3E12C472A0D1}"/>
    <cellStyle name="Calculation 2 2 18 6" xfId="13198" xr:uid="{B5EE82E9-6A4F-432E-93AA-DDB9DA8C1284}"/>
    <cellStyle name="Calculation 2 2 18 7" xfId="13199" xr:uid="{BD5BAB64-B1F9-49CB-B93C-8F1C70F47AB6}"/>
    <cellStyle name="Calculation 2 2 19" xfId="170" xr:uid="{0D1784C6-39C8-43E8-B503-78424B2F5ED6}"/>
    <cellStyle name="Calculation 2 2 19 2" xfId="11432" xr:uid="{DAE79B88-5FC6-4AD2-A96F-262D10DD1AF6}"/>
    <cellStyle name="Calculation 2 2 19 2 2" xfId="13200" xr:uid="{B3247539-F3D8-489E-B060-59302350D625}"/>
    <cellStyle name="Calculation 2 2 19 2 3" xfId="13201" xr:uid="{5A371265-FA8E-4CE2-B4B4-8CC5F69C9A47}"/>
    <cellStyle name="Calculation 2 2 19 2 4" xfId="13202" xr:uid="{2F548C95-9A2E-43F8-8A46-A6359CE4CF24}"/>
    <cellStyle name="Calculation 2 2 19 2 5" xfId="13203" xr:uid="{BB23CCBB-E38D-45A0-A130-A2D3455B082D}"/>
    <cellStyle name="Calculation 2 2 19 2 6" xfId="13204" xr:uid="{AC7A7CE2-B35C-4EAC-AE12-0F4BBD6CB40E}"/>
    <cellStyle name="Calculation 2 2 19 3" xfId="13205" xr:uid="{71A9ADA7-A3CF-423C-9BDD-062E0C053ABE}"/>
    <cellStyle name="Calculation 2 2 19 4" xfId="13206" xr:uid="{63830B14-C25F-4294-B2F7-17A07C90AA4E}"/>
    <cellStyle name="Calculation 2 2 19 5" xfId="13207" xr:uid="{66EB2894-ECB5-4586-9F93-F780AFDEDB02}"/>
    <cellStyle name="Calculation 2 2 19 6" xfId="13208" xr:uid="{620CFFD9-A4A4-41A6-A25D-331027AF1E5E}"/>
    <cellStyle name="Calculation 2 2 19 7" xfId="13209" xr:uid="{924B67C9-123F-4E21-90BA-A2D7BE4CA995}"/>
    <cellStyle name="Calculation 2 2 2" xfId="171" xr:uid="{A74B1BEC-6B8F-4184-9E08-CF8909587E31}"/>
    <cellStyle name="Calculation 2 2 2 10" xfId="172" xr:uid="{91A383FC-B007-4968-A02F-3961F7F29F79}"/>
    <cellStyle name="Calculation 2 2 2 10 2" xfId="10762" xr:uid="{2FA634D1-D860-43F2-8CF4-281C0A44AB5A}"/>
    <cellStyle name="Calculation 2 2 2 10 2 2" xfId="13210" xr:uid="{B996202A-2FD8-4187-9EE0-B8472E479E10}"/>
    <cellStyle name="Calculation 2 2 2 10 2 3" xfId="13211" xr:uid="{F23693CD-1A07-4EF6-A3C9-7BD3B69F30DF}"/>
    <cellStyle name="Calculation 2 2 2 10 2 4" xfId="13212" xr:uid="{D07B3C6F-01D7-435A-9A8D-FAF9140955A8}"/>
    <cellStyle name="Calculation 2 2 2 10 2 5" xfId="13213" xr:uid="{013C9534-47C3-4924-B793-8AC5FF418394}"/>
    <cellStyle name="Calculation 2 2 2 10 2 6" xfId="13214" xr:uid="{93C096C7-D98A-4AE9-B3E2-AD11709BADC2}"/>
    <cellStyle name="Calculation 2 2 2 10 3" xfId="13215" xr:uid="{446BC731-985D-4823-8FDA-59005D6015BD}"/>
    <cellStyle name="Calculation 2 2 2 10 4" xfId="13216" xr:uid="{FC01DC13-D944-40D9-BE81-49CC5AA19EE3}"/>
    <cellStyle name="Calculation 2 2 2 10 5" xfId="13217" xr:uid="{B93FB09B-5FB7-440E-865B-1F13E1530A70}"/>
    <cellStyle name="Calculation 2 2 2 10 6" xfId="13218" xr:uid="{959B6F17-50C4-4429-9E3F-60106A580358}"/>
    <cellStyle name="Calculation 2 2 2 10 7" xfId="13219" xr:uid="{038EEBC3-F2A0-4A34-9996-4F265487A82C}"/>
    <cellStyle name="Calculation 2 2 2 11" xfId="173" xr:uid="{606FD764-0AB3-45E2-9C1A-982722EB54AF}"/>
    <cellStyle name="Calculation 2 2 2 11 2" xfId="10850" xr:uid="{FC82E959-C3D4-4F80-860E-0BF597005D89}"/>
    <cellStyle name="Calculation 2 2 2 11 2 2" xfId="13220" xr:uid="{A6405835-11B3-4F8B-93B0-AD869AF9A789}"/>
    <cellStyle name="Calculation 2 2 2 11 2 3" xfId="13221" xr:uid="{B077179F-164F-4A7E-9FDB-7663379ED934}"/>
    <cellStyle name="Calculation 2 2 2 11 2 4" xfId="13222" xr:uid="{766FFFC5-5D15-489F-A9E8-97F0B204DA13}"/>
    <cellStyle name="Calculation 2 2 2 11 2 5" xfId="13223" xr:uid="{3CB53DF1-6F15-4D13-8273-393DD65718D1}"/>
    <cellStyle name="Calculation 2 2 2 11 2 6" xfId="13224" xr:uid="{38E93F47-AD50-4A2A-947C-13681C0D7A41}"/>
    <cellStyle name="Calculation 2 2 2 11 3" xfId="13225" xr:uid="{CF343C01-C1ED-4115-ABD5-7197DB8899B7}"/>
    <cellStyle name="Calculation 2 2 2 11 4" xfId="13226" xr:uid="{6B0D9136-CA81-43A8-B604-A44F988B1819}"/>
    <cellStyle name="Calculation 2 2 2 11 5" xfId="13227" xr:uid="{6E3D673B-4394-4E86-837D-47BBE27D7F33}"/>
    <cellStyle name="Calculation 2 2 2 11 6" xfId="13228" xr:uid="{296FE9CC-348D-4D26-855B-3FD4DB9B8438}"/>
    <cellStyle name="Calculation 2 2 2 11 7" xfId="13229" xr:uid="{124D5394-F432-4CCE-A448-5B0B0C4A5808}"/>
    <cellStyle name="Calculation 2 2 2 12" xfId="174" xr:uid="{B819D9BB-FB40-4217-BF38-F74AE4DAC508}"/>
    <cellStyle name="Calculation 2 2 2 12 2" xfId="10939" xr:uid="{C383A657-3EA8-4048-9384-5C24C3CA5EC1}"/>
    <cellStyle name="Calculation 2 2 2 12 2 2" xfId="13230" xr:uid="{E0CAABB3-6441-4820-84FC-0B1E8ADC5022}"/>
    <cellStyle name="Calculation 2 2 2 12 2 3" xfId="13231" xr:uid="{44A1E6C1-19A1-4EA2-8439-07E74DAC4BC4}"/>
    <cellStyle name="Calculation 2 2 2 12 2 4" xfId="13232" xr:uid="{185F453C-91EC-42FC-86EC-465E1A237622}"/>
    <cellStyle name="Calculation 2 2 2 12 2 5" xfId="13233" xr:uid="{363B963E-789E-493B-B467-BEEAA67B00A6}"/>
    <cellStyle name="Calculation 2 2 2 12 2 6" xfId="13234" xr:uid="{1ECB1C30-9B44-4E93-AB38-51BCEF4F782F}"/>
    <cellStyle name="Calculation 2 2 2 12 3" xfId="13235" xr:uid="{DA71163A-CA4E-4DFC-95C9-865820304013}"/>
    <cellStyle name="Calculation 2 2 2 12 4" xfId="13236" xr:uid="{2B351B9B-B5E4-43F9-BB1B-558A1270C075}"/>
    <cellStyle name="Calculation 2 2 2 12 5" xfId="13237" xr:uid="{11FECF3C-38E7-4431-B7CB-847937CDF3E7}"/>
    <cellStyle name="Calculation 2 2 2 12 6" xfId="13238" xr:uid="{E25CF525-8C4B-4109-9548-6222BF0F817A}"/>
    <cellStyle name="Calculation 2 2 2 12 7" xfId="13239" xr:uid="{C8C8EC1D-2A8D-4822-A2EA-8EFFC778E1A4}"/>
    <cellStyle name="Calculation 2 2 2 13" xfId="175" xr:uid="{2C906714-231B-4951-A047-2848F4A83007}"/>
    <cellStyle name="Calculation 2 2 2 13 2" xfId="11029" xr:uid="{5FCD6845-CACA-402A-A9CC-E9268681B08F}"/>
    <cellStyle name="Calculation 2 2 2 13 2 2" xfId="13240" xr:uid="{FD15DDF4-96E8-427C-A11D-9786D50EFD7B}"/>
    <cellStyle name="Calculation 2 2 2 13 2 3" xfId="13241" xr:uid="{E84FCAC2-445A-4F39-A4F2-9B044ADEA7F4}"/>
    <cellStyle name="Calculation 2 2 2 13 2 4" xfId="13242" xr:uid="{51F4A831-D75B-4591-B24C-E4A1566D697E}"/>
    <cellStyle name="Calculation 2 2 2 13 2 5" xfId="13243" xr:uid="{396CFE7F-40A0-4EEB-8BD2-EE9D3B60A59D}"/>
    <cellStyle name="Calculation 2 2 2 13 2 6" xfId="13244" xr:uid="{802D97C6-48D4-4091-8957-D15E48B63B0A}"/>
    <cellStyle name="Calculation 2 2 2 13 3" xfId="13245" xr:uid="{D88267DE-9A1D-4422-8C20-7CD052ED52E3}"/>
    <cellStyle name="Calculation 2 2 2 13 4" xfId="13246" xr:uid="{3DDDA609-CDDF-4D50-A487-1DB51619BB6C}"/>
    <cellStyle name="Calculation 2 2 2 13 5" xfId="13247" xr:uid="{A01D50DF-80E4-4C0D-B86E-A2B154D7732C}"/>
    <cellStyle name="Calculation 2 2 2 13 6" xfId="13248" xr:uid="{51FD0FE9-BCFB-40AD-A9DC-47D0D45C4220}"/>
    <cellStyle name="Calculation 2 2 2 13 7" xfId="13249" xr:uid="{F8C97A38-6676-4258-BBAC-75A935B51A33}"/>
    <cellStyle name="Calculation 2 2 2 14" xfId="176" xr:uid="{768D7E5F-21DF-4412-895B-6FF3CAFD9BDB}"/>
    <cellStyle name="Calculation 2 2 2 14 2" xfId="11119" xr:uid="{31519BCB-CB65-4607-9428-FB4A5CDC277E}"/>
    <cellStyle name="Calculation 2 2 2 14 2 2" xfId="13250" xr:uid="{A970B6C3-64F0-440C-8347-BF6C9A94E09C}"/>
    <cellStyle name="Calculation 2 2 2 14 2 3" xfId="13251" xr:uid="{FABB15E7-1597-481D-B98B-B0766CD9A4A5}"/>
    <cellStyle name="Calculation 2 2 2 14 2 4" xfId="13252" xr:uid="{B6804306-C103-4AEA-8A26-89352291CED9}"/>
    <cellStyle name="Calculation 2 2 2 14 2 5" xfId="13253" xr:uid="{D71C752D-AABE-4ED5-B6A9-9C2D2A5D0BFF}"/>
    <cellStyle name="Calculation 2 2 2 14 2 6" xfId="13254" xr:uid="{CCA7BC8C-36DF-4271-A395-3C3F9FD37D24}"/>
    <cellStyle name="Calculation 2 2 2 14 3" xfId="13255" xr:uid="{254551E2-B3DC-4198-99EA-13175D38BE2B}"/>
    <cellStyle name="Calculation 2 2 2 14 4" xfId="13256" xr:uid="{510956F4-6D90-4DD2-B798-6BEB90092C5A}"/>
    <cellStyle name="Calculation 2 2 2 14 5" xfId="13257" xr:uid="{1B531310-EFD2-4740-B2CA-5F4E4BD86E59}"/>
    <cellStyle name="Calculation 2 2 2 14 6" xfId="13258" xr:uid="{D79425D7-E376-4644-90D0-A18208488D6F}"/>
    <cellStyle name="Calculation 2 2 2 14 7" xfId="13259" xr:uid="{3BB590EC-1AA7-4210-AFED-756140EB7B62}"/>
    <cellStyle name="Calculation 2 2 2 15" xfId="177" xr:uid="{FC28FC92-3D56-429B-85D3-EF695A2434F4}"/>
    <cellStyle name="Calculation 2 2 2 15 2" xfId="11202" xr:uid="{06963110-5BF0-4902-8ACB-5571299115D0}"/>
    <cellStyle name="Calculation 2 2 2 15 2 2" xfId="13260" xr:uid="{E7E42E12-47B3-4784-BA44-BD45BBF47970}"/>
    <cellStyle name="Calculation 2 2 2 15 2 3" xfId="13261" xr:uid="{A8A80A61-CED9-4964-BA6A-16EA042E8518}"/>
    <cellStyle name="Calculation 2 2 2 15 2 4" xfId="13262" xr:uid="{E39D5763-2892-45CD-927E-E2BCCA81E6E5}"/>
    <cellStyle name="Calculation 2 2 2 15 2 5" xfId="13263" xr:uid="{FEC9EB02-2039-4C14-9DFE-2831A218EABF}"/>
    <cellStyle name="Calculation 2 2 2 15 2 6" xfId="13264" xr:uid="{93B36A7A-92AF-4195-915A-DC44AE8A7DBB}"/>
    <cellStyle name="Calculation 2 2 2 15 3" xfId="13265" xr:uid="{B71B35E7-D71A-464D-8FC1-64AFFB8FCAFE}"/>
    <cellStyle name="Calculation 2 2 2 15 4" xfId="13266" xr:uid="{FBC6DFC4-C608-4EC8-9002-54EC10E357EE}"/>
    <cellStyle name="Calculation 2 2 2 15 5" xfId="13267" xr:uid="{28035842-C856-49A7-AFBB-1267C000D47E}"/>
    <cellStyle name="Calculation 2 2 2 15 6" xfId="13268" xr:uid="{2881AC7A-5B84-44DA-856A-2E62AEBE42DD}"/>
    <cellStyle name="Calculation 2 2 2 15 7" xfId="13269" xr:uid="{9D831706-A733-45E1-BE85-1C56E991986F}"/>
    <cellStyle name="Calculation 2 2 2 16" xfId="178" xr:uid="{A85AE2C8-23F1-4157-9EF7-0F14C074FDFA}"/>
    <cellStyle name="Calculation 2 2 2 16 2" xfId="11292" xr:uid="{C3769904-6CBB-4756-98BE-72CFCD10D096}"/>
    <cellStyle name="Calculation 2 2 2 16 2 2" xfId="13270" xr:uid="{093924D8-6D70-4974-A523-203DB08C4A95}"/>
    <cellStyle name="Calculation 2 2 2 16 2 3" xfId="13271" xr:uid="{AA1659D8-F676-4C69-B9FD-CF910A45B066}"/>
    <cellStyle name="Calculation 2 2 2 16 2 4" xfId="13272" xr:uid="{E0C57D29-8D2F-4119-B80A-5EF82E28A3BF}"/>
    <cellStyle name="Calculation 2 2 2 16 2 5" xfId="13273" xr:uid="{714A128F-F202-44B9-B58B-F0826ABF4360}"/>
    <cellStyle name="Calculation 2 2 2 16 2 6" xfId="13274" xr:uid="{787C792D-6E2E-4108-BF80-A549DCAFEE2D}"/>
    <cellStyle name="Calculation 2 2 2 16 3" xfId="13275" xr:uid="{BEB74E4A-2CF6-4ACB-BFF6-A03FDD40E159}"/>
    <cellStyle name="Calculation 2 2 2 16 4" xfId="13276" xr:uid="{1D4C350A-DBDB-43B0-B964-5BCCDE316A89}"/>
    <cellStyle name="Calculation 2 2 2 16 5" xfId="13277" xr:uid="{3215D300-318B-4EAC-8500-1085A95FCFC0}"/>
    <cellStyle name="Calculation 2 2 2 16 6" xfId="13278" xr:uid="{D59D09B6-F504-4840-99F0-A158639A741C}"/>
    <cellStyle name="Calculation 2 2 2 16 7" xfId="13279" xr:uid="{D79DD594-5370-417C-959D-9F029E69ACDF}"/>
    <cellStyle name="Calculation 2 2 2 17" xfId="179" xr:uid="{38D61F99-7F66-46A7-BBD0-26FDCB55746D}"/>
    <cellStyle name="Calculation 2 2 2 17 2" xfId="11378" xr:uid="{7F0C4D37-B058-42C1-83A0-874B6F0BCEA0}"/>
    <cellStyle name="Calculation 2 2 2 17 2 2" xfId="13280" xr:uid="{BE5748B9-279D-4810-A27B-3AA50D84A575}"/>
    <cellStyle name="Calculation 2 2 2 17 2 3" xfId="13281" xr:uid="{9550E782-A4A0-4FFC-8424-5C48CFA4D414}"/>
    <cellStyle name="Calculation 2 2 2 17 2 4" xfId="13282" xr:uid="{34558F95-9D46-4902-B5B1-58F0F6A9D2EC}"/>
    <cellStyle name="Calculation 2 2 2 17 2 5" xfId="13283" xr:uid="{D52B9CC0-9F8F-4689-BCBB-47E0C8813362}"/>
    <cellStyle name="Calculation 2 2 2 17 2 6" xfId="13284" xr:uid="{D99B6524-F97B-4473-85B6-B2AD91CAA291}"/>
    <cellStyle name="Calculation 2 2 2 17 3" xfId="13285" xr:uid="{F5132D3F-9DDF-45D1-81DC-882BED193335}"/>
    <cellStyle name="Calculation 2 2 2 17 4" xfId="13286" xr:uid="{650F0F91-4D35-468F-B597-E758B72D3D17}"/>
    <cellStyle name="Calculation 2 2 2 17 5" xfId="13287" xr:uid="{11165F15-F626-4C0A-A725-367E193F24A6}"/>
    <cellStyle name="Calculation 2 2 2 17 6" xfId="13288" xr:uid="{BDC16A1E-C390-46E5-BE9D-84DBBE91F0F4}"/>
    <cellStyle name="Calculation 2 2 2 17 7" xfId="13289" xr:uid="{3F28263F-11C8-48F3-B51C-933E06C848F4}"/>
    <cellStyle name="Calculation 2 2 2 18" xfId="180" xr:uid="{E893514F-AFA6-4324-BBC3-13F96F90AB3B}"/>
    <cellStyle name="Calculation 2 2 2 18 2" xfId="11465" xr:uid="{501D1AB4-BADA-4CB4-A171-55CE7C058DEA}"/>
    <cellStyle name="Calculation 2 2 2 18 2 2" xfId="13290" xr:uid="{24F9386F-09E6-4B26-98E0-0BD15B7B12BB}"/>
    <cellStyle name="Calculation 2 2 2 18 2 3" xfId="13291" xr:uid="{BA691BDC-E497-4996-B913-33759BE3D0E3}"/>
    <cellStyle name="Calculation 2 2 2 18 2 4" xfId="13292" xr:uid="{A600C6D9-1359-4D27-A2C2-93E0E5CD8C99}"/>
    <cellStyle name="Calculation 2 2 2 18 2 5" xfId="13293" xr:uid="{72374A03-1C04-4022-AAF4-9FAAF192D71E}"/>
    <cellStyle name="Calculation 2 2 2 18 2 6" xfId="13294" xr:uid="{2912E320-7887-4665-A172-F6F46B76AFF5}"/>
    <cellStyle name="Calculation 2 2 2 18 3" xfId="13295" xr:uid="{B4301A2A-B963-426D-AEA2-65E0D736FE3B}"/>
    <cellStyle name="Calculation 2 2 2 18 4" xfId="13296" xr:uid="{9EC70DCD-256A-49D9-870D-6DC5FF65B0E5}"/>
    <cellStyle name="Calculation 2 2 2 18 5" xfId="13297" xr:uid="{1D47653D-E162-4B24-8FAA-6C0C5C01D475}"/>
    <cellStyle name="Calculation 2 2 2 18 6" xfId="13298" xr:uid="{5A110BCD-4C47-4AD3-8643-238841D857F6}"/>
    <cellStyle name="Calculation 2 2 2 18 7" xfId="13299" xr:uid="{8DE5B8B5-C2A3-405F-9CDE-660CE43BC33C}"/>
    <cellStyle name="Calculation 2 2 2 19" xfId="181" xr:uid="{389AA17B-9271-4382-AB8E-ACEB3F5C814D}"/>
    <cellStyle name="Calculation 2 2 2 19 2" xfId="11552" xr:uid="{3C73A0D9-45A9-4DFB-BC67-B0686295B671}"/>
    <cellStyle name="Calculation 2 2 2 19 2 2" xfId="13300" xr:uid="{06B3A49D-9982-4AAD-BB1C-09743A61A4F6}"/>
    <cellStyle name="Calculation 2 2 2 19 2 3" xfId="13301" xr:uid="{80606A2F-7727-4E89-A839-88E6CB203CF3}"/>
    <cellStyle name="Calculation 2 2 2 19 2 4" xfId="13302" xr:uid="{7C322F4A-13C0-4102-9573-161D568EC898}"/>
    <cellStyle name="Calculation 2 2 2 19 2 5" xfId="13303" xr:uid="{F3020C97-0490-46D0-9905-776E9B1A4AF1}"/>
    <cellStyle name="Calculation 2 2 2 19 2 6" xfId="13304" xr:uid="{D2642F42-F7B8-41A9-A322-0DFBE29F576C}"/>
    <cellStyle name="Calculation 2 2 2 19 3" xfId="13305" xr:uid="{37088F5E-ED6A-495B-9513-1854444333AD}"/>
    <cellStyle name="Calculation 2 2 2 19 4" xfId="13306" xr:uid="{0A8508EB-718B-4DBD-98A9-28FDF7C57A1C}"/>
    <cellStyle name="Calculation 2 2 2 19 5" xfId="13307" xr:uid="{693F11CD-B676-4A2B-AB05-BF67F4621062}"/>
    <cellStyle name="Calculation 2 2 2 19 6" xfId="13308" xr:uid="{21C4099C-66DD-4DE6-AC6A-9FF627D6DC23}"/>
    <cellStyle name="Calculation 2 2 2 19 7" xfId="13309" xr:uid="{2ADF34DA-722E-405B-AD36-FF399CC48767}"/>
    <cellStyle name="Calculation 2 2 2 2" xfId="182" xr:uid="{2D3256F8-28DA-45C0-BA65-D9091A07993E}"/>
    <cellStyle name="Calculation 2 2 2 2 2" xfId="10059" xr:uid="{8E203B29-1A5D-41B4-B85C-B33B87BA2744}"/>
    <cellStyle name="Calculation 2 2 2 2 2 2" xfId="13310" xr:uid="{64539897-FBE0-44E1-8339-A32902D22524}"/>
    <cellStyle name="Calculation 2 2 2 2 2 3" xfId="13311" xr:uid="{F3CAF2DD-2B58-4050-AE1C-45AB428C220F}"/>
    <cellStyle name="Calculation 2 2 2 2 2 4" xfId="13312" xr:uid="{DB9F6B88-D6FA-42FB-AE2D-0D9DBABCC146}"/>
    <cellStyle name="Calculation 2 2 2 2 2 5" xfId="13313" xr:uid="{C55A409B-C16C-4ED3-B066-D298A0E80D4A}"/>
    <cellStyle name="Calculation 2 2 2 2 2 6" xfId="13314" xr:uid="{5B3C9C3F-6142-4C44-B71D-99B17CFC0246}"/>
    <cellStyle name="Calculation 2 2 2 2 3" xfId="13315" xr:uid="{888E30D5-8075-4300-AC97-827745CE997E}"/>
    <cellStyle name="Calculation 2 2 2 2 4" xfId="13316" xr:uid="{CA1017DB-A1EB-4949-B748-A0CAEC02D214}"/>
    <cellStyle name="Calculation 2 2 2 2 5" xfId="13317" xr:uid="{12D22343-0568-49A5-BF82-9243B4ED6587}"/>
    <cellStyle name="Calculation 2 2 2 2 6" xfId="13318" xr:uid="{4F2DFC82-0907-441D-9A86-5E1FA49A0EE3}"/>
    <cellStyle name="Calculation 2 2 2 2 7" xfId="13319" xr:uid="{EB494D66-E648-41C1-9990-613C6601E2D7}"/>
    <cellStyle name="Calculation 2 2 2 20" xfId="183" xr:uid="{950A38C6-7072-4B3D-8D09-17F8DA343A92}"/>
    <cellStyle name="Calculation 2 2 2 20 2" xfId="11640" xr:uid="{6D20467E-688D-49AC-B4FE-541D89458BA5}"/>
    <cellStyle name="Calculation 2 2 2 20 2 2" xfId="13320" xr:uid="{6C1BB15A-792D-44A4-BC07-EEC58ED50319}"/>
    <cellStyle name="Calculation 2 2 2 20 2 3" xfId="13321" xr:uid="{A053FA41-3092-4BC5-80B0-7B48F0EAE2D0}"/>
    <cellStyle name="Calculation 2 2 2 20 2 4" xfId="13322" xr:uid="{697BF9BF-EF0D-40EE-9DAF-4EFB31DC6AA6}"/>
    <cellStyle name="Calculation 2 2 2 20 2 5" xfId="13323" xr:uid="{D22F7017-ABD8-4B0D-B956-06B8293D8305}"/>
    <cellStyle name="Calculation 2 2 2 20 2 6" xfId="13324" xr:uid="{AC5BC8ED-FD6D-49DC-918B-7A07E8902652}"/>
    <cellStyle name="Calculation 2 2 2 20 3" xfId="13325" xr:uid="{E2FA1940-11DD-4054-80FC-4D8A79E65ECA}"/>
    <cellStyle name="Calculation 2 2 2 20 4" xfId="13326" xr:uid="{5997F23D-5023-4A87-89DA-11481F6EE549}"/>
    <cellStyle name="Calculation 2 2 2 20 5" xfId="13327" xr:uid="{1318D8D9-4D03-40F8-A2AC-6EBAE57EE28D}"/>
    <cellStyle name="Calculation 2 2 2 20 6" xfId="13328" xr:uid="{FBAA14C1-C674-4BFE-939A-8565739AEA5D}"/>
    <cellStyle name="Calculation 2 2 2 20 7" xfId="13329" xr:uid="{5D73CB4D-563D-4F12-94D1-6EA27CDE54F6}"/>
    <cellStyle name="Calculation 2 2 2 21" xfId="184" xr:uid="{A25197EE-BBB4-41E2-8FC0-39BA4C96D205}"/>
    <cellStyle name="Calculation 2 2 2 21 2" xfId="11724" xr:uid="{73A3199E-505B-47E3-9CF6-D316E4A0B29B}"/>
    <cellStyle name="Calculation 2 2 2 21 2 2" xfId="13330" xr:uid="{9A0D632C-1AAB-4E4F-961D-641C6D6B00AA}"/>
    <cellStyle name="Calculation 2 2 2 21 2 3" xfId="13331" xr:uid="{7CF8734A-A2ED-4799-9494-A57AF78890BD}"/>
    <cellStyle name="Calculation 2 2 2 21 2 4" xfId="13332" xr:uid="{4FF77B4D-ABBC-488B-B911-BCFDE6788BC7}"/>
    <cellStyle name="Calculation 2 2 2 21 2 5" xfId="18" xr:uid="{EC5395DD-1AD7-4A02-B700-D1CA4676944A}"/>
    <cellStyle name="Calculation 2 2 2 21 2 5 2" xfId="13333" xr:uid="{1BDF3FD0-C2EC-406B-8598-25845E703475}"/>
    <cellStyle name="Calculation 2 2 2 21 2 6" xfId="13334" xr:uid="{9AABFA7B-9E54-45FA-BFE3-193B16AB5CB1}"/>
    <cellStyle name="Calculation 2 2 2 21 3" xfId="13335" xr:uid="{81DE5D51-E380-4A63-BE6B-B0E0F65D353B}"/>
    <cellStyle name="Calculation 2 2 2 21 4" xfId="13336" xr:uid="{B6F9C580-71F5-472B-B072-5175CF686BEE}"/>
    <cellStyle name="Calculation 2 2 2 21 5" xfId="13337" xr:uid="{C8D5F261-E550-4F82-B191-EFE7C1E9E686}"/>
    <cellStyle name="Calculation 2 2 2 21 6" xfId="13338" xr:uid="{CA2B0A76-A4B4-44B2-BB83-4DE29AC86B46}"/>
    <cellStyle name="Calculation 2 2 2 21 7" xfId="13339" xr:uid="{D6F2EF8E-2129-4C06-9750-11062F05E7AE}"/>
    <cellStyle name="Calculation 2 2 2 22" xfId="185" xr:uid="{9FA9DE80-8AF5-4CD5-99FC-D90807DAF210}"/>
    <cellStyle name="Calculation 2 2 2 22 2" xfId="11807" xr:uid="{367774E2-6670-4A68-B62E-1D1F39F3388E}"/>
    <cellStyle name="Calculation 2 2 2 22 2 2" xfId="13340" xr:uid="{B72B06DD-7677-406E-96FA-BA299CE4C5E6}"/>
    <cellStyle name="Calculation 2 2 2 22 2 3" xfId="13341" xr:uid="{2CAACEAE-BA73-4DD1-8CF1-549C92F4AFC8}"/>
    <cellStyle name="Calculation 2 2 2 22 2 4" xfId="13342" xr:uid="{49C82610-356F-43EC-BB1D-20A133ABB5B1}"/>
    <cellStyle name="Calculation 2 2 2 22 2 5" xfId="13343" xr:uid="{A4563CE2-FE18-49E8-8978-56995F3083EA}"/>
    <cellStyle name="Calculation 2 2 2 22 2 6" xfId="13344" xr:uid="{1BFBE629-F5FA-46A6-A7EF-48C9001120D5}"/>
    <cellStyle name="Calculation 2 2 2 22 3" xfId="13345" xr:uid="{FFB0EA46-27AC-4EBE-9DFB-23AFB04BE92A}"/>
    <cellStyle name="Calculation 2 2 2 22 4" xfId="13346" xr:uid="{7C8400F5-D197-43F0-BE41-81B923464450}"/>
    <cellStyle name="Calculation 2 2 2 22 5" xfId="13347" xr:uid="{5EFCD2EC-CCD1-4A17-82A5-039DC6348125}"/>
    <cellStyle name="Calculation 2 2 2 22 6" xfId="13348" xr:uid="{408586FD-E80E-495E-BB9D-2E82B03416CD}"/>
    <cellStyle name="Calculation 2 2 2 22 7" xfId="13349" xr:uid="{6191B224-B666-4F45-99B8-BA06AF6CD140}"/>
    <cellStyle name="Calculation 2 2 2 23" xfId="186" xr:uid="{FF2896B5-0BE5-42F7-BDCF-F6C221DEE6D6}"/>
    <cellStyle name="Calculation 2 2 2 23 2" xfId="11890" xr:uid="{AE213872-8593-40FC-81BF-D8C82E5E34F1}"/>
    <cellStyle name="Calculation 2 2 2 23 2 2" xfId="13350" xr:uid="{7670DD6A-704A-4519-831D-1FC1D8A89B90}"/>
    <cellStyle name="Calculation 2 2 2 23 2 3" xfId="13351" xr:uid="{82578089-6306-40F8-9B26-B07C2CBE9648}"/>
    <cellStyle name="Calculation 2 2 2 23 2 4" xfId="13352" xr:uid="{1013E48D-B567-4E6E-A25E-C08526BB4111}"/>
    <cellStyle name="Calculation 2 2 2 23 2 5" xfId="13353" xr:uid="{57E12974-16D5-49B1-BBBD-47ED153A9794}"/>
    <cellStyle name="Calculation 2 2 2 23 2 6" xfId="13354" xr:uid="{1A801876-8E5D-486C-93E0-560E9AD87BE0}"/>
    <cellStyle name="Calculation 2 2 2 23 3" xfId="13355" xr:uid="{BE5D7353-7322-4F09-8992-06B6E3E16277}"/>
    <cellStyle name="Calculation 2 2 2 23 4" xfId="13356" xr:uid="{4C72BD47-FECA-4539-A161-5050FD8990CC}"/>
    <cellStyle name="Calculation 2 2 2 23 5" xfId="13357" xr:uid="{E9098773-9DF1-4C67-BAEC-F3327FC83F75}"/>
    <cellStyle name="Calculation 2 2 2 23 6" xfId="13358" xr:uid="{C687D2A2-A437-4F96-ADC9-92C0EA2E0C7B}"/>
    <cellStyle name="Calculation 2 2 2 23 7" xfId="13359" xr:uid="{A8383A3D-332E-4678-AED3-719BE55B30CF}"/>
    <cellStyle name="Calculation 2 2 2 24" xfId="187" xr:uid="{C31F687B-33F8-4FF2-AC64-DC058D7684F9}"/>
    <cellStyle name="Calculation 2 2 2 24 2" xfId="11974" xr:uid="{99E22B8B-5307-44E6-97B6-70CCA324C2FC}"/>
    <cellStyle name="Calculation 2 2 2 24 2 2" xfId="13360" xr:uid="{56891AF0-4B41-4291-9700-847CB4A15CF2}"/>
    <cellStyle name="Calculation 2 2 2 24 2 3" xfId="13361" xr:uid="{5579C1BC-3340-4B67-A47C-09DA0EA5CC80}"/>
    <cellStyle name="Calculation 2 2 2 24 2 4" xfId="13362" xr:uid="{1CDF300F-6CE1-4710-A03B-0D9813E04B66}"/>
    <cellStyle name="Calculation 2 2 2 24 2 5" xfId="13363" xr:uid="{C6255E35-CD0A-4E33-8EF3-B515166A1F85}"/>
    <cellStyle name="Calculation 2 2 2 24 2 6" xfId="13364" xr:uid="{A49AC569-397C-49EF-AFD5-E131FA09B7D9}"/>
    <cellStyle name="Calculation 2 2 2 24 3" xfId="13365" xr:uid="{34664B5D-6304-4502-A332-9D9853C46CF6}"/>
    <cellStyle name="Calculation 2 2 2 24 4" xfId="13366" xr:uid="{753C6E68-86FA-4093-938F-2385B375C188}"/>
    <cellStyle name="Calculation 2 2 2 24 5" xfId="13367" xr:uid="{50020477-132B-4D07-AF41-58AE2A90758B}"/>
    <cellStyle name="Calculation 2 2 2 24 6" xfId="13368" xr:uid="{35E20295-CD7B-48DE-9D89-BCAFDF532979}"/>
    <cellStyle name="Calculation 2 2 2 24 7" xfId="13369" xr:uid="{614D3543-51EF-4A9C-9C78-EAA918D8BBB8}"/>
    <cellStyle name="Calculation 2 2 2 25" xfId="188" xr:uid="{9F87E544-829E-42D1-8FEF-E183E7A20C4C}"/>
    <cellStyle name="Calculation 2 2 2 25 2" xfId="12057" xr:uid="{779516E0-A5BE-4C4B-B6E2-8293870145A5}"/>
    <cellStyle name="Calculation 2 2 2 25 2 2" xfId="13370" xr:uid="{F9039031-8ADC-4A7A-BACA-4152F9EE830B}"/>
    <cellStyle name="Calculation 2 2 2 25 2 3" xfId="13371" xr:uid="{9A39628E-868D-45CD-AB75-8926D9B76FD1}"/>
    <cellStyle name="Calculation 2 2 2 25 2 4" xfId="13372" xr:uid="{F53D50E8-CDFB-42AD-B1B0-0EDE39C4C138}"/>
    <cellStyle name="Calculation 2 2 2 25 2 5" xfId="13373" xr:uid="{0CD904C2-FF1C-4332-82F0-68A2CA0FEF47}"/>
    <cellStyle name="Calculation 2 2 2 25 2 6" xfId="13374" xr:uid="{16A8B3A3-71D9-4562-9D6A-878D2DF90762}"/>
    <cellStyle name="Calculation 2 2 2 25 3" xfId="13375" xr:uid="{58623656-93AF-4BA7-90A5-3400AF65DCD5}"/>
    <cellStyle name="Calculation 2 2 2 25 4" xfId="13376" xr:uid="{68FF57C0-5C30-4A6D-A055-23542F27D8AC}"/>
    <cellStyle name="Calculation 2 2 2 25 5" xfId="13377" xr:uid="{E0A6E355-5E98-4B42-AB12-B353B10F4675}"/>
    <cellStyle name="Calculation 2 2 2 25 6" xfId="13378" xr:uid="{909BF1F9-0C6B-416F-85E4-07D2A99161CB}"/>
    <cellStyle name="Calculation 2 2 2 25 7" xfId="13379" xr:uid="{4D2382A5-D66E-496E-99D9-6C7C68B9157A}"/>
    <cellStyle name="Calculation 2 2 2 26" xfId="189" xr:uid="{AA3DED59-F659-48F8-A15D-6FF15C522771}"/>
    <cellStyle name="Calculation 2 2 2 26 2" xfId="12140" xr:uid="{ECE6A1DF-4D19-4E8C-BB6C-8E7D493E1A87}"/>
    <cellStyle name="Calculation 2 2 2 26 2 2" xfId="13380" xr:uid="{01D2FA07-532A-4B32-A02E-C1E7110A3CE0}"/>
    <cellStyle name="Calculation 2 2 2 26 2 3" xfId="13381" xr:uid="{00B4ABF0-52B1-4A61-ABA2-48FAB390DE5D}"/>
    <cellStyle name="Calculation 2 2 2 26 2 4" xfId="13382" xr:uid="{9CB46E34-9F9F-46F0-A904-018E3571CF9C}"/>
    <cellStyle name="Calculation 2 2 2 26 2 5" xfId="13383" xr:uid="{6B8B2E81-9550-41F7-8A3B-26278D38BB8D}"/>
    <cellStyle name="Calculation 2 2 2 26 2 6" xfId="13384" xr:uid="{9F49DE5E-4559-4376-9496-3DDCBDE23834}"/>
    <cellStyle name="Calculation 2 2 2 26 3" xfId="13385" xr:uid="{3BFE755A-AC4D-40FB-AE67-8F61AF91FEE0}"/>
    <cellStyle name="Calculation 2 2 2 26 4" xfId="13386" xr:uid="{52E08A9A-0071-494C-8BF7-16F0FF2053AE}"/>
    <cellStyle name="Calculation 2 2 2 26 5" xfId="13387" xr:uid="{44310CB8-9C44-4E47-9F5F-81E27C4EE69F}"/>
    <cellStyle name="Calculation 2 2 2 26 6" xfId="13388" xr:uid="{AD133BA0-971C-4540-8A75-F659479E88AD}"/>
    <cellStyle name="Calculation 2 2 2 26 7" xfId="13389" xr:uid="{F514ABAD-BA7E-429F-A3A5-860120917325}"/>
    <cellStyle name="Calculation 2 2 2 27" xfId="190" xr:uid="{6DB7265A-3040-462B-922D-9084883E1A34}"/>
    <cellStyle name="Calculation 2 2 2 27 2" xfId="12222" xr:uid="{5AB604D9-23EF-4504-AEE7-22C0C2E14DD7}"/>
    <cellStyle name="Calculation 2 2 2 27 2 2" xfId="13390" xr:uid="{CF836637-FBD4-4340-9367-7B6DAEBD0240}"/>
    <cellStyle name="Calculation 2 2 2 27 2 3" xfId="13391" xr:uid="{E2E5A004-0125-4352-B0D7-1A6A7B8D1E11}"/>
    <cellStyle name="Calculation 2 2 2 27 2 4" xfId="13392" xr:uid="{3396DBC1-99A3-47B0-9198-4C4A2258E37C}"/>
    <cellStyle name="Calculation 2 2 2 27 2 5" xfId="13393" xr:uid="{6D2B68B3-7C77-43AE-A3E0-5A1314E7113E}"/>
    <cellStyle name="Calculation 2 2 2 27 2 6" xfId="13394" xr:uid="{95BC2781-52C1-42B5-93B9-98D348087927}"/>
    <cellStyle name="Calculation 2 2 2 27 3" xfId="13395" xr:uid="{EAF16CFC-94DA-4060-8BF9-5A7016903DF4}"/>
    <cellStyle name="Calculation 2 2 2 27 4" xfId="13396" xr:uid="{7F7308B4-67C9-4177-85F5-73CF7358B0AE}"/>
    <cellStyle name="Calculation 2 2 2 27 5" xfId="13397" xr:uid="{60BFA43D-E5F6-4B03-B781-DAA8FA06575E}"/>
    <cellStyle name="Calculation 2 2 2 27 6" xfId="13398" xr:uid="{6AEB65F7-E207-4CA6-99D4-48FED7585D82}"/>
    <cellStyle name="Calculation 2 2 2 27 7" xfId="13399" xr:uid="{DFF8F596-7EB0-4A12-879F-FE7E4025DE16}"/>
    <cellStyle name="Calculation 2 2 2 28" xfId="191" xr:uid="{C8CE711F-CA89-4F00-A8EC-12233316DFDC}"/>
    <cellStyle name="Calculation 2 2 2 28 2" xfId="12302" xr:uid="{F44ACC58-957C-4E03-8F9F-55C6346457A1}"/>
    <cellStyle name="Calculation 2 2 2 28 2 2" xfId="13400" xr:uid="{9C9C7D35-FB4B-4AE4-87BB-BA4A9F4FDCF8}"/>
    <cellStyle name="Calculation 2 2 2 28 2 3" xfId="13401" xr:uid="{CDC2DD93-FBA3-4F20-8B6A-35B438C181A5}"/>
    <cellStyle name="Calculation 2 2 2 28 2 4" xfId="13402" xr:uid="{B99F05C0-3413-4424-BC15-14EC7816A812}"/>
    <cellStyle name="Calculation 2 2 2 28 2 5" xfId="13403" xr:uid="{E6D3C6D5-BC74-4CFA-ADAE-4AD950A56C73}"/>
    <cellStyle name="Calculation 2 2 2 28 2 6" xfId="13404" xr:uid="{B9BF8961-3B8E-4611-994D-ACA0475A10AC}"/>
    <cellStyle name="Calculation 2 2 2 28 3" xfId="13405" xr:uid="{0A49CA4C-CC0E-4F47-9F5A-E2A937067D49}"/>
    <cellStyle name="Calculation 2 2 2 28 4" xfId="13406" xr:uid="{4820859E-6491-40D2-8A20-67C48A9A4B02}"/>
    <cellStyle name="Calculation 2 2 2 28 5" xfId="13407" xr:uid="{9947038F-D439-497A-AEE9-CF5CE4FED9FE}"/>
    <cellStyle name="Calculation 2 2 2 28 6" xfId="13408" xr:uid="{B8EA8D3F-4299-48B5-9182-9EE8BFB35CD3}"/>
    <cellStyle name="Calculation 2 2 2 28 7" xfId="13409" xr:uid="{120017D3-385C-425A-B99B-3FB1E3EA870F}"/>
    <cellStyle name="Calculation 2 2 2 29" xfId="192" xr:uid="{6E218339-1C3E-4A71-91FD-1F262A0AED81}"/>
    <cellStyle name="Calculation 2 2 2 29 2" xfId="12380" xr:uid="{4F25BCB2-B5B3-40A2-9981-FDBD53ED330A}"/>
    <cellStyle name="Calculation 2 2 2 29 2 2" xfId="13410" xr:uid="{3A0FCA49-82ED-4A11-8075-B500E9F3123E}"/>
    <cellStyle name="Calculation 2 2 2 29 2 3" xfId="13411" xr:uid="{91E75937-4FAE-4F8B-B346-3CD8439D0DFF}"/>
    <cellStyle name="Calculation 2 2 2 29 2 4" xfId="13412" xr:uid="{EA77F9F5-7AE0-4F47-B14C-AAE26BCF8C60}"/>
    <cellStyle name="Calculation 2 2 2 29 2 5" xfId="13413" xr:uid="{1CF3D0A8-74BF-42A6-AC80-67543213F529}"/>
    <cellStyle name="Calculation 2 2 2 29 2 6" xfId="13414" xr:uid="{6F65493C-4EE2-40BA-95AB-A452941553F2}"/>
    <cellStyle name="Calculation 2 2 2 29 3" xfId="13415" xr:uid="{EBD7C54D-0842-49BF-B2EF-94882456B658}"/>
    <cellStyle name="Calculation 2 2 2 29 4" xfId="13416" xr:uid="{0601D0FD-3FA1-46BE-A056-59437D478057}"/>
    <cellStyle name="Calculation 2 2 2 29 5" xfId="13417" xr:uid="{0A4595FA-FF25-4DC2-9109-79660BE098ED}"/>
    <cellStyle name="Calculation 2 2 2 29 6" xfId="13418" xr:uid="{93FB2414-C395-4A5A-8984-19C2D19D1B36}"/>
    <cellStyle name="Calculation 2 2 2 29 7" xfId="13419" xr:uid="{01E0544E-4699-4B41-A73B-F3A2521C2019}"/>
    <cellStyle name="Calculation 2 2 2 3" xfId="193" xr:uid="{1D043B94-AC2E-44DE-8A9B-4CD0AF7B21A7}"/>
    <cellStyle name="Calculation 2 2 2 3 2" xfId="10150" xr:uid="{A386CA9B-E9FF-4A5E-B599-790C86CD82C6}"/>
    <cellStyle name="Calculation 2 2 2 3 2 2" xfId="13420" xr:uid="{E124F458-258D-4556-AD06-48FFFFB0B343}"/>
    <cellStyle name="Calculation 2 2 2 3 2 3" xfId="13421" xr:uid="{0FC1C684-D74A-4FDC-9DB5-4D2F012784C0}"/>
    <cellStyle name="Calculation 2 2 2 3 2 4" xfId="13422" xr:uid="{36840207-3C53-4BF9-A463-1BC88DF9E707}"/>
    <cellStyle name="Calculation 2 2 2 3 2 5" xfId="13423" xr:uid="{52BC7BD0-B061-4ABB-A529-4EC7201CB694}"/>
    <cellStyle name="Calculation 2 2 2 3 2 6" xfId="13424" xr:uid="{81FF4CA7-988F-411B-BDA9-09C0C8F1A969}"/>
    <cellStyle name="Calculation 2 2 2 3 3" xfId="13425" xr:uid="{17CEDB30-EE48-48BE-AAD9-035EBF65D286}"/>
    <cellStyle name="Calculation 2 2 2 3 4" xfId="13426" xr:uid="{EBE0BD3B-FA06-46A8-9D58-45E655391ACC}"/>
    <cellStyle name="Calculation 2 2 2 3 5" xfId="13427" xr:uid="{CA97E2D3-47EE-4D90-A586-4215F4E342F8}"/>
    <cellStyle name="Calculation 2 2 2 3 6" xfId="13428" xr:uid="{958558B3-4AB3-4D35-86B0-E24C9F81B69D}"/>
    <cellStyle name="Calculation 2 2 2 3 7" xfId="13429" xr:uid="{2D74BD0A-5FB7-488D-9F32-C09EAE12E271}"/>
    <cellStyle name="Calculation 2 2 2 30" xfId="194" xr:uid="{06F34704-88A4-4FDB-A8D5-4DA808F7281C}"/>
    <cellStyle name="Calculation 2 2 2 30 2" xfId="12459" xr:uid="{A0D07A59-E8A1-4AD4-85C5-A57B593838FF}"/>
    <cellStyle name="Calculation 2 2 2 30 2 2" xfId="13430" xr:uid="{823B21C7-22D1-4364-BA67-04CEBC8D070D}"/>
    <cellStyle name="Calculation 2 2 2 30 2 3" xfId="13431" xr:uid="{CD7A5721-73E2-44DB-9A1D-6B33160B893F}"/>
    <cellStyle name="Calculation 2 2 2 30 2 4" xfId="13432" xr:uid="{C4769A15-917D-452D-B430-933E18F10A23}"/>
    <cellStyle name="Calculation 2 2 2 30 2 5" xfId="13433" xr:uid="{D94ABCA7-F91F-4936-9C55-CD4843CB7BF4}"/>
    <cellStyle name="Calculation 2 2 2 30 2 6" xfId="13434" xr:uid="{B6EA1C01-9737-4D3B-8782-5E8A06D848B2}"/>
    <cellStyle name="Calculation 2 2 2 30 3" xfId="13435" xr:uid="{2C891847-2E06-4322-941A-5CB799F7DD3F}"/>
    <cellStyle name="Calculation 2 2 2 30 4" xfId="13436" xr:uid="{1B00FDD5-28F2-4915-BECF-31DC14B77EC7}"/>
    <cellStyle name="Calculation 2 2 2 30 5" xfId="13437" xr:uid="{C7BB88D4-321A-44D9-A6B3-D3CF9D398108}"/>
    <cellStyle name="Calculation 2 2 2 30 6" xfId="13438" xr:uid="{E288A286-3FF0-4E91-9F01-573A83194514}"/>
    <cellStyle name="Calculation 2 2 2 30 7" xfId="13439" xr:uid="{511171D4-195C-4B86-B433-0598E5489F92}"/>
    <cellStyle name="Calculation 2 2 2 31" xfId="195" xr:uid="{06AC2F75-E331-4B43-92F6-6000E00DF7ED}"/>
    <cellStyle name="Calculation 2 2 2 31 2" xfId="12538" xr:uid="{3DFB34C9-3863-4444-B191-136E6E8E74FD}"/>
    <cellStyle name="Calculation 2 2 2 31 2 2" xfId="13440" xr:uid="{7DC6CC37-6869-49C0-8B5B-64ECA57A8A02}"/>
    <cellStyle name="Calculation 2 2 2 31 2 3" xfId="13441" xr:uid="{7FA77295-5D81-4CD6-805A-628DF698F5FC}"/>
    <cellStyle name="Calculation 2 2 2 31 2 4" xfId="13442" xr:uid="{6D2D5C2B-DF1B-40A8-9238-F6A32FC756DB}"/>
    <cellStyle name="Calculation 2 2 2 31 2 5" xfId="13443" xr:uid="{ECC1350B-637B-48E7-9C0C-9D4F52E0E2B1}"/>
    <cellStyle name="Calculation 2 2 2 31 2 6" xfId="13444" xr:uid="{19601C6B-AF50-4605-AB9B-C1803810816B}"/>
    <cellStyle name="Calculation 2 2 2 31 3" xfId="13445" xr:uid="{335FDC06-7958-4EC1-BDF7-060A5C0B34ED}"/>
    <cellStyle name="Calculation 2 2 2 31 4" xfId="13446" xr:uid="{9C78E604-1A68-495A-BFBC-C1211CE5F9F6}"/>
    <cellStyle name="Calculation 2 2 2 31 5" xfId="13447" xr:uid="{5703F72B-4824-4D80-9535-55B87B13124C}"/>
    <cellStyle name="Calculation 2 2 2 31 6" xfId="13448" xr:uid="{FE27F3E8-4689-4F78-9D3D-6BDD55C34D66}"/>
    <cellStyle name="Calculation 2 2 2 31 7" xfId="13449" xr:uid="{C748CDB5-A2D7-44CA-9D9A-BED9645586FB}"/>
    <cellStyle name="Calculation 2 2 2 32" xfId="196" xr:uid="{5B0C1F40-7715-4F4C-AA96-3BCE2B6E3DAD}"/>
    <cellStyle name="Calculation 2 2 2 32 2" xfId="12617" xr:uid="{5BDCAC0F-311F-4A6C-83B1-29C238EC6EDC}"/>
    <cellStyle name="Calculation 2 2 2 32 2 2" xfId="13450" xr:uid="{FF747D42-434D-4A31-AD54-0EFABB837925}"/>
    <cellStyle name="Calculation 2 2 2 32 2 3" xfId="13451" xr:uid="{C870BBA1-B799-4EA4-BEF7-FEF3903E73B5}"/>
    <cellStyle name="Calculation 2 2 2 32 2 4" xfId="13452" xr:uid="{92F97225-DCD4-4F62-BB34-3D911B56CD72}"/>
    <cellStyle name="Calculation 2 2 2 32 2 5" xfId="13453" xr:uid="{B27A09B2-E16A-47C5-A0C1-5EBE90049A69}"/>
    <cellStyle name="Calculation 2 2 2 32 2 6" xfId="13454" xr:uid="{250412B8-6E5D-4625-8199-4A9826220BAD}"/>
    <cellStyle name="Calculation 2 2 2 32 3" xfId="13455" xr:uid="{0F29412B-A8FE-49CA-AF65-00F7AAD41702}"/>
    <cellStyle name="Calculation 2 2 2 32 4" xfId="13456" xr:uid="{D5759079-A98A-48FB-8D7F-C562E1AAE428}"/>
    <cellStyle name="Calculation 2 2 2 32 5" xfId="13457" xr:uid="{F7495208-C2AF-41F7-ACB1-86DF8F253D31}"/>
    <cellStyle name="Calculation 2 2 2 32 6" xfId="13458" xr:uid="{ACD5133D-BF7C-4B7A-98EA-ABDD69BC4EC2}"/>
    <cellStyle name="Calculation 2 2 2 32 7" xfId="13459" xr:uid="{6D88ECF0-35BC-4DC1-8322-206FB6DD9CD9}"/>
    <cellStyle name="Calculation 2 2 2 33" xfId="197" xr:uid="{D56F46F6-0229-46BB-8E46-61DBB8FB0045}"/>
    <cellStyle name="Calculation 2 2 2 33 2" xfId="12696" xr:uid="{89560DB6-0E78-467D-822B-02CCC7FDAB33}"/>
    <cellStyle name="Calculation 2 2 2 33 2 2" xfId="13460" xr:uid="{6E8A4400-FD66-4ED5-A040-1367FFBA80A3}"/>
    <cellStyle name="Calculation 2 2 2 33 2 3" xfId="13461" xr:uid="{7C3CEE0D-BEA0-4B71-892A-D1F897CF6609}"/>
    <cellStyle name="Calculation 2 2 2 33 2 4" xfId="13462" xr:uid="{F69D0406-FF26-4DC9-ABC2-4DFE69423027}"/>
    <cellStyle name="Calculation 2 2 2 33 2 5" xfId="13463" xr:uid="{F32C9573-2E12-4DD7-BECE-7434610C87B3}"/>
    <cellStyle name="Calculation 2 2 2 33 2 6" xfId="13464" xr:uid="{47A39213-C2E6-459D-8B06-F942DB43946C}"/>
    <cellStyle name="Calculation 2 2 2 33 3" xfId="13465" xr:uid="{D2BFD115-A386-4C94-9FB3-0DA804DC5121}"/>
    <cellStyle name="Calculation 2 2 2 33 4" xfId="13466" xr:uid="{40A97156-0A61-4E4C-A160-9D7C52C1621E}"/>
    <cellStyle name="Calculation 2 2 2 33 5" xfId="13467" xr:uid="{1130216A-9FDC-4CF4-997B-79B7564B69B3}"/>
    <cellStyle name="Calculation 2 2 2 33 6" xfId="13468" xr:uid="{6911A139-B5B0-4458-BB2D-86D878393DB1}"/>
    <cellStyle name="Calculation 2 2 2 33 7" xfId="13469" xr:uid="{6E88BB56-F785-41B6-BC89-6C5660B5346D}"/>
    <cellStyle name="Calculation 2 2 2 34" xfId="198" xr:uid="{6A6C516D-E0A4-4DEC-B780-87242B210FF4}"/>
    <cellStyle name="Calculation 2 2 2 34 2" xfId="12780" xr:uid="{C7144CB0-ED40-4FF2-ABF3-93B24B05B15F}"/>
    <cellStyle name="Calculation 2 2 2 34 2 2" xfId="13470" xr:uid="{17E1E129-771D-4C8E-A4D7-B8FEC751D9AA}"/>
    <cellStyle name="Calculation 2 2 2 34 2 3" xfId="13471" xr:uid="{B815E63D-1E84-405C-B79F-733F6E090200}"/>
    <cellStyle name="Calculation 2 2 2 34 2 4" xfId="13472" xr:uid="{03A6F9BA-0159-4C58-A7FF-DB2EB68D5221}"/>
    <cellStyle name="Calculation 2 2 2 34 2 5" xfId="13473" xr:uid="{4E343B9C-CA2D-46C6-A34A-15BE50987034}"/>
    <cellStyle name="Calculation 2 2 2 34 2 6" xfId="13474" xr:uid="{6BCAE497-4BBE-41D6-9611-50A41D98B267}"/>
    <cellStyle name="Calculation 2 2 2 34 3" xfId="13475" xr:uid="{09DF7B6A-E5CF-43FF-8247-B26178BED995}"/>
    <cellStyle name="Calculation 2 2 2 34 4" xfId="13476" xr:uid="{B14EB5D9-FBAC-48BE-A378-F4CBD554D4F3}"/>
    <cellStyle name="Calculation 2 2 2 34 5" xfId="13477" xr:uid="{6D158CA3-854D-4CAC-8752-4E5BC116FF1A}"/>
    <cellStyle name="Calculation 2 2 2 34 6" xfId="13478" xr:uid="{55F3A619-9477-4D83-8AB5-BB3529903D33}"/>
    <cellStyle name="Calculation 2 2 2 34 7" xfId="13479" xr:uid="{01A9AD4A-78F0-4058-8811-965F0159242B}"/>
    <cellStyle name="Calculation 2 2 2 35" xfId="9846" xr:uid="{850EA8E8-F064-4ECE-8890-9E5DDB0711F4}"/>
    <cellStyle name="Calculation 2 2 2 35 2" xfId="13480" xr:uid="{570D6172-BB06-4600-AF55-DFCC5FF2B533}"/>
    <cellStyle name="Calculation 2 2 2 35 3" xfId="13481" xr:uid="{1D4EE8E2-6B6C-4669-93AA-8DB5B5B334D5}"/>
    <cellStyle name="Calculation 2 2 2 35 4" xfId="13482" xr:uid="{170114E3-BD36-4F3A-B8A5-7A69C9E807D2}"/>
    <cellStyle name="Calculation 2 2 2 35 5" xfId="13483" xr:uid="{C5155B67-E2B0-478D-9D43-FB633B5EEDFE}"/>
    <cellStyle name="Calculation 2 2 2 35 6" xfId="13484" xr:uid="{24C2A91A-EB69-425D-AE4C-0059F1F8F1A5}"/>
    <cellStyle name="Calculation 2 2 2 36" xfId="13485" xr:uid="{3D6470B9-B273-4FB5-84D6-5080F8BA3E9A}"/>
    <cellStyle name="Calculation 2 2 2 37" xfId="13486" xr:uid="{A6C71549-6A9C-43E2-9759-343DA770719E}"/>
    <cellStyle name="Calculation 2 2 2 38" xfId="13487" xr:uid="{593C50BC-CEC2-4E67-9F1E-D84A907388A8}"/>
    <cellStyle name="Calculation 2 2 2 39" xfId="13488" xr:uid="{01B0F01B-CB44-414B-AE72-7ADEE6C2CE95}"/>
    <cellStyle name="Calculation 2 2 2 4" xfId="199" xr:uid="{CBF92A14-783F-40BB-9C03-1F913522DB2D}"/>
    <cellStyle name="Calculation 2 2 2 4 2" xfId="10240" xr:uid="{9717C247-8CAB-4102-8FE2-05A4A951F717}"/>
    <cellStyle name="Calculation 2 2 2 4 2 2" xfId="13489" xr:uid="{2975268D-98EE-4891-B8F7-B7D43324CABA}"/>
    <cellStyle name="Calculation 2 2 2 4 2 3" xfId="13490" xr:uid="{A394B045-3FFF-4541-85D9-EEC15F102821}"/>
    <cellStyle name="Calculation 2 2 2 4 2 4" xfId="13491" xr:uid="{421DC459-F1CB-44B3-8F28-A81C65398859}"/>
    <cellStyle name="Calculation 2 2 2 4 2 5" xfId="13492" xr:uid="{9E777832-6656-4CF4-AF28-13B91765044D}"/>
    <cellStyle name="Calculation 2 2 2 4 2 6" xfId="13493" xr:uid="{011558DE-D0AD-4BCB-B94C-F160FBE21CE5}"/>
    <cellStyle name="Calculation 2 2 2 4 3" xfId="13494" xr:uid="{8AC13787-6190-48D7-ACA2-4570731037E8}"/>
    <cellStyle name="Calculation 2 2 2 4 4" xfId="13495" xr:uid="{E14649E6-16BD-47B6-82C4-045FA6675473}"/>
    <cellStyle name="Calculation 2 2 2 4 5" xfId="13496" xr:uid="{5B4FB652-72FB-4958-81A2-EF4E43DC4124}"/>
    <cellStyle name="Calculation 2 2 2 4 6" xfId="13497" xr:uid="{B81DFB84-73F4-441C-977A-4459DA66D162}"/>
    <cellStyle name="Calculation 2 2 2 4 7" xfId="13498" xr:uid="{B71EC266-80FD-4D61-8564-6CDB1434F65E}"/>
    <cellStyle name="Calculation 2 2 2 40" xfId="13499" xr:uid="{F5ACE60F-E6FE-448D-8EEA-BF46DC0BB138}"/>
    <cellStyle name="Calculation 2 2 2 5" xfId="200" xr:uid="{106897CF-A560-4CA1-A027-F7FF4DDC5A16}"/>
    <cellStyle name="Calculation 2 2 2 5 2" xfId="10326" xr:uid="{29C227A6-F82F-42C3-93A6-B0CB690FB610}"/>
    <cellStyle name="Calculation 2 2 2 5 2 2" xfId="13500" xr:uid="{D1CEDEC8-0341-4C20-B60B-EAC499178A57}"/>
    <cellStyle name="Calculation 2 2 2 5 2 3" xfId="13501" xr:uid="{A7755E6B-BCEB-4CAC-858E-1BEE9E116CC2}"/>
    <cellStyle name="Calculation 2 2 2 5 2 4" xfId="13502" xr:uid="{D89EB958-E9EB-46DD-9D73-2206DEB737EC}"/>
    <cellStyle name="Calculation 2 2 2 5 2 5" xfId="13503" xr:uid="{CF1504FD-9FF4-4F20-81AC-2BC5949D53A5}"/>
    <cellStyle name="Calculation 2 2 2 5 2 6" xfId="13504" xr:uid="{DD2B2CA3-C1D2-4086-97C5-F46F19935B61}"/>
    <cellStyle name="Calculation 2 2 2 5 3" xfId="13505" xr:uid="{AB12BBAB-DD16-45B5-9FAF-4C3DFA29796F}"/>
    <cellStyle name="Calculation 2 2 2 5 4" xfId="13506" xr:uid="{EF981406-1214-4B4B-8CE9-C83ADB7ADEEC}"/>
    <cellStyle name="Calculation 2 2 2 5 5" xfId="13507" xr:uid="{BBA00FB4-C358-479A-AF1B-E96F4299A5FE}"/>
    <cellStyle name="Calculation 2 2 2 5 6" xfId="13508" xr:uid="{D0BAF1FC-5AEF-4AA2-82C8-EE972446133D}"/>
    <cellStyle name="Calculation 2 2 2 5 7" xfId="13509" xr:uid="{C3D9D8DB-2C1D-41B0-B276-FB4BBA09EBC5}"/>
    <cellStyle name="Calculation 2 2 2 6" xfId="201" xr:uid="{64D50FBE-7CDF-430B-91E8-7EA81D5A4069}"/>
    <cellStyle name="Calculation 2 2 2 6 2" xfId="10414" xr:uid="{CC9349AF-A6F5-46FE-AB60-0634D29C2EE7}"/>
    <cellStyle name="Calculation 2 2 2 6 2 2" xfId="13510" xr:uid="{E867C668-BB09-4A54-8370-22606FCA0A55}"/>
    <cellStyle name="Calculation 2 2 2 6 2 3" xfId="13511" xr:uid="{BAE4A3DD-AE6E-44B0-AA60-281FC2286A8E}"/>
    <cellStyle name="Calculation 2 2 2 6 2 4" xfId="13512" xr:uid="{47B08AE7-3829-43A1-AEA5-43E1AE68D4F5}"/>
    <cellStyle name="Calculation 2 2 2 6 2 5" xfId="13513" xr:uid="{A8D4D8D5-54C4-4A5A-B5B5-3163884B4E3D}"/>
    <cellStyle name="Calculation 2 2 2 6 2 6" xfId="13514" xr:uid="{C2464E6D-1354-4AC7-BFE0-073E70811E38}"/>
    <cellStyle name="Calculation 2 2 2 6 3" xfId="13515" xr:uid="{1895BD6B-BB72-4B6A-9A60-614043B340EA}"/>
    <cellStyle name="Calculation 2 2 2 6 4" xfId="13516" xr:uid="{7C0CA130-68AE-477B-8E79-1AABB36D2660}"/>
    <cellStyle name="Calculation 2 2 2 6 5" xfId="13517" xr:uid="{4337C9F1-B84C-480E-9FCD-3F29A26477B5}"/>
    <cellStyle name="Calculation 2 2 2 6 6" xfId="13518" xr:uid="{21400D37-68A8-4B8E-859F-95C8A510C3FD}"/>
    <cellStyle name="Calculation 2 2 2 6 7" xfId="13519" xr:uid="{46EA5ADC-346F-468B-A044-909BAF33C06B}"/>
    <cellStyle name="Calculation 2 2 2 7" xfId="202" xr:uid="{BFAA0549-7D78-40D0-9736-D3AC7BF2AF4D}"/>
    <cellStyle name="Calculation 2 2 2 7 2" xfId="10501" xr:uid="{1DEBDD84-55CD-4446-AF1B-5718169481D6}"/>
    <cellStyle name="Calculation 2 2 2 7 2 2" xfId="13520" xr:uid="{38DD2146-BD38-4542-9FA4-0CBCE87B1285}"/>
    <cellStyle name="Calculation 2 2 2 7 2 3" xfId="13521" xr:uid="{C2248277-EF87-4606-A276-1780FE16F77B}"/>
    <cellStyle name="Calculation 2 2 2 7 2 4" xfId="13522" xr:uid="{D6A365F8-718F-4165-8A0E-D8ADD8A178EF}"/>
    <cellStyle name="Calculation 2 2 2 7 2 5" xfId="13523" xr:uid="{A6BAFB6D-39B3-4780-85D2-8E17379227D4}"/>
    <cellStyle name="Calculation 2 2 2 7 2 6" xfId="13524" xr:uid="{DBB584C5-58C1-453E-AD9C-309A137074A6}"/>
    <cellStyle name="Calculation 2 2 2 7 3" xfId="13525" xr:uid="{EAEE7811-CAD1-45B7-A178-39B965FE6F06}"/>
    <cellStyle name="Calculation 2 2 2 7 4" xfId="13526" xr:uid="{26585F47-5256-459E-8BE5-8AD86D99EC81}"/>
    <cellStyle name="Calculation 2 2 2 7 5" xfId="13527" xr:uid="{7A963EEB-F8A0-456A-A01D-E694323A7DF8}"/>
    <cellStyle name="Calculation 2 2 2 7 6" xfId="13528" xr:uid="{C99BA110-6DBA-4E02-8C5F-C28FFEF140A9}"/>
    <cellStyle name="Calculation 2 2 2 7 7" xfId="13529" xr:uid="{61672015-D838-41CA-B315-BB0785DEA157}"/>
    <cellStyle name="Calculation 2 2 2 8" xfId="203" xr:uid="{B0ACBB0B-13F8-423D-8715-EDB7E9071B3A}"/>
    <cellStyle name="Calculation 2 2 2 8 2" xfId="10589" xr:uid="{A839D4CE-F372-4A55-843C-390206A5A343}"/>
    <cellStyle name="Calculation 2 2 2 8 2 2" xfId="13530" xr:uid="{10EEA746-5611-460B-8115-1B06C9F5ABE8}"/>
    <cellStyle name="Calculation 2 2 2 8 2 3" xfId="13531" xr:uid="{E49EDA50-804E-4CCE-9540-A20830ACFA85}"/>
    <cellStyle name="Calculation 2 2 2 8 2 4" xfId="13532" xr:uid="{EC771312-1B03-40DD-8DA4-17DC311AFBAC}"/>
    <cellStyle name="Calculation 2 2 2 8 2 5" xfId="13533" xr:uid="{A4589C9D-18F3-46CC-B909-4D9FD4B0DC32}"/>
    <cellStyle name="Calculation 2 2 2 8 2 6" xfId="13534" xr:uid="{70306924-B3A0-4826-B907-92135374164A}"/>
    <cellStyle name="Calculation 2 2 2 8 3" xfId="13535" xr:uid="{C62AF526-739A-4371-8032-2C4070937A64}"/>
    <cellStyle name="Calculation 2 2 2 8 4" xfId="13536" xr:uid="{1133A7E5-42BB-4FB9-AC97-E2DDF852EE41}"/>
    <cellStyle name="Calculation 2 2 2 8 5" xfId="13537" xr:uid="{084BD578-230A-4DF4-B089-B3C593192131}"/>
    <cellStyle name="Calculation 2 2 2 8 6" xfId="13538" xr:uid="{21B71E0D-AEBB-45C5-8A2C-820B1358FC0E}"/>
    <cellStyle name="Calculation 2 2 2 8 7" xfId="13539" xr:uid="{DC157E92-C4DD-45B9-B0AC-02FCBB52D295}"/>
    <cellStyle name="Calculation 2 2 2 9" xfId="204" xr:uid="{2C7F9065-DBAA-45BE-B07A-91737852FAA9}"/>
    <cellStyle name="Calculation 2 2 2 9 2" xfId="10671" xr:uid="{C233221E-7691-4525-8F6B-C75CBAB8B8C8}"/>
    <cellStyle name="Calculation 2 2 2 9 2 2" xfId="13540" xr:uid="{B6843B4D-BF65-4CD2-B641-1FD4F7DB470A}"/>
    <cellStyle name="Calculation 2 2 2 9 2 3" xfId="13541" xr:uid="{3F515666-9ACC-4367-8A37-6A1ACB07B66E}"/>
    <cellStyle name="Calculation 2 2 2 9 2 4" xfId="13542" xr:uid="{0F75F92E-1D24-45E6-B295-802929B57BAE}"/>
    <cellStyle name="Calculation 2 2 2 9 2 5" xfId="13543" xr:uid="{945E280D-33AB-4713-8E0F-DB3439C286DB}"/>
    <cellStyle name="Calculation 2 2 2 9 2 6" xfId="13544" xr:uid="{A68B29AB-B3A4-49A9-B113-066C93C3377C}"/>
    <cellStyle name="Calculation 2 2 2 9 3" xfId="13545" xr:uid="{39175395-3E07-480D-B9D2-4E816F94AF77}"/>
    <cellStyle name="Calculation 2 2 2 9 4" xfId="13546" xr:uid="{C8F0A10F-A842-4D93-9F53-5A36219DE796}"/>
    <cellStyle name="Calculation 2 2 2 9 5" xfId="13547" xr:uid="{A45F5CEC-9842-454C-A48E-65E9D2350AB0}"/>
    <cellStyle name="Calculation 2 2 2 9 6" xfId="13548" xr:uid="{2E1E5C8D-ABEB-4879-8F67-D6491F633CAF}"/>
    <cellStyle name="Calculation 2 2 2 9 7" xfId="13549" xr:uid="{BB3FB6CE-848B-41A7-B9B3-F9FEC20F7BE7}"/>
    <cellStyle name="Calculation 2 2 20" xfId="205" xr:uid="{AB285D0D-3808-451C-8FC7-716D5E1EF1C5}"/>
    <cellStyle name="Calculation 2 2 20 2" xfId="11519" xr:uid="{B2747233-3BB6-4FB6-BA08-0428AAB709A1}"/>
    <cellStyle name="Calculation 2 2 20 2 2" xfId="13550" xr:uid="{29199EC1-6C47-4CBC-BDE7-44B56B163087}"/>
    <cellStyle name="Calculation 2 2 20 2 3" xfId="13551" xr:uid="{487D9E14-D8E6-4884-A1CE-E23B4922E8ED}"/>
    <cellStyle name="Calculation 2 2 20 2 4" xfId="13552" xr:uid="{363B8040-869D-4622-BABB-3762F909B118}"/>
    <cellStyle name="Calculation 2 2 20 2 5" xfId="13553" xr:uid="{C90B7AB9-1220-498B-B345-C43E843A88D2}"/>
    <cellStyle name="Calculation 2 2 20 2 6" xfId="13554" xr:uid="{515B1BE6-FAAF-4F6C-BD41-A127F9C1A875}"/>
    <cellStyle name="Calculation 2 2 20 3" xfId="13555" xr:uid="{A132F4FC-BC2E-4527-BAD2-55F99658BF7A}"/>
    <cellStyle name="Calculation 2 2 20 4" xfId="13556" xr:uid="{B8574B50-A947-4844-BB22-A018DA51E5E1}"/>
    <cellStyle name="Calculation 2 2 20 5" xfId="13557" xr:uid="{921A6B7F-6534-46D1-8CBE-2FC6F0EF9A4F}"/>
    <cellStyle name="Calculation 2 2 20 6" xfId="13558" xr:uid="{6CC02629-E253-41BD-BBDA-FC8A3E588B86}"/>
    <cellStyle name="Calculation 2 2 20 7" xfId="13559" xr:uid="{5BAB2ABD-AAB6-454B-AB0E-B2DD5F9CA676}"/>
    <cellStyle name="Calculation 2 2 21" xfId="206" xr:uid="{6E7F1F8A-868D-433B-933E-CE2B4E560CF5}"/>
    <cellStyle name="Calculation 2 2 21 2" xfId="11607" xr:uid="{2AD59FB5-C7D3-4920-A8C8-DF47E93CC924}"/>
    <cellStyle name="Calculation 2 2 21 2 2" xfId="13560" xr:uid="{29C79464-D754-47A5-B9CB-6F93CABF2502}"/>
    <cellStyle name="Calculation 2 2 21 2 3" xfId="13561" xr:uid="{0D551B25-BF05-4BF9-A7EB-F6CC62684195}"/>
    <cellStyle name="Calculation 2 2 21 2 4" xfId="13562" xr:uid="{58007E12-FA46-4AC2-8B87-757159837BA2}"/>
    <cellStyle name="Calculation 2 2 21 2 5" xfId="13563" xr:uid="{01C9361C-5EE9-4F77-A7DA-5597F961E9B7}"/>
    <cellStyle name="Calculation 2 2 21 2 6" xfId="13564" xr:uid="{166A129D-09D4-42FF-B5CA-311B2FF04991}"/>
    <cellStyle name="Calculation 2 2 21 3" xfId="13565" xr:uid="{C7FF174C-C80D-4CD6-A63D-A9E2EFDFF18C}"/>
    <cellStyle name="Calculation 2 2 21 4" xfId="13566" xr:uid="{324AEA71-E5AF-45BB-928F-59596A7DE29E}"/>
    <cellStyle name="Calculation 2 2 21 5" xfId="13567" xr:uid="{619BD74A-A0A1-4506-914F-2B00F70BBAF0}"/>
    <cellStyle name="Calculation 2 2 21 6" xfId="13568" xr:uid="{5CCD215B-D941-4A08-9291-DCCD56773CA6}"/>
    <cellStyle name="Calculation 2 2 21 7" xfId="13569" xr:uid="{544BE9CE-6B0F-4E95-BA6D-7C45E8E7483B}"/>
    <cellStyle name="Calculation 2 2 22" xfId="207" xr:uid="{0977B9FA-143B-4EE9-9C8C-3CBA78DFC41A}"/>
    <cellStyle name="Calculation 2 2 22 2" xfId="11691" xr:uid="{EAD63526-234E-4105-A6F9-B2D3DE161BB8}"/>
    <cellStyle name="Calculation 2 2 22 2 2" xfId="13570" xr:uid="{778BD394-B04C-443B-AA8F-0B45B7048DAC}"/>
    <cellStyle name="Calculation 2 2 22 2 3" xfId="13571" xr:uid="{5090A7CA-178C-48E9-B269-4F6ED5931CC1}"/>
    <cellStyle name="Calculation 2 2 22 2 4" xfId="13572" xr:uid="{B05216DE-9FB3-424C-973D-CF3B01F85004}"/>
    <cellStyle name="Calculation 2 2 22 2 5" xfId="13573" xr:uid="{58EB4366-F254-4B49-95B4-185930FE34EB}"/>
    <cellStyle name="Calculation 2 2 22 2 6" xfId="13574" xr:uid="{0F8F4427-3700-43E1-B187-F82E726EAFC8}"/>
    <cellStyle name="Calculation 2 2 22 3" xfId="13575" xr:uid="{AE35E269-4FC0-40F0-8826-903F215250A5}"/>
    <cellStyle name="Calculation 2 2 22 4" xfId="13576" xr:uid="{92FF98CB-182B-47FF-8DF2-7976030CB232}"/>
    <cellStyle name="Calculation 2 2 22 5" xfId="13577" xr:uid="{EAAF244A-F3C2-447B-8C61-54002A435ECF}"/>
    <cellStyle name="Calculation 2 2 22 6" xfId="13578" xr:uid="{2A35E330-F12A-4410-B9EA-A00ED48D07FE}"/>
    <cellStyle name="Calculation 2 2 22 7" xfId="13579" xr:uid="{122D463D-6FA8-47DE-83D1-BA863D8945AD}"/>
    <cellStyle name="Calculation 2 2 23" xfId="208" xr:uid="{3101FB80-E9C0-43ED-8E8B-7FF58A97B797}"/>
    <cellStyle name="Calculation 2 2 23 2" xfId="11774" xr:uid="{B4D2E651-CB30-4791-BA33-518FBB741207}"/>
    <cellStyle name="Calculation 2 2 23 2 2" xfId="13580" xr:uid="{42591B83-2AC6-4FFF-9017-E745048CDFB9}"/>
    <cellStyle name="Calculation 2 2 23 2 3" xfId="13581" xr:uid="{D795B1B0-7FCD-420D-83D0-89542A81D287}"/>
    <cellStyle name="Calculation 2 2 23 2 4" xfId="13582" xr:uid="{797BAF83-2644-4446-9E51-E777B0918F7E}"/>
    <cellStyle name="Calculation 2 2 23 2 5" xfId="13583" xr:uid="{4F0F10E9-2C75-45A8-B793-421B2204F3D4}"/>
    <cellStyle name="Calculation 2 2 23 2 6" xfId="13584" xr:uid="{8255DB2C-F35E-41B6-B638-597A19D3D1EC}"/>
    <cellStyle name="Calculation 2 2 23 3" xfId="13585" xr:uid="{F7073A59-0D7E-4342-B608-812D7D645E2A}"/>
    <cellStyle name="Calculation 2 2 23 4" xfId="13586" xr:uid="{C8EDF43B-45F4-487E-AEF0-A95232903512}"/>
    <cellStyle name="Calculation 2 2 23 5" xfId="13587" xr:uid="{50ECED4F-5939-444C-86DD-64AA88DCA2B7}"/>
    <cellStyle name="Calculation 2 2 23 6" xfId="13588" xr:uid="{18128705-E2C6-4610-A531-9735CFBE4678}"/>
    <cellStyle name="Calculation 2 2 23 7" xfId="13589" xr:uid="{FDF067F6-3C29-4D55-94E0-D7A473B46E2A}"/>
    <cellStyle name="Calculation 2 2 24" xfId="209" xr:uid="{0A754805-B6F7-4274-9DDE-D19CF440F2E5}"/>
    <cellStyle name="Calculation 2 2 24 2" xfId="11857" xr:uid="{30882A6F-306E-4FFE-A71D-540145667CD0}"/>
    <cellStyle name="Calculation 2 2 24 2 2" xfId="13590" xr:uid="{0F590AA0-C955-4938-8B13-6C0FB34F6C89}"/>
    <cellStyle name="Calculation 2 2 24 2 3" xfId="13591" xr:uid="{FB03DCA3-EA1D-4ADE-BE1E-FF866A5425C4}"/>
    <cellStyle name="Calculation 2 2 24 2 4" xfId="13592" xr:uid="{47762811-2F65-4D8C-A736-735B18AB88F2}"/>
    <cellStyle name="Calculation 2 2 24 2 5" xfId="13593" xr:uid="{12D35CAC-386B-483A-8530-ED3A6BB17552}"/>
    <cellStyle name="Calculation 2 2 24 2 6" xfId="13594" xr:uid="{49B69A11-9C54-434F-AB43-7EA977C60BD1}"/>
    <cellStyle name="Calculation 2 2 24 3" xfId="13595" xr:uid="{F6DBFAD9-A54A-41D6-9F20-4E847253771C}"/>
    <cellStyle name="Calculation 2 2 24 4" xfId="13596" xr:uid="{19D9ABBF-A9FB-48BA-B3F6-3D62712F1519}"/>
    <cellStyle name="Calculation 2 2 24 5" xfId="13597" xr:uid="{422632BA-C8CD-4EAA-B130-BE159131F84E}"/>
    <cellStyle name="Calculation 2 2 24 6" xfId="13598" xr:uid="{F99D4D8C-18FA-4C4C-A5F3-EBBDB00D9FFD}"/>
    <cellStyle name="Calculation 2 2 24 7" xfId="13599" xr:uid="{91C8DA82-EF3D-43B9-9CE3-A1D139B1553A}"/>
    <cellStyle name="Calculation 2 2 25" xfId="210" xr:uid="{694E433F-CF58-4190-9090-DFB6183AC4E9}"/>
    <cellStyle name="Calculation 2 2 25 2" xfId="11941" xr:uid="{DA0A4125-2BC1-4C1F-8FA5-DC96F549B917}"/>
    <cellStyle name="Calculation 2 2 25 2 2" xfId="13600" xr:uid="{32A9AADE-6885-41CC-926F-E7495D2A623F}"/>
    <cellStyle name="Calculation 2 2 25 2 3" xfId="13601" xr:uid="{B97254E0-C4B8-43B9-9880-6F8B7C849A0B}"/>
    <cellStyle name="Calculation 2 2 25 2 4" xfId="13602" xr:uid="{32800C8D-1846-4663-AEC8-1D506F5ED582}"/>
    <cellStyle name="Calculation 2 2 25 2 5" xfId="13603" xr:uid="{3D0E1671-8556-46B9-A097-D36F4E470958}"/>
    <cellStyle name="Calculation 2 2 25 2 6" xfId="13604" xr:uid="{E5926561-2C72-423D-B55F-E4957318869C}"/>
    <cellStyle name="Calculation 2 2 25 3" xfId="13605" xr:uid="{F0DA1CF3-EAB2-4D76-80A0-7C8729957939}"/>
    <cellStyle name="Calculation 2 2 25 4" xfId="13606" xr:uid="{5119CE29-7AD1-4541-814D-65395445A977}"/>
    <cellStyle name="Calculation 2 2 25 5" xfId="13607" xr:uid="{6D66C19C-7CB0-4865-9471-E6E98CE22AFE}"/>
    <cellStyle name="Calculation 2 2 25 6" xfId="13608" xr:uid="{8E2D49F5-7D9D-47D6-8389-E87DB9C721DA}"/>
    <cellStyle name="Calculation 2 2 25 7" xfId="13609" xr:uid="{2654F807-BFC1-4894-ABA2-5272B27C6ACB}"/>
    <cellStyle name="Calculation 2 2 26" xfId="211" xr:uid="{D9DA3EA1-5922-4E11-A353-D9FFBFEF62E0}"/>
    <cellStyle name="Calculation 2 2 26 2" xfId="12024" xr:uid="{F80391C6-1131-4FE3-931F-93FB4D24A5E9}"/>
    <cellStyle name="Calculation 2 2 26 2 2" xfId="13610" xr:uid="{D3D9F3A1-DD3D-45B5-A058-6899BD91EA27}"/>
    <cellStyle name="Calculation 2 2 26 2 3" xfId="13611" xr:uid="{221B7CBB-EA3D-4279-A98B-57D181909454}"/>
    <cellStyle name="Calculation 2 2 26 2 4" xfId="13612" xr:uid="{DED6F0D2-A2FF-4B20-9ADF-1DE837840127}"/>
    <cellStyle name="Calculation 2 2 26 2 5" xfId="13613" xr:uid="{A9FF096F-42AA-4679-B599-449DF2D4B977}"/>
    <cellStyle name="Calculation 2 2 26 2 6" xfId="13614" xr:uid="{EEFEDCCE-AD14-46F1-B3E8-5340F5A04BFC}"/>
    <cellStyle name="Calculation 2 2 26 3" xfId="13615" xr:uid="{E15F471F-8901-4D95-97CA-418664BED8DE}"/>
    <cellStyle name="Calculation 2 2 26 4" xfId="13616" xr:uid="{B4CBCD9E-90A9-4D18-9ACD-9B8AA8E13F66}"/>
    <cellStyle name="Calculation 2 2 26 5" xfId="13617" xr:uid="{5920D691-CD55-4C02-992D-C2E31B8B042C}"/>
    <cellStyle name="Calculation 2 2 26 6" xfId="13618" xr:uid="{FB169ADE-DF78-42F1-977C-C9CE6B960165}"/>
    <cellStyle name="Calculation 2 2 26 7" xfId="13619" xr:uid="{4F41CC7E-15F7-40CE-AFC7-60291F4F996C}"/>
    <cellStyle name="Calculation 2 2 27" xfId="212" xr:uid="{177E6A8F-8279-4A4C-A10B-926D49A94B33}"/>
    <cellStyle name="Calculation 2 2 27 2" xfId="12107" xr:uid="{B16CDBAB-9E49-4A13-9B40-FC640E03EBE8}"/>
    <cellStyle name="Calculation 2 2 27 2 2" xfId="13620" xr:uid="{41480186-4D67-43B7-BD76-778454FE89E4}"/>
    <cellStyle name="Calculation 2 2 27 2 3" xfId="13621" xr:uid="{87D873DD-1C92-4F22-A79F-B2DE9F827092}"/>
    <cellStyle name="Calculation 2 2 27 2 4" xfId="13622" xr:uid="{9627FB60-50E3-4B54-801A-08549D4188D6}"/>
    <cellStyle name="Calculation 2 2 27 2 5" xfId="13623" xr:uid="{9E9F4E44-A58A-4AC4-A2EE-7F76CBC96FC8}"/>
    <cellStyle name="Calculation 2 2 27 2 6" xfId="13624" xr:uid="{4183123F-6D5A-4F60-B663-D46D90B00F55}"/>
    <cellStyle name="Calculation 2 2 27 3" xfId="13625" xr:uid="{F78F5AA7-D059-41E2-9C30-67798EBC6625}"/>
    <cellStyle name="Calculation 2 2 27 4" xfId="13626" xr:uid="{2FAED323-5AC4-47EC-8E3A-DA3B05108230}"/>
    <cellStyle name="Calculation 2 2 27 5" xfId="13627" xr:uid="{7B359693-6383-4613-8E51-4B124697F051}"/>
    <cellStyle name="Calculation 2 2 27 6" xfId="13628" xr:uid="{8A419750-DC2E-457F-AF43-421947398516}"/>
    <cellStyle name="Calculation 2 2 27 7" xfId="13629" xr:uid="{A5376F03-6843-4334-BF7D-D0804F8D0545}"/>
    <cellStyle name="Calculation 2 2 28" xfId="213" xr:uid="{5550A6F3-42FE-42DD-A85A-89870BD40C6C}"/>
    <cellStyle name="Calculation 2 2 28 2" xfId="12189" xr:uid="{B700E7ED-D614-4021-9BCD-5D9803BC135A}"/>
    <cellStyle name="Calculation 2 2 28 2 2" xfId="13630" xr:uid="{9B816D34-2692-467D-9DE5-02055A46AB75}"/>
    <cellStyle name="Calculation 2 2 28 2 3" xfId="13631" xr:uid="{FFD0D324-26B6-4BB6-A091-E8005CAE21CF}"/>
    <cellStyle name="Calculation 2 2 28 2 4" xfId="13632" xr:uid="{154DCCAC-3E8E-497D-93E3-1B53FD8BDABA}"/>
    <cellStyle name="Calculation 2 2 28 2 5" xfId="13633" xr:uid="{EE87AA2A-0707-430C-91D2-1B67A0CED8F9}"/>
    <cellStyle name="Calculation 2 2 28 2 6" xfId="13634" xr:uid="{DD8353A3-4AE6-42C8-8904-66D6904AAE95}"/>
    <cellStyle name="Calculation 2 2 28 3" xfId="13635" xr:uid="{C5DDC625-C944-4A50-BBA3-32A0F75C029B}"/>
    <cellStyle name="Calculation 2 2 28 4" xfId="13636" xr:uid="{9C32E5C1-4945-415E-9C1B-3BD3A42912CF}"/>
    <cellStyle name="Calculation 2 2 28 5" xfId="13637" xr:uid="{4B3B444A-22A8-4370-961F-B7DC6BF3DA95}"/>
    <cellStyle name="Calculation 2 2 28 6" xfId="13638" xr:uid="{E88A3481-76B3-4417-A54C-691B392B732B}"/>
    <cellStyle name="Calculation 2 2 28 7" xfId="13639" xr:uid="{A855A0BF-901E-414B-AF1E-24EC6626B1D8}"/>
    <cellStyle name="Calculation 2 2 29" xfId="214" xr:uid="{8A767923-5B80-41F0-B610-233BD37598E9}"/>
    <cellStyle name="Calculation 2 2 29 2" xfId="12269" xr:uid="{CD6363DA-42E4-4C5B-A9C5-851CD2E3CA85}"/>
    <cellStyle name="Calculation 2 2 29 2 2" xfId="13640" xr:uid="{8B7E1639-5A71-4E39-A95B-C83931C4A413}"/>
    <cellStyle name="Calculation 2 2 29 2 3" xfId="13641" xr:uid="{99DBFE69-594A-4D15-8C12-D93C6636BC12}"/>
    <cellStyle name="Calculation 2 2 29 2 4" xfId="13642" xr:uid="{9EF511CA-9D39-4B57-A1DC-F91E9E5D60AF}"/>
    <cellStyle name="Calculation 2 2 29 2 5" xfId="13643" xr:uid="{C4088A49-FE34-4BC4-AAA7-8255EA747884}"/>
    <cellStyle name="Calculation 2 2 29 2 6" xfId="13644" xr:uid="{51C43DA2-2FDE-49C0-9074-7FC33DEBD49C}"/>
    <cellStyle name="Calculation 2 2 29 3" xfId="13645" xr:uid="{843AEEA5-23CC-4BAF-8ABF-7E6E95BE1683}"/>
    <cellStyle name="Calculation 2 2 29 4" xfId="13646" xr:uid="{A43F8FDF-3576-4443-A8B2-22F303C0FE67}"/>
    <cellStyle name="Calculation 2 2 29 5" xfId="13647" xr:uid="{5B103DF2-69FB-4049-8731-2E8CD77B9A25}"/>
    <cellStyle name="Calculation 2 2 29 6" xfId="13648" xr:uid="{253FF103-7126-4B19-B85C-B7A8185EBEFA}"/>
    <cellStyle name="Calculation 2 2 29 7" xfId="13649" xr:uid="{DF83D4AC-0B8E-4586-BA23-1A72F5BE106A}"/>
    <cellStyle name="Calculation 2 2 3" xfId="215" xr:uid="{87715CE1-6BA8-4C35-A3EF-A0B1119CA0EA}"/>
    <cellStyle name="Calculation 2 2 3 2" xfId="10026" xr:uid="{BA8E18E1-694D-4BD1-872E-0106C3B6663D}"/>
    <cellStyle name="Calculation 2 2 3 2 2" xfId="13650" xr:uid="{7FCC022B-8417-45AA-BB8F-B7AF5352F9E7}"/>
    <cellStyle name="Calculation 2 2 3 2 3" xfId="13651" xr:uid="{E861FE7D-B6C1-494C-A49E-82711B5FCC84}"/>
    <cellStyle name="Calculation 2 2 3 2 4" xfId="13652" xr:uid="{9E682F68-7EDC-4B40-891D-977FE3DABD15}"/>
    <cellStyle name="Calculation 2 2 3 2 5" xfId="13653" xr:uid="{4DC1366A-58CE-4AD2-955A-3CBAA9ED7630}"/>
    <cellStyle name="Calculation 2 2 3 2 6" xfId="13654" xr:uid="{289FA818-732C-49C4-ABC8-4348874E35D0}"/>
    <cellStyle name="Calculation 2 2 3 3" xfId="13655" xr:uid="{04423485-83DE-4BF6-9587-948268FF9A99}"/>
    <cellStyle name="Calculation 2 2 3 4" xfId="13656" xr:uid="{C84A922B-05C0-4AC8-A173-43491C96530B}"/>
    <cellStyle name="Calculation 2 2 3 5" xfId="13657" xr:uid="{062D51D4-7864-4592-9629-023E00BA442C}"/>
    <cellStyle name="Calculation 2 2 3 6" xfId="13658" xr:uid="{955E4968-4224-4FC7-907E-5C859D43A6B4}"/>
    <cellStyle name="Calculation 2 2 3 7" xfId="13659" xr:uid="{79B0B12A-338D-4301-81B6-27CCDF9AB715}"/>
    <cellStyle name="Calculation 2 2 30" xfId="216" xr:uid="{A0891B4B-2DA7-4B9C-82AF-8C1629736673}"/>
    <cellStyle name="Calculation 2 2 30 2" xfId="12347" xr:uid="{69D8E247-C0F4-4F99-B324-9AA364908735}"/>
    <cellStyle name="Calculation 2 2 30 2 2" xfId="13660" xr:uid="{D87BE473-58E8-4AA3-8FF7-3EB287CE4AC0}"/>
    <cellStyle name="Calculation 2 2 30 2 3" xfId="13661" xr:uid="{16819042-6ACB-4A77-A482-81E28871F517}"/>
    <cellStyle name="Calculation 2 2 30 2 4" xfId="13662" xr:uid="{0AAA9B1C-F308-461E-BC13-DF245B6B2083}"/>
    <cellStyle name="Calculation 2 2 30 2 5" xfId="13663" xr:uid="{93D1292F-4217-49D5-B0EB-FB24E0BC6894}"/>
    <cellStyle name="Calculation 2 2 30 2 6" xfId="13664" xr:uid="{53EB11A5-65C5-422F-9AF3-A34C1A5DB5AD}"/>
    <cellStyle name="Calculation 2 2 30 3" xfId="13665" xr:uid="{90EA1551-4DF3-40A0-8ACD-BE6F943E5EA4}"/>
    <cellStyle name="Calculation 2 2 30 4" xfId="13666" xr:uid="{0205DC9D-BE99-40BB-A0BC-936170F0BC4E}"/>
    <cellStyle name="Calculation 2 2 30 5" xfId="13667" xr:uid="{A3269CB9-85BF-4F45-8E49-E89BC88E6AB0}"/>
    <cellStyle name="Calculation 2 2 30 6" xfId="13668" xr:uid="{C9015B23-298B-44D9-8944-F849D4FB994D}"/>
    <cellStyle name="Calculation 2 2 30 7" xfId="13669" xr:uid="{E51B8209-5489-4A6B-8493-FD2BA7A5D6EB}"/>
    <cellStyle name="Calculation 2 2 31" xfId="217" xr:uid="{85FEDCF1-8B10-411A-A9BA-0E070F88940E}"/>
    <cellStyle name="Calculation 2 2 31 2" xfId="12426" xr:uid="{A8CA45DA-452B-4693-B820-3401530DFBF6}"/>
    <cellStyle name="Calculation 2 2 31 2 2" xfId="13670" xr:uid="{D6E3CB47-F0E4-40D0-85B8-89CF9F172300}"/>
    <cellStyle name="Calculation 2 2 31 2 3" xfId="13671" xr:uid="{52F9ABF2-42CE-44B2-AC34-B7031EA7AFE5}"/>
    <cellStyle name="Calculation 2 2 31 2 4" xfId="13672" xr:uid="{EBBE73E1-623A-4781-8DF9-B5AF5ACDF029}"/>
    <cellStyle name="Calculation 2 2 31 2 5" xfId="13673" xr:uid="{D11B2F47-6CC3-4F64-AA14-0A13C1529289}"/>
    <cellStyle name="Calculation 2 2 31 2 6" xfId="13674" xr:uid="{924D1157-260F-4394-9A32-7135ED09A79D}"/>
    <cellStyle name="Calculation 2 2 31 3" xfId="13675" xr:uid="{4058642E-8ABA-4B85-B6FD-A652CBD3C1E7}"/>
    <cellStyle name="Calculation 2 2 31 4" xfId="13676" xr:uid="{92956FE3-87E5-48B5-B6F8-A25F2041FF65}"/>
    <cellStyle name="Calculation 2 2 31 5" xfId="13677" xr:uid="{BF7F6AF2-F1D2-4204-9D70-DC484EC1A877}"/>
    <cellStyle name="Calculation 2 2 31 6" xfId="13678" xr:uid="{3488BD65-7BA0-4009-B269-3E66C6C0B5FB}"/>
    <cellStyle name="Calculation 2 2 31 7" xfId="13679" xr:uid="{FCAAA82F-530B-41F9-B08B-E4FFBCC3D300}"/>
    <cellStyle name="Calculation 2 2 32" xfId="218" xr:uid="{94C26FE1-ED93-4959-90DF-622222EDC61F}"/>
    <cellStyle name="Calculation 2 2 32 2" xfId="12505" xr:uid="{AD65AF42-6251-47D2-8974-331BE24285CA}"/>
    <cellStyle name="Calculation 2 2 32 2 2" xfId="13680" xr:uid="{CB8C0E72-85C3-4169-B6C8-C8C82D4A7DAD}"/>
    <cellStyle name="Calculation 2 2 32 2 3" xfId="13681" xr:uid="{AF8F9821-73F1-47E8-832F-D4B006C4335D}"/>
    <cellStyle name="Calculation 2 2 32 2 4" xfId="13682" xr:uid="{96BCB9E7-E444-481B-8006-BDCB4D72E21B}"/>
    <cellStyle name="Calculation 2 2 32 2 5" xfId="13683" xr:uid="{7E1CB5B3-B4B4-45C4-921F-B842E6132645}"/>
    <cellStyle name="Calculation 2 2 32 2 6" xfId="13684" xr:uid="{96FBAB51-A765-4C44-A613-6B192D938311}"/>
    <cellStyle name="Calculation 2 2 32 3" xfId="13685" xr:uid="{5528DB23-F4F8-461A-B9CB-24212BD63271}"/>
    <cellStyle name="Calculation 2 2 32 4" xfId="13686" xr:uid="{C62E709D-92F9-45A2-9B53-8BE43C29836C}"/>
    <cellStyle name="Calculation 2 2 32 5" xfId="13687" xr:uid="{99F8BD30-1B34-42BA-996D-4950E9505B7C}"/>
    <cellStyle name="Calculation 2 2 32 6" xfId="13688" xr:uid="{ECD00D60-5515-4B2D-AA50-97A6B8D4381E}"/>
    <cellStyle name="Calculation 2 2 32 7" xfId="13689" xr:uid="{35D04E8E-5F6A-46DD-B092-DFA2336FB246}"/>
    <cellStyle name="Calculation 2 2 33" xfId="219" xr:uid="{CA358724-B6A5-4E73-AD7A-0F080E722186}"/>
    <cellStyle name="Calculation 2 2 33 2" xfId="12584" xr:uid="{9E15E016-EA23-44A2-8058-CFB01F43129A}"/>
    <cellStyle name="Calculation 2 2 33 2 2" xfId="13690" xr:uid="{F8BBFEDA-CE9E-4617-9157-F655F4D575D8}"/>
    <cellStyle name="Calculation 2 2 33 2 3" xfId="13691" xr:uid="{9DCC8E7A-2441-431A-9034-D9619EDF64E5}"/>
    <cellStyle name="Calculation 2 2 33 2 4" xfId="13692" xr:uid="{91841047-40C5-4BA8-848C-97AA48DC1D74}"/>
    <cellStyle name="Calculation 2 2 33 2 5" xfId="13693" xr:uid="{1C84E719-EB0B-4D59-8C64-A368BF201558}"/>
    <cellStyle name="Calculation 2 2 33 2 6" xfId="13694" xr:uid="{7A1823C8-95C4-4A82-B05C-09F6295B522A}"/>
    <cellStyle name="Calculation 2 2 33 3" xfId="13695" xr:uid="{DD3297E8-0C42-4989-A77E-FB42D7526496}"/>
    <cellStyle name="Calculation 2 2 33 4" xfId="13696" xr:uid="{D1658D18-8B20-47D0-8221-41CD99396D6C}"/>
    <cellStyle name="Calculation 2 2 33 5" xfId="13697" xr:uid="{A6AEC9DF-5823-4E11-A621-F66CEBD2C31E}"/>
    <cellStyle name="Calculation 2 2 33 6" xfId="13698" xr:uid="{414760F1-4459-48F4-8EEC-E6E2E84AA252}"/>
    <cellStyle name="Calculation 2 2 33 7" xfId="13699" xr:uid="{CC1E5F15-F8F3-4592-90AC-7DE71F12146B}"/>
    <cellStyle name="Calculation 2 2 34" xfId="220" xr:uid="{F0CE08D4-E6F0-41D8-B9D4-8C6409FEEA3F}"/>
    <cellStyle name="Calculation 2 2 34 2" xfId="12663" xr:uid="{3CEF0135-CC23-4D26-91EE-9C26D0E1154F}"/>
    <cellStyle name="Calculation 2 2 34 2 2" xfId="13700" xr:uid="{674FE8F6-E467-4644-AB05-513644543021}"/>
    <cellStyle name="Calculation 2 2 34 2 3" xfId="13701" xr:uid="{9CECE9B2-9954-4A6D-AF3D-66116C8297CE}"/>
    <cellStyle name="Calculation 2 2 34 2 4" xfId="13702" xr:uid="{AC775CD5-ADD1-4E00-828A-5ECAEB834083}"/>
    <cellStyle name="Calculation 2 2 34 2 5" xfId="13703" xr:uid="{718ACE20-B16E-4DD8-AE43-521322D6393D}"/>
    <cellStyle name="Calculation 2 2 34 2 6" xfId="13704" xr:uid="{D1E5448B-025A-43CE-89FF-3C9B5BCF50AC}"/>
    <cellStyle name="Calculation 2 2 34 3" xfId="13705" xr:uid="{339DC0EE-8F65-4B58-969B-8B693E5F7A79}"/>
    <cellStyle name="Calculation 2 2 34 4" xfId="13706" xr:uid="{C0D3046F-6EE8-4529-8240-772D884F4D81}"/>
    <cellStyle name="Calculation 2 2 34 5" xfId="13707" xr:uid="{7816B30C-ED59-4B96-9123-E7843449A3F6}"/>
    <cellStyle name="Calculation 2 2 34 6" xfId="13708" xr:uid="{98475B1F-21E9-48E2-9960-7DF30223F3D7}"/>
    <cellStyle name="Calculation 2 2 34 7" xfId="13709" xr:uid="{E7BFAD7A-99B6-4F69-A4FA-EE164E1EA94C}"/>
    <cellStyle name="Calculation 2 2 35" xfId="221" xr:uid="{F3B82DF9-1FF5-40A7-900F-9C2430603679}"/>
    <cellStyle name="Calculation 2 2 35 2" xfId="12747" xr:uid="{515DC11C-01BC-472A-8BFD-E3A6BC41AF5D}"/>
    <cellStyle name="Calculation 2 2 35 2 2" xfId="13710" xr:uid="{99100B80-036E-43CC-B921-5976000C71BF}"/>
    <cellStyle name="Calculation 2 2 35 2 3" xfId="13711" xr:uid="{60097E3F-6579-412C-B75C-3BB082CAED18}"/>
    <cellStyle name="Calculation 2 2 35 2 4" xfId="13712" xr:uid="{AEF8698F-6DF3-48E5-9E8B-7F8ACA9D9745}"/>
    <cellStyle name="Calculation 2 2 35 2 5" xfId="13713" xr:uid="{9F046750-7A81-4B44-A129-4C20200A5B78}"/>
    <cellStyle name="Calculation 2 2 35 2 6" xfId="13714" xr:uid="{4910ABF9-E23E-48F8-A846-09DF10945042}"/>
    <cellStyle name="Calculation 2 2 35 3" xfId="13715" xr:uid="{C78A4FBF-D4FF-42BF-AB5C-197783DF7BE0}"/>
    <cellStyle name="Calculation 2 2 35 4" xfId="13716" xr:uid="{A51960EF-563A-4528-9629-95120EA5A8C2}"/>
    <cellStyle name="Calculation 2 2 35 5" xfId="13717" xr:uid="{E86466E8-B4D1-4824-85E1-6C0A3A01D64B}"/>
    <cellStyle name="Calculation 2 2 35 6" xfId="13718" xr:uid="{08FCF267-D674-4BDC-8867-F504B572900B}"/>
    <cellStyle name="Calculation 2 2 35 7" xfId="13719" xr:uid="{8A457E80-14D9-4A0C-B6C2-5C00DFE8C3C8}"/>
    <cellStyle name="Calculation 2 2 36" xfId="3818" xr:uid="{59DD0F33-D557-4B1A-9DC1-2A9CB2553033}"/>
    <cellStyle name="Calculation 2 2 36 2" xfId="13720" xr:uid="{2C1AB20A-8880-462F-B40A-4B7EF8916EA9}"/>
    <cellStyle name="Calculation 2 2 36 3" xfId="13721" xr:uid="{0889F1E3-3A64-48A5-8936-3BA5F49D35B7}"/>
    <cellStyle name="Calculation 2 2 36 4" xfId="13722" xr:uid="{B1B03D57-D8DF-47DE-938B-03249EC9770D}"/>
    <cellStyle name="Calculation 2 2 36 5" xfId="13723" xr:uid="{C6F70702-9573-4657-9BF2-2B419410AEC1}"/>
    <cellStyle name="Calculation 2 2 36 6" xfId="13724" xr:uid="{15569407-C55D-4841-9151-E0AD0502DD20}"/>
    <cellStyle name="Calculation 2 2 37" xfId="9813" xr:uid="{6D26F3E7-6856-4E62-9E39-8F2A4F40A796}"/>
    <cellStyle name="Calculation 2 2 37 2" xfId="13725" xr:uid="{BB31D2DE-E677-4946-A7E5-BF51D79C1C78}"/>
    <cellStyle name="Calculation 2 2 37 3" xfId="13726" xr:uid="{DAD712DE-3734-4CF7-B884-FCF4056EE1FA}"/>
    <cellStyle name="Calculation 2 2 37 4" xfId="13727" xr:uid="{321B561B-9CC0-4FE0-A90B-4B4DDA1E7DB6}"/>
    <cellStyle name="Calculation 2 2 37 5" xfId="13728" xr:uid="{F70DBC22-7034-4335-99E2-36CCEFD6B34F}"/>
    <cellStyle name="Calculation 2 2 37 6" xfId="13729" xr:uid="{A7DC6FB3-89E0-429D-A942-BD1E57370F74}"/>
    <cellStyle name="Calculation 2 2 38" xfId="13730" xr:uid="{F52BB390-8046-4CD1-9185-03EBA3BC7043}"/>
    <cellStyle name="Calculation 2 2 39" xfId="13731" xr:uid="{D0AB15D2-E729-49CC-A93C-4FE45B9B8ADF}"/>
    <cellStyle name="Calculation 2 2 4" xfId="222" xr:uid="{6CB1679A-2A9F-45B6-A2DB-380DAA261296}"/>
    <cellStyle name="Calculation 2 2 4 2" xfId="10117" xr:uid="{E5CF75D6-ECA2-44E0-BB37-5A2AA557D3D1}"/>
    <cellStyle name="Calculation 2 2 4 2 2" xfId="13732" xr:uid="{7B065378-8891-46EB-A289-122DEA16E91F}"/>
    <cellStyle name="Calculation 2 2 4 2 3" xfId="13733" xr:uid="{4CE83031-C37C-4733-B171-B53CB0E023C0}"/>
    <cellStyle name="Calculation 2 2 4 2 4" xfId="13734" xr:uid="{73CEACAD-BFBB-4862-870B-6A4082289D85}"/>
    <cellStyle name="Calculation 2 2 4 2 5" xfId="13735" xr:uid="{A3EDDE47-FC18-4D2E-A76F-CB8A93B689A8}"/>
    <cellStyle name="Calculation 2 2 4 2 6" xfId="13736" xr:uid="{E8056C1C-0953-4A06-BFCC-94A00BB317D3}"/>
    <cellStyle name="Calculation 2 2 4 3" xfId="13737" xr:uid="{4037CF6B-72EE-4227-A1B9-7A43256ED06B}"/>
    <cellStyle name="Calculation 2 2 4 4" xfId="13738" xr:uid="{E2FAF5E1-4E26-418C-B18A-9A2F3B6FC082}"/>
    <cellStyle name="Calculation 2 2 4 5" xfId="13739" xr:uid="{D008061E-5A5D-42EB-A0D8-7D23DD9EF01A}"/>
    <cellStyle name="Calculation 2 2 4 6" xfId="13740" xr:uid="{C4EF63B1-B203-4CA1-A6CF-5AFDD886E33F}"/>
    <cellStyle name="Calculation 2 2 4 7" xfId="13741" xr:uid="{912BC4F1-D9DD-4E6C-B286-8EA131C927CA}"/>
    <cellStyle name="Calculation 2 2 40" xfId="13742" xr:uid="{9D89501A-B7CE-4387-B87C-D2BDAE0901D6}"/>
    <cellStyle name="Calculation 2 2 41" xfId="13743" xr:uid="{CD9005C9-D203-476E-B2EB-BFA9FC756CFD}"/>
    <cellStyle name="Calculation 2 2 42" xfId="13744" xr:uid="{D265697B-0456-4313-A7DD-0D78CACCF8B1}"/>
    <cellStyle name="Calculation 2 2 5" xfId="223" xr:uid="{C566D365-4024-4F0C-A574-4735D9FD2606}"/>
    <cellStyle name="Calculation 2 2 5 2" xfId="10207" xr:uid="{A8F1B451-6AA3-4271-9927-2106A0C6DE4C}"/>
    <cellStyle name="Calculation 2 2 5 2 2" xfId="13745" xr:uid="{1812941D-CDC0-432D-9FC7-A12D4B2FD623}"/>
    <cellStyle name="Calculation 2 2 5 2 3" xfId="13746" xr:uid="{648DB886-C6B7-44AD-AF34-24B0EAE9546A}"/>
    <cellStyle name="Calculation 2 2 5 2 4" xfId="13747" xr:uid="{C4BF8362-CBBF-452E-BD8B-1525C99CC548}"/>
    <cellStyle name="Calculation 2 2 5 2 5" xfId="13748" xr:uid="{2DF64D2C-60CD-4418-8DF3-D74E2003155A}"/>
    <cellStyle name="Calculation 2 2 5 2 6" xfId="13749" xr:uid="{6A913B8D-71BA-4597-827C-23D305965014}"/>
    <cellStyle name="Calculation 2 2 5 3" xfId="13750" xr:uid="{8C994EDD-32F7-47D6-BC51-E910A8138D8D}"/>
    <cellStyle name="Calculation 2 2 5 4" xfId="13751" xr:uid="{51C75E63-DA91-4A31-9126-903F1C658056}"/>
    <cellStyle name="Calculation 2 2 5 5" xfId="13752" xr:uid="{5922D5A4-BC1C-404C-B1EA-B5E493F4FF1B}"/>
    <cellStyle name="Calculation 2 2 5 6" xfId="13753" xr:uid="{CA191D0E-4FD7-4FDC-A010-8E0B97F9CDE6}"/>
    <cellStyle name="Calculation 2 2 5 7" xfId="13754" xr:uid="{5C429897-A4DD-48E1-B16D-7BE00DAEC1B2}"/>
    <cellStyle name="Calculation 2 2 6" xfId="224" xr:uid="{2E46813B-83AE-4826-922E-F0A34D17E524}"/>
    <cellStyle name="Calculation 2 2 6 2" xfId="10293" xr:uid="{9EA6073E-E542-4167-8B5A-B8331C6F3FE6}"/>
    <cellStyle name="Calculation 2 2 6 2 2" xfId="13755" xr:uid="{7641E624-5B48-4049-8E3D-29E5ACF80A11}"/>
    <cellStyle name="Calculation 2 2 6 2 3" xfId="13756" xr:uid="{6BD8C9DE-7B31-43A0-8851-8671142C6B55}"/>
    <cellStyle name="Calculation 2 2 6 2 4" xfId="13757" xr:uid="{A66E718F-1B3F-43CA-BB0D-8DC7988176CD}"/>
    <cellStyle name="Calculation 2 2 6 2 5" xfId="13758" xr:uid="{D7C0936A-33C0-4152-8C60-BD2637A41A76}"/>
    <cellStyle name="Calculation 2 2 6 2 6" xfId="13759" xr:uid="{76B782FA-F952-4114-A492-C3767A468B9B}"/>
    <cellStyle name="Calculation 2 2 6 3" xfId="13760" xr:uid="{7C474B63-5A6A-42FD-AF83-F60C80E733EC}"/>
    <cellStyle name="Calculation 2 2 6 4" xfId="13761" xr:uid="{0CDC1A7E-B9C8-46E2-B13F-878B1C25E57F}"/>
    <cellStyle name="Calculation 2 2 6 5" xfId="13762" xr:uid="{BC96C80F-36ED-43BB-9D6A-618A714AAB89}"/>
    <cellStyle name="Calculation 2 2 6 6" xfId="13763" xr:uid="{2FC00FAB-7957-4172-BECD-C53E51E61D90}"/>
    <cellStyle name="Calculation 2 2 6 7" xfId="13764" xr:uid="{E414246F-6670-4C3B-A436-2E50774033D1}"/>
    <cellStyle name="Calculation 2 2 7" xfId="225" xr:uid="{7F99F405-E915-4F58-BE95-48FA28A409FE}"/>
    <cellStyle name="Calculation 2 2 7 2" xfId="10381" xr:uid="{10976940-970F-41A1-BC94-4059B33C4FC1}"/>
    <cellStyle name="Calculation 2 2 7 2 2" xfId="13765" xr:uid="{F8743381-6093-4521-948E-EF22B0E6E980}"/>
    <cellStyle name="Calculation 2 2 7 2 3" xfId="13766" xr:uid="{449CA7AE-272E-4E6E-B4C7-CDEC34505F0A}"/>
    <cellStyle name="Calculation 2 2 7 2 4" xfId="13767" xr:uid="{92D14197-7AE3-45A6-8849-F1AD94960FBC}"/>
    <cellStyle name="Calculation 2 2 7 2 5" xfId="13768" xr:uid="{9EFA2709-D291-4E2E-A6ED-B7208A188A1D}"/>
    <cellStyle name="Calculation 2 2 7 2 6" xfId="13769" xr:uid="{D3B7C0EA-7410-48E9-9416-A1B29A14B568}"/>
    <cellStyle name="Calculation 2 2 7 3" xfId="13770" xr:uid="{89FFB5B7-EC3F-48A5-AB24-0BE4BA997632}"/>
    <cellStyle name="Calculation 2 2 7 4" xfId="13771" xr:uid="{4EA83CA9-2984-48DA-AE7D-8D07B6D5BDEA}"/>
    <cellStyle name="Calculation 2 2 7 5" xfId="13772" xr:uid="{FC137632-D00E-4FDC-8009-B651373A686B}"/>
    <cellStyle name="Calculation 2 2 7 6" xfId="13773" xr:uid="{9DA1E064-E376-46F3-8671-D0AEE65F0B9B}"/>
    <cellStyle name="Calculation 2 2 7 7" xfId="13774" xr:uid="{01878327-3E9E-4F7B-BD25-E879BF4CBB97}"/>
    <cellStyle name="Calculation 2 2 8" xfId="226" xr:uid="{0FE9C3F7-3CE1-4EBF-B623-B429CE6168A3}"/>
    <cellStyle name="Calculation 2 2 8 2" xfId="10468" xr:uid="{52CBD579-84B3-46FD-A3AE-F87CB6EDDBE7}"/>
    <cellStyle name="Calculation 2 2 8 2 2" xfId="13775" xr:uid="{E0A52C6E-3378-4A8F-BF25-8542631E2AA7}"/>
    <cellStyle name="Calculation 2 2 8 2 3" xfId="13776" xr:uid="{E7562DB7-5691-4D2E-B213-4BB2291B3EA2}"/>
    <cellStyle name="Calculation 2 2 8 2 4" xfId="13777" xr:uid="{EA943E33-803D-4857-BEF9-A4D78C567B34}"/>
    <cellStyle name="Calculation 2 2 8 2 5" xfId="13778" xr:uid="{92947221-9ED8-4AD3-8431-7D506AA5A0CA}"/>
    <cellStyle name="Calculation 2 2 8 2 6" xfId="13779" xr:uid="{00B953C5-4176-439F-9B90-C00255C3CE0D}"/>
    <cellStyle name="Calculation 2 2 8 3" xfId="13780" xr:uid="{53AFAAFB-7528-4C61-995B-0135C8CC54B4}"/>
    <cellStyle name="Calculation 2 2 8 4" xfId="13781" xr:uid="{EA70ED5E-1EEC-4380-9E52-30F2FEADF12E}"/>
    <cellStyle name="Calculation 2 2 8 5" xfId="13782" xr:uid="{A677F1D6-D725-465B-94F6-3A28747F71BF}"/>
    <cellStyle name="Calculation 2 2 8 6" xfId="13783" xr:uid="{4F961213-81CD-4E5E-84A8-2D534053094A}"/>
    <cellStyle name="Calculation 2 2 8 7" xfId="13784" xr:uid="{2CFA4B54-C4B0-4971-AFC7-3EDEF0FCC5C3}"/>
    <cellStyle name="Calculation 2 2 9" xfId="227" xr:uid="{1723A5F6-ACB5-4141-B80D-671C5FE3A69B}"/>
    <cellStyle name="Calculation 2 2 9 2" xfId="10556" xr:uid="{2B3ABD6C-EF63-44BA-989B-FF11674237C5}"/>
    <cellStyle name="Calculation 2 2 9 2 2" xfId="13785" xr:uid="{54639EA1-5963-44F0-B5CA-7D6BBAFDE5C0}"/>
    <cellStyle name="Calculation 2 2 9 2 3" xfId="13786" xr:uid="{6C31D5F4-4EC9-4428-9A0F-ED83DA44F4EA}"/>
    <cellStyle name="Calculation 2 2 9 2 4" xfId="13787" xr:uid="{9C142A93-57B4-4F90-8001-89A536CDD2F6}"/>
    <cellStyle name="Calculation 2 2 9 2 5" xfId="13788" xr:uid="{23EA9503-BA2E-4833-8CD1-C5BB219C3F67}"/>
    <cellStyle name="Calculation 2 2 9 2 6" xfId="13789" xr:uid="{AACD7965-A9DC-435A-81EC-70E6FA177276}"/>
    <cellStyle name="Calculation 2 2 9 3" xfId="13790" xr:uid="{E83474B0-B21A-4A27-9A0D-5C63A311F2C3}"/>
    <cellStyle name="Calculation 2 2 9 4" xfId="13791" xr:uid="{7630D563-4F47-40D9-AD67-83C8455E73D2}"/>
    <cellStyle name="Calculation 2 2 9 5" xfId="13792" xr:uid="{C1EBDD7D-68D1-439B-A3CE-F05F44F677C2}"/>
    <cellStyle name="Calculation 2 2 9 6" xfId="13793" xr:uid="{0E68E3E1-1CD1-4BEF-BCFE-2008D0AC0445}"/>
    <cellStyle name="Calculation 2 2 9 7" xfId="13794" xr:uid="{2899D0C1-8178-48EF-B74F-ECCB4533CC27}"/>
    <cellStyle name="Calculation 2 20" xfId="228" xr:uid="{F95AFF10-A93D-4836-A122-E175D884E689}"/>
    <cellStyle name="Calculation 2 20 2" xfId="10772" xr:uid="{A2CD5BE5-8799-4B7A-A0DC-3B3491B5AE66}"/>
    <cellStyle name="Calculation 2 20 2 2" xfId="13795" xr:uid="{0F231D7A-DAEB-4F04-8B58-08C9A89CDE6A}"/>
    <cellStyle name="Calculation 2 20 2 3" xfId="13796" xr:uid="{A9B97F3E-EDFE-4AB3-922F-D95D2AFFE157}"/>
    <cellStyle name="Calculation 2 20 2 4" xfId="13797" xr:uid="{BE23B6C3-379A-44A8-A158-C3E5CF1A498B}"/>
    <cellStyle name="Calculation 2 20 2 5" xfId="13798" xr:uid="{4845D92E-7928-45D5-A9D2-47594E2288F6}"/>
    <cellStyle name="Calculation 2 20 2 6" xfId="13799" xr:uid="{809E093B-5632-409F-8760-9B06AEE6B936}"/>
    <cellStyle name="Calculation 2 20 3" xfId="13800" xr:uid="{28A25C55-41BB-4F7F-9846-26841FFEF61C}"/>
    <cellStyle name="Calculation 2 20 4" xfId="13801" xr:uid="{0537EEC1-AFBA-4AB2-BFF7-71F577841431}"/>
    <cellStyle name="Calculation 2 20 5" xfId="13802" xr:uid="{E808E95A-FF21-4906-B675-0C69CCC026CF}"/>
    <cellStyle name="Calculation 2 20 6" xfId="13803" xr:uid="{896FBCE0-1EF1-4739-B1AB-89B8C8AF11CF}"/>
    <cellStyle name="Calculation 2 20 7" xfId="13804" xr:uid="{E23D5817-00FB-48A1-BECA-F7F0857A0341}"/>
    <cellStyle name="Calculation 2 21" xfId="229" xr:uid="{C567ACFD-1EF7-4BF1-BBBF-CE0F715768FE}"/>
    <cellStyle name="Calculation 2 21 2" xfId="9925" xr:uid="{0291EB5C-E6C7-4C19-BCDF-3AD9F74BBEE8}"/>
    <cellStyle name="Calculation 2 21 2 2" xfId="13805" xr:uid="{9261C362-4E64-497D-B74E-1703CF2961C2}"/>
    <cellStyle name="Calculation 2 21 2 3" xfId="13806" xr:uid="{403E4BCF-4B10-489B-A70A-56ABB48D298B}"/>
    <cellStyle name="Calculation 2 21 2 4" xfId="13807" xr:uid="{2A3F2BA5-5A31-4836-A358-E34680C50526}"/>
    <cellStyle name="Calculation 2 21 2 5" xfId="13808" xr:uid="{080CAADB-07C7-4212-9CD9-938F0FEE5542}"/>
    <cellStyle name="Calculation 2 21 2 6" xfId="13809" xr:uid="{0DDB181B-78FB-4679-8D0F-9A0AC5C2DF61}"/>
    <cellStyle name="Calculation 2 21 3" xfId="13810" xr:uid="{72643D0B-5D2C-45A1-B09C-296A9F6EDC28}"/>
    <cellStyle name="Calculation 2 21 4" xfId="13811" xr:uid="{125DBFB1-5167-4008-990D-19877507680D}"/>
    <cellStyle name="Calculation 2 21 5" xfId="13812" xr:uid="{7CFEA58C-21E5-4D9F-81B0-EF88983DC434}"/>
    <cellStyle name="Calculation 2 21 6" xfId="13813" xr:uid="{03D896D5-E6DB-40FB-AF48-4E4AC94F00C2}"/>
    <cellStyle name="Calculation 2 21 7" xfId="13814" xr:uid="{4D25DB0B-7FE6-4AD3-AA9E-FF931C5826D3}"/>
    <cellStyle name="Calculation 2 22" xfId="230" xr:uid="{0A09C3BF-FE66-4C54-AC2C-E2DDF02A750F}"/>
    <cellStyle name="Calculation 2 22 2" xfId="9739" xr:uid="{EFEDBA20-7E1E-410B-8EFA-378F251C3638}"/>
    <cellStyle name="Calculation 2 22 2 2" xfId="13815" xr:uid="{9ADDE9A1-64E1-49A9-B156-D76306B24FF3}"/>
    <cellStyle name="Calculation 2 22 2 3" xfId="13816" xr:uid="{716974F6-2F17-4701-93A9-FFABD95008F2}"/>
    <cellStyle name="Calculation 2 22 2 4" xfId="13817" xr:uid="{724C5E7B-200D-47B1-B7B2-95165ABCA60E}"/>
    <cellStyle name="Calculation 2 22 2 5" xfId="13818" xr:uid="{9685EED0-3108-4811-ADA1-9DB8C2450843}"/>
    <cellStyle name="Calculation 2 22 2 6" xfId="13819" xr:uid="{77FF908C-3E58-4400-8093-CCB4B4478AF2}"/>
    <cellStyle name="Calculation 2 22 3" xfId="13820" xr:uid="{F70A7A01-63E6-4E5F-BB23-E43761645DA9}"/>
    <cellStyle name="Calculation 2 22 4" xfId="13821" xr:uid="{A56D2CCC-64EF-42F5-8C74-2E65AF0A6AB6}"/>
    <cellStyle name="Calculation 2 22 5" xfId="13822" xr:uid="{E16CE507-179D-4A7D-BE29-464A9F5B3C2C}"/>
    <cellStyle name="Calculation 2 22 6" xfId="13823" xr:uid="{21E04AC9-ECC8-48F1-A197-528974F4ADC4}"/>
    <cellStyle name="Calculation 2 22 7" xfId="13824" xr:uid="{9EE9617F-FFBB-4802-B64D-3EC35CE80931}"/>
    <cellStyle name="Calculation 2 23" xfId="231" xr:uid="{C059BA28-BC6D-4F05-B5A3-FCB4C897DE3F}"/>
    <cellStyle name="Calculation 2 23 2" xfId="9957" xr:uid="{BB8A613D-5FD6-493C-9200-ED82C9CDDFCA}"/>
    <cellStyle name="Calculation 2 23 2 2" xfId="13825" xr:uid="{E8389946-9446-4410-9879-BD5D75B4E01B}"/>
    <cellStyle name="Calculation 2 23 2 3" xfId="13826" xr:uid="{5B5A83B8-17EC-4FE4-AFE7-EC0EBA5827DE}"/>
    <cellStyle name="Calculation 2 23 2 4" xfId="13827" xr:uid="{C335EF23-EFFB-430A-8FDB-FAE5C05CD86E}"/>
    <cellStyle name="Calculation 2 23 2 5" xfId="13828" xr:uid="{49BC7888-5B0B-40C6-9319-22EBC5283CAC}"/>
    <cellStyle name="Calculation 2 23 2 6" xfId="13829" xr:uid="{C7DC20E6-8C7A-45CE-A714-3CA961F7F318}"/>
    <cellStyle name="Calculation 2 23 3" xfId="13830" xr:uid="{29256331-C96D-4103-8B7D-A04B750F81C9}"/>
    <cellStyle name="Calculation 2 23 4" xfId="13831" xr:uid="{0C2A5337-B731-42E4-9A1A-133929C8F595}"/>
    <cellStyle name="Calculation 2 23 5" xfId="13832" xr:uid="{63D1DC68-C299-471E-AB3A-F2E5DAD2B7CA}"/>
    <cellStyle name="Calculation 2 23 6" xfId="13833" xr:uid="{ECD97E4C-DBCC-4ADE-9205-E5BF9ACD87C8}"/>
    <cellStyle name="Calculation 2 23 7" xfId="13834" xr:uid="{B0F85FFF-D16C-4E7D-968F-7236372D7807}"/>
    <cellStyle name="Calculation 2 24" xfId="232" xr:uid="{E042A46E-0ED8-4DF4-9C08-88FE04833FC7}"/>
    <cellStyle name="Calculation 2 24 2" xfId="10950" xr:uid="{06F93F11-EDE5-4779-9417-6EB3CD4CF209}"/>
    <cellStyle name="Calculation 2 24 2 2" xfId="13835" xr:uid="{8EABD120-2C00-45E7-9FFE-39E00A7E1183}"/>
    <cellStyle name="Calculation 2 24 2 3" xfId="13836" xr:uid="{6986369A-8893-4745-A976-9436265A60E8}"/>
    <cellStyle name="Calculation 2 24 2 4" xfId="13837" xr:uid="{4A551A99-1C8E-4F62-96CF-126C24A3A96B}"/>
    <cellStyle name="Calculation 2 24 2 5" xfId="13838" xr:uid="{8857B589-2345-4939-9A59-F81C3934C132}"/>
    <cellStyle name="Calculation 2 24 2 6" xfId="13839" xr:uid="{0B76E2A8-37CE-4F48-8C00-D6025B2682E2}"/>
    <cellStyle name="Calculation 2 24 3" xfId="13840" xr:uid="{B5CFDB6B-70F8-44E9-B314-580DAC4910C0}"/>
    <cellStyle name="Calculation 2 24 4" xfId="13841" xr:uid="{B1CF399B-171C-49D0-BD4D-676805139EFD}"/>
    <cellStyle name="Calculation 2 24 5" xfId="13842" xr:uid="{962CFBCB-2C76-45BA-AC89-F3C549627700}"/>
    <cellStyle name="Calculation 2 24 6" xfId="13843" xr:uid="{F85DF260-6D1B-4C37-944E-7B89ECC59B27}"/>
    <cellStyle name="Calculation 2 24 7" xfId="13844" xr:uid="{0244E794-06CB-4FF3-A3E3-62C5B9351E79}"/>
    <cellStyle name="Calculation 2 25" xfId="233" xr:uid="{F3CA04EB-D3B7-4D33-AFC1-27F5E19995D4}"/>
    <cellStyle name="Calculation 2 25 2" xfId="9919" xr:uid="{119D25AD-7DCC-4C52-BE37-A64A9B6BA002}"/>
    <cellStyle name="Calculation 2 25 2 2" xfId="13845" xr:uid="{A4560675-E185-49BC-8F95-E2D645AAE4C2}"/>
    <cellStyle name="Calculation 2 25 2 3" xfId="13846" xr:uid="{A9499850-80B9-4454-8AA8-F377294D1918}"/>
    <cellStyle name="Calculation 2 25 2 4" xfId="13847" xr:uid="{CDE002ED-1E22-470A-9117-A610BB4DB464}"/>
    <cellStyle name="Calculation 2 25 2 5" xfId="13848" xr:uid="{67AEE26A-3DAD-4F9A-B47A-B4D81B6D11F8}"/>
    <cellStyle name="Calculation 2 25 2 6" xfId="13849" xr:uid="{C175AE4A-C978-4884-A6A7-DBA290A0D8ED}"/>
    <cellStyle name="Calculation 2 25 3" xfId="13850" xr:uid="{04847C41-3C93-4D1F-B008-E811D2663427}"/>
    <cellStyle name="Calculation 2 25 4" xfId="13851" xr:uid="{4AB7B8D4-1CA6-4FDD-807E-56A9E8E2EFFD}"/>
    <cellStyle name="Calculation 2 25 5" xfId="13852" xr:uid="{B0133C79-D9D1-4AE0-B97A-BD1C9CA82BA8}"/>
    <cellStyle name="Calculation 2 25 6" xfId="13853" xr:uid="{801EC786-1521-4B4E-8737-2C4A084D1234}"/>
    <cellStyle name="Calculation 2 25 7" xfId="13854" xr:uid="{97ED04B6-8015-45B9-BF7B-C5B544DE2B5F}"/>
    <cellStyle name="Calculation 2 26" xfId="234" xr:uid="{0C2DC70C-5819-4559-91F5-F6BCC1B1E7A7}"/>
    <cellStyle name="Calculation 2 26 2" xfId="10466" xr:uid="{638A935D-F763-4AF9-B3C6-CC0F4B2300B8}"/>
    <cellStyle name="Calculation 2 26 2 2" xfId="13855" xr:uid="{3907D53E-403E-4647-B045-A1F9C67CE63B}"/>
    <cellStyle name="Calculation 2 26 2 3" xfId="13856" xr:uid="{FC50B8CE-BCAD-429C-B9FA-CEDA9090A7BD}"/>
    <cellStyle name="Calculation 2 26 2 4" xfId="13857" xr:uid="{F3AAE981-D247-4686-B2CA-EA580C9691EA}"/>
    <cellStyle name="Calculation 2 26 2 5" xfId="13858" xr:uid="{720D0DEA-579D-4C11-96D4-AB86C6D78AD4}"/>
    <cellStyle name="Calculation 2 26 2 6" xfId="13859" xr:uid="{A7EB12DE-67D2-4B3E-94B0-54B04360C2A1}"/>
    <cellStyle name="Calculation 2 26 3" xfId="13860" xr:uid="{CCC8E525-8A0C-4F5E-8C82-EBA5E6EE1CE8}"/>
    <cellStyle name="Calculation 2 26 4" xfId="13861" xr:uid="{45BB44BC-3F22-4848-836D-23FB4CD8A3C7}"/>
    <cellStyle name="Calculation 2 26 5" xfId="13862" xr:uid="{00F73958-588A-49F6-88AB-212973AD3030}"/>
    <cellStyle name="Calculation 2 26 6" xfId="13863" xr:uid="{260EEC4B-7741-410E-8805-2898722F908D}"/>
    <cellStyle name="Calculation 2 26 7" xfId="13864" xr:uid="{7D582682-D341-46DF-BC73-E9D16DCB3AFE}"/>
    <cellStyle name="Calculation 2 27" xfId="235" xr:uid="{0CD9622C-B6B3-4E3F-820A-2B230EBB2342}"/>
    <cellStyle name="Calculation 2 27 2" xfId="9923" xr:uid="{B75C8E17-DF42-4E10-9D6B-67B69346434B}"/>
    <cellStyle name="Calculation 2 27 2 2" xfId="13865" xr:uid="{C99D596A-FE91-43F8-94F6-F50AF92F4B2F}"/>
    <cellStyle name="Calculation 2 27 2 3" xfId="13866" xr:uid="{3C27EE4E-4897-4233-8E03-DF1244C5FCFC}"/>
    <cellStyle name="Calculation 2 27 2 4" xfId="13867" xr:uid="{A9FB107C-992D-4335-BCFE-DC6BCADAFA87}"/>
    <cellStyle name="Calculation 2 27 2 5" xfId="13868" xr:uid="{B701D8D5-6BF5-47BD-86D1-792AAB5A78CE}"/>
    <cellStyle name="Calculation 2 27 2 6" xfId="13869" xr:uid="{19C17988-32F1-434C-A5B1-AE3805E7DCBC}"/>
    <cellStyle name="Calculation 2 27 3" xfId="13870" xr:uid="{14078497-E336-4B43-94B1-804D9FDD5390}"/>
    <cellStyle name="Calculation 2 27 4" xfId="13871" xr:uid="{F24CB60A-8FF6-4369-8E9E-030D5FA7E0F2}"/>
    <cellStyle name="Calculation 2 27 5" xfId="13872" xr:uid="{AE0123E1-DA83-4658-9FAD-65C73CEF903A}"/>
    <cellStyle name="Calculation 2 27 6" xfId="13873" xr:uid="{7026ADD0-1F64-489B-B979-8938999BA0B0}"/>
    <cellStyle name="Calculation 2 27 7" xfId="13874" xr:uid="{60A49B08-32E5-43EA-9097-0C7D189613BC}"/>
    <cellStyle name="Calculation 2 28" xfId="236" xr:uid="{EFA389EA-F916-425E-A185-0347A783D0B9}"/>
    <cellStyle name="Calculation 2 28 2" xfId="10169" xr:uid="{092C985F-7F3B-4EEA-AE92-1C3778B1E993}"/>
    <cellStyle name="Calculation 2 28 2 2" xfId="13875" xr:uid="{E2E10A8C-831E-456F-8734-F85C54CD36EB}"/>
    <cellStyle name="Calculation 2 28 2 3" xfId="13876" xr:uid="{18C243E0-C9C5-4592-843A-BDDEA3A488B4}"/>
    <cellStyle name="Calculation 2 28 2 4" xfId="13877" xr:uid="{BB3B067A-7AB5-41B2-A395-F743FBFFF1F6}"/>
    <cellStyle name="Calculation 2 28 2 5" xfId="13878" xr:uid="{B2AF92DB-9B5F-4531-A035-302CA9AEB69E}"/>
    <cellStyle name="Calculation 2 28 2 6" xfId="13879" xr:uid="{122EEDAB-B7BD-48D5-A195-B7DD9074F3E4}"/>
    <cellStyle name="Calculation 2 28 3" xfId="13880" xr:uid="{3C39E47E-96F0-46B6-84AD-5705666C3D16}"/>
    <cellStyle name="Calculation 2 28 4" xfId="13881" xr:uid="{9FD39521-FCB0-42CD-B078-8F9D62578504}"/>
    <cellStyle name="Calculation 2 28 5" xfId="13882" xr:uid="{6A981C80-3945-4520-A2DD-F370C3590F8F}"/>
    <cellStyle name="Calculation 2 28 6" xfId="13883" xr:uid="{86284155-7BA7-4708-B9AD-977308FCEAA5}"/>
    <cellStyle name="Calculation 2 28 7" xfId="13884" xr:uid="{C41EB99E-C6C4-42C0-A590-E4453D4D8A09}"/>
    <cellStyle name="Calculation 2 29" xfId="237" xr:uid="{440D124B-13C1-4401-B1C9-1097B7AF2FCF}"/>
    <cellStyle name="Calculation 2 29 2" xfId="10868" xr:uid="{04B844FC-4E43-4D7F-901C-DA72BAB8C42A}"/>
    <cellStyle name="Calculation 2 29 2 2" xfId="13885" xr:uid="{F3CFA2FA-C274-42CC-9669-94A54C03679A}"/>
    <cellStyle name="Calculation 2 29 2 3" xfId="13886" xr:uid="{3D80A72C-16E5-4E96-8FD9-50288E53FDCB}"/>
    <cellStyle name="Calculation 2 29 2 4" xfId="13887" xr:uid="{835CA563-A9A4-41C7-8989-85DD14359A20}"/>
    <cellStyle name="Calculation 2 29 2 5" xfId="13888" xr:uid="{88CCE41E-0AF2-4DBB-82C0-930576395055}"/>
    <cellStyle name="Calculation 2 29 2 6" xfId="13889" xr:uid="{8F3B93CE-3D8E-4211-ABA3-76F4450F9571}"/>
    <cellStyle name="Calculation 2 29 3" xfId="13890" xr:uid="{E0F97ADC-1B3C-4CC5-954D-D6599F0D83AE}"/>
    <cellStyle name="Calculation 2 29 4" xfId="13891" xr:uid="{74237656-CBE6-463C-B6D5-1230481D93C9}"/>
    <cellStyle name="Calculation 2 29 5" xfId="13892" xr:uid="{602D7BAB-6AA6-4C27-AFE9-FF45182575BA}"/>
    <cellStyle name="Calculation 2 29 6" xfId="13893" xr:uid="{9321588E-A54B-4469-84D3-1380FB2D981F}"/>
    <cellStyle name="Calculation 2 29 7" xfId="13894" xr:uid="{EBFE7556-75BB-409B-A79E-4B052E56FEB3}"/>
    <cellStyle name="Calculation 2 3" xfId="238" xr:uid="{61D93084-43F0-4001-A9D5-9CB230E89886}"/>
    <cellStyle name="Calculation 2 3 10" xfId="239" xr:uid="{A8E1A182-CC58-433B-A076-31036E6663C3}"/>
    <cellStyle name="Calculation 2 3 10 2" xfId="10622" xr:uid="{1FE9DACF-220A-4DE1-A813-7C4DA9D599B7}"/>
    <cellStyle name="Calculation 2 3 10 2 2" xfId="13895" xr:uid="{FE92C782-3368-40BA-A12D-58F32816F62E}"/>
    <cellStyle name="Calculation 2 3 10 2 3" xfId="13896" xr:uid="{D6BF92B9-DA07-48FF-89B4-A1EEA8F36E80}"/>
    <cellStyle name="Calculation 2 3 10 2 4" xfId="13897" xr:uid="{119E327D-65A3-4446-89F0-5995275754AD}"/>
    <cellStyle name="Calculation 2 3 10 2 5" xfId="13898" xr:uid="{67BBE855-7C7F-4AE9-A3E4-CB541FB54EFE}"/>
    <cellStyle name="Calculation 2 3 10 2 6" xfId="13899" xr:uid="{76F8084D-E8FC-45C9-B4F8-A0546B587D5E}"/>
    <cellStyle name="Calculation 2 3 10 3" xfId="13900" xr:uid="{B5663230-B2AB-4E55-A04F-5325E702563D}"/>
    <cellStyle name="Calculation 2 3 10 4" xfId="13901" xr:uid="{5635F76C-44CD-49AE-A472-7FAE7E40496A}"/>
    <cellStyle name="Calculation 2 3 10 5" xfId="13902" xr:uid="{A420FACB-1FEB-4C3D-A832-358F71AE95E5}"/>
    <cellStyle name="Calculation 2 3 10 6" xfId="13903" xr:uid="{F851FFDA-3D94-457F-8D52-38582CD4A485}"/>
    <cellStyle name="Calculation 2 3 10 7" xfId="13904" xr:uid="{F2C4EAE9-EE5F-453F-92D3-A078B3991891}"/>
    <cellStyle name="Calculation 2 3 11" xfId="240" xr:uid="{65A2F446-09D6-4877-B997-EB893B42B744}"/>
    <cellStyle name="Calculation 2 3 11 2" xfId="10713" xr:uid="{0AD76597-4005-4B8F-9820-544662086A9F}"/>
    <cellStyle name="Calculation 2 3 11 2 2" xfId="13905" xr:uid="{F6AA19CE-BDE3-44EC-BCEE-B3AD8E7B3560}"/>
    <cellStyle name="Calculation 2 3 11 2 3" xfId="13906" xr:uid="{57E5B3C7-CE65-4759-AB9B-B41E280A800B}"/>
    <cellStyle name="Calculation 2 3 11 2 4" xfId="13907" xr:uid="{18F096BC-B490-4173-B06F-E3F8C9CDDD01}"/>
    <cellStyle name="Calculation 2 3 11 2 5" xfId="13908" xr:uid="{6BB2622C-F5A6-4FA8-B889-5EBB3C439F51}"/>
    <cellStyle name="Calculation 2 3 11 2 6" xfId="13909" xr:uid="{8FAE2931-E68D-4A25-969F-763A63CF9B5E}"/>
    <cellStyle name="Calculation 2 3 11 3" xfId="13910" xr:uid="{C896B9A3-BD7B-4D68-BC33-2637EE4D961B}"/>
    <cellStyle name="Calculation 2 3 11 4" xfId="13911" xr:uid="{307A8214-30F3-40DF-9FA5-7C5EFB6910C1}"/>
    <cellStyle name="Calculation 2 3 11 5" xfId="13912" xr:uid="{B2D727F6-2A40-46D3-B6D1-B1823E45CE40}"/>
    <cellStyle name="Calculation 2 3 11 6" xfId="13913" xr:uid="{1B150F5B-0872-4998-8219-EE8CBB103FB2}"/>
    <cellStyle name="Calculation 2 3 11 7" xfId="13914" xr:uid="{0A601B74-9138-4E30-8FDB-E39502A40DEF}"/>
    <cellStyle name="Calculation 2 3 12" xfId="241" xr:uid="{CC5062C5-D1AB-4DAC-9D62-28CF0749B006}"/>
    <cellStyle name="Calculation 2 3 12 2" xfId="10801" xr:uid="{1FD78F71-882C-46B0-945E-D697C17DD3FC}"/>
    <cellStyle name="Calculation 2 3 12 2 2" xfId="13915" xr:uid="{D0B79CA0-8525-4018-9169-9826D92A34D1}"/>
    <cellStyle name="Calculation 2 3 12 2 3" xfId="13916" xr:uid="{AB13DBCE-C4AA-4517-B44D-18DCC79CC884}"/>
    <cellStyle name="Calculation 2 3 12 2 4" xfId="13917" xr:uid="{90711A4B-AE75-4DC2-8543-5431FE7F886D}"/>
    <cellStyle name="Calculation 2 3 12 2 5" xfId="13918" xr:uid="{04943EDE-7555-41F5-878D-6BCD69C08585}"/>
    <cellStyle name="Calculation 2 3 12 2 6" xfId="13919" xr:uid="{13FA8988-C199-4BB0-AA74-9D792DBA257C}"/>
    <cellStyle name="Calculation 2 3 12 3" xfId="13920" xr:uid="{D2F470B3-21F3-4A6C-BFD9-F5F6C5343853}"/>
    <cellStyle name="Calculation 2 3 12 4" xfId="13921" xr:uid="{1DF4C7A8-C100-4933-81F2-E02B786305A8}"/>
    <cellStyle name="Calculation 2 3 12 5" xfId="13922" xr:uid="{06DB1824-3EEF-444E-ADB4-3E354BF983BD}"/>
    <cellStyle name="Calculation 2 3 12 6" xfId="13923" xr:uid="{059C1A1F-D986-4DD1-A6D0-1F807E588904}"/>
    <cellStyle name="Calculation 2 3 12 7" xfId="13924" xr:uid="{ABA90AE3-4538-42A7-980C-3950C808A2F2}"/>
    <cellStyle name="Calculation 2 3 13" xfId="242" xr:uid="{C3C702BD-8B9B-44E5-92ED-8220B537C0BA}"/>
    <cellStyle name="Calculation 2 3 13 2" xfId="10890" xr:uid="{7BCE3231-F2CA-4BDA-8E6A-481FB1C714FA}"/>
    <cellStyle name="Calculation 2 3 13 2 2" xfId="13925" xr:uid="{FD9EFD4D-8610-42B1-AFD5-233BDDD04185}"/>
    <cellStyle name="Calculation 2 3 13 2 3" xfId="13926" xr:uid="{8841D516-3517-4887-9018-CE80FD37203D}"/>
    <cellStyle name="Calculation 2 3 13 2 4" xfId="13927" xr:uid="{0A8386A1-2035-4EF0-9EF9-82CF30C9083E}"/>
    <cellStyle name="Calculation 2 3 13 2 5" xfId="13928" xr:uid="{138BDE38-E986-4442-8F25-1653FAB0CB0F}"/>
    <cellStyle name="Calculation 2 3 13 2 6" xfId="13929" xr:uid="{677463BE-E37F-4B33-9163-151FCDBD3909}"/>
    <cellStyle name="Calculation 2 3 13 3" xfId="13930" xr:uid="{5C453055-4EBA-4FDF-A175-2DD78B917FD3}"/>
    <cellStyle name="Calculation 2 3 13 4" xfId="13931" xr:uid="{C555FF6E-4A0A-4861-8640-4D935AC4CCFF}"/>
    <cellStyle name="Calculation 2 3 13 5" xfId="13932" xr:uid="{A14BC33C-E2BE-4A0E-99F7-CB28D99A0D5C}"/>
    <cellStyle name="Calculation 2 3 13 6" xfId="13933" xr:uid="{A59371BE-33DE-44D7-9259-885311DC2228}"/>
    <cellStyle name="Calculation 2 3 13 7" xfId="13934" xr:uid="{BE5CD026-1F57-402B-99FB-187FCF49266A}"/>
    <cellStyle name="Calculation 2 3 14" xfId="243" xr:uid="{6A05CAC1-EA84-42E7-A0E9-554C667F1CE2}"/>
    <cellStyle name="Calculation 2 3 14 2" xfId="10980" xr:uid="{526650A0-AD00-4117-8296-F3AC80CC5A65}"/>
    <cellStyle name="Calculation 2 3 14 2 2" xfId="13935" xr:uid="{1ED08E39-8A1A-490E-98BF-C1F9E776E188}"/>
    <cellStyle name="Calculation 2 3 14 2 3" xfId="13936" xr:uid="{1AD5A386-DE11-4F3F-A618-AE2297F4FB91}"/>
    <cellStyle name="Calculation 2 3 14 2 4" xfId="13937" xr:uid="{2B7336D5-A8DA-4F17-BA41-64AE25CA9E02}"/>
    <cellStyle name="Calculation 2 3 14 2 5" xfId="13938" xr:uid="{87383D05-CE23-48D4-B00E-25C95E66BD07}"/>
    <cellStyle name="Calculation 2 3 14 2 6" xfId="13939" xr:uid="{7B3E174D-7ED1-4F37-B790-884F209EA8D0}"/>
    <cellStyle name="Calculation 2 3 14 3" xfId="13940" xr:uid="{AD6CDDC0-03B8-4A54-9646-9E8A5C37CBCC}"/>
    <cellStyle name="Calculation 2 3 14 4" xfId="13941" xr:uid="{2D8640B2-7EB8-4695-B674-3BE468315AAE}"/>
    <cellStyle name="Calculation 2 3 14 5" xfId="13942" xr:uid="{9F0F238C-23CD-4766-8A0B-4B3BFA739845}"/>
    <cellStyle name="Calculation 2 3 14 6" xfId="13943" xr:uid="{2C728AA6-FA11-4C66-9006-6FDFE34E405D}"/>
    <cellStyle name="Calculation 2 3 14 7" xfId="13944" xr:uid="{AB08BBC3-6946-4EAD-B3B8-ABA04F6BFF3D}"/>
    <cellStyle name="Calculation 2 3 15" xfId="244" xr:uid="{3221A5CD-FCDF-4E19-B295-AAA283CED1A1}"/>
    <cellStyle name="Calculation 2 3 15 2" xfId="11071" xr:uid="{D3483806-2C86-427B-8034-C18C3F82AE45}"/>
    <cellStyle name="Calculation 2 3 15 2 2" xfId="13945" xr:uid="{F9CAD59A-9376-4F0C-BAF7-5636ED2B7DAF}"/>
    <cellStyle name="Calculation 2 3 15 2 3" xfId="13946" xr:uid="{6550E716-35CE-45AC-AC33-C4B31F67CBED}"/>
    <cellStyle name="Calculation 2 3 15 2 4" xfId="13947" xr:uid="{550FC45F-D30A-467F-A4E1-0821E13ABEC5}"/>
    <cellStyle name="Calculation 2 3 15 2 5" xfId="13948" xr:uid="{6DEA0FAC-BF4B-485B-99B7-8E705F9137FC}"/>
    <cellStyle name="Calculation 2 3 15 2 6" xfId="13949" xr:uid="{991FBF31-9517-4610-9D1E-194C4E915A38}"/>
    <cellStyle name="Calculation 2 3 15 3" xfId="13950" xr:uid="{BEFB95BA-48DA-4AF4-9EC7-4CF0A5D7D65A}"/>
    <cellStyle name="Calculation 2 3 15 4" xfId="13951" xr:uid="{10D3288B-5C2F-42A0-A8F9-3333C672933C}"/>
    <cellStyle name="Calculation 2 3 15 5" xfId="13952" xr:uid="{5C30F322-FFC2-4270-9515-26BEFBDA0640}"/>
    <cellStyle name="Calculation 2 3 15 6" xfId="13953" xr:uid="{F26A9925-7F89-4268-92CE-8C4FE886B4F9}"/>
    <cellStyle name="Calculation 2 3 15 7" xfId="13954" xr:uid="{91750764-47C0-4688-BFEC-26B9870CCD1B}"/>
    <cellStyle name="Calculation 2 3 16" xfId="245" xr:uid="{4A38C64A-2554-4840-BD45-E7E23C2EB7E3}"/>
    <cellStyle name="Calculation 2 3 16 2" xfId="11154" xr:uid="{1642EC13-0E1C-4F9C-9C11-C8A955605AA9}"/>
    <cellStyle name="Calculation 2 3 16 2 2" xfId="13955" xr:uid="{228D92FC-6AD7-4859-9E73-85E66258608C}"/>
    <cellStyle name="Calculation 2 3 16 2 3" xfId="13956" xr:uid="{4B063BBB-8279-4C80-932D-F4BE87925397}"/>
    <cellStyle name="Calculation 2 3 16 2 4" xfId="13957" xr:uid="{93955253-0A32-4AD4-816A-468FE01F5A8D}"/>
    <cellStyle name="Calculation 2 3 16 2 5" xfId="13958" xr:uid="{0B67B157-29A3-4FA3-8B4A-DCA961B6A215}"/>
    <cellStyle name="Calculation 2 3 16 2 6" xfId="13959" xr:uid="{249D475B-E524-45B4-B200-F796F7494CF8}"/>
    <cellStyle name="Calculation 2 3 16 3" xfId="13960" xr:uid="{E49A1A60-3E11-4B46-B611-58AD36458F8D}"/>
    <cellStyle name="Calculation 2 3 16 4" xfId="13961" xr:uid="{C97613F6-003B-4B77-AA18-901F24E66539}"/>
    <cellStyle name="Calculation 2 3 16 5" xfId="13962" xr:uid="{41047982-2FDE-49F1-8A29-B8DB59B9FEAC}"/>
    <cellStyle name="Calculation 2 3 16 6" xfId="13963" xr:uid="{03A0046B-B6A1-4335-8395-E778F2D115AB}"/>
    <cellStyle name="Calculation 2 3 16 7" xfId="13964" xr:uid="{D1D0F478-70F1-48D9-B15A-882BD2D93AEA}"/>
    <cellStyle name="Calculation 2 3 17" xfId="246" xr:uid="{C9E89F87-666D-488F-AC5B-1EFD192521CD}"/>
    <cellStyle name="Calculation 2 3 17 2" xfId="11244" xr:uid="{5C52532C-5638-43EF-9F5C-B8BFA56AF918}"/>
    <cellStyle name="Calculation 2 3 17 2 2" xfId="13965" xr:uid="{6C47AF30-8FEB-4466-9F28-D04FBC7EF7BD}"/>
    <cellStyle name="Calculation 2 3 17 2 3" xfId="13966" xr:uid="{0F7EB1BA-75E9-4C5C-8009-A5A3706DA36C}"/>
    <cellStyle name="Calculation 2 3 17 2 4" xfId="13967" xr:uid="{FAB200BD-4EBC-472D-AFC4-63E5675851C4}"/>
    <cellStyle name="Calculation 2 3 17 2 5" xfId="13968" xr:uid="{C1032570-73BB-485C-B5A9-E1214BAEB046}"/>
    <cellStyle name="Calculation 2 3 17 2 6" xfId="13969" xr:uid="{3ECF8F7F-BAEA-4C08-AF3F-BD682292E2BA}"/>
    <cellStyle name="Calculation 2 3 17 3" xfId="13970" xr:uid="{9C4474E7-7541-43CE-98B0-FC32635CF73A}"/>
    <cellStyle name="Calculation 2 3 17 4" xfId="13971" xr:uid="{601BA9C7-A3A8-4271-B4B2-B068116D9E5D}"/>
    <cellStyle name="Calculation 2 3 17 5" xfId="13972" xr:uid="{E3901FB1-D273-4203-AD66-879DA032203E}"/>
    <cellStyle name="Calculation 2 3 17 6" xfId="13973" xr:uid="{4C14E0AC-D0AB-4B46-992C-6B2C86978DB4}"/>
    <cellStyle name="Calculation 2 3 17 7" xfId="13974" xr:uid="{3CB759A4-D039-4156-9F9C-BD24ED93208A}"/>
    <cellStyle name="Calculation 2 3 18" xfId="247" xr:uid="{C8403AFE-56EF-4A40-B49D-48B77190C99F}"/>
    <cellStyle name="Calculation 2 3 18 2" xfId="11330" xr:uid="{058B4365-83F7-47D6-95E2-EF962424F41B}"/>
    <cellStyle name="Calculation 2 3 18 2 2" xfId="13975" xr:uid="{70C1726A-C8A4-4ADC-AAB4-83F6B1494462}"/>
    <cellStyle name="Calculation 2 3 18 2 3" xfId="13976" xr:uid="{2F7BE832-A6D7-4F94-93FC-4F17217E4DE3}"/>
    <cellStyle name="Calculation 2 3 18 2 4" xfId="13977" xr:uid="{0F2E28A6-E72F-43C1-A79C-C752B425454E}"/>
    <cellStyle name="Calculation 2 3 18 2 5" xfId="13978" xr:uid="{C784C82E-4FDF-4501-A1B4-87C7D6018C99}"/>
    <cellStyle name="Calculation 2 3 18 2 6" xfId="13979" xr:uid="{9B9E6E8F-0D9E-4CF7-A1FD-766910868260}"/>
    <cellStyle name="Calculation 2 3 18 3" xfId="13980" xr:uid="{C8AC910E-FABA-4C1A-81EA-BF71A5F54AB3}"/>
    <cellStyle name="Calculation 2 3 18 4" xfId="13981" xr:uid="{2CC2A7F0-6989-4209-8D2A-0C577DADC626}"/>
    <cellStyle name="Calculation 2 3 18 5" xfId="13982" xr:uid="{92E55295-712D-4F3E-B222-5ADEA53C6DF6}"/>
    <cellStyle name="Calculation 2 3 18 6" xfId="13983" xr:uid="{8919114A-1638-4DB6-8B05-E9239752EF30}"/>
    <cellStyle name="Calculation 2 3 18 7" xfId="13984" xr:uid="{FFEB9A2A-1B08-4E54-957A-AB2476CE9968}"/>
    <cellStyle name="Calculation 2 3 19" xfId="248" xr:uid="{B00E3E79-E72E-4187-A9F5-6C9A8DE7FFEB}"/>
    <cellStyle name="Calculation 2 3 19 2" xfId="11416" xr:uid="{07DDB779-C1D6-4A8C-A231-29E8D587D4FC}"/>
    <cellStyle name="Calculation 2 3 19 2 2" xfId="13985" xr:uid="{D3CBE94B-C521-4926-85B1-DBDEA64C3EE2}"/>
    <cellStyle name="Calculation 2 3 19 2 3" xfId="13986" xr:uid="{2A071980-20ED-4CD9-8D33-8686306C015A}"/>
    <cellStyle name="Calculation 2 3 19 2 4" xfId="13987" xr:uid="{12787830-21DB-48B3-9461-F284DFE9356D}"/>
    <cellStyle name="Calculation 2 3 19 2 5" xfId="13988" xr:uid="{E61B927A-2DF4-4D89-9B6C-2ECDBABEC5F5}"/>
    <cellStyle name="Calculation 2 3 19 2 6" xfId="13989" xr:uid="{D095C2DF-89EA-4338-8175-B465C6899AD6}"/>
    <cellStyle name="Calculation 2 3 19 3" xfId="13990" xr:uid="{46EE2492-2678-443F-AA16-D72A65075BF8}"/>
    <cellStyle name="Calculation 2 3 19 4" xfId="13991" xr:uid="{88D37795-5182-49E5-9515-E39FFF9A38A9}"/>
    <cellStyle name="Calculation 2 3 19 5" xfId="13992" xr:uid="{9E6A69C7-C527-482B-9AE4-A61BD11FFE04}"/>
    <cellStyle name="Calculation 2 3 19 6" xfId="13993" xr:uid="{1AF7DFB8-833B-4099-9269-D6412A347477}"/>
    <cellStyle name="Calculation 2 3 19 7" xfId="13994" xr:uid="{56967A16-0519-4698-B968-87AE6645B4EB}"/>
    <cellStyle name="Calculation 2 3 2" xfId="249" xr:uid="{46E83C3F-C25D-47B7-9E3C-D57F124E809F}"/>
    <cellStyle name="Calculation 2 3 2 10" xfId="250" xr:uid="{F33324BA-8284-49E3-AB67-94E03FEC78AB}"/>
    <cellStyle name="Calculation 2 3 2 10 2" xfId="10747" xr:uid="{046BAFC9-49D2-48F9-A559-774A705D7A74}"/>
    <cellStyle name="Calculation 2 3 2 10 2 2" xfId="13995" xr:uid="{795B7906-6105-4FA3-9EED-45583E199B48}"/>
    <cellStyle name="Calculation 2 3 2 10 2 3" xfId="13996" xr:uid="{DC014B39-059D-4622-ABA5-47EB96E7D92F}"/>
    <cellStyle name="Calculation 2 3 2 10 2 4" xfId="13997" xr:uid="{1D33463F-DADA-4072-87C9-818BA046320D}"/>
    <cellStyle name="Calculation 2 3 2 10 2 5" xfId="13998" xr:uid="{622B072F-9208-4BD3-89EA-B5BDABBD23ED}"/>
    <cellStyle name="Calculation 2 3 2 10 2 6" xfId="13999" xr:uid="{67878DB2-D292-4814-8428-E1CCCDC13B5B}"/>
    <cellStyle name="Calculation 2 3 2 10 3" xfId="14000" xr:uid="{E2A4CB74-6135-4FE6-8BE4-8FD0015527D9}"/>
    <cellStyle name="Calculation 2 3 2 10 4" xfId="14001" xr:uid="{135B68B1-AC59-4724-9B54-B6D8EB5C7E72}"/>
    <cellStyle name="Calculation 2 3 2 10 5" xfId="14002" xr:uid="{A52C1354-5F41-49F1-B57F-E4C130C14758}"/>
    <cellStyle name="Calculation 2 3 2 10 6" xfId="14003" xr:uid="{1AE46668-5749-40B1-9138-7F22818FC34D}"/>
    <cellStyle name="Calculation 2 3 2 10 7" xfId="14004" xr:uid="{9A1BA3FC-3E75-4AB5-B675-0A43F87E2060}"/>
    <cellStyle name="Calculation 2 3 2 11" xfId="251" xr:uid="{CD6C2B88-585D-4B13-9FAF-2696B788A6E6}"/>
    <cellStyle name="Calculation 2 3 2 11 2" xfId="10835" xr:uid="{86A19EFF-8654-4E72-8BAB-1949B2B0995A}"/>
    <cellStyle name="Calculation 2 3 2 11 2 2" xfId="14005" xr:uid="{26FD63CD-62B2-4A8A-AEBD-F2621140770B}"/>
    <cellStyle name="Calculation 2 3 2 11 2 3" xfId="14006" xr:uid="{C53AC707-B261-4545-9870-E5C3C1F1C292}"/>
    <cellStyle name="Calculation 2 3 2 11 2 4" xfId="14007" xr:uid="{D503AEBD-0CBC-4F91-B4E4-A6708E3F8289}"/>
    <cellStyle name="Calculation 2 3 2 11 2 5" xfId="14008" xr:uid="{BC19010A-0EFA-4F3B-95A1-A74D0ED1BAED}"/>
    <cellStyle name="Calculation 2 3 2 11 2 6" xfId="14009" xr:uid="{504B473D-2685-433C-8B52-740FEE0FF02B}"/>
    <cellStyle name="Calculation 2 3 2 11 3" xfId="14010" xr:uid="{C4B1F2D5-C352-41E5-8C9F-97CF4BFE6E49}"/>
    <cellStyle name="Calculation 2 3 2 11 4" xfId="14011" xr:uid="{3998E3C0-4DD4-4C03-941E-34A349BADE65}"/>
    <cellStyle name="Calculation 2 3 2 11 5" xfId="14012" xr:uid="{33C1DB55-780F-47DE-9703-A5ACE1B9818F}"/>
    <cellStyle name="Calculation 2 3 2 11 6" xfId="14013" xr:uid="{0ECFFA98-E0A8-438A-BD9F-88EB284C5C22}"/>
    <cellStyle name="Calculation 2 3 2 11 7" xfId="14014" xr:uid="{2777DBBD-EFC9-4547-9775-D1344F21BC0C}"/>
    <cellStyle name="Calculation 2 3 2 12" xfId="252" xr:uid="{DC78BD29-150B-4509-8171-ED53A452CF88}"/>
    <cellStyle name="Calculation 2 3 2 12 2" xfId="10924" xr:uid="{A0481487-C96B-47B5-8726-A273516323C1}"/>
    <cellStyle name="Calculation 2 3 2 12 2 2" xfId="14015" xr:uid="{67B51579-F95E-4788-AA49-ADDC5548D2B0}"/>
    <cellStyle name="Calculation 2 3 2 12 2 3" xfId="14016" xr:uid="{5D1F30AC-2372-4460-9652-B8B1B613BA13}"/>
    <cellStyle name="Calculation 2 3 2 12 2 4" xfId="14017" xr:uid="{65F7C625-04E0-4E9B-9F49-59BE4A0E9C92}"/>
    <cellStyle name="Calculation 2 3 2 12 2 5" xfId="14018" xr:uid="{60D1E404-FE84-4FE5-B755-CAEE13CD8FC9}"/>
    <cellStyle name="Calculation 2 3 2 12 2 6" xfId="14019" xr:uid="{1748D481-01BC-4403-A20F-B62A74153E1D}"/>
    <cellStyle name="Calculation 2 3 2 12 3" xfId="14020" xr:uid="{E884A1CC-D6ED-4CF8-9A95-AF4009C11B45}"/>
    <cellStyle name="Calculation 2 3 2 12 4" xfId="14021" xr:uid="{A87BD9A3-BA38-40CC-A11C-BF74D8E31F22}"/>
    <cellStyle name="Calculation 2 3 2 12 5" xfId="14022" xr:uid="{F4D204A0-631F-43A6-8F24-36836BA71A7F}"/>
    <cellStyle name="Calculation 2 3 2 12 6" xfId="14023" xr:uid="{8A3D76F2-E332-46F1-B222-E9993F5B485C}"/>
    <cellStyle name="Calculation 2 3 2 12 7" xfId="14024" xr:uid="{93AB2B44-15CF-4F0E-BF80-89DB67D46F28}"/>
    <cellStyle name="Calculation 2 3 2 13" xfId="253" xr:uid="{B24E5DE6-2F28-4AA4-94AB-F7838929C95A}"/>
    <cellStyle name="Calculation 2 3 2 13 2" xfId="11014" xr:uid="{F0DE6077-05B4-4ED0-9FAF-A424A981222D}"/>
    <cellStyle name="Calculation 2 3 2 13 2 2" xfId="14025" xr:uid="{52B5570D-FB87-43C7-9716-CF6D14F5E02E}"/>
    <cellStyle name="Calculation 2 3 2 13 2 3" xfId="14026" xr:uid="{90968D0C-2C62-40E8-B3CD-C635F22FA0EC}"/>
    <cellStyle name="Calculation 2 3 2 13 2 4" xfId="14027" xr:uid="{7D7A3AC9-5FA6-44EE-A8DE-07D16847EEE7}"/>
    <cellStyle name="Calculation 2 3 2 13 2 5" xfId="14028" xr:uid="{DDF03D04-0F2C-4BE6-B0BA-94CA021E7F84}"/>
    <cellStyle name="Calculation 2 3 2 13 2 6" xfId="14029" xr:uid="{F9E82D6A-CC79-4A54-B430-024A8A99FFA2}"/>
    <cellStyle name="Calculation 2 3 2 13 3" xfId="14030" xr:uid="{EF69E9FB-7714-4D87-80D8-B85B1B0DE531}"/>
    <cellStyle name="Calculation 2 3 2 13 4" xfId="14031" xr:uid="{7167A88A-5D5E-46C8-A750-D74514A89F3E}"/>
    <cellStyle name="Calculation 2 3 2 13 5" xfId="14032" xr:uid="{63154AC8-B835-4279-B806-2D3769645C9F}"/>
    <cellStyle name="Calculation 2 3 2 13 6" xfId="14033" xr:uid="{EB87E73D-4FFD-419F-84BB-6AC1C3AE9F73}"/>
    <cellStyle name="Calculation 2 3 2 13 7" xfId="14034" xr:uid="{27F82B86-5CFD-4178-BF19-D18EF622704E}"/>
    <cellStyle name="Calculation 2 3 2 14" xfId="254" xr:uid="{6166CD49-4EB2-4431-A08A-12EEA1BA0311}"/>
    <cellStyle name="Calculation 2 3 2 14 2" xfId="11104" xr:uid="{B60DFE1D-0C19-4919-8608-EF3897E590B9}"/>
    <cellStyle name="Calculation 2 3 2 14 2 2" xfId="14035" xr:uid="{D523ED78-FF3B-4212-BE22-E90ABE9442C3}"/>
    <cellStyle name="Calculation 2 3 2 14 2 3" xfId="14036" xr:uid="{31BB6C38-BC72-41A6-865B-FE5E0F90332B}"/>
    <cellStyle name="Calculation 2 3 2 14 2 4" xfId="14037" xr:uid="{5A6B7162-DFDD-482D-AF0E-C902EA541021}"/>
    <cellStyle name="Calculation 2 3 2 14 2 5" xfId="14038" xr:uid="{9E11D32F-C64C-4312-8ACA-B9A9F5EE2DB6}"/>
    <cellStyle name="Calculation 2 3 2 14 2 6" xfId="14039" xr:uid="{9D876B34-5DE5-452F-AF1F-C8D579AE2F76}"/>
    <cellStyle name="Calculation 2 3 2 14 3" xfId="14040" xr:uid="{88B650FB-71DF-4D8F-8163-87ADA11ACB7D}"/>
    <cellStyle name="Calculation 2 3 2 14 4" xfId="14041" xr:uid="{D8E59032-5A70-4189-BFF1-10A76A86E805}"/>
    <cellStyle name="Calculation 2 3 2 14 5" xfId="14042" xr:uid="{55AADCEA-DACB-4AD2-BCF9-32735FF82B60}"/>
    <cellStyle name="Calculation 2 3 2 14 6" xfId="14043" xr:uid="{E57AC4CF-8A5E-4648-AE60-AA8CD7C57C5C}"/>
    <cellStyle name="Calculation 2 3 2 14 7" xfId="14044" xr:uid="{4F2108E9-EC9B-43A6-B700-B99D827442AF}"/>
    <cellStyle name="Calculation 2 3 2 15" xfId="255" xr:uid="{CBA33B1B-F06E-445B-B516-7E21756B5E5E}"/>
    <cellStyle name="Calculation 2 3 2 15 2" xfId="11187" xr:uid="{3FB6CF08-1665-4412-B417-98BAAC5DF1BE}"/>
    <cellStyle name="Calculation 2 3 2 15 2 2" xfId="14045" xr:uid="{99E1E67A-D538-4BF9-BE8A-7034445908DA}"/>
    <cellStyle name="Calculation 2 3 2 15 2 3" xfId="14046" xr:uid="{BF9E1CAE-10E8-45D3-BAA5-4779863FD154}"/>
    <cellStyle name="Calculation 2 3 2 15 2 4" xfId="14047" xr:uid="{C409C436-56F5-47FB-8AD9-F8E7AE7556AF}"/>
    <cellStyle name="Calculation 2 3 2 15 2 5" xfId="14048" xr:uid="{088BD5FE-F448-479D-B1EE-BB682A638998}"/>
    <cellStyle name="Calculation 2 3 2 15 2 6" xfId="14049" xr:uid="{3F7A8F00-8BFB-45CB-AC32-56208F0B6086}"/>
    <cellStyle name="Calculation 2 3 2 15 3" xfId="14050" xr:uid="{B062FFA4-B79D-4EE8-B7A2-4DE456583CDE}"/>
    <cellStyle name="Calculation 2 3 2 15 4" xfId="14051" xr:uid="{8DC9201B-B101-4F6E-A9D7-54C83A217487}"/>
    <cellStyle name="Calculation 2 3 2 15 5" xfId="14052" xr:uid="{DF3323E4-4873-404A-B244-B77A650B8CED}"/>
    <cellStyle name="Calculation 2 3 2 15 6" xfId="14053" xr:uid="{1478A66F-9923-4645-8456-80F2B1E906FA}"/>
    <cellStyle name="Calculation 2 3 2 15 7" xfId="14054" xr:uid="{5F708D32-1001-4343-9BE6-35F46490BF30}"/>
    <cellStyle name="Calculation 2 3 2 16" xfId="256" xr:uid="{D050581E-BA70-4E17-B1FC-21C2ACC2D98C}"/>
    <cellStyle name="Calculation 2 3 2 16 2" xfId="11277" xr:uid="{C20D6190-B343-4B52-BF01-485CD912690D}"/>
    <cellStyle name="Calculation 2 3 2 16 2 2" xfId="14055" xr:uid="{C19365A4-1F77-4076-97EE-513839D810FF}"/>
    <cellStyle name="Calculation 2 3 2 16 2 3" xfId="14056" xr:uid="{602A7E50-146F-4479-85EF-D56A8E2A851C}"/>
    <cellStyle name="Calculation 2 3 2 16 2 4" xfId="14057" xr:uid="{29E3BE72-3307-4E5C-A889-53099BC289EB}"/>
    <cellStyle name="Calculation 2 3 2 16 2 5" xfId="14058" xr:uid="{77532654-C343-4339-B498-234A050228B3}"/>
    <cellStyle name="Calculation 2 3 2 16 2 6" xfId="14059" xr:uid="{A86CF8F0-A05E-4CEC-9076-3E2B6226C603}"/>
    <cellStyle name="Calculation 2 3 2 16 3" xfId="14060" xr:uid="{61891DA3-6A06-43AD-9189-0949F7AE5351}"/>
    <cellStyle name="Calculation 2 3 2 16 4" xfId="14061" xr:uid="{C7B67C43-27ED-46BB-8B55-4DA680CAB827}"/>
    <cellStyle name="Calculation 2 3 2 16 5" xfId="14062" xr:uid="{26AA7759-DE74-4620-A863-FE57D4A53871}"/>
    <cellStyle name="Calculation 2 3 2 16 6" xfId="14063" xr:uid="{5E000D3D-1837-4FC6-9657-C805D91B8070}"/>
    <cellStyle name="Calculation 2 3 2 16 7" xfId="14064" xr:uid="{03D7836A-A3DB-40D6-BEB2-EEF0D00812E5}"/>
    <cellStyle name="Calculation 2 3 2 17" xfId="257" xr:uid="{0F80E092-131C-4757-8D3E-313369A699F4}"/>
    <cellStyle name="Calculation 2 3 2 17 2" xfId="11363" xr:uid="{D6B92069-6573-41E5-89F5-6ABAE807B2F1}"/>
    <cellStyle name="Calculation 2 3 2 17 2 2" xfId="14065" xr:uid="{71603B6F-F7B4-4EAC-85BB-28B062D314B5}"/>
    <cellStyle name="Calculation 2 3 2 17 2 3" xfId="14066" xr:uid="{E3E1C9BE-18ED-4910-8DFC-C445CF7FC82C}"/>
    <cellStyle name="Calculation 2 3 2 17 2 4" xfId="14067" xr:uid="{DAA12B65-0E1B-4A05-9F94-2F244C70AAE0}"/>
    <cellStyle name="Calculation 2 3 2 17 2 5" xfId="14068" xr:uid="{40EBD38D-6D54-4600-87AE-C656B57B4FE2}"/>
    <cellStyle name="Calculation 2 3 2 17 2 6" xfId="14069" xr:uid="{7B53B43B-7B40-42B7-A31A-60326604D8D8}"/>
    <cellStyle name="Calculation 2 3 2 17 3" xfId="14070" xr:uid="{7A8B936B-A848-4A65-A7BE-B198A7BE41C6}"/>
    <cellStyle name="Calculation 2 3 2 17 4" xfId="14071" xr:uid="{CBF5E5D6-45A0-4657-9D17-B4F4FD721600}"/>
    <cellStyle name="Calculation 2 3 2 17 5" xfId="14072" xr:uid="{43BE92DA-E277-4498-A890-94CE9D9F31F3}"/>
    <cellStyle name="Calculation 2 3 2 17 6" xfId="14073" xr:uid="{961B695B-643A-4660-A764-F8AF9113A241}"/>
    <cellStyle name="Calculation 2 3 2 17 7" xfId="14074" xr:uid="{CDB4A71C-7930-4D80-9B53-CA4A0CDDD93B}"/>
    <cellStyle name="Calculation 2 3 2 18" xfId="258" xr:uid="{2546C63F-FE7A-4AC8-824E-BE8BF367B44E}"/>
    <cellStyle name="Calculation 2 3 2 18 2" xfId="11450" xr:uid="{DDCCF8E1-6211-4ADB-AD61-C158ACE22BEC}"/>
    <cellStyle name="Calculation 2 3 2 18 2 2" xfId="14075" xr:uid="{69F62E27-99A4-4F46-818B-C5C0B56258E8}"/>
    <cellStyle name="Calculation 2 3 2 18 2 3" xfId="14076" xr:uid="{CB89CAF1-AB60-47FA-A924-AFF7B3F23C9E}"/>
    <cellStyle name="Calculation 2 3 2 18 2 4" xfId="14077" xr:uid="{EAB1B69C-907E-40C5-9C56-D08FF84686A1}"/>
    <cellStyle name="Calculation 2 3 2 18 2 5" xfId="14078" xr:uid="{D72E5F41-2E17-4E75-B157-359932B93D69}"/>
    <cellStyle name="Calculation 2 3 2 18 2 6" xfId="14079" xr:uid="{E13B0F74-5A78-4577-AFCA-572DF8AEE3E1}"/>
    <cellStyle name="Calculation 2 3 2 18 3" xfId="14080" xr:uid="{EDA3B91F-726F-4E65-9740-7523BB25AEAA}"/>
    <cellStyle name="Calculation 2 3 2 18 4" xfId="14081" xr:uid="{C20FD002-B0B4-4266-A9CC-AB7DEFD01609}"/>
    <cellStyle name="Calculation 2 3 2 18 5" xfId="14082" xr:uid="{47307536-611A-4602-85CD-0A736FF3D247}"/>
    <cellStyle name="Calculation 2 3 2 18 6" xfId="14083" xr:uid="{BA53899F-2DE2-46D8-8A16-36E70E0EC3F3}"/>
    <cellStyle name="Calculation 2 3 2 18 7" xfId="14084" xr:uid="{31F4B785-5D49-4DF0-B986-966249D20259}"/>
    <cellStyle name="Calculation 2 3 2 19" xfId="259" xr:uid="{07B0D6D6-BB53-4DB1-84AE-AAAD492ECC8D}"/>
    <cellStyle name="Calculation 2 3 2 19 2" xfId="11537" xr:uid="{1A4D5F91-5CBC-44B3-B389-0C6BB41FB4D3}"/>
    <cellStyle name="Calculation 2 3 2 19 2 2" xfId="14085" xr:uid="{2FB9947A-91FF-4319-8272-53E83DA1E232}"/>
    <cellStyle name="Calculation 2 3 2 19 2 3" xfId="14086" xr:uid="{F034DB6C-3FCC-44BB-9ED7-ABADC6E0331A}"/>
    <cellStyle name="Calculation 2 3 2 19 2 4" xfId="14087" xr:uid="{5A7A9CAD-A0F3-439E-9238-2F785C4E2632}"/>
    <cellStyle name="Calculation 2 3 2 19 2 5" xfId="14088" xr:uid="{EFC7BABD-C051-49E5-B4C8-F20CD00F2E1C}"/>
    <cellStyle name="Calculation 2 3 2 19 2 6" xfId="14089" xr:uid="{FB1652B4-0853-4C57-82E1-DEEE51020F5B}"/>
    <cellStyle name="Calculation 2 3 2 19 3" xfId="14090" xr:uid="{A9BDB767-3288-4375-B52D-35054F40B950}"/>
    <cellStyle name="Calculation 2 3 2 19 4" xfId="14091" xr:uid="{6BC41551-DCDE-44D1-A4F7-687B5669EB31}"/>
    <cellStyle name="Calculation 2 3 2 19 5" xfId="14092" xr:uid="{352E045A-FA8D-4EA8-96FA-112AC7C7C5C3}"/>
    <cellStyle name="Calculation 2 3 2 19 6" xfId="14093" xr:uid="{FF45A8BA-8D54-44D0-A4FD-7C36A1149A9E}"/>
    <cellStyle name="Calculation 2 3 2 19 7" xfId="14094" xr:uid="{AA9C42A6-5B2F-4CDC-BC16-8B4BE3ADD2E7}"/>
    <cellStyle name="Calculation 2 3 2 2" xfId="260" xr:uid="{069376E2-A3F4-48E7-8FB6-65DE04728F32}"/>
    <cellStyle name="Calculation 2 3 2 2 2" xfId="10044" xr:uid="{6FF2C723-73E7-4134-B164-041F8AC3FE7B}"/>
    <cellStyle name="Calculation 2 3 2 2 2 2" xfId="14095" xr:uid="{38C8AE79-4D31-4FC4-B4AD-D8851D695E96}"/>
    <cellStyle name="Calculation 2 3 2 2 2 3" xfId="14096" xr:uid="{2D6CB3A3-1680-48F7-B887-BF36B0B1719E}"/>
    <cellStyle name="Calculation 2 3 2 2 2 4" xfId="14097" xr:uid="{7397BC6F-195A-491A-B6AB-4F74A1BDAB0A}"/>
    <cellStyle name="Calculation 2 3 2 2 2 5" xfId="14098" xr:uid="{18560ECF-960F-4743-AC2E-84BF11AFBB3D}"/>
    <cellStyle name="Calculation 2 3 2 2 2 6" xfId="14099" xr:uid="{AD5C6461-6FE0-442E-8880-0F0A10138B08}"/>
    <cellStyle name="Calculation 2 3 2 2 3" xfId="14100" xr:uid="{BDCB9095-D920-4474-9369-EA01C8279380}"/>
    <cellStyle name="Calculation 2 3 2 2 4" xfId="14101" xr:uid="{8EAA7DDC-B749-4C17-93AD-188A802F7679}"/>
    <cellStyle name="Calculation 2 3 2 2 5" xfId="14102" xr:uid="{5EF46F63-20B7-46A6-9A71-8D76E8ADC737}"/>
    <cellStyle name="Calculation 2 3 2 2 6" xfId="14103" xr:uid="{6AC50187-029F-4B20-924B-A5E776C2C734}"/>
    <cellStyle name="Calculation 2 3 2 2 7" xfId="14104" xr:uid="{2E99D330-B7AF-4936-9B19-A595D4289BB5}"/>
    <cellStyle name="Calculation 2 3 2 20" xfId="261" xr:uid="{E5FDFF4B-CB87-49C3-BFBE-48938C643175}"/>
    <cellStyle name="Calculation 2 3 2 20 2" xfId="11625" xr:uid="{4CFA4FD0-7759-47C3-9B99-45CC330419ED}"/>
    <cellStyle name="Calculation 2 3 2 20 2 2" xfId="14105" xr:uid="{E27C737E-81BF-4263-A709-6FEC53263417}"/>
    <cellStyle name="Calculation 2 3 2 20 2 3" xfId="14106" xr:uid="{78040EFE-2E9E-4298-8481-64D461044EB8}"/>
    <cellStyle name="Calculation 2 3 2 20 2 4" xfId="14107" xr:uid="{E32EB0A0-142D-4BC6-BD57-0ABA68C250D0}"/>
    <cellStyle name="Calculation 2 3 2 20 2 5" xfId="14108" xr:uid="{DF2E5246-84BF-4F00-955E-4A11A8044D41}"/>
    <cellStyle name="Calculation 2 3 2 20 2 6" xfId="14109" xr:uid="{BEAEA85F-DD14-4021-AC6D-3E98D341E45A}"/>
    <cellStyle name="Calculation 2 3 2 20 3" xfId="14110" xr:uid="{AE3F3AA0-73FF-4791-8C0B-F2E87ADD81BE}"/>
    <cellStyle name="Calculation 2 3 2 20 4" xfId="14111" xr:uid="{A031665D-026B-41AB-B589-7B8D195566FD}"/>
    <cellStyle name="Calculation 2 3 2 20 5" xfId="14112" xr:uid="{B3202D35-97FD-40F7-839B-584F3B3D1CEA}"/>
    <cellStyle name="Calculation 2 3 2 20 6" xfId="14113" xr:uid="{6E0E6BF5-FC69-4ED4-88BE-59FF9750CF27}"/>
    <cellStyle name="Calculation 2 3 2 20 7" xfId="14114" xr:uid="{18DAD35E-2642-4A5E-8BE4-FCD5ED1F24FA}"/>
    <cellStyle name="Calculation 2 3 2 21" xfId="262" xr:uid="{25BDA0D4-6A89-4BAA-8036-ABD9BE2ABCFF}"/>
    <cellStyle name="Calculation 2 3 2 21 2" xfId="11709" xr:uid="{B3C3E3CE-2A16-40CB-8524-2E4DD241A416}"/>
    <cellStyle name="Calculation 2 3 2 21 2 2" xfId="14115" xr:uid="{D04F795F-6ACB-476E-AC66-34C732684C2B}"/>
    <cellStyle name="Calculation 2 3 2 21 2 3" xfId="14116" xr:uid="{FF805778-4039-4C81-A669-DAC79DE2720B}"/>
    <cellStyle name="Calculation 2 3 2 21 2 4" xfId="14117" xr:uid="{19D22064-7723-4FDA-89D1-C6669BADB6AD}"/>
    <cellStyle name="Calculation 2 3 2 21 2 5" xfId="14118" xr:uid="{D08424E4-A6CE-4470-AE16-D35F752026A0}"/>
    <cellStyle name="Calculation 2 3 2 21 2 6" xfId="14119" xr:uid="{C6D5F96F-4E21-462B-91E2-5484DCA310E5}"/>
    <cellStyle name="Calculation 2 3 2 21 3" xfId="14120" xr:uid="{F583C78D-EE41-4C7A-99D9-E0CA1CC6E667}"/>
    <cellStyle name="Calculation 2 3 2 21 4" xfId="14121" xr:uid="{E44CAAE9-13B8-461F-803C-6BD222CE0345}"/>
    <cellStyle name="Calculation 2 3 2 21 5" xfId="14122" xr:uid="{BDC44755-115F-4F5A-A5E6-890AFC9CEB3D}"/>
    <cellStyle name="Calculation 2 3 2 21 6" xfId="14123" xr:uid="{9CBAEC8D-05EA-4C98-BCEB-CEB91E325598}"/>
    <cellStyle name="Calculation 2 3 2 21 7" xfId="14124" xr:uid="{64934A8E-171E-4059-8D5F-853A5CEDD577}"/>
    <cellStyle name="Calculation 2 3 2 22" xfId="263" xr:uid="{53DF868C-D513-4F76-BB2D-2C302C391D97}"/>
    <cellStyle name="Calculation 2 3 2 22 2" xfId="11792" xr:uid="{35C776B2-C130-449C-BF7F-32CA25611ACE}"/>
    <cellStyle name="Calculation 2 3 2 22 2 2" xfId="14125" xr:uid="{B5B47A62-7D87-4644-B6EC-0670EC986FAA}"/>
    <cellStyle name="Calculation 2 3 2 22 2 3" xfId="14126" xr:uid="{3809E2B3-C6D0-4337-B99D-912E0473A3C8}"/>
    <cellStyle name="Calculation 2 3 2 22 2 4" xfId="14127" xr:uid="{BE949464-B780-43BA-9619-1927238F15C3}"/>
    <cellStyle name="Calculation 2 3 2 22 2 5" xfId="14128" xr:uid="{77794039-B5C7-46D5-AF74-34682DCF83B2}"/>
    <cellStyle name="Calculation 2 3 2 22 2 6" xfId="14129" xr:uid="{219E1F13-EEED-43B8-900B-32E5B89C883E}"/>
    <cellStyle name="Calculation 2 3 2 22 3" xfId="14130" xr:uid="{46F6D283-758C-4B6E-A81B-97326CF94A23}"/>
    <cellStyle name="Calculation 2 3 2 22 4" xfId="14131" xr:uid="{5B3EE719-BEF0-483D-8EF6-28AE160567A5}"/>
    <cellStyle name="Calculation 2 3 2 22 5" xfId="14132" xr:uid="{7B4F21B3-15AD-4806-9C67-C8FE7C978FD6}"/>
    <cellStyle name="Calculation 2 3 2 22 6" xfId="14133" xr:uid="{1A1FE10B-6591-4833-9930-CC8FF052C94F}"/>
    <cellStyle name="Calculation 2 3 2 22 7" xfId="14134" xr:uid="{111AF1FE-0E47-4AB6-822B-C78F6D339FD2}"/>
    <cellStyle name="Calculation 2 3 2 23" xfId="264" xr:uid="{D270C26F-2B57-46CF-B768-031D5C2B38C4}"/>
    <cellStyle name="Calculation 2 3 2 23 2" xfId="11875" xr:uid="{697FE5B6-5386-469B-AE90-3BFE8146F025}"/>
    <cellStyle name="Calculation 2 3 2 23 2 2" xfId="14135" xr:uid="{4840508C-31AE-4295-8F12-221DA169D909}"/>
    <cellStyle name="Calculation 2 3 2 23 2 3" xfId="14136" xr:uid="{469CB0B2-309D-4B8C-9F17-9002ACC80779}"/>
    <cellStyle name="Calculation 2 3 2 23 2 4" xfId="14137" xr:uid="{188E7997-0749-4CA1-BD3D-04E36563B731}"/>
    <cellStyle name="Calculation 2 3 2 23 2 5" xfId="14138" xr:uid="{0D790473-2E89-4315-BA2E-F6CCC5D6FCAF}"/>
    <cellStyle name="Calculation 2 3 2 23 2 6" xfId="14139" xr:uid="{D4C20BB8-22DB-4452-9830-3391A8893790}"/>
    <cellStyle name="Calculation 2 3 2 23 3" xfId="14140" xr:uid="{A84BC290-56C2-45A7-9189-D52A313CFD78}"/>
    <cellStyle name="Calculation 2 3 2 23 4" xfId="14141" xr:uid="{D3D32FB3-7094-4810-BFEB-5F4EFF0169DE}"/>
    <cellStyle name="Calculation 2 3 2 23 5" xfId="14142" xr:uid="{A9D4DDE5-8F55-4C6A-AA75-8C18578297CC}"/>
    <cellStyle name="Calculation 2 3 2 23 6" xfId="14143" xr:uid="{1C2832BA-D13E-4B7D-AB4F-9209CCB9490D}"/>
    <cellStyle name="Calculation 2 3 2 23 7" xfId="14144" xr:uid="{E540464A-98D0-4612-BE80-0D002C00EE79}"/>
    <cellStyle name="Calculation 2 3 2 24" xfId="265" xr:uid="{1B7701CE-5413-4F28-80E3-504C42623756}"/>
    <cellStyle name="Calculation 2 3 2 24 2" xfId="11959" xr:uid="{23D1A0DB-2967-4AE7-A9E8-DF6337089840}"/>
    <cellStyle name="Calculation 2 3 2 24 2 2" xfId="14145" xr:uid="{AB150F38-ECC1-44A3-B1C2-8A1148175DE9}"/>
    <cellStyle name="Calculation 2 3 2 24 2 3" xfId="14146" xr:uid="{484C6532-D66C-427E-83EE-64448A73DC61}"/>
    <cellStyle name="Calculation 2 3 2 24 2 4" xfId="14147" xr:uid="{FD4CA0CD-12DF-4A00-8A68-128E6A31639C}"/>
    <cellStyle name="Calculation 2 3 2 24 2 5" xfId="14148" xr:uid="{2C421E63-6502-4AAD-8054-703B4055FABA}"/>
    <cellStyle name="Calculation 2 3 2 24 2 6" xfId="14149" xr:uid="{544CDD90-CAD4-4E15-9ED9-1DA2F69C892C}"/>
    <cellStyle name="Calculation 2 3 2 24 3" xfId="14150" xr:uid="{06223A9D-881C-4F05-9554-7DF322005BA0}"/>
    <cellStyle name="Calculation 2 3 2 24 4" xfId="14151" xr:uid="{150DF181-08D1-49FE-B5B4-60B0515562DF}"/>
    <cellStyle name="Calculation 2 3 2 24 5" xfId="14152" xr:uid="{333BADB0-6FBD-4151-A33D-5803CF338E58}"/>
    <cellStyle name="Calculation 2 3 2 24 6" xfId="14153" xr:uid="{F717527B-149F-4DE9-933F-87B5BAF86829}"/>
    <cellStyle name="Calculation 2 3 2 24 7" xfId="14154" xr:uid="{187B2D90-5531-40A7-9E80-6C40604B01B6}"/>
    <cellStyle name="Calculation 2 3 2 25" xfId="266" xr:uid="{854EF2B9-F868-4B27-A215-37BAB08B0884}"/>
    <cellStyle name="Calculation 2 3 2 25 2" xfId="12042" xr:uid="{EA1B1F1B-7BED-4EA0-A1C3-BDF9957FD521}"/>
    <cellStyle name="Calculation 2 3 2 25 2 2" xfId="14155" xr:uid="{F18FFF05-012B-4717-B342-D3566789E8F9}"/>
    <cellStyle name="Calculation 2 3 2 25 2 3" xfId="14156" xr:uid="{2DA3A40A-8E09-44BA-A9AE-BC378E9EE046}"/>
    <cellStyle name="Calculation 2 3 2 25 2 4" xfId="14157" xr:uid="{A17C5680-C7B3-462D-8C67-A0504AD2F841}"/>
    <cellStyle name="Calculation 2 3 2 25 2 5" xfId="14158" xr:uid="{3F51A52C-DE04-47CA-AF8A-292D961216DA}"/>
    <cellStyle name="Calculation 2 3 2 25 2 6" xfId="14159" xr:uid="{E5CD09B7-34CA-4E93-A34F-7633702826F8}"/>
    <cellStyle name="Calculation 2 3 2 25 3" xfId="14160" xr:uid="{DA05957C-EAAA-4CA9-B2A4-4C16CE3129F9}"/>
    <cellStyle name="Calculation 2 3 2 25 4" xfId="14161" xr:uid="{9230A26B-5BCF-40F6-AB2B-3FF7E14D168C}"/>
    <cellStyle name="Calculation 2 3 2 25 5" xfId="14162" xr:uid="{DBCD233F-C5A9-4B61-BDE2-A81ED4B3A447}"/>
    <cellStyle name="Calculation 2 3 2 25 6" xfId="14163" xr:uid="{0BEA52D7-43F0-412C-B0FB-6AD7B527AEFA}"/>
    <cellStyle name="Calculation 2 3 2 25 7" xfId="14164" xr:uid="{7C7AF11C-3D69-4292-9FF3-DABB882D5B99}"/>
    <cellStyle name="Calculation 2 3 2 26" xfId="267" xr:uid="{1E543825-CFF2-4C3F-A5CE-6021245E8834}"/>
    <cellStyle name="Calculation 2 3 2 26 2" xfId="12125" xr:uid="{345AFBD0-BFF9-4574-8834-8B6DFF7439BA}"/>
    <cellStyle name="Calculation 2 3 2 26 2 2" xfId="14165" xr:uid="{81EB657B-BB38-4213-B312-3197B0E6725F}"/>
    <cellStyle name="Calculation 2 3 2 26 2 3" xfId="14166" xr:uid="{14307744-C0E6-4F25-A4F2-DB6FD652E38D}"/>
    <cellStyle name="Calculation 2 3 2 26 2 4" xfId="14167" xr:uid="{478FB433-7404-430A-AE4C-32ADD5417930}"/>
    <cellStyle name="Calculation 2 3 2 26 2 5" xfId="14168" xr:uid="{FAC437FE-2B0C-401B-8450-D5C6426D4DA8}"/>
    <cellStyle name="Calculation 2 3 2 26 2 6" xfId="14169" xr:uid="{EC531A3C-923E-4216-AF17-52A6DC4214EC}"/>
    <cellStyle name="Calculation 2 3 2 26 3" xfId="14170" xr:uid="{C6879020-EE20-4546-9EEE-EED679041049}"/>
    <cellStyle name="Calculation 2 3 2 26 4" xfId="14171" xr:uid="{08A3B40C-AFB1-424A-A6EE-53BBC957DF8C}"/>
    <cellStyle name="Calculation 2 3 2 26 5" xfId="14172" xr:uid="{6DD1CC55-7867-406A-84F2-572F875C92C9}"/>
    <cellStyle name="Calculation 2 3 2 26 6" xfId="14173" xr:uid="{90383009-8CEC-43B5-ABE9-C91B752078D5}"/>
    <cellStyle name="Calculation 2 3 2 26 7" xfId="14174" xr:uid="{920B8FDC-FBBB-4DBD-BB94-A35D7A9DC1EE}"/>
    <cellStyle name="Calculation 2 3 2 27" xfId="268" xr:uid="{3B2C4886-5096-4E89-8A98-12070E6BE179}"/>
    <cellStyle name="Calculation 2 3 2 27 2" xfId="12207" xr:uid="{A1F94BE3-4422-413D-9F39-CE40F79AAE2C}"/>
    <cellStyle name="Calculation 2 3 2 27 2 2" xfId="14175" xr:uid="{6E563F6B-6C60-4D0F-A607-020A8FA37656}"/>
    <cellStyle name="Calculation 2 3 2 27 2 3" xfId="14176" xr:uid="{8C034CF0-85D1-4785-A4FC-BF64A0BEE698}"/>
    <cellStyle name="Calculation 2 3 2 27 2 4" xfId="14177" xr:uid="{CED877C0-4F89-4191-A550-01E2FAA5799D}"/>
    <cellStyle name="Calculation 2 3 2 27 2 5" xfId="14178" xr:uid="{1F95FF77-B8FD-4BEB-AAEA-887C9369B1F4}"/>
    <cellStyle name="Calculation 2 3 2 27 2 6" xfId="14179" xr:uid="{9A79465E-7BCC-490A-855B-E32A76E4E49D}"/>
    <cellStyle name="Calculation 2 3 2 27 3" xfId="14180" xr:uid="{D646CF33-7730-4B7B-8196-190DED6310E7}"/>
    <cellStyle name="Calculation 2 3 2 27 4" xfId="14181" xr:uid="{85CDCA3A-C1DF-4A01-BC4E-903843F2CD2F}"/>
    <cellStyle name="Calculation 2 3 2 27 5" xfId="14182" xr:uid="{B69677D8-3DF0-4B23-9A75-A342973C76F7}"/>
    <cellStyle name="Calculation 2 3 2 27 6" xfId="14183" xr:uid="{C3E442B7-964B-442D-8C2B-96239FB8C980}"/>
    <cellStyle name="Calculation 2 3 2 27 7" xfId="14184" xr:uid="{AA8F0D7E-306B-4950-A676-E3696ACD6A1E}"/>
    <cellStyle name="Calculation 2 3 2 28" xfId="269" xr:uid="{84E5867E-04B6-40AD-B66D-900C95FDD9AD}"/>
    <cellStyle name="Calculation 2 3 2 28 2" xfId="12287" xr:uid="{EB5FEEED-55B3-489F-AFED-31E85EB13CF4}"/>
    <cellStyle name="Calculation 2 3 2 28 2 2" xfId="14185" xr:uid="{C8F3458D-0D4E-4A30-B86D-10121CE671A9}"/>
    <cellStyle name="Calculation 2 3 2 28 2 3" xfId="14186" xr:uid="{A002D7BE-ECF8-4ABA-A097-9D0AAD19AD85}"/>
    <cellStyle name="Calculation 2 3 2 28 2 4" xfId="14187" xr:uid="{FF27AEB4-5AB9-4974-9445-1EAF062CAD1C}"/>
    <cellStyle name="Calculation 2 3 2 28 2 5" xfId="14188" xr:uid="{348E3D03-89B3-4816-B329-AD7B70D68551}"/>
    <cellStyle name="Calculation 2 3 2 28 2 6" xfId="14189" xr:uid="{18CBFA40-7C72-4EC4-ADD2-05DC6A1F0439}"/>
    <cellStyle name="Calculation 2 3 2 28 3" xfId="14190" xr:uid="{B2DBC2E9-5B93-4BBD-9BDD-25FA70C847D2}"/>
    <cellStyle name="Calculation 2 3 2 28 4" xfId="14191" xr:uid="{1DFF4278-8C50-4337-9888-F4A0582D6344}"/>
    <cellStyle name="Calculation 2 3 2 28 5" xfId="14192" xr:uid="{34179B5A-2161-4BBD-9B1C-38C0B7353242}"/>
    <cellStyle name="Calculation 2 3 2 28 6" xfId="14193" xr:uid="{10AC02DA-E5D9-4FFA-A734-BA9AB6859A8A}"/>
    <cellStyle name="Calculation 2 3 2 28 7" xfId="14194" xr:uid="{97E81866-CCE6-4934-9B32-73D9786DF818}"/>
    <cellStyle name="Calculation 2 3 2 29" xfId="270" xr:uid="{C0441416-AF2B-49E1-B67D-64B21BC466C2}"/>
    <cellStyle name="Calculation 2 3 2 29 2" xfId="12365" xr:uid="{F832CCE1-7C19-4CC0-8A92-08839849D78E}"/>
    <cellStyle name="Calculation 2 3 2 29 2 2" xfId="14195" xr:uid="{D13CBE7F-C55F-466D-B3A5-E632CFCF7428}"/>
    <cellStyle name="Calculation 2 3 2 29 2 3" xfId="14196" xr:uid="{E2ACA4FC-7A58-45E3-AF17-E8E89EE6DEF9}"/>
    <cellStyle name="Calculation 2 3 2 29 2 4" xfId="14197" xr:uid="{101DC251-3BF9-4C40-AEA7-7D220A760A01}"/>
    <cellStyle name="Calculation 2 3 2 29 2 5" xfId="14198" xr:uid="{7CEBA4D4-0CD5-4F6D-9D4C-4DE464E94681}"/>
    <cellStyle name="Calculation 2 3 2 29 2 6" xfId="14199" xr:uid="{B4A27723-6AB1-4AC7-A46D-C43CF5531C1C}"/>
    <cellStyle name="Calculation 2 3 2 29 3" xfId="14200" xr:uid="{5C745512-C256-4E75-AA2E-C17B71B38E0F}"/>
    <cellStyle name="Calculation 2 3 2 29 4" xfId="14201" xr:uid="{61A9985F-EAA4-4716-88EE-136E4AE02AE7}"/>
    <cellStyle name="Calculation 2 3 2 29 5" xfId="14202" xr:uid="{B14657FF-AFAB-4BC6-9B31-C0F6252EE04D}"/>
    <cellStyle name="Calculation 2 3 2 29 6" xfId="14203" xr:uid="{8B01E947-81EB-4718-8B9D-0A8CA6D8FEA5}"/>
    <cellStyle name="Calculation 2 3 2 29 7" xfId="14204" xr:uid="{761A6FAE-3F2E-40BA-BA4E-68FF96AC7B52}"/>
    <cellStyle name="Calculation 2 3 2 3" xfId="271" xr:uid="{3E53AAD5-97E1-4F53-A9CE-79E8909E0C0C}"/>
    <cellStyle name="Calculation 2 3 2 3 2" xfId="10135" xr:uid="{E8C6D98D-E949-48FD-8F21-6C87CE37E971}"/>
    <cellStyle name="Calculation 2 3 2 3 2 2" xfId="14205" xr:uid="{A789E8D7-1510-46EC-AAD2-373D1831E671}"/>
    <cellStyle name="Calculation 2 3 2 3 2 3" xfId="14206" xr:uid="{D99A6ED3-5029-4934-BD76-5A5EB297F529}"/>
    <cellStyle name="Calculation 2 3 2 3 2 4" xfId="14207" xr:uid="{96971805-D2A3-41B4-BDEF-D3884999DF80}"/>
    <cellStyle name="Calculation 2 3 2 3 2 5" xfId="14208" xr:uid="{C22249CC-75ED-4BFE-8956-F29FBD5CA056}"/>
    <cellStyle name="Calculation 2 3 2 3 2 6" xfId="14209" xr:uid="{7D640502-7E10-4078-B777-0C4D532C8028}"/>
    <cellStyle name="Calculation 2 3 2 3 3" xfId="14210" xr:uid="{004BA9CF-B530-46E7-B9D6-47C798F38EB1}"/>
    <cellStyle name="Calculation 2 3 2 3 4" xfId="14211" xr:uid="{B1257E50-F4E8-4DC5-A0E7-502FC9A21656}"/>
    <cellStyle name="Calculation 2 3 2 3 5" xfId="14212" xr:uid="{795C2D99-021B-4CA4-A6F8-386A92E08203}"/>
    <cellStyle name="Calculation 2 3 2 3 6" xfId="14213" xr:uid="{F29A824E-7D69-48B9-8A6E-B6B02317EE5C}"/>
    <cellStyle name="Calculation 2 3 2 3 7" xfId="14214" xr:uid="{3E2C3BDA-F13C-4182-BF99-C773BF7D2A3B}"/>
    <cellStyle name="Calculation 2 3 2 30" xfId="272" xr:uid="{3CD65F16-FF10-4E89-A536-F8BCD138A105}"/>
    <cellStyle name="Calculation 2 3 2 30 2" xfId="12444" xr:uid="{BA02B6BD-42BD-4A11-A9F9-5F2DCA521D3D}"/>
    <cellStyle name="Calculation 2 3 2 30 2 2" xfId="14215" xr:uid="{97E2737D-C99B-452C-A09F-87108E620531}"/>
    <cellStyle name="Calculation 2 3 2 30 2 3" xfId="14216" xr:uid="{82A27508-DCA9-49DD-BA11-1DE1B2C1DDB4}"/>
    <cellStyle name="Calculation 2 3 2 30 2 4" xfId="14217" xr:uid="{E7EAB099-CF5C-4133-800D-5A7CE132540D}"/>
    <cellStyle name="Calculation 2 3 2 30 2 5" xfId="14218" xr:uid="{B6F07B45-64C7-4DF0-B4EB-90B171E26CCE}"/>
    <cellStyle name="Calculation 2 3 2 30 2 6" xfId="14219" xr:uid="{EBA6B499-4D6E-4B00-9EA5-EF1ACF4189A8}"/>
    <cellStyle name="Calculation 2 3 2 30 3" xfId="14220" xr:uid="{515B24EA-74A9-4C53-B3EC-EC269B544E8D}"/>
    <cellStyle name="Calculation 2 3 2 30 4" xfId="14221" xr:uid="{E3D7C241-F96D-464A-BD7E-F10DEAC799CE}"/>
    <cellStyle name="Calculation 2 3 2 30 5" xfId="14222" xr:uid="{C69020AA-4EA3-4016-8D43-51CB30013D62}"/>
    <cellStyle name="Calculation 2 3 2 30 6" xfId="14223" xr:uid="{FC10778A-0415-410F-A5B6-44D78F9366E2}"/>
    <cellStyle name="Calculation 2 3 2 30 7" xfId="14224" xr:uid="{F5F3AF67-7B58-4340-B460-FB1A049CD9CE}"/>
    <cellStyle name="Calculation 2 3 2 31" xfId="273" xr:uid="{F9E97F0F-D588-4C73-A25D-3008267C9D87}"/>
    <cellStyle name="Calculation 2 3 2 31 2" xfId="12523" xr:uid="{AA022E75-7559-4024-9F3E-0CD079CD7E0E}"/>
    <cellStyle name="Calculation 2 3 2 31 2 2" xfId="14225" xr:uid="{1368F635-3A04-4E62-BAEA-3BFEFAE358AD}"/>
    <cellStyle name="Calculation 2 3 2 31 2 3" xfId="14226" xr:uid="{0F348140-415A-41D7-9617-15D92BF2608E}"/>
    <cellStyle name="Calculation 2 3 2 31 2 4" xfId="14227" xr:uid="{27660855-5C9C-4B94-9FF2-6F9B9C019382}"/>
    <cellStyle name="Calculation 2 3 2 31 2 5" xfId="14228" xr:uid="{71FDBA95-B093-4B6C-8285-E6936224B046}"/>
    <cellStyle name="Calculation 2 3 2 31 2 6" xfId="14229" xr:uid="{B8EE54A2-1444-419B-B0D8-935C305AF2B2}"/>
    <cellStyle name="Calculation 2 3 2 31 3" xfId="14230" xr:uid="{C9BABACC-462D-4DC7-B90D-F4E59CE6BC3F}"/>
    <cellStyle name="Calculation 2 3 2 31 4" xfId="14231" xr:uid="{3837D17E-0402-4C3B-8AA8-557D6A00FFC2}"/>
    <cellStyle name="Calculation 2 3 2 31 5" xfId="14232" xr:uid="{46A59EB6-A59D-4EC2-B7B0-8E6C5A5F11F5}"/>
    <cellStyle name="Calculation 2 3 2 31 6" xfId="14233" xr:uid="{F55206BF-B720-49EC-B71A-EE8A81CB2D5A}"/>
    <cellStyle name="Calculation 2 3 2 31 7" xfId="14234" xr:uid="{FA6FFA81-184C-4EEA-8E58-D24A28202B71}"/>
    <cellStyle name="Calculation 2 3 2 32" xfId="274" xr:uid="{E2E4EA0D-1D25-4F4F-BE00-A20E4A878A2D}"/>
    <cellStyle name="Calculation 2 3 2 32 2" xfId="12602" xr:uid="{ABED24DE-74BD-40E4-A1B6-07D3EC5D1F62}"/>
    <cellStyle name="Calculation 2 3 2 32 2 2" xfId="14235" xr:uid="{18A12431-19D5-4A28-8C14-1A6DE0099E47}"/>
    <cellStyle name="Calculation 2 3 2 32 2 3" xfId="14236" xr:uid="{D7C834D6-6FC0-457E-9CDB-2E6ECEB5BCF4}"/>
    <cellStyle name="Calculation 2 3 2 32 2 4" xfId="14237" xr:uid="{A9C4D0D2-01AA-4E3A-8CA1-1AE36B629C0F}"/>
    <cellStyle name="Calculation 2 3 2 32 2 5" xfId="14238" xr:uid="{9D4E1CEB-99A7-4287-A65F-DBD99F167B74}"/>
    <cellStyle name="Calculation 2 3 2 32 2 6" xfId="14239" xr:uid="{4A525F90-81CE-4A99-AD30-B5DA9D94244B}"/>
    <cellStyle name="Calculation 2 3 2 32 3" xfId="14240" xr:uid="{1CFDF2E2-EF75-46BD-840C-016CF05DF484}"/>
    <cellStyle name="Calculation 2 3 2 32 4" xfId="14241" xr:uid="{EDA194A1-08F4-4D05-A6AA-2073949AC6E8}"/>
    <cellStyle name="Calculation 2 3 2 32 5" xfId="14242" xr:uid="{F1B0256D-4924-4758-9A02-F59426CCA697}"/>
    <cellStyle name="Calculation 2 3 2 32 6" xfId="14243" xr:uid="{0421BCDE-337B-4140-8D8B-2BF3491A0C34}"/>
    <cellStyle name="Calculation 2 3 2 32 7" xfId="14244" xr:uid="{39EBF352-F510-4CB7-AFE7-85BBBEFA75FA}"/>
    <cellStyle name="Calculation 2 3 2 33" xfId="275" xr:uid="{EE350E0C-D89F-449C-94DB-BCC4A51D22BD}"/>
    <cellStyle name="Calculation 2 3 2 33 2" xfId="12681" xr:uid="{057E3303-0FD3-4DCA-9D4F-39BF8268214E}"/>
    <cellStyle name="Calculation 2 3 2 33 2 2" xfId="14245" xr:uid="{B71DF8F0-C230-41C0-BCB3-71D4CD595F0E}"/>
    <cellStyle name="Calculation 2 3 2 33 2 3" xfId="14246" xr:uid="{31951CFC-8483-4AB8-B5F9-9517749051B4}"/>
    <cellStyle name="Calculation 2 3 2 33 2 4" xfId="14247" xr:uid="{66D8BDDA-86D7-4A5D-A8A8-6E4FE5A70A0C}"/>
    <cellStyle name="Calculation 2 3 2 33 2 5" xfId="14248" xr:uid="{522E5072-D084-4FE7-A193-386BE826D9B0}"/>
    <cellStyle name="Calculation 2 3 2 33 2 6" xfId="14249" xr:uid="{123F5A89-1E9C-4692-913B-2F93F01FB304}"/>
    <cellStyle name="Calculation 2 3 2 33 3" xfId="14250" xr:uid="{CF8F0E22-9C30-4A53-9533-EF4DC4179BBC}"/>
    <cellStyle name="Calculation 2 3 2 33 4" xfId="14251" xr:uid="{E079308F-A8C1-410F-9B5B-70B878899168}"/>
    <cellStyle name="Calculation 2 3 2 33 5" xfId="14252" xr:uid="{4214358A-29B1-4CFB-862D-603C93721F2B}"/>
    <cellStyle name="Calculation 2 3 2 33 6" xfId="14253" xr:uid="{6CF96A78-B85B-4221-81E5-FAE6D0F619B6}"/>
    <cellStyle name="Calculation 2 3 2 33 7" xfId="14254" xr:uid="{6EF67597-FFBD-49A2-9202-220DAEB22C88}"/>
    <cellStyle name="Calculation 2 3 2 34" xfId="276" xr:uid="{75BAB7E7-71CE-485A-8554-D1FD0011547C}"/>
    <cellStyle name="Calculation 2 3 2 34 2" xfId="12765" xr:uid="{16FD767B-C6AB-4E39-8C93-BD28363EBE7F}"/>
    <cellStyle name="Calculation 2 3 2 34 2 2" xfId="14255" xr:uid="{9CF361DE-159E-432F-96A5-0363C26480A8}"/>
    <cellStyle name="Calculation 2 3 2 34 2 3" xfId="14256" xr:uid="{A236F810-E23A-46D3-A13F-C63B28F4BC2A}"/>
    <cellStyle name="Calculation 2 3 2 34 2 4" xfId="14257" xr:uid="{CC78D24D-DAD3-4126-B884-FA740D3F11FB}"/>
    <cellStyle name="Calculation 2 3 2 34 2 5" xfId="14258" xr:uid="{A5514B36-A731-47DE-AE63-F796A0A9E2CF}"/>
    <cellStyle name="Calculation 2 3 2 34 2 6" xfId="14259" xr:uid="{DAA755A1-734D-4F8B-A9C4-C7890F72EA15}"/>
    <cellStyle name="Calculation 2 3 2 34 3" xfId="14260" xr:uid="{FB5F2F5E-8DDE-4FD4-A3E9-900500E2BD0F}"/>
    <cellStyle name="Calculation 2 3 2 34 4" xfId="14261" xr:uid="{64176B76-69A0-43B7-A5F7-6630C7076F93}"/>
    <cellStyle name="Calculation 2 3 2 34 5" xfId="14262" xr:uid="{03589449-C7AB-4ED0-BF7C-9555B7ECD41F}"/>
    <cellStyle name="Calculation 2 3 2 35" xfId="9831" xr:uid="{D5DD707F-EC39-409A-8422-A251B6A7E6C7}"/>
    <cellStyle name="Calculation 2 3 2 35 2" xfId="14263" xr:uid="{7206F3C4-1BC9-4B1F-9A46-3152561A58D1}"/>
    <cellStyle name="Calculation 2 3 2 35 3" xfId="14264" xr:uid="{5141F22D-DC15-408E-A515-06929A095C47}"/>
    <cellStyle name="Calculation 2 3 2 35 4" xfId="14265" xr:uid="{052F03A4-A327-4D2F-9C38-8D2ED0321A4F}"/>
    <cellStyle name="Calculation 2 3 2 35 5" xfId="14266" xr:uid="{6764CC8B-A0D8-471E-A015-6FA58DAABBE6}"/>
    <cellStyle name="Calculation 2 3 2 35 6" xfId="14267" xr:uid="{8779AD12-C5C9-4A68-B149-03D68AD74071}"/>
    <cellStyle name="Calculation 2 3 2 36" xfId="14268" xr:uid="{7F98D2D0-253C-46E9-8972-3C9DF803245D}"/>
    <cellStyle name="Calculation 2 3 2 37" xfId="14269" xr:uid="{125D8B46-EC5C-4CC9-BC5E-D01F267306BA}"/>
    <cellStyle name="Calculation 2 3 2 38" xfId="14270" xr:uid="{1F37966D-AE06-4EC0-AD53-3772C9BF294D}"/>
    <cellStyle name="Calculation 2 3 2 4" xfId="277" xr:uid="{C1AEC9E0-B53A-4B16-921E-037947EFDCCA}"/>
    <cellStyle name="Calculation 2 3 2 4 2" xfId="10225" xr:uid="{2C983BA2-DE7E-4317-87CB-BB71FBE256FF}"/>
    <cellStyle name="Calculation 2 3 2 4 2 2" xfId="14271" xr:uid="{41C27A04-E8D1-47A9-BCA7-DCC7CF22E9CE}"/>
    <cellStyle name="Calculation 2 3 2 4 2 3" xfId="14272" xr:uid="{DA0D4A61-4F53-44FE-87CD-E49AC771EC00}"/>
    <cellStyle name="Calculation 2 3 2 4 2 4" xfId="14273" xr:uid="{45AC36A3-8419-4867-94C6-AD58FF07AF9D}"/>
    <cellStyle name="Calculation 2 3 2 4 2 5" xfId="14274" xr:uid="{23BF24C8-363B-4FED-9A99-7ABD97193D14}"/>
    <cellStyle name="Calculation 2 3 2 4 2 6" xfId="14275" xr:uid="{E4306BFB-D8BC-4D67-BE8F-FB227D577354}"/>
    <cellStyle name="Calculation 2 3 2 4 3" xfId="14276" xr:uid="{DA174220-8492-4A6C-AAC3-C2174DAE09C5}"/>
    <cellStyle name="Calculation 2 3 2 4 4" xfId="14277" xr:uid="{3EE5AB3D-3E34-4EE4-B692-9C80A519A164}"/>
    <cellStyle name="Calculation 2 3 2 4 5" xfId="14278" xr:uid="{FDC2D5A2-B920-4587-969E-15CC15FB1697}"/>
    <cellStyle name="Calculation 2 3 2 4 6" xfId="14279" xr:uid="{D9E09C0B-F479-46D9-81E3-ED27F34FDC6B}"/>
    <cellStyle name="Calculation 2 3 2 4 7" xfId="14280" xr:uid="{92906542-4A6F-4F6F-A790-04012BDADDB4}"/>
    <cellStyle name="Calculation 2 3 2 5" xfId="278" xr:uid="{F2C04925-F19F-4D45-BE8D-A8F47EFB1A2C}"/>
    <cellStyle name="Calculation 2 3 2 5 2" xfId="10311" xr:uid="{3B9A62E1-C66C-4DE1-A902-7CA5C78144DF}"/>
    <cellStyle name="Calculation 2 3 2 5 2 2" xfId="14281" xr:uid="{7713C27F-BEDD-4665-ABB0-7CD7B84648BF}"/>
    <cellStyle name="Calculation 2 3 2 5 2 3" xfId="14282" xr:uid="{22D9B3D0-7ACD-4FEB-B287-D0487E9C787F}"/>
    <cellStyle name="Calculation 2 3 2 5 2 4" xfId="14283" xr:uid="{2D21709D-EC9A-48D2-A3BE-02240AE8A342}"/>
    <cellStyle name="Calculation 2 3 2 5 2 5" xfId="14284" xr:uid="{7EEC80FD-CD37-4CB7-9849-46E269CE4653}"/>
    <cellStyle name="Calculation 2 3 2 5 2 6" xfId="14285" xr:uid="{32CD1BC5-0597-4308-B1A4-C0843ED4174B}"/>
    <cellStyle name="Calculation 2 3 2 5 3" xfId="14286" xr:uid="{078D8EF0-3D73-40E0-9255-2B8152764008}"/>
    <cellStyle name="Calculation 2 3 2 5 4" xfId="14287" xr:uid="{E0DFAFE2-9308-490D-978D-54059F5C2A8D}"/>
    <cellStyle name="Calculation 2 3 2 5 5" xfId="14288" xr:uid="{8595FF54-D7A9-4557-9E55-5A6A051FDE59}"/>
    <cellStyle name="Calculation 2 3 2 5 6" xfId="14289" xr:uid="{3E85C241-082C-44E8-B057-C2153A1E8FF7}"/>
    <cellStyle name="Calculation 2 3 2 5 7" xfId="14290" xr:uid="{DA44CD56-C04D-4B61-BEA8-F1BA91236E9E}"/>
    <cellStyle name="Calculation 2 3 2 6" xfId="279" xr:uid="{4BDDC4C0-0B46-4831-8045-9558C340ACF4}"/>
    <cellStyle name="Calculation 2 3 2 6 2" xfId="10399" xr:uid="{99080299-E016-4E48-9032-DBB9121175A1}"/>
    <cellStyle name="Calculation 2 3 2 6 2 2" xfId="14291" xr:uid="{6DF65E19-6267-41D6-877C-67E1BF99880C}"/>
    <cellStyle name="Calculation 2 3 2 6 2 3" xfId="14292" xr:uid="{4F628D9F-49D6-4238-BA5D-ED35ECEBDCF0}"/>
    <cellStyle name="Calculation 2 3 2 6 2 4" xfId="14293" xr:uid="{24E1D4A1-C318-4E1D-B631-0519172640C9}"/>
    <cellStyle name="Calculation 2 3 2 6 2 5" xfId="14294" xr:uid="{9521B8F9-EC10-4BBA-A4F8-12B154029BB2}"/>
    <cellStyle name="Calculation 2 3 2 6 2 6" xfId="14295" xr:uid="{4921A81C-CA0B-48A1-9CF6-B46416B82B6A}"/>
    <cellStyle name="Calculation 2 3 2 6 3" xfId="14296" xr:uid="{1E586973-EC15-42B4-8CBE-D3A440270DBF}"/>
    <cellStyle name="Calculation 2 3 2 6 4" xfId="14297" xr:uid="{8BE771FC-9D64-465F-99C2-98FFA0EFBAED}"/>
    <cellStyle name="Calculation 2 3 2 6 5" xfId="14298" xr:uid="{4D289B73-8C7E-4C36-BC9A-5C3236722DDB}"/>
    <cellStyle name="Calculation 2 3 2 6 6" xfId="14299" xr:uid="{E378748D-79C2-4440-8103-19FEB8DC837E}"/>
    <cellStyle name="Calculation 2 3 2 6 7" xfId="14300" xr:uid="{6646AD21-500C-486E-810C-75FD4DCE40AC}"/>
    <cellStyle name="Calculation 2 3 2 7" xfId="280" xr:uid="{530F862F-3C2F-4E47-A0E1-1CB736025DB9}"/>
    <cellStyle name="Calculation 2 3 2 7 2" xfId="10486" xr:uid="{A7822277-8062-4BFE-990E-8271B556422B}"/>
    <cellStyle name="Calculation 2 3 2 7 2 2" xfId="14301" xr:uid="{54386931-93CC-4E25-BE37-1AA48631E34C}"/>
    <cellStyle name="Calculation 2 3 2 7 2 3" xfId="14302" xr:uid="{BAB1F825-41DC-40F0-8648-866F9A70771A}"/>
    <cellStyle name="Calculation 2 3 2 7 2 4" xfId="14303" xr:uid="{D7D191C1-731B-43C1-8FB1-92B2F41F174A}"/>
    <cellStyle name="Calculation 2 3 2 7 2 5" xfId="14304" xr:uid="{BD697FC1-34FB-4EC9-B1C8-22D986659FDF}"/>
    <cellStyle name="Calculation 2 3 2 7 2 6" xfId="14305" xr:uid="{AB9C8552-63E1-4994-B990-0A51EBCA7ACE}"/>
    <cellStyle name="Calculation 2 3 2 7 3" xfId="14306" xr:uid="{BECEFC1A-DBDA-423C-96DD-CC5FEC7BCD56}"/>
    <cellStyle name="Calculation 2 3 2 7 4" xfId="14307" xr:uid="{B8D929D1-D930-4336-96E7-E2C2D2042D0C}"/>
    <cellStyle name="Calculation 2 3 2 7 5" xfId="14308" xr:uid="{0E2369A6-F886-473F-819A-D40A1678B3A8}"/>
    <cellStyle name="Calculation 2 3 2 7 6" xfId="14309" xr:uid="{71EC2FBE-0D6B-4FDB-8B8A-74C2B19BD02B}"/>
    <cellStyle name="Calculation 2 3 2 7 7" xfId="14310" xr:uid="{4E17E3B0-BA75-4022-B6BC-2709A40C5DD5}"/>
    <cellStyle name="Calculation 2 3 2 8" xfId="281" xr:uid="{34FBA9AD-5905-42F1-9400-6A34C909196F}"/>
    <cellStyle name="Calculation 2 3 2 8 2" xfId="10574" xr:uid="{15432D36-FE92-46FF-925D-A9FF22AED141}"/>
    <cellStyle name="Calculation 2 3 2 8 2 2" xfId="14311" xr:uid="{23BC2AF9-F4B0-49D7-BDD4-A988976F5056}"/>
    <cellStyle name="Calculation 2 3 2 8 2 3" xfId="14312" xr:uid="{A6C2E9FD-EED6-456F-A608-46346E52852B}"/>
    <cellStyle name="Calculation 2 3 2 8 2 4" xfId="14313" xr:uid="{4E715B32-5366-4AF4-8429-E4FEA6E27653}"/>
    <cellStyle name="Calculation 2 3 2 8 2 5" xfId="14314" xr:uid="{FBA9EB93-3D3D-426E-8FC4-9B0E2D0AB86B}"/>
    <cellStyle name="Calculation 2 3 2 8 2 6" xfId="14315" xr:uid="{FAC387E9-6423-4A97-B4B2-37C561A673D4}"/>
    <cellStyle name="Calculation 2 3 2 8 3" xfId="14316" xr:uid="{EB03A1A5-2792-409D-A820-A080E871C1E0}"/>
    <cellStyle name="Calculation 2 3 2 8 4" xfId="14317" xr:uid="{9A5B50BF-0AC0-436F-AA53-8E55604EA116}"/>
    <cellStyle name="Calculation 2 3 2 8 5" xfId="14318" xr:uid="{21A695DD-E45C-4147-844F-B32F3A92B3A0}"/>
    <cellStyle name="Calculation 2 3 2 8 6" xfId="14319" xr:uid="{7E53FE62-0594-4A8D-949B-0FBE5BAE2706}"/>
    <cellStyle name="Calculation 2 3 2 8 7" xfId="14320" xr:uid="{9DE0FA2B-5F1D-4F5C-AD40-684A5F504541}"/>
    <cellStyle name="Calculation 2 3 2 9" xfId="282" xr:uid="{7E60F579-82B4-4884-B56D-C21824F4DFA2}"/>
    <cellStyle name="Calculation 2 3 2 9 2" xfId="10656" xr:uid="{6A0E683C-D8DE-4A4F-82B7-CFAB1FE04CB8}"/>
    <cellStyle name="Calculation 2 3 2 9 2 2" xfId="14321" xr:uid="{BD05A4EA-3788-4F7C-B4D2-B73F2996D5DA}"/>
    <cellStyle name="Calculation 2 3 2 9 2 3" xfId="14322" xr:uid="{8B1165DD-EB89-4D60-94FE-FCED5EB40F25}"/>
    <cellStyle name="Calculation 2 3 2 9 2 4" xfId="14323" xr:uid="{38B860CD-E497-4D45-84B4-E114E3AA407D}"/>
    <cellStyle name="Calculation 2 3 2 9 2 5" xfId="14324" xr:uid="{91FDD58C-010B-4DFF-A461-00599C904A01}"/>
    <cellStyle name="Calculation 2 3 2 9 2 6" xfId="14325" xr:uid="{597ADE8A-C833-449E-B821-F1EF4563A4C4}"/>
    <cellStyle name="Calculation 2 3 2 9 3" xfId="14326" xr:uid="{2CD077ED-8FE2-4217-B595-93D0A7CA7AC3}"/>
    <cellStyle name="Calculation 2 3 2 9 4" xfId="14327" xr:uid="{00ABEDAC-9CCC-439C-BD22-283972587A3F}"/>
    <cellStyle name="Calculation 2 3 2 9 5" xfId="14328" xr:uid="{7938A603-59EE-45E5-94B1-149888A21224}"/>
    <cellStyle name="Calculation 2 3 2 9 6" xfId="14329" xr:uid="{5A02BB02-B119-44E0-B51C-E84971AAFDD3}"/>
    <cellStyle name="Calculation 2 3 2 9 7" xfId="14330" xr:uid="{040D3EA4-BC4B-4FCA-BD93-6E7FAA05B271}"/>
    <cellStyle name="Calculation 2 3 20" xfId="283" xr:uid="{3086CB45-C273-45CA-9D28-6601C435FEAE}"/>
    <cellStyle name="Calculation 2 3 20 2" xfId="11503" xr:uid="{14888518-9977-4DBB-880F-18EFC4B45BAF}"/>
    <cellStyle name="Calculation 2 3 20 2 2" xfId="14331" xr:uid="{1AA3C7FE-2004-4C88-A85B-E92121CB70D0}"/>
    <cellStyle name="Calculation 2 3 20 2 3" xfId="14332" xr:uid="{E28252FC-52D9-4115-A359-86EED7043055}"/>
    <cellStyle name="Calculation 2 3 20 2 4" xfId="14333" xr:uid="{104482F4-3C48-46FC-9747-CDBE10F480E0}"/>
    <cellStyle name="Calculation 2 3 20 2 5" xfId="14334" xr:uid="{0415AABE-0BF9-47FF-A11F-9BF2C5BEEC64}"/>
    <cellStyle name="Calculation 2 3 20 2 6" xfId="14335" xr:uid="{9BC1426F-0224-4DEF-BDAA-EE0BFA188A1A}"/>
    <cellStyle name="Calculation 2 3 20 3" xfId="14336" xr:uid="{AA252F4B-C122-4379-BAA9-A07D572A1080}"/>
    <cellStyle name="Calculation 2 3 20 4" xfId="14337" xr:uid="{F5BC3D24-6E3E-4908-8913-204FE7ECFBEB}"/>
    <cellStyle name="Calculation 2 3 20 5" xfId="14338" xr:uid="{BA375048-75DC-476F-9176-D188150583FA}"/>
    <cellStyle name="Calculation 2 3 20 6" xfId="14339" xr:uid="{99523743-2334-4054-BE72-2DE8E09073A0}"/>
    <cellStyle name="Calculation 2 3 20 7" xfId="14340" xr:uid="{796B548E-A9B2-42BE-BDF4-1CD1E3520B06}"/>
    <cellStyle name="Calculation 2 3 21" xfId="284" xr:uid="{A729FEA2-8815-44E7-B099-5DA0E57FD0FE}"/>
    <cellStyle name="Calculation 2 3 21 2" xfId="11591" xr:uid="{9FAB3436-28FE-401F-83A6-7AC14C1F07E1}"/>
    <cellStyle name="Calculation 2 3 21 2 2" xfId="14341" xr:uid="{4E938096-D577-4964-BD71-E4E25365F4A9}"/>
    <cellStyle name="Calculation 2 3 21 2 3" xfId="14342" xr:uid="{03DEB1AE-519F-43FA-9D40-50E35DB59175}"/>
    <cellStyle name="Calculation 2 3 21 2 4" xfId="14343" xr:uid="{B935223A-A237-4099-8EE5-A3571D42E560}"/>
    <cellStyle name="Calculation 2 3 21 2 5" xfId="14344" xr:uid="{7468BFCE-04E4-4745-A8B3-A77800511B1F}"/>
    <cellStyle name="Calculation 2 3 21 2 6" xfId="14345" xr:uid="{ACF999D9-101B-4FC4-9AC6-65916A3FABE2}"/>
    <cellStyle name="Calculation 2 3 21 3" xfId="14346" xr:uid="{07C61616-76D2-42B1-BCE4-8510E874E4B8}"/>
    <cellStyle name="Calculation 2 3 21 4" xfId="14347" xr:uid="{3D0AA633-BE4A-4DC4-AE7B-52DB4F147924}"/>
    <cellStyle name="Calculation 2 3 21 5" xfId="14348" xr:uid="{279CAFCB-7B7B-4F8B-ACFA-8E6EB269443E}"/>
    <cellStyle name="Calculation 2 3 21 6" xfId="14349" xr:uid="{30915CE3-7AB7-4FF8-BB11-3C0AAA87680D}"/>
    <cellStyle name="Calculation 2 3 21 7" xfId="14350" xr:uid="{DB984572-875F-4970-9757-BA4E7BC8FBC8}"/>
    <cellStyle name="Calculation 2 3 22" xfId="285" xr:uid="{389AA749-2536-42B9-832A-FB94E97020D6}"/>
    <cellStyle name="Calculation 2 3 22 2" xfId="11676" xr:uid="{FA6BD7AB-4436-474C-8A77-30D366F6BAE1}"/>
    <cellStyle name="Calculation 2 3 22 2 2" xfId="14351" xr:uid="{5D401056-331E-4BE3-8C08-EE631BE0DBED}"/>
    <cellStyle name="Calculation 2 3 22 2 3" xfId="14352" xr:uid="{5979613C-8555-43D5-A551-3388FCD6ED94}"/>
    <cellStyle name="Calculation 2 3 22 2 4" xfId="14353" xr:uid="{1D74F5EE-6D4E-4D5B-B508-2B557F35E4AD}"/>
    <cellStyle name="Calculation 2 3 22 2 5" xfId="14354" xr:uid="{F2F1FE59-FE7C-4EA0-BF12-1756D7BB2774}"/>
    <cellStyle name="Calculation 2 3 22 2 6" xfId="14355" xr:uid="{A3842D55-2C4D-408D-8B8E-F237FD206D63}"/>
    <cellStyle name="Calculation 2 3 22 3" xfId="14356" xr:uid="{E22246FD-3049-4CF9-8084-4EEB9F789B24}"/>
    <cellStyle name="Calculation 2 3 22 4" xfId="14357" xr:uid="{13D1F941-7DAC-4C70-A2AF-10B5FA840D13}"/>
    <cellStyle name="Calculation 2 3 22 5" xfId="14358" xr:uid="{EA3AFB41-DAA5-45D7-BFB2-38640F4A80B5}"/>
    <cellStyle name="Calculation 2 3 22 6" xfId="14359" xr:uid="{BCB0581C-852A-43F3-9501-FA1BC9752C13}"/>
    <cellStyle name="Calculation 2 3 22 7" xfId="14360" xr:uid="{134D4215-E081-4D6C-B187-9A2C1F5C9B9F}"/>
    <cellStyle name="Calculation 2 3 23" xfId="286" xr:uid="{47B877CB-3DB3-4A0D-BFF9-BBD95AA7AAD5}"/>
    <cellStyle name="Calculation 2 3 23 2" xfId="11759" xr:uid="{08A31D3E-0E49-4C0D-A6E7-9E1EDDFEB44F}"/>
    <cellStyle name="Calculation 2 3 23 2 2" xfId="14361" xr:uid="{31D1E09B-3706-4588-B4D4-66D34E7B1FFD}"/>
    <cellStyle name="Calculation 2 3 23 2 3" xfId="14362" xr:uid="{9CBCA139-DC6A-4D3E-BAF1-7421DEAA88FA}"/>
    <cellStyle name="Calculation 2 3 23 2 4" xfId="14363" xr:uid="{94AFA28B-5DD8-4BAB-B4AB-484C79DE699A}"/>
    <cellStyle name="Calculation 2 3 23 2 5" xfId="14364" xr:uid="{E7B7119A-4389-4362-91DF-3A01A1D02F90}"/>
    <cellStyle name="Calculation 2 3 23 2 6" xfId="14365" xr:uid="{674534D3-A24F-4934-A39E-772A9C2D98B7}"/>
    <cellStyle name="Calculation 2 3 23 3" xfId="14366" xr:uid="{120DBECA-CDF7-4AE1-B7EF-8ACA2927F32A}"/>
    <cellStyle name="Calculation 2 3 23 4" xfId="14367" xr:uid="{37B1AE46-7B88-4118-AEF3-3A5DF6E1BF51}"/>
    <cellStyle name="Calculation 2 3 23 5" xfId="14368" xr:uid="{811C844F-48DD-4A02-8AE6-8C3382854B15}"/>
    <cellStyle name="Calculation 2 3 23 6" xfId="14369" xr:uid="{B9F0EEDA-DED0-4DD6-9454-6BFEB29FED6B}"/>
    <cellStyle name="Calculation 2 3 23 7" xfId="14370" xr:uid="{19384321-8138-4331-9766-B4B87D026972}"/>
    <cellStyle name="Calculation 2 3 24" xfId="287" xr:uid="{FB8A8A8E-1CA6-4244-8E1A-6D6E324C2D30}"/>
    <cellStyle name="Calculation 2 3 24 2" xfId="11841" xr:uid="{6F627A1A-D0BA-4472-AFF2-263D8DFD6477}"/>
    <cellStyle name="Calculation 2 3 24 2 2" xfId="14371" xr:uid="{17C6D8B8-0731-4D7D-8DF6-2D7391079FD8}"/>
    <cellStyle name="Calculation 2 3 24 2 3" xfId="14372" xr:uid="{AD77FF35-4271-4286-8B8B-6CDAF45B4E0B}"/>
    <cellStyle name="Calculation 2 3 24 2 4" xfId="14373" xr:uid="{FCB56239-D6F8-4AFD-8048-471AB1720DF0}"/>
    <cellStyle name="Calculation 2 3 24 2 5" xfId="14374" xr:uid="{CFEF4865-0464-432E-9AEE-0ACD347721BD}"/>
    <cellStyle name="Calculation 2 3 24 2 6" xfId="14375" xr:uid="{6B175F9D-600E-4090-B047-C41F11E970A7}"/>
    <cellStyle name="Calculation 2 3 24 3" xfId="14376" xr:uid="{A9607230-23C6-4FEB-A8E4-BBD51F737073}"/>
    <cellStyle name="Calculation 2 3 24 4" xfId="14377" xr:uid="{13CE3F85-F947-40AF-8994-064D1C64080F}"/>
    <cellStyle name="Calculation 2 3 24 5" xfId="14378" xr:uid="{2484347F-D61C-41FF-825E-618225A14870}"/>
    <cellStyle name="Calculation 2 3 24 6" xfId="14379" xr:uid="{0EF8089A-583F-465A-AD78-4B48B73BA49E}"/>
    <cellStyle name="Calculation 2 3 24 7" xfId="14380" xr:uid="{49D019C7-A102-4423-B080-5C2EC4B35445}"/>
    <cellStyle name="Calculation 2 3 25" xfId="288" xr:uid="{6086C38B-D38C-4857-9925-3428FC865AB6}"/>
    <cellStyle name="Calculation 2 3 25 2" xfId="11925" xr:uid="{E277FB3D-2EB1-43E6-8D1E-4D60B1EF604D}"/>
    <cellStyle name="Calculation 2 3 25 2 2" xfId="14381" xr:uid="{FEB00937-1425-465E-AD15-F47C73244E59}"/>
    <cellStyle name="Calculation 2 3 25 2 3" xfId="14382" xr:uid="{F32FBB69-C336-4F85-BD12-647D468BB0AF}"/>
    <cellStyle name="Calculation 2 3 25 2 4" xfId="14383" xr:uid="{14631351-9ED7-44E9-B193-876D97E16517}"/>
    <cellStyle name="Calculation 2 3 25 2 5" xfId="14384" xr:uid="{924C327A-BFD6-48FE-8213-DB5EBD27E3F0}"/>
    <cellStyle name="Calculation 2 3 25 2 6" xfId="14385" xr:uid="{1F31A27B-B3C7-4514-AB5C-C8EA9F7A2FA9}"/>
    <cellStyle name="Calculation 2 3 25 3" xfId="14386" xr:uid="{ADA7C3B5-4F5E-43B1-A452-CF5046EEF390}"/>
    <cellStyle name="Calculation 2 3 25 4" xfId="14387" xr:uid="{066FFCD4-F81F-4899-BC5C-B70FD6D6E37C}"/>
    <cellStyle name="Calculation 2 3 25 5" xfId="14388" xr:uid="{E474FE9E-7374-4B49-8F5C-5830734F02CE}"/>
    <cellStyle name="Calculation 2 3 25 6" xfId="14389" xr:uid="{4C4AD195-0459-4A4C-94CD-31970239E513}"/>
    <cellStyle name="Calculation 2 3 25 7" xfId="14390" xr:uid="{6D57274D-D7F8-4330-A170-9C243E475DE3}"/>
    <cellStyle name="Calculation 2 3 26" xfId="289" xr:uid="{F46967EB-987D-4692-9F43-002DAAB5FFA4}"/>
    <cellStyle name="Calculation 2 3 26 2" xfId="12009" xr:uid="{6729DAE0-87E6-4B50-8ED6-F5C6295AED03}"/>
    <cellStyle name="Calculation 2 3 26 2 2" xfId="14391" xr:uid="{7099865C-678F-4A1F-BA93-47412F46A007}"/>
    <cellStyle name="Calculation 2 3 26 2 3" xfId="14392" xr:uid="{B07E4FA3-885F-4491-A204-540BE330D03D}"/>
    <cellStyle name="Calculation 2 3 26 2 4" xfId="14393" xr:uid="{F39E4353-E14D-4D0E-8713-A6CA8B8013E0}"/>
    <cellStyle name="Calculation 2 3 26 2 5" xfId="14394" xr:uid="{5269F982-5A1E-45E8-9657-CE487B04BDA9}"/>
    <cellStyle name="Calculation 2 3 26 2 6" xfId="14395" xr:uid="{9B27899B-7B9F-4C55-9658-3114CD0870A9}"/>
    <cellStyle name="Calculation 2 3 26 3" xfId="14396" xr:uid="{5408568D-A29F-4A7D-92AD-68B0EF6B062E}"/>
    <cellStyle name="Calculation 2 3 26 4" xfId="14397" xr:uid="{0396DF30-0684-4A75-99BB-76E2857D0E5A}"/>
    <cellStyle name="Calculation 2 3 26 5" xfId="14398" xr:uid="{2680E308-ADA1-467C-810B-DBA300E0167A}"/>
    <cellStyle name="Calculation 2 3 26 6" xfId="14399" xr:uid="{57B2B80E-0220-4574-9A55-835AD65002C0}"/>
    <cellStyle name="Calculation 2 3 26 7" xfId="14400" xr:uid="{914B1967-3EBF-4223-8A4D-3EFC33AD385C}"/>
    <cellStyle name="Calculation 2 3 27" xfId="290" xr:uid="{6E1AE10F-9F57-4538-BEEC-119F07420204}"/>
    <cellStyle name="Calculation 2 3 27 2" xfId="12092" xr:uid="{EA3BA761-B966-400E-B3A7-A35683A36CBC}"/>
    <cellStyle name="Calculation 2 3 27 2 2" xfId="14401" xr:uid="{CAC78A81-1212-4B70-9629-D23DF67EBF5A}"/>
    <cellStyle name="Calculation 2 3 27 2 3" xfId="14402" xr:uid="{5B11F626-155C-4F2C-A3C2-3BA54E5A4B39}"/>
    <cellStyle name="Calculation 2 3 27 2 4" xfId="14403" xr:uid="{281F573C-B059-4BAC-A4D5-F927D3FCE42A}"/>
    <cellStyle name="Calculation 2 3 27 2 5" xfId="14404" xr:uid="{197A2C30-596E-488B-A034-A3776142E14A}"/>
    <cellStyle name="Calculation 2 3 27 2 6" xfId="14405" xr:uid="{9EFEC8CC-4D2D-443D-9833-F6B005CDAAD4}"/>
    <cellStyle name="Calculation 2 3 27 3" xfId="14406" xr:uid="{CC2CA90F-91D8-4EE6-9ADC-A1974BBA28CA}"/>
    <cellStyle name="Calculation 2 3 27 4" xfId="14407" xr:uid="{958A64A2-7912-4135-A1C8-39C9ED3CB95F}"/>
    <cellStyle name="Calculation 2 3 27 5" xfId="14408" xr:uid="{1FBA5F96-9124-4B4E-89BA-3259F26BDB3B}"/>
    <cellStyle name="Calculation 2 3 27 6" xfId="14409" xr:uid="{DD2AF9EF-9667-42D9-B873-66383942E70E}"/>
    <cellStyle name="Calculation 2 3 27 7" xfId="14410" xr:uid="{4B5F9B08-3C88-4858-B006-C68DCCF62A34}"/>
    <cellStyle name="Calculation 2 3 28" xfId="291" xr:uid="{C10AD4F0-DAE6-4606-A732-C103D0D0D651}"/>
    <cellStyle name="Calculation 2 3 28 2" xfId="12174" xr:uid="{F185FA83-35A8-4E33-B918-B652FDB5D1A4}"/>
    <cellStyle name="Calculation 2 3 28 2 2" xfId="14411" xr:uid="{67E82731-CDF8-4A0D-8B44-CBF9D63AE5AB}"/>
    <cellStyle name="Calculation 2 3 28 2 3" xfId="14412" xr:uid="{668EC132-B863-4592-BC62-00ADE02CA990}"/>
    <cellStyle name="Calculation 2 3 28 2 4" xfId="14413" xr:uid="{6DE3C58B-1077-4858-9761-946F6F7499DD}"/>
    <cellStyle name="Calculation 2 3 28 2 5" xfId="14414" xr:uid="{8E12A363-FEE4-4156-A8FD-1E9D845F0E76}"/>
    <cellStyle name="Calculation 2 3 28 2 6" xfId="14415" xr:uid="{747F7ADF-D14D-41A8-8ED7-093A7A28D467}"/>
    <cellStyle name="Calculation 2 3 28 3" xfId="14416" xr:uid="{6A945C6C-B214-4B7F-9E5A-50A0E1EDB8AD}"/>
    <cellStyle name="Calculation 2 3 28 4" xfId="14417" xr:uid="{5A36F297-C818-4BAA-9073-D84B8EF886E5}"/>
    <cellStyle name="Calculation 2 3 28 5" xfId="14418" xr:uid="{3E2B17A1-10CB-4B18-B1D4-15E0E790F727}"/>
    <cellStyle name="Calculation 2 3 28 6" xfId="14419" xr:uid="{CD9B22ED-E721-435D-8C96-FA71C58CC5A9}"/>
    <cellStyle name="Calculation 2 3 28 7" xfId="14420" xr:uid="{FC29F17D-61FC-4A2E-AB91-7D554FB2D822}"/>
    <cellStyle name="Calculation 2 3 29" xfId="292" xr:uid="{0F947D20-5091-4BF4-B135-6974F6CBA6DA}"/>
    <cellStyle name="Calculation 2 3 29 2" xfId="12254" xr:uid="{B627666B-08C8-4AE8-A83F-C169B560F161}"/>
    <cellStyle name="Calculation 2 3 29 2 2" xfId="14421" xr:uid="{B2A8DECB-C184-460F-A68F-3F284D6D43A8}"/>
    <cellStyle name="Calculation 2 3 29 2 3" xfId="14422" xr:uid="{3A04B729-91B8-478D-89D9-9F05D63DB001}"/>
    <cellStyle name="Calculation 2 3 29 2 4" xfId="14423" xr:uid="{D4EE8D1B-4163-4A77-A4D9-E1D548A2D780}"/>
    <cellStyle name="Calculation 2 3 29 2 5" xfId="14424" xr:uid="{38B11693-9607-439B-9260-CE3082AAC89F}"/>
    <cellStyle name="Calculation 2 3 29 2 6" xfId="14425" xr:uid="{395A6D8F-A7CA-4F72-9D3A-F9598940EAC5}"/>
    <cellStyle name="Calculation 2 3 29 3" xfId="14426" xr:uid="{5CFDEB39-B476-4E15-BCBA-1961AA8CBFE4}"/>
    <cellStyle name="Calculation 2 3 29 4" xfId="14427" xr:uid="{10127A6E-F7B3-4244-8823-4F909E1A6283}"/>
    <cellStyle name="Calculation 2 3 29 5" xfId="14428" xr:uid="{1F95C65A-F64D-43C8-AAE1-06428631F3DF}"/>
    <cellStyle name="Calculation 2 3 29 6" xfId="14429" xr:uid="{A69E86D9-E83D-452E-BD4F-8ACED51E9CBB}"/>
    <cellStyle name="Calculation 2 3 29 7" xfId="14430" xr:uid="{743F8808-A178-45F3-A028-C29C11B83CA0}"/>
    <cellStyle name="Calculation 2 3 3" xfId="293" xr:uid="{E893F26D-0741-4B8B-8A8C-FB1ADBB329EF}"/>
    <cellStyle name="Calculation 2 3 3 2" xfId="10010" xr:uid="{374916B6-C698-42A9-B388-CED0532DFD9D}"/>
    <cellStyle name="Calculation 2 3 3 2 2" xfId="14431" xr:uid="{8F02D171-12FB-4108-A54A-0C43733063F7}"/>
    <cellStyle name="Calculation 2 3 3 2 3" xfId="14432" xr:uid="{B61FA3E0-D49C-4FD6-A620-3228AE690CBE}"/>
    <cellStyle name="Calculation 2 3 3 2 4" xfId="14433" xr:uid="{AB0BD349-5C33-4914-9331-35780D2657D9}"/>
    <cellStyle name="Calculation 2 3 3 2 5" xfId="14434" xr:uid="{32D5D6CE-27DE-4EBB-8B6E-8F50F212CCCC}"/>
    <cellStyle name="Calculation 2 3 3 2 6" xfId="14435" xr:uid="{B2CE7949-EBC9-4F05-BB29-34E87CCDC8C7}"/>
    <cellStyle name="Calculation 2 3 3 3" xfId="14436" xr:uid="{7BC7AAE7-F5CA-478C-8E45-FA7D9F86EC82}"/>
    <cellStyle name="Calculation 2 3 3 4" xfId="14437" xr:uid="{A0C4040C-A63E-4D86-A39A-5F83710C6346}"/>
    <cellStyle name="Calculation 2 3 3 5" xfId="14438" xr:uid="{F5D8F4F8-8F27-4101-B958-A233FF6A5B7F}"/>
    <cellStyle name="Calculation 2 3 3 6" xfId="14439" xr:uid="{AC09A54A-A75D-426D-9BF4-C1EC14EFBB34}"/>
    <cellStyle name="Calculation 2 3 3 7" xfId="14440" xr:uid="{266C7259-01C4-40B4-BED2-CF8FDCA54D88}"/>
    <cellStyle name="Calculation 2 3 30" xfId="294" xr:uid="{DF4CEC6D-6CA8-46CB-9E33-54B590CF3F40}"/>
    <cellStyle name="Calculation 2 3 30 2" xfId="12332" xr:uid="{55D387AB-CD89-44FF-9AAB-5D9C447609C8}"/>
    <cellStyle name="Calculation 2 3 30 2 2" xfId="14441" xr:uid="{96FC2B17-DA3C-41AC-B44E-57E78E3835D4}"/>
    <cellStyle name="Calculation 2 3 30 2 3" xfId="14442" xr:uid="{25E56FE2-40F7-4566-9230-874E75138023}"/>
    <cellStyle name="Calculation 2 3 30 2 4" xfId="14443" xr:uid="{91FFB1E4-2BDB-4777-A82F-C840E8DD2AF6}"/>
    <cellStyle name="Calculation 2 3 30 2 5" xfId="14444" xr:uid="{6B109FDC-16FE-4952-926E-63E48E852689}"/>
    <cellStyle name="Calculation 2 3 30 2 6" xfId="14445" xr:uid="{5585D22C-51E1-4B3A-A075-A3C613129243}"/>
    <cellStyle name="Calculation 2 3 30 3" xfId="14446" xr:uid="{F7C74E5F-F0F1-4378-B723-C84952231923}"/>
    <cellStyle name="Calculation 2 3 30 4" xfId="14447" xr:uid="{00E441CF-B8DF-45BE-B743-84D1DD9723DA}"/>
    <cellStyle name="Calculation 2 3 30 5" xfId="14448" xr:uid="{632A95EC-850D-48EE-BE30-95526FC42501}"/>
    <cellStyle name="Calculation 2 3 30 6" xfId="14449" xr:uid="{3806CA09-54C2-428A-83D3-F8930E0EE4BF}"/>
    <cellStyle name="Calculation 2 3 30 7" xfId="14450" xr:uid="{36935306-8450-4F0E-BC1D-9D3CA7F22A39}"/>
    <cellStyle name="Calculation 2 3 31" xfId="295" xr:uid="{805A7D55-EA12-47DA-A0B6-B273F553BE41}"/>
    <cellStyle name="Calculation 2 3 31 2" xfId="12411" xr:uid="{F718A1B5-AE9E-46A0-9463-1B8B4BC0D018}"/>
    <cellStyle name="Calculation 2 3 31 2 2" xfId="14451" xr:uid="{F5452B64-77B8-4582-8751-970CDA023BFC}"/>
    <cellStyle name="Calculation 2 3 31 2 3" xfId="14452" xr:uid="{528C1D3D-A1C0-46CB-B401-053674C32BCD}"/>
    <cellStyle name="Calculation 2 3 31 2 4" xfId="14453" xr:uid="{97C76EED-CD07-4997-B202-1C64DE619438}"/>
    <cellStyle name="Calculation 2 3 31 2 5" xfId="14454" xr:uid="{8F425477-5775-4A48-A6C4-10759D0CD059}"/>
    <cellStyle name="Calculation 2 3 31 2 6" xfId="14455" xr:uid="{E0B4300B-D67D-4571-BD90-53D65A7FC8B6}"/>
    <cellStyle name="Calculation 2 3 31 3" xfId="14456" xr:uid="{9CDE8A8F-A34B-4539-B60D-FEADA97F086B}"/>
    <cellStyle name="Calculation 2 3 31 4" xfId="14457" xr:uid="{AAA931D8-4E6F-4AAC-B946-C9641C285C8B}"/>
    <cellStyle name="Calculation 2 3 31 5" xfId="14458" xr:uid="{345DE5FE-C731-4F5B-BA38-1F3B00D32B40}"/>
    <cellStyle name="Calculation 2 3 31 6" xfId="14459" xr:uid="{2A6A8490-DE76-4F34-8D57-6EBB377F7C4E}"/>
    <cellStyle name="Calculation 2 3 31 7" xfId="14460" xr:uid="{4409426D-5FF7-40BB-9EE4-A7F1A8F612D7}"/>
    <cellStyle name="Calculation 2 3 32" xfId="296" xr:uid="{0848751E-0528-4B53-9D52-60C9D01C69F0}"/>
    <cellStyle name="Calculation 2 3 32 2" xfId="12490" xr:uid="{BF05B53A-C94D-4790-8C71-1A024BB4559F}"/>
    <cellStyle name="Calculation 2 3 32 2 2" xfId="14461" xr:uid="{95F68BC6-6960-4689-8533-65906CE1354F}"/>
    <cellStyle name="Calculation 2 3 32 2 3" xfId="14462" xr:uid="{142C26DF-EF5C-4FAD-AF13-81B957367C36}"/>
    <cellStyle name="Calculation 2 3 32 2 4" xfId="14463" xr:uid="{E7BF948C-4E92-4DEB-B897-E6DB1930FE63}"/>
    <cellStyle name="Calculation 2 3 32 2 5" xfId="14464" xr:uid="{160503A1-6914-4B53-AB01-2E6A90B0116D}"/>
    <cellStyle name="Calculation 2 3 32 2 6" xfId="14465" xr:uid="{69471609-5CE7-4E8A-9055-581CAD890C1F}"/>
    <cellStyle name="Calculation 2 3 32 3" xfId="14466" xr:uid="{63A95651-A2AB-4189-9C07-2375358657FB}"/>
    <cellStyle name="Calculation 2 3 32 4" xfId="14467" xr:uid="{4C165FB5-56B8-4C6F-A58B-30815AC9F9D9}"/>
    <cellStyle name="Calculation 2 3 32 5" xfId="14468" xr:uid="{764F3CEC-5470-4B97-804D-912C4E5B167C}"/>
    <cellStyle name="Calculation 2 3 32 6" xfId="14469" xr:uid="{2C19A04A-354D-4829-9779-ADC593BE9941}"/>
    <cellStyle name="Calculation 2 3 32 7" xfId="14470" xr:uid="{EF62EA87-D92A-496F-8856-6ACA8B110BD5}"/>
    <cellStyle name="Calculation 2 3 33" xfId="297" xr:uid="{A03302E7-DB38-41D0-95A9-5C9D4C4C6C78}"/>
    <cellStyle name="Calculation 2 3 33 2" xfId="12569" xr:uid="{5E6F4C7C-EEB7-48A0-8112-D8179E3FC059}"/>
    <cellStyle name="Calculation 2 3 33 2 2" xfId="14471" xr:uid="{69B72415-943D-43EF-94B6-1A3EB8FBBB3B}"/>
    <cellStyle name="Calculation 2 3 33 2 3" xfId="14472" xr:uid="{0912AF60-F012-42AD-9668-24298340D7D0}"/>
    <cellStyle name="Calculation 2 3 33 2 4" xfId="14473" xr:uid="{36E4DB01-9365-45CF-B7D1-63144037150F}"/>
    <cellStyle name="Calculation 2 3 33 2 5" xfId="14474" xr:uid="{8984CAC6-3AF1-49C9-8B77-78A4786F89CF}"/>
    <cellStyle name="Calculation 2 3 33 2 6" xfId="14475" xr:uid="{2FB0F288-B4B4-48AF-8B1F-2731D49F7363}"/>
    <cellStyle name="Calculation 2 3 33 3" xfId="14476" xr:uid="{13A601EC-301E-416F-94E9-4B5EA070ECDE}"/>
    <cellStyle name="Calculation 2 3 33 4" xfId="14477" xr:uid="{A9B3F980-8667-4E0E-95F1-12B089847E1E}"/>
    <cellStyle name="Calculation 2 3 33 5" xfId="14478" xr:uid="{34FBEF49-3AF4-489B-AC08-1C27E0DB30A5}"/>
    <cellStyle name="Calculation 2 3 33 6" xfId="14479" xr:uid="{23B5834D-B463-4262-AF70-F96FF87596A1}"/>
    <cellStyle name="Calculation 2 3 33 7" xfId="14480" xr:uid="{237D30F2-E86E-48F0-A0E6-576AF340D17D}"/>
    <cellStyle name="Calculation 2 3 34" xfId="298" xr:uid="{475C3457-A5F2-4C25-81A4-93CB35F4CA50}"/>
    <cellStyle name="Calculation 2 3 34 2" xfId="12648" xr:uid="{1DBFBE53-6B9F-4BEA-AB08-AF7C7C1EE712}"/>
    <cellStyle name="Calculation 2 3 34 2 2" xfId="14481" xr:uid="{DCA14EB3-9104-44F4-96F9-65C20B961167}"/>
    <cellStyle name="Calculation 2 3 34 2 3" xfId="14482" xr:uid="{13482CA5-8868-465E-A74A-E22C20458905}"/>
    <cellStyle name="Calculation 2 3 34 2 4" xfId="14483" xr:uid="{ADC36668-6BA3-4C42-ABEB-75A3C6A5A6C6}"/>
    <cellStyle name="Calculation 2 3 34 2 5" xfId="14484" xr:uid="{16C31821-EF2D-4593-9627-86D4BBED1B70}"/>
    <cellStyle name="Calculation 2 3 34 2 6" xfId="14485" xr:uid="{609A8E98-4ACD-4B55-9D77-027598F9A6D8}"/>
    <cellStyle name="Calculation 2 3 34 3" xfId="14486" xr:uid="{A5478D98-1E04-4F6C-A82E-38387273B7B9}"/>
    <cellStyle name="Calculation 2 3 34 4" xfId="14487" xr:uid="{88DD2BAD-5467-4B3F-8E53-063DCB291F22}"/>
    <cellStyle name="Calculation 2 3 34 5" xfId="14488" xr:uid="{0262FA7F-7231-4511-801E-C2E50BA11BF8}"/>
    <cellStyle name="Calculation 2 3 34 6" xfId="14489" xr:uid="{858B0626-554B-4044-B752-1A2522086128}"/>
    <cellStyle name="Calculation 2 3 34 7" xfId="14490" xr:uid="{B1EAB30B-BF77-47D1-8D99-E300E7A9AB8D}"/>
    <cellStyle name="Calculation 2 3 35" xfId="299" xr:uid="{71A3ED37-DA4B-4F93-83EC-7D8A30E89924}"/>
    <cellStyle name="Calculation 2 3 35 2" xfId="12732" xr:uid="{2F44315F-FC46-4B15-9D17-70932F95F5BA}"/>
    <cellStyle name="Calculation 2 3 35 2 2" xfId="14491" xr:uid="{65EA2683-E181-46B8-8045-8080138E5417}"/>
    <cellStyle name="Calculation 2 3 35 2 3" xfId="14492" xr:uid="{812D68C6-6923-4BB3-800B-A54ED91CEEB2}"/>
    <cellStyle name="Calculation 2 3 35 2 4" xfId="14493" xr:uid="{EC3A1BD8-7B84-457B-821B-118697932156}"/>
    <cellStyle name="Calculation 2 3 35 2 5" xfId="14494" xr:uid="{CB50CCE4-B66D-451D-A56A-B1CA45E256ED}"/>
    <cellStyle name="Calculation 2 3 35 2 6" xfId="14495" xr:uid="{B9CA1E3A-FEE8-403B-AD87-3BB53CCC8E9C}"/>
    <cellStyle name="Calculation 2 3 35 3" xfId="14496" xr:uid="{A80C35A8-BD07-46DA-AF14-2B9A02D895ED}"/>
    <cellStyle name="Calculation 2 3 35 4" xfId="14497" xr:uid="{AB1FF305-38F0-449F-9612-BA2763E48E16}"/>
    <cellStyle name="Calculation 2 3 35 5" xfId="14498" xr:uid="{000796DF-3AE7-4210-8F24-E6B8567F1037}"/>
    <cellStyle name="Calculation 2 3 35 6" xfId="14499" xr:uid="{7F75F65D-2B73-4924-B4C0-205B58726FF3}"/>
    <cellStyle name="Calculation 2 3 36" xfId="3819" xr:uid="{0C698E96-9F4E-40D7-8EB0-18E2A907D4DD}"/>
    <cellStyle name="Calculation 2 3 36 2" xfId="14500" xr:uid="{20AC0416-F41A-4633-9C48-94ED356FEDAF}"/>
    <cellStyle name="Calculation 2 3 36 3" xfId="14501" xr:uid="{073A161C-BA31-4436-AE84-AC0E5A441A77}"/>
    <cellStyle name="Calculation 2 3 36 4" xfId="14502" xr:uid="{658811B9-6DDD-4CF1-8F51-197896DE532C}"/>
    <cellStyle name="Calculation 2 3 36 5" xfId="14503" xr:uid="{4F61128A-63CE-41D3-8DF3-9820DBD388D7}"/>
    <cellStyle name="Calculation 2 3 36 6" xfId="14504" xr:uid="{49C8336A-D7E4-487D-838E-9960D31000BE}"/>
    <cellStyle name="Calculation 2 3 37" xfId="9797" xr:uid="{A653D2C0-D710-4073-8777-39451C20711C}"/>
    <cellStyle name="Calculation 2 3 37 2" xfId="14505" xr:uid="{57C8EB76-4CFA-46E8-90B5-2A6A0B34C194}"/>
    <cellStyle name="Calculation 2 3 37 3" xfId="14506" xr:uid="{6029702F-C7C7-4F5B-8B57-1BEDCD9D5372}"/>
    <cellStyle name="Calculation 2 3 37 4" xfId="14507" xr:uid="{A94C92A5-69DA-434F-878B-12A97687E110}"/>
    <cellStyle name="Calculation 2 3 37 5" xfId="14508" xr:uid="{E57D96A9-E96C-4CD3-9AA9-E4128196B230}"/>
    <cellStyle name="Calculation 2 3 37 6" xfId="14509" xr:uid="{F056DAD6-41D0-4127-B212-D848E53ABABE}"/>
    <cellStyle name="Calculation 2 3 38" xfId="14510" xr:uid="{6BE2CD69-C98E-48E3-8A09-572C13B85477}"/>
    <cellStyle name="Calculation 2 3 39" xfId="14511" xr:uid="{93F1781D-3842-4558-A77C-03B710029ACF}"/>
    <cellStyle name="Calculation 2 3 4" xfId="300" xr:uid="{9F03D741-E726-4AE0-82C7-F360BA245D0F}"/>
    <cellStyle name="Calculation 2 3 4 2" xfId="10101" xr:uid="{537E0468-BC9C-436D-9543-4AB1342C6EFD}"/>
    <cellStyle name="Calculation 2 3 4 2 2" xfId="14512" xr:uid="{A3B39D17-520A-497C-ACAF-82FCA92B5D04}"/>
    <cellStyle name="Calculation 2 3 4 2 3" xfId="14513" xr:uid="{B0811559-FC74-430F-A531-46D1C4E5EB98}"/>
    <cellStyle name="Calculation 2 3 4 2 4" xfId="14514" xr:uid="{F8DB82A5-2B09-4C5B-9036-791A6166C8BB}"/>
    <cellStyle name="Calculation 2 3 4 2 5" xfId="14515" xr:uid="{562451C3-E103-491A-B0C6-DAC6C6087DB1}"/>
    <cellStyle name="Calculation 2 3 4 2 6" xfId="14516" xr:uid="{9DEBCDE4-1BA8-44E8-AC19-E3A06A2F1BE8}"/>
    <cellStyle name="Calculation 2 3 4 3" xfId="14517" xr:uid="{892A0244-755D-4304-B11D-2BE9B40212B2}"/>
    <cellStyle name="Calculation 2 3 4 4" xfId="14518" xr:uid="{F66985F9-398B-45FD-8731-350BF109530F}"/>
    <cellStyle name="Calculation 2 3 4 5" xfId="14519" xr:uid="{93D3916F-D6E6-497F-A481-0EB4E028AF87}"/>
    <cellStyle name="Calculation 2 3 4 6" xfId="14520" xr:uid="{03C51C01-12C2-4F9C-B90F-B85A0A876FF2}"/>
    <cellStyle name="Calculation 2 3 4 7" xfId="14521" xr:uid="{8B23719F-B4DD-441A-94B1-74F18A9E1C52}"/>
    <cellStyle name="Calculation 2 3 5" xfId="301" xr:uid="{9EC79106-0E39-4D68-9640-3FBFB0BC4F5C}"/>
    <cellStyle name="Calculation 2 3 5 2" xfId="10191" xr:uid="{8B1B9F19-4A99-486A-8CF1-B189ECBBD198}"/>
    <cellStyle name="Calculation 2 3 5 2 2" xfId="14522" xr:uid="{66EF0D6C-1C41-4797-ADDF-43D68CA32676}"/>
    <cellStyle name="Calculation 2 3 5 2 3" xfId="14523" xr:uid="{DA23DB0D-03E0-46A3-BC3B-AE6521D32BC1}"/>
    <cellStyle name="Calculation 2 3 5 2 4" xfId="14524" xr:uid="{D32607CA-CCAE-40A1-9C7A-0F17AEC12BC6}"/>
    <cellStyle name="Calculation 2 3 5 2 5" xfId="14525" xr:uid="{1875B4B6-A9A0-4664-918D-DE54121E24E4}"/>
    <cellStyle name="Calculation 2 3 5 2 6" xfId="14526" xr:uid="{6DA0ABC9-7153-4900-8D9A-AFFB4F921105}"/>
    <cellStyle name="Calculation 2 3 5 3" xfId="14527" xr:uid="{37001EF9-958D-4338-93BB-D2779F23E1DC}"/>
    <cellStyle name="Calculation 2 3 5 4" xfId="14528" xr:uid="{2A3845B5-C708-4E6F-8844-2A577FE90ED6}"/>
    <cellStyle name="Calculation 2 3 5 5" xfId="14529" xr:uid="{4212C098-FC88-4FCE-AA79-FB788F2AB534}"/>
    <cellStyle name="Calculation 2 3 5 6" xfId="14530" xr:uid="{6976CA15-CAFE-4F08-8460-F504704B298E}"/>
    <cellStyle name="Calculation 2 3 5 7" xfId="14531" xr:uid="{604DD150-DCA0-4B55-B94E-CE0CE187A89F}"/>
    <cellStyle name="Calculation 2 3 6" xfId="302" xr:uid="{8625D7D1-25B7-480C-A910-1B2A6C35F6BD}"/>
    <cellStyle name="Calculation 2 3 6 2" xfId="10277" xr:uid="{A879EDFD-CBD9-4140-8EAE-48D4C6425084}"/>
    <cellStyle name="Calculation 2 3 6 2 2" xfId="14532" xr:uid="{F3044580-1C7D-4D0B-9046-BA930CB53D12}"/>
    <cellStyle name="Calculation 2 3 6 2 3" xfId="14533" xr:uid="{1F542879-398C-4333-BEC2-6E5878DD611A}"/>
    <cellStyle name="Calculation 2 3 6 2 4" xfId="14534" xr:uid="{2738BFAE-B29B-4CE5-9071-D66CB4E984B6}"/>
    <cellStyle name="Calculation 2 3 6 2 5" xfId="14535" xr:uid="{ECB2C6FC-CFB9-43C9-A0EA-8F31EC4373D9}"/>
    <cellStyle name="Calculation 2 3 6 2 6" xfId="14536" xr:uid="{E5F4F786-A196-4E88-9520-DC437201D584}"/>
    <cellStyle name="Calculation 2 3 6 3" xfId="14537" xr:uid="{64A19D3F-6FC1-4113-B28A-37FA560561ED}"/>
    <cellStyle name="Calculation 2 3 6 4" xfId="14538" xr:uid="{63EFB417-3A5B-4D45-86BD-CE9855053DBB}"/>
    <cellStyle name="Calculation 2 3 6 5" xfId="14539" xr:uid="{EC4BF5AE-293E-4BF9-9B9F-DAB97ADE2A71}"/>
    <cellStyle name="Calculation 2 3 6 6" xfId="14540" xr:uid="{5811F3B3-66B3-441D-A1D6-F1756D5F0D90}"/>
    <cellStyle name="Calculation 2 3 6 7" xfId="14541" xr:uid="{2130854F-2AA4-4231-9D4A-4DAF98B91273}"/>
    <cellStyle name="Calculation 2 3 7" xfId="303" xr:uid="{FBAECFA6-64C3-4F4E-86B7-13AFF6E09494}"/>
    <cellStyle name="Calculation 2 3 7 2" xfId="10365" xr:uid="{32BDC352-6575-4C2D-B5C4-3143DEB8DC18}"/>
    <cellStyle name="Calculation 2 3 7 2 2" xfId="14542" xr:uid="{BF2D4230-7802-45CC-9721-426F0F822183}"/>
    <cellStyle name="Calculation 2 3 7 2 3" xfId="14543" xr:uid="{D25BEC6D-D8FC-4AC2-AEDA-4FEE6BF56B08}"/>
    <cellStyle name="Calculation 2 3 7 2 4" xfId="14544" xr:uid="{2E4EC44A-D456-447D-AE81-0244467F8908}"/>
    <cellStyle name="Calculation 2 3 7 2 5" xfId="14545" xr:uid="{BDBCAF1E-13A2-4C45-B893-721ED3B71741}"/>
    <cellStyle name="Calculation 2 3 7 2 6" xfId="14546" xr:uid="{74994861-F422-41E2-884A-9E5F89D47862}"/>
    <cellStyle name="Calculation 2 3 7 3" xfId="14547" xr:uid="{3B3B56D9-678D-4BCF-9B59-E30F87B88729}"/>
    <cellStyle name="Calculation 2 3 7 4" xfId="14548" xr:uid="{3005A6FC-4937-47F0-A5DA-793091CECD22}"/>
    <cellStyle name="Calculation 2 3 7 5" xfId="14549" xr:uid="{4D9D0968-5651-4415-B4E2-C101CCA7288C}"/>
    <cellStyle name="Calculation 2 3 7 6" xfId="14550" xr:uid="{ACFF7A97-F0DA-4B32-B13F-260389EA6804}"/>
    <cellStyle name="Calculation 2 3 7 7" xfId="14551" xr:uid="{0D4C9F02-B855-4014-838E-E0E57B33E9ED}"/>
    <cellStyle name="Calculation 2 3 8" xfId="304" xr:uid="{58DE0E66-A45E-4996-BF89-6E9A559E43C2}"/>
    <cellStyle name="Calculation 2 3 8 2" xfId="10452" xr:uid="{C944B755-FEA5-48D4-BD4B-0275D8003638}"/>
    <cellStyle name="Calculation 2 3 8 2 2" xfId="14552" xr:uid="{6651F5F0-FCDB-4433-89C8-2E8E6E2EECED}"/>
    <cellStyle name="Calculation 2 3 8 2 3" xfId="14553" xr:uid="{4676181A-3AB6-43F6-A295-303FF61417AB}"/>
    <cellStyle name="Calculation 2 3 8 2 4" xfId="14554" xr:uid="{E7B4BDC4-7938-44A5-8106-4AAF0F9FC767}"/>
    <cellStyle name="Calculation 2 3 8 2 5" xfId="14555" xr:uid="{B712896B-4130-4203-A6D7-E58D70FA62EE}"/>
    <cellStyle name="Calculation 2 3 8 2 6" xfId="14556" xr:uid="{C0A33EC6-96A3-4214-95D4-560AF8F9DB00}"/>
    <cellStyle name="Calculation 2 3 8 3" xfId="14557" xr:uid="{5BA7BAE3-4EE9-4720-9E8F-9DFE3D6BAB03}"/>
    <cellStyle name="Calculation 2 3 8 4" xfId="14558" xr:uid="{9E288A22-5D74-4BA7-8520-819BD6628BC5}"/>
    <cellStyle name="Calculation 2 3 8 5" xfId="14559" xr:uid="{DB7BE098-E2E6-49EA-B863-BC735397174D}"/>
    <cellStyle name="Calculation 2 3 8 6" xfId="14560" xr:uid="{5638EE83-C537-479C-99BE-50130EB26A50}"/>
    <cellStyle name="Calculation 2 3 8 7" xfId="14561" xr:uid="{343967E5-0E33-40A2-AD73-9BFC2489F651}"/>
    <cellStyle name="Calculation 2 3 9" xfId="305" xr:uid="{F326816C-AE68-4541-B269-E0184A0C1451}"/>
    <cellStyle name="Calculation 2 3 9 2" xfId="10541" xr:uid="{67F8A627-6CBA-472E-AEF7-4735A394018F}"/>
    <cellStyle name="Calculation 2 3 9 2 2" xfId="14562" xr:uid="{4C724CF3-4626-4E9D-BE3B-4BFCBF153B75}"/>
    <cellStyle name="Calculation 2 3 9 2 3" xfId="14563" xr:uid="{9C7E880B-277C-478B-A3A0-439AFAF09736}"/>
    <cellStyle name="Calculation 2 3 9 2 4" xfId="14564" xr:uid="{CD336A6D-37CD-474E-B10D-DD36EE85C494}"/>
    <cellStyle name="Calculation 2 3 9 2 5" xfId="14565" xr:uid="{403E4B26-3BC3-4FFD-91ED-949FFACAA590}"/>
    <cellStyle name="Calculation 2 3 9 2 6" xfId="14566" xr:uid="{9C1997B6-0A12-4B91-9043-DDECD8F52FE3}"/>
    <cellStyle name="Calculation 2 3 9 3" xfId="14567" xr:uid="{5F7C6591-653D-4062-96E4-4B85044F1B77}"/>
    <cellStyle name="Calculation 2 3 9 4" xfId="14568" xr:uid="{19BBE7FD-34ED-4B3F-8DBD-4C4577BEA3FB}"/>
    <cellStyle name="Calculation 2 3 9 5" xfId="14569" xr:uid="{D076FB65-D142-4381-B0A7-3972A2EE2C0C}"/>
    <cellStyle name="Calculation 2 3 9 6" xfId="14570" xr:uid="{2161D902-E411-42FC-A1F8-7E41DDF3618E}"/>
    <cellStyle name="Calculation 2 3 9 7" xfId="14571" xr:uid="{276E0685-697A-4B67-A530-8095F7DDB8F4}"/>
    <cellStyle name="Calculation 2 30" xfId="306" xr:uid="{1327840F-10C2-4570-A285-97C025C61740}"/>
    <cellStyle name="Calculation 2 30 2" xfId="10776" xr:uid="{A7D40A5D-671F-4624-9359-8EAF97378DDD}"/>
    <cellStyle name="Calculation 2 30 2 2" xfId="14572" xr:uid="{65B81B3A-D781-458D-ACD7-69CB4B241158}"/>
    <cellStyle name="Calculation 2 30 2 3" xfId="14573" xr:uid="{A374A7ED-3C66-43CC-B551-646B09FF522F}"/>
    <cellStyle name="Calculation 2 30 2 4" xfId="14574" xr:uid="{BE8EC116-53C8-4BF8-9A06-6C33B66E9D40}"/>
    <cellStyle name="Calculation 2 30 2 5" xfId="14575" xr:uid="{40D18A05-C727-4E90-80A0-1FF441FC23DB}"/>
    <cellStyle name="Calculation 2 30 2 6" xfId="14576" xr:uid="{D8EA91F8-C462-4DB1-BF17-F166CF5F373A}"/>
    <cellStyle name="Calculation 2 30 3" xfId="14577" xr:uid="{A1453A64-6E12-43B2-A134-5FCA9D51E7C6}"/>
    <cellStyle name="Calculation 2 30 4" xfId="14578" xr:uid="{1F0198E3-5292-4C2B-BD18-C4953B4A3680}"/>
    <cellStyle name="Calculation 2 30 5" xfId="14579" xr:uid="{C0C48BA0-3FE7-48B8-80F0-1EA3B1D9D12E}"/>
    <cellStyle name="Calculation 2 30 6" xfId="14580" xr:uid="{5245349C-6D4E-4034-90A6-0E5E13400E07}"/>
    <cellStyle name="Calculation 2 30 7" xfId="14581" xr:uid="{CF0B74A4-4A97-468A-B4DF-EC60CDAF2B4C}"/>
    <cellStyle name="Calculation 2 31" xfId="307" xr:uid="{91165F7D-1589-4C3A-AF32-280528632EA7}"/>
    <cellStyle name="Calculation 2 31 2" xfId="9926" xr:uid="{30144439-6931-4D82-BB5A-A5C9D41076E1}"/>
    <cellStyle name="Calculation 2 31 2 2" xfId="14582" xr:uid="{9F60E1D8-2B94-4967-B338-532C3CC4EE0F}"/>
    <cellStyle name="Calculation 2 31 2 3" xfId="14583" xr:uid="{CFC616BC-E89F-45C0-9346-EE9DAB8FDD8E}"/>
    <cellStyle name="Calculation 2 31 2 4" xfId="14584" xr:uid="{7A1800A7-0128-4A5F-92AF-E5ED8589B649}"/>
    <cellStyle name="Calculation 2 31 2 5" xfId="14585" xr:uid="{E35F22BA-6AC5-4F7A-907B-FF36D5C0E335}"/>
    <cellStyle name="Calculation 2 31 2 6" xfId="14586" xr:uid="{F06A2A9F-5E5E-426E-BB11-D67620A736FD}"/>
    <cellStyle name="Calculation 2 31 3" xfId="14587" xr:uid="{EE5CB502-BD48-4418-AD14-5D3A84D9D8F0}"/>
    <cellStyle name="Calculation 2 31 4" xfId="14588" xr:uid="{B8182405-9320-4DA3-89A9-2C0D32D6B63E}"/>
    <cellStyle name="Calculation 2 31 5" xfId="14589" xr:uid="{14FE3E59-85FD-46F0-B62B-F6F5C8E3138B}"/>
    <cellStyle name="Calculation 2 31 6" xfId="14590" xr:uid="{381DD945-B7B0-4E03-B6C7-D5022040C4AC}"/>
    <cellStyle name="Calculation 2 31 7" xfId="14591" xr:uid="{8DBB1EB5-62C7-4876-857F-0DB8E17C96F6}"/>
    <cellStyle name="Calculation 2 32" xfId="308" xr:uid="{8DF3F46D-35A0-4D13-885A-3F583141ABFF}"/>
    <cellStyle name="Calculation 2 32 2" xfId="11651" xr:uid="{859B0332-2D26-439C-8D53-A120D240BCF4}"/>
    <cellStyle name="Calculation 2 32 2 2" xfId="14592" xr:uid="{B4384429-FBAE-440B-B36D-145DBE92F2F7}"/>
    <cellStyle name="Calculation 2 32 2 3" xfId="14593" xr:uid="{9B95BEF5-5ACA-4A3A-9652-46848F995AE6}"/>
    <cellStyle name="Calculation 2 32 2 4" xfId="14594" xr:uid="{1789696B-03B1-4456-86D6-10E3DDBC8232}"/>
    <cellStyle name="Calculation 2 32 2 5" xfId="14595" xr:uid="{4880C5EC-15C2-4CF4-9710-E4052D4232D7}"/>
    <cellStyle name="Calculation 2 32 2 6" xfId="14596" xr:uid="{464BC75F-CCE8-4EC5-BC70-0406D0C6813F}"/>
    <cellStyle name="Calculation 2 32 3" xfId="14597" xr:uid="{3B8E5422-5EBC-40A5-A692-5214BE67F31F}"/>
    <cellStyle name="Calculation 2 32 4" xfId="14598" xr:uid="{92CFC926-0767-41F8-B310-0DFCB0BEA939}"/>
    <cellStyle name="Calculation 2 32 5" xfId="14599" xr:uid="{9B022D51-2D0F-4990-9040-4E66D1299E30}"/>
    <cellStyle name="Calculation 2 32 6" xfId="14600" xr:uid="{A677DA8E-63E0-4922-8F9C-2A08FE14ABE7}"/>
    <cellStyle name="Calculation 2 32 7" xfId="14601" xr:uid="{AD18AFDC-55EC-4085-A202-F40E10503BDB}"/>
    <cellStyle name="Calculation 2 33" xfId="309" xr:uid="{904BA2B7-8567-485A-A68C-91A245CD4CBE}"/>
    <cellStyle name="Calculation 2 33 2" xfId="9928" xr:uid="{0D43212B-FF61-49CC-8403-86018268B567}"/>
    <cellStyle name="Calculation 2 33 2 2" xfId="14602" xr:uid="{0036C1A2-1CDB-4D3F-BB94-911E2FCB1813}"/>
    <cellStyle name="Calculation 2 33 2 3" xfId="14603" xr:uid="{ACDAD838-4110-4F01-9B79-9A10FD2BD669}"/>
    <cellStyle name="Calculation 2 33 2 4" xfId="14604" xr:uid="{00843155-E8B9-4E2B-B3CE-095B2D42EF7E}"/>
    <cellStyle name="Calculation 2 33 2 5" xfId="14605" xr:uid="{EF228C6F-34D3-4D92-8180-6B6687471C73}"/>
    <cellStyle name="Calculation 2 33 2 6" xfId="14606" xr:uid="{9636F4ED-6C51-4E8E-8983-825E78A82633}"/>
    <cellStyle name="Calculation 2 33 3" xfId="14607" xr:uid="{124D0F80-2583-4795-8447-5E8470FA54ED}"/>
    <cellStyle name="Calculation 2 33 4" xfId="14608" xr:uid="{7EE313E9-6F2F-4BD0-8CE5-0150458E1957}"/>
    <cellStyle name="Calculation 2 33 5" xfId="14609" xr:uid="{DA47BF67-E92E-463F-A0C3-C72D79DA0CF8}"/>
    <cellStyle name="Calculation 2 33 6" xfId="14610" xr:uid="{1A3D3A61-7C6F-43DB-BD79-4582E8FC4949}"/>
    <cellStyle name="Calculation 2 33 7" xfId="14611" xr:uid="{DC65D5C8-5FD1-4552-B48D-D782BD7903A4}"/>
    <cellStyle name="Calculation 2 34" xfId="310" xr:uid="{0CBB73A0-3AA8-4675-A71E-66AFDE5B90F3}"/>
    <cellStyle name="Calculation 2 34 2" xfId="11655" xr:uid="{CB4AAD18-9200-461B-838D-BC6BEFD2649A}"/>
    <cellStyle name="Calculation 2 34 2 2" xfId="14612" xr:uid="{916E3C53-BA39-4B34-BC5C-5760E88B585D}"/>
    <cellStyle name="Calculation 2 34 2 3" xfId="14613" xr:uid="{D303DAA1-BAD2-4A0C-993C-849501329053}"/>
    <cellStyle name="Calculation 2 34 2 4" xfId="14614" xr:uid="{D365DBD6-011B-4C2C-AD22-C05A5AD2A0EE}"/>
    <cellStyle name="Calculation 2 34 2 5" xfId="14615" xr:uid="{A9017DEA-0FF3-472D-BFD4-9EC3F86521DD}"/>
    <cellStyle name="Calculation 2 34 2 6" xfId="14616" xr:uid="{D6171325-79E8-47B8-880B-20AC719CF3ED}"/>
    <cellStyle name="Calculation 2 34 3" xfId="14617" xr:uid="{CF962E4D-20AE-4F41-BF34-D81E39077EDB}"/>
    <cellStyle name="Calculation 2 34 4" xfId="14618" xr:uid="{EC372F66-FE17-4496-A98B-1839EFA83942}"/>
    <cellStyle name="Calculation 2 34 5" xfId="14619" xr:uid="{FB95890D-1F31-426B-A23B-F5C7A5E3C4C5}"/>
    <cellStyle name="Calculation 2 34 6" xfId="14620" xr:uid="{B1E0CAC2-7407-467F-B50F-A293442688EA}"/>
    <cellStyle name="Calculation 2 34 7" xfId="14621" xr:uid="{9BDE9BAA-5C2F-42E7-9D0D-A6512ACFD1FE}"/>
    <cellStyle name="Calculation 2 35" xfId="311" xr:uid="{28A67EEB-4F5E-4525-97ED-6D8E21C01083}"/>
    <cellStyle name="Calculation 2 35 2" xfId="11131" xr:uid="{C646BE56-4D24-47BB-A6AD-4676C3414D72}"/>
    <cellStyle name="Calculation 2 35 2 2" xfId="14622" xr:uid="{4DD339FD-FE08-4095-A90F-3A23A80B5D6A}"/>
    <cellStyle name="Calculation 2 35 2 3" xfId="14623" xr:uid="{6745EC9F-9ABF-486E-B2CA-6E651CC355BB}"/>
    <cellStyle name="Calculation 2 35 2 4" xfId="14624" xr:uid="{F7986B17-40B6-40E9-9358-E10EE0EB23E7}"/>
    <cellStyle name="Calculation 2 35 2 5" xfId="14625" xr:uid="{B64EBFCB-38B0-487A-BF0A-CDDA1410308D}"/>
    <cellStyle name="Calculation 2 35 2 6" xfId="14626" xr:uid="{60C8EDD0-F6FD-4B2E-8ABF-B7CCF50CEEF6}"/>
    <cellStyle name="Calculation 2 35 3" xfId="14627" xr:uid="{1A64C01E-464A-48B1-8F3E-CA296865C40C}"/>
    <cellStyle name="Calculation 2 35 4" xfId="14628" xr:uid="{7AC1736A-BFC2-4095-AF91-BA1F860A1301}"/>
    <cellStyle name="Calculation 2 35 5" xfId="14629" xr:uid="{0077AB2E-2F53-4D06-8417-27DD3644C96C}"/>
    <cellStyle name="Calculation 2 35 6" xfId="14630" xr:uid="{10755742-E556-453E-9197-DC377975847A}"/>
    <cellStyle name="Calculation 2 35 7" xfId="14631" xr:uid="{7F1A1448-9ED7-4054-A9CE-CB8ABFFE6D43}"/>
    <cellStyle name="Calculation 2 36" xfId="312" xr:uid="{8E034BB0-C4AE-4133-A5FB-30B3AFD22A61}"/>
    <cellStyle name="Calculation 2 36 2" xfId="10006" xr:uid="{D4FB4C26-6E61-4055-9031-CE0900234E07}"/>
    <cellStyle name="Calculation 2 36 2 2" xfId="14632" xr:uid="{8DCB9A05-67E6-4E34-AE41-6E97AF117C3A}"/>
    <cellStyle name="Calculation 2 36 2 3" xfId="14633" xr:uid="{79CC9717-2092-4D46-8F71-919792F30CE8}"/>
    <cellStyle name="Calculation 2 36 2 4" xfId="14634" xr:uid="{BCB7AF81-A583-4CA4-BAF7-54ED31E4CB3B}"/>
    <cellStyle name="Calculation 2 36 2 5" xfId="14635" xr:uid="{475D11FE-3FC2-445F-926F-9AD10E5DCBCC}"/>
    <cellStyle name="Calculation 2 36 2 6" xfId="14636" xr:uid="{3B0C89DB-3DAB-400D-8C46-313CB814000F}"/>
    <cellStyle name="Calculation 2 36 3" xfId="14637" xr:uid="{F1223DCD-AFF3-4D0C-A3AB-E3A5C15136B8}"/>
    <cellStyle name="Calculation 2 36 4" xfId="14638" xr:uid="{9D5947F7-B6A1-4EAD-94FD-66F1B5C33B66}"/>
    <cellStyle name="Calculation 2 36 5" xfId="14639" xr:uid="{F97CD0A3-614D-4C1D-BC02-FE52558A0D9D}"/>
    <cellStyle name="Calculation 2 36 6" xfId="14640" xr:uid="{D7B1C0B8-80F7-40C2-AD6E-7FD3D50A4EAA}"/>
    <cellStyle name="Calculation 2 36 7" xfId="14641" xr:uid="{F088FBB0-1ED7-4442-B7F2-831D7B4FC686}"/>
    <cellStyle name="Calculation 2 37" xfId="313" xr:uid="{C0D37BCD-24B8-4663-8E12-9329FD13023E}"/>
    <cellStyle name="Calculation 2 37 2" xfId="9941" xr:uid="{948683F1-A4E9-4C90-9D04-24008AA1A354}"/>
    <cellStyle name="Calculation 2 37 2 2" xfId="14642" xr:uid="{0F7217FF-80B7-407D-ABA0-0F9F5E43BE1A}"/>
    <cellStyle name="Calculation 2 37 2 3" xfId="14643" xr:uid="{7C79CBF1-21F4-4353-9ADD-7617EEC25523}"/>
    <cellStyle name="Calculation 2 37 2 4" xfId="14644" xr:uid="{4E04D5B1-19F0-431D-9FE9-F30A642259F7}"/>
    <cellStyle name="Calculation 2 37 2 5" xfId="14645" xr:uid="{02D18219-77BF-4751-84BB-94B6E47A425A}"/>
    <cellStyle name="Calculation 2 37 2 6" xfId="14646" xr:uid="{7C905F80-B08C-45F5-BF84-2030406323FF}"/>
    <cellStyle name="Calculation 2 37 3" xfId="14647" xr:uid="{A8BF5548-3EBB-4AE6-9211-9D5FCB256833}"/>
    <cellStyle name="Calculation 2 37 4" xfId="14648" xr:uid="{46C9543A-E5C8-4848-A89A-EA03217731C2}"/>
    <cellStyle name="Calculation 2 37 5" xfId="14649" xr:uid="{505D5016-D5F1-4F25-ABA2-99A564B2B2D8}"/>
    <cellStyle name="Calculation 2 37 6" xfId="14650" xr:uid="{813B187F-69CA-40ED-A194-2F62B44BA391}"/>
    <cellStyle name="Calculation 2 37 7" xfId="14651" xr:uid="{E07804B7-BB10-4CFE-BF14-4E84722E76FE}"/>
    <cellStyle name="Calculation 2 38" xfId="314" xr:uid="{E725147D-65EE-4BB9-93C7-AADEA19F94BA}"/>
    <cellStyle name="Calculation 2 38 2" xfId="10165" xr:uid="{81ECA72F-59C0-4524-B6FB-74B3ECFBFF36}"/>
    <cellStyle name="Calculation 2 38 2 2" xfId="14652" xr:uid="{06E1FC8E-BA52-4B49-9083-51E6D6B19562}"/>
    <cellStyle name="Calculation 2 38 2 3" xfId="14653" xr:uid="{0B944164-2985-4B7E-978C-2B8BE0A0EA2E}"/>
    <cellStyle name="Calculation 2 38 2 4" xfId="14654" xr:uid="{CFA9D3FE-50B5-4C06-B3A9-61B7018DCD9F}"/>
    <cellStyle name="Calculation 2 38 2 5" xfId="14655" xr:uid="{62BA860E-1BF5-42F3-82C4-AB3623B2020E}"/>
    <cellStyle name="Calculation 2 38 2 6" xfId="14656" xr:uid="{2B53B53D-C087-4032-A2AF-46C1D7197D6E}"/>
    <cellStyle name="Calculation 2 38 3" xfId="14657" xr:uid="{AA2D3E29-D81D-43E8-B8B3-A383C2D4EF38}"/>
    <cellStyle name="Calculation 2 38 4" xfId="14658" xr:uid="{EAD334B4-D791-4DEF-8024-C3E8380962F0}"/>
    <cellStyle name="Calculation 2 38 5" xfId="14659" xr:uid="{4C2CD142-4C88-47A1-BF2D-EC5E2303C543}"/>
    <cellStyle name="Calculation 2 38 6" xfId="14660" xr:uid="{E18E0B10-4A68-4ECC-80E0-413C707EE75F}"/>
    <cellStyle name="Calculation 2 39" xfId="315" xr:uid="{B1942CF2-66F9-4BA0-B41C-F52D4F9E907E}"/>
    <cellStyle name="Calculation 2 39 2" xfId="14661" xr:uid="{5AB10046-BC6B-4372-9D7C-117C6772E952}"/>
    <cellStyle name="Calculation 2 39 3" xfId="14662" xr:uid="{55AF76F1-D8D6-40FE-AB3C-0B2E37CCCE4B}"/>
    <cellStyle name="Calculation 2 39 4" xfId="14663" xr:uid="{75ACFEF5-702B-4FDB-ADCB-D783B1719974}"/>
    <cellStyle name="Calculation 2 39 5" xfId="14664" xr:uid="{0D88EEEF-F71B-46CC-85EB-8070633023ED}"/>
    <cellStyle name="Calculation 2 39 6" xfId="14665" xr:uid="{12D8E46D-BCEC-45D1-AC65-69F6D64D0C64}"/>
    <cellStyle name="Calculation 2 4" xfId="316" xr:uid="{AB8051C3-C164-4A00-99E7-4645DA7510E3}"/>
    <cellStyle name="Calculation 2 4 10" xfId="317" xr:uid="{7D3912BA-06EA-475B-9775-EFC4D61B9911}"/>
    <cellStyle name="Calculation 2 4 10 2" xfId="10699" xr:uid="{42336DAC-2FDE-41EF-843A-7E4DE56EE8C8}"/>
    <cellStyle name="Calculation 2 4 10 2 2" xfId="14666" xr:uid="{6EA7A676-4903-4EE6-AADF-23E105D9CE47}"/>
    <cellStyle name="Calculation 2 4 10 2 3" xfId="14667" xr:uid="{88890289-A902-48BB-8255-CBCBE30E4E21}"/>
    <cellStyle name="Calculation 2 4 10 2 4" xfId="14668" xr:uid="{6004B404-63B6-4271-AA9D-D370911EA6D2}"/>
    <cellStyle name="Calculation 2 4 10 2 5" xfId="14669" xr:uid="{A4289800-8609-4614-B0CE-DACD5F8C86AD}"/>
    <cellStyle name="Calculation 2 4 10 2 6" xfId="14670" xr:uid="{C42ECC93-E154-4B29-9097-9FF2A0873721}"/>
    <cellStyle name="Calculation 2 4 10 3" xfId="14671" xr:uid="{BEEED0B6-272E-49F0-9111-E6857E1E5D88}"/>
    <cellStyle name="Calculation 2 4 10 4" xfId="14672" xr:uid="{19539169-DF86-4306-B6CB-6B01ED315817}"/>
    <cellStyle name="Calculation 2 4 10 5" xfId="14673" xr:uid="{334F7B0E-7BB4-43DC-8F13-623C200E4806}"/>
    <cellStyle name="Calculation 2 4 10 6" xfId="14674" xr:uid="{FF688FE3-1A46-4309-A301-7D2D3E8E7427}"/>
    <cellStyle name="Calculation 2 4 10 7" xfId="14675" xr:uid="{0C8BED19-9041-4A07-AE66-384D85896BF6}"/>
    <cellStyle name="Calculation 2 4 11" xfId="318" xr:uid="{1FE3E701-2141-469B-9DBD-E1F568005473}"/>
    <cellStyle name="Calculation 2 4 11 2" xfId="10790" xr:uid="{0D4E1102-8E33-454C-991C-A6CCE14F7697}"/>
    <cellStyle name="Calculation 2 4 11 2 2" xfId="14676" xr:uid="{F9B13D74-7C0C-4043-B210-424F37669D91}"/>
    <cellStyle name="Calculation 2 4 11 2 3" xfId="14677" xr:uid="{6D535B60-A028-4670-B5E8-48B40CC259B6}"/>
    <cellStyle name="Calculation 2 4 11 2 4" xfId="14678" xr:uid="{8163BDF2-7181-43F7-B72D-3F8FA712F9ED}"/>
    <cellStyle name="Calculation 2 4 11 2 5" xfId="14679" xr:uid="{D961FC6C-8765-4049-AFDB-D725E5CD3653}"/>
    <cellStyle name="Calculation 2 4 11 2 6" xfId="14680" xr:uid="{0452A19A-BBAD-4DFE-94CE-A7ABAD6F1842}"/>
    <cellStyle name="Calculation 2 4 11 3" xfId="14681" xr:uid="{A3E4F9C1-274A-4B80-97A0-1E609DF16C7D}"/>
    <cellStyle name="Calculation 2 4 11 4" xfId="14682" xr:uid="{D6F1D1DC-AA79-4CD9-9DAA-7170E9D8816B}"/>
    <cellStyle name="Calculation 2 4 11 5" xfId="14683" xr:uid="{E5B1F669-62B0-4C32-A263-7B16CE780396}"/>
    <cellStyle name="Calculation 2 4 11 6" xfId="14684" xr:uid="{DC1635FA-3D82-4228-8E42-4A17F8C83CE6}"/>
    <cellStyle name="Calculation 2 4 11 7" xfId="14685" xr:uid="{9F2D041B-9CBA-4528-91F3-8AC87820911E}"/>
    <cellStyle name="Calculation 2 4 12" xfId="319" xr:uid="{328B708B-2BC8-4480-8F36-7C14DDF8A394}"/>
    <cellStyle name="Calculation 2 4 12 2" xfId="10877" xr:uid="{04DB392E-5926-479B-B793-ED039B5CF0E2}"/>
    <cellStyle name="Calculation 2 4 12 2 2" xfId="14686" xr:uid="{DE9346A1-C3B2-43B1-867A-9158F6F03853}"/>
    <cellStyle name="Calculation 2 4 12 2 3" xfId="14687" xr:uid="{33AF3066-7C8B-4144-9575-6D265226497C}"/>
    <cellStyle name="Calculation 2 4 12 2 4" xfId="14688" xr:uid="{448A8F17-D519-4545-A3C0-40ECB315F2C3}"/>
    <cellStyle name="Calculation 2 4 12 2 5" xfId="14689" xr:uid="{591444DE-2A48-4784-8EFE-52EB67D396FA}"/>
    <cellStyle name="Calculation 2 4 12 2 6" xfId="14690" xr:uid="{18E09938-0D4F-47C4-BF00-0B3AB17C9AAD}"/>
    <cellStyle name="Calculation 2 4 12 3" xfId="14691" xr:uid="{73D1D0BC-1A38-4000-9B51-00539EFE317E}"/>
    <cellStyle name="Calculation 2 4 12 4" xfId="14692" xr:uid="{5714F8A3-FD5E-4953-AE4E-E920F1AF6012}"/>
    <cellStyle name="Calculation 2 4 12 5" xfId="14693" xr:uid="{58778C53-CAAA-4B5A-B3F9-F8B9A978A09A}"/>
    <cellStyle name="Calculation 2 4 12 6" xfId="14694" xr:uid="{5E2A778C-591D-4DB6-BB69-13BCD5A1EF07}"/>
    <cellStyle name="Calculation 2 4 12 7" xfId="14695" xr:uid="{7BE090D8-DC69-4DA2-8976-75AAF9F2F4AD}"/>
    <cellStyle name="Calculation 2 4 13" xfId="320" xr:uid="{95DCCBDD-CECB-4406-AD01-E7008CDCECC7}"/>
    <cellStyle name="Calculation 2 4 13 2" xfId="10966" xr:uid="{39B2BC21-0FA1-43B8-94CD-2B9416A253A2}"/>
    <cellStyle name="Calculation 2 4 13 2 2" xfId="14696" xr:uid="{972A547C-52BE-49FC-A310-589197AB8A4F}"/>
    <cellStyle name="Calculation 2 4 13 2 3" xfId="14697" xr:uid="{4E8F2563-DBFD-4041-BBF6-064E2EFF14B1}"/>
    <cellStyle name="Calculation 2 4 13 2 4" xfId="14698" xr:uid="{4CDCF96A-6967-4CF7-8B9F-DEDF7CB08B26}"/>
    <cellStyle name="Calculation 2 4 13 2 5" xfId="14699" xr:uid="{6F62EB5C-5CD2-4589-8488-C589953C0FAA}"/>
    <cellStyle name="Calculation 2 4 13 2 6" xfId="14700" xr:uid="{58A694C1-89A7-4139-8DB7-DD4F8EE8A20C}"/>
    <cellStyle name="Calculation 2 4 13 3" xfId="14701" xr:uid="{6E8A1C7B-BD83-4751-A2DE-3D2F06A74B56}"/>
    <cellStyle name="Calculation 2 4 13 4" xfId="14702" xr:uid="{B1EAD5FE-786F-4B27-9B78-6D0F1377BCCE}"/>
    <cellStyle name="Calculation 2 4 13 5" xfId="14703" xr:uid="{202F69B9-BAC2-425B-8DCD-DDE1F3154786}"/>
    <cellStyle name="Calculation 2 4 13 6" xfId="14704" xr:uid="{F857FF94-F932-414B-9ECB-3B286B3A4966}"/>
    <cellStyle name="Calculation 2 4 13 7" xfId="14705" xr:uid="{6AE7325E-61B4-40D3-958B-D5A7FADA9EEE}"/>
    <cellStyle name="Calculation 2 4 14" xfId="321" xr:uid="{5198C59B-5B2F-4F80-99EA-3837C429274F}"/>
    <cellStyle name="Calculation 2 4 14 2" xfId="11058" xr:uid="{8B97687D-236F-4164-9ACC-5599D1FF15FC}"/>
    <cellStyle name="Calculation 2 4 14 2 2" xfId="14706" xr:uid="{CC5C072E-E0E7-461D-9407-D7262E164580}"/>
    <cellStyle name="Calculation 2 4 14 2 3" xfId="14707" xr:uid="{B3447BB7-A635-4D0B-8408-CC68C18A512D}"/>
    <cellStyle name="Calculation 2 4 14 2 4" xfId="14708" xr:uid="{ADCD3B96-5ACB-41F7-9180-8DA1498B3087}"/>
    <cellStyle name="Calculation 2 4 14 2 5" xfId="14709" xr:uid="{1AB91AE2-F675-4B9F-B61A-E05AA98233FB}"/>
    <cellStyle name="Calculation 2 4 14 2 6" xfId="14710" xr:uid="{0E263166-CFEF-438B-9907-34DB20E25A92}"/>
    <cellStyle name="Calculation 2 4 14 3" xfId="14711" xr:uid="{4EDF17C2-FF54-4D4E-95D9-F121E32AB34D}"/>
    <cellStyle name="Calculation 2 4 14 4" xfId="14712" xr:uid="{3FA3FED2-F333-4F25-BA66-B9E8741E8F29}"/>
    <cellStyle name="Calculation 2 4 14 5" xfId="14713" xr:uid="{5EB6A6D2-5616-4DCF-BE3A-3F38DDC11801}"/>
    <cellStyle name="Calculation 2 4 14 6" xfId="14714" xr:uid="{2237763A-09F6-4766-A899-DDFF30B90BDB}"/>
    <cellStyle name="Calculation 2 4 14 7" xfId="14715" xr:uid="{7A2E9C9F-3BC2-4056-912E-2291C0BDEA4D}"/>
    <cellStyle name="Calculation 2 4 15" xfId="322" xr:uid="{1C3BF7DC-4E9A-4FA6-A3A5-0AEB3C406107}"/>
    <cellStyle name="Calculation 2 4 15 2" xfId="11141" xr:uid="{A292B70C-0890-4AD2-ACED-66F6577B80E3}"/>
    <cellStyle name="Calculation 2 4 15 2 2" xfId="14716" xr:uid="{096AD02C-3BEB-4CD2-B1AC-B30F687EB6AE}"/>
    <cellStyle name="Calculation 2 4 15 2 3" xfId="14717" xr:uid="{486ACE5B-7811-4490-A06B-BBD8AD5834E2}"/>
    <cellStyle name="Calculation 2 4 15 2 4" xfId="14718" xr:uid="{65251599-CB71-428A-AF10-4326B1ACB50A}"/>
    <cellStyle name="Calculation 2 4 15 2 5" xfId="14719" xr:uid="{8F0BF404-3F75-468C-BE49-6CBB23DF6BD9}"/>
    <cellStyle name="Calculation 2 4 15 2 6" xfId="14720" xr:uid="{234A9541-730E-40BA-A7F3-C53456E20FC6}"/>
    <cellStyle name="Calculation 2 4 15 3" xfId="14721" xr:uid="{DE8BAB14-913E-44EE-8DFE-8F3D33808E1F}"/>
    <cellStyle name="Calculation 2 4 15 4" xfId="14722" xr:uid="{C6718DDB-68BC-4794-AD96-B166A7AE6B3A}"/>
    <cellStyle name="Calculation 2 4 15 5" xfId="14723" xr:uid="{0B52BF12-A17F-42E7-AAC0-7EF2DB89E7ED}"/>
    <cellStyle name="Calculation 2 4 15 6" xfId="14724" xr:uid="{5A5687B3-DC99-4369-B314-016630393B52}"/>
    <cellStyle name="Calculation 2 4 15 7" xfId="14725" xr:uid="{86E5A4C2-948E-497A-9035-2F045257DE82}"/>
    <cellStyle name="Calculation 2 4 16" xfId="323" xr:uid="{3008F3E2-7354-4691-8DA2-564022F9512F}"/>
    <cellStyle name="Calculation 2 4 16 2" xfId="11230" xr:uid="{47048203-F13C-4933-AE7A-8C6F8C012939}"/>
    <cellStyle name="Calculation 2 4 16 2 2" xfId="14726" xr:uid="{1B6CE361-5124-4FC7-8E2A-82004DF607B8}"/>
    <cellStyle name="Calculation 2 4 16 2 3" xfId="14727" xr:uid="{E3216345-E249-4EE8-85B6-F6D08A0F6BAF}"/>
    <cellStyle name="Calculation 2 4 16 2 4" xfId="14728" xr:uid="{2FC5109E-6476-49EF-A8AA-C0653B32C35E}"/>
    <cellStyle name="Calculation 2 4 16 2 5" xfId="14729" xr:uid="{742C743E-C1C2-4467-A41E-909649BF320D}"/>
    <cellStyle name="Calculation 2 4 16 2 6" xfId="14730" xr:uid="{C8620E0B-9204-4A67-A4F7-F47116DACD14}"/>
    <cellStyle name="Calculation 2 4 16 3" xfId="14731" xr:uid="{9537195C-D2DE-42BE-A0DC-257B688F18EE}"/>
    <cellStyle name="Calculation 2 4 16 4" xfId="14732" xr:uid="{C2334A3C-B91A-44BF-881D-83D9733190C0}"/>
    <cellStyle name="Calculation 2 4 16 5" xfId="14733" xr:uid="{FA09DA2E-3F43-49A1-9C1E-ABD13977FF50}"/>
    <cellStyle name="Calculation 2 4 16 6" xfId="14734" xr:uid="{E39C764C-DC17-4FD7-853C-888260BEC7DA}"/>
    <cellStyle name="Calculation 2 4 16 7" xfId="14735" xr:uid="{7ADEF218-F6BC-4A82-9501-00CFF9162198}"/>
    <cellStyle name="Calculation 2 4 17" xfId="324" xr:uid="{F9AB8CBE-E0AB-409E-86BE-9EAA117E8AA6}"/>
    <cellStyle name="Calculation 2 4 17 2" xfId="11316" xr:uid="{ACBD73BD-AD2A-4A3C-974E-34A2F8FE1A89}"/>
    <cellStyle name="Calculation 2 4 17 2 2" xfId="14736" xr:uid="{664B4185-79C7-477B-9F89-2A71E3957C8D}"/>
    <cellStyle name="Calculation 2 4 17 2 3" xfId="14737" xr:uid="{52009E2E-44DF-4316-B5AA-7FE036194451}"/>
    <cellStyle name="Calculation 2 4 17 2 4" xfId="14738" xr:uid="{B16F7730-36A1-42A8-8B11-520B0D678BCE}"/>
    <cellStyle name="Calculation 2 4 17 2 5" xfId="14739" xr:uid="{84C70AF2-6EED-4477-ADC0-F821F1900546}"/>
    <cellStyle name="Calculation 2 4 17 2 6" xfId="14740" xr:uid="{E19C80A0-1454-4626-AD92-F505D4AFACE4}"/>
    <cellStyle name="Calculation 2 4 17 3" xfId="14741" xr:uid="{30FDBF4F-1E05-454E-B503-0E1D6EE4136E}"/>
    <cellStyle name="Calculation 2 4 17 4" xfId="14742" xr:uid="{B4B35D76-5498-4177-88ED-E8D0E6B6FBE1}"/>
    <cellStyle name="Calculation 2 4 17 5" xfId="14743" xr:uid="{66ADB622-A828-455F-9E2B-BAAA89A0C42E}"/>
    <cellStyle name="Calculation 2 4 17 6" xfId="14744" xr:uid="{D13853CB-E19A-4040-964A-184E01189A6E}"/>
    <cellStyle name="Calculation 2 4 17 7" xfId="14745" xr:uid="{279F3DAB-39D6-457B-92E8-9D9610E2591D}"/>
    <cellStyle name="Calculation 2 4 18" xfId="325" xr:uid="{76BC2C96-2755-4D25-BC72-69BFB9D1EEEB}"/>
    <cellStyle name="Calculation 2 4 18 2" xfId="11403" xr:uid="{71F50398-DDEE-4D47-9E54-F89E84D50729}"/>
    <cellStyle name="Calculation 2 4 18 2 2" xfId="14746" xr:uid="{079091C8-63B3-4986-8471-86A0B2FE5924}"/>
    <cellStyle name="Calculation 2 4 18 2 3" xfId="14747" xr:uid="{B20F7141-C5CA-4D43-97F6-2993FFF6117B}"/>
    <cellStyle name="Calculation 2 4 18 2 4" xfId="14748" xr:uid="{DEED74C8-7B7D-4C41-99B7-2801E5CBE0DD}"/>
    <cellStyle name="Calculation 2 4 18 2 5" xfId="14749" xr:uid="{9EFAFD87-76A5-430A-B3E5-591EB2B9E8D9}"/>
    <cellStyle name="Calculation 2 4 18 2 6" xfId="14750" xr:uid="{AC90A519-B8E7-407E-84D3-37136EF77A9E}"/>
    <cellStyle name="Calculation 2 4 18 3" xfId="14751" xr:uid="{EA63AF01-4FCC-44A7-8C12-98D1899DD832}"/>
    <cellStyle name="Calculation 2 4 18 4" xfId="14752" xr:uid="{B2B73B90-0A78-4E37-BDEC-97A5E27672CF}"/>
    <cellStyle name="Calculation 2 4 18 5" xfId="14753" xr:uid="{EF23240F-A46C-4728-AE38-A63F6593A37F}"/>
    <cellStyle name="Calculation 2 4 18 6" xfId="14754" xr:uid="{B81026E1-51A4-45F7-A824-4F1688F40E13}"/>
    <cellStyle name="Calculation 2 4 18 7" xfId="14755" xr:uid="{6FA8F4D5-AB23-4239-BD43-4DE9C1E08BC0}"/>
    <cellStyle name="Calculation 2 4 19" xfId="326" xr:uid="{FBAF4911-7E7C-4DE7-BAB4-B6DE6AB0D8A3}"/>
    <cellStyle name="Calculation 2 4 19 2" xfId="11490" xr:uid="{EB6A5C88-9D53-4EA7-B077-60923B9CD777}"/>
    <cellStyle name="Calculation 2 4 19 2 2" xfId="14756" xr:uid="{5441162C-CE15-48AB-975D-405D9B72145F}"/>
    <cellStyle name="Calculation 2 4 19 2 3" xfId="14757" xr:uid="{BC32E213-30B4-46FA-BE10-E1CA23CDF78F}"/>
    <cellStyle name="Calculation 2 4 19 2 4" xfId="14758" xr:uid="{26D696E2-1E81-411B-BBD6-B3279ECF8F79}"/>
    <cellStyle name="Calculation 2 4 19 2 5" xfId="14759" xr:uid="{AECAA902-6165-45C2-92E4-9DDC36B89FFE}"/>
    <cellStyle name="Calculation 2 4 19 2 6" xfId="14760" xr:uid="{9CB3D253-A614-4755-B21E-B96821AE8A89}"/>
    <cellStyle name="Calculation 2 4 19 3" xfId="14761" xr:uid="{641EDACC-1DC3-4F04-AE09-EC8FE9F999D7}"/>
    <cellStyle name="Calculation 2 4 19 4" xfId="14762" xr:uid="{175933D1-3795-4E89-A884-011F1DB14D5A}"/>
    <cellStyle name="Calculation 2 4 19 5" xfId="14763" xr:uid="{D0AB0EBE-2E43-40FA-AC41-593A39902339}"/>
    <cellStyle name="Calculation 2 4 19 6" xfId="14764" xr:uid="{B051DDC0-3A20-4108-B4B7-0045AC8335A2}"/>
    <cellStyle name="Calculation 2 4 19 7" xfId="14765" xr:uid="{00FCDD57-3346-40B1-BBAE-EDAED760C0E1}"/>
    <cellStyle name="Calculation 2 4 2" xfId="327" xr:uid="{14FFD04C-D70C-4174-B0B0-80B154A38C9F}"/>
    <cellStyle name="Calculation 2 4 2 2" xfId="9996" xr:uid="{569198D5-4DEE-466F-B148-D770EFEBD3C7}"/>
    <cellStyle name="Calculation 2 4 2 2 2" xfId="14766" xr:uid="{F55CD14F-2535-44C9-A62A-01D64127F230}"/>
    <cellStyle name="Calculation 2 4 2 2 3" xfId="14767" xr:uid="{94CF5322-4FFB-41F2-8916-4471C7BA551E}"/>
    <cellStyle name="Calculation 2 4 2 2 4" xfId="14768" xr:uid="{5449316D-C8DE-4AFC-96FB-87FE5CAE0A0E}"/>
    <cellStyle name="Calculation 2 4 2 2 5" xfId="14769" xr:uid="{08704ECE-7946-4CE4-A622-3973DDE37657}"/>
    <cellStyle name="Calculation 2 4 2 2 6" xfId="14770" xr:uid="{B4EDEE41-834C-4D41-8F77-B1A92B56CBBC}"/>
    <cellStyle name="Calculation 2 4 2 3" xfId="14771" xr:uid="{2AF77455-38B5-4EEA-AC22-7532DC57872D}"/>
    <cellStyle name="Calculation 2 4 2 4" xfId="14772" xr:uid="{6E2B7CF6-E68C-4B94-98EF-992BF7196D99}"/>
    <cellStyle name="Calculation 2 4 2 5" xfId="14773" xr:uid="{21934DDE-63F5-429A-9DF5-A0B083CFA594}"/>
    <cellStyle name="Calculation 2 4 2 6" xfId="14774" xr:uid="{9034CC0A-F7CC-4C32-BF80-DE0841CB28A9}"/>
    <cellStyle name="Calculation 2 4 2 7" xfId="14775" xr:uid="{B4C0D2F0-1A61-4D48-941C-0A9FFF45CA52}"/>
    <cellStyle name="Calculation 2 4 20" xfId="328" xr:uid="{D1AB0A30-30E0-47C8-9B67-C3A2353AD78C}"/>
    <cellStyle name="Calculation 2 4 20 2" xfId="11578" xr:uid="{CF2E7DDF-7EC9-4412-A40F-CF0639B49026}"/>
    <cellStyle name="Calculation 2 4 20 2 2" xfId="14776" xr:uid="{F59B8C99-F109-4A75-8F63-7AD6924CF7BC}"/>
    <cellStyle name="Calculation 2 4 20 2 3" xfId="14777" xr:uid="{69A006F2-BDDC-432F-96B7-544E7A58EBDF}"/>
    <cellStyle name="Calculation 2 4 20 2 4" xfId="14778" xr:uid="{A1F887D9-1DBF-460D-9D93-6FE4CB901186}"/>
    <cellStyle name="Calculation 2 4 20 2 5" xfId="14779" xr:uid="{43BC1DAF-AAB9-481A-BA6D-83CB92D30DF9}"/>
    <cellStyle name="Calculation 2 4 20 2 6" xfId="14780" xr:uid="{41117929-EDBD-4D5B-B5B0-3280056567BE}"/>
    <cellStyle name="Calculation 2 4 20 3" xfId="14781" xr:uid="{695F4930-B0E1-4423-B5CC-3DF018982337}"/>
    <cellStyle name="Calculation 2 4 20 4" xfId="14782" xr:uid="{E136D717-F1A6-424E-BED1-6A3483861916}"/>
    <cellStyle name="Calculation 2 4 20 5" xfId="14783" xr:uid="{70F81229-3A5A-4F04-B021-02BE3BC1567E}"/>
    <cellStyle name="Calculation 2 4 20 6" xfId="14784" xr:uid="{6E2A827A-210B-4F59-92FC-9152EB513FE8}"/>
    <cellStyle name="Calculation 2 4 20 7" xfId="14785" xr:uid="{BE9B195A-679E-42B8-B849-353CD4178F21}"/>
    <cellStyle name="Calculation 2 4 21" xfId="329" xr:uid="{BC56FC4B-CB23-460A-88C4-8B5FC5CDC3F4}"/>
    <cellStyle name="Calculation 2 4 21 2" xfId="11664" xr:uid="{1FAFE822-91D0-4701-9E10-F46AFE6C108A}"/>
    <cellStyle name="Calculation 2 4 21 2 2" xfId="14786" xr:uid="{F83FECF3-1DD3-4993-B32D-7EE756580129}"/>
    <cellStyle name="Calculation 2 4 21 2 3" xfId="14787" xr:uid="{01595B91-562D-45B9-92C0-0DE2FF19C30D}"/>
    <cellStyle name="Calculation 2 4 21 2 4" xfId="14788" xr:uid="{11FE9CAF-1772-4B1D-8BBF-604B67F0715D}"/>
    <cellStyle name="Calculation 2 4 21 2 5" xfId="14789" xr:uid="{5FC7C85C-8EF3-461E-B94E-F5BC09966DCC}"/>
    <cellStyle name="Calculation 2 4 21 2 6" xfId="14790" xr:uid="{8F3621BE-A2EC-4B3F-95D6-9BE748EA1481}"/>
    <cellStyle name="Calculation 2 4 21 3" xfId="14791" xr:uid="{1D810E3C-8F69-4B40-BB13-729C91B2EC6C}"/>
    <cellStyle name="Calculation 2 4 21 4" xfId="14792" xr:uid="{9003382C-465C-4956-904B-48038A2502CD}"/>
    <cellStyle name="Calculation 2 4 21 5" xfId="14793" xr:uid="{651E41E3-BC81-4F40-A742-1A3E156A9C5A}"/>
    <cellStyle name="Calculation 2 4 21 6" xfId="14794" xr:uid="{1F435F27-BC7A-456F-B9F9-5982533BEF44}"/>
    <cellStyle name="Calculation 2 4 21 7" xfId="14795" xr:uid="{1CA1E402-BEF4-4B76-AF38-264364C11BFF}"/>
    <cellStyle name="Calculation 2 4 22" xfId="330" xr:uid="{2E9B8487-C0C5-4A56-BB4A-67DF62F5A09F}"/>
    <cellStyle name="Calculation 2 4 22 2" xfId="11747" xr:uid="{BBCA9AB1-DD17-40AB-8488-516381D14B63}"/>
    <cellStyle name="Calculation 2 4 22 2 2" xfId="14796" xr:uid="{EEF44F6F-A4A7-4349-A2C9-23F48D1E0D48}"/>
    <cellStyle name="Calculation 2 4 22 2 3" xfId="14797" xr:uid="{BE61E040-FB39-44D3-8885-B40935745323}"/>
    <cellStyle name="Calculation 2 4 22 2 4" xfId="14798" xr:uid="{5E7C9783-9F17-4530-BA37-918345B0A9B7}"/>
    <cellStyle name="Calculation 2 4 22 2 5" xfId="14799" xr:uid="{94F59D86-F5F5-4C35-BA21-03C2CA009075}"/>
    <cellStyle name="Calculation 2 4 22 2 6" xfId="14800" xr:uid="{8306D883-F4AB-4F20-84F0-8328D9A95B48}"/>
    <cellStyle name="Calculation 2 4 22 3" xfId="14801" xr:uid="{89455C1C-D6C4-4C16-A08D-64FEEC88F1D4}"/>
    <cellStyle name="Calculation 2 4 22 4" xfId="14802" xr:uid="{24A96B00-59E4-4F7A-8EBA-3E890B594303}"/>
    <cellStyle name="Calculation 2 4 22 5" xfId="14803" xr:uid="{1ACEEFC4-6F10-4773-A819-D202B1AD1BCC}"/>
    <cellStyle name="Calculation 2 4 22 6" xfId="14804" xr:uid="{34A7CA42-7135-4518-BD02-9C5B441A6636}"/>
    <cellStyle name="Calculation 2 4 22 7" xfId="14805" xr:uid="{FC34A17E-EE7D-4CCD-B169-222D35581D2A}"/>
    <cellStyle name="Calculation 2 4 23" xfId="331" xr:uid="{E43F19D0-150C-4499-8CEE-E9A6AEEC97E8}"/>
    <cellStyle name="Calculation 2 4 23 2" xfId="11829" xr:uid="{A5A007F6-0F26-4156-B5CA-66400A902FDF}"/>
    <cellStyle name="Calculation 2 4 23 2 2" xfId="14806" xr:uid="{353108C4-7574-42E9-98AF-5665D74E8613}"/>
    <cellStyle name="Calculation 2 4 23 2 3" xfId="14807" xr:uid="{A7A43706-B0E1-4F79-B3C7-1354A3560154}"/>
    <cellStyle name="Calculation 2 4 23 2 4" xfId="14808" xr:uid="{620CB5A4-1F5D-41BA-BB02-F3E510FB23CA}"/>
    <cellStyle name="Calculation 2 4 23 2 5" xfId="14809" xr:uid="{84F9970E-5D41-4C13-8054-7D36352B2A68}"/>
    <cellStyle name="Calculation 2 4 23 2 6" xfId="14810" xr:uid="{76487580-11E1-4E4C-9290-9FD514AD37D6}"/>
    <cellStyle name="Calculation 2 4 23 3" xfId="14811" xr:uid="{1D8B3AFD-7DC0-4188-BBE1-11BD7FC0D28A}"/>
    <cellStyle name="Calculation 2 4 23 4" xfId="14812" xr:uid="{7D902E01-6789-4F71-BF08-1B92CFA52F0F}"/>
    <cellStyle name="Calculation 2 4 23 5" xfId="14813" xr:uid="{8B21C31D-24BA-4896-8EB9-F82142D15F20}"/>
    <cellStyle name="Calculation 2 4 23 6" xfId="14814" xr:uid="{F82CC734-14CC-4499-B556-D2A3903418C3}"/>
    <cellStyle name="Calculation 2 4 23 7" xfId="14815" xr:uid="{5D4E36DB-70AC-4095-B731-49A48A001703}"/>
    <cellStyle name="Calculation 2 4 24" xfId="332" xr:uid="{A19ABAE0-F9A2-4605-A5D2-F26DCD8BA891}"/>
    <cellStyle name="Calculation 2 4 24 2" xfId="11913" xr:uid="{B6A462DA-C969-4A8D-A6F2-C70108036ADC}"/>
    <cellStyle name="Calculation 2 4 24 2 2" xfId="14816" xr:uid="{7EC45694-13B2-4997-B6F0-70D714D6CCDB}"/>
    <cellStyle name="Calculation 2 4 24 2 3" xfId="14817" xr:uid="{62788AA6-91B0-4363-A7DC-6364206F3080}"/>
    <cellStyle name="Calculation 2 4 24 2 4" xfId="14818" xr:uid="{E66BB7D7-378D-4E51-A54D-924F9834618D}"/>
    <cellStyle name="Calculation 2 4 24 2 5" xfId="14819" xr:uid="{7F55514D-EC02-459C-B91D-1ADD22EB0301}"/>
    <cellStyle name="Calculation 2 4 24 2 6" xfId="14820" xr:uid="{A0981FA4-9E5B-4D29-897A-A24CFC4B188F}"/>
    <cellStyle name="Calculation 2 4 24 3" xfId="14821" xr:uid="{2D722408-845E-409B-8380-622826DE114C}"/>
    <cellStyle name="Calculation 2 4 24 4" xfId="14822" xr:uid="{0198FB91-E456-4A0F-AF4B-36EA5F020806}"/>
    <cellStyle name="Calculation 2 4 24 5" xfId="14823" xr:uid="{51DC60E4-1FAC-4F48-BA5C-CE49D9379022}"/>
    <cellStyle name="Calculation 2 4 24 6" xfId="14824" xr:uid="{B71236D0-9CAF-4A0A-BD0E-87156B0758D8}"/>
    <cellStyle name="Calculation 2 4 24 7" xfId="14825" xr:uid="{3343C0B8-BFF0-41C8-8380-5F89CBFE3009}"/>
    <cellStyle name="Calculation 2 4 25" xfId="333" xr:uid="{9606D50E-DF77-4D2E-BF20-EA4D749FED35}"/>
    <cellStyle name="Calculation 2 4 25 2" xfId="11997" xr:uid="{8CF509A5-EFD7-43F7-AE9B-735662797861}"/>
    <cellStyle name="Calculation 2 4 25 2 2" xfId="14826" xr:uid="{595F877D-1014-4FAC-ADAC-164EB1A361B5}"/>
    <cellStyle name="Calculation 2 4 25 2 3" xfId="14827" xr:uid="{4CEC2BBB-2234-4882-AD28-FA60824041DA}"/>
    <cellStyle name="Calculation 2 4 25 2 4" xfId="14828" xr:uid="{5DB7260E-8221-4839-8CF1-152B096C01E4}"/>
    <cellStyle name="Calculation 2 4 25 2 5" xfId="14829" xr:uid="{34263587-D2BC-49A8-830C-C82BCFBF2CA8}"/>
    <cellStyle name="Calculation 2 4 25 2 6" xfId="14830" xr:uid="{CE4FED9C-40F0-4749-BD2F-9FE1BC65C2FB}"/>
    <cellStyle name="Calculation 2 4 25 3" xfId="14831" xr:uid="{B308A163-2349-410A-B53F-BC513622E216}"/>
    <cellStyle name="Calculation 2 4 25 4" xfId="14832" xr:uid="{9B625036-8D45-4AF1-9F3C-050DC607156D}"/>
    <cellStyle name="Calculation 2 4 25 5" xfId="14833" xr:uid="{324F364E-A0E3-42EE-A312-8BEE57721ED5}"/>
    <cellStyle name="Calculation 2 4 25 6" xfId="14834" xr:uid="{0B26704B-FC21-4F2C-968F-AFDB63462275}"/>
    <cellStyle name="Calculation 2 4 25 7" xfId="14835" xr:uid="{0C0502D7-2FDE-4050-9928-0BF13CC86E93}"/>
    <cellStyle name="Calculation 2 4 26" xfId="334" xr:uid="{9DB9F2D5-9C51-4C25-A6B9-75BBC3B17E84}"/>
    <cellStyle name="Calculation 2 4 26 2" xfId="12080" xr:uid="{79FEBACA-D858-47A4-A170-100A5D5067BC}"/>
    <cellStyle name="Calculation 2 4 26 2 2" xfId="14836" xr:uid="{A6597272-B2BA-4BE0-910A-660F3A883DE2}"/>
    <cellStyle name="Calculation 2 4 26 2 3" xfId="14837" xr:uid="{FF6CAC61-10A1-4FE6-8F92-FB84EB46C8A5}"/>
    <cellStyle name="Calculation 2 4 26 2 4" xfId="14838" xr:uid="{2DF91435-842D-4DBB-B8AB-52BA945631ED}"/>
    <cellStyle name="Calculation 2 4 26 2 5" xfId="14839" xr:uid="{8DBBED16-0B6B-4262-8AFB-B27689ABC05C}"/>
    <cellStyle name="Calculation 2 4 26 2 6" xfId="14840" xr:uid="{F4FC4523-E940-48BF-B9B6-0A7B4B6A83D7}"/>
    <cellStyle name="Calculation 2 4 26 3" xfId="14841" xr:uid="{5C2D511B-1DE2-4485-BC25-4E3408A3A44D}"/>
    <cellStyle name="Calculation 2 4 26 4" xfId="14842" xr:uid="{4BBFB428-987E-41CD-9940-0CF84FAF34F8}"/>
    <cellStyle name="Calculation 2 4 26 5" xfId="14843" xr:uid="{21346FD3-DABF-474E-94F5-0A758C9E79CC}"/>
    <cellStyle name="Calculation 2 4 26 6" xfId="14844" xr:uid="{9CF972E9-BC49-4959-89CF-A18B82235900}"/>
    <cellStyle name="Calculation 2 4 26 7" xfId="14845" xr:uid="{B9719E37-F8D2-45D8-85FC-A2F4875DB4C4}"/>
    <cellStyle name="Calculation 2 4 27" xfId="335" xr:uid="{8C5074ED-8416-45A5-BC5F-43FEF7AC3314}"/>
    <cellStyle name="Calculation 2 4 27 2" xfId="12163" xr:uid="{D5D74EC8-11D7-4770-B54C-0A62C810AA55}"/>
    <cellStyle name="Calculation 2 4 27 2 2" xfId="14846" xr:uid="{8E49990C-68F9-46FC-A9E6-B581B14872EF}"/>
    <cellStyle name="Calculation 2 4 27 2 3" xfId="14847" xr:uid="{BE70E0C8-FB44-42F9-BE2C-10826315DA12}"/>
    <cellStyle name="Calculation 2 4 27 2 4" xfId="14848" xr:uid="{1DA8EAFF-E74D-4820-96DD-2FE865F79B88}"/>
    <cellStyle name="Calculation 2 4 27 2 5" xfId="14849" xr:uid="{87174130-7F86-4C2D-905A-2A7DC295F814}"/>
    <cellStyle name="Calculation 2 4 27 2 6" xfId="14850" xr:uid="{4E2B218B-2E1A-4ED6-A72F-69076E80F675}"/>
    <cellStyle name="Calculation 2 4 27 3" xfId="14851" xr:uid="{319735E3-062A-435F-8BCA-A126350A61CF}"/>
    <cellStyle name="Calculation 2 4 27 4" xfId="14852" xr:uid="{A909F2D7-263B-4550-83D8-9447BCFA0615}"/>
    <cellStyle name="Calculation 2 4 27 5" xfId="14853" xr:uid="{F29A7ED1-2E59-47D6-9AFA-F27881C82672}"/>
    <cellStyle name="Calculation 2 4 27 6" xfId="14854" xr:uid="{CD5047AD-CDB2-4CE8-AEEF-04E173245C1D}"/>
    <cellStyle name="Calculation 2 4 27 7" xfId="14855" xr:uid="{198845E2-0EA8-469D-B8B2-E16D9C9CEFAE}"/>
    <cellStyle name="Calculation 2 4 28" xfId="336" xr:uid="{ED280A9A-7E4B-4888-B06B-E3C5A88994E4}"/>
    <cellStyle name="Calculation 2 4 28 2" xfId="12242" xr:uid="{81A8FD70-B04D-4C63-9A4C-86ABFEB42332}"/>
    <cellStyle name="Calculation 2 4 28 2 2" xfId="14856" xr:uid="{0BB81F4F-42DA-4A48-A6CA-D3398DF7CB58}"/>
    <cellStyle name="Calculation 2 4 28 2 3" xfId="14857" xr:uid="{02DB657D-621C-4F5D-ADDB-9B7C86825871}"/>
    <cellStyle name="Calculation 2 4 28 2 4" xfId="14858" xr:uid="{5FFB7CF0-9B64-41DC-A14D-5E4B7933DC33}"/>
    <cellStyle name="Calculation 2 4 28 2 5" xfId="14859" xr:uid="{F60C83CA-6285-4DBD-82CF-C21216F2F8A8}"/>
    <cellStyle name="Calculation 2 4 28 2 6" xfId="14860" xr:uid="{8477A62B-F7FE-4467-9536-9F8FA2917054}"/>
    <cellStyle name="Calculation 2 4 28 3" xfId="14861" xr:uid="{C79A3925-AA2A-4B6C-86BF-E1AA7EC58B0F}"/>
    <cellStyle name="Calculation 2 4 28 4" xfId="14862" xr:uid="{87A56E98-FB54-4772-AAA0-730F440F6D91}"/>
    <cellStyle name="Calculation 2 4 28 5" xfId="14863" xr:uid="{93E8A559-52D3-4EAE-AAED-0D6FFAFAA34E}"/>
    <cellStyle name="Calculation 2 4 28 6" xfId="14864" xr:uid="{986E671C-6998-484F-9700-D3A5EC460168}"/>
    <cellStyle name="Calculation 2 4 28 7" xfId="14865" xr:uid="{EAAAC7CA-06DA-4D52-B7F9-C32F4D585E6D}"/>
    <cellStyle name="Calculation 2 4 29" xfId="337" xr:uid="{C6B97142-489D-4253-B0E8-6A9957E8F731}"/>
    <cellStyle name="Calculation 2 4 29 2" xfId="12321" xr:uid="{03DAB068-EDD3-4335-A7BE-9AF4F6F43665}"/>
    <cellStyle name="Calculation 2 4 29 2 2" xfId="14866" xr:uid="{004E18EA-DE40-4496-8A2B-DE5FC772E718}"/>
    <cellStyle name="Calculation 2 4 29 2 3" xfId="14867" xr:uid="{CA34A0CA-D77A-414B-BFD3-03A6150B5FA7}"/>
    <cellStyle name="Calculation 2 4 29 2 4" xfId="14868" xr:uid="{D49A5BC2-1569-42A7-A821-2B0044E1FEBE}"/>
    <cellStyle name="Calculation 2 4 29 2 5" xfId="14869" xr:uid="{45578035-CED8-4A56-B898-A9DD25FBF8A1}"/>
    <cellStyle name="Calculation 2 4 29 2 6" xfId="14870" xr:uid="{0F67B1F2-AF3C-4AD5-B0E8-55816A3A34C0}"/>
    <cellStyle name="Calculation 2 4 29 3" xfId="14871" xr:uid="{8A39DA25-191D-44EF-BB58-FEEA21D9E666}"/>
    <cellStyle name="Calculation 2 4 29 4" xfId="14872" xr:uid="{3A602428-8B66-4F13-A9AC-7C651CE1482D}"/>
    <cellStyle name="Calculation 2 4 29 5" xfId="14873" xr:uid="{5E76E040-6FC7-4681-9406-815B4E371BD7}"/>
    <cellStyle name="Calculation 2 4 29 6" xfId="14874" xr:uid="{588E3FB4-E912-4291-904F-4C0E91D8995E}"/>
    <cellStyle name="Calculation 2 4 29 7" xfId="14875" xr:uid="{DE97C84A-B27A-4B98-836B-DE5C1893DBF1}"/>
    <cellStyle name="Calculation 2 4 3" xfId="338" xr:uid="{8ABD43BB-7173-42E7-9B5B-753AA4FEDF3C}"/>
    <cellStyle name="Calculation 2 4 3 2" xfId="10087" xr:uid="{4BDD4196-9594-44BB-A12D-2606956950E8}"/>
    <cellStyle name="Calculation 2 4 3 2 2" xfId="14876" xr:uid="{70D46ED6-8EA8-4C01-A98B-F68C364F4C21}"/>
    <cellStyle name="Calculation 2 4 3 2 3" xfId="14877" xr:uid="{6A55E2CD-1E78-4EEB-B53B-E00430C2F084}"/>
    <cellStyle name="Calculation 2 4 3 2 4" xfId="14878" xr:uid="{7D57AD34-E4DA-4BBF-A50D-17E09E651786}"/>
    <cellStyle name="Calculation 2 4 3 2 5" xfId="14879" xr:uid="{7C53E28E-4A52-4D2A-AC1F-A16D4C979629}"/>
    <cellStyle name="Calculation 2 4 3 2 6" xfId="14880" xr:uid="{FEDEA89A-3EF4-467F-A247-BEF2F2651410}"/>
    <cellStyle name="Calculation 2 4 3 3" xfId="14881" xr:uid="{7E2CB979-F0FD-49A2-8CBF-9BC1BD9F4D0B}"/>
    <cellStyle name="Calculation 2 4 3 4" xfId="14882" xr:uid="{2CBE44F4-97D7-44C9-9812-C8A483BF39F3}"/>
    <cellStyle name="Calculation 2 4 3 5" xfId="14883" xr:uid="{55722711-D27A-44EE-995A-13BD076042AB}"/>
    <cellStyle name="Calculation 2 4 3 6" xfId="14884" xr:uid="{0D6CD2EA-E738-488C-BBC7-35014DE0E0E6}"/>
    <cellStyle name="Calculation 2 4 3 7" xfId="14885" xr:uid="{974A2260-8095-4CBD-963C-4FF46FF590A1}"/>
    <cellStyle name="Calculation 2 4 30" xfId="339" xr:uid="{4E3272CE-34B3-4F40-BEAA-AD6F9A000941}"/>
    <cellStyle name="Calculation 2 4 30 2" xfId="12400" xr:uid="{9D47E837-D7A0-4387-9961-E9200A0B08E9}"/>
    <cellStyle name="Calculation 2 4 30 2 2" xfId="14886" xr:uid="{D545C5F5-9EBD-4CC5-A11E-D086CA5408E6}"/>
    <cellStyle name="Calculation 2 4 30 2 3" xfId="14887" xr:uid="{3E323D39-3DA4-40A8-8EC8-8E67FCB99689}"/>
    <cellStyle name="Calculation 2 4 30 2 4" xfId="14888" xr:uid="{85450772-655F-4813-8BAF-D16B73731EB1}"/>
    <cellStyle name="Calculation 2 4 30 2 5" xfId="14889" xr:uid="{046B1B99-784B-4FBA-B5B6-2671C8E1F1E3}"/>
    <cellStyle name="Calculation 2 4 30 2 6" xfId="14890" xr:uid="{7EE5D517-D224-4A93-ACDF-312D23C1866A}"/>
    <cellStyle name="Calculation 2 4 30 3" xfId="14891" xr:uid="{73BB745C-BECD-48B2-9137-79F99E54955D}"/>
    <cellStyle name="Calculation 2 4 30 4" xfId="14892" xr:uid="{DB593D60-28DC-42CA-A873-C5CE11B67312}"/>
    <cellStyle name="Calculation 2 4 30 5" xfId="14893" xr:uid="{1E164CBC-28AD-4375-A118-B2B4ED2DAAE3}"/>
    <cellStyle name="Calculation 2 4 30 6" xfId="14894" xr:uid="{66F05754-BA75-4836-A7E0-3B593D9A0784}"/>
    <cellStyle name="Calculation 2 4 30 7" xfId="14895" xr:uid="{0559C16A-6E2F-478F-84EC-E2C2723DA138}"/>
    <cellStyle name="Calculation 2 4 31" xfId="340" xr:uid="{1F700D8D-5CF8-44D5-937F-A0280E06AA17}"/>
    <cellStyle name="Calculation 2 4 31 2" xfId="12479" xr:uid="{8AB399C4-D5AF-4C48-BEF7-4AFF8F527E1D}"/>
    <cellStyle name="Calculation 2 4 31 2 2" xfId="14896" xr:uid="{87ED6E3D-8A9B-461F-89CB-ECBA8610EABF}"/>
    <cellStyle name="Calculation 2 4 31 2 3" xfId="14897" xr:uid="{37EB5F92-87DA-4810-9622-B68053E4004D}"/>
    <cellStyle name="Calculation 2 4 31 2 4" xfId="14898" xr:uid="{57EB28E0-E61D-4841-A466-18651BC26C8B}"/>
    <cellStyle name="Calculation 2 4 31 2 5" xfId="14899" xr:uid="{83F1F9DD-19DD-4FDD-84C3-3DE6007A7EBF}"/>
    <cellStyle name="Calculation 2 4 31 2 6" xfId="14900" xr:uid="{B2498D21-D073-4E0D-9DC6-015D57865252}"/>
    <cellStyle name="Calculation 2 4 31 3" xfId="14901" xr:uid="{C4998371-DD93-43B0-921B-9CED78DBB655}"/>
    <cellStyle name="Calculation 2 4 31 4" xfId="14902" xr:uid="{C08489A0-018C-4270-9979-F7CCDA228D04}"/>
    <cellStyle name="Calculation 2 4 31 5" xfId="14903" xr:uid="{4E19EADC-0A7A-4718-9DE5-1EE825C484A6}"/>
    <cellStyle name="Calculation 2 4 31 6" xfId="14904" xr:uid="{0E6FB9B9-A699-4A7E-A2B7-181BD5F8E87D}"/>
    <cellStyle name="Calculation 2 4 31 7" xfId="14905" xr:uid="{8BC83811-F080-44AB-BB86-0A2241555BEB}"/>
    <cellStyle name="Calculation 2 4 32" xfId="341" xr:uid="{CCA87CD0-DFFE-43F1-A4B2-2C388C2E25AD}"/>
    <cellStyle name="Calculation 2 4 32 2" xfId="12558" xr:uid="{6BDF0ADD-8B07-4844-AAFD-2E25772E38DC}"/>
    <cellStyle name="Calculation 2 4 32 2 2" xfId="14906" xr:uid="{4E04BFFF-D9EC-40E8-BED0-8CBA22920029}"/>
    <cellStyle name="Calculation 2 4 32 2 3" xfId="14907" xr:uid="{8EE3DA99-1312-4E00-A76B-18C26399483F}"/>
    <cellStyle name="Calculation 2 4 32 2 4" xfId="14908" xr:uid="{EBC325A4-E6BD-4960-86CB-8AEC41659B7A}"/>
    <cellStyle name="Calculation 2 4 32 2 5" xfId="14909" xr:uid="{4FA32498-3686-4963-8414-2EE3536E1129}"/>
    <cellStyle name="Calculation 2 4 32 2 6" xfId="14910" xr:uid="{A4FD9C4E-3B10-4595-B0A3-F93AB88A0A82}"/>
    <cellStyle name="Calculation 2 4 32 3" xfId="14911" xr:uid="{2216029A-566A-4C1B-95B6-806EFC0C1D05}"/>
    <cellStyle name="Calculation 2 4 32 4" xfId="14912" xr:uid="{7BA49F85-92F3-4919-A790-C5276B512F4F}"/>
    <cellStyle name="Calculation 2 4 32 5" xfId="14913" xr:uid="{291E470D-16BA-4730-9C4A-153F71C1C77F}"/>
    <cellStyle name="Calculation 2 4 32 6" xfId="14914" xr:uid="{C322C478-23E6-4A46-B186-991BDB8974FD}"/>
    <cellStyle name="Calculation 2 4 32 7" xfId="14915" xr:uid="{043FBA5E-01E7-4B53-92C6-B117A327758B}"/>
    <cellStyle name="Calculation 2 4 33" xfId="342" xr:uid="{ED6313FD-C71C-4C93-90AD-47F4A144410B}"/>
    <cellStyle name="Calculation 2 4 33 2" xfId="12637" xr:uid="{F709CBAD-8B44-4379-8561-94B686EE34BD}"/>
    <cellStyle name="Calculation 2 4 33 2 2" xfId="14916" xr:uid="{7396B383-556C-4431-844C-E70A5FCAAC6A}"/>
    <cellStyle name="Calculation 2 4 33 2 3" xfId="14917" xr:uid="{122C4266-143F-4A5C-AD4C-9D9075813AD8}"/>
    <cellStyle name="Calculation 2 4 33 2 4" xfId="14918" xr:uid="{BA7D7566-79BC-47D9-8660-52BB7D8B1145}"/>
    <cellStyle name="Calculation 2 4 33 2 5" xfId="14919" xr:uid="{FE36437F-8F2E-466E-8510-FCAF0D8B32D7}"/>
    <cellStyle name="Calculation 2 4 33 2 6" xfId="14920" xr:uid="{C8869F79-E144-42E5-9095-3F7620806766}"/>
    <cellStyle name="Calculation 2 4 33 3" xfId="14921" xr:uid="{8DD9A886-E7F4-4C37-A9C6-67D8284383B6}"/>
    <cellStyle name="Calculation 2 4 33 4" xfId="14922" xr:uid="{36B0E0DD-EF96-4897-88BE-44078F9A7FBC}"/>
    <cellStyle name="Calculation 2 4 33 5" xfId="14923" xr:uid="{26816CFE-BB82-40D8-8884-1B3E7B68CCF2}"/>
    <cellStyle name="Calculation 2 4 33 6" xfId="14924" xr:uid="{8DAE6674-81A5-41BA-BC82-F6177066B82A}"/>
    <cellStyle name="Calculation 2 4 33 7" xfId="14925" xr:uid="{E484FD64-5B21-4CB0-85F9-CC23703C1FBB}"/>
    <cellStyle name="Calculation 2 4 34" xfId="343" xr:uid="{6ACC746F-5980-46EA-BE58-B8AFC5999614}"/>
    <cellStyle name="Calculation 2 4 34 2" xfId="12721" xr:uid="{28049983-C46D-4209-865F-F51106F1BFED}"/>
    <cellStyle name="Calculation 2 4 34 2 2" xfId="14926" xr:uid="{4F2AF21B-4734-4FF3-8375-4DB694587516}"/>
    <cellStyle name="Calculation 2 4 34 2 3" xfId="14927" xr:uid="{0073103E-B566-49E6-A9CA-92F0DE765899}"/>
    <cellStyle name="Calculation 2 4 34 2 4" xfId="14928" xr:uid="{0870F560-0984-4C5F-AD0C-0A74AA67B7C5}"/>
    <cellStyle name="Calculation 2 4 34 2 5" xfId="14929" xr:uid="{BF40B282-F59A-43A9-898B-A433732BA293}"/>
    <cellStyle name="Calculation 2 4 34 2 6" xfId="14930" xr:uid="{6501159E-5D84-4F3C-9A6D-EB6289F771CD}"/>
    <cellStyle name="Calculation 2 4 34 3" xfId="14931" xr:uid="{981FB814-D72E-403A-A2C1-66C74A67146A}"/>
    <cellStyle name="Calculation 2 4 34 4" xfId="14932" xr:uid="{80A3F0B8-4683-421C-B091-EBC3661DF871}"/>
    <cellStyle name="Calculation 2 4 34 5" xfId="14933" xr:uid="{A9F8167D-436F-4374-BBFC-CE6737DA20AD}"/>
    <cellStyle name="Calculation 2 4 34 6" xfId="14934" xr:uid="{058185C5-61D9-443E-B953-4F0B1A700D0E}"/>
    <cellStyle name="Calculation 2 4 35" xfId="3820" xr:uid="{99C46A10-9910-45B2-ACD0-F6F0CD96CCDA}"/>
    <cellStyle name="Calculation 2 4 36" xfId="9785" xr:uid="{6CA2B53C-DCEE-40B2-BB94-4A2E30B02F68}"/>
    <cellStyle name="Calculation 2 4 36 2" xfId="14935" xr:uid="{76357ABA-A790-4C7E-8EEC-982459A932BB}"/>
    <cellStyle name="Calculation 2 4 36 3" xfId="14936" xr:uid="{1D83A6B7-D310-43D3-89DF-8FE2C3666465}"/>
    <cellStyle name="Calculation 2 4 36 4" xfId="14937" xr:uid="{160A2FEF-73ED-459A-9492-953E4FF0877D}"/>
    <cellStyle name="Calculation 2 4 36 5" xfId="14938" xr:uid="{200D8608-DD1E-4106-B2F1-E9E8FFD69D40}"/>
    <cellStyle name="Calculation 2 4 36 6" xfId="14939" xr:uid="{309C79FD-627F-45BC-8AF0-855FBCF9272C}"/>
    <cellStyle name="Calculation 2 4 37" xfId="14940" xr:uid="{DC3E6A72-B061-4944-BB4D-5AB6EDED162B}"/>
    <cellStyle name="Calculation 2 4 38" xfId="14941" xr:uid="{E600205F-F2E8-44B5-8771-B5C19BD5B82D}"/>
    <cellStyle name="Calculation 2 4 39" xfId="14942" xr:uid="{AAED6047-D28B-450E-82B5-5579D80A53B0}"/>
    <cellStyle name="Calculation 2 4 4" xfId="344" xr:uid="{6672BFCB-9B70-41CD-A98E-074FE4C90403}"/>
    <cellStyle name="Calculation 2 4 4 2" xfId="10178" xr:uid="{4CBAA474-6DD8-4000-A27A-3040ED5916C4}"/>
    <cellStyle name="Calculation 2 4 4 2 2" xfId="14943" xr:uid="{7D23D0A3-3FF2-4029-BD39-35DC9D76AF07}"/>
    <cellStyle name="Calculation 2 4 4 2 3" xfId="14944" xr:uid="{EEEF54CA-5ED4-41B5-A67A-0950E6A07191}"/>
    <cellStyle name="Calculation 2 4 4 2 4" xfId="14945" xr:uid="{32009A58-EF01-43BF-B642-F442428BC603}"/>
    <cellStyle name="Calculation 2 4 4 2 5" xfId="14946" xr:uid="{82257F0F-E9A2-416A-AB7F-CF651208833D}"/>
    <cellStyle name="Calculation 2 4 4 2 6" xfId="14947" xr:uid="{4DA4EA8D-8C86-412B-9F95-23B4990BA228}"/>
    <cellStyle name="Calculation 2 4 4 3" xfId="14948" xr:uid="{F2ECDBE4-A399-43F5-893E-3F2DE787F9A3}"/>
    <cellStyle name="Calculation 2 4 4 4" xfId="14949" xr:uid="{90AAA461-B5F7-445C-BABF-CC88F16A3C42}"/>
    <cellStyle name="Calculation 2 4 4 5" xfId="14950" xr:uid="{BEF4F122-5AC9-4EC8-BC01-6FE6D65B1814}"/>
    <cellStyle name="Calculation 2 4 4 6" xfId="14951" xr:uid="{F21732F5-3040-4E36-A036-C618A0AAA195}"/>
    <cellStyle name="Calculation 2 4 4 7" xfId="14952" xr:uid="{3E60E7A9-89BD-47A3-978D-832D3A8BECEE}"/>
    <cellStyle name="Calculation 2 4 40" xfId="14953" xr:uid="{795A8BF6-AAE9-405B-9257-B4DCE3CC63DB}"/>
    <cellStyle name="Calculation 2 4 5" xfId="345" xr:uid="{5E13C7DB-C617-4864-85BA-7937DB357024}"/>
    <cellStyle name="Calculation 2 4 5 2" xfId="10266" xr:uid="{865864FC-6E97-4007-BB00-F026A241379F}"/>
    <cellStyle name="Calculation 2 4 5 2 2" xfId="14954" xr:uid="{95FC6150-9F85-420E-96DB-8801B1CB823D}"/>
    <cellStyle name="Calculation 2 4 5 2 3" xfId="14955" xr:uid="{E73DECE3-92BF-4523-8889-281338EEAC00}"/>
    <cellStyle name="Calculation 2 4 5 2 4" xfId="14956" xr:uid="{E52B824A-B2CB-440A-89FF-A50454DBEF92}"/>
    <cellStyle name="Calculation 2 4 5 2 5" xfId="14957" xr:uid="{69DF6B25-DE07-45DB-A1C4-DA9A02C7FB28}"/>
    <cellStyle name="Calculation 2 4 5 2 6" xfId="14958" xr:uid="{EFB8EA3F-891E-4AB6-B3BF-838FBB2156BD}"/>
    <cellStyle name="Calculation 2 4 5 3" xfId="14959" xr:uid="{F2D603D0-8D03-4602-BDC7-CEC0FAE9DA7A}"/>
    <cellStyle name="Calculation 2 4 5 4" xfId="14960" xr:uid="{09F5AFC0-0A43-44C1-93FD-6F169167BAF3}"/>
    <cellStyle name="Calculation 2 4 5 5" xfId="14961" xr:uid="{376AB9D0-4DC6-4910-8776-9A41D511EE96}"/>
    <cellStyle name="Calculation 2 4 5 6" xfId="14962" xr:uid="{586A16CA-1916-4D93-95EC-93021D504410}"/>
    <cellStyle name="Calculation 2 4 5 7" xfId="14963" xr:uid="{0894EE9A-28D3-4484-9F00-A459C517FE45}"/>
    <cellStyle name="Calculation 2 4 6" xfId="346" xr:uid="{28495650-C649-45FB-B4D8-6064EFFC7B8A}"/>
    <cellStyle name="Calculation 2 4 6 2" xfId="10351" xr:uid="{0FCE1E41-7204-4FA6-A725-D941F0ACCCDE}"/>
    <cellStyle name="Calculation 2 4 6 2 2" xfId="14964" xr:uid="{C9850296-8A46-40D6-A72C-B80DAA5298D7}"/>
    <cellStyle name="Calculation 2 4 6 2 3" xfId="14965" xr:uid="{5084263C-A931-48F0-9F84-59B0F9912C81}"/>
    <cellStyle name="Calculation 2 4 6 2 4" xfId="14966" xr:uid="{31D29284-AD19-4A5B-A10A-384B51EDCB25}"/>
    <cellStyle name="Calculation 2 4 6 2 5" xfId="14967" xr:uid="{4AB89BB0-083B-49ED-A0EC-7E35559ADCE5}"/>
    <cellStyle name="Calculation 2 4 6 2 6" xfId="14968" xr:uid="{28F35ECF-7395-46D4-9031-F2C874FA6867}"/>
    <cellStyle name="Calculation 2 4 6 3" xfId="14969" xr:uid="{C48578BD-2E9B-4515-AB66-A6AA90E11877}"/>
    <cellStyle name="Calculation 2 4 6 4" xfId="14970" xr:uid="{AD17A6DF-E3C3-48E6-8A6E-DB6CA56D2CF0}"/>
    <cellStyle name="Calculation 2 4 6 5" xfId="14971" xr:uid="{C1B11099-D06B-4932-81DA-40EFB2A26BE8}"/>
    <cellStyle name="Calculation 2 4 6 6" xfId="14972" xr:uid="{7C1DA723-4ACD-4F0D-88AA-A8B4747A5337}"/>
    <cellStyle name="Calculation 2 4 6 7" xfId="14973" xr:uid="{9F0C4EB1-CE8E-4A59-AF1A-1FA9BADA8AC8}"/>
    <cellStyle name="Calculation 2 4 7" xfId="347" xr:uid="{0AC4BFDE-8C0E-4EA8-87E3-7FA375C32917}"/>
    <cellStyle name="Calculation 2 4 7 2" xfId="10438" xr:uid="{6F68D6CB-05DD-4544-8104-39BFEB732FB3}"/>
    <cellStyle name="Calculation 2 4 7 2 2" xfId="14974" xr:uid="{93B16357-39FE-4552-8F46-610B13E3C0D0}"/>
    <cellStyle name="Calculation 2 4 7 2 3" xfId="14975" xr:uid="{A6C44C4C-E5D8-4FCC-8259-6E748837D1E3}"/>
    <cellStyle name="Calculation 2 4 7 2 4" xfId="14976" xr:uid="{95B8D733-FBFC-4F18-B8BF-89CCFE403742}"/>
    <cellStyle name="Calculation 2 4 7 2 5" xfId="14977" xr:uid="{E3D3C704-C5F3-4055-A695-8D5422FB7711}"/>
    <cellStyle name="Calculation 2 4 7 2 6" xfId="14978" xr:uid="{0BF8AD54-BCC3-4D7F-BC89-32F85841A3D6}"/>
    <cellStyle name="Calculation 2 4 7 3" xfId="14979" xr:uid="{DBD5088D-23EA-48EA-9CD9-CA97E2EB43A4}"/>
    <cellStyle name="Calculation 2 4 7 4" xfId="14980" xr:uid="{B94FCD15-7DA0-4DEF-92AD-83C8D391AB98}"/>
    <cellStyle name="Calculation 2 4 7 5" xfId="14981" xr:uid="{FEB28AD8-2C6F-4F65-BF5A-BC8807129181}"/>
    <cellStyle name="Calculation 2 4 7 6" xfId="14982" xr:uid="{7126D337-71E8-43C8-8416-A1ED895D73DF}"/>
    <cellStyle name="Calculation 2 4 7 7" xfId="14983" xr:uid="{83EF91CF-86EC-47ED-A410-8CA326395CCC}"/>
    <cellStyle name="Calculation 2 4 8" xfId="348" xr:uid="{EAD6A811-FF19-4417-8817-3134BDF51035}"/>
    <cellStyle name="Calculation 2 4 8 2" xfId="10527" xr:uid="{5BB99326-5049-4B32-B5B0-3E637C85B5D7}"/>
    <cellStyle name="Calculation 2 4 8 2 2" xfId="14984" xr:uid="{B01AA2B1-96A1-420E-B99E-3310BB9A1E02}"/>
    <cellStyle name="Calculation 2 4 8 2 3" xfId="14985" xr:uid="{8B32EAB9-D9FB-4627-9247-F60E74DA2207}"/>
    <cellStyle name="Calculation 2 4 8 2 4" xfId="14986" xr:uid="{977E763F-5A8A-4DAF-ADC3-666B69553F60}"/>
    <cellStyle name="Calculation 2 4 8 2 5" xfId="14987" xr:uid="{11FE795B-AA7B-4F3E-B4C4-308D1C8EBCB5}"/>
    <cellStyle name="Calculation 2 4 8 2 6" xfId="14988" xr:uid="{164EA949-C56A-4638-B2A9-45C2F0896B47}"/>
    <cellStyle name="Calculation 2 4 8 3" xfId="14989" xr:uid="{2CE65347-169E-4B73-B5CD-5EB997AA398C}"/>
    <cellStyle name="Calculation 2 4 8 4" xfId="14990" xr:uid="{B1DBC313-A494-4499-8C4A-0058CE22B24E}"/>
    <cellStyle name="Calculation 2 4 8 5" xfId="14991" xr:uid="{798B2474-F45D-4CB3-93C0-97F96510E9A8}"/>
    <cellStyle name="Calculation 2 4 8 6" xfId="14992" xr:uid="{71B3D6B0-9337-4DCA-9A29-7A9528092F1E}"/>
    <cellStyle name="Calculation 2 4 8 7" xfId="14993" xr:uid="{343B6CD1-5303-4DA7-AE86-4F6DDFE5CE5C}"/>
    <cellStyle name="Calculation 2 4 9" xfId="349" xr:uid="{96D62176-CF94-4F2B-B416-6C336668C7D6}"/>
    <cellStyle name="Calculation 2 4 9 2" xfId="10609" xr:uid="{2CE28386-25F1-423E-9C4C-4E4477906C50}"/>
    <cellStyle name="Calculation 2 4 9 2 2" xfId="14994" xr:uid="{09D9E114-3DCF-4475-A726-F3E5E0206F2C}"/>
    <cellStyle name="Calculation 2 4 9 2 3" xfId="14995" xr:uid="{D32678A8-883E-422F-B213-06350DFFF2C1}"/>
    <cellStyle name="Calculation 2 4 9 2 4" xfId="14996" xr:uid="{184E33E8-3476-49AA-9234-7D65EA679F17}"/>
    <cellStyle name="Calculation 2 4 9 2 5" xfId="14997" xr:uid="{CE2DF6C7-6861-4FED-A9A7-E2A7EEC59081}"/>
    <cellStyle name="Calculation 2 4 9 2 6" xfId="14998" xr:uid="{8A416735-694D-45AB-BB07-B7C4B1296E43}"/>
    <cellStyle name="Calculation 2 4 9 3" xfId="14999" xr:uid="{15F75380-1F98-4E06-875F-D68501C06970}"/>
    <cellStyle name="Calculation 2 4 9 4" xfId="15000" xr:uid="{A8C60E94-2CE2-452E-9B6F-B0D5B7D0AA8F}"/>
    <cellStyle name="Calculation 2 4 9 5" xfId="15001" xr:uid="{194B1110-B1A1-4047-9A08-62BF7729E17C}"/>
    <cellStyle name="Calculation 2 4 9 6" xfId="15002" xr:uid="{F5ABF624-D8C9-4B36-89FC-9B18BFD7BB21}"/>
    <cellStyle name="Calculation 2 4 9 7" xfId="15003" xr:uid="{FD3ABD5C-2E7B-4AB6-BD09-3B9F1462DCA3}"/>
    <cellStyle name="Calculation 2 40" xfId="3821" xr:uid="{C20923AE-02E0-4F69-98AB-250FA261AE9D}"/>
    <cellStyle name="Calculation 2 40 2" xfId="15004" xr:uid="{45AA07B8-534B-4385-AB6A-8B0E2449A7E3}"/>
    <cellStyle name="Calculation 2 40 3" xfId="15005" xr:uid="{FAAF046B-44C5-4D3B-BD79-BFDFCB68026A}"/>
    <cellStyle name="Calculation 2 40 4" xfId="15006" xr:uid="{99C0872E-1C24-411B-8D64-474ECD1F984F}"/>
    <cellStyle name="Calculation 2 40 5" xfId="15007" xr:uid="{E2EA1C48-EF89-4894-BCCC-0160CB6C0F5C}"/>
    <cellStyle name="Calculation 2 40 6" xfId="15008" xr:uid="{441F65D7-E64B-4D12-A009-0C18645429DA}"/>
    <cellStyle name="Calculation 2 41" xfId="9762" xr:uid="{29CEA8A4-7BDE-4347-B7DB-B8945E4B3D7B}"/>
    <cellStyle name="Calculation 2 41 2" xfId="15009" xr:uid="{EF32D64D-A486-47D1-8521-79DB878868D9}"/>
    <cellStyle name="Calculation 2 41 3" xfId="15010" xr:uid="{7C8EC434-20D7-4642-9F09-8BDB7930AC56}"/>
    <cellStyle name="Calculation 2 41 4" xfId="15011" xr:uid="{2E60468C-DDAD-4E42-B988-8FE9946B7DEC}"/>
    <cellStyle name="Calculation 2 41 5" xfId="15012" xr:uid="{381682B1-CE04-4438-8F73-A402ECB6F89C}"/>
    <cellStyle name="Calculation 2 41 6" xfId="15013" xr:uid="{0F968725-C7DA-4FE1-ADF2-B2ECF4845128}"/>
    <cellStyle name="Calculation 2 42" xfId="44167" xr:uid="{116F7850-9040-4949-89E7-8F65578BA385}"/>
    <cellStyle name="Calculation 2 5" xfId="350" xr:uid="{F93D1583-A1A7-4135-AF5F-0F8E0E502F5A}"/>
    <cellStyle name="Calculation 2 5 10" xfId="351" xr:uid="{59B2BA88-85D2-461B-BA24-F4524890A048}"/>
    <cellStyle name="Calculation 2 5 10 2" xfId="10698" xr:uid="{9593FDCF-968B-4CBA-90A0-B15C0CF5D73E}"/>
    <cellStyle name="Calculation 2 5 10 2 2" xfId="15014" xr:uid="{63C2A3E6-7E89-4F30-9EF4-F1D456A2587E}"/>
    <cellStyle name="Calculation 2 5 10 2 3" xfId="15015" xr:uid="{B6F530A4-CA56-494E-9682-C542D7074968}"/>
    <cellStyle name="Calculation 2 5 10 2 4" xfId="15016" xr:uid="{A272CF0B-29CF-497D-BA3F-0611F80F30EF}"/>
    <cellStyle name="Calculation 2 5 10 2 5" xfId="15017" xr:uid="{5013EA0B-412E-4879-84BA-D44906CC70E7}"/>
    <cellStyle name="Calculation 2 5 10 2 6" xfId="15018" xr:uid="{8E60FB3D-9D86-4293-A6F0-CE04B881B8EF}"/>
    <cellStyle name="Calculation 2 5 10 3" xfId="15019" xr:uid="{627C707E-236E-48A1-8395-01D6A5E146C3}"/>
    <cellStyle name="Calculation 2 5 10 4" xfId="15020" xr:uid="{BED5108F-EA22-41D7-AC17-9D98AB219EF3}"/>
    <cellStyle name="Calculation 2 5 10 5" xfId="15021" xr:uid="{BFCA5E37-4B1A-480A-9CA0-F0188F09CBC0}"/>
    <cellStyle name="Calculation 2 5 10 6" xfId="15022" xr:uid="{7B2C058F-AC4F-46CE-AA41-2B4D1D4E06E7}"/>
    <cellStyle name="Calculation 2 5 10 7" xfId="15023" xr:uid="{34E8ECEB-6225-4493-AFB0-BC1178B19AB6}"/>
    <cellStyle name="Calculation 2 5 11" xfId="352" xr:uid="{0EB59549-7E35-4F45-9EF0-C59F484D7A48}"/>
    <cellStyle name="Calculation 2 5 11 2" xfId="10789" xr:uid="{5EF4E51E-6620-41BE-9718-B86F108FF5F9}"/>
    <cellStyle name="Calculation 2 5 11 2 2" xfId="15024" xr:uid="{497220C8-B971-4688-8D14-24C363E2FA81}"/>
    <cellStyle name="Calculation 2 5 11 2 3" xfId="15025" xr:uid="{567DEA07-9D60-46BB-9248-C6BED1BA8C37}"/>
    <cellStyle name="Calculation 2 5 11 2 4" xfId="15026" xr:uid="{AC844804-EBAA-4524-8E6A-9161B52FA5D1}"/>
    <cellStyle name="Calculation 2 5 11 2 5" xfId="15027" xr:uid="{2E6B8EC2-453E-4BB7-8814-C788CE814F0D}"/>
    <cellStyle name="Calculation 2 5 11 2 6" xfId="15028" xr:uid="{FCC91658-AAF6-4E1A-BE03-4CFB547F723C}"/>
    <cellStyle name="Calculation 2 5 11 3" xfId="15029" xr:uid="{7A22B223-BF6F-40ED-99F9-711038B092A2}"/>
    <cellStyle name="Calculation 2 5 11 4" xfId="15030" xr:uid="{3DE951B7-CAD9-4FFC-A53D-7F2A6085F330}"/>
    <cellStyle name="Calculation 2 5 11 5" xfId="15031" xr:uid="{A923CC66-9D78-4E59-984C-4DC8FCD40169}"/>
    <cellStyle name="Calculation 2 5 11 6" xfId="15032" xr:uid="{0D6CA242-4EBC-4B63-BDB2-2420B516EBD8}"/>
    <cellStyle name="Calculation 2 5 11 7" xfId="15033" xr:uid="{959DCA27-4525-44DC-921C-8AE3B651882B}"/>
    <cellStyle name="Calculation 2 5 12" xfId="353" xr:uid="{50DD61CE-FC94-4BDE-9608-F05F58F868C4}"/>
    <cellStyle name="Calculation 2 5 12 2" xfId="10876" xr:uid="{E83E6DBF-E12B-42CC-95ED-E133B4E4FEF2}"/>
    <cellStyle name="Calculation 2 5 12 2 2" xfId="15034" xr:uid="{21FA956D-1D8F-48B9-B180-83F5751DC761}"/>
    <cellStyle name="Calculation 2 5 12 2 3" xfId="15035" xr:uid="{665DC582-D457-47BB-B0EE-A63FDE036A3E}"/>
    <cellStyle name="Calculation 2 5 12 2 4" xfId="15036" xr:uid="{513D2D5F-7BA7-48FA-B236-B6FB3A594F56}"/>
    <cellStyle name="Calculation 2 5 12 2 5" xfId="15037" xr:uid="{A54E424A-CDD6-4782-AA1B-ACE628E21632}"/>
    <cellStyle name="Calculation 2 5 12 2 6" xfId="15038" xr:uid="{0C811735-2127-45E6-940B-03C158A9A69D}"/>
    <cellStyle name="Calculation 2 5 12 3" xfId="15039" xr:uid="{61C6CE08-0677-4607-80C1-AF33F2EE9BB7}"/>
    <cellStyle name="Calculation 2 5 12 4" xfId="15040" xr:uid="{7A161D64-BB1F-4744-9392-28DBA9A2A34C}"/>
    <cellStyle name="Calculation 2 5 12 5" xfId="15041" xr:uid="{31B51F52-0539-4923-B105-41A1209D9C43}"/>
    <cellStyle name="Calculation 2 5 12 6" xfId="15042" xr:uid="{593D8B0A-4313-4FD5-AD7D-6AA8C40E99CD}"/>
    <cellStyle name="Calculation 2 5 12 7" xfId="15043" xr:uid="{DEF3757F-C1B8-48B7-91B1-3CB559DB27EE}"/>
    <cellStyle name="Calculation 2 5 13" xfId="354" xr:uid="{7EE1334A-EA86-48A6-A1DA-F37E0A28E44E}"/>
    <cellStyle name="Calculation 2 5 13 2" xfId="10965" xr:uid="{8A31467D-B03A-4615-A123-B6AA9B3FE6E2}"/>
    <cellStyle name="Calculation 2 5 13 2 2" xfId="15044" xr:uid="{FF03B568-D91E-4F10-94D1-F074E5D5BF0A}"/>
    <cellStyle name="Calculation 2 5 13 2 3" xfId="15045" xr:uid="{5C7C034D-84C6-4AED-829B-5EC0AAE7C739}"/>
    <cellStyle name="Calculation 2 5 13 2 4" xfId="15046" xr:uid="{0D49CD9F-DB13-467A-B489-627C3E9463F7}"/>
    <cellStyle name="Calculation 2 5 13 2 5" xfId="15047" xr:uid="{35613C03-FBCC-44AE-9412-A4020822B986}"/>
    <cellStyle name="Calculation 2 5 13 2 6" xfId="15048" xr:uid="{5FD8225D-3BE8-42F3-A2DF-1D4269B2C464}"/>
    <cellStyle name="Calculation 2 5 13 3" xfId="15049" xr:uid="{C741BC4D-93BC-4CE5-90AC-94C490A4414F}"/>
    <cellStyle name="Calculation 2 5 13 4" xfId="15050" xr:uid="{2393AA54-DE07-4490-A7AB-A55D50F6BD5B}"/>
    <cellStyle name="Calculation 2 5 13 5" xfId="15051" xr:uid="{99CD0499-DF85-4F74-81F0-5FD76EB0812C}"/>
    <cellStyle name="Calculation 2 5 13 6" xfId="15052" xr:uid="{733364D8-7C25-4A59-8C73-61F0F5582898}"/>
    <cellStyle name="Calculation 2 5 13 7" xfId="15053" xr:uid="{E8E72482-92D9-4C31-BBDB-70FE99C17925}"/>
    <cellStyle name="Calculation 2 5 14" xfId="355" xr:uid="{393D2DB6-4459-46C5-B8A7-4B3934894179}"/>
    <cellStyle name="Calculation 2 5 14 2" xfId="11057" xr:uid="{20D912C3-1A47-4172-8800-6541D2E445B6}"/>
    <cellStyle name="Calculation 2 5 14 2 2" xfId="15054" xr:uid="{583D2395-D8DB-4B71-85F1-1F190AB1BDCC}"/>
    <cellStyle name="Calculation 2 5 14 2 3" xfId="15055" xr:uid="{AC0E39C0-8C01-4829-B43F-D66081A217A3}"/>
    <cellStyle name="Calculation 2 5 14 2 4" xfId="15056" xr:uid="{85AF8B44-652F-4205-B823-FF01CDCF58FC}"/>
    <cellStyle name="Calculation 2 5 14 2 5" xfId="15057" xr:uid="{15D35A48-DAF9-48A7-AA93-28AECE6F4213}"/>
    <cellStyle name="Calculation 2 5 14 2 6" xfId="15058" xr:uid="{9CD0BE05-8531-4061-95F7-955015E34383}"/>
    <cellStyle name="Calculation 2 5 14 3" xfId="15059" xr:uid="{2ADC3A53-E96B-4F8B-8B41-C4176B8385B1}"/>
    <cellStyle name="Calculation 2 5 14 4" xfId="15060" xr:uid="{69B057CF-7A85-4B9F-AC70-AAB90F7ABF76}"/>
    <cellStyle name="Calculation 2 5 14 5" xfId="15061" xr:uid="{CB115A2D-9AF6-42B4-B939-7F2CD1A3BEA2}"/>
    <cellStyle name="Calculation 2 5 14 6" xfId="15062" xr:uid="{F8CCEC6E-FB4D-4E7C-B1F9-D6B022D0BE0A}"/>
    <cellStyle name="Calculation 2 5 14 7" xfId="15063" xr:uid="{95B8B932-69EA-4F22-9E81-C0A5DEFE4EA1}"/>
    <cellStyle name="Calculation 2 5 15" xfId="356" xr:uid="{D4A52E98-9773-4FB6-A62C-FDA95A8025C1}"/>
    <cellStyle name="Calculation 2 5 15 2" xfId="11140" xr:uid="{A578BEA8-D9B4-46D2-B42D-5972AEFFDB6A}"/>
    <cellStyle name="Calculation 2 5 15 2 2" xfId="15064" xr:uid="{9B382295-7CF6-456D-89EA-9C8D45B41A10}"/>
    <cellStyle name="Calculation 2 5 15 2 3" xfId="15065" xr:uid="{212D870D-5C8A-41D2-8D38-9093458D269E}"/>
    <cellStyle name="Calculation 2 5 15 2 4" xfId="15066" xr:uid="{8CABF6EB-AD1D-4640-A78C-BAF8628B311F}"/>
    <cellStyle name="Calculation 2 5 15 2 5" xfId="15067" xr:uid="{A7B22F37-8A40-445F-804E-0AA4AE071696}"/>
    <cellStyle name="Calculation 2 5 15 2 6" xfId="15068" xr:uid="{F5B0D0B1-CFEE-4740-B786-37B84D3BBB15}"/>
    <cellStyle name="Calculation 2 5 15 3" xfId="15069" xr:uid="{E88610C7-9827-4A2E-BDFE-1A02C0E28597}"/>
    <cellStyle name="Calculation 2 5 15 4" xfId="15070" xr:uid="{256FD70F-0843-4AE8-B47C-3FEECCC7EC58}"/>
    <cellStyle name="Calculation 2 5 15 5" xfId="15071" xr:uid="{C802DDF7-6A51-4DA9-A098-E6BB11BF4F3E}"/>
    <cellStyle name="Calculation 2 5 15 6" xfId="15072" xr:uid="{C2FD6D8B-5586-43B2-ABED-2F42062E424B}"/>
    <cellStyle name="Calculation 2 5 15 7" xfId="15073" xr:uid="{DE7D134D-C41D-457B-861D-7DF88889A506}"/>
    <cellStyle name="Calculation 2 5 16" xfId="357" xr:uid="{0E2C2110-DD17-4230-8FDB-B6F397574BB9}"/>
    <cellStyle name="Calculation 2 5 16 2" xfId="11229" xr:uid="{E048768C-938C-462C-B5EB-B6C7EA1C9EA4}"/>
    <cellStyle name="Calculation 2 5 16 2 2" xfId="15074" xr:uid="{6AA80D79-E7C8-4EF9-898B-5FAC75CA1872}"/>
    <cellStyle name="Calculation 2 5 16 2 3" xfId="15075" xr:uid="{30DED0B9-D9B1-41D9-93C8-D18837800969}"/>
    <cellStyle name="Calculation 2 5 16 2 4" xfId="15076" xr:uid="{13175A54-0EC8-4165-AB75-D8F8C37C9FE5}"/>
    <cellStyle name="Calculation 2 5 16 2 5" xfId="15077" xr:uid="{8736E54D-3470-4D90-8CBC-F02CF361C50D}"/>
    <cellStyle name="Calculation 2 5 16 2 6" xfId="15078" xr:uid="{1824C1D1-4B4B-4C83-82BF-04C88D10E33F}"/>
    <cellStyle name="Calculation 2 5 16 3" xfId="15079" xr:uid="{64E761A2-03C3-4AED-8B1B-218F1FB8115E}"/>
    <cellStyle name="Calculation 2 5 16 4" xfId="15080" xr:uid="{A9E46DDD-6BFA-4AF9-9DBB-7C05FC932520}"/>
    <cellStyle name="Calculation 2 5 16 5" xfId="15081" xr:uid="{83744429-C4F2-40FA-A68D-91459EA08A9F}"/>
    <cellStyle name="Calculation 2 5 16 6" xfId="15082" xr:uid="{94153D14-2047-4F48-843E-584BEC6EDC56}"/>
    <cellStyle name="Calculation 2 5 16 7" xfId="15083" xr:uid="{4D8F671E-7958-4ED8-80F0-DAEEB8A505C1}"/>
    <cellStyle name="Calculation 2 5 17" xfId="358" xr:uid="{B400311C-C389-4B70-BFDF-8CFD25B56444}"/>
    <cellStyle name="Calculation 2 5 17 2" xfId="11315" xr:uid="{7D8A6CCC-A763-41D5-941E-2E153150F460}"/>
    <cellStyle name="Calculation 2 5 17 2 2" xfId="15084" xr:uid="{E8E983BC-A14F-4FD5-B80B-E8A64179D1A4}"/>
    <cellStyle name="Calculation 2 5 17 2 3" xfId="15085" xr:uid="{461655B4-8A42-4A05-BBF4-97C797F82614}"/>
    <cellStyle name="Calculation 2 5 17 2 4" xfId="15086" xr:uid="{4F0E319A-7343-49AA-85A1-04CF9D8D5B9B}"/>
    <cellStyle name="Calculation 2 5 17 2 5" xfId="15087" xr:uid="{F08F7F4A-8D9D-4EC8-9081-E5BA1E250DAF}"/>
    <cellStyle name="Calculation 2 5 17 2 6" xfId="15088" xr:uid="{28AF2A59-7505-424D-B414-46EC23924CA3}"/>
    <cellStyle name="Calculation 2 5 17 3" xfId="15089" xr:uid="{4F49AD1B-7023-468C-8466-08338AD3CE92}"/>
    <cellStyle name="Calculation 2 5 17 4" xfId="15090" xr:uid="{2B612410-3BD6-45BA-AB48-2AA572E668B0}"/>
    <cellStyle name="Calculation 2 5 17 5" xfId="15091" xr:uid="{76080CA5-2C93-4DB0-9223-6A2FEF2A1F55}"/>
    <cellStyle name="Calculation 2 5 17 6" xfId="15092" xr:uid="{5967767A-C58B-42B4-A798-9579939036D0}"/>
    <cellStyle name="Calculation 2 5 17 7" xfId="15093" xr:uid="{412799C0-43AB-4B2E-835D-2A6CEDD79B5A}"/>
    <cellStyle name="Calculation 2 5 18" xfId="359" xr:uid="{9F545C02-4AC2-417F-89A5-E252C76F8760}"/>
    <cellStyle name="Calculation 2 5 18 2" xfId="11402" xr:uid="{A67FF4BA-9ACE-42AE-B43E-6908FFAB709A}"/>
    <cellStyle name="Calculation 2 5 18 2 2" xfId="15094" xr:uid="{9759A124-0668-4831-A21D-1798CC7A8205}"/>
    <cellStyle name="Calculation 2 5 18 2 3" xfId="15095" xr:uid="{F63AC697-D96B-49BB-947D-434A27DA80C0}"/>
    <cellStyle name="Calculation 2 5 18 2 4" xfId="15096" xr:uid="{12CDD52E-ECA3-4607-96D1-27D30304D7FE}"/>
    <cellStyle name="Calculation 2 5 18 2 5" xfId="15097" xr:uid="{885658C7-6A74-43EE-9793-DD68D48E8FA9}"/>
    <cellStyle name="Calculation 2 5 18 2 6" xfId="15098" xr:uid="{0C832FBC-B24A-4C32-92F5-46377BDA2AA2}"/>
    <cellStyle name="Calculation 2 5 18 3" xfId="15099" xr:uid="{306CAA84-AF75-44FC-898A-0AA058DDCC7F}"/>
    <cellStyle name="Calculation 2 5 18 4" xfId="15100" xr:uid="{AF94D838-D586-4ABF-A8B6-733F57687972}"/>
    <cellStyle name="Calculation 2 5 18 5" xfId="15101" xr:uid="{298E5E52-C9B4-4846-AF21-DDFF1FD154BD}"/>
    <cellStyle name="Calculation 2 5 18 6" xfId="15102" xr:uid="{BCE4A78D-2224-4924-8F11-5183BE062E22}"/>
    <cellStyle name="Calculation 2 5 18 7" xfId="15103" xr:uid="{EE777FF7-77EF-4CB5-B74D-A075D786ED4E}"/>
    <cellStyle name="Calculation 2 5 19" xfId="360" xr:uid="{BE609CAA-6502-4D9D-BF15-74C24CA5FEE2}"/>
    <cellStyle name="Calculation 2 5 19 2" xfId="11489" xr:uid="{C18ABBBB-54FB-4DE0-9268-E9B94D5AEA8F}"/>
    <cellStyle name="Calculation 2 5 19 2 2" xfId="15104" xr:uid="{020CCDCC-7810-4F14-8394-77AC05728CD7}"/>
    <cellStyle name="Calculation 2 5 19 2 3" xfId="15105" xr:uid="{0CCD9D36-81A1-4C63-9FD4-1ACFE6140D79}"/>
    <cellStyle name="Calculation 2 5 19 2 4" xfId="15106" xr:uid="{C6B5F9A5-ECEE-44E9-BD07-1C7985418AD6}"/>
    <cellStyle name="Calculation 2 5 19 2 5" xfId="15107" xr:uid="{DAA85A7D-4AD5-4D1E-BE88-FE8FEF3C8158}"/>
    <cellStyle name="Calculation 2 5 19 2 6" xfId="15108" xr:uid="{FE53E743-FA3F-407D-8A79-EB1D5DAE9A60}"/>
    <cellStyle name="Calculation 2 5 19 3" xfId="15109" xr:uid="{F7C23BCC-6E4F-47ED-A932-1CEDDCE59D72}"/>
    <cellStyle name="Calculation 2 5 19 4" xfId="15110" xr:uid="{A59EC04A-5DA5-45D8-9B92-77DF438EC313}"/>
    <cellStyle name="Calculation 2 5 19 5" xfId="15111" xr:uid="{9598C7F7-7920-4C29-9EF9-132D01A415C7}"/>
    <cellStyle name="Calculation 2 5 19 6" xfId="15112" xr:uid="{72A00D59-C3EE-449A-8BE1-E7A5B57377CC}"/>
    <cellStyle name="Calculation 2 5 19 7" xfId="15113" xr:uid="{A9171BF4-7297-43E8-BCEE-B12C8810F179}"/>
    <cellStyle name="Calculation 2 5 2" xfId="361" xr:uid="{084DE6CF-6EEF-462C-9770-94026561F40D}"/>
    <cellStyle name="Calculation 2 5 2 2" xfId="9995" xr:uid="{5774DB46-894D-4856-A9C9-07022C6A2F81}"/>
    <cellStyle name="Calculation 2 5 2 2 2" xfId="15114" xr:uid="{6E4162E4-EAD9-41AC-AFB5-3035CE3ED3C5}"/>
    <cellStyle name="Calculation 2 5 2 2 3" xfId="15115" xr:uid="{BE40A3D6-8101-40FA-A6C0-CEE224BF5BBF}"/>
    <cellStyle name="Calculation 2 5 2 2 4" xfId="15116" xr:uid="{DEBE2E7C-D9E9-4F3B-BB4F-ABF178D4FA44}"/>
    <cellStyle name="Calculation 2 5 2 2 5" xfId="15117" xr:uid="{9EA0E260-F6F9-4A63-9426-2FFC934DD046}"/>
    <cellStyle name="Calculation 2 5 2 2 6" xfId="15118" xr:uid="{248CC748-0039-4F20-BC18-2EF5FEF3F558}"/>
    <cellStyle name="Calculation 2 5 2 3" xfId="15119" xr:uid="{5826B413-8137-447C-A83E-FCFA29250ACA}"/>
    <cellStyle name="Calculation 2 5 2 4" xfId="15120" xr:uid="{06831617-AFC1-4CA6-9DDB-91EDD911305D}"/>
    <cellStyle name="Calculation 2 5 2 5" xfId="15121" xr:uid="{A0F1C18C-5516-46DA-A875-BB49DAEEAA33}"/>
    <cellStyle name="Calculation 2 5 2 6" xfId="15122" xr:uid="{BD09775C-23C8-4B9A-A4F5-20D238748D38}"/>
    <cellStyle name="Calculation 2 5 2 7" xfId="15123" xr:uid="{E5A20DE8-1E48-4631-BA82-7C70A5354EAA}"/>
    <cellStyle name="Calculation 2 5 20" xfId="362" xr:uid="{7D9A684F-856A-4C97-BE19-1F5B8685BFD7}"/>
    <cellStyle name="Calculation 2 5 20 2" xfId="11577" xr:uid="{56EEA4AC-1D57-4A85-ACB7-8E5CF90B8016}"/>
    <cellStyle name="Calculation 2 5 20 2 2" xfId="15124" xr:uid="{2087AF03-01BC-470E-81A8-E999825F8620}"/>
    <cellStyle name="Calculation 2 5 20 2 3" xfId="15125" xr:uid="{D7E9B94E-5C38-44D8-A8FE-4052F39738C6}"/>
    <cellStyle name="Calculation 2 5 20 2 4" xfId="15126" xr:uid="{CEC91075-95FF-4F3D-8897-7BBCE04066D4}"/>
    <cellStyle name="Calculation 2 5 20 2 5" xfId="15127" xr:uid="{D357510E-523A-4A31-9B72-CA57D6C45FE2}"/>
    <cellStyle name="Calculation 2 5 20 2 6" xfId="15128" xr:uid="{AA629E06-0FD6-4FBD-87CD-0A2E67D4F410}"/>
    <cellStyle name="Calculation 2 5 20 3" xfId="15129" xr:uid="{8C4EC611-61D5-4A03-A699-4F88ACBCBC29}"/>
    <cellStyle name="Calculation 2 5 20 4" xfId="15130" xr:uid="{C6D32645-8CCD-4F8D-AF0F-4D7753CBD889}"/>
    <cellStyle name="Calculation 2 5 20 5" xfId="15131" xr:uid="{A5691DEC-79B1-485C-A244-1C9883B48913}"/>
    <cellStyle name="Calculation 2 5 20 6" xfId="15132" xr:uid="{BBBE26B5-6F9D-4D2F-A2B3-E1A8677495B9}"/>
    <cellStyle name="Calculation 2 5 20 7" xfId="15133" xr:uid="{08A4FED3-E5A2-4CAB-87A5-2B9826BD7907}"/>
    <cellStyle name="Calculation 2 5 21" xfId="363" xr:uid="{0AD0E13D-6AE8-4FD7-8F11-DA48CC7088CB}"/>
    <cellStyle name="Calculation 2 5 21 2" xfId="11663" xr:uid="{824907B5-FD58-41B7-84DC-08CB50EDE018}"/>
    <cellStyle name="Calculation 2 5 21 2 2" xfId="15134" xr:uid="{43927011-BEFC-4E1A-B3F9-A41D34FFF46B}"/>
    <cellStyle name="Calculation 2 5 21 2 3" xfId="15135" xr:uid="{E6D3EC43-BF2E-4A6F-956D-6E0E2A4C714C}"/>
    <cellStyle name="Calculation 2 5 21 2 4" xfId="15136" xr:uid="{67AC5E10-913C-42EA-A2B2-A125FFC10DE7}"/>
    <cellStyle name="Calculation 2 5 21 2 5" xfId="15137" xr:uid="{C8D230CC-59D4-4F27-98B0-A57B12A13828}"/>
    <cellStyle name="Calculation 2 5 21 2 6" xfId="15138" xr:uid="{35269453-AD02-4CB6-9861-1136A1E44E74}"/>
    <cellStyle name="Calculation 2 5 21 3" xfId="15139" xr:uid="{8A57804C-7C75-4B70-BC6F-BD23151FEA88}"/>
    <cellStyle name="Calculation 2 5 21 4" xfId="15140" xr:uid="{32DD14E8-2A78-413F-AAF8-95EC607CB33B}"/>
    <cellStyle name="Calculation 2 5 21 5" xfId="15141" xr:uid="{4A973388-FF1A-4713-9D3E-13CAC22DDAF1}"/>
    <cellStyle name="Calculation 2 5 21 6" xfId="15142" xr:uid="{1B3E3A49-BB79-4A09-BE9C-63B5CE2727BC}"/>
    <cellStyle name="Calculation 2 5 21 7" xfId="15143" xr:uid="{DDF19F9D-DF9E-46F2-8231-537C99F22AAE}"/>
    <cellStyle name="Calculation 2 5 22" xfId="364" xr:uid="{09CFB858-E46A-48FD-B6FD-795C872406CE}"/>
    <cellStyle name="Calculation 2 5 22 2" xfId="11746" xr:uid="{837908C1-95D2-497C-9F5A-003860BF8C59}"/>
    <cellStyle name="Calculation 2 5 22 2 2" xfId="15144" xr:uid="{F78CD5E4-5073-47A9-A8F7-7070ED6FB805}"/>
    <cellStyle name="Calculation 2 5 22 2 3" xfId="15145" xr:uid="{5DB799B1-E489-4C89-B838-9269A9FDB2A0}"/>
    <cellStyle name="Calculation 2 5 22 2 4" xfId="15146" xr:uid="{C4AF196F-E1D9-4804-A438-4B7EFFEE3BB0}"/>
    <cellStyle name="Calculation 2 5 22 2 5" xfId="15147" xr:uid="{361BA9EF-3664-4105-81A5-68B274B830B4}"/>
    <cellStyle name="Calculation 2 5 22 2 6" xfId="15148" xr:uid="{F02451B3-07E8-48D0-8A86-8743297D7CB1}"/>
    <cellStyle name="Calculation 2 5 22 3" xfId="15149" xr:uid="{C320139D-35A4-4283-9B9F-1FE2BDD4FC13}"/>
    <cellStyle name="Calculation 2 5 22 4" xfId="15150" xr:uid="{DCEE1B09-B471-471F-8A90-FD5E7DAAEF02}"/>
    <cellStyle name="Calculation 2 5 22 5" xfId="15151" xr:uid="{2C71E0BC-6714-48A5-B54D-29C718260638}"/>
    <cellStyle name="Calculation 2 5 22 6" xfId="15152" xr:uid="{7CFB2E48-54FD-48FE-90F3-DFA4FB34B35F}"/>
    <cellStyle name="Calculation 2 5 22 7" xfId="15153" xr:uid="{13A848D7-02B9-4A17-A8F0-94E2A014B11A}"/>
    <cellStyle name="Calculation 2 5 23" xfId="365" xr:uid="{BC686120-567A-4791-AD5A-E717D7D4E374}"/>
    <cellStyle name="Calculation 2 5 23 2" xfId="11828" xr:uid="{82862236-4DFD-4F84-82CC-CD598A3B2F54}"/>
    <cellStyle name="Calculation 2 5 23 2 2" xfId="15154" xr:uid="{09282305-AFBF-4C20-BB38-CBD978D812EF}"/>
    <cellStyle name="Calculation 2 5 23 2 3" xfId="15155" xr:uid="{1AFCC8FD-D7F7-4EB0-B7E7-406EE2C8F2F0}"/>
    <cellStyle name="Calculation 2 5 23 2 4" xfId="15156" xr:uid="{CA405B93-FB31-4DEF-8287-486C4F1A0DA6}"/>
    <cellStyle name="Calculation 2 5 23 2 5" xfId="15157" xr:uid="{A900A584-EBC5-40B2-B6AB-B3B718130175}"/>
    <cellStyle name="Calculation 2 5 23 2 6" xfId="15158" xr:uid="{A91F7E4F-3F71-4BD8-A168-1E0D3F3229A3}"/>
    <cellStyle name="Calculation 2 5 23 3" xfId="15159" xr:uid="{9B23B228-FC1C-4058-B2F7-578CD53B37E7}"/>
    <cellStyle name="Calculation 2 5 23 4" xfId="15160" xr:uid="{31CF55B1-2EBC-4B5E-AC05-B00D2E37E536}"/>
    <cellStyle name="Calculation 2 5 23 5" xfId="15161" xr:uid="{BDF2440A-F134-48B0-9AFE-FCAFB8CFF42E}"/>
    <cellStyle name="Calculation 2 5 23 6" xfId="15162" xr:uid="{3394937C-BBEC-4947-B4A2-BA4462DC8497}"/>
    <cellStyle name="Calculation 2 5 23 7" xfId="15163" xr:uid="{2ED459EF-3EB9-474B-9DA3-A5F02EFF871E}"/>
    <cellStyle name="Calculation 2 5 24" xfId="366" xr:uid="{01FEAD5F-E7C2-480A-A8E2-396BD946DA5C}"/>
    <cellStyle name="Calculation 2 5 24 2" xfId="11912" xr:uid="{0717DAC7-D154-4B26-B083-4E0DC35938F0}"/>
    <cellStyle name="Calculation 2 5 24 2 2" xfId="15164" xr:uid="{0FD146A2-1375-4A7C-AD0B-51A76F76B21C}"/>
    <cellStyle name="Calculation 2 5 24 2 3" xfId="15165" xr:uid="{6D0CF9E2-BDB8-4DA6-9A1B-87F886806D1E}"/>
    <cellStyle name="Calculation 2 5 24 2 4" xfId="15166" xr:uid="{508EB39A-7098-4597-9D5A-FF550B211E94}"/>
    <cellStyle name="Calculation 2 5 24 2 5" xfId="15167" xr:uid="{994C31E6-9486-45F0-8172-FF962DC82E87}"/>
    <cellStyle name="Calculation 2 5 24 2 6" xfId="15168" xr:uid="{B3B8400C-9ECF-424E-BC36-92562555E662}"/>
    <cellStyle name="Calculation 2 5 24 3" xfId="15169" xr:uid="{9F9B39CB-6BC0-4107-9A7E-293E85951AEC}"/>
    <cellStyle name="Calculation 2 5 24 4" xfId="15170" xr:uid="{8BABA935-BA2D-4930-BDCD-13479EE87833}"/>
    <cellStyle name="Calculation 2 5 24 5" xfId="15171" xr:uid="{A6414631-1AB9-430E-91B2-B65A213B109B}"/>
    <cellStyle name="Calculation 2 5 24 6" xfId="15172" xr:uid="{3520D85D-5A95-4961-BFB6-CA8FB511E69E}"/>
    <cellStyle name="Calculation 2 5 24 7" xfId="15173" xr:uid="{93903349-1133-4090-99C6-435FB589061D}"/>
    <cellStyle name="Calculation 2 5 25" xfId="367" xr:uid="{44A93242-EA4B-4879-B49F-2C001A976043}"/>
    <cellStyle name="Calculation 2 5 25 2" xfId="11996" xr:uid="{C6796DC1-E3A8-4248-8E48-0B6028A721A9}"/>
    <cellStyle name="Calculation 2 5 25 2 2" xfId="15174" xr:uid="{7AE65BCD-67B2-4474-9619-20630BEED314}"/>
    <cellStyle name="Calculation 2 5 25 2 3" xfId="15175" xr:uid="{2C1E5F0F-DECB-4EAC-BE18-D4D927650CE9}"/>
    <cellStyle name="Calculation 2 5 25 2 4" xfId="15176" xr:uid="{292D0CAA-74BA-4F86-AA7A-15430F1A3588}"/>
    <cellStyle name="Calculation 2 5 25 2 5" xfId="15177" xr:uid="{53D3249C-92AB-4680-B3B9-DADB23A1FD49}"/>
    <cellStyle name="Calculation 2 5 25 2 6" xfId="15178" xr:uid="{0DD314E8-D669-4135-A3D3-5838157DE56B}"/>
    <cellStyle name="Calculation 2 5 25 3" xfId="15179" xr:uid="{EAB9AB9D-5ED3-4D13-9240-17159DAFC568}"/>
    <cellStyle name="Calculation 2 5 25 4" xfId="15180" xr:uid="{62D51585-89D8-4096-8ACF-93BBC5F1DE33}"/>
    <cellStyle name="Calculation 2 5 25 5" xfId="15181" xr:uid="{E34BA9D0-C8C1-4E75-903D-095246D54A49}"/>
    <cellStyle name="Calculation 2 5 25 6" xfId="15182" xr:uid="{F0D51E4A-BC34-46A7-8BA3-23A65F114CCE}"/>
    <cellStyle name="Calculation 2 5 25 7" xfId="15183" xr:uid="{B74B849E-B4F8-46DA-9940-F4718685A1BF}"/>
    <cellStyle name="Calculation 2 5 26" xfId="368" xr:uid="{FEEBB37B-7430-4968-84A9-43F4EC7365B3}"/>
    <cellStyle name="Calculation 2 5 26 2" xfId="12079" xr:uid="{30233470-7E6E-4EDA-937B-67E028DC5DD8}"/>
    <cellStyle name="Calculation 2 5 26 2 2" xfId="15184" xr:uid="{8451C540-2254-420A-B812-E54523709483}"/>
    <cellStyle name="Calculation 2 5 26 2 3" xfId="15185" xr:uid="{63A07A19-62D6-48E8-A518-9EE8AEF29876}"/>
    <cellStyle name="Calculation 2 5 26 2 4" xfId="15186" xr:uid="{26EDB0A4-0086-4248-8EBD-A943575BDD0E}"/>
    <cellStyle name="Calculation 2 5 26 2 5" xfId="15187" xr:uid="{DB991708-DBF8-48DC-BAAD-5CB1F4C742E1}"/>
    <cellStyle name="Calculation 2 5 26 2 6" xfId="15188" xr:uid="{FD2AAEB1-5097-4898-8231-480782C7FFFA}"/>
    <cellStyle name="Calculation 2 5 26 3" xfId="15189" xr:uid="{30690A5D-A1B6-4C7C-8690-C7E17B0594F2}"/>
    <cellStyle name="Calculation 2 5 26 4" xfId="15190" xr:uid="{3EDF1C54-A826-41F5-BFA8-3B1D0C7A13EF}"/>
    <cellStyle name="Calculation 2 5 26 5" xfId="15191" xr:uid="{6662C73F-5140-44F6-B103-B22546708A94}"/>
    <cellStyle name="Calculation 2 5 26 6" xfId="15192" xr:uid="{BCA76CBE-E5FC-4D94-A9EA-52A84D9BE13A}"/>
    <cellStyle name="Calculation 2 5 26 7" xfId="15193" xr:uid="{DAE46D3D-969C-4A61-9269-84651505D662}"/>
    <cellStyle name="Calculation 2 5 27" xfId="369" xr:uid="{43355D8E-597C-4743-B311-EED618DDA9EF}"/>
    <cellStyle name="Calculation 2 5 27 2" xfId="12162" xr:uid="{3039564E-521E-4CF8-8239-F67906E4CBD5}"/>
    <cellStyle name="Calculation 2 5 27 2 2" xfId="15194" xr:uid="{09439642-3387-4A91-BC42-2CFFFC7496CC}"/>
    <cellStyle name="Calculation 2 5 27 2 3" xfId="15195" xr:uid="{2E87B4A2-619B-4461-BADD-0173E4C9C87D}"/>
    <cellStyle name="Calculation 2 5 27 2 4" xfId="15196" xr:uid="{3E3414A2-DE82-4E22-9D6B-F32DFFB0D1CB}"/>
    <cellStyle name="Calculation 2 5 27 2 5" xfId="15197" xr:uid="{9417F06B-DA0F-4099-93CE-BBA3CDC26815}"/>
    <cellStyle name="Calculation 2 5 27 2 6" xfId="15198" xr:uid="{A2196195-73DE-4F10-92D6-33344D272A49}"/>
    <cellStyle name="Calculation 2 5 27 3" xfId="15199" xr:uid="{43F330AD-2FEF-48EA-9D78-47182085B84A}"/>
    <cellStyle name="Calculation 2 5 27 4" xfId="15200" xr:uid="{5B019DEA-19A9-42E3-9FDC-B708F447693F}"/>
    <cellStyle name="Calculation 2 5 27 5" xfId="15201" xr:uid="{27AA6008-96FA-4182-94EB-FD252DA60D53}"/>
    <cellStyle name="Calculation 2 5 27 6" xfId="15202" xr:uid="{1C6AD7A1-715E-46FB-9D07-4868A0D22E60}"/>
    <cellStyle name="Calculation 2 5 27 7" xfId="15203" xr:uid="{37F46870-44A4-4D22-90FF-25B93911F9E0}"/>
    <cellStyle name="Calculation 2 5 28" xfId="370" xr:uid="{192AAAD8-B5C2-4EFD-A9CC-AC66C090D0AE}"/>
    <cellStyle name="Calculation 2 5 28 2" xfId="12241" xr:uid="{50D6B979-EF96-446C-85E2-0B4766137EE5}"/>
    <cellStyle name="Calculation 2 5 28 2 2" xfId="15204" xr:uid="{686C798E-19F4-40A7-9A06-CFDDD41A3459}"/>
    <cellStyle name="Calculation 2 5 28 2 3" xfId="15205" xr:uid="{B9ECEAA8-2AB3-4193-BC6D-2C0236312E93}"/>
    <cellStyle name="Calculation 2 5 28 2 4" xfId="15206" xr:uid="{ACF447A3-0A6C-4ACD-A46B-363CBED4FB87}"/>
    <cellStyle name="Calculation 2 5 28 2 5" xfId="15207" xr:uid="{7D5F7219-9EED-4088-8EA6-F64B5B253EB7}"/>
    <cellStyle name="Calculation 2 5 28 2 6" xfId="15208" xr:uid="{F01D128F-EBF4-47E3-894F-97CF486FFCE9}"/>
    <cellStyle name="Calculation 2 5 28 3" xfId="15209" xr:uid="{14CD87B9-D67D-41D4-8462-02342A2BD156}"/>
    <cellStyle name="Calculation 2 5 28 4" xfId="15210" xr:uid="{1C801719-B93C-462B-A208-89618F1C2126}"/>
    <cellStyle name="Calculation 2 5 28 5" xfId="15211" xr:uid="{E7BE33CF-F801-4D5C-9C19-DDB491DC0814}"/>
    <cellStyle name="Calculation 2 5 28 6" xfId="15212" xr:uid="{A92D3D9C-1E6C-4F68-8EC2-637E22DFAA5B}"/>
    <cellStyle name="Calculation 2 5 28 7" xfId="15213" xr:uid="{FE81F7AF-64D4-4032-B81B-E706E0D12A3B}"/>
    <cellStyle name="Calculation 2 5 29" xfId="371" xr:uid="{D93BED6A-CE22-4342-A92B-83C63C5BF8B8}"/>
    <cellStyle name="Calculation 2 5 29 2" xfId="12320" xr:uid="{485461AA-ECDE-4F4A-9C24-FC0842FD1AFB}"/>
    <cellStyle name="Calculation 2 5 29 2 2" xfId="15214" xr:uid="{740BB481-E683-4F45-9F6D-976FD727F8A0}"/>
    <cellStyle name="Calculation 2 5 29 2 3" xfId="15215" xr:uid="{B6DFA8D8-393B-496A-A494-FBFFC8FC53E9}"/>
    <cellStyle name="Calculation 2 5 29 2 4" xfId="15216" xr:uid="{77363E6E-D3B7-41F4-9684-410A4EFB1FED}"/>
    <cellStyle name="Calculation 2 5 29 2 5" xfId="15217" xr:uid="{58C635E3-71DF-4D27-8F03-FFF6E5D9173B}"/>
    <cellStyle name="Calculation 2 5 29 2 6" xfId="15218" xr:uid="{0B7F1F24-B2AF-4A46-88DA-B1E3A3D243F4}"/>
    <cellStyle name="Calculation 2 5 29 3" xfId="15219" xr:uid="{5037BA10-75D0-418D-B15F-F9C70B015BD1}"/>
    <cellStyle name="Calculation 2 5 29 4" xfId="15220" xr:uid="{DD6FAD9C-65C1-41BD-9446-34B07368DB77}"/>
    <cellStyle name="Calculation 2 5 29 5" xfId="15221" xr:uid="{FEDC9A22-ACBC-44D4-9876-15EF5A64E65E}"/>
    <cellStyle name="Calculation 2 5 29 6" xfId="15222" xr:uid="{F8AE0F4B-CE28-4541-A718-BA9D5BF59ADE}"/>
    <cellStyle name="Calculation 2 5 29 7" xfId="15223" xr:uid="{7A70B954-5ED7-48D1-8817-37CAF40F7D6F}"/>
    <cellStyle name="Calculation 2 5 3" xfId="372" xr:uid="{11394416-3052-4C65-9562-ACD231996ADD}"/>
    <cellStyle name="Calculation 2 5 3 2" xfId="10086" xr:uid="{19167874-4CE4-4B1B-AACD-5F424B310CA1}"/>
    <cellStyle name="Calculation 2 5 3 2 2" xfId="15224" xr:uid="{82B9B6F8-4F48-4DDF-8BE0-21D851CBABDF}"/>
    <cellStyle name="Calculation 2 5 3 2 3" xfId="15225" xr:uid="{2C2C65C2-E65A-4628-BAF2-847C8EA55F09}"/>
    <cellStyle name="Calculation 2 5 3 2 4" xfId="15226" xr:uid="{7F6D6661-2592-4F72-98A3-A4F0420CF0C9}"/>
    <cellStyle name="Calculation 2 5 3 2 5" xfId="15227" xr:uid="{22289C41-A83E-4C41-9BD2-C61F829E25D3}"/>
    <cellStyle name="Calculation 2 5 3 2 6" xfId="15228" xr:uid="{2A4D3545-2CD0-4A47-A5E4-8BBB525E064B}"/>
    <cellStyle name="Calculation 2 5 3 3" xfId="15229" xr:uid="{A37640C4-EB02-49C2-85B7-D79DC4ED1F92}"/>
    <cellStyle name="Calculation 2 5 3 4" xfId="15230" xr:uid="{7B7EA79A-2F20-4531-9BB4-FE6938C67D81}"/>
    <cellStyle name="Calculation 2 5 3 5" xfId="15231" xr:uid="{94EFD915-E21C-43EE-9EE3-AF1CD7899C43}"/>
    <cellStyle name="Calculation 2 5 3 6" xfId="15232" xr:uid="{869DAB16-69F5-42E1-A3B6-DAE8B121385C}"/>
    <cellStyle name="Calculation 2 5 3 7" xfId="15233" xr:uid="{1CB327C6-3908-4BF4-8881-5E48AF5177C5}"/>
    <cellStyle name="Calculation 2 5 30" xfId="373" xr:uid="{C75877CB-9BB4-49DD-B4EC-5432748F4C85}"/>
    <cellStyle name="Calculation 2 5 30 2" xfId="12399" xr:uid="{9F68ADFC-8F9C-497F-9681-DB207F2814F8}"/>
    <cellStyle name="Calculation 2 5 30 2 2" xfId="15234" xr:uid="{6912BE80-2C49-4637-AD26-4CFBFF135597}"/>
    <cellStyle name="Calculation 2 5 30 2 3" xfId="15235" xr:uid="{DF1F2167-CCA9-4E2B-9D3D-6D29BFCAF48F}"/>
    <cellStyle name="Calculation 2 5 30 2 4" xfId="15236" xr:uid="{58C930E6-78DF-4989-9416-EC62C1949D85}"/>
    <cellStyle name="Calculation 2 5 30 2 5" xfId="15237" xr:uid="{1EBF24F4-C5B0-4221-BBC5-95270FE388AE}"/>
    <cellStyle name="Calculation 2 5 30 2 6" xfId="15238" xr:uid="{0656ACFE-29C8-4CD4-A0D4-DA5F41987BD2}"/>
    <cellStyle name="Calculation 2 5 30 3" xfId="15239" xr:uid="{F08658B3-1426-4A8E-AE9D-06BE65C7960F}"/>
    <cellStyle name="Calculation 2 5 30 4" xfId="15240" xr:uid="{FA231379-7085-4B7B-8ADE-BC0E070A6026}"/>
    <cellStyle name="Calculation 2 5 30 5" xfId="15241" xr:uid="{2D8FA9FD-2680-403D-B5B7-651220B8F310}"/>
    <cellStyle name="Calculation 2 5 30 6" xfId="15242" xr:uid="{87EB5F02-BAAC-48D6-ABA5-4B7A6775A0B6}"/>
    <cellStyle name="Calculation 2 5 30 7" xfId="15243" xr:uid="{056ACFE4-227C-4DC8-9758-6F2446A7C146}"/>
    <cellStyle name="Calculation 2 5 31" xfId="374" xr:uid="{26DBCB86-00F9-4EB8-8FC5-720826E8157E}"/>
    <cellStyle name="Calculation 2 5 31 2" xfId="12478" xr:uid="{2350FE1C-4222-4E14-8E7A-D68B835E2D52}"/>
    <cellStyle name="Calculation 2 5 31 2 2" xfId="15244" xr:uid="{9F6B35AA-F8C4-4A87-B1FE-22B0924FE64B}"/>
    <cellStyle name="Calculation 2 5 31 2 3" xfId="15245" xr:uid="{60383AA5-B0CA-4B24-AA28-03CE49835FA7}"/>
    <cellStyle name="Calculation 2 5 31 2 4" xfId="15246" xr:uid="{386CD48F-D910-4DE7-8299-F8BA3279370E}"/>
    <cellStyle name="Calculation 2 5 31 2 5" xfId="15247" xr:uid="{E45B4193-7AE8-4634-9FD4-42BE20BA8FB5}"/>
    <cellStyle name="Calculation 2 5 31 2 6" xfId="15248" xr:uid="{38AFD6F6-725D-41E6-A18F-744AB2048A78}"/>
    <cellStyle name="Calculation 2 5 31 3" xfId="15249" xr:uid="{F36488C3-C7F1-40FD-B12E-8C79F7CB9A1A}"/>
    <cellStyle name="Calculation 2 5 31 4" xfId="15250" xr:uid="{6C36F57B-BE88-41EF-9759-715863607B0E}"/>
    <cellStyle name="Calculation 2 5 31 5" xfId="15251" xr:uid="{E0910274-F6B3-4BBF-9D43-D158F2600E5C}"/>
    <cellStyle name="Calculation 2 5 31 6" xfId="15252" xr:uid="{114026A0-34E8-4245-A629-81877077A8EB}"/>
    <cellStyle name="Calculation 2 5 31 7" xfId="15253" xr:uid="{FB02922A-DBFD-4C52-805A-71F5FA9FBE36}"/>
    <cellStyle name="Calculation 2 5 32" xfId="375" xr:uid="{60FD23C5-48E9-402E-B373-E53AEB4148B8}"/>
    <cellStyle name="Calculation 2 5 32 2" xfId="12557" xr:uid="{F15AC644-0894-477F-92A5-71E53711089F}"/>
    <cellStyle name="Calculation 2 5 32 2 2" xfId="15254" xr:uid="{893FCFD8-9479-4424-AEF6-0C3E9389C3EC}"/>
    <cellStyle name="Calculation 2 5 32 2 3" xfId="15255" xr:uid="{CFFAEF23-7114-44A1-98D4-80BBFEBC54C8}"/>
    <cellStyle name="Calculation 2 5 32 2 4" xfId="15256" xr:uid="{0D515662-02CB-464E-BC7D-4256B8476583}"/>
    <cellStyle name="Calculation 2 5 32 2 5" xfId="15257" xr:uid="{E71F68AD-1255-4E28-ABD7-040810A0461E}"/>
    <cellStyle name="Calculation 2 5 32 2 6" xfId="15258" xr:uid="{74CBC66A-09FF-40C5-9FE8-059F29BF360D}"/>
    <cellStyle name="Calculation 2 5 32 3" xfId="15259" xr:uid="{B0924EC3-ED5C-4EC0-9FB0-63052D56B878}"/>
    <cellStyle name="Calculation 2 5 32 4" xfId="15260" xr:uid="{7CA20714-70ED-40CB-AEA4-DA4CA1527EEF}"/>
    <cellStyle name="Calculation 2 5 32 5" xfId="15261" xr:uid="{E26887D4-CE9B-44CB-B562-55C4EC9B73ED}"/>
    <cellStyle name="Calculation 2 5 32 6" xfId="15262" xr:uid="{AF4755A5-3676-4424-A171-92B2E991697C}"/>
    <cellStyle name="Calculation 2 5 32 7" xfId="15263" xr:uid="{7709D45B-B48A-4D78-9827-F374751CBD72}"/>
    <cellStyle name="Calculation 2 5 33" xfId="376" xr:uid="{CD8301E9-5D6C-473E-BEA0-4651868D5F4B}"/>
    <cellStyle name="Calculation 2 5 33 2" xfId="12636" xr:uid="{D4C608C8-F762-432D-BF0A-CB8C6845F6C8}"/>
    <cellStyle name="Calculation 2 5 33 2 2" xfId="15264" xr:uid="{550918D2-2B3E-4273-8033-CF90FFFC485D}"/>
    <cellStyle name="Calculation 2 5 33 2 3" xfId="15265" xr:uid="{C71AA794-60A5-437E-97C9-1F57FEC6BB25}"/>
    <cellStyle name="Calculation 2 5 33 2 4" xfId="15266" xr:uid="{13C44A71-7D53-449D-BB46-E768A7CFA9D0}"/>
    <cellStyle name="Calculation 2 5 33 2 5" xfId="15267" xr:uid="{05F2674C-E415-44BE-8788-06A193CEA870}"/>
    <cellStyle name="Calculation 2 5 33 2 6" xfId="15268" xr:uid="{3E57EB2F-CC97-46F4-A094-FB559442A6F2}"/>
    <cellStyle name="Calculation 2 5 33 3" xfId="15269" xr:uid="{B8630E72-BC0A-4AFE-BD11-594D7CA7337C}"/>
    <cellStyle name="Calculation 2 5 33 4" xfId="15270" xr:uid="{AB1919A6-5F5A-496B-A5E7-55F501582CC7}"/>
    <cellStyle name="Calculation 2 5 33 5" xfId="15271" xr:uid="{4FF498C0-E9D5-4C46-ABED-D1400929AB37}"/>
    <cellStyle name="Calculation 2 5 33 6" xfId="15272" xr:uid="{2B90AD35-48A0-4D7B-B289-6C83AA02EC0A}"/>
    <cellStyle name="Calculation 2 5 33 7" xfId="15273" xr:uid="{8047BE56-9736-4E0F-B0CC-6BAE85631F0E}"/>
    <cellStyle name="Calculation 2 5 34" xfId="377" xr:uid="{E1406020-EAD1-463B-8E34-91408E31DD9B}"/>
    <cellStyle name="Calculation 2 5 34 2" xfId="12720" xr:uid="{7A22134A-A77E-4AB4-97A0-A34AE2BC477B}"/>
    <cellStyle name="Calculation 2 5 34 2 2" xfId="15274" xr:uid="{2206C234-3514-4590-BAC5-366C19A5DF27}"/>
    <cellStyle name="Calculation 2 5 34 2 3" xfId="15275" xr:uid="{FD7C7AE9-52F9-4EC3-A77A-C0FBA7D37725}"/>
    <cellStyle name="Calculation 2 5 34 2 4" xfId="15276" xr:uid="{0C8EE1B5-5EB1-45E5-831A-3B506821681D}"/>
    <cellStyle name="Calculation 2 5 34 2 5" xfId="15277" xr:uid="{C3B93F55-599F-4E9E-A23F-A58608E58A12}"/>
    <cellStyle name="Calculation 2 5 34 2 6" xfId="15278" xr:uid="{2604AC5D-F5FC-4455-9EDB-2BCFDFDDCE37}"/>
    <cellStyle name="Calculation 2 5 34 3" xfId="15279" xr:uid="{444902C9-6EAE-43C6-9EAB-624FEF3AD62A}"/>
    <cellStyle name="Calculation 2 5 34 4" xfId="15280" xr:uid="{8101CBB5-479C-48E3-AA29-ABC6D7A712DE}"/>
    <cellStyle name="Calculation 2 5 34 5" xfId="15281" xr:uid="{333B2C23-2FDA-47F5-8235-0F84BDB73C44}"/>
    <cellStyle name="Calculation 2 5 34 6" xfId="15282" xr:uid="{CBC4DB9A-4CEA-4D98-843B-E4C49EF01EAA}"/>
    <cellStyle name="Calculation 2 5 35" xfId="3822" xr:uid="{52EF12F9-A190-498A-8DCD-58B296708666}"/>
    <cellStyle name="Calculation 2 5 36" xfId="9784" xr:uid="{768D3A49-964E-44A7-BAB0-13EDD27D2EA2}"/>
    <cellStyle name="Calculation 2 5 36 2" xfId="15283" xr:uid="{086D0B2F-4211-45D4-A151-13EBDE07E3C6}"/>
    <cellStyle name="Calculation 2 5 36 3" xfId="15284" xr:uid="{E37ADCA1-187A-426E-8AA0-FB76D00B007D}"/>
    <cellStyle name="Calculation 2 5 36 4" xfId="15285" xr:uid="{E3225770-2129-4C77-948A-7870AB4CD840}"/>
    <cellStyle name="Calculation 2 5 36 5" xfId="15286" xr:uid="{50E36932-8B40-43C0-8884-B908F2CD34B8}"/>
    <cellStyle name="Calculation 2 5 36 6" xfId="15287" xr:uid="{65AB0D35-9513-40F1-97D0-92B4E52303B5}"/>
    <cellStyle name="Calculation 2 5 37" xfId="15288" xr:uid="{821AA88C-D07A-4E35-A314-A1B7CB2F4129}"/>
    <cellStyle name="Calculation 2 5 38" xfId="15289" xr:uid="{8EC5726C-E7E4-4E21-BF62-C023E7B353C6}"/>
    <cellStyle name="Calculation 2 5 39" xfId="15290" xr:uid="{93AB26C3-4FEF-4C60-B663-3E557D8DD05C}"/>
    <cellStyle name="Calculation 2 5 4" xfId="378" xr:uid="{FA2DF73C-F9A5-4B2D-BB73-643A70ECBA3A}"/>
    <cellStyle name="Calculation 2 5 4 2" xfId="10177" xr:uid="{ECEF162A-D9B6-4644-8678-B28CA5B18D6C}"/>
    <cellStyle name="Calculation 2 5 4 2 2" xfId="15291" xr:uid="{E88A357E-21F9-4C21-BB3D-45F7A59DF5AF}"/>
    <cellStyle name="Calculation 2 5 4 2 3" xfId="15292" xr:uid="{BFD2257F-5031-4EF4-8F36-1F593CCA87E7}"/>
    <cellStyle name="Calculation 2 5 4 2 4" xfId="15293" xr:uid="{E5677A44-EC90-4861-8A27-4722814DD3ED}"/>
    <cellStyle name="Calculation 2 5 4 2 5" xfId="15294" xr:uid="{F2839C01-5FB4-4094-85B0-F839164C880B}"/>
    <cellStyle name="Calculation 2 5 4 2 6" xfId="15295" xr:uid="{B8593210-82C6-448F-8DF9-196C6BE055EC}"/>
    <cellStyle name="Calculation 2 5 4 3" xfId="15296" xr:uid="{38059D4A-442C-4AA8-8A40-25A47B1D4432}"/>
    <cellStyle name="Calculation 2 5 4 4" xfId="15297" xr:uid="{D440138A-15F3-4400-8DD6-032D9BC6B2C8}"/>
    <cellStyle name="Calculation 2 5 4 5" xfId="15298" xr:uid="{D1F9D063-B709-4F6D-873D-CC8CA154AF8E}"/>
    <cellStyle name="Calculation 2 5 4 6" xfId="15299" xr:uid="{A49BB5C6-8DBC-4AAD-8BFC-113B3AF28BAF}"/>
    <cellStyle name="Calculation 2 5 4 7" xfId="15300" xr:uid="{F3661BA0-1439-4242-9591-956A6EC9E50A}"/>
    <cellStyle name="Calculation 2 5 40" xfId="15301" xr:uid="{7B5A5A75-54AC-4C08-8D0B-9E9F59C79898}"/>
    <cellStyle name="Calculation 2 5 5" xfId="379" xr:uid="{100C9747-FA88-4B25-A293-DDE82341BD90}"/>
    <cellStyle name="Calculation 2 5 5 2" xfId="10265" xr:uid="{79CAD796-4C2D-4CC0-A817-2FF7E944838D}"/>
    <cellStyle name="Calculation 2 5 5 2 2" xfId="15302" xr:uid="{10EAFD7F-EB4A-4611-A122-A48718E326C1}"/>
    <cellStyle name="Calculation 2 5 5 2 3" xfId="15303" xr:uid="{6F347D82-EBEC-4965-A7D8-FA3190E1F044}"/>
    <cellStyle name="Calculation 2 5 5 2 4" xfId="15304" xr:uid="{402238DE-CD5E-4EDA-9239-92FF72FF20D9}"/>
    <cellStyle name="Calculation 2 5 5 2 5" xfId="15305" xr:uid="{F68A9BD4-1403-4522-A2C6-628904DC2278}"/>
    <cellStyle name="Calculation 2 5 5 2 6" xfId="15306" xr:uid="{F9316B29-2B39-4BCD-AE19-C28AB84A01F7}"/>
    <cellStyle name="Calculation 2 5 5 3" xfId="15307" xr:uid="{2DC48287-3769-47CD-AF91-57A621EBE801}"/>
    <cellStyle name="Calculation 2 5 5 4" xfId="15308" xr:uid="{60EC5EDB-AE74-4EED-BDA8-13814DDB7E43}"/>
    <cellStyle name="Calculation 2 5 5 5" xfId="15309" xr:uid="{F79D5D82-A09B-4F70-BE62-0FB005BFC5EC}"/>
    <cellStyle name="Calculation 2 5 5 6" xfId="15310" xr:uid="{8D767D91-AD49-427D-9B33-5EBFB1C84EDB}"/>
    <cellStyle name="Calculation 2 5 5 7" xfId="15311" xr:uid="{820BBDB8-07F0-4044-80CA-696D4E808326}"/>
    <cellStyle name="Calculation 2 5 6" xfId="380" xr:uid="{C5BEEB20-77AB-45C5-9E48-7E48A6878B41}"/>
    <cellStyle name="Calculation 2 5 6 2" xfId="10350" xr:uid="{C66FF55A-EC1A-4BB3-9CFD-24425A66EF7A}"/>
    <cellStyle name="Calculation 2 5 6 2 2" xfId="15312" xr:uid="{18D7C194-6741-4548-91E7-DD542010B106}"/>
    <cellStyle name="Calculation 2 5 6 2 3" xfId="15313" xr:uid="{40C824E9-3AB4-4E53-AC1D-43455E8EF9CA}"/>
    <cellStyle name="Calculation 2 5 6 2 4" xfId="15314" xr:uid="{32C0230A-D910-44D6-AB97-7482A320F70A}"/>
    <cellStyle name="Calculation 2 5 6 2 5" xfId="15315" xr:uid="{D78DD6EA-B10B-437C-AF00-08C8163745CF}"/>
    <cellStyle name="Calculation 2 5 6 2 6" xfId="15316" xr:uid="{2F93504A-B6A5-4C61-857D-3D65C784F421}"/>
    <cellStyle name="Calculation 2 5 6 3" xfId="15317" xr:uid="{08F782EA-B05E-41A0-B732-08CAF8CA87A3}"/>
    <cellStyle name="Calculation 2 5 6 4" xfId="15318" xr:uid="{57B95955-3279-4418-A65C-4B2CCFF4EAAE}"/>
    <cellStyle name="Calculation 2 5 6 5" xfId="15319" xr:uid="{2F72A6D2-F455-4FB7-B5B8-2EC1C14012A0}"/>
    <cellStyle name="Calculation 2 5 6 6" xfId="15320" xr:uid="{07631CE9-87BE-425C-9DFD-2161767A20F9}"/>
    <cellStyle name="Calculation 2 5 6 7" xfId="15321" xr:uid="{BD490FA2-211A-4A6D-85B0-54195A298CA7}"/>
    <cellStyle name="Calculation 2 5 7" xfId="381" xr:uid="{9D6632BE-3A4D-4000-AC12-2180E3534244}"/>
    <cellStyle name="Calculation 2 5 7 2" xfId="10437" xr:uid="{F2E33A1E-17ED-426C-8ABB-034E73AD34D9}"/>
    <cellStyle name="Calculation 2 5 7 2 2" xfId="15322" xr:uid="{0D8B7E68-1CEC-4701-B061-CE14BA52D833}"/>
    <cellStyle name="Calculation 2 5 7 2 3" xfId="15323" xr:uid="{C30CE3F3-46F6-4611-A47D-66407B594CDC}"/>
    <cellStyle name="Calculation 2 5 7 2 4" xfId="15324" xr:uid="{F3688268-2F18-4CEB-9891-62F46BE2A591}"/>
    <cellStyle name="Calculation 2 5 7 2 5" xfId="15325" xr:uid="{3751CE60-8770-4383-8BCC-A145D7C32E71}"/>
    <cellStyle name="Calculation 2 5 7 2 6" xfId="15326" xr:uid="{629923E1-6C6B-4591-8001-522A30A28283}"/>
    <cellStyle name="Calculation 2 5 7 3" xfId="15327" xr:uid="{5B75C050-18C7-4171-AB1C-17378481F9AB}"/>
    <cellStyle name="Calculation 2 5 7 4" xfId="15328" xr:uid="{E6C78D3D-45B5-4542-BF49-9AC48B099995}"/>
    <cellStyle name="Calculation 2 5 7 5" xfId="15329" xr:uid="{651A3FAA-851E-4E08-9D63-59DBC9FAA954}"/>
    <cellStyle name="Calculation 2 5 7 6" xfId="15330" xr:uid="{993E9D03-5F22-4D24-9E83-122CEEB90734}"/>
    <cellStyle name="Calculation 2 5 7 7" xfId="15331" xr:uid="{7A8268B9-7160-44CA-A84F-B96174EF8CB3}"/>
    <cellStyle name="Calculation 2 5 8" xfId="382" xr:uid="{1E14AFFD-074B-439E-B3C8-EF147852F8EE}"/>
    <cellStyle name="Calculation 2 5 8 2" xfId="10526" xr:uid="{1904998F-A2D8-49F0-A38F-B57CAB33F924}"/>
    <cellStyle name="Calculation 2 5 8 2 2" xfId="15332" xr:uid="{98FD9EA8-48DC-4956-BAF7-7F01D626EF08}"/>
    <cellStyle name="Calculation 2 5 8 2 3" xfId="15333" xr:uid="{FF3A0C03-D3B2-4CF9-B0CC-DE1F26C7D47F}"/>
    <cellStyle name="Calculation 2 5 8 2 4" xfId="15334" xr:uid="{B00EB270-B005-48B2-9356-26C4A3067B6B}"/>
    <cellStyle name="Calculation 2 5 8 2 5" xfId="15335" xr:uid="{BFB3B211-CCD9-4A04-9106-D7171FFCF57E}"/>
    <cellStyle name="Calculation 2 5 8 2 6" xfId="15336" xr:uid="{F88FFF4C-F59F-4CCE-94A9-A3132633755A}"/>
    <cellStyle name="Calculation 2 5 8 3" xfId="15337" xr:uid="{9E479F4D-608B-4FEF-ADA8-360FFE02DC5F}"/>
    <cellStyle name="Calculation 2 5 8 4" xfId="15338" xr:uid="{503E2914-D701-416D-B762-15D57F281011}"/>
    <cellStyle name="Calculation 2 5 8 5" xfId="15339" xr:uid="{049E83FF-1059-4235-B87D-E3E85AEE14DF}"/>
    <cellStyle name="Calculation 2 5 8 6" xfId="15340" xr:uid="{75C6A6D4-86D3-498E-9C47-8C33B7A2F131}"/>
    <cellStyle name="Calculation 2 5 8 7" xfId="15341" xr:uid="{637A7CBA-8625-4978-971F-22184E8558B8}"/>
    <cellStyle name="Calculation 2 5 9" xfId="383" xr:uid="{EF06EB0A-2B7D-4138-870A-3F10733831AF}"/>
    <cellStyle name="Calculation 2 5 9 2" xfId="10608" xr:uid="{D11D8915-1F6F-4151-8B3B-241796919363}"/>
    <cellStyle name="Calculation 2 5 9 2 2" xfId="15342" xr:uid="{20EB7E70-79A1-46A8-A06C-5BFBBF519ADB}"/>
    <cellStyle name="Calculation 2 5 9 2 3" xfId="15343" xr:uid="{FDDFF22E-17FD-4706-89B7-E601506AE27B}"/>
    <cellStyle name="Calculation 2 5 9 2 4" xfId="15344" xr:uid="{D3C64C4A-CEE5-422E-94CA-3D029CEB6662}"/>
    <cellStyle name="Calculation 2 5 9 2 5" xfId="15345" xr:uid="{C925560C-E9E1-436C-BF07-F10A7C182D43}"/>
    <cellStyle name="Calculation 2 5 9 2 6" xfId="15346" xr:uid="{F967C68E-EC69-410C-8DF9-D52F436F068C}"/>
    <cellStyle name="Calculation 2 5 9 3" xfId="15347" xr:uid="{695BCFE1-41AD-45E6-A65F-AF35995DC590}"/>
    <cellStyle name="Calculation 2 5 9 4" xfId="15348" xr:uid="{938E56A4-A079-44D6-9109-98F84C9988CE}"/>
    <cellStyle name="Calculation 2 5 9 5" xfId="15349" xr:uid="{40C04D08-CDAC-478C-AF54-F9E68D472F69}"/>
    <cellStyle name="Calculation 2 5 9 6" xfId="15350" xr:uid="{685F3CA7-2571-4E97-AD41-2C397245F4D2}"/>
    <cellStyle name="Calculation 2 5 9 7" xfId="15351" xr:uid="{3D20556F-6D31-4ACF-8B19-329325E94A07}"/>
    <cellStyle name="Calculation 2 6" xfId="384" xr:uid="{785A9F97-450B-466F-8FEB-58D598DCAAC1}"/>
    <cellStyle name="Calculation 2 6 2" xfId="9933" xr:uid="{8D43C8C8-E65D-49A1-9AE6-DC1FF329A27F}"/>
    <cellStyle name="Calculation 2 6 2 2" xfId="15352" xr:uid="{6911E4B2-8522-4DDA-B4D0-2266A8DB49D5}"/>
    <cellStyle name="Calculation 2 6 2 3" xfId="15353" xr:uid="{83E75C07-C5A3-4C67-9329-0F351DDF61C0}"/>
    <cellStyle name="Calculation 2 6 2 4" xfId="15354" xr:uid="{AA2B77BA-B7F8-448F-ACAE-27DBF0544834}"/>
    <cellStyle name="Calculation 2 6 2 5" xfId="15355" xr:uid="{63DF30AB-89E0-404E-82B3-7F083283326B}"/>
    <cellStyle name="Calculation 2 6 2 6" xfId="15356" xr:uid="{3C4B9412-92B6-4AF2-A1BA-A3255EC5DDD7}"/>
    <cellStyle name="Calculation 2 6 3" xfId="15357" xr:uid="{83389229-0E68-415B-ACC8-F385A764C21E}"/>
    <cellStyle name="Calculation 2 6 4" xfId="15358" xr:uid="{F60F5BD7-4709-4CF0-885B-EA32221166C1}"/>
    <cellStyle name="Calculation 2 6 5" xfId="15359" xr:uid="{9282C3E1-9D40-4424-95F5-6798E95FFAFA}"/>
    <cellStyle name="Calculation 2 6 6" xfId="15360" xr:uid="{B2987E86-B209-4508-AE0A-2D463AF67B2F}"/>
    <cellStyle name="Calculation 2 6 7" xfId="15361" xr:uid="{29022131-A434-4B1E-94DD-EA5811C614E7}"/>
    <cellStyle name="Calculation 2 7" xfId="385" xr:uid="{C7400629-4663-4ECF-AC48-256E5A10CF3D}"/>
    <cellStyle name="Calculation 2 7 2" xfId="9915" xr:uid="{F794FC16-88A2-49FB-A01A-1594CE010F3A}"/>
    <cellStyle name="Calculation 2 7 2 2" xfId="15362" xr:uid="{57A3656D-8BF4-4C61-BCE9-CE9DD6C46A9B}"/>
    <cellStyle name="Calculation 2 7 2 3" xfId="15363" xr:uid="{18316236-15FB-4628-B2E0-0A6D7DC9BDAD}"/>
    <cellStyle name="Calculation 2 7 2 4" xfId="15364" xr:uid="{E3837FD4-EA8E-4F63-9C6F-A324B07C8A8A}"/>
    <cellStyle name="Calculation 2 7 2 5" xfId="15365" xr:uid="{5BE840AD-277F-4330-90A3-17C2CA41307E}"/>
    <cellStyle name="Calculation 2 7 2 6" xfId="15366" xr:uid="{CA984E35-48E7-4BAE-9259-B692D65A36BD}"/>
    <cellStyle name="Calculation 2 7 3" xfId="15367" xr:uid="{544F5A2B-9A38-4B82-91B1-9FA7615E1276}"/>
    <cellStyle name="Calculation 2 7 4" xfId="15368" xr:uid="{7D80DB33-E99D-4DFC-8CFD-83F403D31565}"/>
    <cellStyle name="Calculation 2 7 5" xfId="15369" xr:uid="{F02A09BF-E858-4F72-8C31-681ACB1BA4BF}"/>
    <cellStyle name="Calculation 2 7 6" xfId="15370" xr:uid="{4131E1AE-A93D-4205-B711-19EE0F693C20}"/>
    <cellStyle name="Calculation 2 7 7" xfId="15371" xr:uid="{E076F8C3-8D7D-4B17-8580-7D55E7AE70C3}"/>
    <cellStyle name="Calculation 2 8" xfId="386" xr:uid="{EDB35BCA-A70E-47A7-AD7B-96F2B64C0914}"/>
    <cellStyle name="Calculation 2 8 2" xfId="9932" xr:uid="{4A33CFCA-254F-43F0-B47B-34D78D49CEBE}"/>
    <cellStyle name="Calculation 2 8 2 2" xfId="15372" xr:uid="{F4A3CD0D-C67A-41FD-9CFA-B791782D6CC5}"/>
    <cellStyle name="Calculation 2 8 2 3" xfId="15373" xr:uid="{2B28FE89-0FE1-4E07-99CD-C7DE6B180CBD}"/>
    <cellStyle name="Calculation 2 8 2 4" xfId="15374" xr:uid="{4C578717-A79E-4602-90A4-2BCA011E426A}"/>
    <cellStyle name="Calculation 2 8 2 5" xfId="15375" xr:uid="{A07975C3-AF15-4F2D-87A7-584F5948AA3B}"/>
    <cellStyle name="Calculation 2 8 2 6" xfId="15376" xr:uid="{89CF14AE-44C3-422B-AE73-CB612B153C23}"/>
    <cellStyle name="Calculation 2 8 3" xfId="15377" xr:uid="{482D1BDF-D374-4EB5-A048-8BFBACD44E2A}"/>
    <cellStyle name="Calculation 2 8 4" xfId="15378" xr:uid="{2DCDCFA5-8172-443A-86FF-7F53766C2C9F}"/>
    <cellStyle name="Calculation 2 8 5" xfId="15379" xr:uid="{47441305-484E-4E4E-9A3D-E0F1F08376A3}"/>
    <cellStyle name="Calculation 2 8 6" xfId="15380" xr:uid="{12A1B29D-9039-4AD1-9966-98EA47A63E9B}"/>
    <cellStyle name="Calculation 2 8 7" xfId="15381" xr:uid="{E962F6D8-B08B-46BE-8E88-6978DEFCADEE}"/>
    <cellStyle name="Calculation 2 9" xfId="387" xr:uid="{8A7CB963-4F19-4D82-93CD-B21025A89BB0}"/>
    <cellStyle name="Calculation 2 9 2" xfId="9913" xr:uid="{536A6E80-2388-4698-B171-F77762926A96}"/>
    <cellStyle name="Calculation 2 9 2 2" xfId="15382" xr:uid="{70BFC5F8-D7FA-4A16-A0D9-82850C6A170C}"/>
    <cellStyle name="Calculation 2 9 2 3" xfId="15383" xr:uid="{377C3D4D-0752-4A93-AFAD-E6616650848B}"/>
    <cellStyle name="Calculation 2 9 2 4" xfId="15384" xr:uid="{06F8C117-5144-4817-95C2-FB052685A7E7}"/>
    <cellStyle name="Calculation 2 9 2 5" xfId="15385" xr:uid="{71727612-3132-4E6F-8E2A-250BB213DFE8}"/>
    <cellStyle name="Calculation 2 9 2 6" xfId="15386" xr:uid="{8F5D7394-32E0-4527-86C4-4A2D5051E302}"/>
    <cellStyle name="Calculation 2 9 3" xfId="15387" xr:uid="{E59CD837-BA26-4537-9C06-6CE64F68A8EC}"/>
    <cellStyle name="Calculation 2 9 4" xfId="15388" xr:uid="{0759F497-AD1A-4EE8-8BF9-C6DD0A9344E6}"/>
    <cellStyle name="Calculation 2 9 5" xfId="15389" xr:uid="{3266FB71-8036-449A-BFF3-925242DBA645}"/>
    <cellStyle name="Calculation 2 9 6" xfId="15390" xr:uid="{D967A75B-0BE9-4575-B0A3-EA79BACDCECB}"/>
    <cellStyle name="Calculation 2 9 7" xfId="15391" xr:uid="{F8E4343C-091E-47BA-9254-896998D5F40D}"/>
    <cellStyle name="Calculation 3" xfId="388" xr:uid="{4DC4C3BD-768E-4CF4-AA7A-3EBDFD75ACED}"/>
    <cellStyle name="Calculation 3 10" xfId="389" xr:uid="{A1E4EC70-3B30-4D2A-A84C-901DE948AE5D}"/>
    <cellStyle name="Calculation 3 10 2" xfId="9930" xr:uid="{9B98BADC-0BA4-42CD-A4A7-AC70AE8F7073}"/>
    <cellStyle name="Calculation 3 10 2 2" xfId="15392" xr:uid="{185824DF-BA14-41A9-9F4A-FEBAAC437558}"/>
    <cellStyle name="Calculation 3 10 2 3" xfId="15393" xr:uid="{30BC6998-15CC-43EA-92F0-BAD4E7A8DCCF}"/>
    <cellStyle name="Calculation 3 10 2 4" xfId="15394" xr:uid="{7B567FE0-6A19-4372-8DFC-C4C5F2369B2E}"/>
    <cellStyle name="Calculation 3 10 2 5" xfId="15395" xr:uid="{8E90956B-C0AA-4B19-A7E5-D6CBAB7FA43B}"/>
    <cellStyle name="Calculation 3 10 2 6" xfId="15396" xr:uid="{2FDDC9E5-7313-4C08-A9DD-C0FC4A7D37A2}"/>
    <cellStyle name="Calculation 3 10 3" xfId="15397" xr:uid="{2DA870A8-1540-438C-ABB9-F8A9DE798301}"/>
    <cellStyle name="Calculation 3 10 4" xfId="15398" xr:uid="{2AB738ED-0679-459B-B352-D47738AAF907}"/>
    <cellStyle name="Calculation 3 10 5" xfId="15399" xr:uid="{A0EE9BD7-F4A1-48A8-973A-844ED37A5D12}"/>
    <cellStyle name="Calculation 3 10 6" xfId="15400" xr:uid="{9F7CDDA4-A7C3-4860-959D-AE5D93A7440D}"/>
    <cellStyle name="Calculation 3 10 7" xfId="15401" xr:uid="{534D2011-75B3-4E9A-8D08-7E424ED09918}"/>
    <cellStyle name="Calculation 3 11" xfId="390" xr:uid="{245A134F-E0BB-432A-AEFF-CEE26231A4B9}"/>
    <cellStyle name="Calculation 3 11 2" xfId="10161" xr:uid="{160365F0-B2D8-41FF-86AB-28F74D8AEA43}"/>
    <cellStyle name="Calculation 3 11 2 2" xfId="15402" xr:uid="{705D4820-DEDE-4C02-B0CB-3B047C7C5B11}"/>
    <cellStyle name="Calculation 3 11 2 3" xfId="15403" xr:uid="{623CDD22-32CC-4DDC-9F7A-018E599FCC79}"/>
    <cellStyle name="Calculation 3 11 2 4" xfId="15404" xr:uid="{168036D3-A36C-4951-A5CE-7F0F097C190D}"/>
    <cellStyle name="Calculation 3 11 2 5" xfId="15405" xr:uid="{F42952CD-57E8-477A-A17A-DF7527CB81EF}"/>
    <cellStyle name="Calculation 3 11 2 6" xfId="15406" xr:uid="{DD528B86-CDBB-4424-B5C5-F90CC93858BC}"/>
    <cellStyle name="Calculation 3 11 3" xfId="15407" xr:uid="{035FD115-92D9-42A2-ADC1-C050B09A487D}"/>
    <cellStyle name="Calculation 3 11 4" xfId="15408" xr:uid="{A592CFE4-00DD-4C61-AB07-D4032080B2E8}"/>
    <cellStyle name="Calculation 3 11 5" xfId="15409" xr:uid="{443F7DCD-1A41-4FB8-8CCD-1A2E9E3ED2DF}"/>
    <cellStyle name="Calculation 3 11 6" xfId="15410" xr:uid="{AC8EBAD7-55DF-43CE-B5DA-D6CF9B4FF45A}"/>
    <cellStyle name="Calculation 3 11 7" xfId="15411" xr:uid="{43258934-F324-499E-BCA8-9F526C8D32DE}"/>
    <cellStyle name="Calculation 3 12" xfId="391" xr:uid="{4D0EFA9E-1AB4-4C24-B4D9-7B3B5770A957}"/>
    <cellStyle name="Calculation 3 12 2" xfId="9936" xr:uid="{487FE816-B7C7-4A19-B9F0-52C9D977C48C}"/>
    <cellStyle name="Calculation 3 12 2 2" xfId="15412" xr:uid="{F297E4C0-2C77-409F-AD8E-C9281709D420}"/>
    <cellStyle name="Calculation 3 12 2 3" xfId="15413" xr:uid="{C30705D5-F7E2-4499-8FF4-9ACADA246329}"/>
    <cellStyle name="Calculation 3 12 2 4" xfId="15414" xr:uid="{45FEF609-9185-44DE-A984-C50B163606DA}"/>
    <cellStyle name="Calculation 3 12 2 5" xfId="15415" xr:uid="{928D64BB-F81F-4E63-AB74-A543912721D0}"/>
    <cellStyle name="Calculation 3 12 2 6" xfId="15416" xr:uid="{A1EF805A-4C69-4B86-BBD2-C6A2E19CDE65}"/>
    <cellStyle name="Calculation 3 12 3" xfId="15417" xr:uid="{DA17A849-64EA-42B8-974E-C888C79B3BED}"/>
    <cellStyle name="Calculation 3 12 4" xfId="15418" xr:uid="{515092B1-E708-4E05-9790-B61AB1314C9B}"/>
    <cellStyle name="Calculation 3 12 5" xfId="15419" xr:uid="{1568CD52-A5E1-423C-B99B-034A84649BD8}"/>
    <cellStyle name="Calculation 3 12 6" xfId="15420" xr:uid="{7B75E426-6F8E-4732-9A71-15E3FCECAF7D}"/>
    <cellStyle name="Calculation 3 12 7" xfId="15421" xr:uid="{AC9D9113-18B2-46BB-A8D3-97119F4F1F3F}"/>
    <cellStyle name="Calculation 3 13" xfId="392" xr:uid="{A6FEE4BB-A107-4329-9583-E77B328E620E}"/>
    <cellStyle name="Calculation 3 13 2" xfId="9917" xr:uid="{91583A70-E09C-40CF-A2AE-580EB1553799}"/>
    <cellStyle name="Calculation 3 13 2 2" xfId="15422" xr:uid="{66006CF0-1689-4994-94E9-19FFEF7A6346}"/>
    <cellStyle name="Calculation 3 13 2 3" xfId="15423" xr:uid="{20531D29-C661-42C4-B995-EC322F74B524}"/>
    <cellStyle name="Calculation 3 13 2 4" xfId="15424" xr:uid="{4E87372B-DD8B-4789-8BB7-55A766DB00CF}"/>
    <cellStyle name="Calculation 3 13 2 5" xfId="15425" xr:uid="{B0CDD26B-F31F-41E9-9E29-7F8C89B2F1BB}"/>
    <cellStyle name="Calculation 3 13 2 6" xfId="15426" xr:uid="{CE25301F-4CF5-46F2-9A9C-E034F30E9E85}"/>
    <cellStyle name="Calculation 3 13 3" xfId="15427" xr:uid="{CA36B696-AB66-4B18-990C-BCD5F77FF428}"/>
    <cellStyle name="Calculation 3 13 4" xfId="15428" xr:uid="{E6C22DAD-1FBE-4FBF-8AA6-891ECA630DCF}"/>
    <cellStyle name="Calculation 3 13 5" xfId="15429" xr:uid="{B5929068-70E2-456B-ADD7-C7A9D379B3F4}"/>
    <cellStyle name="Calculation 3 13 6" xfId="15430" xr:uid="{184B859C-A0EB-49C5-B759-5AAAE7BC3A8A}"/>
    <cellStyle name="Calculation 3 13 7" xfId="15431" xr:uid="{287E077A-0108-4330-BCCD-F1976797A809}"/>
    <cellStyle name="Calculation 3 14" xfId="393" xr:uid="{B05E5B5C-A69D-4070-8E86-552B231F4C05}"/>
    <cellStyle name="Calculation 3 14 2" xfId="9965" xr:uid="{9F348F16-0F60-494A-B8C1-44C06E45D228}"/>
    <cellStyle name="Calculation 3 14 2 2" xfId="15432" xr:uid="{1660116B-D055-40FE-9A12-7A24B1F8D6DF}"/>
    <cellStyle name="Calculation 3 14 2 3" xfId="15433" xr:uid="{8338D2A1-C526-4A54-BFB9-FFDDC3BE3B8E}"/>
    <cellStyle name="Calculation 3 14 2 4" xfId="15434" xr:uid="{163B365A-D752-47EC-AA95-B05C63C92A19}"/>
    <cellStyle name="Calculation 3 14 2 5" xfId="15435" xr:uid="{84BD126E-C58D-448F-8EAE-75A72B854282}"/>
    <cellStyle name="Calculation 3 14 2 6" xfId="15436" xr:uid="{B316425E-BEB8-4DA5-8DC1-70C2BA71EB1B}"/>
    <cellStyle name="Calculation 3 14 3" xfId="15437" xr:uid="{8D9F5796-76DD-488F-A87B-F72A92A16EAB}"/>
    <cellStyle name="Calculation 3 14 4" xfId="15438" xr:uid="{C37C5D6C-46C0-4FB1-BA3C-3B0D45C50901}"/>
    <cellStyle name="Calculation 3 14 5" xfId="15439" xr:uid="{1AB0C3A2-7CCB-4D8F-83A1-5491FBA018CF}"/>
    <cellStyle name="Calculation 3 14 6" xfId="15440" xr:uid="{A716D8C7-720E-4ADE-BC65-3D501E77FF31}"/>
    <cellStyle name="Calculation 3 14 7" xfId="15441" xr:uid="{BD169FC1-A387-4B98-903F-9D6EC3FCE850}"/>
    <cellStyle name="Calculation 3 15" xfId="394" xr:uid="{56A098CA-AE22-4392-A16E-144BC3117774}"/>
    <cellStyle name="Calculation 3 15 2" xfId="9731" xr:uid="{1D83E6B4-445F-45D8-8EF3-AEE42D94D24E}"/>
    <cellStyle name="Calculation 3 15 2 2" xfId="15442" xr:uid="{7F277CA9-03F0-4E84-8C27-00360D36B380}"/>
    <cellStyle name="Calculation 3 15 2 3" xfId="15443" xr:uid="{BA86C79D-D2FF-4FD3-9B16-9A0F756BCC5F}"/>
    <cellStyle name="Calculation 3 15 2 4" xfId="15444" xr:uid="{CC6102A1-7578-4539-A10A-BD79F41CB3E7}"/>
    <cellStyle name="Calculation 3 15 2 5" xfId="15445" xr:uid="{F18F0DE8-1717-4E6A-84F4-E21B5403DACF}"/>
    <cellStyle name="Calculation 3 15 2 6" xfId="15446" xr:uid="{8DEF9B49-1B1C-4DD0-A4BA-AE76B79B9E7F}"/>
    <cellStyle name="Calculation 3 15 3" xfId="15447" xr:uid="{B5322A08-6B62-4998-BE44-CB96B5663DEB}"/>
    <cellStyle name="Calculation 3 15 4" xfId="15448" xr:uid="{F8FAAD97-5CD6-4646-B6F5-9972CFB0AA04}"/>
    <cellStyle name="Calculation 3 15 5" xfId="15449" xr:uid="{C5762D90-92AE-439D-A779-46AFD1D5D63A}"/>
    <cellStyle name="Calculation 3 15 6" xfId="15450" xr:uid="{D3FF114E-DE9F-4631-9AE3-BF4844D4003A}"/>
    <cellStyle name="Calculation 3 15 7" xfId="15451" xr:uid="{9460D34B-D7B0-4B2A-9BB0-243F1FA93836}"/>
    <cellStyle name="Calculation 3 16" xfId="395" xr:uid="{C739A107-B938-4432-8EE5-4CBE9ECF126B}"/>
    <cellStyle name="Calculation 3 16 2" xfId="10291" xr:uid="{F57F3CC4-C735-4C09-AA5B-A3E235055C31}"/>
    <cellStyle name="Calculation 3 16 2 2" xfId="15452" xr:uid="{B2D06C1D-EC48-4D58-ADAE-A1D40D14FD8A}"/>
    <cellStyle name="Calculation 3 16 2 3" xfId="15453" xr:uid="{AE4BD9B5-45AD-489A-8583-2B8B6A506B63}"/>
    <cellStyle name="Calculation 3 16 2 4" xfId="15454" xr:uid="{78F64C24-53BA-45C5-AA99-DD9A73E20578}"/>
    <cellStyle name="Calculation 3 16 2 5" xfId="15455" xr:uid="{22AF1753-E94A-4D4B-BFE3-2C80CE28CD30}"/>
    <cellStyle name="Calculation 3 16 2 6" xfId="15456" xr:uid="{4E511569-FF60-4FE6-9473-3CA9E7D515FA}"/>
    <cellStyle name="Calculation 3 16 3" xfId="15457" xr:uid="{51565BF2-2FDA-416C-B663-C94B0A09064F}"/>
    <cellStyle name="Calculation 3 16 4" xfId="15458" xr:uid="{97E43A1E-AC17-498E-8547-709DE856B867}"/>
    <cellStyle name="Calculation 3 16 5" xfId="15459" xr:uid="{E9169623-EB65-457E-8A1E-EF452C844071}"/>
    <cellStyle name="Calculation 3 16 6" xfId="15460" xr:uid="{465A29D6-A167-470F-B0B4-031AAB8A9E28}"/>
    <cellStyle name="Calculation 3 16 7" xfId="15461" xr:uid="{38E01D33-D3D7-4B95-B14B-6CF793DEDBFA}"/>
    <cellStyle name="Calculation 3 17" xfId="396" xr:uid="{3FEBC058-B129-4597-8319-0E0F7A6B3BF0}"/>
    <cellStyle name="Calculation 3 17 2" xfId="10512" xr:uid="{7B996A3F-7639-445E-B0E2-77474273629A}"/>
    <cellStyle name="Calculation 3 17 2 2" xfId="15462" xr:uid="{952756DB-19B6-4F56-91FE-800D4B80DB26}"/>
    <cellStyle name="Calculation 3 17 2 3" xfId="15463" xr:uid="{5815EC7E-B393-4F61-AE58-0E53634C70EF}"/>
    <cellStyle name="Calculation 3 17 2 4" xfId="15464" xr:uid="{455E5539-C0C9-4F00-B015-A7BD61311FCB}"/>
    <cellStyle name="Calculation 3 17 2 5" xfId="15465" xr:uid="{915C1503-D45C-4A72-99E6-931A4DF4DD0B}"/>
    <cellStyle name="Calculation 3 17 2 6" xfId="15466" xr:uid="{4035CB9C-AD51-4D41-8032-CBC76DB4F37B}"/>
    <cellStyle name="Calculation 3 17 3" xfId="15467" xr:uid="{F06B4811-E1D0-496D-A4D2-AC5DCF111A6A}"/>
    <cellStyle name="Calculation 3 17 4" xfId="15468" xr:uid="{45040505-D236-4536-8453-48FF6BF558BF}"/>
    <cellStyle name="Calculation 3 17 5" xfId="15469" xr:uid="{C7580F27-6D23-45B6-BB95-3665D26D059E}"/>
    <cellStyle name="Calculation 3 17 6" xfId="15470" xr:uid="{806509FB-36EB-45D4-807B-63E147918E0F}"/>
    <cellStyle name="Calculation 3 17 7" xfId="15471" xr:uid="{D308A887-5D8C-42A9-B451-BFA35E8A1DF2}"/>
    <cellStyle name="Calculation 3 18" xfId="397" xr:uid="{A34C51FE-8199-46F7-8DBC-121655DC4053}"/>
    <cellStyle name="Calculation 3 18 2" xfId="10620" xr:uid="{A4665C7F-1135-4D53-BFEB-EF27A5AEE524}"/>
    <cellStyle name="Calculation 3 18 2 2" xfId="15472" xr:uid="{DD7BCA70-B8E3-4D1D-898D-FF3A48EF4E11}"/>
    <cellStyle name="Calculation 3 18 2 3" xfId="15473" xr:uid="{5AB82AF2-0912-4671-B747-2F22405BF442}"/>
    <cellStyle name="Calculation 3 18 2 4" xfId="15474" xr:uid="{A1FE2C93-693E-4244-9581-8804E9DB5B6E}"/>
    <cellStyle name="Calculation 3 18 2 5" xfId="15475" xr:uid="{9A3B799D-8055-45BB-B85D-B049410761A3}"/>
    <cellStyle name="Calculation 3 18 2 6" xfId="15476" xr:uid="{5487F579-4024-432D-AE4C-AC2CB126CA40}"/>
    <cellStyle name="Calculation 3 18 3" xfId="15477" xr:uid="{C159A261-ED23-47F4-A346-90E7C9181829}"/>
    <cellStyle name="Calculation 3 18 4" xfId="15478" xr:uid="{A9310B66-C958-4D43-AFB6-4A50C4CD0994}"/>
    <cellStyle name="Calculation 3 18 5" xfId="15479" xr:uid="{53630EF9-7D85-4C47-A9D9-EA4664ADD259}"/>
    <cellStyle name="Calculation 3 18 6" xfId="15480" xr:uid="{0CECC8C4-522B-470D-BBFA-8D000C80FE24}"/>
    <cellStyle name="Calculation 3 18 7" xfId="15481" xr:uid="{72489458-91C1-4C1E-94CA-1096DCEDB416}"/>
    <cellStyle name="Calculation 3 19" xfId="398" xr:uid="{54B3E823-5DE8-42B4-8FED-0C8F70357BB1}"/>
    <cellStyle name="Calculation 3 19 2" xfId="9921" xr:uid="{28044417-8A2F-4B5C-8075-4CC3C7A8E03B}"/>
    <cellStyle name="Calculation 3 19 2 2" xfId="15482" xr:uid="{CD485A79-2CF4-46ED-A63E-03C7F81516F0}"/>
    <cellStyle name="Calculation 3 19 2 3" xfId="15483" xr:uid="{F44E273D-6995-4BEB-B4B9-F87D0F7356AF}"/>
    <cellStyle name="Calculation 3 19 2 4" xfId="15484" xr:uid="{28A2A62F-11FF-4C68-88B5-76683B864CFB}"/>
    <cellStyle name="Calculation 3 19 2 5" xfId="15485" xr:uid="{40DCE0B6-2E0D-4573-986B-68B412A7C185}"/>
    <cellStyle name="Calculation 3 19 2 6" xfId="15486" xr:uid="{9CA76678-DC79-42D1-A4ED-9E964C6B712E}"/>
    <cellStyle name="Calculation 3 19 3" xfId="15487" xr:uid="{E62394CA-6D86-4C07-9C86-7110DA2391F8}"/>
    <cellStyle name="Calculation 3 19 4" xfId="15488" xr:uid="{5CB4B5F4-FD0F-4788-9356-E5B24DC41692}"/>
    <cellStyle name="Calculation 3 19 5" xfId="15489" xr:uid="{F5460E4F-8910-4DA1-A17A-AF0B0A5E6609}"/>
    <cellStyle name="Calculation 3 19 6" xfId="15490" xr:uid="{DF858D97-A0C7-48EE-B69E-A2611F7F5F93}"/>
    <cellStyle name="Calculation 3 19 7" xfId="15491" xr:uid="{D31A1B2E-F1E1-4606-9062-DF749F9594B7}"/>
    <cellStyle name="Calculation 3 2" xfId="399" xr:uid="{4334733D-237C-4580-89A0-BEC992D5D707}"/>
    <cellStyle name="Calculation 3 2 10" xfId="400" xr:uid="{8B73548B-71C5-426D-9544-A2A6E993EE11}"/>
    <cellStyle name="Calculation 3 2 10 2" xfId="10639" xr:uid="{E7CA0B75-798D-4611-9492-7C67693C47FB}"/>
    <cellStyle name="Calculation 3 2 10 2 2" xfId="15492" xr:uid="{DA615165-3CD0-4C22-8642-553887BA438A}"/>
    <cellStyle name="Calculation 3 2 10 2 3" xfId="15493" xr:uid="{F977E82D-D50A-4F4B-AFEB-5AFFE5DA6DAB}"/>
    <cellStyle name="Calculation 3 2 10 2 4" xfId="15494" xr:uid="{C3B5DCBA-627C-4CA2-8928-60E826759B6B}"/>
    <cellStyle name="Calculation 3 2 10 2 5" xfId="15495" xr:uid="{02792FCD-DAEF-46BE-AA53-8D9A281E8360}"/>
    <cellStyle name="Calculation 3 2 10 2 6" xfId="15496" xr:uid="{A142FE11-1F7E-424F-B529-11D0082EDF89}"/>
    <cellStyle name="Calculation 3 2 10 3" xfId="15497" xr:uid="{0764F0C6-F7B4-4821-B4E6-E27E567D64E3}"/>
    <cellStyle name="Calculation 3 2 10 4" xfId="15498" xr:uid="{C8D7AA61-6CE7-4352-ACB7-784C09DE3B73}"/>
    <cellStyle name="Calculation 3 2 10 5" xfId="15499" xr:uid="{643983E6-97B2-408F-8FAF-F751A5F36754}"/>
    <cellStyle name="Calculation 3 2 10 6" xfId="15500" xr:uid="{3954405B-AE0F-40BB-9782-96CF2FD88552}"/>
    <cellStyle name="Calculation 3 2 10 7" xfId="15501" xr:uid="{C9C00567-A11F-4D8B-9D0E-57A0A3DDF9BD}"/>
    <cellStyle name="Calculation 3 2 11" xfId="401" xr:uid="{F96A95AF-786D-4C74-865D-DD57BE7D6E20}"/>
    <cellStyle name="Calculation 3 2 11 2" xfId="10730" xr:uid="{3BF0FA07-7034-4FAD-9D11-B186D2749B1E}"/>
    <cellStyle name="Calculation 3 2 11 2 2" xfId="15502" xr:uid="{580585ED-6698-4E52-B680-527A4A899E10}"/>
    <cellStyle name="Calculation 3 2 11 2 3" xfId="15503" xr:uid="{EA3032F2-DF9F-4AC1-9B58-7E9EADC5E361}"/>
    <cellStyle name="Calculation 3 2 11 2 4" xfId="15504" xr:uid="{923D54B4-E601-467F-BDC1-5B02B0620A2B}"/>
    <cellStyle name="Calculation 3 2 11 2 5" xfId="15505" xr:uid="{AD12836F-39DC-4378-A992-52F73B09B616}"/>
    <cellStyle name="Calculation 3 2 11 2 6" xfId="15506" xr:uid="{496583C9-4C5C-45BF-ACBD-B477230C1A03}"/>
    <cellStyle name="Calculation 3 2 11 3" xfId="15507" xr:uid="{56CA208C-63D6-4ED9-A875-707F3D9E5F65}"/>
    <cellStyle name="Calculation 3 2 11 4" xfId="15508" xr:uid="{B3C4C49C-84A5-4E10-AFAB-3423DFD9288E}"/>
    <cellStyle name="Calculation 3 2 11 5" xfId="15509" xr:uid="{8D3EC49B-CB88-4620-8168-7D7C68BB68F1}"/>
    <cellStyle name="Calculation 3 2 11 6" xfId="15510" xr:uid="{D130E945-3B7A-4E6B-877D-1BD159FA4A80}"/>
    <cellStyle name="Calculation 3 2 11 7" xfId="15511" xr:uid="{A4B5AD46-AAAC-482C-B6C9-385FB5E05191}"/>
    <cellStyle name="Calculation 3 2 12" xfId="402" xr:uid="{156AD8D7-7146-41C2-BE34-DD0C4DCCF620}"/>
    <cellStyle name="Calculation 3 2 12 2" xfId="10818" xr:uid="{5939A672-6B74-4A11-B7A7-68B347647580}"/>
    <cellStyle name="Calculation 3 2 12 2 2" xfId="15512" xr:uid="{D9345DFA-038B-46B2-9E92-BB3AC6D30873}"/>
    <cellStyle name="Calculation 3 2 12 2 3" xfId="15513" xr:uid="{709174DA-A68C-4343-A41C-141CB344B767}"/>
    <cellStyle name="Calculation 3 2 12 2 4" xfId="15514" xr:uid="{2C4806A5-8A28-4F13-A59B-6A465B2F9E25}"/>
    <cellStyle name="Calculation 3 2 12 2 5" xfId="15515" xr:uid="{27043C2E-AA98-4BBF-B99F-13B780B2C176}"/>
    <cellStyle name="Calculation 3 2 12 2 6" xfId="15516" xr:uid="{F7F68D45-AD97-4F4E-9E71-32C2192DE682}"/>
    <cellStyle name="Calculation 3 2 12 3" xfId="15517" xr:uid="{6ED56883-E0B7-45D1-97E3-8C660DE3DD64}"/>
    <cellStyle name="Calculation 3 2 12 4" xfId="15518" xr:uid="{DAC20DD0-16D2-47DA-9C84-B882504445BC}"/>
    <cellStyle name="Calculation 3 2 12 5" xfId="15519" xr:uid="{8B7EC218-7BC9-4244-AAFE-66A2369D9E3B}"/>
    <cellStyle name="Calculation 3 2 12 6" xfId="15520" xr:uid="{AF9535AB-2BF1-45FC-9EB8-BC7633D3CBE5}"/>
    <cellStyle name="Calculation 3 2 12 7" xfId="15521" xr:uid="{FDA24FE2-D7F7-4DDA-84A9-071A63FB98A7}"/>
    <cellStyle name="Calculation 3 2 13" xfId="403" xr:uid="{8794A92A-E0A7-4999-B1B2-EBB10921A41F}"/>
    <cellStyle name="Calculation 3 2 13 2" xfId="10907" xr:uid="{66AECC80-A14F-4336-A2C9-D0AE91376E3D}"/>
    <cellStyle name="Calculation 3 2 13 2 2" xfId="15522" xr:uid="{6091FE59-5016-4CB9-9AA9-9F0424BB1002}"/>
    <cellStyle name="Calculation 3 2 13 2 3" xfId="15523" xr:uid="{C5B7775E-86F9-45B9-B0D3-CBA2D2EFB9EE}"/>
    <cellStyle name="Calculation 3 2 13 2 4" xfId="15524" xr:uid="{43618EAE-2837-43F1-8AEA-5DAF63474F7A}"/>
    <cellStyle name="Calculation 3 2 13 2 5" xfId="15525" xr:uid="{391A1793-490D-417F-B0DA-265B9EEB5775}"/>
    <cellStyle name="Calculation 3 2 13 2 6" xfId="15526" xr:uid="{F45D493F-AD21-4420-B759-146243CF980E}"/>
    <cellStyle name="Calculation 3 2 13 3" xfId="15527" xr:uid="{69A4D3EC-D25E-4198-AD34-4AD5B5AC422F}"/>
    <cellStyle name="Calculation 3 2 13 4" xfId="15528" xr:uid="{028EDF6B-11B7-4924-9DFA-BA0B29FCADC7}"/>
    <cellStyle name="Calculation 3 2 13 5" xfId="15529" xr:uid="{AEC81BB7-1553-4005-B91C-6FBA5E42161C}"/>
    <cellStyle name="Calculation 3 2 13 6" xfId="15530" xr:uid="{A0B86C81-C3EC-4A13-8F65-40967188AD07}"/>
    <cellStyle name="Calculation 3 2 13 7" xfId="15531" xr:uid="{258EB5A5-B699-4DB1-84A3-365D1FD4D562}"/>
    <cellStyle name="Calculation 3 2 14" xfId="404" xr:uid="{CE262E1D-32E1-4E6F-BC2C-F735942C9405}"/>
    <cellStyle name="Calculation 3 2 14 2" xfId="10997" xr:uid="{644675F2-B224-4D18-940C-DA5A9AD7D068}"/>
    <cellStyle name="Calculation 3 2 14 2 2" xfId="15532" xr:uid="{603CD083-CE5A-4901-B94B-99CDE543244B}"/>
    <cellStyle name="Calculation 3 2 14 2 3" xfId="15533" xr:uid="{5721C628-D66E-48CD-990D-6AE856080DF3}"/>
    <cellStyle name="Calculation 3 2 14 2 4" xfId="15534" xr:uid="{FC46E5BC-90C5-4BDC-94A4-33D5A30E3B14}"/>
    <cellStyle name="Calculation 3 2 14 2 5" xfId="15535" xr:uid="{11BF272B-161F-43CA-9ACE-E4C371FE0791}"/>
    <cellStyle name="Calculation 3 2 14 2 6" xfId="15536" xr:uid="{3589854D-F32C-491F-B99D-1C70A8A1729D}"/>
    <cellStyle name="Calculation 3 2 14 3" xfId="15537" xr:uid="{7A6A5F2A-864F-4A94-B456-06D519CE2D7A}"/>
    <cellStyle name="Calculation 3 2 14 4" xfId="15538" xr:uid="{86B03995-A001-4B59-AD46-AEDF25218CE3}"/>
    <cellStyle name="Calculation 3 2 14 5" xfId="15539" xr:uid="{3B93312A-2834-44E7-9716-6F2E7C0EF009}"/>
    <cellStyle name="Calculation 3 2 14 6" xfId="15540" xr:uid="{AECC93B1-6C8C-4BAD-A7E7-AF5C47030F33}"/>
    <cellStyle name="Calculation 3 2 14 7" xfId="15541" xr:uid="{F2F2908E-BCB7-47D2-93F8-27C904DE3018}"/>
    <cellStyle name="Calculation 3 2 15" xfId="405" xr:uid="{B7D8092E-55B5-4221-B497-390F2D5C1A07}"/>
    <cellStyle name="Calculation 3 2 15 2" xfId="11087" xr:uid="{26D83678-CDCA-444E-85BD-E8F7B2B39D05}"/>
    <cellStyle name="Calculation 3 2 15 2 2" xfId="15542" xr:uid="{C9B55A1A-4348-4B19-AADC-7278CB2C2A23}"/>
    <cellStyle name="Calculation 3 2 15 2 3" xfId="15543" xr:uid="{31362A93-EB8F-4339-AE43-1A52E9D226A4}"/>
    <cellStyle name="Calculation 3 2 15 2 4" xfId="15544" xr:uid="{5BD30C62-8164-4B77-9770-533096EEE33D}"/>
    <cellStyle name="Calculation 3 2 15 2 5" xfId="15545" xr:uid="{961824FE-7D68-4EFA-8CEE-0EB1FFA17430}"/>
    <cellStyle name="Calculation 3 2 15 2 6" xfId="15546" xr:uid="{F4DBCA76-1DEA-49B0-98DE-1580BB8967A5}"/>
    <cellStyle name="Calculation 3 2 15 3" xfId="15547" xr:uid="{B42A173F-3EF5-441B-B057-A80B3BEEFF29}"/>
    <cellStyle name="Calculation 3 2 15 4" xfId="15548" xr:uid="{E4C8F1C1-DD89-4B87-B8F3-4D6CC7603E10}"/>
    <cellStyle name="Calculation 3 2 15 5" xfId="15549" xr:uid="{F9BB12BF-2CF1-48F8-B7BE-E82BD969BE7D}"/>
    <cellStyle name="Calculation 3 2 15 6" xfId="15550" xr:uid="{361B284D-7A33-41AF-9426-F67340C0F186}"/>
    <cellStyle name="Calculation 3 2 15 7" xfId="15551" xr:uid="{9D76E4A0-66E4-4917-9156-51D8C57E506D}"/>
    <cellStyle name="Calculation 3 2 16" xfId="406" xr:uid="{D4C5925A-AAC6-4C2C-AEF2-590D38D58784}"/>
    <cellStyle name="Calculation 3 2 16 2" xfId="11170" xr:uid="{0E50D29E-48FB-40E6-9A59-B90D0490F327}"/>
    <cellStyle name="Calculation 3 2 16 2 2" xfId="15552" xr:uid="{F48D28C5-E6E2-4A56-80B7-B27D38725B06}"/>
    <cellStyle name="Calculation 3 2 16 2 3" xfId="15553" xr:uid="{59C4B9E9-D8F9-4BD4-B079-D7B42C29D815}"/>
    <cellStyle name="Calculation 3 2 16 2 4" xfId="15554" xr:uid="{1ABFE5CA-185D-4DF0-BCD2-E5FC94572871}"/>
    <cellStyle name="Calculation 3 2 16 2 5" xfId="15555" xr:uid="{344279B8-F440-4B6A-A6A5-1B76B95D0A39}"/>
    <cellStyle name="Calculation 3 2 16 2 6" xfId="15556" xr:uid="{6FEF67FE-6DEF-4AE1-9C74-D508E1E7E6C2}"/>
    <cellStyle name="Calculation 3 2 16 3" xfId="15557" xr:uid="{FE2AAB87-C797-46A9-9943-A9B573DC004A}"/>
    <cellStyle name="Calculation 3 2 16 4" xfId="15558" xr:uid="{96656CA3-F033-45C2-8255-722D8302ACFC}"/>
    <cellStyle name="Calculation 3 2 16 5" xfId="15559" xr:uid="{B956BC9C-8CC2-4EE4-9AA2-14034B7BE57C}"/>
    <cellStyle name="Calculation 3 2 16 6" xfId="15560" xr:uid="{7B5CC1DB-7AD8-4ECC-B61E-52D7503125C4}"/>
    <cellStyle name="Calculation 3 2 16 7" xfId="15561" xr:uid="{C24E90B5-0101-4A4F-8C2D-1FD7DF31EBE1}"/>
    <cellStyle name="Calculation 3 2 17" xfId="407" xr:uid="{7A8A4255-E44D-496B-8A79-EB3B005D7581}"/>
    <cellStyle name="Calculation 3 2 17 2" xfId="11260" xr:uid="{5FDC478A-CEF5-4E19-8A7F-8CBB616D1C36}"/>
    <cellStyle name="Calculation 3 2 17 2 2" xfId="15562" xr:uid="{148AB6A6-60E9-45BF-9D59-11AEF26826F7}"/>
    <cellStyle name="Calculation 3 2 17 2 3" xfId="15563" xr:uid="{4A426298-BFF3-4EDF-9CE2-A1B580FE6476}"/>
    <cellStyle name="Calculation 3 2 17 2 4" xfId="15564" xr:uid="{E94223D1-64F4-4D57-9CD0-FA3FC5588616}"/>
    <cellStyle name="Calculation 3 2 17 2 5" xfId="15565" xr:uid="{A338AD04-011A-46AA-9557-61CA42EB6007}"/>
    <cellStyle name="Calculation 3 2 17 2 6" xfId="15566" xr:uid="{B2B5D98F-EA55-4C51-8454-BA6649C5D315}"/>
    <cellStyle name="Calculation 3 2 17 3" xfId="15567" xr:uid="{17BED4C2-AECA-4A35-B071-819DA49438CB}"/>
    <cellStyle name="Calculation 3 2 17 4" xfId="15568" xr:uid="{57CE12AC-C58C-4098-B997-A1BFF102E9A8}"/>
    <cellStyle name="Calculation 3 2 17 5" xfId="15569" xr:uid="{339FA2D3-2BCA-47C1-86F6-F2FAB564104A}"/>
    <cellStyle name="Calculation 3 2 17 6" xfId="15570" xr:uid="{A742C3BB-372D-43F8-8FE8-A3EE2AB9DB49}"/>
    <cellStyle name="Calculation 3 2 17 7" xfId="15571" xr:uid="{587543B3-275A-4FAB-B6F4-79D3CD7708DA}"/>
    <cellStyle name="Calculation 3 2 18" xfId="408" xr:uid="{C6F1AD5C-C27D-4948-A479-98E92489F1E4}"/>
    <cellStyle name="Calculation 3 2 18 2" xfId="11346" xr:uid="{1763FBA1-3039-4540-A9E4-8449F8D99882}"/>
    <cellStyle name="Calculation 3 2 18 2 2" xfId="15572" xr:uid="{6E21D368-BB71-4B91-8D8C-AD2DFD1F80D3}"/>
    <cellStyle name="Calculation 3 2 18 2 3" xfId="15573" xr:uid="{4175C15F-A7F0-4BD5-A817-C189E6A2FFC1}"/>
    <cellStyle name="Calculation 3 2 18 2 4" xfId="15574" xr:uid="{C199C43D-D2FC-4350-91BF-D534896E3C6E}"/>
    <cellStyle name="Calculation 3 2 18 2 5" xfId="15575" xr:uid="{301ECE1C-0E20-4560-8340-23ED8B2FF0EC}"/>
    <cellStyle name="Calculation 3 2 18 2 6" xfId="15576" xr:uid="{D53222B9-6035-49B9-A41B-CEB6EDF95FAE}"/>
    <cellStyle name="Calculation 3 2 18 3" xfId="15577" xr:uid="{60AE99B3-991A-4BC5-976E-CCCDA42CF013}"/>
    <cellStyle name="Calculation 3 2 18 4" xfId="15578" xr:uid="{D890D10A-7C5D-4370-8878-52A347745B94}"/>
    <cellStyle name="Calculation 3 2 18 5" xfId="15579" xr:uid="{23C8E50C-8C8B-4747-B943-1E4666CDA6BC}"/>
    <cellStyle name="Calculation 3 2 18 6" xfId="15580" xr:uid="{AECBE6A3-BE97-486F-9E0F-8CA748115D71}"/>
    <cellStyle name="Calculation 3 2 18 7" xfId="15581" xr:uid="{CF1C148B-B85F-4B98-BB88-F3A7F70B64BE}"/>
    <cellStyle name="Calculation 3 2 19" xfId="409" xr:uid="{C37B001E-C41D-438F-B64A-044ADE790066}"/>
    <cellStyle name="Calculation 3 2 19 2" xfId="11433" xr:uid="{081411C6-B636-4376-A6B7-67AF1DAFAA02}"/>
    <cellStyle name="Calculation 3 2 19 2 2" xfId="15582" xr:uid="{6E3EFC63-0DCE-4578-9922-12D26C4ECD8B}"/>
    <cellStyle name="Calculation 3 2 19 2 3" xfId="15583" xr:uid="{90CBAC77-22BE-4F02-8CED-A4FE7F16F7CC}"/>
    <cellStyle name="Calculation 3 2 19 2 4" xfId="15584" xr:uid="{9AECAB96-F04D-4DBC-8510-1498E0C77759}"/>
    <cellStyle name="Calculation 3 2 19 2 5" xfId="15585" xr:uid="{6C57E684-020B-4E05-AC2E-6D6A3598C6D5}"/>
    <cellStyle name="Calculation 3 2 19 2 6" xfId="15586" xr:uid="{8750BFC6-DEBA-4B50-9373-C4A521ED1C6C}"/>
    <cellStyle name="Calculation 3 2 19 3" xfId="15587" xr:uid="{94C770D9-9866-423B-9FD0-F6ABE76FE53A}"/>
    <cellStyle name="Calculation 3 2 19 4" xfId="15588" xr:uid="{DDD1CF21-0FB2-4667-B4EE-6EF7DB329D08}"/>
    <cellStyle name="Calculation 3 2 19 5" xfId="15589" xr:uid="{F7AA6501-4515-4242-8CD1-D8F279269F9A}"/>
    <cellStyle name="Calculation 3 2 19 6" xfId="15590" xr:uid="{FEBF07AF-54CB-4CAD-9A72-F969E4E3391A}"/>
    <cellStyle name="Calculation 3 2 19 7" xfId="15591" xr:uid="{1F13F77E-59B5-4BA9-B580-175DE6951F19}"/>
    <cellStyle name="Calculation 3 2 2" xfId="410" xr:uid="{61694497-0AB6-46E2-BA9B-C35DF98DA794}"/>
    <cellStyle name="Calculation 3 2 2 10" xfId="411" xr:uid="{9DE0D6D6-9A6E-46B3-9AB4-C903B3108BE6}"/>
    <cellStyle name="Calculation 3 2 2 10 2" xfId="10763" xr:uid="{9D520853-63B0-4651-BBEF-5816DF0C2B07}"/>
    <cellStyle name="Calculation 3 2 2 10 2 2" xfId="15592" xr:uid="{28A21F7D-303F-43CF-86E1-FE6391929594}"/>
    <cellStyle name="Calculation 3 2 2 10 2 3" xfId="15593" xr:uid="{9209CD6A-A61D-45AA-B7E5-E2FD024AD788}"/>
    <cellStyle name="Calculation 3 2 2 10 2 4" xfId="15594" xr:uid="{A0E1C767-D13C-4051-B7B8-58475ED7063C}"/>
    <cellStyle name="Calculation 3 2 2 10 2 5" xfId="15595" xr:uid="{00545A3A-9F11-4DAC-B775-6E8577B9837E}"/>
    <cellStyle name="Calculation 3 2 2 10 2 6" xfId="15596" xr:uid="{83AF2F10-B22A-4DB3-83E1-36A16E2A8F17}"/>
    <cellStyle name="Calculation 3 2 2 10 3" xfId="15597" xr:uid="{261BA8A6-CBC9-4828-BB4D-400C0E8CD1C3}"/>
    <cellStyle name="Calculation 3 2 2 10 4" xfId="15598" xr:uid="{54370B52-C982-4C60-B665-7540F29D44AC}"/>
    <cellStyle name="Calculation 3 2 2 10 5" xfId="15599" xr:uid="{4626C9E2-C990-4D67-8681-B55B79EF9FCE}"/>
    <cellStyle name="Calculation 3 2 2 10 6" xfId="15600" xr:uid="{F8F4C228-AE7F-4AF7-B978-65B037340181}"/>
    <cellStyle name="Calculation 3 2 2 10 7" xfId="15601" xr:uid="{974670AC-68EA-4BCC-AFBE-722180538EDD}"/>
    <cellStyle name="Calculation 3 2 2 11" xfId="412" xr:uid="{9D01F6A4-4CDF-4AC7-92E5-669DBFC9B12E}"/>
    <cellStyle name="Calculation 3 2 2 11 2" xfId="10851" xr:uid="{12E07563-3273-43DF-AF30-ABC3A7400A98}"/>
    <cellStyle name="Calculation 3 2 2 11 2 2" xfId="15602" xr:uid="{9AEB2941-A005-4A1E-AFBC-7F4411D6BF8E}"/>
    <cellStyle name="Calculation 3 2 2 11 2 3" xfId="15603" xr:uid="{94EC73C9-63A3-4E2B-B5E1-405AE9D13AB2}"/>
    <cellStyle name="Calculation 3 2 2 11 2 4" xfId="15604" xr:uid="{CA31E760-0200-4F20-9290-B3EA14D59D98}"/>
    <cellStyle name="Calculation 3 2 2 11 2 5" xfId="15605" xr:uid="{4C2A5B78-7EA9-4F1E-B931-B9FD70B85F6E}"/>
    <cellStyle name="Calculation 3 2 2 11 2 6" xfId="15606" xr:uid="{C912A60C-4034-4C34-9904-7117928F4CE7}"/>
    <cellStyle name="Calculation 3 2 2 11 3" xfId="15607" xr:uid="{0B89E938-6CF9-42CD-BC4D-A3774B8506DE}"/>
    <cellStyle name="Calculation 3 2 2 11 4" xfId="15608" xr:uid="{297D8DE6-51A8-4A8E-BD8F-7B6D73998C78}"/>
    <cellStyle name="Calculation 3 2 2 11 5" xfId="15609" xr:uid="{F4746AF7-EECC-49D1-8771-8856D786616B}"/>
    <cellStyle name="Calculation 3 2 2 11 6" xfId="15610" xr:uid="{82F71F7A-2ED0-4534-BC80-9B220888AC53}"/>
    <cellStyle name="Calculation 3 2 2 11 7" xfId="15611" xr:uid="{F8F7E236-07D9-4D06-A2DA-B5EEC523489A}"/>
    <cellStyle name="Calculation 3 2 2 12" xfId="413" xr:uid="{E6EFF50C-EA47-4C68-9BF7-C2F29337F04D}"/>
    <cellStyle name="Calculation 3 2 2 12 2" xfId="10940" xr:uid="{9C53DE68-5007-4AF5-8F9D-695958FAD67D}"/>
    <cellStyle name="Calculation 3 2 2 12 2 2" xfId="15612" xr:uid="{378B769F-C718-46E7-BE91-1EAA71A8C7DC}"/>
    <cellStyle name="Calculation 3 2 2 12 2 3" xfId="15613" xr:uid="{3F4E5C4F-8B95-40F0-9C8A-818D86D929C1}"/>
    <cellStyle name="Calculation 3 2 2 12 2 4" xfId="15614" xr:uid="{02AB71D1-07A1-48EF-8C69-CD08B968F868}"/>
    <cellStyle name="Calculation 3 2 2 12 2 5" xfId="15615" xr:uid="{2471CEAC-2696-4C83-B6A9-F1ABA0C0C4F2}"/>
    <cellStyle name="Calculation 3 2 2 12 2 6" xfId="15616" xr:uid="{D8604D6A-3C44-4327-A159-C74FD01B1F4E}"/>
    <cellStyle name="Calculation 3 2 2 12 3" xfId="15617" xr:uid="{C3F825BA-D96D-4B7A-8766-BAB13FE754A9}"/>
    <cellStyle name="Calculation 3 2 2 12 4" xfId="15618" xr:uid="{17FE1902-9CEB-4566-AC3F-3E6A3FD6AF15}"/>
    <cellStyle name="Calculation 3 2 2 12 5" xfId="15619" xr:uid="{47ED9AE2-FF75-4063-B732-D6C9A5CCB02E}"/>
    <cellStyle name="Calculation 3 2 2 12 6" xfId="15620" xr:uid="{661F1702-1BB9-40EF-87A6-775EE208271C}"/>
    <cellStyle name="Calculation 3 2 2 12 7" xfId="15621" xr:uid="{FC5C7B09-85AE-448A-97FD-FB8A74D59451}"/>
    <cellStyle name="Calculation 3 2 2 13" xfId="414" xr:uid="{B2F3C699-9CDD-45B9-8CE5-BFDF3D849664}"/>
    <cellStyle name="Calculation 3 2 2 13 2" xfId="11030" xr:uid="{0968EBD2-CA1F-4807-8B55-2FCD2349BF8D}"/>
    <cellStyle name="Calculation 3 2 2 13 2 2" xfId="15622" xr:uid="{9989B746-AAFC-4A24-8D96-2534E7D6B1F6}"/>
    <cellStyle name="Calculation 3 2 2 13 2 3" xfId="15623" xr:uid="{354E8737-3561-40AC-9BBB-A97F75AAD697}"/>
    <cellStyle name="Calculation 3 2 2 13 2 4" xfId="15624" xr:uid="{D1E5F13E-2E37-474A-AE35-5B618177EAC7}"/>
    <cellStyle name="Calculation 3 2 2 13 2 5" xfId="15625" xr:uid="{CE3D4F18-6FFC-4883-81D9-CE874E355FDF}"/>
    <cellStyle name="Calculation 3 2 2 13 2 6" xfId="15626" xr:uid="{9A8530BE-C5D1-4C92-8C67-68BBAE53F831}"/>
    <cellStyle name="Calculation 3 2 2 13 3" xfId="15627" xr:uid="{726C2AA3-0600-4B33-A6ED-9200900CAF42}"/>
    <cellStyle name="Calculation 3 2 2 13 4" xfId="15628" xr:uid="{BA25B5CD-0E83-4FB6-AAD1-67E75764B383}"/>
    <cellStyle name="Calculation 3 2 2 13 5" xfId="15629" xr:uid="{2BFB8FAF-7B2E-426A-B068-A386AC24F5A8}"/>
    <cellStyle name="Calculation 3 2 2 13 6" xfId="15630" xr:uid="{48D1551C-75F8-4003-9F92-C8FD3F3E8226}"/>
    <cellStyle name="Calculation 3 2 2 13 7" xfId="15631" xr:uid="{B7C957A8-6E41-4664-90D1-EFFCE8114DD7}"/>
    <cellStyle name="Calculation 3 2 2 14" xfId="415" xr:uid="{BB7359A6-094A-4910-8008-709637FC8BB3}"/>
    <cellStyle name="Calculation 3 2 2 14 2" xfId="11120" xr:uid="{72A52646-F411-44BD-AFCC-1D62B25CA292}"/>
    <cellStyle name="Calculation 3 2 2 14 2 2" xfId="15632" xr:uid="{C22B8C82-806B-4044-BFF2-CC5635A246B9}"/>
    <cellStyle name="Calculation 3 2 2 14 2 3" xfId="15633" xr:uid="{127C0A1A-A218-45D5-B2A5-AEE6B1FB9719}"/>
    <cellStyle name="Calculation 3 2 2 14 2 4" xfId="15634" xr:uid="{8AB516BA-5E8E-423E-99EF-15EBB1FDCB33}"/>
    <cellStyle name="Calculation 3 2 2 14 2 5" xfId="15635" xr:uid="{5DB885B6-EB36-4E54-BD06-EAB0B15DD243}"/>
    <cellStyle name="Calculation 3 2 2 14 2 6" xfId="15636" xr:uid="{1B5A5C95-483C-4DE5-969E-3D94E3A650B8}"/>
    <cellStyle name="Calculation 3 2 2 14 3" xfId="15637" xr:uid="{19DA8B62-4EFC-4D54-90EE-0427BC707251}"/>
    <cellStyle name="Calculation 3 2 2 14 4" xfId="15638" xr:uid="{D35F2861-E255-490F-9538-18AB378DC961}"/>
    <cellStyle name="Calculation 3 2 2 14 5" xfId="15639" xr:uid="{AB7DDAEA-EAE4-4089-829B-6CACD64C49CC}"/>
    <cellStyle name="Calculation 3 2 2 14 6" xfId="15640" xr:uid="{7BD92F34-73C1-44E8-B67A-ECAD63C614D8}"/>
    <cellStyle name="Calculation 3 2 2 14 7" xfId="15641" xr:uid="{032494C3-D732-4134-AB67-44472487159C}"/>
    <cellStyle name="Calculation 3 2 2 15" xfId="416" xr:uid="{D805D493-CFD6-4E9B-B871-13C478A94BAA}"/>
    <cellStyle name="Calculation 3 2 2 15 2" xfId="11203" xr:uid="{72503E84-CA65-4A31-89C1-5FB858CBD7A1}"/>
    <cellStyle name="Calculation 3 2 2 15 2 2" xfId="15642" xr:uid="{B23E31D8-824D-44E5-BC0C-0B2F48B46335}"/>
    <cellStyle name="Calculation 3 2 2 15 2 3" xfId="15643" xr:uid="{600DD33E-1899-42C2-8D84-520395605B1E}"/>
    <cellStyle name="Calculation 3 2 2 15 2 4" xfId="15644" xr:uid="{81DF44FF-5F21-40D2-A27A-F6C1DF33ED72}"/>
    <cellStyle name="Calculation 3 2 2 15 2 5" xfId="15645" xr:uid="{E6E08999-3C73-451B-9A07-E358D54042A4}"/>
    <cellStyle name="Calculation 3 2 2 15 2 6" xfId="15646" xr:uid="{388DB063-550D-4BBE-A6A0-45813FABEA1A}"/>
    <cellStyle name="Calculation 3 2 2 15 3" xfId="15647" xr:uid="{BCE32C91-54F7-4ABF-9E37-EBA2799E2863}"/>
    <cellStyle name="Calculation 3 2 2 15 4" xfId="15648" xr:uid="{B6A9A861-22FC-4067-B25D-C5FC0C11FA2E}"/>
    <cellStyle name="Calculation 3 2 2 15 5" xfId="15649" xr:uid="{8E4F2A1B-E5C3-43CD-ADD6-7A60316C5DE1}"/>
    <cellStyle name="Calculation 3 2 2 15 6" xfId="15650" xr:uid="{D6286A88-7D0C-487F-A4A3-00626790EBBF}"/>
    <cellStyle name="Calculation 3 2 2 15 7" xfId="15651" xr:uid="{7E010684-76AB-4396-9F5E-6E879226921C}"/>
    <cellStyle name="Calculation 3 2 2 16" xfId="417" xr:uid="{FEE10BAC-4902-4FB8-B9F2-BA9E7DFB4B6B}"/>
    <cellStyle name="Calculation 3 2 2 16 2" xfId="11293" xr:uid="{9EBA0263-96DF-4E0A-BA1D-FC1DA0D34ABD}"/>
    <cellStyle name="Calculation 3 2 2 16 2 2" xfId="15652" xr:uid="{190F028F-486C-4244-A980-CC53FCD29973}"/>
    <cellStyle name="Calculation 3 2 2 16 2 3" xfId="15653" xr:uid="{7CF8249E-A57B-49BA-AA18-38A83E1E1997}"/>
    <cellStyle name="Calculation 3 2 2 16 2 4" xfId="15654" xr:uid="{B2267AA3-1E59-4E6C-B044-FB0BEA0E2F03}"/>
    <cellStyle name="Calculation 3 2 2 16 2 5" xfId="15655" xr:uid="{05BEEA6A-BE6E-4F8A-A9D0-168C654A2612}"/>
    <cellStyle name="Calculation 3 2 2 16 2 6" xfId="15656" xr:uid="{F5B57FA5-9BD2-41EA-8C25-1F4FB68460F9}"/>
    <cellStyle name="Calculation 3 2 2 16 3" xfId="15657" xr:uid="{E85D1D45-A137-4EF0-BFA7-1251D9F52AA6}"/>
    <cellStyle name="Calculation 3 2 2 16 4" xfId="15658" xr:uid="{24589084-49F8-46AF-878C-B22F1E49EE4A}"/>
    <cellStyle name="Calculation 3 2 2 16 5" xfId="15659" xr:uid="{9527C85C-310F-4F8F-B77C-48A289EE8403}"/>
    <cellStyle name="Calculation 3 2 2 16 6" xfId="15660" xr:uid="{E3D985DA-DD72-4713-AC80-1C0E91DAA278}"/>
    <cellStyle name="Calculation 3 2 2 16 7" xfId="15661" xr:uid="{AE0155FA-DDE2-4931-973A-221736BB4FC2}"/>
    <cellStyle name="Calculation 3 2 2 17" xfId="418" xr:uid="{EDE2955E-5A38-4D6C-B804-100EEBF4A961}"/>
    <cellStyle name="Calculation 3 2 2 17 2" xfId="11379" xr:uid="{E2683D4A-6BF3-4544-B43E-E7097E57A4F2}"/>
    <cellStyle name="Calculation 3 2 2 17 2 2" xfId="15662" xr:uid="{5820D4C9-4A7C-42F5-8C3A-34FEC9539966}"/>
    <cellStyle name="Calculation 3 2 2 17 2 3" xfId="15663" xr:uid="{84270FDC-760C-46F4-BA79-BA8DDA6DBEE9}"/>
    <cellStyle name="Calculation 3 2 2 17 2 4" xfId="15664" xr:uid="{F3A71787-E933-4C03-9759-4F52D9E17B61}"/>
    <cellStyle name="Calculation 3 2 2 17 2 5" xfId="15665" xr:uid="{08AB1869-78B3-4607-B111-3293102B161C}"/>
    <cellStyle name="Calculation 3 2 2 17 2 6" xfId="15666" xr:uid="{A69EB27D-930F-44F9-A625-F81C7ABB8DED}"/>
    <cellStyle name="Calculation 3 2 2 17 3" xfId="15667" xr:uid="{B8B3FD64-DF80-492A-974E-FD83ADD1CD34}"/>
    <cellStyle name="Calculation 3 2 2 17 4" xfId="15668" xr:uid="{19C46EE5-437D-491B-87AB-50ABC5C245C4}"/>
    <cellStyle name="Calculation 3 2 2 17 5" xfId="15669" xr:uid="{9A483A54-00CC-43EE-957F-01C26195C3CE}"/>
    <cellStyle name="Calculation 3 2 2 17 6" xfId="15670" xr:uid="{F698C51B-C677-40B4-80FD-CD4E1DFE2541}"/>
    <cellStyle name="Calculation 3 2 2 17 7" xfId="15671" xr:uid="{3675FDD0-C066-4CC7-BA2E-3212A1D4DE59}"/>
    <cellStyle name="Calculation 3 2 2 18" xfId="419" xr:uid="{CAF0E145-D0A4-4F9A-8989-2C50EFF0B03D}"/>
    <cellStyle name="Calculation 3 2 2 18 2" xfId="11466" xr:uid="{755D0FF9-6D07-4AD1-869E-7BE6B4E08C36}"/>
    <cellStyle name="Calculation 3 2 2 18 2 2" xfId="15672" xr:uid="{EFB119DC-2EB9-4F8A-B959-7FC80FA8A435}"/>
    <cellStyle name="Calculation 3 2 2 18 2 3" xfId="15673" xr:uid="{5E9C5F88-0B30-4511-88AD-4109D905887A}"/>
    <cellStyle name="Calculation 3 2 2 18 2 4" xfId="15674" xr:uid="{81905AD7-EAD4-46B0-90E8-66A2CC915755}"/>
    <cellStyle name="Calculation 3 2 2 18 2 5" xfId="15675" xr:uid="{7D1D12F7-DB19-44E7-A3CF-B8071059F0B5}"/>
    <cellStyle name="Calculation 3 2 2 18 2 6" xfId="15676" xr:uid="{05805476-D91C-481B-A3D3-1481A5042536}"/>
    <cellStyle name="Calculation 3 2 2 18 3" xfId="15677" xr:uid="{F0273FC0-6CF6-45BE-AE39-C10A223A42DF}"/>
    <cellStyle name="Calculation 3 2 2 18 4" xfId="15678" xr:uid="{DB2955A8-FA25-4B84-AC43-B019CFD21975}"/>
    <cellStyle name="Calculation 3 2 2 18 5" xfId="15679" xr:uid="{4C46538B-70E6-41DB-A4C4-57DD07BB4F9D}"/>
    <cellStyle name="Calculation 3 2 2 18 6" xfId="15680" xr:uid="{70E4C8B1-5F00-46D9-8595-62674C840AF3}"/>
    <cellStyle name="Calculation 3 2 2 18 7" xfId="15681" xr:uid="{2D5DF971-EB52-4CF3-B255-DB4116097ECB}"/>
    <cellStyle name="Calculation 3 2 2 19" xfId="420" xr:uid="{4F407207-6F0F-48D4-8A9F-ADDBC00CB73E}"/>
    <cellStyle name="Calculation 3 2 2 19 2" xfId="11553" xr:uid="{F85E1473-0848-4773-A0C0-F83D47698292}"/>
    <cellStyle name="Calculation 3 2 2 19 2 2" xfId="15682" xr:uid="{3A4FB829-577A-43CE-97DC-0084C3500A2A}"/>
    <cellStyle name="Calculation 3 2 2 19 2 3" xfId="15683" xr:uid="{201B018C-CB88-44A4-B2B4-CC4C32EB07BA}"/>
    <cellStyle name="Calculation 3 2 2 19 2 4" xfId="15684" xr:uid="{59172B20-F107-46C0-AAC6-DB617405141D}"/>
    <cellStyle name="Calculation 3 2 2 19 2 5" xfId="15685" xr:uid="{3D2A4DB7-5C4B-45C2-80E8-48EB75B53528}"/>
    <cellStyle name="Calculation 3 2 2 19 2 6" xfId="15686" xr:uid="{583D9F91-348F-406C-B769-BA1A8E69F498}"/>
    <cellStyle name="Calculation 3 2 2 19 3" xfId="15687" xr:uid="{5E48D529-9B52-4E30-A796-87C8923E6AC8}"/>
    <cellStyle name="Calculation 3 2 2 19 4" xfId="15688" xr:uid="{A033E4E9-69DE-45E7-A608-FE4500A38B9B}"/>
    <cellStyle name="Calculation 3 2 2 19 5" xfId="15689" xr:uid="{5C6C3939-F2E3-4940-AED2-B170BBFA8C6C}"/>
    <cellStyle name="Calculation 3 2 2 19 6" xfId="15690" xr:uid="{EB6436CD-6CD0-443A-BD33-1319710C3C7F}"/>
    <cellStyle name="Calculation 3 2 2 19 7" xfId="15691" xr:uid="{FCF85440-97A1-4462-BBB5-B41C5710A785}"/>
    <cellStyle name="Calculation 3 2 2 2" xfId="421" xr:uid="{2BBE013B-A1F9-4C6E-BD91-6F26F41E6A0C}"/>
    <cellStyle name="Calculation 3 2 2 2 2" xfId="10060" xr:uid="{2FE8318E-2464-4CAB-987F-6A4798C66582}"/>
    <cellStyle name="Calculation 3 2 2 2 2 2" xfId="15692" xr:uid="{29736B84-217F-4C21-8610-3B2FDFD1023B}"/>
    <cellStyle name="Calculation 3 2 2 2 2 3" xfId="15693" xr:uid="{4C10BF64-BA06-4C75-A279-14FD58FB9E32}"/>
    <cellStyle name="Calculation 3 2 2 2 2 4" xfId="15694" xr:uid="{F1C6F04F-C36E-4F5B-A442-E3AB4AD94B32}"/>
    <cellStyle name="Calculation 3 2 2 2 2 5" xfId="15695" xr:uid="{CEB996DB-1020-4E0B-BD66-1ED99CA280A5}"/>
    <cellStyle name="Calculation 3 2 2 2 2 6" xfId="15696" xr:uid="{AA98EFDD-D748-4DF9-99A8-272846A6DEEB}"/>
    <cellStyle name="Calculation 3 2 2 2 3" xfId="15697" xr:uid="{D034DDED-5376-409A-AE16-EB1BDBE2BD30}"/>
    <cellStyle name="Calculation 3 2 2 2 4" xfId="15698" xr:uid="{F74F9144-9455-4A3E-809F-C071422AC354}"/>
    <cellStyle name="Calculation 3 2 2 2 5" xfId="15699" xr:uid="{64A9C785-FE01-4992-B7A2-4D7BAF3521B3}"/>
    <cellStyle name="Calculation 3 2 2 2 6" xfId="15700" xr:uid="{3D30BD55-CB00-45CA-9625-874AB2DCD249}"/>
    <cellStyle name="Calculation 3 2 2 2 7" xfId="15701" xr:uid="{0CC1A8E8-2297-402E-90AC-BC59AECFDF5B}"/>
    <cellStyle name="Calculation 3 2 2 20" xfId="422" xr:uid="{55D618EA-6031-49DC-848B-88D6138BA016}"/>
    <cellStyle name="Calculation 3 2 2 20 2" xfId="11641" xr:uid="{0C686068-5EDF-43D8-ACF5-C1E1DCA8160C}"/>
    <cellStyle name="Calculation 3 2 2 20 2 2" xfId="15702" xr:uid="{91621BF7-62D4-4642-80C3-51958C541BD3}"/>
    <cellStyle name="Calculation 3 2 2 20 2 3" xfId="15703" xr:uid="{61079C8C-E004-4FD8-BDAE-EAB0A7FA8932}"/>
    <cellStyle name="Calculation 3 2 2 20 2 4" xfId="15704" xr:uid="{56383E99-1514-415D-A0E6-82EF3C20F3D8}"/>
    <cellStyle name="Calculation 3 2 2 20 2 5" xfId="15705" xr:uid="{71808BB4-4B24-43FB-839A-A3DCF994FF96}"/>
    <cellStyle name="Calculation 3 2 2 20 2 6" xfId="15706" xr:uid="{671B9C57-E04E-4C07-BF95-9F6BD72E78FE}"/>
    <cellStyle name="Calculation 3 2 2 20 3" xfId="15707" xr:uid="{86A36E0C-37F2-45F8-8985-D8B34165B097}"/>
    <cellStyle name="Calculation 3 2 2 20 4" xfId="15708" xr:uid="{A3638E64-63D7-47A8-8387-732725CACA49}"/>
    <cellStyle name="Calculation 3 2 2 20 5" xfId="15709" xr:uid="{2ABABD3B-7FBF-4C7F-940D-B0302D47E135}"/>
    <cellStyle name="Calculation 3 2 2 20 6" xfId="15710" xr:uid="{A3E8E06A-DFFE-4A36-BF85-EDD51EC37CE8}"/>
    <cellStyle name="Calculation 3 2 2 20 7" xfId="15711" xr:uid="{63B4CA9B-5433-4DA2-8006-5DC4CFBB066F}"/>
    <cellStyle name="Calculation 3 2 2 21" xfId="423" xr:uid="{3A7C8BF6-2829-4C76-8A16-9F3A30751CE2}"/>
    <cellStyle name="Calculation 3 2 2 21 2" xfId="11725" xr:uid="{869DE9CD-84EA-4069-95CE-BA3B9408E973}"/>
    <cellStyle name="Calculation 3 2 2 21 2 2" xfId="15712" xr:uid="{F6D911C3-ADB4-4835-B069-4F9C7C176F98}"/>
    <cellStyle name="Calculation 3 2 2 21 2 3" xfId="15713" xr:uid="{22006C7C-09D1-4A9A-9489-D8136F03D13E}"/>
    <cellStyle name="Calculation 3 2 2 21 2 4" xfId="15714" xr:uid="{CECFB9CD-6F46-43B0-9904-5FD1FAAC551A}"/>
    <cellStyle name="Calculation 3 2 2 21 2 5" xfId="15715" xr:uid="{2C48D8EE-910E-4767-BA56-CBD7FB7E3018}"/>
    <cellStyle name="Calculation 3 2 2 21 2 6" xfId="15716" xr:uid="{E86F615C-E361-4A1C-832A-797B64D82DFA}"/>
    <cellStyle name="Calculation 3 2 2 21 3" xfId="15717" xr:uid="{BD1FA6A0-5A52-4423-ADCD-67A3B4EF0BCF}"/>
    <cellStyle name="Calculation 3 2 2 21 4" xfId="15718" xr:uid="{C342D4ED-667D-4065-AD82-D425321BC377}"/>
    <cellStyle name="Calculation 3 2 2 21 5" xfId="15719" xr:uid="{89DC39DE-C7E2-42DA-9084-BC550C7952B8}"/>
    <cellStyle name="Calculation 3 2 2 21 6" xfId="15720" xr:uid="{217BCF14-C5F9-491B-BA9B-3E7BC00006A1}"/>
    <cellStyle name="Calculation 3 2 2 21 7" xfId="15721" xr:uid="{84E8C52B-2CE6-44CB-986E-F927F2B4A239}"/>
    <cellStyle name="Calculation 3 2 2 22" xfId="424" xr:uid="{D6E941CA-B588-46A1-AD3E-8C64BF43DD97}"/>
    <cellStyle name="Calculation 3 2 2 22 2" xfId="11808" xr:uid="{3FD7BF5D-12D6-4313-B75E-70A1E8509461}"/>
    <cellStyle name="Calculation 3 2 2 22 2 2" xfId="15722" xr:uid="{3C87500F-822A-45D1-B2D1-38C4A875E337}"/>
    <cellStyle name="Calculation 3 2 2 22 2 3" xfId="15723" xr:uid="{0919CFE1-22A6-4B98-8C76-DC459626BF58}"/>
    <cellStyle name="Calculation 3 2 2 22 2 4" xfId="15724" xr:uid="{4F157775-597F-41F5-B043-08EFC01AD113}"/>
    <cellStyle name="Calculation 3 2 2 22 2 5" xfId="15725" xr:uid="{4421CB61-7809-4D97-9858-10FB247A36A1}"/>
    <cellStyle name="Calculation 3 2 2 22 2 6" xfId="15726" xr:uid="{66E7B583-D93E-4E78-8E8F-2CDD50A3D413}"/>
    <cellStyle name="Calculation 3 2 2 22 3" xfId="15727" xr:uid="{A469E394-94C1-4CEE-A0C4-DA7A9C36BA96}"/>
    <cellStyle name="Calculation 3 2 2 22 4" xfId="15728" xr:uid="{70B1B977-B6C1-4C91-B62D-75701D062D34}"/>
    <cellStyle name="Calculation 3 2 2 22 5" xfId="15729" xr:uid="{B1C78E5F-2B03-4907-9C6C-3AAD9ACAF5C4}"/>
    <cellStyle name="Calculation 3 2 2 22 6" xfId="15730" xr:uid="{59E9C0E4-C8C7-4CA5-B0F2-D85E5C30122A}"/>
    <cellStyle name="Calculation 3 2 2 22 7" xfId="15731" xr:uid="{CCEC3248-A839-4CDD-9F6F-31E6575D8F8B}"/>
    <cellStyle name="Calculation 3 2 2 23" xfId="425" xr:uid="{470FE3FE-E9F3-49A2-AE4C-6F7DE7C06C82}"/>
    <cellStyle name="Calculation 3 2 2 23 2" xfId="11891" xr:uid="{5AB202BC-6806-4EBD-A0CD-52C22C598C20}"/>
    <cellStyle name="Calculation 3 2 2 23 2 2" xfId="15732" xr:uid="{3C98C640-2668-40E7-A807-6839D98C00A9}"/>
    <cellStyle name="Calculation 3 2 2 23 2 3" xfId="15733" xr:uid="{5C4F1E08-63FA-42A1-8872-C94D6EA6DB1E}"/>
    <cellStyle name="Calculation 3 2 2 23 2 4" xfId="15734" xr:uid="{FD958FED-6832-4EBB-99A3-BC44BB829850}"/>
    <cellStyle name="Calculation 3 2 2 23 2 5" xfId="15735" xr:uid="{B60FD9A4-6E48-40FE-AC76-5E69F1B3F125}"/>
    <cellStyle name="Calculation 3 2 2 23 2 6" xfId="15736" xr:uid="{ACD838F2-B845-4B51-A4C3-DB231FBE1E6D}"/>
    <cellStyle name="Calculation 3 2 2 23 3" xfId="15737" xr:uid="{B4A577C9-7BC0-4149-AEC3-235159936C46}"/>
    <cellStyle name="Calculation 3 2 2 23 4" xfId="15738" xr:uid="{10F49BB4-0A58-4B8F-9625-522F6D69B34F}"/>
    <cellStyle name="Calculation 3 2 2 23 5" xfId="15739" xr:uid="{03E92B15-2925-4EB2-9000-AEA74CC32A2D}"/>
    <cellStyle name="Calculation 3 2 2 23 6" xfId="15740" xr:uid="{CCDBC86F-0F3C-4E94-BD3C-B0B8041E627F}"/>
    <cellStyle name="Calculation 3 2 2 23 7" xfId="15741" xr:uid="{399669CC-3630-41E5-80F6-3DBEE1D35C00}"/>
    <cellStyle name="Calculation 3 2 2 24" xfId="426" xr:uid="{3F8483BE-6F45-4DA1-87D9-515D0A0E3FD3}"/>
    <cellStyle name="Calculation 3 2 2 24 2" xfId="11975" xr:uid="{D75F2690-1546-4A32-82C9-48043E5EDA3F}"/>
    <cellStyle name="Calculation 3 2 2 24 2 2" xfId="15742" xr:uid="{7CE5576B-2984-4BA1-AD44-D939E8CF0967}"/>
    <cellStyle name="Calculation 3 2 2 24 2 3" xfId="15743" xr:uid="{9C5A2ADC-681B-49A7-8A40-36C94526974B}"/>
    <cellStyle name="Calculation 3 2 2 24 2 4" xfId="15744" xr:uid="{45A77D4A-C61E-4865-8D1B-BF4A8B57286C}"/>
    <cellStyle name="Calculation 3 2 2 24 2 5" xfId="15745" xr:uid="{5126C97B-EBE2-46F6-B0DB-72118DC1D119}"/>
    <cellStyle name="Calculation 3 2 2 24 2 6" xfId="15746" xr:uid="{1B20109B-D960-48A6-B8D7-A48885ECDE41}"/>
    <cellStyle name="Calculation 3 2 2 24 3" xfId="15747" xr:uid="{2C4D1B56-8DC9-4EAA-9944-742E10907040}"/>
    <cellStyle name="Calculation 3 2 2 24 4" xfId="15748" xr:uid="{6F1231C7-627E-4493-9C4A-C3F4CAE60216}"/>
    <cellStyle name="Calculation 3 2 2 24 5" xfId="15749" xr:uid="{3349ADA2-C237-46A5-9AB0-F846B35FB2CF}"/>
    <cellStyle name="Calculation 3 2 2 24 6" xfId="15750" xr:uid="{2CEE3AFA-8A82-4D8C-98FD-0C298A4C8940}"/>
    <cellStyle name="Calculation 3 2 2 24 7" xfId="15751" xr:uid="{529C9D14-73D5-4620-81BE-6A0690AFD1A9}"/>
    <cellStyle name="Calculation 3 2 2 25" xfId="427" xr:uid="{3C0C9881-7FB1-45D2-8771-1CA10555A092}"/>
    <cellStyle name="Calculation 3 2 2 25 2" xfId="12058" xr:uid="{AAB1917F-FBBE-44DD-ADD0-52B6D106706A}"/>
    <cellStyle name="Calculation 3 2 2 25 2 2" xfId="15752" xr:uid="{9DACAD70-671F-405B-8CF7-EC65156A37C2}"/>
    <cellStyle name="Calculation 3 2 2 25 2 3" xfId="15753" xr:uid="{56913855-7A67-4E6B-82A6-A5B18A835FAF}"/>
    <cellStyle name="Calculation 3 2 2 25 2 4" xfId="15754" xr:uid="{4CEF3B77-3B75-4E68-A215-6B3A3598586E}"/>
    <cellStyle name="Calculation 3 2 2 25 2 5" xfId="15755" xr:uid="{6CA61AEF-F09D-4956-8F9D-DBD3C2CC8178}"/>
    <cellStyle name="Calculation 3 2 2 25 2 6" xfId="15756" xr:uid="{9627EA01-8BFD-48B1-804B-B009FED58354}"/>
    <cellStyle name="Calculation 3 2 2 25 3" xfId="15757" xr:uid="{C678E67A-7F3B-4CB1-ADF9-1597D29D3132}"/>
    <cellStyle name="Calculation 3 2 2 25 4" xfId="15758" xr:uid="{BDFD78F1-11B4-4403-B829-F9A1B8E7543C}"/>
    <cellStyle name="Calculation 3 2 2 25 5" xfId="15759" xr:uid="{C18A8F9A-AAE2-4B1C-A22C-BABF2263FE67}"/>
    <cellStyle name="Calculation 3 2 2 25 6" xfId="15760" xr:uid="{1BCEFAA0-ED59-4BEC-AA87-AB8731B564FF}"/>
    <cellStyle name="Calculation 3 2 2 25 7" xfId="15761" xr:uid="{A44142CC-CCA5-4210-8FFB-2A32CD440022}"/>
    <cellStyle name="Calculation 3 2 2 26" xfId="428" xr:uid="{25153A0A-73E6-4722-9E66-8CB5C1CB48CC}"/>
    <cellStyle name="Calculation 3 2 2 26 2" xfId="12141" xr:uid="{9A322568-EBD0-4D96-8D0B-5B330299588D}"/>
    <cellStyle name="Calculation 3 2 2 26 2 2" xfId="15762" xr:uid="{ED3F85F9-AE57-4E66-BE75-921913AB443E}"/>
    <cellStyle name="Calculation 3 2 2 26 2 3" xfId="15763" xr:uid="{92B28291-72A6-433B-8837-CFF53AACA926}"/>
    <cellStyle name="Calculation 3 2 2 26 2 4" xfId="15764" xr:uid="{419966DF-4380-4ED7-898B-657A864EC315}"/>
    <cellStyle name="Calculation 3 2 2 26 2 5" xfId="15765" xr:uid="{5DA8E594-0F83-42F8-89F3-60128E6B7E10}"/>
    <cellStyle name="Calculation 3 2 2 26 2 6" xfId="15766" xr:uid="{DBCFCB90-1EDF-407A-A2F9-0C8ED6DADAC4}"/>
    <cellStyle name="Calculation 3 2 2 26 3" xfId="15767" xr:uid="{C1ACA18D-DD43-45F2-85B5-2FDEC7082386}"/>
    <cellStyle name="Calculation 3 2 2 26 4" xfId="15768" xr:uid="{A0F26C7A-965F-4F5E-9F97-3F84C05D960D}"/>
    <cellStyle name="Calculation 3 2 2 26 5" xfId="15769" xr:uid="{FC27EEF1-C85B-4420-B1AB-A75702F9ADED}"/>
    <cellStyle name="Calculation 3 2 2 26 6" xfId="15770" xr:uid="{173A822B-167C-4E3A-85D0-B19970D63F70}"/>
    <cellStyle name="Calculation 3 2 2 26 7" xfId="15771" xr:uid="{9E36BDD9-ECCE-46EE-B627-1EE74926A715}"/>
    <cellStyle name="Calculation 3 2 2 27" xfId="429" xr:uid="{9053874A-1828-493D-AAE8-7CFD7A6F837C}"/>
    <cellStyle name="Calculation 3 2 2 27 2" xfId="12223" xr:uid="{947155ED-BEA1-46BE-BE6D-78B8CBB70ABB}"/>
    <cellStyle name="Calculation 3 2 2 27 2 2" xfId="15772" xr:uid="{DFA6A141-EF23-4BF3-BD21-3FD117F88EFB}"/>
    <cellStyle name="Calculation 3 2 2 27 2 3" xfId="15773" xr:uid="{49AFC7C4-37EB-4A28-ABA2-2D4DDA3A2F0E}"/>
    <cellStyle name="Calculation 3 2 2 27 2 4" xfId="15774" xr:uid="{BA4AE168-680A-4BEA-9019-10FA95485FB1}"/>
    <cellStyle name="Calculation 3 2 2 27 2 5" xfId="15775" xr:uid="{D1E03732-5E02-43BA-9CC8-201F698577C3}"/>
    <cellStyle name="Calculation 3 2 2 27 2 6" xfId="15776" xr:uid="{15D0355E-F1F4-4380-A0AB-F437AA0DDC50}"/>
    <cellStyle name="Calculation 3 2 2 27 3" xfId="15777" xr:uid="{6654AE4E-4D8D-46F9-83FE-ABAF30FBE423}"/>
    <cellStyle name="Calculation 3 2 2 27 4" xfId="15778" xr:uid="{D49EA09D-A823-4C84-AB9F-003B569EC0A5}"/>
    <cellStyle name="Calculation 3 2 2 27 5" xfId="15779" xr:uid="{B68D3ECC-8386-4554-BB77-631403105606}"/>
    <cellStyle name="Calculation 3 2 2 27 6" xfId="15780" xr:uid="{4175074B-A154-48B9-ACE3-3C871282F77B}"/>
    <cellStyle name="Calculation 3 2 2 27 7" xfId="15781" xr:uid="{2DA66070-A5A6-428A-9F42-DB541CE9ADA4}"/>
    <cellStyle name="Calculation 3 2 2 28" xfId="430" xr:uid="{DA1C024C-1F66-4F3F-9201-E55D7C772CD4}"/>
    <cellStyle name="Calculation 3 2 2 28 2" xfId="12303" xr:uid="{A4BE4FED-33FA-459D-BFA3-839DBB9E0799}"/>
    <cellStyle name="Calculation 3 2 2 28 2 2" xfId="15782" xr:uid="{1301555B-4794-4C75-8F2E-14CB45DC4AC1}"/>
    <cellStyle name="Calculation 3 2 2 28 2 3" xfId="15783" xr:uid="{E42C70B6-DBDE-4DF1-B2E2-0BABD7E3B948}"/>
    <cellStyle name="Calculation 3 2 2 28 2 4" xfId="15784" xr:uid="{0ACAB899-CAE4-46D5-90AE-9429FA0D8936}"/>
    <cellStyle name="Calculation 3 2 2 28 2 5" xfId="15785" xr:uid="{190B64BE-FDB8-42A2-A149-17DE407F2BF6}"/>
    <cellStyle name="Calculation 3 2 2 28 2 6" xfId="15786" xr:uid="{C8758340-4C0D-46E0-8EBA-A4248F5B974B}"/>
    <cellStyle name="Calculation 3 2 2 28 3" xfId="15787" xr:uid="{6F1A9E48-8D0E-44C9-A0D8-910C2576F508}"/>
    <cellStyle name="Calculation 3 2 2 28 4" xfId="15788" xr:uid="{8DB5B976-CB6E-4E3C-BF02-D0F3D6957F04}"/>
    <cellStyle name="Calculation 3 2 2 28 5" xfId="15789" xr:uid="{75480878-402A-4449-835D-3E1ABF2B3771}"/>
    <cellStyle name="Calculation 3 2 2 28 6" xfId="15790" xr:uid="{25DFB902-F29C-4026-A874-F9E22BEED77F}"/>
    <cellStyle name="Calculation 3 2 2 28 7" xfId="15791" xr:uid="{F7DCF840-9F7C-4D28-BA0A-40BADAF713AD}"/>
    <cellStyle name="Calculation 3 2 2 29" xfId="431" xr:uid="{EC278BDA-2FF5-4DF2-B2D0-B27C3220E0A3}"/>
    <cellStyle name="Calculation 3 2 2 29 2" xfId="12381" xr:uid="{DA3864AF-6CD5-4CE4-A9C9-AF0416A9273C}"/>
    <cellStyle name="Calculation 3 2 2 29 2 2" xfId="15792" xr:uid="{5772FB5F-F9B7-4323-8A1B-B25E282FE1D7}"/>
    <cellStyle name="Calculation 3 2 2 29 2 3" xfId="15793" xr:uid="{420739A8-A840-4C59-8A68-8ABBA027899F}"/>
    <cellStyle name="Calculation 3 2 2 29 2 4" xfId="15794" xr:uid="{D3EB7C9D-2CF6-4BB4-9435-3577597955D2}"/>
    <cellStyle name="Calculation 3 2 2 29 2 5" xfId="15795" xr:uid="{B85F73C6-9999-4AFF-BB71-D972A4919622}"/>
    <cellStyle name="Calculation 3 2 2 29 2 6" xfId="15796" xr:uid="{1340FDB6-344B-49E0-AA79-26B09EE503F6}"/>
    <cellStyle name="Calculation 3 2 2 29 3" xfId="15797" xr:uid="{50A03D7E-FAC9-4CCF-8C87-90D380ADC76D}"/>
    <cellStyle name="Calculation 3 2 2 29 4" xfId="15798" xr:uid="{DBEE7DC3-E697-4824-9D07-06B89A12B992}"/>
    <cellStyle name="Calculation 3 2 2 29 5" xfId="15799" xr:uid="{DAB07E9C-0FCB-419F-BC84-7A883AB69B50}"/>
    <cellStyle name="Calculation 3 2 2 29 6" xfId="15800" xr:uid="{D85625B9-2A35-4AE7-A13C-E026C1DBBCA0}"/>
    <cellStyle name="Calculation 3 2 2 29 7" xfId="15801" xr:uid="{ADC20FAE-19BC-4B9E-800A-6D3ED2DB1D5B}"/>
    <cellStyle name="Calculation 3 2 2 3" xfId="432" xr:uid="{35CFD7A1-5BB8-4D66-9B4A-B75E7843117E}"/>
    <cellStyle name="Calculation 3 2 2 3 2" xfId="10151" xr:uid="{0B8F6019-6B43-4FC9-B343-4B8E73BD7CCC}"/>
    <cellStyle name="Calculation 3 2 2 3 2 2" xfId="15802" xr:uid="{DA17BF20-9ED8-408A-A3E3-920C07E8303E}"/>
    <cellStyle name="Calculation 3 2 2 3 2 3" xfId="15803" xr:uid="{AAC0D56E-D0D5-4AED-BFF7-59E5A56A2E7D}"/>
    <cellStyle name="Calculation 3 2 2 3 2 4" xfId="15804" xr:uid="{2AE55C70-B18A-481B-96A4-CCC9F48F5697}"/>
    <cellStyle name="Calculation 3 2 2 3 2 5" xfId="15805" xr:uid="{31A9F17A-A90C-4F03-893B-7EBCEFC4D4E6}"/>
    <cellStyle name="Calculation 3 2 2 3 2 6" xfId="15806" xr:uid="{82F3E1F5-E203-4AA1-9C1D-9198DA62C929}"/>
    <cellStyle name="Calculation 3 2 2 3 3" xfId="15807" xr:uid="{CB0305A1-604C-4B79-AB28-B3DB62995972}"/>
    <cellStyle name="Calculation 3 2 2 3 4" xfId="15808" xr:uid="{11044424-F4BC-4C20-B4F9-41C682A58CB9}"/>
    <cellStyle name="Calculation 3 2 2 3 5" xfId="15809" xr:uid="{148BDAEF-34E1-415D-AB12-FDF9FE18A11B}"/>
    <cellStyle name="Calculation 3 2 2 3 6" xfId="15810" xr:uid="{D603B81A-03D7-4038-891B-B4B116B9FEA2}"/>
    <cellStyle name="Calculation 3 2 2 3 7" xfId="15811" xr:uid="{953B3F06-2FD7-4675-AC60-F3CFF5813095}"/>
    <cellStyle name="Calculation 3 2 2 30" xfId="433" xr:uid="{7DAD5871-8C7A-4028-BC06-FA50AA7172FD}"/>
    <cellStyle name="Calculation 3 2 2 30 2" xfId="12460" xr:uid="{B38909AE-C0F1-4CFF-BD2F-6BF84197C0C8}"/>
    <cellStyle name="Calculation 3 2 2 30 2 2" xfId="15812" xr:uid="{335B2BBC-F41A-4006-9CCB-FCAC1A375C36}"/>
    <cellStyle name="Calculation 3 2 2 30 2 3" xfId="15813" xr:uid="{EEA708B7-1C60-4FEB-AD2F-295078252BD1}"/>
    <cellStyle name="Calculation 3 2 2 30 2 4" xfId="15814" xr:uid="{C6EA9BDE-0898-4563-B68E-57E3D0482BD2}"/>
    <cellStyle name="Calculation 3 2 2 30 2 5" xfId="15815" xr:uid="{8F5BD1F0-A238-4F7F-B55D-DEF835357211}"/>
    <cellStyle name="Calculation 3 2 2 30 2 6" xfId="15816" xr:uid="{CA7767E0-87ED-4205-8CF3-800BA6D0CCC0}"/>
    <cellStyle name="Calculation 3 2 2 30 3" xfId="15817" xr:uid="{2D2036C0-014B-40CC-9F8F-5A953F3238ED}"/>
    <cellStyle name="Calculation 3 2 2 30 4" xfId="15818" xr:uid="{CADF8650-1FAB-4E3D-B630-DA3072C7A30D}"/>
    <cellStyle name="Calculation 3 2 2 30 5" xfId="15819" xr:uid="{8B9AA453-528B-4960-B695-46C88FC59871}"/>
    <cellStyle name="Calculation 3 2 2 30 6" xfId="15820" xr:uid="{401A4C4D-5A9B-41FD-BF5D-924AE8E01A5A}"/>
    <cellStyle name="Calculation 3 2 2 30 7" xfId="15821" xr:uid="{BA955D1D-42AC-4C1C-B6CA-8E3EEBD2B9ED}"/>
    <cellStyle name="Calculation 3 2 2 31" xfId="434" xr:uid="{69D84882-0870-482E-AD08-9634576AC329}"/>
    <cellStyle name="Calculation 3 2 2 31 2" xfId="12539" xr:uid="{C3BBC0BD-B92F-44C1-ABD6-45238A010420}"/>
    <cellStyle name="Calculation 3 2 2 31 2 2" xfId="15822" xr:uid="{7F59A6EC-CE70-4298-9290-0916D2B95344}"/>
    <cellStyle name="Calculation 3 2 2 31 2 3" xfId="15823" xr:uid="{0E55F170-C8AD-4D44-A353-72F815E915EB}"/>
    <cellStyle name="Calculation 3 2 2 31 2 4" xfId="15824" xr:uid="{1AB68D97-3CAE-44A2-8E90-435332CECB62}"/>
    <cellStyle name="Calculation 3 2 2 31 2 5" xfId="15825" xr:uid="{27167840-C9AA-41DF-8B12-604C9F4F7550}"/>
    <cellStyle name="Calculation 3 2 2 31 2 6" xfId="15826" xr:uid="{48F99191-699A-48D1-8573-788306CE749E}"/>
    <cellStyle name="Calculation 3 2 2 31 3" xfId="15827" xr:uid="{C455F225-9129-4349-B398-7D02A30A3330}"/>
    <cellStyle name="Calculation 3 2 2 31 4" xfId="15828" xr:uid="{495E0D00-ECB8-4089-9E6E-9C49CBA16F12}"/>
    <cellStyle name="Calculation 3 2 2 31 5" xfId="15829" xr:uid="{47C7C0DA-7AB8-41C2-AC1D-014683492D33}"/>
    <cellStyle name="Calculation 3 2 2 31 6" xfId="15830" xr:uid="{9FE36B52-CF75-4CD1-AE2C-77607A68D1C4}"/>
    <cellStyle name="Calculation 3 2 2 31 7" xfId="15831" xr:uid="{FEB61664-FFDF-40BA-8692-04CF16FE579F}"/>
    <cellStyle name="Calculation 3 2 2 32" xfId="435" xr:uid="{EF7B4BFC-29A1-401D-9186-A6ECF1B69BF5}"/>
    <cellStyle name="Calculation 3 2 2 32 2" xfId="12618" xr:uid="{0A773C5F-C598-480A-8993-F0712D835C71}"/>
    <cellStyle name="Calculation 3 2 2 32 2 2" xfId="15832" xr:uid="{5D2BA247-1ACF-4162-90A7-3CD0A2C519BB}"/>
    <cellStyle name="Calculation 3 2 2 32 2 3" xfId="15833" xr:uid="{82B95586-A40C-4CA8-A5B1-19ADE2EBA981}"/>
    <cellStyle name="Calculation 3 2 2 32 2 4" xfId="15834" xr:uid="{2828D57C-B92B-47C2-9619-58205DD78241}"/>
    <cellStyle name="Calculation 3 2 2 32 2 5" xfId="15835" xr:uid="{46476C9F-1389-4450-80BD-C537F895AD0A}"/>
    <cellStyle name="Calculation 3 2 2 32 2 6" xfId="15836" xr:uid="{BF0707E3-59F0-4B88-B7C4-7452AC333669}"/>
    <cellStyle name="Calculation 3 2 2 32 3" xfId="15837" xr:uid="{26FD0CEC-FB3A-4991-B4F5-4D2AF18170F3}"/>
    <cellStyle name="Calculation 3 2 2 32 4" xfId="15838" xr:uid="{B1368F2E-B273-4299-BAE2-5269EF9C083B}"/>
    <cellStyle name="Calculation 3 2 2 32 5" xfId="15839" xr:uid="{AD0D1F73-DB17-40A2-9AC6-ABD7A55FA386}"/>
    <cellStyle name="Calculation 3 2 2 32 6" xfId="15840" xr:uid="{2B69266D-832A-49F0-ACD7-6CA38BEBA0FF}"/>
    <cellStyle name="Calculation 3 2 2 32 7" xfId="15841" xr:uid="{F0527003-BBFA-43CA-9B5B-C9D7C1FD947B}"/>
    <cellStyle name="Calculation 3 2 2 33" xfId="436" xr:uid="{7122BDDC-87F1-4FCB-A8BF-8EAE4A83E19E}"/>
    <cellStyle name="Calculation 3 2 2 33 2" xfId="12697" xr:uid="{85DC5500-A8FC-4E36-839B-F67AFA9ABF2A}"/>
    <cellStyle name="Calculation 3 2 2 33 2 2" xfId="15842" xr:uid="{8B18254F-A647-48EA-811A-35539B3EA468}"/>
    <cellStyle name="Calculation 3 2 2 33 2 3" xfId="15843" xr:uid="{33AAB539-6749-4795-8FBF-620180C5966E}"/>
    <cellStyle name="Calculation 3 2 2 33 2 4" xfId="15844" xr:uid="{C80EF712-AEA9-475F-9B00-2750938B7947}"/>
    <cellStyle name="Calculation 3 2 2 33 2 5" xfId="15845" xr:uid="{4BDD630F-5423-4C67-A633-14C3EF7BDF0C}"/>
    <cellStyle name="Calculation 3 2 2 33 2 6" xfId="15846" xr:uid="{1847959C-BAB6-4C56-9A4E-35EAD4278189}"/>
    <cellStyle name="Calculation 3 2 2 33 3" xfId="15847" xr:uid="{1AA75A17-FA00-4C9D-83E3-5897D3CE17FD}"/>
    <cellStyle name="Calculation 3 2 2 33 4" xfId="15848" xr:uid="{3B1FE056-0163-4BD8-8258-50F1D3215067}"/>
    <cellStyle name="Calculation 3 2 2 33 5" xfId="15849" xr:uid="{2C3FF5DE-119D-456A-A655-94441F9767A4}"/>
    <cellStyle name="Calculation 3 2 2 33 6" xfId="15850" xr:uid="{80F6D4C6-42EE-4FDF-9CBB-64DEE932A56D}"/>
    <cellStyle name="Calculation 3 2 2 33 7" xfId="15851" xr:uid="{C8DDD3C5-F1AF-4331-985E-82ECD7EDE17B}"/>
    <cellStyle name="Calculation 3 2 2 34" xfId="437" xr:uid="{6D21E9D6-186F-4FE8-8C20-5F305DA3CE6B}"/>
    <cellStyle name="Calculation 3 2 2 34 2" xfId="12781" xr:uid="{754BA0A6-C716-4643-9EF2-7B4376BF5CAF}"/>
    <cellStyle name="Calculation 3 2 2 34 2 2" xfId="15852" xr:uid="{AE316814-14A5-4558-A41A-52DFF9F3037A}"/>
    <cellStyle name="Calculation 3 2 2 34 2 3" xfId="15853" xr:uid="{F3C880C5-7510-45A7-A1EB-4B53BCEEFEDB}"/>
    <cellStyle name="Calculation 3 2 2 34 2 4" xfId="15854" xr:uid="{E7758E05-AEA9-41CA-8112-E74BA0914E90}"/>
    <cellStyle name="Calculation 3 2 2 34 2 5" xfId="15855" xr:uid="{5E819D8A-62C1-47DE-BE82-5528A78C910B}"/>
    <cellStyle name="Calculation 3 2 2 34 2 6" xfId="15856" xr:uid="{7E9CE9B1-90EC-45E9-BC11-6EBADC5C7D59}"/>
    <cellStyle name="Calculation 3 2 2 34 3" xfId="15857" xr:uid="{BB6433A7-3030-44E0-9832-8E801440EFB2}"/>
    <cellStyle name="Calculation 3 2 2 34 4" xfId="15858" xr:uid="{8A5439A5-FF23-443D-B0B7-9B812FFACA45}"/>
    <cellStyle name="Calculation 3 2 2 34 5" xfId="15859" xr:uid="{7DB47D73-A782-4A36-8D5B-34DA4532C5E9}"/>
    <cellStyle name="Calculation 3 2 2 34 6" xfId="15860" xr:uid="{0DC81B9F-3CDF-469B-8980-864C728558D4}"/>
    <cellStyle name="Calculation 3 2 2 34 7" xfId="15861" xr:uid="{BD484530-CC58-4D16-AD7C-FF81106AECF6}"/>
    <cellStyle name="Calculation 3 2 2 35" xfId="9847" xr:uid="{3A7E9569-DD0B-408E-8848-4BFCC2C2B038}"/>
    <cellStyle name="Calculation 3 2 2 35 2" xfId="15862" xr:uid="{528F6659-5F55-42EC-94AD-674ADBCB99E5}"/>
    <cellStyle name="Calculation 3 2 2 35 3" xfId="15863" xr:uid="{0BE29514-CCB1-48A8-A7A9-DEB2FB571ABA}"/>
    <cellStyle name="Calculation 3 2 2 35 4" xfId="15864" xr:uid="{27809BF1-DDD7-45C0-A543-59C6573C2E14}"/>
    <cellStyle name="Calculation 3 2 2 35 5" xfId="15865" xr:uid="{7BF6679E-B3F5-4A02-A313-41FB5F2DDA9B}"/>
    <cellStyle name="Calculation 3 2 2 35 6" xfId="15866" xr:uid="{96DB0726-CD91-4910-A919-382D4D2A6086}"/>
    <cellStyle name="Calculation 3 2 2 36" xfId="15867" xr:uid="{8FB285AF-AD9C-440A-AFAB-39E070234E14}"/>
    <cellStyle name="Calculation 3 2 2 37" xfId="15868" xr:uid="{48800716-ABB5-4A14-9365-3BE97755BA44}"/>
    <cellStyle name="Calculation 3 2 2 38" xfId="15869" xr:uid="{BF7BBF4D-E49E-4AF5-BBD4-FC117D411958}"/>
    <cellStyle name="Calculation 3 2 2 39" xfId="15870" xr:uid="{0770B820-E10A-445F-B893-6215546235A1}"/>
    <cellStyle name="Calculation 3 2 2 4" xfId="438" xr:uid="{0F053900-F766-4928-8470-9D94CB187B5D}"/>
    <cellStyle name="Calculation 3 2 2 4 2" xfId="10241" xr:uid="{50776870-0018-4CA1-963D-2B23FB14C27E}"/>
    <cellStyle name="Calculation 3 2 2 4 2 2" xfId="15871" xr:uid="{D7DD7301-6374-4BCC-B9FA-23DF50276C11}"/>
    <cellStyle name="Calculation 3 2 2 4 2 3" xfId="15872" xr:uid="{E71C4BB7-65C6-4499-84DB-1DA377B3F12B}"/>
    <cellStyle name="Calculation 3 2 2 4 2 4" xfId="15873" xr:uid="{C8DCD981-4D54-42F7-A366-DE1D98DF886E}"/>
    <cellStyle name="Calculation 3 2 2 4 2 5" xfId="15874" xr:uid="{0C595994-181F-403A-93BB-A197301355B6}"/>
    <cellStyle name="Calculation 3 2 2 4 2 6" xfId="15875" xr:uid="{8EC3715B-DA97-4888-AD8D-5A5FEC1E9949}"/>
    <cellStyle name="Calculation 3 2 2 4 3" xfId="15876" xr:uid="{C610FD54-8D3C-4079-8172-6862D2B9E726}"/>
    <cellStyle name="Calculation 3 2 2 4 4" xfId="15877" xr:uid="{31B4740E-6F23-4E43-A663-3AE536C2EDD9}"/>
    <cellStyle name="Calculation 3 2 2 4 5" xfId="15878" xr:uid="{42F1DC7F-4135-4722-9910-0D21144D4001}"/>
    <cellStyle name="Calculation 3 2 2 4 6" xfId="15879" xr:uid="{A2BDD549-6148-455B-B134-1644B84B0277}"/>
    <cellStyle name="Calculation 3 2 2 4 7" xfId="15880" xr:uid="{CE9F972A-75E1-4968-AF0E-FB076A8D9099}"/>
    <cellStyle name="Calculation 3 2 2 40" xfId="15881" xr:uid="{0D044D46-6826-40D8-86F4-BD9F758CF082}"/>
    <cellStyle name="Calculation 3 2 2 5" xfId="439" xr:uid="{B06F7A79-A157-4EFA-A9E2-4A8847B62DAC}"/>
    <cellStyle name="Calculation 3 2 2 5 2" xfId="10327" xr:uid="{DA4030E9-11BF-4029-89C1-ABAB9A9AACAE}"/>
    <cellStyle name="Calculation 3 2 2 5 2 2" xfId="15882" xr:uid="{1ACD9D67-C785-4AEA-9699-4E78D9AFD93D}"/>
    <cellStyle name="Calculation 3 2 2 5 2 3" xfId="15883" xr:uid="{6EE43CCB-DB8D-4B1F-8925-CC676C1C1493}"/>
    <cellStyle name="Calculation 3 2 2 5 2 4" xfId="15884" xr:uid="{C8A8E58B-579B-4EC0-ACAD-7876CFC26E5C}"/>
    <cellStyle name="Calculation 3 2 2 5 2 5" xfId="15885" xr:uid="{A10DCBDE-149E-45CB-BA5B-3836D865D4EC}"/>
    <cellStyle name="Calculation 3 2 2 5 2 6" xfId="15886" xr:uid="{B86439AB-473E-4E10-B01D-598AFDF3A4D5}"/>
    <cellStyle name="Calculation 3 2 2 5 3" xfId="15887" xr:uid="{3ED976F2-4C07-4C33-8E84-800DFCCA6DC3}"/>
    <cellStyle name="Calculation 3 2 2 5 4" xfId="15888" xr:uid="{85A999CD-AC0A-4D89-B736-4C4BC001C234}"/>
    <cellStyle name="Calculation 3 2 2 5 5" xfId="15889" xr:uid="{D9053ACF-CC0E-4109-9CB9-ED0E1A92EDD0}"/>
    <cellStyle name="Calculation 3 2 2 5 6" xfId="15890" xr:uid="{FDE6C44E-008C-4B22-8694-B437B4664985}"/>
    <cellStyle name="Calculation 3 2 2 5 7" xfId="15891" xr:uid="{5C7BC006-82FC-42AE-8A9B-2D1040A49298}"/>
    <cellStyle name="Calculation 3 2 2 6" xfId="440" xr:uid="{303BB4FE-DDE8-4602-BBD7-FB246D776C51}"/>
    <cellStyle name="Calculation 3 2 2 6 2" xfId="10415" xr:uid="{9C63CBD4-15D4-4141-AA11-66B17258341B}"/>
    <cellStyle name="Calculation 3 2 2 6 2 2" xfId="15892" xr:uid="{9783DBC9-ACB0-44D6-94E8-DDE698B7889C}"/>
    <cellStyle name="Calculation 3 2 2 6 2 3" xfId="15893" xr:uid="{AE4F1B22-C0DD-4520-9100-40ADF3DFC5B8}"/>
    <cellStyle name="Calculation 3 2 2 6 2 4" xfId="15894" xr:uid="{8BA9D6B9-8BDE-445E-BEBF-5FAA70FE54C8}"/>
    <cellStyle name="Calculation 3 2 2 6 2 5" xfId="15895" xr:uid="{F67B6F8E-5B8C-4D16-A3BF-1469E4959D86}"/>
    <cellStyle name="Calculation 3 2 2 6 2 6" xfId="15896" xr:uid="{589544BE-E369-478A-BC95-8B95D71E9F6E}"/>
    <cellStyle name="Calculation 3 2 2 6 3" xfId="15897" xr:uid="{C05E36B9-C6A9-4E46-B283-BD63AC2FFF28}"/>
    <cellStyle name="Calculation 3 2 2 6 4" xfId="15898" xr:uid="{5C971FA0-59FA-408D-9280-2FB41F567644}"/>
    <cellStyle name="Calculation 3 2 2 6 5" xfId="15899" xr:uid="{1AF5BB89-6700-4F8D-8C1C-61F070027CAB}"/>
    <cellStyle name="Calculation 3 2 2 6 6" xfId="15900" xr:uid="{5853B731-ED5A-42FC-B219-3C99F5783F0D}"/>
    <cellStyle name="Calculation 3 2 2 6 7" xfId="15901" xr:uid="{FBD68E50-C7BF-4944-A3A4-15339076DE49}"/>
    <cellStyle name="Calculation 3 2 2 7" xfId="441" xr:uid="{85A6EEBF-4EB6-4A9C-8257-FFBEB3C266AD}"/>
    <cellStyle name="Calculation 3 2 2 7 2" xfId="10502" xr:uid="{4159C727-B5FF-47C4-A3A5-A3E5555DE073}"/>
    <cellStyle name="Calculation 3 2 2 7 2 2" xfId="15902" xr:uid="{B9D6F99B-DE58-4595-BCD8-DBC9D0289468}"/>
    <cellStyle name="Calculation 3 2 2 7 2 3" xfId="15903" xr:uid="{BDDA7D0A-67CA-44CB-AA1D-AD051D535C3A}"/>
    <cellStyle name="Calculation 3 2 2 7 2 4" xfId="15904" xr:uid="{257FB625-CCD1-44E5-B759-4CC67887BD48}"/>
    <cellStyle name="Calculation 3 2 2 7 2 5" xfId="15905" xr:uid="{122FFFDA-8A36-4552-A54E-9D32364E586E}"/>
    <cellStyle name="Calculation 3 2 2 7 2 6" xfId="15906" xr:uid="{628F9814-A13D-4C42-9E4E-FDF9F62E0E59}"/>
    <cellStyle name="Calculation 3 2 2 7 3" xfId="15907" xr:uid="{FAEE41C9-9848-45CB-805E-67F8ECB622BD}"/>
    <cellStyle name="Calculation 3 2 2 7 4" xfId="15908" xr:uid="{AB027ADD-1DB9-4669-BD14-2B2836A31EEA}"/>
    <cellStyle name="Calculation 3 2 2 7 5" xfId="15909" xr:uid="{0C8C3688-AD7D-419E-BC06-886070A1FA71}"/>
    <cellStyle name="Calculation 3 2 2 7 6" xfId="15910" xr:uid="{5190810C-E2BC-4BBD-AA64-3ED09F37F92E}"/>
    <cellStyle name="Calculation 3 2 2 7 7" xfId="15911" xr:uid="{275AF001-3BF0-415B-B5DA-09DD908847EC}"/>
    <cellStyle name="Calculation 3 2 2 8" xfId="442" xr:uid="{ADD7EF0E-EFF9-424C-8C06-C34BEB47A396}"/>
    <cellStyle name="Calculation 3 2 2 8 2" xfId="10590" xr:uid="{CAF19571-5C3B-40EF-8D8F-4DF7DE29B7B4}"/>
    <cellStyle name="Calculation 3 2 2 8 2 2" xfId="15912" xr:uid="{3DBEB222-B90E-446A-963B-2F83DA1DD22B}"/>
    <cellStyle name="Calculation 3 2 2 8 2 3" xfId="15913" xr:uid="{5CE99CD9-E634-49B5-8802-AE48A3B6650F}"/>
    <cellStyle name="Calculation 3 2 2 8 2 4" xfId="15914" xr:uid="{F0710ECA-C4D3-4741-A4AE-7E711EB36CA0}"/>
    <cellStyle name="Calculation 3 2 2 8 2 5" xfId="15915" xr:uid="{D0CF624A-4A6F-4FCD-BC33-D9D1A9463D2B}"/>
    <cellStyle name="Calculation 3 2 2 8 2 6" xfId="15916" xr:uid="{6917F4A4-757C-4F8A-BAD0-8EB5746C6FB0}"/>
    <cellStyle name="Calculation 3 2 2 8 3" xfId="15917" xr:uid="{99AB6F4D-2F5D-4C08-998C-BBAF79EED826}"/>
    <cellStyle name="Calculation 3 2 2 8 4" xfId="15918" xr:uid="{8BD5D1C1-8EDC-4FA5-B113-6E5D92CBA01C}"/>
    <cellStyle name="Calculation 3 2 2 8 5" xfId="15919" xr:uid="{C816E7D1-5269-46CA-BD00-15328CF53E2B}"/>
    <cellStyle name="Calculation 3 2 2 8 6" xfId="15920" xr:uid="{4FB70763-6161-4D9A-A385-87FDEFCC2ECC}"/>
    <cellStyle name="Calculation 3 2 2 8 7" xfId="15921" xr:uid="{58FE5D86-B3B5-4D35-9798-A9499A051B34}"/>
    <cellStyle name="Calculation 3 2 2 9" xfId="443" xr:uid="{253EDBBE-3E27-4E00-A17C-1855AAFB2912}"/>
    <cellStyle name="Calculation 3 2 2 9 2" xfId="10672" xr:uid="{A7AB6836-16F6-4E10-8756-530A5B1ACD96}"/>
    <cellStyle name="Calculation 3 2 2 9 2 2" xfId="15922" xr:uid="{F4908A31-848C-48BC-8F70-0CB5DE965029}"/>
    <cellStyle name="Calculation 3 2 2 9 2 3" xfId="15923" xr:uid="{4EE30360-02AA-420A-B711-6DE099A7C918}"/>
    <cellStyle name="Calculation 3 2 2 9 2 4" xfId="15924" xr:uid="{9F2B786C-01D4-4292-9F91-E4E6EB0CFB26}"/>
    <cellStyle name="Calculation 3 2 2 9 2 5" xfId="15925" xr:uid="{0DEEC7F2-C3CF-40E1-B90A-EBF0ED706564}"/>
    <cellStyle name="Calculation 3 2 2 9 2 6" xfId="15926" xr:uid="{8680367C-CA3A-4BA7-B1CC-BBFF40D43B7F}"/>
    <cellStyle name="Calculation 3 2 2 9 3" xfId="15927" xr:uid="{C640AD4C-9D4D-42C3-BB57-7C5B4C48CEFE}"/>
    <cellStyle name="Calculation 3 2 2 9 4" xfId="15928" xr:uid="{5D8C6F22-295E-4433-A17B-9CDF850687EF}"/>
    <cellStyle name="Calculation 3 2 2 9 5" xfId="15929" xr:uid="{31E0B300-1301-4A29-A3ED-2F3D1205A272}"/>
    <cellStyle name="Calculation 3 2 2 9 6" xfId="15930" xr:uid="{7B263188-A309-4998-AF61-5C4570E1620C}"/>
    <cellStyle name="Calculation 3 2 2 9 7" xfId="15931" xr:uid="{1B8FE890-94F3-4A5F-8B51-4CD2AC0922BC}"/>
    <cellStyle name="Calculation 3 2 20" xfId="444" xr:uid="{A3BA0F6C-904D-4694-BE07-28C36591CD6C}"/>
    <cellStyle name="Calculation 3 2 20 2" xfId="11520" xr:uid="{FA9CDD38-39AB-4FF5-9B51-B3EBB4166F7E}"/>
    <cellStyle name="Calculation 3 2 20 2 2" xfId="15932" xr:uid="{A7AFCFAF-9F2E-4DFF-A919-E99C7FD303CB}"/>
    <cellStyle name="Calculation 3 2 20 2 3" xfId="15933" xr:uid="{27D9CC95-2202-479E-BAE6-92AA5946C282}"/>
    <cellStyle name="Calculation 3 2 20 2 4" xfId="15934" xr:uid="{B426EA0C-EAEA-4422-A625-9CDB11D2CD57}"/>
    <cellStyle name="Calculation 3 2 20 2 5" xfId="15935" xr:uid="{1E02AA45-75D7-455D-B9A1-BE5284230EA2}"/>
    <cellStyle name="Calculation 3 2 20 2 6" xfId="15936" xr:uid="{7FD0E1EA-E122-4075-8880-F8428A770AC5}"/>
    <cellStyle name="Calculation 3 2 20 3" xfId="15937" xr:uid="{74B6BF3C-A909-47E7-8BD5-D09893B66BC7}"/>
    <cellStyle name="Calculation 3 2 20 4" xfId="15938" xr:uid="{B0B20F48-FE8F-4CA7-84AB-CD4A15A15CD1}"/>
    <cellStyle name="Calculation 3 2 20 5" xfId="15939" xr:uid="{A9D054F1-77F8-46C1-8D2D-D3025309873C}"/>
    <cellStyle name="Calculation 3 2 20 6" xfId="15940" xr:uid="{8AB1594D-7246-4816-B780-DBBD2663E51B}"/>
    <cellStyle name="Calculation 3 2 20 7" xfId="15941" xr:uid="{D0B9D3E1-B48B-4C17-8E47-BAAB7D16FDD0}"/>
    <cellStyle name="Calculation 3 2 21" xfId="445" xr:uid="{9DE92DA7-13ED-45E9-B7C5-845D557935CA}"/>
    <cellStyle name="Calculation 3 2 21 2" xfId="11608" xr:uid="{B3159D0A-F4DF-4922-AFF3-EECA0A85095C}"/>
    <cellStyle name="Calculation 3 2 21 2 2" xfId="15942" xr:uid="{6B9DDC11-63A4-4A65-A868-46EEE55EDBDA}"/>
    <cellStyle name="Calculation 3 2 21 2 3" xfId="15943" xr:uid="{A663B3CC-F603-4EA7-BA2F-073570A9689F}"/>
    <cellStyle name="Calculation 3 2 21 2 4" xfId="15944" xr:uid="{03E856FE-D948-4132-8494-EF75F9FB58DE}"/>
    <cellStyle name="Calculation 3 2 21 2 5" xfId="15945" xr:uid="{5BF6BAF4-A883-40A2-9717-C68E0582BBD7}"/>
    <cellStyle name="Calculation 3 2 21 2 6" xfId="15946" xr:uid="{CB895723-C21C-486B-9412-D733A07963F8}"/>
    <cellStyle name="Calculation 3 2 21 3" xfId="15947" xr:uid="{3AC1A442-A08F-4AB0-884E-1E76044AA5E9}"/>
    <cellStyle name="Calculation 3 2 21 4" xfId="15948" xr:uid="{3134FDAD-6FB6-4489-8E59-2207B7D55CBA}"/>
    <cellStyle name="Calculation 3 2 21 5" xfId="15949" xr:uid="{1B2C5612-7BA6-44F0-A53E-BC13EC38763A}"/>
    <cellStyle name="Calculation 3 2 21 6" xfId="15950" xr:uid="{8DC16734-F6D8-4B46-9BAA-B9842760B138}"/>
    <cellStyle name="Calculation 3 2 21 7" xfId="15951" xr:uid="{75B56C58-D52C-4258-B762-9388E1A04545}"/>
    <cellStyle name="Calculation 3 2 22" xfId="446" xr:uid="{FC0A02F1-B38F-4568-AB62-F69E63B7EAD3}"/>
    <cellStyle name="Calculation 3 2 22 2" xfId="11692" xr:uid="{4401587E-0715-46F9-9DF5-E1B87493DCB4}"/>
    <cellStyle name="Calculation 3 2 22 2 2" xfId="15952" xr:uid="{E67982B2-3163-42AE-8A82-E6DDAD42868A}"/>
    <cellStyle name="Calculation 3 2 22 2 3" xfId="15953" xr:uid="{B16CB095-2AC7-47FB-988B-DA2796FB51A3}"/>
    <cellStyle name="Calculation 3 2 22 2 4" xfId="15954" xr:uid="{BF06937C-1358-48A6-910A-49D907A38118}"/>
    <cellStyle name="Calculation 3 2 22 2 5" xfId="15955" xr:uid="{39F17499-C25B-4C41-AB6E-8B02370A33FD}"/>
    <cellStyle name="Calculation 3 2 22 2 6" xfId="15956" xr:uid="{15D23FFF-9D2A-427E-A0DF-E148B5B89A66}"/>
    <cellStyle name="Calculation 3 2 22 3" xfId="15957" xr:uid="{4C1FE012-6391-4C18-863B-8F2C0A57DA21}"/>
    <cellStyle name="Calculation 3 2 22 4" xfId="15958" xr:uid="{629795FA-0FA2-47B0-8704-83E68FC6BBE0}"/>
    <cellStyle name="Calculation 3 2 22 5" xfId="15959" xr:uid="{1FDADD5E-999D-4397-A996-5B9FEE8DAE8B}"/>
    <cellStyle name="Calculation 3 2 22 6" xfId="15960" xr:uid="{599DFC9F-ADD2-40B2-B3ED-A10BF1F36BB2}"/>
    <cellStyle name="Calculation 3 2 22 7" xfId="15961" xr:uid="{E05F4811-3F1C-40AF-9789-5F3797E6BC96}"/>
    <cellStyle name="Calculation 3 2 23" xfId="447" xr:uid="{292C799E-B7CC-4CEF-8B32-EE2C97F365F1}"/>
    <cellStyle name="Calculation 3 2 23 2" xfId="11775" xr:uid="{D34A6464-3E2D-469D-800A-E2C63DED170B}"/>
    <cellStyle name="Calculation 3 2 23 2 2" xfId="15962" xr:uid="{5DF8C354-313C-4E38-89C5-3565044AA95B}"/>
    <cellStyle name="Calculation 3 2 23 2 3" xfId="15963" xr:uid="{76C7843C-109D-4FB7-8312-5BE1B59E62F6}"/>
    <cellStyle name="Calculation 3 2 23 2 4" xfId="15964" xr:uid="{65D71B6D-E6FD-492A-B451-9AF648E2BBE5}"/>
    <cellStyle name="Calculation 3 2 23 2 5" xfId="15965" xr:uid="{1D769B94-1FFA-4571-AF30-BAEA2E8E8E7D}"/>
    <cellStyle name="Calculation 3 2 23 2 6" xfId="15966" xr:uid="{B9E40316-0AB6-4021-A778-3CA7137270A0}"/>
    <cellStyle name="Calculation 3 2 23 3" xfId="15967" xr:uid="{9AB54444-8F2B-4263-9E61-C1984A46696A}"/>
    <cellStyle name="Calculation 3 2 23 4" xfId="15968" xr:uid="{746E7908-72E4-4281-AE82-0E56AB773267}"/>
    <cellStyle name="Calculation 3 2 23 5" xfId="15969" xr:uid="{2718D52C-240F-49D7-9911-B9510F488525}"/>
    <cellStyle name="Calculation 3 2 23 6" xfId="15970" xr:uid="{D6B56380-730C-4B34-8095-7096EC0AEF35}"/>
    <cellStyle name="Calculation 3 2 23 7" xfId="15971" xr:uid="{4EEA636B-E19F-4D6E-B3A7-CDE7696DFCD0}"/>
    <cellStyle name="Calculation 3 2 24" xfId="448" xr:uid="{ADAE83CD-7C5F-4CAB-AEC4-41171873B80D}"/>
    <cellStyle name="Calculation 3 2 24 2" xfId="11858" xr:uid="{CB518E81-D290-419E-AD23-B7CC02653A49}"/>
    <cellStyle name="Calculation 3 2 24 2 2" xfId="15972" xr:uid="{B95FB933-7BB7-43FC-B884-AFADDA22297E}"/>
    <cellStyle name="Calculation 3 2 24 2 3" xfId="15973" xr:uid="{D4E356BD-8475-440D-A610-EAA89C332DF9}"/>
    <cellStyle name="Calculation 3 2 24 2 4" xfId="15974" xr:uid="{657CFECC-D0FD-40F6-822B-169F2F3E149A}"/>
    <cellStyle name="Calculation 3 2 24 2 5" xfId="15975" xr:uid="{C50AFAC2-9E0A-4CC8-A6F5-333DCBCCA92A}"/>
    <cellStyle name="Calculation 3 2 24 2 6" xfId="15976" xr:uid="{289EF438-0579-442E-BB9B-AF84687FF880}"/>
    <cellStyle name="Calculation 3 2 24 3" xfId="15977" xr:uid="{3BE28AB5-A953-4D0D-9A52-B1895B443F68}"/>
    <cellStyle name="Calculation 3 2 24 4" xfId="15978" xr:uid="{AB09946D-9D83-40FA-ADD3-52D4EAC219D7}"/>
    <cellStyle name="Calculation 3 2 24 5" xfId="15979" xr:uid="{021A86DB-DDF5-4361-80A1-EAD3412E4229}"/>
    <cellStyle name="Calculation 3 2 24 6" xfId="15980" xr:uid="{3B8F95A6-582C-4218-BB87-4A48975FBA94}"/>
    <cellStyle name="Calculation 3 2 24 7" xfId="15981" xr:uid="{B3579C04-670C-4FA2-AC1C-27EC55250650}"/>
    <cellStyle name="Calculation 3 2 25" xfId="449" xr:uid="{F5237B2A-30ED-43A3-9151-7EA411ABAA10}"/>
    <cellStyle name="Calculation 3 2 25 2" xfId="11942" xr:uid="{B4C92FD7-E7F8-4A34-8F83-9DA5DAF6242B}"/>
    <cellStyle name="Calculation 3 2 25 2 2" xfId="15982" xr:uid="{010B0E31-B7BB-4AE7-B39C-D2781E0F4F6C}"/>
    <cellStyle name="Calculation 3 2 25 2 3" xfId="15983" xr:uid="{1A3F2975-15CC-4E66-84A7-F44CB2702C88}"/>
    <cellStyle name="Calculation 3 2 25 2 4" xfId="15984" xr:uid="{A2FE6759-C024-49CF-98DB-31633B391344}"/>
    <cellStyle name="Calculation 3 2 25 2 5" xfId="15985" xr:uid="{06734FEA-D6D2-4DFA-BBA2-3F5153FAB351}"/>
    <cellStyle name="Calculation 3 2 25 2 6" xfId="15986" xr:uid="{67432B7F-0204-4F31-905C-397F57539214}"/>
    <cellStyle name="Calculation 3 2 25 3" xfId="15987" xr:uid="{77D4AE4E-88EA-4CFD-BD8C-D3BEB7AFABE7}"/>
    <cellStyle name="Calculation 3 2 25 4" xfId="15988" xr:uid="{E8C5806B-E5C5-4A6A-B4AD-6380B2D89C59}"/>
    <cellStyle name="Calculation 3 2 25 5" xfId="15989" xr:uid="{FB465DDC-7720-4D81-9910-501188F67B72}"/>
    <cellStyle name="Calculation 3 2 25 6" xfId="15990" xr:uid="{B376572F-9B9F-4FFC-AA58-9B6A9516DF7D}"/>
    <cellStyle name="Calculation 3 2 25 7" xfId="15991" xr:uid="{CB674E9B-6461-43A0-AB4E-FFC3910D7D72}"/>
    <cellStyle name="Calculation 3 2 26" xfId="450" xr:uid="{EE332AAD-8E69-443A-86D5-6186468BE04B}"/>
    <cellStyle name="Calculation 3 2 26 2" xfId="12025" xr:uid="{6A4B8791-110A-4B1E-AA8B-B85334CDB66C}"/>
    <cellStyle name="Calculation 3 2 26 2 2" xfId="15992" xr:uid="{628F0018-69AF-48EB-8235-1F2A8D69AA93}"/>
    <cellStyle name="Calculation 3 2 26 2 3" xfId="15993" xr:uid="{CCF92198-3DE5-4356-806D-0EEDAE677C5B}"/>
    <cellStyle name="Calculation 3 2 26 2 4" xfId="15994" xr:uid="{5CBC07B4-5C4C-4DFB-8FC7-424662B56746}"/>
    <cellStyle name="Calculation 3 2 26 2 5" xfId="15995" xr:uid="{81B8E497-C7E4-40E6-91EF-C2C483A967C4}"/>
    <cellStyle name="Calculation 3 2 26 2 6" xfId="15996" xr:uid="{93656937-89ED-48F0-843E-78086DF13C55}"/>
    <cellStyle name="Calculation 3 2 26 3" xfId="15997" xr:uid="{DCF95F6B-F9C6-4A5D-B80F-8A10BF290A8A}"/>
    <cellStyle name="Calculation 3 2 26 4" xfId="15998" xr:uid="{500242B3-9FDD-4892-A503-B5D271E0BAD2}"/>
    <cellStyle name="Calculation 3 2 26 5" xfId="15999" xr:uid="{12C8454F-ED22-400B-B396-71A3D7CA97BF}"/>
    <cellStyle name="Calculation 3 2 26 6" xfId="16000" xr:uid="{3DE66F3C-CE65-4DB0-8163-F95FB417930D}"/>
    <cellStyle name="Calculation 3 2 26 7" xfId="16001" xr:uid="{97AF9E8D-614E-4E55-B6F7-90085DD45155}"/>
    <cellStyle name="Calculation 3 2 27" xfId="451" xr:uid="{4F71E980-B252-4BA4-98F2-5978151C74CA}"/>
    <cellStyle name="Calculation 3 2 27 2" xfId="12108" xr:uid="{6E21F937-3CD5-46F7-BE65-9A96D8F5E4C8}"/>
    <cellStyle name="Calculation 3 2 27 2 2" xfId="16002" xr:uid="{3C5C520C-6635-4BC1-9BA1-0932998593DA}"/>
    <cellStyle name="Calculation 3 2 27 2 3" xfId="16003" xr:uid="{FF3714AF-D571-4224-86DA-86BF6CA5248B}"/>
    <cellStyle name="Calculation 3 2 27 2 4" xfId="16004" xr:uid="{0BD0DB45-CDAA-4B9A-BBA8-C1137D1FC703}"/>
    <cellStyle name="Calculation 3 2 27 2 5" xfId="16005" xr:uid="{0A081FF2-73C6-4106-B2FC-98E9A0D7042C}"/>
    <cellStyle name="Calculation 3 2 27 2 6" xfId="16006" xr:uid="{D38B43BA-B66B-4BEE-943B-787173BAED3C}"/>
    <cellStyle name="Calculation 3 2 27 3" xfId="16007" xr:uid="{AB445831-C8E9-4C49-B0AA-A9C7E5A45935}"/>
    <cellStyle name="Calculation 3 2 27 4" xfId="16008" xr:uid="{1BEF8615-08B5-4DF4-B954-A5E02543EE7D}"/>
    <cellStyle name="Calculation 3 2 27 5" xfId="16009" xr:uid="{ACDF0FB4-0AFE-4F81-AF61-08D6E91973AE}"/>
    <cellStyle name="Calculation 3 2 27 6" xfId="16010" xr:uid="{12B977FA-E7A0-4630-80F5-82C9CC162DA6}"/>
    <cellStyle name="Calculation 3 2 27 7" xfId="16011" xr:uid="{E940C2F2-F61E-4020-9918-029479DC607C}"/>
    <cellStyle name="Calculation 3 2 28" xfId="452" xr:uid="{E178F23A-16F4-4332-85C6-EC986D66C274}"/>
    <cellStyle name="Calculation 3 2 28 2" xfId="12190" xr:uid="{A4CC1960-910D-43C9-848B-202E8BE33A16}"/>
    <cellStyle name="Calculation 3 2 28 2 2" xfId="16012" xr:uid="{F1953149-2EB9-4FCF-B563-2A98660CBA76}"/>
    <cellStyle name="Calculation 3 2 28 2 3" xfId="16013" xr:uid="{F628DC38-904D-442D-A992-AC5D0CE2B032}"/>
    <cellStyle name="Calculation 3 2 28 2 4" xfId="16014" xr:uid="{46540F31-0ADA-4856-B031-7950D1B1249E}"/>
    <cellStyle name="Calculation 3 2 28 2 5" xfId="16015" xr:uid="{C01C90CA-D8DE-4BE6-8DFD-8D73733E0068}"/>
    <cellStyle name="Calculation 3 2 28 2 6" xfId="16016" xr:uid="{EED9F37D-2CA1-4065-8C79-B9153165540F}"/>
    <cellStyle name="Calculation 3 2 28 3" xfId="16017" xr:uid="{84DDE484-A05E-4C47-BF50-5173C757E8EF}"/>
    <cellStyle name="Calculation 3 2 28 4" xfId="16018" xr:uid="{EC4AAC77-9476-499B-9E54-A561276243B2}"/>
    <cellStyle name="Calculation 3 2 28 5" xfId="16019" xr:uid="{89855C3E-7C11-4C61-9ADA-30AB995BCA51}"/>
    <cellStyle name="Calculation 3 2 28 6" xfId="16020" xr:uid="{AAD049C9-BC1C-43EC-8EC2-9C489194FAA8}"/>
    <cellStyle name="Calculation 3 2 28 7" xfId="16021" xr:uid="{548A1790-746C-4B79-B164-52A5B65EB2A7}"/>
    <cellStyle name="Calculation 3 2 29" xfId="453" xr:uid="{81BD1BDF-F766-409D-879B-CED24211B843}"/>
    <cellStyle name="Calculation 3 2 29 2" xfId="12270" xr:uid="{158C0F1C-C7C3-4F4B-B23D-478064F69147}"/>
    <cellStyle name="Calculation 3 2 29 2 2" xfId="16022" xr:uid="{8A9FA798-9E82-42DF-B521-93E10F0CD8A1}"/>
    <cellStyle name="Calculation 3 2 29 2 3" xfId="16023" xr:uid="{407D49B7-678D-4223-B872-939676779FD7}"/>
    <cellStyle name="Calculation 3 2 29 2 4" xfId="16024" xr:uid="{27AB51D1-87E0-4042-A6CD-2EB88CE27994}"/>
    <cellStyle name="Calculation 3 2 29 2 5" xfId="16025" xr:uid="{1F11998D-04B8-4045-AD58-4D31A82E475F}"/>
    <cellStyle name="Calculation 3 2 29 2 6" xfId="16026" xr:uid="{7E8BF512-6D75-4DF4-9CD2-FCACE221C1DC}"/>
    <cellStyle name="Calculation 3 2 29 3" xfId="16027" xr:uid="{4B2797F9-21C2-433A-8CE3-A8A55CCFDEA9}"/>
    <cellStyle name="Calculation 3 2 29 4" xfId="16028" xr:uid="{45CD721F-9660-411D-9382-C683DB61663C}"/>
    <cellStyle name="Calculation 3 2 29 5" xfId="16029" xr:uid="{89DB21E9-844F-4395-9DBD-B6ECD96A16E9}"/>
    <cellStyle name="Calculation 3 2 29 6" xfId="16030" xr:uid="{89C67385-5341-4B21-BB28-E49B7C512142}"/>
    <cellStyle name="Calculation 3 2 29 7" xfId="16031" xr:uid="{1BFAEDDC-827F-4457-A892-7FE13607BAA5}"/>
    <cellStyle name="Calculation 3 2 3" xfId="454" xr:uid="{E08CBBE8-DDF0-4402-A88C-76C2D61A7385}"/>
    <cellStyle name="Calculation 3 2 3 2" xfId="10027" xr:uid="{34160A7A-3493-4CFF-BBBC-A4726711EDC8}"/>
    <cellStyle name="Calculation 3 2 3 2 2" xfId="16032" xr:uid="{B5732E32-7654-4CFD-984C-8CEB4085DE59}"/>
    <cellStyle name="Calculation 3 2 3 2 3" xfId="16033" xr:uid="{8D0B84B4-8D5C-4FB1-BE9F-4882E9ECF123}"/>
    <cellStyle name="Calculation 3 2 3 2 4" xfId="16034" xr:uid="{6B5E8C91-3A74-4302-BD9C-33B13EF62D46}"/>
    <cellStyle name="Calculation 3 2 3 2 5" xfId="16035" xr:uid="{530C2728-DF57-44F1-9D94-802E834DAE6A}"/>
    <cellStyle name="Calculation 3 2 3 2 6" xfId="16036" xr:uid="{0A421EF7-DCD5-4FCA-8E14-9C5F8CE87A26}"/>
    <cellStyle name="Calculation 3 2 3 3" xfId="16037" xr:uid="{3DCFF649-BFB0-4001-89D7-B22B8C3A4E47}"/>
    <cellStyle name="Calculation 3 2 3 4" xfId="16038" xr:uid="{133A3888-A7EC-4624-B3A8-1C6442E0D046}"/>
    <cellStyle name="Calculation 3 2 3 5" xfId="16039" xr:uid="{AC622D2A-BABD-426B-AE4A-DEBE49A3398E}"/>
    <cellStyle name="Calculation 3 2 3 6" xfId="16040" xr:uid="{97785542-93A5-4BBB-9E46-B07EAB3129FA}"/>
    <cellStyle name="Calculation 3 2 3 7" xfId="16041" xr:uid="{0EAFCDF1-E52A-45CE-98CA-353DAED856B4}"/>
    <cellStyle name="Calculation 3 2 30" xfId="455" xr:uid="{7718611D-D432-47F6-AC3D-A7C496405481}"/>
    <cellStyle name="Calculation 3 2 30 2" xfId="12348" xr:uid="{0DD76D2E-B0DD-41CD-A027-9FE37C4A0CCE}"/>
    <cellStyle name="Calculation 3 2 30 2 2" xfId="16042" xr:uid="{AEDCD188-C305-4856-B944-62ADD590F127}"/>
    <cellStyle name="Calculation 3 2 30 2 3" xfId="16043" xr:uid="{49D61E7C-1C7D-4C67-BA79-B2E738C5CD3C}"/>
    <cellStyle name="Calculation 3 2 30 2 4" xfId="16044" xr:uid="{85190239-E716-46E4-A183-95A52B91BEF0}"/>
    <cellStyle name="Calculation 3 2 30 2 5" xfId="16045" xr:uid="{22C9679A-B163-4B20-90C9-926197EAC4D4}"/>
    <cellStyle name="Calculation 3 2 30 2 6" xfId="16046" xr:uid="{D140E81C-0BC3-4E42-8C10-7F32ED9F6A16}"/>
    <cellStyle name="Calculation 3 2 30 3" xfId="16047" xr:uid="{F99D386B-7A08-4B56-8459-DC59CE8162B4}"/>
    <cellStyle name="Calculation 3 2 30 4" xfId="16048" xr:uid="{674D5140-FADB-4E6C-8D9E-3033CAA9835B}"/>
    <cellStyle name="Calculation 3 2 30 5" xfId="16049" xr:uid="{FF318BDD-B64B-43EB-8666-95122EECAD5A}"/>
    <cellStyle name="Calculation 3 2 30 6" xfId="16050" xr:uid="{07143091-6E47-4151-9A21-E133DDCC5B94}"/>
    <cellStyle name="Calculation 3 2 30 7" xfId="16051" xr:uid="{003663A2-6D7D-4053-919D-A254266E32D0}"/>
    <cellStyle name="Calculation 3 2 31" xfId="456" xr:uid="{84F094A6-AA7F-4229-B224-723F8ED50768}"/>
    <cellStyle name="Calculation 3 2 31 2" xfId="12427" xr:uid="{D17304BD-F192-431C-8A69-459F6F9AA672}"/>
    <cellStyle name="Calculation 3 2 31 2 2" xfId="16052" xr:uid="{42ABE176-A682-4FCE-A335-8FBC5001F2AF}"/>
    <cellStyle name="Calculation 3 2 31 2 3" xfId="16053" xr:uid="{40214819-45DE-4D99-8348-A9919D579268}"/>
    <cellStyle name="Calculation 3 2 31 2 4" xfId="16054" xr:uid="{C6E55216-C832-4A4E-A008-C16A15FA991B}"/>
    <cellStyle name="Calculation 3 2 31 2 5" xfId="16055" xr:uid="{34F7B9E2-95A6-46D6-AA8E-70B5AB2A767B}"/>
    <cellStyle name="Calculation 3 2 31 2 6" xfId="16056" xr:uid="{2BD1FEF7-FD1F-4CFA-91DB-476644405CEF}"/>
    <cellStyle name="Calculation 3 2 31 3" xfId="16057" xr:uid="{5E4728EC-C771-4395-AF09-233F8851CEF1}"/>
    <cellStyle name="Calculation 3 2 31 4" xfId="16058" xr:uid="{A98AF194-49E1-4827-927E-78D5D5B9BD8E}"/>
    <cellStyle name="Calculation 3 2 31 5" xfId="16059" xr:uid="{A67E2B02-AB57-47A4-916B-0A123AEB1D01}"/>
    <cellStyle name="Calculation 3 2 31 6" xfId="16060" xr:uid="{B40D933A-501B-48F5-B0FB-577A2B8D426E}"/>
    <cellStyle name="Calculation 3 2 31 7" xfId="16061" xr:uid="{7694A82C-408A-4A3F-AD64-5D10172631E6}"/>
    <cellStyle name="Calculation 3 2 32" xfId="457" xr:uid="{BCC061DE-9417-41AF-87F0-6802497709F1}"/>
    <cellStyle name="Calculation 3 2 32 2" xfId="12506" xr:uid="{E13A6A2E-E1E9-4723-9690-C67018534ED0}"/>
    <cellStyle name="Calculation 3 2 32 2 2" xfId="16062" xr:uid="{B02C8E06-FCE3-4F14-BB63-7C3B63EFD52A}"/>
    <cellStyle name="Calculation 3 2 32 2 3" xfId="16063" xr:uid="{8E5D4757-B7B8-45A3-8B03-1422B9EA2604}"/>
    <cellStyle name="Calculation 3 2 32 2 4" xfId="16064" xr:uid="{E10A4D0D-026C-490E-98AC-2BF581E6C3D3}"/>
    <cellStyle name="Calculation 3 2 32 2 5" xfId="16065" xr:uid="{3F1D1101-8209-4929-8AAE-C2F0BA8DB951}"/>
    <cellStyle name="Calculation 3 2 32 2 6" xfId="16066" xr:uid="{4AC9D900-A12A-4013-BF1D-9EFF2B481A51}"/>
    <cellStyle name="Calculation 3 2 32 3" xfId="16067" xr:uid="{97A865FA-4AA6-4AAD-B3A4-AFA146A8ED40}"/>
    <cellStyle name="Calculation 3 2 32 4" xfId="16068" xr:uid="{BCDDD5ED-165D-48D2-BDD6-BB3A3320A524}"/>
    <cellStyle name="Calculation 3 2 32 5" xfId="16069" xr:uid="{524D1C3E-66EE-45C3-B848-53FC2122CB7D}"/>
    <cellStyle name="Calculation 3 2 32 6" xfId="16070" xr:uid="{8ED339CF-61C2-4194-99BB-3B884F3AED2C}"/>
    <cellStyle name="Calculation 3 2 32 7" xfId="16071" xr:uid="{5FC87B56-959B-48F0-A245-A9AD3B982C84}"/>
    <cellStyle name="Calculation 3 2 33" xfId="458" xr:uid="{C1A71668-A3D1-4058-88F5-D898C26A76CF}"/>
    <cellStyle name="Calculation 3 2 33 2" xfId="12585" xr:uid="{621D7431-374E-4C51-8EF0-7C04B0B2D86F}"/>
    <cellStyle name="Calculation 3 2 33 2 2" xfId="16072" xr:uid="{658BCCB3-43C4-45A8-A0C7-7FE79A475574}"/>
    <cellStyle name="Calculation 3 2 33 2 3" xfId="16073" xr:uid="{2ECF5B1E-EE12-454C-8259-697FC585B237}"/>
    <cellStyle name="Calculation 3 2 33 2 4" xfId="16074" xr:uid="{D7B004D5-0244-466E-80AA-27FD87A32777}"/>
    <cellStyle name="Calculation 3 2 33 2 5" xfId="16075" xr:uid="{3CF1F995-8F77-4503-A4AA-D13959FFDE74}"/>
    <cellStyle name="Calculation 3 2 33 2 6" xfId="16076" xr:uid="{BC25A73D-B56D-4190-ADCB-A2575AD13DE1}"/>
    <cellStyle name="Calculation 3 2 33 3" xfId="16077" xr:uid="{51D8CF69-2AFB-408D-AB95-B4DB39870428}"/>
    <cellStyle name="Calculation 3 2 33 4" xfId="16078" xr:uid="{EB385142-7FF2-4EC3-9756-A37AD804A76D}"/>
    <cellStyle name="Calculation 3 2 33 5" xfId="16079" xr:uid="{3B9D893F-1CA5-44E5-8F03-67C10F6A7150}"/>
    <cellStyle name="Calculation 3 2 33 6" xfId="16080" xr:uid="{97B00222-6A10-4982-A8C2-EA3D4E1600CC}"/>
    <cellStyle name="Calculation 3 2 33 7" xfId="16081" xr:uid="{1BA5C294-EE6E-41D4-806E-3819CB8DB167}"/>
    <cellStyle name="Calculation 3 2 34" xfId="459" xr:uid="{48D1FFC3-DB90-4BF0-B466-A23CD40C60AC}"/>
    <cellStyle name="Calculation 3 2 34 2" xfId="12664" xr:uid="{355FBE33-B8B4-4018-9BB3-D8CA682381A1}"/>
    <cellStyle name="Calculation 3 2 34 2 2" xfId="16082" xr:uid="{39F19C74-50FA-4E99-B50D-BE4F2FABC5FF}"/>
    <cellStyle name="Calculation 3 2 34 2 3" xfId="16083" xr:uid="{33328253-1F80-43FF-B826-76580DD2AEE8}"/>
    <cellStyle name="Calculation 3 2 34 2 4" xfId="16084" xr:uid="{494C49D6-9755-4CCF-8E7B-E889C92C7239}"/>
    <cellStyle name="Calculation 3 2 34 2 5" xfId="16085" xr:uid="{F1C9CD60-4532-45C8-8D0A-8B2BF47F0795}"/>
    <cellStyle name="Calculation 3 2 34 2 6" xfId="16086" xr:uid="{60BADC4A-8013-4290-B39E-6CAB8B91F721}"/>
    <cellStyle name="Calculation 3 2 34 3" xfId="16087" xr:uid="{2A1C1CE0-1FA3-4FDC-81E1-0C29B9B974E0}"/>
    <cellStyle name="Calculation 3 2 34 4" xfId="16088" xr:uid="{4E1045C3-8D74-42D2-843C-024520C5C539}"/>
    <cellStyle name="Calculation 3 2 34 5" xfId="16089" xr:uid="{11D8F430-9485-48F7-AE72-FF0101E4846C}"/>
    <cellStyle name="Calculation 3 2 34 6" xfId="16090" xr:uid="{3C065DA3-F97B-485F-A54F-83D3737177F8}"/>
    <cellStyle name="Calculation 3 2 34 7" xfId="16091" xr:uid="{4B66AF86-CFBA-4A4A-A3C0-5515A7349C83}"/>
    <cellStyle name="Calculation 3 2 35" xfId="460" xr:uid="{ACF16C98-48B1-4F10-A901-2B4522408E62}"/>
    <cellStyle name="Calculation 3 2 35 2" xfId="12748" xr:uid="{ED297211-24EC-4E26-8447-BAB45D6DCCCB}"/>
    <cellStyle name="Calculation 3 2 35 2 2" xfId="16092" xr:uid="{3C903BA3-3721-4948-AC28-CED97A6BC62B}"/>
    <cellStyle name="Calculation 3 2 35 2 3" xfId="16093" xr:uid="{C267D0C8-F028-4ACF-8FF1-3D491E712577}"/>
    <cellStyle name="Calculation 3 2 35 2 4" xfId="16094" xr:uid="{1F4C3B3E-662D-4B28-BA47-B10AD4B32407}"/>
    <cellStyle name="Calculation 3 2 35 2 5" xfId="16095" xr:uid="{8380211A-C9ED-4209-A2D8-C9E81025292D}"/>
    <cellStyle name="Calculation 3 2 35 2 6" xfId="16096" xr:uid="{C8D44D31-8CCE-4984-AC3B-8262E10D2B4A}"/>
    <cellStyle name="Calculation 3 2 35 3" xfId="16097" xr:uid="{24EBC65C-3AD0-4896-825A-899DE027FB5A}"/>
    <cellStyle name="Calculation 3 2 35 4" xfId="16098" xr:uid="{8A057B23-3B84-4091-ADFE-39E5B4247503}"/>
    <cellStyle name="Calculation 3 2 35 5" xfId="16099" xr:uid="{7D52DD2C-6039-419A-9535-860D6CEBA409}"/>
    <cellStyle name="Calculation 3 2 35 6" xfId="16100" xr:uid="{D7086A07-74CE-494E-A001-66007D27FD26}"/>
    <cellStyle name="Calculation 3 2 35 7" xfId="16101" xr:uid="{FCFE1335-BC2F-48BA-8E56-4F5B1B97EE7A}"/>
    <cellStyle name="Calculation 3 2 36" xfId="3823" xr:uid="{878949BA-CA25-402F-8218-B2734D10D765}"/>
    <cellStyle name="Calculation 3 2 37" xfId="9814" xr:uid="{D7D6A0F6-DB1B-4777-A238-7D4445EA7722}"/>
    <cellStyle name="Calculation 3 2 37 2" xfId="16102" xr:uid="{662A2F0A-139D-4F52-B544-E89B3668AC6C}"/>
    <cellStyle name="Calculation 3 2 37 3" xfId="16103" xr:uid="{2EED06F2-1ABF-44A5-B2B0-D7B059227555}"/>
    <cellStyle name="Calculation 3 2 37 4" xfId="16104" xr:uid="{F7865A61-B85F-4433-A0BC-FA6F66C6AE46}"/>
    <cellStyle name="Calculation 3 2 37 5" xfId="16105" xr:uid="{21EEBC5E-A8C0-45EA-B589-9968E44F7FB4}"/>
    <cellStyle name="Calculation 3 2 37 6" xfId="16106" xr:uid="{BBC1A779-32C7-42B6-AA1D-EEBFD26B562B}"/>
    <cellStyle name="Calculation 3 2 38" xfId="16107" xr:uid="{A1CC1F31-48E4-40EF-8A11-E882BCCDB9A3}"/>
    <cellStyle name="Calculation 3 2 39" xfId="16108" xr:uid="{92374B1C-E3A1-4AF2-9ACC-29758773C21C}"/>
    <cellStyle name="Calculation 3 2 4" xfId="461" xr:uid="{7948BA2D-9CB9-4E5E-9CBC-C1367377117B}"/>
    <cellStyle name="Calculation 3 2 4 2" xfId="10118" xr:uid="{E2537294-E57D-476A-A91E-2F174F76EBA0}"/>
    <cellStyle name="Calculation 3 2 4 2 2" xfId="16109" xr:uid="{18B5A8FB-B52B-4781-9CEC-F9C646AF7EEF}"/>
    <cellStyle name="Calculation 3 2 4 2 3" xfId="16110" xr:uid="{476CB83C-DFF9-4939-AA5B-18FE9636DA36}"/>
    <cellStyle name="Calculation 3 2 4 2 4" xfId="16111" xr:uid="{D081107B-B5E7-4C72-83CD-AEBA53F7D3FE}"/>
    <cellStyle name="Calculation 3 2 4 2 5" xfId="16112" xr:uid="{21DA6959-41E2-4009-8BE1-A5B6DD43D88A}"/>
    <cellStyle name="Calculation 3 2 4 2 6" xfId="16113" xr:uid="{34847E1A-FA73-42F8-8D8E-5FACD689EC74}"/>
    <cellStyle name="Calculation 3 2 4 3" xfId="16114" xr:uid="{571AEF3E-9729-4A6D-A70E-2E9E718AFEF0}"/>
    <cellStyle name="Calculation 3 2 4 4" xfId="16115" xr:uid="{08ABB12E-F58D-4997-8065-B15705BB126E}"/>
    <cellStyle name="Calculation 3 2 4 5" xfId="16116" xr:uid="{272BEEAD-BEA0-41D3-9518-0719096FCB51}"/>
    <cellStyle name="Calculation 3 2 4 6" xfId="16117" xr:uid="{E31A07CE-B1F4-43A1-8C0C-1A5CE82B0303}"/>
    <cellStyle name="Calculation 3 2 4 7" xfId="16118" xr:uid="{645DFE27-9956-4351-A2AB-6936FAB1C576}"/>
    <cellStyle name="Calculation 3 2 40" xfId="16119" xr:uid="{715D320A-5164-409C-A637-037E60F8AC3F}"/>
    <cellStyle name="Calculation 3 2 41" xfId="16120" xr:uid="{FCC90EF6-8E4C-41A0-843D-FE1D9A7B5E9F}"/>
    <cellStyle name="Calculation 3 2 42" xfId="16121" xr:uid="{D5B655AD-CD6D-4B44-A1EC-B65C869720AC}"/>
    <cellStyle name="Calculation 3 2 5" xfId="462" xr:uid="{DC38A036-4C23-40BB-9AD8-E8DB0DD90760}"/>
    <cellStyle name="Calculation 3 2 5 2" xfId="10208" xr:uid="{466FFD4B-6188-4FDB-9DA1-FE76BBD34E68}"/>
    <cellStyle name="Calculation 3 2 5 2 2" xfId="16122" xr:uid="{FA2B125F-9E32-4AB1-9E73-E8B3824B6588}"/>
    <cellStyle name="Calculation 3 2 5 2 3" xfId="16123" xr:uid="{345E94E8-0A43-46FF-B00B-2A2281951B23}"/>
    <cellStyle name="Calculation 3 2 5 2 4" xfId="16124" xr:uid="{7E51A851-5DF5-40BF-829B-33A6AFFCE423}"/>
    <cellStyle name="Calculation 3 2 5 2 5" xfId="16125" xr:uid="{103D98D3-D6BB-4B1D-818B-B500010E7D37}"/>
    <cellStyle name="Calculation 3 2 5 2 6" xfId="16126" xr:uid="{88147942-3CA1-4536-89ED-4D47A5D04CDF}"/>
    <cellStyle name="Calculation 3 2 5 3" xfId="16127" xr:uid="{619404C6-E936-4674-8DB4-9A137645694E}"/>
    <cellStyle name="Calculation 3 2 5 4" xfId="16128" xr:uid="{DA4D12F9-A15A-4CBB-BE58-FB139336F9AB}"/>
    <cellStyle name="Calculation 3 2 5 5" xfId="16129" xr:uid="{37788167-4648-4E0F-93A1-5A8CF8433357}"/>
    <cellStyle name="Calculation 3 2 5 6" xfId="16130" xr:uid="{DEDD1997-D7F9-417B-ACEC-94B9D52384D1}"/>
    <cellStyle name="Calculation 3 2 5 7" xfId="16131" xr:uid="{73E3C932-9026-44AB-B7C3-443849A1A3D4}"/>
    <cellStyle name="Calculation 3 2 6" xfId="463" xr:uid="{5910DB43-6012-4DBD-929E-AB154F228907}"/>
    <cellStyle name="Calculation 3 2 6 2" xfId="10294" xr:uid="{E7F8F5E2-38AC-458A-B7AD-7E37B01DCF14}"/>
    <cellStyle name="Calculation 3 2 6 2 2" xfId="16132" xr:uid="{8259F5BB-60B4-43A4-B96C-5676411837FB}"/>
    <cellStyle name="Calculation 3 2 6 2 3" xfId="16133" xr:uid="{BF9A21FA-904E-434F-87DC-893D62BC9339}"/>
    <cellStyle name="Calculation 3 2 6 2 4" xfId="16134" xr:uid="{8B6444CD-75C2-44E0-96BA-F0C6ED53E4A5}"/>
    <cellStyle name="Calculation 3 2 6 2 5" xfId="16135" xr:uid="{4722AA45-B6E2-47D4-B72D-E660153D4830}"/>
    <cellStyle name="Calculation 3 2 6 2 6" xfId="16136" xr:uid="{3CB7A3FC-164B-4BAF-9919-0F1D8DB4BEDF}"/>
    <cellStyle name="Calculation 3 2 6 3" xfId="16137" xr:uid="{84BCB790-1505-4934-8635-75A68F6334DD}"/>
    <cellStyle name="Calculation 3 2 6 4" xfId="16138" xr:uid="{4E67474D-59D8-4A6F-BDD6-9BD5E33A4017}"/>
    <cellStyle name="Calculation 3 2 6 5" xfId="16139" xr:uid="{42710EAD-E866-405D-8D9F-E6FD22FFE8C6}"/>
    <cellStyle name="Calculation 3 2 6 6" xfId="16140" xr:uid="{C2D191B1-98AF-4B7A-8D35-E0D4B24D0C70}"/>
    <cellStyle name="Calculation 3 2 6 7" xfId="16141" xr:uid="{3EC4CE85-E3E1-4096-922A-CBC845ED4FC8}"/>
    <cellStyle name="Calculation 3 2 7" xfId="464" xr:uid="{D10A2B77-D90A-4E77-9BBA-BE1D01955153}"/>
    <cellStyle name="Calculation 3 2 7 2" xfId="10382" xr:uid="{C508ECC8-2DA2-4F38-86E6-0977306E7025}"/>
    <cellStyle name="Calculation 3 2 7 2 2" xfId="16142" xr:uid="{25DD06B5-99F4-409A-B1DE-A534D7582CBB}"/>
    <cellStyle name="Calculation 3 2 7 2 3" xfId="16143" xr:uid="{1B3C24ED-E4BA-4CAD-B0A8-B66923650605}"/>
    <cellStyle name="Calculation 3 2 7 2 4" xfId="16144" xr:uid="{197E6B6C-B9C2-406A-AB90-6AE47F5B2D89}"/>
    <cellStyle name="Calculation 3 2 7 2 5" xfId="16145" xr:uid="{A1F0D2EB-A3A0-4F02-9BDF-21CE4230FA96}"/>
    <cellStyle name="Calculation 3 2 7 2 6" xfId="16146" xr:uid="{C95631BA-83C5-4A17-A606-6D923CB7584B}"/>
    <cellStyle name="Calculation 3 2 7 3" xfId="16147" xr:uid="{BB390753-CF76-4BED-995D-89EC531DD768}"/>
    <cellStyle name="Calculation 3 2 7 4" xfId="16148" xr:uid="{871701D4-88C8-4362-B484-000E99BA3224}"/>
    <cellStyle name="Calculation 3 2 7 5" xfId="16149" xr:uid="{8C24600D-6C5B-4F63-8CB7-8826BE4A18AA}"/>
    <cellStyle name="Calculation 3 2 7 6" xfId="16150" xr:uid="{EAC6E7C4-8048-463B-B652-70ACF7BB6F53}"/>
    <cellStyle name="Calculation 3 2 7 7" xfId="16151" xr:uid="{B2B4E2D0-8918-4B27-A505-86252940FCC6}"/>
    <cellStyle name="Calculation 3 2 8" xfId="465" xr:uid="{ABE23EEA-139C-4814-B446-0E459FA4A2C2}"/>
    <cellStyle name="Calculation 3 2 8 2" xfId="10469" xr:uid="{D0B59FD9-F8ED-474C-BB04-371C7BE95155}"/>
    <cellStyle name="Calculation 3 2 8 2 2" xfId="16152" xr:uid="{321F1A30-5419-4B2B-BB9A-051A55529604}"/>
    <cellStyle name="Calculation 3 2 8 2 3" xfId="16153" xr:uid="{3A2B26B3-147A-432B-BD43-811FF9C5F6A9}"/>
    <cellStyle name="Calculation 3 2 8 2 4" xfId="16154" xr:uid="{4F6B2E9A-C648-4E66-BD11-1296295BC578}"/>
    <cellStyle name="Calculation 3 2 8 2 5" xfId="16155" xr:uid="{E71B92FC-6897-43B6-86C4-AF97A32E69FE}"/>
    <cellStyle name="Calculation 3 2 8 2 6" xfId="16156" xr:uid="{8FB062C2-4FB9-49AA-A797-74BDB8D8DB1D}"/>
    <cellStyle name="Calculation 3 2 8 3" xfId="16157" xr:uid="{A0DDAE5B-E5C1-4759-8949-D102F0BD6A08}"/>
    <cellStyle name="Calculation 3 2 8 4" xfId="16158" xr:uid="{A70E7F17-CBE9-45F7-8ACE-4A467D968C48}"/>
    <cellStyle name="Calculation 3 2 8 5" xfId="16159" xr:uid="{B7D09E86-E2D8-4177-BB2D-C18385281810}"/>
    <cellStyle name="Calculation 3 2 8 6" xfId="16160" xr:uid="{A227A539-E104-4C0B-B1DB-23FBB743E681}"/>
    <cellStyle name="Calculation 3 2 8 7" xfId="16161" xr:uid="{038EDF96-0AF8-48C9-BA40-FF7F674042A2}"/>
    <cellStyle name="Calculation 3 2 9" xfId="466" xr:uid="{74437C03-35BF-41DD-8EEE-4C8F3DEA92E5}"/>
    <cellStyle name="Calculation 3 2 9 2" xfId="10557" xr:uid="{A79A39CA-C2AF-4F2D-BB89-04125509F8E9}"/>
    <cellStyle name="Calculation 3 2 9 2 2" xfId="16162" xr:uid="{C7E81E79-AC53-40E4-B9F0-490AFC5555DD}"/>
    <cellStyle name="Calculation 3 2 9 2 3" xfId="16163" xr:uid="{CEF61B29-18AB-4845-8523-48E43641418D}"/>
    <cellStyle name="Calculation 3 2 9 2 4" xfId="16164" xr:uid="{1464E49B-0FF3-4E5C-A16D-F2DD49568595}"/>
    <cellStyle name="Calculation 3 2 9 2 5" xfId="16165" xr:uid="{5C23251D-B52D-43D1-88A8-BFD7B86D8873}"/>
    <cellStyle name="Calculation 3 2 9 2 6" xfId="16166" xr:uid="{E920D64A-7EAA-4FF7-A893-5C91FBC4AC2B}"/>
    <cellStyle name="Calculation 3 2 9 3" xfId="16167" xr:uid="{9141488F-D204-46AD-9D16-9728746A17AE}"/>
    <cellStyle name="Calculation 3 2 9 4" xfId="16168" xr:uid="{1D507E1B-4E89-42B3-B2AD-55BAB6374B21}"/>
    <cellStyle name="Calculation 3 2 9 5" xfId="16169" xr:uid="{6D13CBE4-D697-4938-86DC-2E9ACFE25FC8}"/>
    <cellStyle name="Calculation 3 2 9 6" xfId="16170" xr:uid="{CF65B6D3-4202-4916-8DBF-8BA20209D483}"/>
    <cellStyle name="Calculation 3 2 9 7" xfId="16171" xr:uid="{7B1DB967-30A2-4C53-8A4D-AE176E0AD774}"/>
    <cellStyle name="Calculation 3 20" xfId="467" xr:uid="{EDBB0ECD-D1D3-4E0C-8D06-B31F844D46A0}"/>
    <cellStyle name="Calculation 3 20 2" xfId="9980" xr:uid="{44B66389-98B9-49CC-8174-31D2E07429B1}"/>
    <cellStyle name="Calculation 3 20 2 2" xfId="16172" xr:uid="{90D71D96-0B83-456E-BD1F-DBFEB8D64CB5}"/>
    <cellStyle name="Calculation 3 20 2 3" xfId="16173" xr:uid="{FAACEBB3-1DD4-429E-B6D6-3C98005CA0B1}"/>
    <cellStyle name="Calculation 3 20 2 4" xfId="16174" xr:uid="{4CE43DF6-9968-4F6E-B643-6D7618ECD477}"/>
    <cellStyle name="Calculation 3 20 2 5" xfId="16175" xr:uid="{8640254F-53A2-4A96-9129-3744DA6F3F5D}"/>
    <cellStyle name="Calculation 3 20 2 6" xfId="16176" xr:uid="{CE599FF9-8329-40F6-BB1D-D0F85812D0E9}"/>
    <cellStyle name="Calculation 3 20 3" xfId="16177" xr:uid="{9448D115-13AD-47AE-90A1-610021D9D9B0}"/>
    <cellStyle name="Calculation 3 20 4" xfId="16178" xr:uid="{BBA7EB1C-3BD6-470C-8B91-4ECECFEAA26D}"/>
    <cellStyle name="Calculation 3 20 5" xfId="16179" xr:uid="{1DD77713-613A-4E5E-97A3-0E1AC5327460}"/>
    <cellStyle name="Calculation 3 20 6" xfId="16180" xr:uid="{AB52B898-BB71-45D3-85AC-AC89145DD2C1}"/>
    <cellStyle name="Calculation 3 20 7" xfId="16181" xr:uid="{7AD237FA-9474-4491-88CB-E24688533C13}"/>
    <cellStyle name="Calculation 3 21" xfId="468" xr:uid="{299D3834-3D30-4AC0-9E3D-CA34C6EF1315}"/>
    <cellStyle name="Calculation 3 21 2" xfId="9924" xr:uid="{7C6F74C0-0C1B-4BB2-829A-DFC16B8EDD2B}"/>
    <cellStyle name="Calculation 3 21 2 2" xfId="16182" xr:uid="{FAD839CD-B4F5-4238-8721-E093DCAFB413}"/>
    <cellStyle name="Calculation 3 21 2 3" xfId="16183" xr:uid="{E343A1DD-FC0E-4EB0-991D-7324F37E93D1}"/>
    <cellStyle name="Calculation 3 21 2 4" xfId="16184" xr:uid="{36857C0E-3F96-4D54-BB2C-568CFC96E2F0}"/>
    <cellStyle name="Calculation 3 21 2 5" xfId="16185" xr:uid="{00276C49-53DB-4680-8FF1-787D8AD1CF84}"/>
    <cellStyle name="Calculation 3 21 2 6" xfId="16186" xr:uid="{F160375F-D411-4218-8444-9F9FF6BFFF8E}"/>
    <cellStyle name="Calculation 3 21 3" xfId="16187" xr:uid="{753122B5-349C-4697-B0A3-7E0A31FFE2FE}"/>
    <cellStyle name="Calculation 3 21 4" xfId="16188" xr:uid="{8186ADFB-E4C4-44B6-BF18-1C097F67DF4A}"/>
    <cellStyle name="Calculation 3 21 5" xfId="16189" xr:uid="{4B161258-A4DE-4898-AEE8-156193E9757F}"/>
    <cellStyle name="Calculation 3 21 6" xfId="16190" xr:uid="{1EADCABB-C76D-4073-B547-B2E0BF70609C}"/>
    <cellStyle name="Calculation 3 21 7" xfId="16191" xr:uid="{3AC8FBF6-191E-4DB6-A223-8627BCB94ECB}"/>
    <cellStyle name="Calculation 3 22" xfId="469" xr:uid="{67C46C0D-C664-4E64-941D-91B9BB431B57}"/>
    <cellStyle name="Calculation 3 22 2" xfId="10166" xr:uid="{6C2CF3D7-4599-454D-9C8A-2F93446842B5}"/>
    <cellStyle name="Calculation 3 22 2 2" xfId="16192" xr:uid="{85001F2B-FF11-46B0-8097-FE9D4B37EF3E}"/>
    <cellStyle name="Calculation 3 22 2 3" xfId="16193" xr:uid="{C01E8C0E-32CB-42A7-A91B-6579FE74F9C2}"/>
    <cellStyle name="Calculation 3 22 2 4" xfId="16194" xr:uid="{E07D19C1-E0BE-40FD-BFAB-CB39B89B5C36}"/>
    <cellStyle name="Calculation 3 22 2 5" xfId="16195" xr:uid="{017D79DC-039A-403B-9187-71159C704D66}"/>
    <cellStyle name="Calculation 3 22 2 6" xfId="16196" xr:uid="{C36FF4D0-3958-4CA7-BA21-BC7345FF51F6}"/>
    <cellStyle name="Calculation 3 22 3" xfId="16197" xr:uid="{B2C91D62-B00E-443C-BA4C-95A07977BE5B}"/>
    <cellStyle name="Calculation 3 22 4" xfId="16198" xr:uid="{401815C3-5A76-4BB5-ADC5-28E52B5AD562}"/>
    <cellStyle name="Calculation 3 22 5" xfId="16199" xr:uid="{CE31FDD7-4BC6-4441-A6E7-7E5B338BED6D}"/>
    <cellStyle name="Calculation 3 22 6" xfId="16200" xr:uid="{73ABD034-07ED-4646-892E-542409DA0A1E}"/>
    <cellStyle name="Calculation 3 22 7" xfId="16201" xr:uid="{9C5B1B54-DD8C-4F36-8260-AAD0C20CF43F}"/>
    <cellStyle name="Calculation 3 23" xfId="470" xr:uid="{CE3EF8CF-45AF-4624-9B8A-69325DDCDE8E}"/>
    <cellStyle name="Calculation 3 23 2" xfId="10953" xr:uid="{7EA4DF53-3CC7-40B7-8E3C-D065C06F8165}"/>
    <cellStyle name="Calculation 3 23 2 2" xfId="16202" xr:uid="{32FC1539-5C04-45B5-9858-B37EE2718AEB}"/>
    <cellStyle name="Calculation 3 23 2 3" xfId="16203" xr:uid="{716B1FE9-1E75-4C16-88AC-7548FAE28545}"/>
    <cellStyle name="Calculation 3 23 2 4" xfId="16204" xr:uid="{84F1EEF3-8497-4637-A0E8-F0CD1C3CF67F}"/>
    <cellStyle name="Calculation 3 23 2 5" xfId="16205" xr:uid="{940610EB-85AE-4956-8264-ED1D2F3C0E4B}"/>
    <cellStyle name="Calculation 3 23 2 6" xfId="16206" xr:uid="{56A553B1-702D-4894-B801-36AD4C5736D1}"/>
    <cellStyle name="Calculation 3 23 3" xfId="16207" xr:uid="{334D0E53-2E0D-4F41-BF14-528F7100A297}"/>
    <cellStyle name="Calculation 3 23 4" xfId="16208" xr:uid="{626E7763-170F-405C-8FCF-331B775F1620}"/>
    <cellStyle name="Calculation 3 23 5" xfId="16209" xr:uid="{4F3F6E25-5E17-4842-AB93-7CE9D9EFBB48}"/>
    <cellStyle name="Calculation 3 23 6" xfId="16210" xr:uid="{659BE4B7-8C51-4306-9F1D-ACF77E6C0022}"/>
    <cellStyle name="Calculation 3 23 7" xfId="16211" xr:uid="{FF352A8F-0383-4469-B42B-A25E2BBC0942}"/>
    <cellStyle name="Calculation 3 24" xfId="471" xr:uid="{ED634FBC-6184-45AB-9B57-A3D71B3793D0}"/>
    <cellStyle name="Calculation 3 24 2" xfId="10256" xr:uid="{9F328F23-F1B1-42E5-9C35-DFDF60EFF0C1}"/>
    <cellStyle name="Calculation 3 24 2 2" xfId="16212" xr:uid="{335A7006-4FAC-4E98-8BA1-28B0540AF68C}"/>
    <cellStyle name="Calculation 3 24 2 3" xfId="16213" xr:uid="{9CF7B5BD-42A9-414E-9F12-0C676DA3FDCA}"/>
    <cellStyle name="Calculation 3 24 2 4" xfId="16214" xr:uid="{51A398DA-ED47-4CCE-BE3F-C581DC0BBB0B}"/>
    <cellStyle name="Calculation 3 24 2 5" xfId="16215" xr:uid="{23D5323A-DFC6-4460-B1A0-06583F952E0D}"/>
    <cellStyle name="Calculation 3 24 2 6" xfId="16216" xr:uid="{5725103F-0327-49E7-9BFB-158D6EA6B940}"/>
    <cellStyle name="Calculation 3 24 3" xfId="16217" xr:uid="{E89BDD39-D70D-4A6F-86A6-A1D5922032F1}"/>
    <cellStyle name="Calculation 3 24 4" xfId="16218" xr:uid="{E9FA9F6D-34CF-4A4D-8C54-061007DB3947}"/>
    <cellStyle name="Calculation 3 24 5" xfId="16219" xr:uid="{906F0896-CAAC-46FA-8BB6-27B76A723D33}"/>
    <cellStyle name="Calculation 3 24 6" xfId="16220" xr:uid="{8A3BF4D0-2E00-43C6-B2C3-21CE7DF91F7C}"/>
    <cellStyle name="Calculation 3 24 7" xfId="16221" xr:uid="{319D2CAD-D1FF-4512-A88E-C46D2C548936}"/>
    <cellStyle name="Calculation 3 25" xfId="472" xr:uid="{0579B619-4AE8-48C5-8E9A-7472FC69E8B4}"/>
    <cellStyle name="Calculation 3 25 2" xfId="11218" xr:uid="{13D6EFC7-A7F5-4428-8FF8-B8E5A37D17B4}"/>
    <cellStyle name="Calculation 3 25 2 2" xfId="16222" xr:uid="{66DE2328-F830-4140-9B96-A4CA54EB1A7C}"/>
    <cellStyle name="Calculation 3 25 2 3" xfId="16223" xr:uid="{6985A0F5-6E7C-488F-934C-AF2C031791D5}"/>
    <cellStyle name="Calculation 3 25 2 4" xfId="16224" xr:uid="{BD1A6601-768F-4ECE-90FA-9A0032ED8959}"/>
    <cellStyle name="Calculation 3 25 2 5" xfId="16225" xr:uid="{089F2B37-3E11-4D00-A999-F51FA8421C42}"/>
    <cellStyle name="Calculation 3 25 2 6" xfId="16226" xr:uid="{0A907493-9700-47DE-8360-60745E0820F0}"/>
    <cellStyle name="Calculation 3 25 3" xfId="16227" xr:uid="{ACD5A050-A98D-4178-9A65-A8A4081323AA}"/>
    <cellStyle name="Calculation 3 25 4" xfId="16228" xr:uid="{53F19D93-7D61-48EE-A622-460C6DA9E2BC}"/>
    <cellStyle name="Calculation 3 25 5" xfId="16229" xr:uid="{00F52B5C-D70A-4CDB-A904-3C96021ECE4E}"/>
    <cellStyle name="Calculation 3 25 6" xfId="16230" xr:uid="{B995AD25-D9F0-4AB5-8373-D76D0799C04D}"/>
    <cellStyle name="Calculation 3 25 7" xfId="16231" xr:uid="{992AA303-C865-4499-975E-7E0934CEAC3F}"/>
    <cellStyle name="Calculation 3 26" xfId="473" xr:uid="{E0716D7B-EC6D-47CD-B6A6-1FED93D6ECD7}"/>
    <cellStyle name="Calculation 3 26 2" xfId="10956" xr:uid="{F3276202-507B-4C4F-B2E2-9C6D7C872307}"/>
    <cellStyle name="Calculation 3 26 2 2" xfId="16232" xr:uid="{86DABE7D-1B72-4B95-9CA4-D95600ED3E7C}"/>
    <cellStyle name="Calculation 3 26 2 3" xfId="16233" xr:uid="{9AF73585-8190-4B5D-8EA2-61776ECB2611}"/>
    <cellStyle name="Calculation 3 26 2 4" xfId="16234" xr:uid="{0F66251E-4B73-44C0-B17D-E99D689471AB}"/>
    <cellStyle name="Calculation 3 26 2 5" xfId="16235" xr:uid="{042066CF-7569-417F-BB5D-42C515D43DB7}"/>
    <cellStyle name="Calculation 3 26 2 6" xfId="16236" xr:uid="{2CC17BEE-A277-4837-B32D-C5DE29F7E992}"/>
    <cellStyle name="Calculation 3 26 3" xfId="16237" xr:uid="{25B04719-DE6D-47A9-B9FD-C9DA62A7E769}"/>
    <cellStyle name="Calculation 3 26 4" xfId="16238" xr:uid="{17A7A008-0D66-48D9-9920-6FA210AB9C19}"/>
    <cellStyle name="Calculation 3 26 5" xfId="16239" xr:uid="{A212412A-BA59-4725-BD52-3E28FEFDAFA1}"/>
    <cellStyle name="Calculation 3 26 6" xfId="16240" xr:uid="{E406D8CA-E0E9-40A1-B47C-EA7AF5DF802B}"/>
    <cellStyle name="Calculation 3 26 7" xfId="16241" xr:uid="{786231E5-8998-4143-B432-ACB03E5BFD99}"/>
    <cellStyle name="Calculation 3 27" xfId="474" xr:uid="{6C7DE798-C91E-4131-9DC9-B95E7CED08D0}"/>
    <cellStyle name="Calculation 3 27 2" xfId="9920" xr:uid="{7C4AF101-30A0-4934-8DCD-462B2524DFCA}"/>
    <cellStyle name="Calculation 3 27 2 2" xfId="16242" xr:uid="{A8E99A90-B5EE-483F-903A-10179AAB7D7F}"/>
    <cellStyle name="Calculation 3 27 2 3" xfId="16243" xr:uid="{B833DD2E-69AD-4753-AF44-D40F2D573199}"/>
    <cellStyle name="Calculation 3 27 2 4" xfId="16244" xr:uid="{BAFF5685-7DDB-4D52-A9E3-6D7F113581B7}"/>
    <cellStyle name="Calculation 3 27 2 5" xfId="16245" xr:uid="{2A4E3B2C-776B-4E35-958D-5526C71415A5}"/>
    <cellStyle name="Calculation 3 27 2 6" xfId="16246" xr:uid="{7A65CED9-419A-4212-89ED-8DA02E982124}"/>
    <cellStyle name="Calculation 3 27 3" xfId="16247" xr:uid="{B50A2126-CFB2-48EA-88B2-728118CBBA45}"/>
    <cellStyle name="Calculation 3 27 4" xfId="16248" xr:uid="{17EDCD27-48BC-412D-94E6-EDF3EEF6D0C2}"/>
    <cellStyle name="Calculation 3 27 5" xfId="16249" xr:uid="{1F48F5EF-710F-4DD8-ACFC-6EC8AC2DB0AB}"/>
    <cellStyle name="Calculation 3 27 6" xfId="16250" xr:uid="{E2EAA5EC-39DA-4D7E-BC1A-CE7C8239F897}"/>
    <cellStyle name="Calculation 3 27 7" xfId="16251" xr:uid="{8C475AC5-035C-405A-A6BC-3B8F27D27207}"/>
    <cellStyle name="Calculation 3 28" xfId="475" xr:uid="{ED2874B0-D60C-4871-B8BC-483418A6CAFB}"/>
    <cellStyle name="Calculation 3 28 2" xfId="11475" xr:uid="{27ACE3AA-39B4-47AE-9E50-423F5F3E73E5}"/>
    <cellStyle name="Calculation 3 28 2 2" xfId="16252" xr:uid="{7A29B2B6-1D4E-4E2F-862A-51FAF5578459}"/>
    <cellStyle name="Calculation 3 28 2 3" xfId="16253" xr:uid="{C3CB3FDB-A6D4-4709-A9B4-D7208607D2ED}"/>
    <cellStyle name="Calculation 3 28 2 4" xfId="16254" xr:uid="{2C9D72FA-7777-4201-8988-C8363DFD39D9}"/>
    <cellStyle name="Calculation 3 28 2 5" xfId="16255" xr:uid="{628AF7E8-D57B-40FF-87FB-D15BF65A5BB5}"/>
    <cellStyle name="Calculation 3 28 2 6" xfId="16256" xr:uid="{6CD4FC60-A429-4DCC-AAC1-8B7509031DD6}"/>
    <cellStyle name="Calculation 3 28 3" xfId="16257" xr:uid="{E1DAEA6D-FD39-4697-BD0E-6C2DD2E7DB88}"/>
    <cellStyle name="Calculation 3 28 4" xfId="16258" xr:uid="{5070D3E3-C280-40CF-97D9-DA0CBE7ADDB7}"/>
    <cellStyle name="Calculation 3 28 5" xfId="16259" xr:uid="{ED70219A-CCC3-42EA-8977-0E223B1FBEC6}"/>
    <cellStyle name="Calculation 3 28 6" xfId="16260" xr:uid="{57DFF7AF-36A1-4D39-97D4-4EF7702D62A4}"/>
    <cellStyle name="Calculation 3 28 7" xfId="16261" xr:uid="{2173267F-51AF-4675-A59E-102404FC3DEA}"/>
    <cellStyle name="Calculation 3 29" xfId="476" xr:uid="{EBDBF26C-36E1-4C7B-A64E-6A0D45632623}"/>
    <cellStyle name="Calculation 3 29 2" xfId="11214" xr:uid="{AEB529FA-09D7-4253-81B0-D9AB0361400F}"/>
    <cellStyle name="Calculation 3 29 2 2" xfId="16262" xr:uid="{0D10AA20-AB66-417F-8570-76F7DB539D08}"/>
    <cellStyle name="Calculation 3 29 2 3" xfId="16263" xr:uid="{EC6DCDB1-C88D-4F77-B493-11F0B80F9622}"/>
    <cellStyle name="Calculation 3 29 2 4" xfId="16264" xr:uid="{3B2484C5-305A-4459-9FAA-3C3A217EDC02}"/>
    <cellStyle name="Calculation 3 29 2 5" xfId="16265" xr:uid="{F7A2A62D-F5EA-4260-B6AC-C143150C1DF8}"/>
    <cellStyle name="Calculation 3 29 2 6" xfId="16266" xr:uid="{FDA4F6DD-014D-4BD0-86FC-C53886BF6F7C}"/>
    <cellStyle name="Calculation 3 29 3" xfId="16267" xr:uid="{D8654107-D031-46FC-8672-722FE70838CB}"/>
    <cellStyle name="Calculation 3 29 4" xfId="16268" xr:uid="{BF18CB77-A5F9-4EB0-B1B3-4BD23A0CB8F1}"/>
    <cellStyle name="Calculation 3 29 5" xfId="16269" xr:uid="{3D6B19C1-CB24-4DCF-B452-C4CB7BC2A4E5}"/>
    <cellStyle name="Calculation 3 29 6" xfId="16270" xr:uid="{A0D1CA5E-C384-4E30-9A21-5108C3CFC6CD}"/>
    <cellStyle name="Calculation 3 29 7" xfId="16271" xr:uid="{B87EC036-8291-4A6D-8010-C3A4359F62F1}"/>
    <cellStyle name="Calculation 3 3" xfId="477" xr:uid="{B4AB0F65-C11A-4615-8252-E0F94BF48DF9}"/>
    <cellStyle name="Calculation 3 3 10" xfId="478" xr:uid="{96FB54AE-970B-41B5-B016-B1A3967F95A9}"/>
    <cellStyle name="Calculation 3 3 10 2" xfId="10623" xr:uid="{4266A310-3C4A-471E-BA9C-6A9E640966C7}"/>
    <cellStyle name="Calculation 3 3 10 2 2" xfId="16272" xr:uid="{9C6C6430-6E0A-4924-AF8B-A598F48D3267}"/>
    <cellStyle name="Calculation 3 3 10 2 3" xfId="16273" xr:uid="{A44E7BF2-3723-48E3-A965-EFF2202CE7BC}"/>
    <cellStyle name="Calculation 3 3 10 2 4" xfId="16274" xr:uid="{4A28A340-C846-4487-A534-B596B75F926D}"/>
    <cellStyle name="Calculation 3 3 10 2 5" xfId="16275" xr:uid="{67F47B77-AB52-40ED-AAC8-710100EBC385}"/>
    <cellStyle name="Calculation 3 3 10 2 6" xfId="16276" xr:uid="{343D076B-289F-4D05-973B-4FB7E61F100A}"/>
    <cellStyle name="Calculation 3 3 10 3" xfId="16277" xr:uid="{B9813EDE-FBB7-478D-A0B6-E12CAB2D3F7F}"/>
    <cellStyle name="Calculation 3 3 10 4" xfId="16278" xr:uid="{AC9C9BF8-97E4-4F0F-BD1B-366D388FBCEC}"/>
    <cellStyle name="Calculation 3 3 10 5" xfId="16279" xr:uid="{73C45B3D-176D-4B65-8235-CEB22EF67FA1}"/>
    <cellStyle name="Calculation 3 3 10 6" xfId="16280" xr:uid="{389650E0-D284-497A-9C86-0D1E0A85C104}"/>
    <cellStyle name="Calculation 3 3 10 7" xfId="16281" xr:uid="{D1500C69-EA29-4014-8C7E-856D3BC6302C}"/>
    <cellStyle name="Calculation 3 3 11" xfId="479" xr:uid="{A8C38D39-B91C-4019-96B4-2303A0872C84}"/>
    <cellStyle name="Calculation 3 3 11 2" xfId="10714" xr:uid="{C5A8AC15-1DFC-43E6-94C6-F533002C326D}"/>
    <cellStyle name="Calculation 3 3 11 2 2" xfId="16282" xr:uid="{F325425E-F541-440C-A801-9D9FB266260B}"/>
    <cellStyle name="Calculation 3 3 11 2 3" xfId="16283" xr:uid="{4E98E2A7-1BE8-439A-B2BB-F2E83E241A1D}"/>
    <cellStyle name="Calculation 3 3 11 2 4" xfId="16284" xr:uid="{9BBC3190-089C-496C-A1B3-37395545D49F}"/>
    <cellStyle name="Calculation 3 3 11 2 5" xfId="16285" xr:uid="{1B94F672-0E27-46C2-BBC5-35231D5ACEBF}"/>
    <cellStyle name="Calculation 3 3 11 2 6" xfId="16286" xr:uid="{9478C68A-6E98-422E-B93D-F4B2E6832BA8}"/>
    <cellStyle name="Calculation 3 3 11 3" xfId="16287" xr:uid="{5648E2E2-D7C5-40E1-83EC-954D317CBB06}"/>
    <cellStyle name="Calculation 3 3 11 4" xfId="16288" xr:uid="{8A9182FE-9DAF-4914-BDEF-83DD197C1FA6}"/>
    <cellStyle name="Calculation 3 3 11 5" xfId="16289" xr:uid="{09C0F7B0-5CC7-4EAD-84F2-D9A63917FDC6}"/>
    <cellStyle name="Calculation 3 3 11 6" xfId="16290" xr:uid="{40321F15-56EB-4865-B0D8-ECE6ADA61842}"/>
    <cellStyle name="Calculation 3 3 11 7" xfId="16291" xr:uid="{BE5EC37D-3B9F-40DC-852E-0A61F38A66B7}"/>
    <cellStyle name="Calculation 3 3 12" xfId="480" xr:uid="{CB622CAC-FB87-4A52-9732-17D549625E13}"/>
    <cellStyle name="Calculation 3 3 12 2" xfId="10802" xr:uid="{8EB6DE7F-EFFD-4D50-BBA9-ED686BEDF2CB}"/>
    <cellStyle name="Calculation 3 3 12 2 2" xfId="16292" xr:uid="{5C9C2B8B-77DF-4A21-9B35-47A5FA6D1692}"/>
    <cellStyle name="Calculation 3 3 12 2 3" xfId="16293" xr:uid="{E7F8F93E-0745-4B85-A70D-46029536AC69}"/>
    <cellStyle name="Calculation 3 3 12 2 4" xfId="16294" xr:uid="{1F9A6663-EA40-4894-BF2A-A84213166316}"/>
    <cellStyle name="Calculation 3 3 12 2 5" xfId="16295" xr:uid="{63222BD3-71A2-40F2-9533-95C9AB2B0AE3}"/>
    <cellStyle name="Calculation 3 3 12 2 6" xfId="16296" xr:uid="{241BBFEF-A199-482E-94AF-72F67AB45AA8}"/>
    <cellStyle name="Calculation 3 3 12 3" xfId="16297" xr:uid="{2FE03632-C128-453D-BCF5-DA7694A495FD}"/>
    <cellStyle name="Calculation 3 3 12 4" xfId="16298" xr:uid="{6EC0DF9C-FA03-4BD6-BB0C-1F93CA856A8B}"/>
    <cellStyle name="Calculation 3 3 12 5" xfId="16299" xr:uid="{762A5824-E549-461C-B756-B8E56D316B9E}"/>
    <cellStyle name="Calculation 3 3 12 6" xfId="16300" xr:uid="{4618811F-C9F9-429A-846A-2937FACF7A9F}"/>
    <cellStyle name="Calculation 3 3 12 7" xfId="16301" xr:uid="{05C02E1A-7B22-4F49-BC08-835FE2EF4799}"/>
    <cellStyle name="Calculation 3 3 13" xfId="481" xr:uid="{D65DC2DB-B472-4AC9-A232-0E19B8942727}"/>
    <cellStyle name="Calculation 3 3 13 2" xfId="10891" xr:uid="{C83DC507-6667-44B4-87D9-DC59DF520791}"/>
    <cellStyle name="Calculation 3 3 13 2 2" xfId="16302" xr:uid="{125E6790-1F9A-4E05-A9EA-0AC6B1AC6429}"/>
    <cellStyle name="Calculation 3 3 13 2 3" xfId="16303" xr:uid="{3DE0CD1E-D845-43C9-AE83-59CEE10DD47A}"/>
    <cellStyle name="Calculation 3 3 13 2 4" xfId="16304" xr:uid="{C7C34FA5-9C36-462D-9331-F7F9B4264CF0}"/>
    <cellStyle name="Calculation 3 3 13 2 5" xfId="16305" xr:uid="{F57D1975-9EC5-46B7-A612-6FA0AF15B776}"/>
    <cellStyle name="Calculation 3 3 13 2 6" xfId="16306" xr:uid="{77801A15-D548-4AA1-8AEA-93FF2C3A87C1}"/>
    <cellStyle name="Calculation 3 3 13 3" xfId="16307" xr:uid="{9E5F7F2E-22CD-41DC-95AA-28BA726CE316}"/>
    <cellStyle name="Calculation 3 3 13 4" xfId="16308" xr:uid="{6A993A14-F5EA-4423-8ABC-4F669F17D684}"/>
    <cellStyle name="Calculation 3 3 13 5" xfId="16309" xr:uid="{F2DF1099-17AD-469E-9B75-F75D06D7DA36}"/>
    <cellStyle name="Calculation 3 3 13 6" xfId="16310" xr:uid="{AF44082C-1007-4D84-9B32-82BD466E4765}"/>
    <cellStyle name="Calculation 3 3 13 7" xfId="16311" xr:uid="{32DF2A70-A3A5-4A32-82C5-8412272C2D4F}"/>
    <cellStyle name="Calculation 3 3 14" xfId="482" xr:uid="{508B3822-4B19-4A83-BB06-C012F5EC0450}"/>
    <cellStyle name="Calculation 3 3 14 2" xfId="10981" xr:uid="{E34D5AD3-AA1D-4E6A-9467-3EDB790C2315}"/>
    <cellStyle name="Calculation 3 3 14 2 2" xfId="16312" xr:uid="{064E23F7-4C30-4B3E-B00E-BC8A7BEB2E06}"/>
    <cellStyle name="Calculation 3 3 14 2 3" xfId="16313" xr:uid="{B2A1C158-5F0E-4BD5-936E-F9FEE0752D36}"/>
    <cellStyle name="Calculation 3 3 14 2 4" xfId="16314" xr:uid="{1C6C7218-6E6B-439F-BC64-430C3C33F91B}"/>
    <cellStyle name="Calculation 3 3 14 2 5" xfId="16315" xr:uid="{0B7250C9-AEE0-4B25-A1C0-29F3D2D5A6A9}"/>
    <cellStyle name="Calculation 3 3 14 2 6" xfId="16316" xr:uid="{B692014C-F2D7-4E6B-A09E-14612741440C}"/>
    <cellStyle name="Calculation 3 3 14 3" xfId="16317" xr:uid="{A68A0B25-33EA-442E-9D27-117EF7B676A4}"/>
    <cellStyle name="Calculation 3 3 14 4" xfId="16318" xr:uid="{8F7EB74D-F150-43ED-9ACC-10607A054D87}"/>
    <cellStyle name="Calculation 3 3 14 5" xfId="16319" xr:uid="{5E71AFC9-C7CE-4526-AB10-CFCCF725E84B}"/>
    <cellStyle name="Calculation 3 3 14 6" xfId="16320" xr:uid="{D9FA2D67-911D-4EC7-878B-0F08D530819D}"/>
    <cellStyle name="Calculation 3 3 14 7" xfId="16321" xr:uid="{59A1073F-4F28-4606-A1A1-9C38F61F26CD}"/>
    <cellStyle name="Calculation 3 3 15" xfId="483" xr:uid="{C4CC7385-05AF-4FB1-9C65-8B9AFE902E56}"/>
    <cellStyle name="Calculation 3 3 15 2" xfId="11072" xr:uid="{CED959BA-1EAB-4A98-9B0B-DEA0F7BF3710}"/>
    <cellStyle name="Calculation 3 3 15 2 2" xfId="16322" xr:uid="{024C6FC0-FCE2-4645-9EF1-3C47E9DC9D6F}"/>
    <cellStyle name="Calculation 3 3 15 2 3" xfId="16323" xr:uid="{3B0517F6-BA89-4976-8DF2-594DF3DC0B7C}"/>
    <cellStyle name="Calculation 3 3 15 2 4" xfId="16324" xr:uid="{84BBF22D-5E23-4DB7-9DB0-A818E0283D48}"/>
    <cellStyle name="Calculation 3 3 15 2 5" xfId="16325" xr:uid="{25D837CC-A5AD-43FB-A395-D56EEBF7B96D}"/>
    <cellStyle name="Calculation 3 3 15 2 6" xfId="16326" xr:uid="{ECC570D6-C534-4F23-BFEC-9045B43BF49A}"/>
    <cellStyle name="Calculation 3 3 15 3" xfId="16327" xr:uid="{9C469F74-01CB-495F-9B61-51B98B1D5333}"/>
    <cellStyle name="Calculation 3 3 15 4" xfId="16328" xr:uid="{38728379-F56C-42B2-89D5-E3568EF6620A}"/>
    <cellStyle name="Calculation 3 3 15 5" xfId="16329" xr:uid="{DDC09393-AE16-4C78-A7D3-CFA54A152ED7}"/>
    <cellStyle name="Calculation 3 3 15 6" xfId="16330" xr:uid="{48E8419B-1720-42E7-BE18-719C2E2DEACA}"/>
    <cellStyle name="Calculation 3 3 15 7" xfId="16331" xr:uid="{7C21383B-A9AD-4DE9-B25F-93B02D3DFB82}"/>
    <cellStyle name="Calculation 3 3 16" xfId="484" xr:uid="{DE694813-6130-499D-A390-6D1BD98F213E}"/>
    <cellStyle name="Calculation 3 3 16 2" xfId="11155" xr:uid="{27EA22FB-67B3-4255-99DB-8D1D3781F776}"/>
    <cellStyle name="Calculation 3 3 16 2 2" xfId="16332" xr:uid="{D404B369-D41E-47CB-AA44-22F83A3282AB}"/>
    <cellStyle name="Calculation 3 3 16 2 3" xfId="16333" xr:uid="{2176A59D-F2CE-4DAB-986F-9A93EE020BDD}"/>
    <cellStyle name="Calculation 3 3 16 2 4" xfId="16334" xr:uid="{22AA6C45-DFE7-4A60-A9DC-5013FFAB312C}"/>
    <cellStyle name="Calculation 3 3 16 2 5" xfId="16335" xr:uid="{4E88751D-739B-4CFE-BF70-66E9353768EF}"/>
    <cellStyle name="Calculation 3 3 16 2 6" xfId="16336" xr:uid="{D5FB7783-5D6C-48E4-82A5-72BF32B4C595}"/>
    <cellStyle name="Calculation 3 3 16 3" xfId="16337" xr:uid="{16A326EE-F670-4EE4-9FC2-765B3804988D}"/>
    <cellStyle name="Calculation 3 3 16 4" xfId="16338" xr:uid="{9513D714-0D54-4046-B8C1-CF64A66613B0}"/>
    <cellStyle name="Calculation 3 3 16 5" xfId="16339" xr:uid="{FE6F022A-420B-496C-9C37-01922F5D9D49}"/>
    <cellStyle name="Calculation 3 3 16 6" xfId="16340" xr:uid="{FAD37C0B-EA5A-44A5-96F7-9A17C494939F}"/>
    <cellStyle name="Calculation 3 3 16 7" xfId="16341" xr:uid="{29F91515-A08D-4339-925E-845395545887}"/>
    <cellStyle name="Calculation 3 3 17" xfId="485" xr:uid="{A1F81560-B869-4FE3-BDDF-5C319D5AD1FD}"/>
    <cellStyle name="Calculation 3 3 17 2" xfId="11245" xr:uid="{FE5C5735-5EF3-436D-BE7F-7214037D8B2D}"/>
    <cellStyle name="Calculation 3 3 17 2 2" xfId="16342" xr:uid="{12A2B63D-6835-407D-84B2-56551BA8A45D}"/>
    <cellStyle name="Calculation 3 3 17 2 3" xfId="16343" xr:uid="{52C5756A-F821-487C-A649-6A097DD7AF8E}"/>
    <cellStyle name="Calculation 3 3 17 2 4" xfId="16344" xr:uid="{7A5B6F06-3229-4B31-9A82-38E25BD41C67}"/>
    <cellStyle name="Calculation 3 3 17 2 5" xfId="16345" xr:uid="{67B52B8E-BF88-41AE-A157-80877E45FDC1}"/>
    <cellStyle name="Calculation 3 3 17 2 6" xfId="16346" xr:uid="{C48166C6-5ECF-48FF-A7EB-45C0A1A898DD}"/>
    <cellStyle name="Calculation 3 3 17 3" xfId="16347" xr:uid="{B1601DE5-0ED0-4B74-A384-C4AA3BA96D2B}"/>
    <cellStyle name="Calculation 3 3 17 4" xfId="16348" xr:uid="{26638410-5C2F-453B-B3F4-C30F76E69EF8}"/>
    <cellStyle name="Calculation 3 3 17 5" xfId="16349" xr:uid="{445E5CF3-629B-48A6-BC08-90921781D3B3}"/>
    <cellStyle name="Calculation 3 3 17 6" xfId="16350" xr:uid="{AE9C92B1-920D-4618-888B-102F1E791F78}"/>
    <cellStyle name="Calculation 3 3 17 7" xfId="16351" xr:uid="{656591DD-C0F6-4631-A0F8-1E76EE5DE3D1}"/>
    <cellStyle name="Calculation 3 3 18" xfId="486" xr:uid="{7DB0F899-C5A5-4600-87D4-FDDD6E39C6C0}"/>
    <cellStyle name="Calculation 3 3 18 2" xfId="11331" xr:uid="{3E1BFF1F-0A8C-4C9D-AD42-E70B9C694D9C}"/>
    <cellStyle name="Calculation 3 3 18 2 2" xfId="16352" xr:uid="{04E082C5-D3C0-4A1E-AD16-033B6CD6B485}"/>
    <cellStyle name="Calculation 3 3 18 2 3" xfId="16353" xr:uid="{D0A24A18-1151-400F-96CE-40BA81630894}"/>
    <cellStyle name="Calculation 3 3 18 2 4" xfId="16354" xr:uid="{68C555C3-CCE2-4A81-8C47-86ABC28F3205}"/>
    <cellStyle name="Calculation 3 3 18 2 5" xfId="16355" xr:uid="{102D4353-68E2-4FAA-AF10-9FED78E31017}"/>
    <cellStyle name="Calculation 3 3 18 2 6" xfId="16356" xr:uid="{C2C90FB7-4918-40E4-84B1-7318ECD600AA}"/>
    <cellStyle name="Calculation 3 3 18 3" xfId="16357" xr:uid="{6ACB8964-C231-4E65-897B-8F687728B61F}"/>
    <cellStyle name="Calculation 3 3 18 4" xfId="16358" xr:uid="{A5F85718-1BB6-4D5A-B72D-4616800CE428}"/>
    <cellStyle name="Calculation 3 3 18 5" xfId="16359" xr:uid="{090438CC-6835-4659-A160-23BB85B4205D}"/>
    <cellStyle name="Calculation 3 3 18 6" xfId="16360" xr:uid="{B7C0CED1-B6C9-412B-BD02-1B30D3B5DF49}"/>
    <cellStyle name="Calculation 3 3 18 7" xfId="16361" xr:uid="{8D65255A-6697-4F74-8402-C89EE10BB395}"/>
    <cellStyle name="Calculation 3 3 19" xfId="487" xr:uid="{B672069C-29EA-4366-BAB8-62D10B6FB991}"/>
    <cellStyle name="Calculation 3 3 19 2" xfId="11417" xr:uid="{AFCB1AFA-D0D9-42D6-A1F0-8DDE5616D730}"/>
    <cellStyle name="Calculation 3 3 19 2 2" xfId="16362" xr:uid="{8D3C2748-FCD5-4663-85E6-78A6D8072419}"/>
    <cellStyle name="Calculation 3 3 19 2 3" xfId="16363" xr:uid="{CA36E2A4-3F8B-468D-B58B-579AF7B39925}"/>
    <cellStyle name="Calculation 3 3 19 2 4" xfId="16364" xr:uid="{998534D7-F9E0-4EE5-BFF6-6FC033097F46}"/>
    <cellStyle name="Calculation 3 3 19 2 5" xfId="16365" xr:uid="{B7D7C07A-EB41-4931-A43E-8D296EA68490}"/>
    <cellStyle name="Calculation 3 3 19 2 6" xfId="16366" xr:uid="{EDDDBE28-E27A-4AB4-83BE-9BE08CFB2D76}"/>
    <cellStyle name="Calculation 3 3 19 3" xfId="16367" xr:uid="{071E6A5B-78A1-47E5-B39D-FCFFC53E4A9D}"/>
    <cellStyle name="Calculation 3 3 19 4" xfId="16368" xr:uid="{5FEF0936-02E2-45A6-8D13-3566359565D3}"/>
    <cellStyle name="Calculation 3 3 19 5" xfId="16369" xr:uid="{6C2C4827-D59A-4E0C-93BB-B9665459EF96}"/>
    <cellStyle name="Calculation 3 3 19 6" xfId="16370" xr:uid="{A7F65FA2-C00F-4945-9AC7-F62D561F3355}"/>
    <cellStyle name="Calculation 3 3 19 7" xfId="16371" xr:uid="{7F6D3F2D-9CF9-42B5-B49C-37686E95D962}"/>
    <cellStyle name="Calculation 3 3 2" xfId="488" xr:uid="{4378549B-76E2-4769-8E6F-FE78DF05FE73}"/>
    <cellStyle name="Calculation 3 3 2 10" xfId="489" xr:uid="{CD377917-29EE-475B-A9A5-3CD629B03A15}"/>
    <cellStyle name="Calculation 3 3 2 10 2" xfId="10748" xr:uid="{CF867398-FD81-4031-A196-9B3297A18B92}"/>
    <cellStyle name="Calculation 3 3 2 10 2 2" xfId="16372" xr:uid="{EDBDBC4B-70B2-469C-B8C1-D8A167195C62}"/>
    <cellStyle name="Calculation 3 3 2 10 2 3" xfId="16373" xr:uid="{7F30D32A-293F-4DEE-AACB-8401387CDD8D}"/>
    <cellStyle name="Calculation 3 3 2 10 2 4" xfId="16374" xr:uid="{D88A8EAA-E4C7-41CE-A9B0-F9846B384141}"/>
    <cellStyle name="Calculation 3 3 2 10 2 5" xfId="16375" xr:uid="{A6FD3CCB-C537-430D-B4AA-FC77B623BAD4}"/>
    <cellStyle name="Calculation 3 3 2 10 2 6" xfId="16376" xr:uid="{80715734-8192-4F18-9F81-E3D3DDD59B7E}"/>
    <cellStyle name="Calculation 3 3 2 10 3" xfId="16377" xr:uid="{8FF3E718-A623-4F88-9D12-B644A930E9CB}"/>
    <cellStyle name="Calculation 3 3 2 10 4" xfId="16378" xr:uid="{2026F893-D2BF-455F-8F3A-0FE1375709FD}"/>
    <cellStyle name="Calculation 3 3 2 10 5" xfId="16379" xr:uid="{BBA16378-4E11-405C-957F-921831C717C5}"/>
    <cellStyle name="Calculation 3 3 2 10 6" xfId="16380" xr:uid="{4C74B03D-46EF-4A2A-BE68-569DD55E229D}"/>
    <cellStyle name="Calculation 3 3 2 10 7" xfId="16381" xr:uid="{A2C445E0-AC3F-434A-A8DD-A3B5BFE572A7}"/>
    <cellStyle name="Calculation 3 3 2 11" xfId="490" xr:uid="{5FBBFA51-D9CB-4D15-8869-4C9222E038D7}"/>
    <cellStyle name="Calculation 3 3 2 11 2" xfId="10836" xr:uid="{B9F6E121-4A31-4AEE-8654-8C34516D0945}"/>
    <cellStyle name="Calculation 3 3 2 11 2 2" xfId="16382" xr:uid="{67326B20-E026-43AC-8C5C-E7B2347AD049}"/>
    <cellStyle name="Calculation 3 3 2 11 2 3" xfId="16383" xr:uid="{405A3F82-4867-40D4-B392-073F3868F257}"/>
    <cellStyle name="Calculation 3 3 2 11 2 4" xfId="16384" xr:uid="{7CE4FC40-9006-49ED-8456-2A70ED20A217}"/>
    <cellStyle name="Calculation 3 3 2 11 2 5" xfId="16385" xr:uid="{C168030F-F44A-4C33-BC91-36280ABCAF6A}"/>
    <cellStyle name="Calculation 3 3 2 11 2 6" xfId="16386" xr:uid="{1AC7EEB7-D480-4F5A-AE94-E58056D1AA4B}"/>
    <cellStyle name="Calculation 3 3 2 11 3" xfId="16387" xr:uid="{F8E3F7BA-6A3B-4FE2-B72D-A55B5E857194}"/>
    <cellStyle name="Calculation 3 3 2 11 4" xfId="16388" xr:uid="{A205D985-D206-4ECC-944C-5F7CAE5A5867}"/>
    <cellStyle name="Calculation 3 3 2 11 5" xfId="16389" xr:uid="{64062A82-2A86-4B2C-81B9-CDCB90ECABD4}"/>
    <cellStyle name="Calculation 3 3 2 11 6" xfId="16390" xr:uid="{65970401-3116-42D8-A199-8EC49F5B77B2}"/>
    <cellStyle name="Calculation 3 3 2 11 7" xfId="16391" xr:uid="{8DAE7F8A-E696-4069-A92D-709A43267E23}"/>
    <cellStyle name="Calculation 3 3 2 12" xfId="491" xr:uid="{A808E13F-A156-4DDD-A4F0-E93A2B07D9A7}"/>
    <cellStyle name="Calculation 3 3 2 12 2" xfId="10925" xr:uid="{29E3A4D1-51E6-4F62-A348-045B2155D2CB}"/>
    <cellStyle name="Calculation 3 3 2 12 2 2" xfId="16392" xr:uid="{C205D90A-6A0D-4C79-9A65-A85DE2D85FA3}"/>
    <cellStyle name="Calculation 3 3 2 12 2 3" xfId="16393" xr:uid="{C08AC925-C5B4-443C-A741-CFAA125E15F4}"/>
    <cellStyle name="Calculation 3 3 2 12 2 4" xfId="16394" xr:uid="{A0263446-11CC-4BCD-9DD6-98F1F59B0245}"/>
    <cellStyle name="Calculation 3 3 2 12 2 5" xfId="16395" xr:uid="{30ABDE66-6425-4B75-B017-91D33C45DD9F}"/>
    <cellStyle name="Calculation 3 3 2 12 2 6" xfId="16396" xr:uid="{4C7806C8-D293-42DC-8286-9A845C60B860}"/>
    <cellStyle name="Calculation 3 3 2 12 3" xfId="16397" xr:uid="{7A793412-AEC8-4C71-A66B-963D4FF0CB7C}"/>
    <cellStyle name="Calculation 3 3 2 12 4" xfId="16398" xr:uid="{76DC727F-B908-42F7-BA96-35F947AC6377}"/>
    <cellStyle name="Calculation 3 3 2 12 5" xfId="16399" xr:uid="{22FEC213-1F45-4043-84D3-688CF29128D3}"/>
    <cellStyle name="Calculation 3 3 2 12 6" xfId="16400" xr:uid="{4481F050-BB7A-4331-A019-69A84483F81B}"/>
    <cellStyle name="Calculation 3 3 2 12 7" xfId="16401" xr:uid="{3C4F07C4-3D61-4A55-98A5-FF3B5DADF20F}"/>
    <cellStyle name="Calculation 3 3 2 13" xfId="492" xr:uid="{E1736BBE-7E7F-4A13-80F1-75A8BF1C800F}"/>
    <cellStyle name="Calculation 3 3 2 13 2" xfId="11015" xr:uid="{3B465740-DEA9-4F4B-B031-6A947FCAF731}"/>
    <cellStyle name="Calculation 3 3 2 13 2 2" xfId="16402" xr:uid="{0C3735E1-6614-47E8-A342-FECA91F59764}"/>
    <cellStyle name="Calculation 3 3 2 13 2 3" xfId="16403" xr:uid="{00E9A4F0-BEB9-410C-A4F1-09C648B62095}"/>
    <cellStyle name="Calculation 3 3 2 13 2 4" xfId="16404" xr:uid="{23B59F91-1A05-4DA2-8F21-82E3B6276898}"/>
    <cellStyle name="Calculation 3 3 2 13 2 5" xfId="16405" xr:uid="{4AD21511-1D3A-4F3F-ACB3-F459B6E9214F}"/>
    <cellStyle name="Calculation 3 3 2 13 2 6" xfId="16406" xr:uid="{14E755B2-E5F6-4CBF-B12D-C05A59F613FC}"/>
    <cellStyle name="Calculation 3 3 2 13 3" xfId="16407" xr:uid="{3AF6B482-3AEF-4FD7-BAEF-DD4448A7E6E6}"/>
    <cellStyle name="Calculation 3 3 2 13 4" xfId="16408" xr:uid="{17C1A20F-96D3-4B6E-BE09-48719B5E93F4}"/>
    <cellStyle name="Calculation 3 3 2 13 5" xfId="16409" xr:uid="{9E20B080-124C-4F2A-A669-4A60E2CE8015}"/>
    <cellStyle name="Calculation 3 3 2 13 6" xfId="16410" xr:uid="{233CB0D0-113D-4873-A887-5B99ABE7BCD8}"/>
    <cellStyle name="Calculation 3 3 2 13 7" xfId="16411" xr:uid="{BFA0246C-43A6-40D3-BC1B-7DAD7B181CE5}"/>
    <cellStyle name="Calculation 3 3 2 14" xfId="493" xr:uid="{A6CEE393-AE9F-4E5A-9C90-7F07E2486A4B}"/>
    <cellStyle name="Calculation 3 3 2 14 2" xfId="11105" xr:uid="{67A57080-6125-48E1-9507-6914B34CF730}"/>
    <cellStyle name="Calculation 3 3 2 14 2 2" xfId="16412" xr:uid="{F778C141-BA92-41FA-9185-E616C6365EDB}"/>
    <cellStyle name="Calculation 3 3 2 14 2 3" xfId="16413" xr:uid="{BD5D09BF-A58D-451B-8A6C-A0BDA9436589}"/>
    <cellStyle name="Calculation 3 3 2 14 2 4" xfId="16414" xr:uid="{B2DC16F5-01C8-48F2-8511-D796823DA15D}"/>
    <cellStyle name="Calculation 3 3 2 14 2 5" xfId="16415" xr:uid="{75F73C33-B84E-4C33-B5DC-B553DA0CEDEB}"/>
    <cellStyle name="Calculation 3 3 2 14 2 6" xfId="16416" xr:uid="{91303771-AE50-4964-BFC9-00353B02D46A}"/>
    <cellStyle name="Calculation 3 3 2 14 3" xfId="16417" xr:uid="{557522D9-C1D3-4E7A-8687-AA1B901FA828}"/>
    <cellStyle name="Calculation 3 3 2 14 4" xfId="16418" xr:uid="{1D53BF8F-18AA-4798-8D5F-D026CCCA3DCB}"/>
    <cellStyle name="Calculation 3 3 2 14 5" xfId="16419" xr:uid="{7305A3E2-D9B6-4D3F-88F7-FA6D361DFA61}"/>
    <cellStyle name="Calculation 3 3 2 14 6" xfId="16420" xr:uid="{CFEB0C32-EE8B-4C04-BD86-D2C0634E911B}"/>
    <cellStyle name="Calculation 3 3 2 14 7" xfId="16421" xr:uid="{39A49D2F-064D-4C5D-93E1-DE2FC0388ED1}"/>
    <cellStyle name="Calculation 3 3 2 15" xfId="494" xr:uid="{C2637D3A-75AA-44D8-8D67-4462A88DE89A}"/>
    <cellStyle name="Calculation 3 3 2 15 2" xfId="11188" xr:uid="{51CEA817-2EA8-4065-B819-C15578723FCF}"/>
    <cellStyle name="Calculation 3 3 2 15 2 2" xfId="16422" xr:uid="{6ED8F02C-3EE6-4BE7-B482-47C4A566A555}"/>
    <cellStyle name="Calculation 3 3 2 15 2 3" xfId="16423" xr:uid="{43C0B706-1942-4E6B-80EB-3A17B0CE01F9}"/>
    <cellStyle name="Calculation 3 3 2 15 2 4" xfId="16424" xr:uid="{5C09849D-22AB-49B0-9B3A-775396F32009}"/>
    <cellStyle name="Calculation 3 3 2 15 2 5" xfId="16425" xr:uid="{673A3FD3-E4EE-470E-BAD5-F2978E9116C3}"/>
    <cellStyle name="Calculation 3 3 2 15 2 6" xfId="16426" xr:uid="{5377E67C-9FA9-4BFF-9E87-947883C8BE12}"/>
    <cellStyle name="Calculation 3 3 2 15 3" xfId="16427" xr:uid="{749E596C-5A02-435C-ADA5-77D06650260E}"/>
    <cellStyle name="Calculation 3 3 2 15 4" xfId="16428" xr:uid="{90A4F451-B7B6-4FA6-98D3-54B278549B38}"/>
    <cellStyle name="Calculation 3 3 2 15 5" xfId="16429" xr:uid="{F2CE2F79-B412-49E0-905F-3FC40C933DAE}"/>
    <cellStyle name="Calculation 3 3 2 15 6" xfId="16430" xr:uid="{D7B6C3D3-9FB3-4970-9177-672971CD13CE}"/>
    <cellStyle name="Calculation 3 3 2 15 7" xfId="16431" xr:uid="{6337BB25-5488-4FBD-AB64-C38867E8E577}"/>
    <cellStyle name="Calculation 3 3 2 16" xfId="495" xr:uid="{E07F988C-9459-4304-BA22-33B8BBE66761}"/>
    <cellStyle name="Calculation 3 3 2 16 2" xfId="11278" xr:uid="{79AD567F-57B4-4807-B2C8-A28A9096C673}"/>
    <cellStyle name="Calculation 3 3 2 16 2 2" xfId="16432" xr:uid="{E3428A28-60B7-42A3-9D8E-59290DA5E89B}"/>
    <cellStyle name="Calculation 3 3 2 16 2 3" xfId="16433" xr:uid="{782C4239-5F33-40B8-8AFD-E4AD686F765F}"/>
    <cellStyle name="Calculation 3 3 2 16 2 4" xfId="16434" xr:uid="{67CBA240-50C8-48FB-97CF-420F3FCD1695}"/>
    <cellStyle name="Calculation 3 3 2 16 2 5" xfId="16435" xr:uid="{1DF90678-E25A-4A52-A22C-EBAB11CBD56C}"/>
    <cellStyle name="Calculation 3 3 2 16 2 6" xfId="16436" xr:uid="{1027EB92-C4D6-49EA-9620-CB12B99720E9}"/>
    <cellStyle name="Calculation 3 3 2 16 3" xfId="16437" xr:uid="{B7A75F40-5D68-4CF4-AC8B-D7B9DDA7E526}"/>
    <cellStyle name="Calculation 3 3 2 16 4" xfId="16438" xr:uid="{C2F38F71-7CF5-41E8-9DF7-AFF6E38FCD83}"/>
    <cellStyle name="Calculation 3 3 2 16 5" xfId="16439" xr:uid="{BF10861F-71E8-4F0D-9813-3FBFCDD27829}"/>
    <cellStyle name="Calculation 3 3 2 16 6" xfId="16440" xr:uid="{BBA1C3BD-7A42-4763-AF44-354F7824B15D}"/>
    <cellStyle name="Calculation 3 3 2 16 7" xfId="16441" xr:uid="{2159DCE3-7913-4026-AD50-C484FADDA062}"/>
    <cellStyle name="Calculation 3 3 2 17" xfId="496" xr:uid="{3ED758B4-DF33-404B-A7BA-82494FC8F995}"/>
    <cellStyle name="Calculation 3 3 2 17 2" xfId="11364" xr:uid="{9E3293FD-6757-4753-8A3D-B5DCA5E869D5}"/>
    <cellStyle name="Calculation 3 3 2 17 2 2" xfId="16442" xr:uid="{A24C7BE7-DA59-4062-8A69-8F4C1A1F3AC5}"/>
    <cellStyle name="Calculation 3 3 2 17 2 3" xfId="16443" xr:uid="{E9E8ACEB-46D3-4557-91C0-9E1B2143AF4D}"/>
    <cellStyle name="Calculation 3 3 2 17 2 4" xfId="16444" xr:uid="{501615A7-146C-41FB-8604-BEA8EA4D438F}"/>
    <cellStyle name="Calculation 3 3 2 17 2 5" xfId="16445" xr:uid="{7D917C74-4DC3-43D4-BC5C-2842EC513B95}"/>
    <cellStyle name="Calculation 3 3 2 17 2 6" xfId="16446" xr:uid="{FE9B429A-EBD0-4E5B-A683-5334A89D2214}"/>
    <cellStyle name="Calculation 3 3 2 17 3" xfId="16447" xr:uid="{3AC5A1A7-BD0B-4FBC-9940-65CC48CDE6A0}"/>
    <cellStyle name="Calculation 3 3 2 17 4" xfId="16448" xr:uid="{DABBB4EA-49C9-4D36-A90F-D022F0DC627A}"/>
    <cellStyle name="Calculation 3 3 2 17 5" xfId="16449" xr:uid="{74317E86-AD1F-493B-9EB0-710651043103}"/>
    <cellStyle name="Calculation 3 3 2 17 6" xfId="16450" xr:uid="{12044D9D-2709-4F2E-9A5D-08B2F49CC83B}"/>
    <cellStyle name="Calculation 3 3 2 17 7" xfId="16451" xr:uid="{914418D3-9EAF-4C3C-B1C4-BB2D9C649956}"/>
    <cellStyle name="Calculation 3 3 2 18" xfId="497" xr:uid="{5424B2C6-8558-4013-80F8-D930E6394421}"/>
    <cellStyle name="Calculation 3 3 2 18 2" xfId="11451" xr:uid="{0AA10738-879D-4E42-A870-76902D3FB346}"/>
    <cellStyle name="Calculation 3 3 2 18 2 2" xfId="16452" xr:uid="{C86BC157-E469-4109-8DFF-7CC62204726B}"/>
    <cellStyle name="Calculation 3 3 2 18 2 3" xfId="16453" xr:uid="{35B7A25D-26B9-4DE9-8FFA-994FAA502DAE}"/>
    <cellStyle name="Calculation 3 3 2 18 2 4" xfId="16454" xr:uid="{C5C7EE00-F8BB-44FE-B7B6-D3181C75B0A3}"/>
    <cellStyle name="Calculation 3 3 2 18 2 5" xfId="16455" xr:uid="{24A4136E-11D4-4353-AB37-90C03D2A5622}"/>
    <cellStyle name="Calculation 3 3 2 18 2 6" xfId="16456" xr:uid="{66D0A82D-E4E5-4182-99A7-51DA47B3F0DF}"/>
    <cellStyle name="Calculation 3 3 2 18 3" xfId="16457" xr:uid="{02661AF1-05C4-45B2-9F13-1ABFCA4CAB86}"/>
    <cellStyle name="Calculation 3 3 2 18 4" xfId="16458" xr:uid="{E255DF65-5C9A-48F9-AE5E-7D76A194288C}"/>
    <cellStyle name="Calculation 3 3 2 18 5" xfId="16459" xr:uid="{DD55E9FB-1DBA-4AA9-852C-3A5AD2AE08DE}"/>
    <cellStyle name="Calculation 3 3 2 18 6" xfId="16460" xr:uid="{45EE5788-BE03-4A69-A898-5FCBB1900258}"/>
    <cellStyle name="Calculation 3 3 2 18 7" xfId="16461" xr:uid="{9037D5FC-43FB-48EF-901B-C0EFF507AC66}"/>
    <cellStyle name="Calculation 3 3 2 19" xfId="498" xr:uid="{A269BDB1-5452-4326-9C37-EAC5F9C22861}"/>
    <cellStyle name="Calculation 3 3 2 19 2" xfId="11538" xr:uid="{5A9A628C-8131-4412-B6F4-0CB2C37AC99E}"/>
    <cellStyle name="Calculation 3 3 2 19 2 2" xfId="16462" xr:uid="{1A596B6E-54B3-4B55-BFE9-7FC74CC97CBE}"/>
    <cellStyle name="Calculation 3 3 2 19 2 3" xfId="16463" xr:uid="{BB168A66-4113-420F-B099-C40D12DC36FB}"/>
    <cellStyle name="Calculation 3 3 2 19 2 4" xfId="16464" xr:uid="{E4B42E73-9B9A-4B3E-86D6-F5DA8F9C5A14}"/>
    <cellStyle name="Calculation 3 3 2 19 2 5" xfId="16465" xr:uid="{D1974EB8-FC6C-44BA-98C8-25660DA37F71}"/>
    <cellStyle name="Calculation 3 3 2 19 2 6" xfId="16466" xr:uid="{1B91DADF-A997-484A-A9AE-747A7DE076E4}"/>
    <cellStyle name="Calculation 3 3 2 19 3" xfId="16467" xr:uid="{B3EB9718-AFE1-4A94-97A2-B71DD6154DC8}"/>
    <cellStyle name="Calculation 3 3 2 19 4" xfId="16468" xr:uid="{CF41948F-9B9C-499F-B138-7833570223A4}"/>
    <cellStyle name="Calculation 3 3 2 19 5" xfId="16469" xr:uid="{E90D1DA1-C4E8-4315-AF9C-A923677DDCBC}"/>
    <cellStyle name="Calculation 3 3 2 19 6" xfId="16470" xr:uid="{F1B0A2D2-4123-4E3A-A7B4-645AD9C8B14F}"/>
    <cellStyle name="Calculation 3 3 2 19 7" xfId="16471" xr:uid="{F0855C00-58E3-4325-A308-EFAAFC9D7E97}"/>
    <cellStyle name="Calculation 3 3 2 2" xfId="499" xr:uid="{6F3E7C0D-3C90-4761-BCDA-60771282465A}"/>
    <cellStyle name="Calculation 3 3 2 2 2" xfId="10045" xr:uid="{58890A1C-40F1-484F-B582-01F58E323D49}"/>
    <cellStyle name="Calculation 3 3 2 2 2 2" xfId="16472" xr:uid="{2ECBE2B2-B30A-4B7C-85DD-9B400FF8104A}"/>
    <cellStyle name="Calculation 3 3 2 2 2 3" xfId="16473" xr:uid="{D00EF5CC-6D76-46CA-AF25-240D2F36BF8E}"/>
    <cellStyle name="Calculation 3 3 2 2 2 4" xfId="16474" xr:uid="{1AF98D89-EC1C-4221-8F36-DD82F42DE27E}"/>
    <cellStyle name="Calculation 3 3 2 2 2 5" xfId="16475" xr:uid="{B122968C-DB4D-485E-8690-1F6B8650FF87}"/>
    <cellStyle name="Calculation 3 3 2 2 2 6" xfId="16476" xr:uid="{D4DDDB52-933E-4092-A47E-BFFEF077B11D}"/>
    <cellStyle name="Calculation 3 3 2 2 3" xfId="16477" xr:uid="{8ED0B7BE-AA03-4E9F-A78D-43DB6CB5D3FF}"/>
    <cellStyle name="Calculation 3 3 2 2 4" xfId="16478" xr:uid="{A9436D63-8A40-4832-9470-373283B21C67}"/>
    <cellStyle name="Calculation 3 3 2 2 5" xfId="16479" xr:uid="{40BBC9B6-9738-43C6-BB79-82BDAB4D4B30}"/>
    <cellStyle name="Calculation 3 3 2 2 6" xfId="16480" xr:uid="{F6F8BA4A-E0E4-42CA-BFC9-BC4EB9D9AD76}"/>
    <cellStyle name="Calculation 3 3 2 2 7" xfId="16481" xr:uid="{A560D7B5-6BC8-4650-88E8-B32E4E565529}"/>
    <cellStyle name="Calculation 3 3 2 20" xfId="500" xr:uid="{C89B891D-3001-4904-B47F-411E40C0BCC6}"/>
    <cellStyle name="Calculation 3 3 2 20 2" xfId="11626" xr:uid="{5FFEA1DC-7511-4C7D-9E4F-D453DE835BA3}"/>
    <cellStyle name="Calculation 3 3 2 20 2 2" xfId="16482" xr:uid="{D37D816F-ECBF-46AD-8568-BD6B5AE915A9}"/>
    <cellStyle name="Calculation 3 3 2 20 2 3" xfId="16483" xr:uid="{04FB55ED-AC61-4288-8158-66AB28AFBD8F}"/>
    <cellStyle name="Calculation 3 3 2 20 2 4" xfId="16484" xr:uid="{9E163B38-864E-41B6-A221-F2962CAD4EAA}"/>
    <cellStyle name="Calculation 3 3 2 20 2 5" xfId="16485" xr:uid="{357320B0-00D1-4814-9868-0CA920DD47AF}"/>
    <cellStyle name="Calculation 3 3 2 20 2 6" xfId="16486" xr:uid="{9CA61A47-B4F4-4267-BA65-6A90AF7BA111}"/>
    <cellStyle name="Calculation 3 3 2 20 3" xfId="16487" xr:uid="{342DC176-E28F-49A4-A070-5D7FEA24B7A5}"/>
    <cellStyle name="Calculation 3 3 2 20 4" xfId="16488" xr:uid="{16C35509-4778-4BC0-A9CA-C34ADB5BE73E}"/>
    <cellStyle name="Calculation 3 3 2 20 5" xfId="16489" xr:uid="{10BCAF0C-687F-431B-A630-B053DDD84A94}"/>
    <cellStyle name="Calculation 3 3 2 20 6" xfId="16490" xr:uid="{05A5AD9C-FF76-43E9-9DCB-2EAEEBD433E3}"/>
    <cellStyle name="Calculation 3 3 2 20 7" xfId="16491" xr:uid="{E3CDFD99-FA34-409A-81EF-3DE449C22D8F}"/>
    <cellStyle name="Calculation 3 3 2 21" xfId="501" xr:uid="{D2CCE438-E842-4B3F-8E5B-A754B87BA9DB}"/>
    <cellStyle name="Calculation 3 3 2 21 2" xfId="11710" xr:uid="{4A9A6856-2358-45A1-9692-7EB4644B0E09}"/>
    <cellStyle name="Calculation 3 3 2 21 2 2" xfId="16492" xr:uid="{B8D9B2A4-80D0-4634-B4E3-13A58B195CCD}"/>
    <cellStyle name="Calculation 3 3 2 21 2 3" xfId="16493" xr:uid="{42CDBCF1-2738-4998-A6E1-79B3225AD977}"/>
    <cellStyle name="Calculation 3 3 2 21 2 4" xfId="16494" xr:uid="{1109FBD8-AABA-4F4A-93AF-28363FDD213A}"/>
    <cellStyle name="Calculation 3 3 2 21 2 5" xfId="16495" xr:uid="{9AF077E7-0713-44E2-B4D7-7418D7F8EBAF}"/>
    <cellStyle name="Calculation 3 3 2 21 2 6" xfId="16496" xr:uid="{9895583B-F4E9-4A59-B521-7604F74E5783}"/>
    <cellStyle name="Calculation 3 3 2 21 3" xfId="16497" xr:uid="{FF6956F1-826E-4CFF-B9FE-FED306BA2DC3}"/>
    <cellStyle name="Calculation 3 3 2 21 4" xfId="16498" xr:uid="{428F9B7A-04EE-48C2-BFF0-981EC63343DE}"/>
    <cellStyle name="Calculation 3 3 2 21 5" xfId="16499" xr:uid="{B16ED906-2896-4C39-B414-7FF4AD6D4E06}"/>
    <cellStyle name="Calculation 3 3 2 21 6" xfId="16500" xr:uid="{F093F0D7-CB7F-4CD9-9F5F-BBC2BCEF01C8}"/>
    <cellStyle name="Calculation 3 3 2 21 7" xfId="16501" xr:uid="{02DD1942-95E1-421A-AC56-3EB2D96106AA}"/>
    <cellStyle name="Calculation 3 3 2 22" xfId="502" xr:uid="{61DD4745-779E-406E-8E01-1E8B074864BA}"/>
    <cellStyle name="Calculation 3 3 2 22 2" xfId="11793" xr:uid="{CB0CEE9A-C20A-404E-AA8F-3F019A41E1E6}"/>
    <cellStyle name="Calculation 3 3 2 22 2 2" xfId="16502" xr:uid="{44057781-68AE-4405-8BBE-08C857461789}"/>
    <cellStyle name="Calculation 3 3 2 22 2 3" xfId="16503" xr:uid="{F60AEABE-E92D-49E9-8945-505F9EC614B9}"/>
    <cellStyle name="Calculation 3 3 2 22 2 4" xfId="16504" xr:uid="{D0A95396-5406-4A4C-B49F-DA00CCA08DD3}"/>
    <cellStyle name="Calculation 3 3 2 22 2 5" xfId="16505" xr:uid="{1BF55E4E-5F5E-498E-B2C8-5C4300A45A08}"/>
    <cellStyle name="Calculation 3 3 2 22 2 6" xfId="16506" xr:uid="{8CA2958B-6AA7-4AFD-A76B-786D45EBE4E3}"/>
    <cellStyle name="Calculation 3 3 2 22 3" xfId="16507" xr:uid="{FF8A69B7-0A12-4D39-9035-E4493EEB181C}"/>
    <cellStyle name="Calculation 3 3 2 22 4" xfId="16508" xr:uid="{B3C001A4-06B9-4387-888E-C1C022DFD8AB}"/>
    <cellStyle name="Calculation 3 3 2 22 5" xfId="16509" xr:uid="{9BEBCE68-FAEC-4A0B-96A4-61E8957FBD57}"/>
    <cellStyle name="Calculation 3 3 2 22 6" xfId="16510" xr:uid="{0B729290-8D1E-4E6A-B377-96EF42558CE7}"/>
    <cellStyle name="Calculation 3 3 2 22 7" xfId="16511" xr:uid="{74A3241B-D1FF-44DF-A542-F83ED27FA304}"/>
    <cellStyle name="Calculation 3 3 2 23" xfId="503" xr:uid="{8957D7E7-D583-4A28-B79C-101791A3EE2A}"/>
    <cellStyle name="Calculation 3 3 2 23 2" xfId="11876" xr:uid="{0A950874-374D-4659-993D-7944D2F4D982}"/>
    <cellStyle name="Calculation 3 3 2 23 2 2" xfId="16512" xr:uid="{C9F0EB43-C4A7-49AA-99E6-7225CFE00BDD}"/>
    <cellStyle name="Calculation 3 3 2 23 2 3" xfId="16513" xr:uid="{FC020E16-E2A1-4FF6-AC1E-84F139ACB714}"/>
    <cellStyle name="Calculation 3 3 2 23 2 4" xfId="16514" xr:uid="{5BEB98F0-0143-4679-A695-F66B9D97CA4B}"/>
    <cellStyle name="Calculation 3 3 2 23 2 5" xfId="16515" xr:uid="{E16B90BE-1D3C-476D-BC09-44B873A815BB}"/>
    <cellStyle name="Calculation 3 3 2 23 2 6" xfId="16516" xr:uid="{0460FD90-1790-42C4-A651-D23E31E0D423}"/>
    <cellStyle name="Calculation 3 3 2 23 3" xfId="16517" xr:uid="{32CC90C2-1A41-4D6B-B2E7-9E01C7F75D14}"/>
    <cellStyle name="Calculation 3 3 2 23 4" xfId="16518" xr:uid="{39B7572B-71F4-4FEB-95D0-B3D0CF6C37BC}"/>
    <cellStyle name="Calculation 3 3 2 23 5" xfId="16519" xr:uid="{45DD3D9C-17EE-4EE0-9169-AE581F495A9B}"/>
    <cellStyle name="Calculation 3 3 2 23 6" xfId="16520" xr:uid="{9F6882FE-C751-4BAC-8995-CFCF31BB060F}"/>
    <cellStyle name="Calculation 3 3 2 23 7" xfId="16521" xr:uid="{4C35F770-03BD-4D5E-A76D-6125E74E48F1}"/>
    <cellStyle name="Calculation 3 3 2 24" xfId="504" xr:uid="{0B72DFC4-9AA7-4B29-AE80-593AE6BB7FAB}"/>
    <cellStyle name="Calculation 3 3 2 24 2" xfId="11960" xr:uid="{584F0747-63CC-44CC-8DED-12054B1DAAA6}"/>
    <cellStyle name="Calculation 3 3 2 24 2 2" xfId="16522" xr:uid="{E6BCED36-F477-4DBD-B315-543845773B79}"/>
    <cellStyle name="Calculation 3 3 2 24 2 3" xfId="16523" xr:uid="{6DB9C30C-637D-45EB-A240-471E092B47E7}"/>
    <cellStyle name="Calculation 3 3 2 24 2 4" xfId="16524" xr:uid="{0F0FD290-7932-4328-BB2D-ECBC295EAAFF}"/>
    <cellStyle name="Calculation 3 3 2 24 2 5" xfId="16525" xr:uid="{531A2AD6-2D4C-4691-B0DF-46A0E2094D95}"/>
    <cellStyle name="Calculation 3 3 2 24 2 6" xfId="16526" xr:uid="{ABC0385D-755E-4950-B4FE-10E788262F1A}"/>
    <cellStyle name="Calculation 3 3 2 24 3" xfId="16527" xr:uid="{B3AE5F16-C62B-4BF7-962E-C19A8F46454E}"/>
    <cellStyle name="Calculation 3 3 2 24 4" xfId="16528" xr:uid="{FD9FFED6-B82B-49C6-94F1-B365F206944F}"/>
    <cellStyle name="Calculation 3 3 2 24 5" xfId="16529" xr:uid="{84E991B1-17FC-45C1-A2BA-6977523AA6DE}"/>
    <cellStyle name="Calculation 3 3 2 24 6" xfId="16530" xr:uid="{CDE0F615-95CA-4A66-B976-D6E65AE72610}"/>
    <cellStyle name="Calculation 3 3 2 24 7" xfId="16531" xr:uid="{298AF450-A7FE-410D-93D4-F019798834CA}"/>
    <cellStyle name="Calculation 3 3 2 25" xfId="505" xr:uid="{7B9FDDB7-CA13-40DE-B238-798F5A5FC942}"/>
    <cellStyle name="Calculation 3 3 2 25 2" xfId="12043" xr:uid="{6F4E671B-DAE9-4101-9AA1-AD6CB7510217}"/>
    <cellStyle name="Calculation 3 3 2 25 2 2" xfId="16532" xr:uid="{CEAC453E-B525-469E-AAF8-B399ACAF85E1}"/>
    <cellStyle name="Calculation 3 3 2 25 2 3" xfId="16533" xr:uid="{88CFFFC3-A20F-4C20-AD08-9B654CCDDCF8}"/>
    <cellStyle name="Calculation 3 3 2 25 2 4" xfId="16534" xr:uid="{A614E882-8DD5-4DE3-AC81-FEA9B2C5757F}"/>
    <cellStyle name="Calculation 3 3 2 25 2 5" xfId="16535" xr:uid="{49F53189-F38A-4B6F-9DA3-3C41C2B2D28B}"/>
    <cellStyle name="Calculation 3 3 2 25 2 6" xfId="16536" xr:uid="{02BA22CA-59E0-4B8D-A1B4-2061A400F9CF}"/>
    <cellStyle name="Calculation 3 3 2 25 3" xfId="16537" xr:uid="{B5C7753F-9B8E-4508-A281-900B4FA9EF8A}"/>
    <cellStyle name="Calculation 3 3 2 25 4" xfId="16538" xr:uid="{EBF94D77-97A0-41DA-B051-4BF5A5355B73}"/>
    <cellStyle name="Calculation 3 3 2 25 5" xfId="16539" xr:uid="{BEA11EF5-6022-4066-AB20-E55F5E5BD648}"/>
    <cellStyle name="Calculation 3 3 2 25 6" xfId="16540" xr:uid="{4CAA60A7-2B10-40AC-A601-9B874E0FB8D8}"/>
    <cellStyle name="Calculation 3 3 2 25 7" xfId="16541" xr:uid="{70D7C797-5A3F-4394-A7C5-DDE14BA9294F}"/>
    <cellStyle name="Calculation 3 3 2 26" xfId="506" xr:uid="{70AD25A4-E9F8-43F5-88EA-73393A0A90D6}"/>
    <cellStyle name="Calculation 3 3 2 26 2" xfId="12126" xr:uid="{FDB06BFB-132F-43A5-B6DB-8E3FDEC84588}"/>
    <cellStyle name="Calculation 3 3 2 26 2 2" xfId="16542" xr:uid="{1F0A7B89-0985-4671-BB67-62E13E394E55}"/>
    <cellStyle name="Calculation 3 3 2 26 2 3" xfId="16543" xr:uid="{AA72ACBC-6FEA-401F-B0D4-3B3A0C138E1A}"/>
    <cellStyle name="Calculation 3 3 2 26 2 4" xfId="16544" xr:uid="{0E8A17B3-156B-40A6-9472-3656A24F7E0B}"/>
    <cellStyle name="Calculation 3 3 2 26 2 5" xfId="16545" xr:uid="{7D3DF961-8988-4ED5-9032-80F44B5198F5}"/>
    <cellStyle name="Calculation 3 3 2 26 2 6" xfId="16546" xr:uid="{0FB21074-3E8A-40AF-B4E7-D696AD8F886F}"/>
    <cellStyle name="Calculation 3 3 2 26 3" xfId="16547" xr:uid="{A56967D5-A487-4FC3-B8F7-F766F258A486}"/>
    <cellStyle name="Calculation 3 3 2 26 4" xfId="16548" xr:uid="{D3C2AE1E-6D46-44C3-B1DE-FF22F8BFF513}"/>
    <cellStyle name="Calculation 3 3 2 26 5" xfId="16549" xr:uid="{3B1FCCC7-F172-4996-BAEA-05CC7CD8E1BB}"/>
    <cellStyle name="Calculation 3 3 2 26 6" xfId="16550" xr:uid="{8300BEC6-11AB-4FBB-9F3E-7B186AE12841}"/>
    <cellStyle name="Calculation 3 3 2 26 7" xfId="16551" xr:uid="{52A88B5B-B47B-40E1-9607-1735DA6755BC}"/>
    <cellStyle name="Calculation 3 3 2 27" xfId="507" xr:uid="{1150E165-01A4-4088-BDD7-D5F58990F3C5}"/>
    <cellStyle name="Calculation 3 3 2 27 2" xfId="12208" xr:uid="{8C5AE6DF-F6AA-4925-AAEB-E52F13A83BB9}"/>
    <cellStyle name="Calculation 3 3 2 27 2 2" xfId="16552" xr:uid="{D22D0A13-A84A-4745-B1F5-5CD700CF6103}"/>
    <cellStyle name="Calculation 3 3 2 27 2 3" xfId="16553" xr:uid="{A1168EAB-E2B9-4659-A421-5B2EAEB2C72C}"/>
    <cellStyle name="Calculation 3 3 2 27 2 4" xfId="16554" xr:uid="{7AC13B9D-5A0D-4617-BA1E-C37466E37ECA}"/>
    <cellStyle name="Calculation 3 3 2 27 2 5" xfId="16555" xr:uid="{D014E50C-68E1-42D7-9C3B-F1FFA252AAA8}"/>
    <cellStyle name="Calculation 3 3 2 27 2 6" xfId="16556" xr:uid="{4E7DB61B-D745-4709-9BED-D3070CEAC484}"/>
    <cellStyle name="Calculation 3 3 2 27 3" xfId="16557" xr:uid="{901977A7-1E0C-403A-97D5-81AE747434B2}"/>
    <cellStyle name="Calculation 3 3 2 27 4" xfId="16558" xr:uid="{E74398B6-943C-4C84-8020-CFA917E2264D}"/>
    <cellStyle name="Calculation 3 3 2 27 5" xfId="16559" xr:uid="{9DE1BEC1-B3A1-44DF-AEE7-8942ED9C2B83}"/>
    <cellStyle name="Calculation 3 3 2 27 6" xfId="16560" xr:uid="{C315B2AC-4FA8-4502-9C23-916C3B7DB395}"/>
    <cellStyle name="Calculation 3 3 2 27 7" xfId="16561" xr:uid="{68353120-11A6-4FAE-9220-A2E8C1DC789D}"/>
    <cellStyle name="Calculation 3 3 2 28" xfId="508" xr:uid="{B4667651-EF8C-494A-A7EC-A00DB5BE9501}"/>
    <cellStyle name="Calculation 3 3 2 28 2" xfId="12288" xr:uid="{66C9FBC7-33D1-4309-A00C-5BF90473B2DD}"/>
    <cellStyle name="Calculation 3 3 2 28 2 2" xfId="16562" xr:uid="{3A7452E2-14E1-4E90-9FB2-FA8EB18927FE}"/>
    <cellStyle name="Calculation 3 3 2 28 2 3" xfId="16563" xr:uid="{709C66FC-1BEB-44E5-88E6-EE24CB7E6F2B}"/>
    <cellStyle name="Calculation 3 3 2 28 2 4" xfId="16564" xr:uid="{D8F323A3-5359-4750-B8A7-C29AC78B1B1C}"/>
    <cellStyle name="Calculation 3 3 2 28 2 5" xfId="16565" xr:uid="{A9188B31-33F8-428E-A6DD-7CB6174DC7EA}"/>
    <cellStyle name="Calculation 3 3 2 28 2 6" xfId="16566" xr:uid="{32A415E0-3797-4616-B45F-B15445AA9F97}"/>
    <cellStyle name="Calculation 3 3 2 28 3" xfId="16567" xr:uid="{E3D793B8-3C83-4892-94C3-2E98C6F46E3C}"/>
    <cellStyle name="Calculation 3 3 2 28 4" xfId="16568" xr:uid="{BB31AC1F-5250-4EDC-B2D3-7E05523F833C}"/>
    <cellStyle name="Calculation 3 3 2 28 5" xfId="16569" xr:uid="{30FBC46D-FE2B-48B0-BAE9-448652607005}"/>
    <cellStyle name="Calculation 3 3 2 28 6" xfId="16570" xr:uid="{6354DA35-8C1D-4FC5-82B1-9C04C5DFFE26}"/>
    <cellStyle name="Calculation 3 3 2 28 7" xfId="16571" xr:uid="{E8839D37-CD73-42B6-B050-43B55C4771A2}"/>
    <cellStyle name="Calculation 3 3 2 29" xfId="509" xr:uid="{4004B7C8-5CDA-4194-AF92-933E7E369B93}"/>
    <cellStyle name="Calculation 3 3 2 29 2" xfId="12366" xr:uid="{3E3D43CC-8D76-4EAC-A314-5E2C99D5A613}"/>
    <cellStyle name="Calculation 3 3 2 29 2 2" xfId="16572" xr:uid="{D00DB164-ED01-44FD-BA51-73FB0FEF3D7A}"/>
    <cellStyle name="Calculation 3 3 2 29 2 3" xfId="16573" xr:uid="{D7C2664A-0CE6-4C44-B47A-E732A9ED78E5}"/>
    <cellStyle name="Calculation 3 3 2 29 2 4" xfId="16574" xr:uid="{DE05FF02-60E2-4A59-89EC-61597BB50EEE}"/>
    <cellStyle name="Calculation 3 3 2 29 2 5" xfId="16575" xr:uid="{1F6ED52E-ECEF-489D-B830-6AD19AE14F42}"/>
    <cellStyle name="Calculation 3 3 2 29 2 6" xfId="16576" xr:uid="{A0380185-B3EB-46FE-B736-C2BD1B5C6E1F}"/>
    <cellStyle name="Calculation 3 3 2 29 3" xfId="16577" xr:uid="{6E8B0295-B8C8-48E2-9101-734F808BD871}"/>
    <cellStyle name="Calculation 3 3 2 29 4" xfId="16578" xr:uid="{54CB2644-5D04-4A2B-963F-538859377D6F}"/>
    <cellStyle name="Calculation 3 3 2 29 5" xfId="16579" xr:uid="{B084B089-2F6F-4520-9A96-72B60DAD3144}"/>
    <cellStyle name="Calculation 3 3 2 29 6" xfId="16580" xr:uid="{7B79091C-6111-4028-950C-DB85EC40CFB9}"/>
    <cellStyle name="Calculation 3 3 2 29 7" xfId="16581" xr:uid="{C823ECCB-CD52-4311-B79A-6491BBB68942}"/>
    <cellStyle name="Calculation 3 3 2 3" xfId="510" xr:uid="{9DD03F36-761B-4676-8150-FF3B05E9D638}"/>
    <cellStyle name="Calculation 3 3 2 3 2" xfId="10136" xr:uid="{0AF73583-FB8C-4197-A779-036BE694136C}"/>
    <cellStyle name="Calculation 3 3 2 3 2 2" xfId="16582" xr:uid="{CE3CE26B-9495-4AB7-8E5B-F6F68D26F690}"/>
    <cellStyle name="Calculation 3 3 2 3 2 3" xfId="16583" xr:uid="{C3C40DAB-928E-497F-965C-38534A2002F5}"/>
    <cellStyle name="Calculation 3 3 2 3 2 4" xfId="16584" xr:uid="{6048A99A-1151-4B34-8EFE-2B83615BF06C}"/>
    <cellStyle name="Calculation 3 3 2 3 2 5" xfId="16585" xr:uid="{7F65A288-77AE-4ECF-B1C8-652C3BF0D822}"/>
    <cellStyle name="Calculation 3 3 2 3 2 6" xfId="16586" xr:uid="{A0845066-5772-46FA-B6D6-F23C6CE68A86}"/>
    <cellStyle name="Calculation 3 3 2 3 3" xfId="16587" xr:uid="{137E00B4-C06A-4B53-9633-1338F25260A2}"/>
    <cellStyle name="Calculation 3 3 2 3 4" xfId="16588" xr:uid="{C564D58C-7DC1-4CA0-B310-DA2C811F4E15}"/>
    <cellStyle name="Calculation 3 3 2 3 5" xfId="16589" xr:uid="{78A2D3D4-4C43-4602-9A4E-C374FAC7F70F}"/>
    <cellStyle name="Calculation 3 3 2 3 6" xfId="16590" xr:uid="{CF54AE90-4D14-4452-9553-5FA5F08C9D1A}"/>
    <cellStyle name="Calculation 3 3 2 3 7" xfId="16591" xr:uid="{C983C3C9-5EA4-4646-8268-73D2AB0AF278}"/>
    <cellStyle name="Calculation 3 3 2 30" xfId="511" xr:uid="{86D1C167-0023-4A1B-8967-B20D378BD28D}"/>
    <cellStyle name="Calculation 3 3 2 30 2" xfId="12445" xr:uid="{48A09A14-1C35-4053-AEAD-36F5FE679FEB}"/>
    <cellStyle name="Calculation 3 3 2 30 2 2" xfId="16592" xr:uid="{64F6F609-3457-42D1-8652-24DF47F6AE27}"/>
    <cellStyle name="Calculation 3 3 2 30 2 3" xfId="16593" xr:uid="{16844E89-62CD-4E61-B28F-5C135E9A66C5}"/>
    <cellStyle name="Calculation 3 3 2 30 2 4" xfId="16594" xr:uid="{8C674DF8-5122-4A51-A89F-6A9BD0F1F491}"/>
    <cellStyle name="Calculation 3 3 2 30 2 5" xfId="16595" xr:uid="{511A1C46-65F3-4704-80D3-1A84596D57EC}"/>
    <cellStyle name="Calculation 3 3 2 30 2 6" xfId="16596" xr:uid="{E23CD54B-E136-4CCC-A6AA-76D697883E2C}"/>
    <cellStyle name="Calculation 3 3 2 30 3" xfId="16597" xr:uid="{CAD4EF8C-4629-41A4-93D9-8A3053E4379B}"/>
    <cellStyle name="Calculation 3 3 2 30 4" xfId="16598" xr:uid="{F50012D0-768E-4DF9-A9AE-E6174202C8A1}"/>
    <cellStyle name="Calculation 3 3 2 30 5" xfId="16599" xr:uid="{DDD5F43C-9965-4584-8E1E-7F9AB00B389D}"/>
    <cellStyle name="Calculation 3 3 2 30 6" xfId="16600" xr:uid="{2BF49238-8F8E-47ED-B71B-9B0BB8804371}"/>
    <cellStyle name="Calculation 3 3 2 30 7" xfId="16601" xr:uid="{E7F5CA30-533A-4756-9A10-C4F789895D7E}"/>
    <cellStyle name="Calculation 3 3 2 31" xfId="512" xr:uid="{31A3D80F-1BF2-4D3C-A08A-27FDE9375E78}"/>
    <cellStyle name="Calculation 3 3 2 31 2" xfId="12524" xr:uid="{9481AD58-408A-4661-BB6C-D3C161F736A3}"/>
    <cellStyle name="Calculation 3 3 2 31 2 2" xfId="16602" xr:uid="{08CECA6A-9FC0-4EBA-91A9-FB60C3F5F757}"/>
    <cellStyle name="Calculation 3 3 2 31 2 3" xfId="16603" xr:uid="{5554C7EA-75E5-4372-85F1-AE017843656D}"/>
    <cellStyle name="Calculation 3 3 2 31 2 4" xfId="16604" xr:uid="{03FCE0D9-30B2-46C6-966B-827B4A3D9620}"/>
    <cellStyle name="Calculation 3 3 2 31 2 5" xfId="16605" xr:uid="{AD1DDDC6-025F-40E1-AAD0-7C580BEE36E7}"/>
    <cellStyle name="Calculation 3 3 2 31 2 6" xfId="16606" xr:uid="{67C234D5-D68F-4A7A-8245-496ADB0D5B5F}"/>
    <cellStyle name="Calculation 3 3 2 31 3" xfId="16607" xr:uid="{678906F9-406E-49B4-A3CD-019A1CC8721A}"/>
    <cellStyle name="Calculation 3 3 2 31 4" xfId="16608" xr:uid="{F3E88DD1-ECE4-48E1-8166-8F6D8F0F9996}"/>
    <cellStyle name="Calculation 3 3 2 31 5" xfId="16609" xr:uid="{DDBA5022-C410-488C-BBD1-24519E734403}"/>
    <cellStyle name="Calculation 3 3 2 31 6" xfId="16610" xr:uid="{F1B76F42-450E-4ADE-B9C9-DEC553939D15}"/>
    <cellStyle name="Calculation 3 3 2 31 7" xfId="16611" xr:uid="{AF4A7282-6B1B-45D4-A930-0447089D11DF}"/>
    <cellStyle name="Calculation 3 3 2 32" xfId="513" xr:uid="{590FBB45-B350-4CD9-9EF5-07584F7A3A0E}"/>
    <cellStyle name="Calculation 3 3 2 32 2" xfId="12603" xr:uid="{0B776996-D0E7-43EF-8B9E-116D8EBDB48D}"/>
    <cellStyle name="Calculation 3 3 2 32 2 2" xfId="16612" xr:uid="{4E39DB5F-282B-468C-A702-B08ACD679A5B}"/>
    <cellStyle name="Calculation 3 3 2 32 2 3" xfId="16613" xr:uid="{753B0B6D-41A1-40ED-99BE-69EC3CC9E237}"/>
    <cellStyle name="Calculation 3 3 2 32 2 4" xfId="16614" xr:uid="{BCF1D01E-EA17-46A6-A1E6-4261EC297B44}"/>
    <cellStyle name="Calculation 3 3 2 32 2 5" xfId="16615" xr:uid="{C9504943-935F-4DFE-852D-CAB3563BC31E}"/>
    <cellStyle name="Calculation 3 3 2 32 2 6" xfId="16616" xr:uid="{2CE189F0-C95C-4904-A636-0B633BFDC8B4}"/>
    <cellStyle name="Calculation 3 3 2 32 3" xfId="16617" xr:uid="{80199CE9-1C18-4F78-81E4-FD8FDDD14C90}"/>
    <cellStyle name="Calculation 3 3 2 32 4" xfId="16618" xr:uid="{AD0A8082-6BAA-4D92-BC67-5C1B3229DACA}"/>
    <cellStyle name="Calculation 3 3 2 32 5" xfId="16619" xr:uid="{07A4451A-A007-4428-B52F-59A42E12536A}"/>
    <cellStyle name="Calculation 3 3 2 32 6" xfId="16620" xr:uid="{CF149B26-2C3D-4272-B5FB-23D6C9CF0FA3}"/>
    <cellStyle name="Calculation 3 3 2 32 7" xfId="16621" xr:uid="{59F8C525-52BD-4CA6-8448-762E9844A8E9}"/>
    <cellStyle name="Calculation 3 3 2 33" xfId="514" xr:uid="{ABAF2ECF-0799-4621-822F-FDB460448CC4}"/>
    <cellStyle name="Calculation 3 3 2 33 2" xfId="12682" xr:uid="{94F8C7CB-1B51-46CD-A413-237E75B8E52E}"/>
    <cellStyle name="Calculation 3 3 2 33 2 2" xfId="16622" xr:uid="{D99C632E-0F8D-4252-993C-5C3BB6EE96EC}"/>
    <cellStyle name="Calculation 3 3 2 33 2 3" xfId="16623" xr:uid="{9AC569C7-BBF5-4D2A-961C-8D6B0DBB9410}"/>
    <cellStyle name="Calculation 3 3 2 33 2 4" xfId="16624" xr:uid="{5EC988E9-819C-4E98-8427-D772DDDEC0DF}"/>
    <cellStyle name="Calculation 3 3 2 33 2 5" xfId="16625" xr:uid="{1817B346-F3BA-4B4C-8D5C-F4CE9DF040B9}"/>
    <cellStyle name="Calculation 3 3 2 33 2 6" xfId="16626" xr:uid="{9FC7E1EA-C886-4DEC-8F6E-90438C139546}"/>
    <cellStyle name="Calculation 3 3 2 33 3" xfId="16627" xr:uid="{D7C2D593-8E4B-4528-836E-FDB3C95307FA}"/>
    <cellStyle name="Calculation 3 3 2 33 4" xfId="16628" xr:uid="{433C9AA6-88BC-41CF-B3D2-9CB06645DDF8}"/>
    <cellStyle name="Calculation 3 3 2 33 5" xfId="16629" xr:uid="{5C602852-A7D5-462B-83B6-452BB1ED88AF}"/>
    <cellStyle name="Calculation 3 3 2 33 6" xfId="16630" xr:uid="{D7349666-6F2A-45E5-82B3-AFBB538A7332}"/>
    <cellStyle name="Calculation 3 3 2 33 7" xfId="16631" xr:uid="{2EC54786-95AE-473C-9775-79007C5CAB99}"/>
    <cellStyle name="Calculation 3 3 2 34" xfId="515" xr:uid="{0A904C87-0B63-4D6B-9A21-9E13E93190A2}"/>
    <cellStyle name="Calculation 3 3 2 34 2" xfId="12766" xr:uid="{25814230-6421-47C1-B5EE-B17D03CCED84}"/>
    <cellStyle name="Calculation 3 3 2 34 2 2" xfId="16632" xr:uid="{1B59EF8A-F6ED-43C5-8814-1D62CE715041}"/>
    <cellStyle name="Calculation 3 3 2 34 2 3" xfId="16633" xr:uid="{7F584350-F69C-44FC-B350-4AAB9A365503}"/>
    <cellStyle name="Calculation 3 3 2 34 2 4" xfId="16634" xr:uid="{D37B1993-9149-45D4-BC05-87A7E755D800}"/>
    <cellStyle name="Calculation 3 3 2 34 2 5" xfId="16635" xr:uid="{E27C4DF7-C90E-4D98-86ED-4B3E5F587E6C}"/>
    <cellStyle name="Calculation 3 3 2 34 2 6" xfId="16636" xr:uid="{84E58D79-D7C5-472A-8C7E-862B8799777F}"/>
    <cellStyle name="Calculation 3 3 2 34 3" xfId="16637" xr:uid="{D9C03FEB-1ACB-491C-899E-52C4DB95FAB9}"/>
    <cellStyle name="Calculation 3 3 2 34 4" xfId="16638" xr:uid="{4424EAE6-0DA5-4932-B264-BDA691E13A90}"/>
    <cellStyle name="Calculation 3 3 2 34 5" xfId="16639" xr:uid="{9A13C05C-91A1-4368-A6EC-92488F3B3223}"/>
    <cellStyle name="Calculation 3 3 2 35" xfId="9832" xr:uid="{EE56945C-5714-45F6-8C2E-47878785AC4D}"/>
    <cellStyle name="Calculation 3 3 2 35 2" xfId="16640" xr:uid="{953BEA6A-C077-4845-87B7-2799378300AF}"/>
    <cellStyle name="Calculation 3 3 2 35 3" xfId="16641" xr:uid="{36B0962B-C027-473F-9DE5-803C507B0D38}"/>
    <cellStyle name="Calculation 3 3 2 35 4" xfId="16642" xr:uid="{EEC91692-664C-48CD-B33B-58A4B4DC508D}"/>
    <cellStyle name="Calculation 3 3 2 35 5" xfId="16643" xr:uid="{1811890A-BC24-476A-8369-AA43D8E04C50}"/>
    <cellStyle name="Calculation 3 3 2 35 6" xfId="16644" xr:uid="{8E1C5BC8-F9E3-4FB2-BCA7-1626E78C9EC2}"/>
    <cellStyle name="Calculation 3 3 2 36" xfId="16645" xr:uid="{210829C7-3DA1-4781-ABB8-75920628A670}"/>
    <cellStyle name="Calculation 3 3 2 37" xfId="16646" xr:uid="{ED241558-C5A9-44E5-A738-216E848B8CBA}"/>
    <cellStyle name="Calculation 3 3 2 38" xfId="16647" xr:uid="{50BB8188-D5A2-4D52-B390-BCF44DE24767}"/>
    <cellStyle name="Calculation 3 3 2 4" xfId="516" xr:uid="{DBDC822F-6128-422E-9A33-FF4879CC6C01}"/>
    <cellStyle name="Calculation 3 3 2 4 2" xfId="10226" xr:uid="{EDF1A328-C327-48FC-B2EF-350A2AD2D7CA}"/>
    <cellStyle name="Calculation 3 3 2 4 2 2" xfId="16648" xr:uid="{87563CB1-56F6-4D48-8FCB-E09D1C85581E}"/>
    <cellStyle name="Calculation 3 3 2 4 2 3" xfId="16649" xr:uid="{069070AE-2A0A-45F8-AD02-C1F080D27631}"/>
    <cellStyle name="Calculation 3 3 2 4 2 4" xfId="16650" xr:uid="{2DC1681D-076B-4D3F-B1A7-47C595DEA59C}"/>
    <cellStyle name="Calculation 3 3 2 4 2 5" xfId="16651" xr:uid="{17208E3A-C80E-45C2-A111-41EFA1A00B19}"/>
    <cellStyle name="Calculation 3 3 2 4 2 6" xfId="16652" xr:uid="{07699A1A-D36B-44DE-A982-BAE65168303F}"/>
    <cellStyle name="Calculation 3 3 2 4 3" xfId="16653" xr:uid="{4BDA3BA2-6FC1-44AC-8287-1238779B4252}"/>
    <cellStyle name="Calculation 3 3 2 4 4" xfId="16654" xr:uid="{11984CD9-4FF6-4526-A5C8-6564FC16A4EB}"/>
    <cellStyle name="Calculation 3 3 2 4 5" xfId="16655" xr:uid="{22B29F51-670B-46CB-A1DF-13E2E822B87C}"/>
    <cellStyle name="Calculation 3 3 2 4 6" xfId="16656" xr:uid="{8D4CB59F-0EF9-4EDA-962B-F3FCF099FA2D}"/>
    <cellStyle name="Calculation 3 3 2 4 7" xfId="16657" xr:uid="{E6526243-C5F2-4973-89A3-294844761BEB}"/>
    <cellStyle name="Calculation 3 3 2 5" xfId="517" xr:uid="{5D6B7B7E-FDBA-48A9-9EC0-B056F3DFC8EB}"/>
    <cellStyle name="Calculation 3 3 2 5 2" xfId="10312" xr:uid="{986439A8-BCE8-41DC-90D0-6C6AFE275703}"/>
    <cellStyle name="Calculation 3 3 2 5 2 2" xfId="16658" xr:uid="{62189CA3-FF95-4A27-8598-0B977EE74129}"/>
    <cellStyle name="Calculation 3 3 2 5 2 3" xfId="16659" xr:uid="{AADF670C-024D-4A48-92CA-9DEF5CFCE99C}"/>
    <cellStyle name="Calculation 3 3 2 5 2 4" xfId="16660" xr:uid="{5FADA264-45BF-427E-913F-08C77F5FA0BD}"/>
    <cellStyle name="Calculation 3 3 2 5 2 5" xfId="16661" xr:uid="{271DEB3F-FFDA-4291-8914-43F656ECBEAB}"/>
    <cellStyle name="Calculation 3 3 2 5 2 6" xfId="16662" xr:uid="{AA73F461-FB5F-4E14-B3C8-FCEC9209CE4B}"/>
    <cellStyle name="Calculation 3 3 2 5 3" xfId="16663" xr:uid="{544D7589-8C46-47C8-B8C6-B83503EC32CE}"/>
    <cellStyle name="Calculation 3 3 2 5 4" xfId="16664" xr:uid="{3EE67ADF-EE3C-49D4-BE5A-070401DF7B89}"/>
    <cellStyle name="Calculation 3 3 2 5 5" xfId="16665" xr:uid="{E71A7B15-FB2D-4E5E-A914-B1B17894DC0C}"/>
    <cellStyle name="Calculation 3 3 2 5 6" xfId="16666" xr:uid="{DF0D97E0-B9BF-4581-9E88-F2B901CEE706}"/>
    <cellStyle name="Calculation 3 3 2 5 7" xfId="16667" xr:uid="{37AEDFBD-EAA5-4E5A-8C6A-D609B082C3C9}"/>
    <cellStyle name="Calculation 3 3 2 6" xfId="518" xr:uid="{793C789C-7ED3-4A18-8A2E-BDC1DCCEB5B1}"/>
    <cellStyle name="Calculation 3 3 2 6 2" xfId="10400" xr:uid="{71DE76CA-DE82-40DD-83C4-FF6C1CD1C544}"/>
    <cellStyle name="Calculation 3 3 2 6 2 2" xfId="16668" xr:uid="{E0F9D1CC-D7A1-445B-A1E3-FC9572155FCB}"/>
    <cellStyle name="Calculation 3 3 2 6 2 3" xfId="16669" xr:uid="{44925294-EA06-444C-82F6-E4A7708D183B}"/>
    <cellStyle name="Calculation 3 3 2 6 2 4" xfId="16670" xr:uid="{E0254B5F-AD08-4FE1-A102-8D4F50608DD9}"/>
    <cellStyle name="Calculation 3 3 2 6 2 5" xfId="16671" xr:uid="{7CE40ABE-4549-4286-B423-1A7C07A7E624}"/>
    <cellStyle name="Calculation 3 3 2 6 2 6" xfId="16672" xr:uid="{F60A0B03-1B2E-422C-B3D1-4798468446AB}"/>
    <cellStyle name="Calculation 3 3 2 6 3" xfId="16673" xr:uid="{31C6455A-4CF4-4895-8EC8-00CF3B144A5B}"/>
    <cellStyle name="Calculation 3 3 2 6 4" xfId="16674" xr:uid="{204865F8-D516-4587-939B-FC6B7BC12563}"/>
    <cellStyle name="Calculation 3 3 2 6 5" xfId="16675" xr:uid="{AA6257FF-BA0A-4E1B-B20D-18FE1E9968FE}"/>
    <cellStyle name="Calculation 3 3 2 6 6" xfId="16676" xr:uid="{009EB3F3-C84A-4C2C-BF05-497B88635C4D}"/>
    <cellStyle name="Calculation 3 3 2 6 7" xfId="16677" xr:uid="{78C797A1-AE8B-4291-A77E-52450CAC050F}"/>
    <cellStyle name="Calculation 3 3 2 7" xfId="519" xr:uid="{0491FFDC-5F07-4ACC-A753-3C7A63B6AA8B}"/>
    <cellStyle name="Calculation 3 3 2 7 2" xfId="10487" xr:uid="{D988B7BF-CC7D-48B3-B89C-A7152C17B752}"/>
    <cellStyle name="Calculation 3 3 2 7 2 2" xfId="16678" xr:uid="{76578EF0-B3B0-4AE1-BD44-7203A9011C5F}"/>
    <cellStyle name="Calculation 3 3 2 7 2 3" xfId="16679" xr:uid="{2ADF6DBC-9B15-4EBD-8D52-6BCDA37F9A60}"/>
    <cellStyle name="Calculation 3 3 2 7 2 4" xfId="16680" xr:uid="{E3D9ED2A-9F0C-4645-9EB7-DF27C04248E4}"/>
    <cellStyle name="Calculation 3 3 2 7 2 5" xfId="16681" xr:uid="{EAD3A487-ECF9-4995-B264-A94318B44AAB}"/>
    <cellStyle name="Calculation 3 3 2 7 2 6" xfId="16682" xr:uid="{BF326374-3872-48E1-9CC5-8226EAB393B2}"/>
    <cellStyle name="Calculation 3 3 2 7 3" xfId="16683" xr:uid="{ACF16942-7112-4FB1-AB52-81B8E5C5D26D}"/>
    <cellStyle name="Calculation 3 3 2 7 4" xfId="16684" xr:uid="{4907329B-B059-44F9-8FBD-53DEE8B7AEEA}"/>
    <cellStyle name="Calculation 3 3 2 7 5" xfId="16685" xr:uid="{244EF286-25A8-45AA-8A7D-F64618D2B3D0}"/>
    <cellStyle name="Calculation 3 3 2 7 6" xfId="16686" xr:uid="{0D72C86F-F8EE-4511-B885-EBED5176EA57}"/>
    <cellStyle name="Calculation 3 3 2 7 7" xfId="16687" xr:uid="{898FA750-5836-4881-9A89-74C4AC353617}"/>
    <cellStyle name="Calculation 3 3 2 8" xfId="520" xr:uid="{B074E652-69E7-4D83-A6F2-139E7519A98B}"/>
    <cellStyle name="Calculation 3 3 2 8 2" xfId="10575" xr:uid="{50CC28DE-200F-4DF4-98B5-FC8CEBD268D5}"/>
    <cellStyle name="Calculation 3 3 2 8 2 2" xfId="16688" xr:uid="{668FD8D2-2759-4CCC-9059-1654E2BCEDC9}"/>
    <cellStyle name="Calculation 3 3 2 8 2 3" xfId="16689" xr:uid="{A0D12843-9440-4F3F-AE64-5310D5484F7C}"/>
    <cellStyle name="Calculation 3 3 2 8 2 4" xfId="16690" xr:uid="{E9328998-BF97-47D3-873F-BBA81B7B4BD5}"/>
    <cellStyle name="Calculation 3 3 2 8 2 5" xfId="16691" xr:uid="{43E87C65-BA13-4F22-AFBE-19B278352C6D}"/>
    <cellStyle name="Calculation 3 3 2 8 2 6" xfId="16692" xr:uid="{070BD320-7EB0-4324-8D5D-4D4DD980DD1A}"/>
    <cellStyle name="Calculation 3 3 2 8 3" xfId="16693" xr:uid="{FB9052D3-424A-4E82-9E14-D91422853260}"/>
    <cellStyle name="Calculation 3 3 2 8 4" xfId="16694" xr:uid="{DF7A53FE-81C9-4C84-9287-3C2C070FDE62}"/>
    <cellStyle name="Calculation 3 3 2 8 5" xfId="16695" xr:uid="{0DAA77B0-E5CD-4459-9456-F2C7B37451DA}"/>
    <cellStyle name="Calculation 3 3 2 8 6" xfId="16696" xr:uid="{0B7A83A3-23AA-44C6-8ADF-B1146A5189B2}"/>
    <cellStyle name="Calculation 3 3 2 8 7" xfId="16697" xr:uid="{26227373-A4F8-4345-A7EC-0400BA37BE3E}"/>
    <cellStyle name="Calculation 3 3 2 9" xfId="521" xr:uid="{D9BB9587-9CDD-4309-B032-BD4B9BFE8C7F}"/>
    <cellStyle name="Calculation 3 3 2 9 2" xfId="10657" xr:uid="{60EE26A9-3A5B-4648-A7CE-5AD215B0A318}"/>
    <cellStyle name="Calculation 3 3 2 9 2 2" xfId="16698" xr:uid="{E1818C4C-B6DA-48EE-B33A-3CF10CB9D029}"/>
    <cellStyle name="Calculation 3 3 2 9 2 3" xfId="16699" xr:uid="{6B6AAB17-3E0A-47A5-A3C6-53CAF2B70BBC}"/>
    <cellStyle name="Calculation 3 3 2 9 2 4" xfId="16700" xr:uid="{55A8DADD-6303-4C14-B5B6-3FD19A0FA7D2}"/>
    <cellStyle name="Calculation 3 3 2 9 2 5" xfId="16701" xr:uid="{FABC6061-4C3D-423F-946E-C0E1585649CB}"/>
    <cellStyle name="Calculation 3 3 2 9 2 6" xfId="16702" xr:uid="{21FF5E3B-B7BA-4556-9F95-98B1D53772DA}"/>
    <cellStyle name="Calculation 3 3 2 9 3" xfId="16703" xr:uid="{84693781-F1BF-4A7C-A1AB-71E545825874}"/>
    <cellStyle name="Calculation 3 3 2 9 4" xfId="16704" xr:uid="{B0FAE5B6-CFC0-44D5-8936-FAD6630F3D2E}"/>
    <cellStyle name="Calculation 3 3 2 9 5" xfId="16705" xr:uid="{B1388A6B-DEC7-47F3-883E-6132B7A419A0}"/>
    <cellStyle name="Calculation 3 3 2 9 6" xfId="16706" xr:uid="{223375E8-3A02-4A7C-8A5D-CBA994050355}"/>
    <cellStyle name="Calculation 3 3 2 9 7" xfId="16707" xr:uid="{37971E3B-FAFA-4B6F-8654-FA5390A77835}"/>
    <cellStyle name="Calculation 3 3 20" xfId="522" xr:uid="{F0868316-BBCE-429A-B11E-CC7DE8CF82B0}"/>
    <cellStyle name="Calculation 3 3 20 2" xfId="11504" xr:uid="{B7632642-EE3B-4D5E-914D-F01C73830EB1}"/>
    <cellStyle name="Calculation 3 3 20 2 2" xfId="16708" xr:uid="{4305F60B-D02D-449C-AD4E-FDC3046B4BFA}"/>
    <cellStyle name="Calculation 3 3 20 2 3" xfId="16709" xr:uid="{99B8F922-6623-4F7E-9B41-735A61E03E6E}"/>
    <cellStyle name="Calculation 3 3 20 2 4" xfId="16710" xr:uid="{9E4FD6D4-4C87-4AF5-8D98-ADE8EF8BD0E1}"/>
    <cellStyle name="Calculation 3 3 20 2 5" xfId="16711" xr:uid="{E35086B5-5F6F-4B9F-A830-5C5579916EBF}"/>
    <cellStyle name="Calculation 3 3 20 2 6" xfId="16712" xr:uid="{9E23F897-1606-4917-9FC8-F4C3F921E289}"/>
    <cellStyle name="Calculation 3 3 20 3" xfId="16713" xr:uid="{5A8B4F93-1926-4657-A3F4-EFDDE46ECD72}"/>
    <cellStyle name="Calculation 3 3 20 4" xfId="16714" xr:uid="{F7C3A15E-239C-4291-AAED-9EB73B24C4B5}"/>
    <cellStyle name="Calculation 3 3 20 5" xfId="16715" xr:uid="{0F25EC8F-9BBF-4C3D-B098-42B9E0D7A6CE}"/>
    <cellStyle name="Calculation 3 3 20 6" xfId="16716" xr:uid="{3E9F3792-E209-4C42-8335-4D56AE482227}"/>
    <cellStyle name="Calculation 3 3 20 7" xfId="16717" xr:uid="{B10CFC9E-EA42-4D02-BDC4-8C1F348768B1}"/>
    <cellStyle name="Calculation 3 3 21" xfId="523" xr:uid="{1CBB3347-A61D-49CE-9C3B-CFF799877D1B}"/>
    <cellStyle name="Calculation 3 3 21 2" xfId="11592" xr:uid="{D94911ED-92C0-41F9-A8E1-0247401C179B}"/>
    <cellStyle name="Calculation 3 3 21 2 2" xfId="16718" xr:uid="{5776F2E8-29CA-4ECF-AB26-EC9333C585EF}"/>
    <cellStyle name="Calculation 3 3 21 2 3" xfId="16719" xr:uid="{D8B7EAFA-AEF3-4F33-9E7B-0727BA8A12AC}"/>
    <cellStyle name="Calculation 3 3 21 2 4" xfId="16720" xr:uid="{4CF4D2BB-5CCC-4387-BE62-BAA2095410EF}"/>
    <cellStyle name="Calculation 3 3 21 2 5" xfId="16721" xr:uid="{376ABE08-1C54-400E-9E29-18AF20284DDE}"/>
    <cellStyle name="Calculation 3 3 21 2 6" xfId="16722" xr:uid="{45BE0DA5-ED63-4A92-AC20-ED5A31F70581}"/>
    <cellStyle name="Calculation 3 3 21 3" xfId="16723" xr:uid="{56848D14-554D-46AD-8E88-9CE6EA399CCE}"/>
    <cellStyle name="Calculation 3 3 21 4" xfId="16724" xr:uid="{0ACDED87-D900-45C5-97F5-659F8EFEE89A}"/>
    <cellStyle name="Calculation 3 3 21 5" xfId="16725" xr:uid="{0E8D74AF-F729-4F58-B7F5-10327A4B7406}"/>
    <cellStyle name="Calculation 3 3 21 6" xfId="16726" xr:uid="{7678B798-4A98-4832-A9A7-8D241C1EE507}"/>
    <cellStyle name="Calculation 3 3 21 7" xfId="16727" xr:uid="{167A4863-2621-45AB-8134-81ECD5478511}"/>
    <cellStyle name="Calculation 3 3 22" xfId="524" xr:uid="{3508243A-B554-4627-953A-9A22BB68DFE4}"/>
    <cellStyle name="Calculation 3 3 22 2" xfId="11677" xr:uid="{D4C59F02-0BD8-4315-BE4E-0674FA26F9E1}"/>
    <cellStyle name="Calculation 3 3 22 2 2" xfId="16728" xr:uid="{1F67EE85-5AB0-4DE9-B6AA-89375CE7DC9C}"/>
    <cellStyle name="Calculation 3 3 22 2 3" xfId="16729" xr:uid="{8A5EAC03-BF3C-4357-AF9C-28F454F8F4C5}"/>
    <cellStyle name="Calculation 3 3 22 2 4" xfId="16730" xr:uid="{9B606EDB-A883-4649-A32A-6C6BF53C4AD4}"/>
    <cellStyle name="Calculation 3 3 22 2 5" xfId="16731" xr:uid="{8CC43518-A00A-4CE4-AC8F-6FF1D82A6733}"/>
    <cellStyle name="Calculation 3 3 22 2 6" xfId="16732" xr:uid="{65C93D3F-B1D8-42C4-8A7D-F648F9FAE7A7}"/>
    <cellStyle name="Calculation 3 3 22 3" xfId="16733" xr:uid="{270F5CCC-7030-4C8F-BF02-CEEA7538FECC}"/>
    <cellStyle name="Calculation 3 3 22 4" xfId="16734" xr:uid="{1705712E-DFBC-4992-B2CE-6747082940B2}"/>
    <cellStyle name="Calculation 3 3 22 5" xfId="16735" xr:uid="{51966437-F8AB-4942-A993-EBA6186B5A43}"/>
    <cellStyle name="Calculation 3 3 22 6" xfId="16736" xr:uid="{F9842831-B51F-4BD1-B965-B44CC28865ED}"/>
    <cellStyle name="Calculation 3 3 22 7" xfId="16737" xr:uid="{39821B52-8727-4178-9F23-93A1FDA74541}"/>
    <cellStyle name="Calculation 3 3 23" xfId="525" xr:uid="{26BEAC8E-6D6A-4E7B-BCBF-5BFCB225BDAA}"/>
    <cellStyle name="Calculation 3 3 23 2" xfId="11760" xr:uid="{CC0C2EC9-8148-47C5-9AF8-F5F9D4982323}"/>
    <cellStyle name="Calculation 3 3 23 2 2" xfId="16738" xr:uid="{DAFFB99D-373E-4448-B9BC-C6260B801858}"/>
    <cellStyle name="Calculation 3 3 23 2 3" xfId="16739" xr:uid="{7AAA2C98-88EF-4253-8761-ABABA4E7ED96}"/>
    <cellStyle name="Calculation 3 3 23 2 4" xfId="16740" xr:uid="{CADAD2C4-06FD-4DFD-A9AD-3EAD722039AA}"/>
    <cellStyle name="Calculation 3 3 23 2 5" xfId="16741" xr:uid="{A1052BA5-F008-4C2C-9C6F-5DED516F8BE5}"/>
    <cellStyle name="Calculation 3 3 23 2 6" xfId="16742" xr:uid="{BE204C82-A27B-45ED-945A-28288C48A65D}"/>
    <cellStyle name="Calculation 3 3 23 3" xfId="16743" xr:uid="{44C1DBC3-09A1-4BC2-900B-30EC8F097EA0}"/>
    <cellStyle name="Calculation 3 3 23 4" xfId="16744" xr:uid="{880E06A3-64B1-44DD-951C-73574E40D69D}"/>
    <cellStyle name="Calculation 3 3 23 5" xfId="16745" xr:uid="{A4F04A6E-1304-43FF-985E-25129887F95D}"/>
    <cellStyle name="Calculation 3 3 23 6" xfId="16746" xr:uid="{BFC86224-6363-4CE0-B6A5-90AD9473BDFF}"/>
    <cellStyle name="Calculation 3 3 23 7" xfId="16747" xr:uid="{19E269AA-0232-4B26-AD30-9E3F0962684E}"/>
    <cellStyle name="Calculation 3 3 24" xfId="526" xr:uid="{466AECB2-CF36-4E1C-9B39-E2A694149CF8}"/>
    <cellStyle name="Calculation 3 3 24 2" xfId="11842" xr:uid="{43671751-5243-4AE6-9049-AB11D02035F7}"/>
    <cellStyle name="Calculation 3 3 24 2 2" xfId="16748" xr:uid="{D71A7E1F-F04D-408B-90EF-85160B8390EA}"/>
    <cellStyle name="Calculation 3 3 24 2 3" xfId="16749" xr:uid="{96D3DF60-1B51-4C8E-9B73-7C1D245FBA02}"/>
    <cellStyle name="Calculation 3 3 24 2 4" xfId="16750" xr:uid="{BC160164-6483-491A-B5A6-04BD639E8E57}"/>
    <cellStyle name="Calculation 3 3 24 2 5" xfId="16751" xr:uid="{9A141F19-8A83-475E-97CD-038249216F7F}"/>
    <cellStyle name="Calculation 3 3 24 2 6" xfId="16752" xr:uid="{0C47F009-EE0C-40B8-A7D9-66D96791ED97}"/>
    <cellStyle name="Calculation 3 3 24 3" xfId="16753" xr:uid="{ED3A0E38-38CD-454F-ADC1-EA808CFCDE6E}"/>
    <cellStyle name="Calculation 3 3 24 4" xfId="16754" xr:uid="{C9C0B5AF-BD23-40B2-98B6-ED6C3CFD9E68}"/>
    <cellStyle name="Calculation 3 3 24 5" xfId="16755" xr:uid="{532CC1CB-9629-4BCB-BC13-271CE31EDD27}"/>
    <cellStyle name="Calculation 3 3 24 6" xfId="16756" xr:uid="{62C13CFF-B3F5-4EF5-82EA-FF1E7A15287A}"/>
    <cellStyle name="Calculation 3 3 24 7" xfId="16757" xr:uid="{141381A9-5A7A-4887-9711-54FC4C350FE8}"/>
    <cellStyle name="Calculation 3 3 25" xfId="527" xr:uid="{D11A7E0E-2A5C-440C-A952-1A5AE8EF2587}"/>
    <cellStyle name="Calculation 3 3 25 2" xfId="11926" xr:uid="{482EEA24-1562-42FF-9536-4CBBA1671610}"/>
    <cellStyle name="Calculation 3 3 25 2 2" xfId="16758" xr:uid="{042DDCE0-753F-49AF-8EB4-384A8BFF3B1B}"/>
    <cellStyle name="Calculation 3 3 25 2 3" xfId="16759" xr:uid="{21B27DEB-AE7F-4011-BBCB-715925C50C39}"/>
    <cellStyle name="Calculation 3 3 25 2 4" xfId="16760" xr:uid="{B050A23F-FEF5-46EA-8083-BF1258A6722C}"/>
    <cellStyle name="Calculation 3 3 25 2 5" xfId="16761" xr:uid="{FCE38C05-ED28-4FA6-B165-4D8BFB797C03}"/>
    <cellStyle name="Calculation 3 3 25 2 6" xfId="16762" xr:uid="{547B976A-1782-4653-9FCB-39B809BBD108}"/>
    <cellStyle name="Calculation 3 3 25 3" xfId="16763" xr:uid="{50D5E07F-B000-4AEF-9CE6-B7809A4A0CF9}"/>
    <cellStyle name="Calculation 3 3 25 4" xfId="16764" xr:uid="{DA842A9E-4806-41C6-A73A-BBFF3FA30865}"/>
    <cellStyle name="Calculation 3 3 25 5" xfId="16765" xr:uid="{A3B7BAEF-D68B-4A78-BDAA-696E3C258BF4}"/>
    <cellStyle name="Calculation 3 3 25 6" xfId="16766" xr:uid="{4E05DDE8-15E8-4AC0-BEB7-481C002A7270}"/>
    <cellStyle name="Calculation 3 3 25 7" xfId="16767" xr:uid="{96E244BD-C2AF-484D-B081-EA1301D4492E}"/>
    <cellStyle name="Calculation 3 3 26" xfId="528" xr:uid="{D4863BDA-5143-482E-9E1C-89C609729A38}"/>
    <cellStyle name="Calculation 3 3 26 2" xfId="12010" xr:uid="{5046EE1F-E42A-483D-85CB-4FF4D1615F55}"/>
    <cellStyle name="Calculation 3 3 26 2 2" xfId="16768" xr:uid="{70B06571-6B51-4618-BF11-8D0383B94D72}"/>
    <cellStyle name="Calculation 3 3 26 2 3" xfId="16769" xr:uid="{F7466B72-34A1-446C-BC80-2BAA9431FAA5}"/>
    <cellStyle name="Calculation 3 3 26 2 4" xfId="16770" xr:uid="{900F814C-DD30-40CD-9248-6B5E6015D402}"/>
    <cellStyle name="Calculation 3 3 26 2 5" xfId="16771" xr:uid="{344F984F-1F00-4066-80E7-9B30849D4922}"/>
    <cellStyle name="Calculation 3 3 26 2 6" xfId="16772" xr:uid="{B0D407B1-67E1-4015-A201-3DEBEA238994}"/>
    <cellStyle name="Calculation 3 3 26 3" xfId="16773" xr:uid="{39B63DA2-F4A0-474F-827A-D87B1DB89AD5}"/>
    <cellStyle name="Calculation 3 3 26 4" xfId="16774" xr:uid="{A2D880FB-5F71-4899-A3F2-7E78A52CE713}"/>
    <cellStyle name="Calculation 3 3 26 5" xfId="16775" xr:uid="{45658520-59E8-451A-8FB6-259F79320D95}"/>
    <cellStyle name="Calculation 3 3 26 6" xfId="16776" xr:uid="{3664B3D4-AA82-4751-A2A0-52B156BD1296}"/>
    <cellStyle name="Calculation 3 3 26 7" xfId="16777" xr:uid="{C021CBC1-7B7B-4FB9-B48A-30F8DA16CB97}"/>
    <cellStyle name="Calculation 3 3 27" xfId="529" xr:uid="{7F135DFA-BAEC-473A-B839-E71DA0BD9AB6}"/>
    <cellStyle name="Calculation 3 3 27 2" xfId="12093" xr:uid="{50A495D1-E8A8-4802-A8E1-2E15E6EE1D16}"/>
    <cellStyle name="Calculation 3 3 27 2 2" xfId="16778" xr:uid="{52C03941-A7C2-4E1D-A1F1-44F6E188527E}"/>
    <cellStyle name="Calculation 3 3 27 2 3" xfId="16779" xr:uid="{66406F1A-5B69-41CB-A2C7-77A9B774A658}"/>
    <cellStyle name="Calculation 3 3 27 2 4" xfId="16780" xr:uid="{60B28C64-AB62-4F57-AD21-F424B0311E91}"/>
    <cellStyle name="Calculation 3 3 27 2 5" xfId="16781" xr:uid="{065E10A2-B303-4998-A730-ED7BC5D25E78}"/>
    <cellStyle name="Calculation 3 3 27 2 6" xfId="16782" xr:uid="{69D98560-2E8B-4B92-8472-C757C28266FC}"/>
    <cellStyle name="Calculation 3 3 27 3" xfId="16783" xr:uid="{663F1B4E-DBF2-4B33-A227-B99EDA0D0B5D}"/>
    <cellStyle name="Calculation 3 3 27 4" xfId="16784" xr:uid="{55B648EB-D22D-429E-9841-3F7901919DBC}"/>
    <cellStyle name="Calculation 3 3 27 5" xfId="16785" xr:uid="{CFB77D91-2BCF-4516-B78E-8C5CDD756AB3}"/>
    <cellStyle name="Calculation 3 3 27 6" xfId="16786" xr:uid="{58034591-4DAF-4D75-BB74-6738B0AA1C74}"/>
    <cellStyle name="Calculation 3 3 27 7" xfId="16787" xr:uid="{6E695D5B-8B22-450C-9450-A6741948B406}"/>
    <cellStyle name="Calculation 3 3 28" xfId="530" xr:uid="{587CBFD9-46AC-4306-8912-046CF3E620C6}"/>
    <cellStyle name="Calculation 3 3 28 2" xfId="12175" xr:uid="{126B5F6C-CCAE-4683-B044-AEB883F35BEB}"/>
    <cellStyle name="Calculation 3 3 28 2 2" xfId="16788" xr:uid="{523F5AAC-1444-43EE-9CEB-C2E32E0BAAE2}"/>
    <cellStyle name="Calculation 3 3 28 2 3" xfId="16789" xr:uid="{EFC5C2E0-27AC-45FB-9D4D-385F35A2054C}"/>
    <cellStyle name="Calculation 3 3 28 2 4" xfId="16790" xr:uid="{14B9C83C-6BC9-4111-80EC-3C72FEB01C15}"/>
    <cellStyle name="Calculation 3 3 28 2 5" xfId="16791" xr:uid="{8F75F7EE-1426-4922-87D9-552589DE5E32}"/>
    <cellStyle name="Calculation 3 3 28 2 6" xfId="16792" xr:uid="{8AFE7143-CA33-4DEB-A2BB-EC44630A0EF7}"/>
    <cellStyle name="Calculation 3 3 28 3" xfId="16793" xr:uid="{AEE315DD-0008-4DB3-B6EA-BA75BD47F0A0}"/>
    <cellStyle name="Calculation 3 3 28 4" xfId="16794" xr:uid="{FCF9E116-CF76-45E4-B343-A886D093730A}"/>
    <cellStyle name="Calculation 3 3 28 5" xfId="16795" xr:uid="{FADCC15E-5B29-4DCC-8754-6ECAE1168705}"/>
    <cellStyle name="Calculation 3 3 28 6" xfId="16796" xr:uid="{0A014F21-0F3A-4E76-B2AA-67D1D2F0C482}"/>
    <cellStyle name="Calculation 3 3 28 7" xfId="16797" xr:uid="{427D00BB-F92B-4B1C-9537-EF1A2C48F670}"/>
    <cellStyle name="Calculation 3 3 29" xfId="531" xr:uid="{23C57CBE-C17A-4250-BFEC-FD7D4F42A47A}"/>
    <cellStyle name="Calculation 3 3 29 2" xfId="12255" xr:uid="{C3D879D7-700C-47A3-9887-480755907EFA}"/>
    <cellStyle name="Calculation 3 3 29 2 2" xfId="16798" xr:uid="{C5F9DCA1-D72A-45B4-80F9-DB2B6D3B46F5}"/>
    <cellStyle name="Calculation 3 3 29 2 3" xfId="16799" xr:uid="{CB49D7E7-61D4-4C69-916D-D9600AEA3730}"/>
    <cellStyle name="Calculation 3 3 29 2 4" xfId="16800" xr:uid="{32761563-0EE6-4F12-BD6F-569DA677BEB0}"/>
    <cellStyle name="Calculation 3 3 29 2 5" xfId="16801" xr:uid="{0876C1CA-DEA6-4DE7-AD34-D6780F080442}"/>
    <cellStyle name="Calculation 3 3 29 2 6" xfId="16802" xr:uid="{AE7807D6-1BDB-4686-AC17-AC1A86668776}"/>
    <cellStyle name="Calculation 3 3 29 3" xfId="16803" xr:uid="{104EEF32-9249-4068-B869-DA7E08E60F20}"/>
    <cellStyle name="Calculation 3 3 29 4" xfId="16804" xr:uid="{3F719547-2A9E-416F-9E7B-7BDACAE82DA6}"/>
    <cellStyle name="Calculation 3 3 29 5" xfId="16805" xr:uid="{1FAD092C-E16D-4C2A-9B29-3E9C78AD4C8F}"/>
    <cellStyle name="Calculation 3 3 29 6" xfId="16806" xr:uid="{74F81A32-AC4F-4FF5-86C7-8FB0CA84DA9D}"/>
    <cellStyle name="Calculation 3 3 29 7" xfId="16807" xr:uid="{F6A2543C-A329-4EE1-AEC3-A8B89B244EA5}"/>
    <cellStyle name="Calculation 3 3 3" xfId="532" xr:uid="{2AB7718B-99F0-429D-BAF9-9488060C9D68}"/>
    <cellStyle name="Calculation 3 3 3 2" xfId="10011" xr:uid="{1B91A33F-ED10-4A85-AF19-536AC80B49D0}"/>
    <cellStyle name="Calculation 3 3 3 2 2" xfId="16808" xr:uid="{342729A8-DAA2-4F67-9183-781FBE4D5EDF}"/>
    <cellStyle name="Calculation 3 3 3 2 3" xfId="16809" xr:uid="{155647EF-531F-4578-9FB4-67006D2043FF}"/>
    <cellStyle name="Calculation 3 3 3 2 4" xfId="16810" xr:uid="{8D88401F-D286-4D24-AE06-E181B13359E7}"/>
    <cellStyle name="Calculation 3 3 3 2 5" xfId="16811" xr:uid="{513EB76B-AE7E-4706-A239-8B87B4365CD4}"/>
    <cellStyle name="Calculation 3 3 3 2 6" xfId="16812" xr:uid="{6A6C69E5-37D8-4B9C-BEFE-F39743F9DF70}"/>
    <cellStyle name="Calculation 3 3 3 3" xfId="16813" xr:uid="{27479DFC-0C4A-4B38-A407-CA1B31CBBCF5}"/>
    <cellStyle name="Calculation 3 3 3 4" xfId="16814" xr:uid="{35B07516-F8A6-4C12-A853-558EEE3470E9}"/>
    <cellStyle name="Calculation 3 3 3 5" xfId="16815" xr:uid="{E117005B-17F2-4363-9FD7-B13DA0F192CC}"/>
    <cellStyle name="Calculation 3 3 3 6" xfId="16816" xr:uid="{116061B2-54E0-44AA-A7EB-6CB57759D14C}"/>
    <cellStyle name="Calculation 3 3 3 7" xfId="16817" xr:uid="{198629DA-6CA2-4446-ACFA-96779B06A06F}"/>
    <cellStyle name="Calculation 3 3 30" xfId="533" xr:uid="{214C8172-873D-43A7-BD80-DCDBF3F821B4}"/>
    <cellStyle name="Calculation 3 3 30 2" xfId="12333" xr:uid="{03F0DBAF-7B4B-4B54-AB1E-6C659471915B}"/>
    <cellStyle name="Calculation 3 3 30 2 2" xfId="16818" xr:uid="{5EB77F49-DF65-45B1-B154-B580A53310C7}"/>
    <cellStyle name="Calculation 3 3 30 2 3" xfId="16819" xr:uid="{E5E1FC07-2880-4668-89B8-40D60197702D}"/>
    <cellStyle name="Calculation 3 3 30 2 4" xfId="16820" xr:uid="{C76E4995-9672-47C9-BBD8-7379B3978E28}"/>
    <cellStyle name="Calculation 3 3 30 2 5" xfId="16821" xr:uid="{76F52466-A4BA-48E6-807C-E047F625E0A9}"/>
    <cellStyle name="Calculation 3 3 30 2 6" xfId="16822" xr:uid="{2136D978-9054-4F1D-9AF5-AEBBDBFA4D64}"/>
    <cellStyle name="Calculation 3 3 30 3" xfId="16823" xr:uid="{143F6C13-6FF9-4E04-9447-52214A6CA5F5}"/>
    <cellStyle name="Calculation 3 3 30 4" xfId="16824" xr:uid="{A52C67DA-82B4-431C-8B49-CB3D71928476}"/>
    <cellStyle name="Calculation 3 3 30 5" xfId="16825" xr:uid="{448875B8-B5D2-490B-8D3C-D6F4897371FD}"/>
    <cellStyle name="Calculation 3 3 30 6" xfId="16826" xr:uid="{1F688A7A-B429-416B-B45F-382AEE16FB77}"/>
    <cellStyle name="Calculation 3 3 30 7" xfId="16827" xr:uid="{DDB48F49-7303-4445-91C7-FBE5B94D23A4}"/>
    <cellStyle name="Calculation 3 3 31" xfId="534" xr:uid="{E0563C28-2601-49F6-9600-88C9DEEC6528}"/>
    <cellStyle name="Calculation 3 3 31 2" xfId="12412" xr:uid="{8A3B5215-B795-4490-B4D1-2D879ED45246}"/>
    <cellStyle name="Calculation 3 3 31 2 2" xfId="16828" xr:uid="{C8A44FAF-2BBB-4688-A54A-97D33326EDB0}"/>
    <cellStyle name="Calculation 3 3 31 2 3" xfId="16829" xr:uid="{CC31A468-F472-4F92-96A2-FD1EE6A624A5}"/>
    <cellStyle name="Calculation 3 3 31 2 4" xfId="16830" xr:uid="{296847F8-EE09-4786-A4C0-ED0A7C369D55}"/>
    <cellStyle name="Calculation 3 3 31 2 5" xfId="16831" xr:uid="{814FFD08-A7BF-4C42-8F00-1FDA6D7F76AB}"/>
    <cellStyle name="Calculation 3 3 31 2 6" xfId="16832" xr:uid="{A04A6474-2404-480D-A431-087E6357EFD9}"/>
    <cellStyle name="Calculation 3 3 31 3" xfId="16833" xr:uid="{95144564-0F3E-4630-9345-55824EF24DDE}"/>
    <cellStyle name="Calculation 3 3 31 4" xfId="16834" xr:uid="{A5CED2BF-0857-4999-8FFF-DF9E88EA7AFC}"/>
    <cellStyle name="Calculation 3 3 31 5" xfId="16835" xr:uid="{C2042500-ED3D-42ED-8446-9E388B55C0E6}"/>
    <cellStyle name="Calculation 3 3 31 6" xfId="16836" xr:uid="{37B46F9D-6A62-4D98-80C4-64BE7D83FE1E}"/>
    <cellStyle name="Calculation 3 3 31 7" xfId="16837" xr:uid="{E1A3E1E9-AC7E-4A7E-A165-3761F9D95EF2}"/>
    <cellStyle name="Calculation 3 3 32" xfId="535" xr:uid="{6E3AE594-F683-473C-AAAC-1ACC7A20B0F3}"/>
    <cellStyle name="Calculation 3 3 32 2" xfId="12491" xr:uid="{6376EAB0-EE21-44EA-B712-54742D4B62D3}"/>
    <cellStyle name="Calculation 3 3 32 2 2" xfId="16838" xr:uid="{A6E1118B-32A4-4C16-B3AC-880BAA1BEA8D}"/>
    <cellStyle name="Calculation 3 3 32 2 3" xfId="16839" xr:uid="{5CF1BEC0-8510-48BB-9D19-56AA6E9FB98D}"/>
    <cellStyle name="Calculation 3 3 32 2 4" xfId="16840" xr:uid="{1EC73FD1-F65C-4D8C-B9B8-4F0FC619671D}"/>
    <cellStyle name="Calculation 3 3 32 2 5" xfId="16841" xr:uid="{A33DE003-FE78-44EE-91A6-8D05DF9FBD07}"/>
    <cellStyle name="Calculation 3 3 32 2 6" xfId="16842" xr:uid="{062129B4-66B4-4A6F-BFF5-83698ED9D7CF}"/>
    <cellStyle name="Calculation 3 3 32 3" xfId="16843" xr:uid="{0C50AFF9-44CD-4975-993D-7606D4874CCE}"/>
    <cellStyle name="Calculation 3 3 32 4" xfId="16844" xr:uid="{B983F494-8C0A-4084-8638-D1B6C50D1D1C}"/>
    <cellStyle name="Calculation 3 3 32 5" xfId="16845" xr:uid="{B51CFB3E-FADF-41D6-AAC5-5C094D7DEA9D}"/>
    <cellStyle name="Calculation 3 3 32 6" xfId="16846" xr:uid="{412F6718-149C-4C2B-BD3B-0C2DD2BAF5F7}"/>
    <cellStyle name="Calculation 3 3 32 7" xfId="16847" xr:uid="{8D2FD20E-F5DF-4C94-940E-C1FC27637375}"/>
    <cellStyle name="Calculation 3 3 33" xfId="536" xr:uid="{47569A49-FFE8-4120-906B-62BAA65EF044}"/>
    <cellStyle name="Calculation 3 3 33 2" xfId="12570" xr:uid="{00EC2442-CB9D-4C12-BDCE-363419C4687C}"/>
    <cellStyle name="Calculation 3 3 33 2 2" xfId="16848" xr:uid="{3D4B26B3-CE27-44D3-95AE-82368C9226D2}"/>
    <cellStyle name="Calculation 3 3 33 2 3" xfId="16849" xr:uid="{268CD933-7FDD-4839-BA11-A70B9D88747E}"/>
    <cellStyle name="Calculation 3 3 33 2 4" xfId="16850" xr:uid="{14B9D652-5077-453B-8D09-81959359A06A}"/>
    <cellStyle name="Calculation 3 3 33 2 5" xfId="16851" xr:uid="{0DA6D880-F643-4E11-B4D8-08687AF6B812}"/>
    <cellStyle name="Calculation 3 3 33 2 6" xfId="16852" xr:uid="{6E605182-E9B9-47CB-AD90-ED4EF9205C6A}"/>
    <cellStyle name="Calculation 3 3 33 3" xfId="16853" xr:uid="{0ACB6D94-5B6A-4EF0-80F7-5556DBED3E32}"/>
    <cellStyle name="Calculation 3 3 33 4" xfId="16854" xr:uid="{EBD5AFF6-654B-4BD0-B23E-B48FBD720EFD}"/>
    <cellStyle name="Calculation 3 3 33 5" xfId="16855" xr:uid="{85CA45FB-A0FA-46C5-A3FA-2E24A3684492}"/>
    <cellStyle name="Calculation 3 3 33 6" xfId="16856" xr:uid="{316CF98C-BAE1-4D6B-9700-6D188AA4559A}"/>
    <cellStyle name="Calculation 3 3 33 7" xfId="16857" xr:uid="{BAF6D883-41E8-43C3-A9AD-6A10255E3F38}"/>
    <cellStyle name="Calculation 3 3 34" xfId="537" xr:uid="{A95D2684-F856-46F1-A908-9273E097F6C0}"/>
    <cellStyle name="Calculation 3 3 34 2" xfId="12649" xr:uid="{BA7E389B-F2D8-458F-BD5C-C0351AA5F045}"/>
    <cellStyle name="Calculation 3 3 34 2 2" xfId="16858" xr:uid="{4A866EBD-1514-4FD5-8C04-F1B4B75126BD}"/>
    <cellStyle name="Calculation 3 3 34 2 3" xfId="16859" xr:uid="{8938B098-8468-4ED3-83E3-B114BF218B91}"/>
    <cellStyle name="Calculation 3 3 34 2 4" xfId="16860" xr:uid="{933CB913-10CA-4EF8-B39D-F0E6DBA51541}"/>
    <cellStyle name="Calculation 3 3 34 2 5" xfId="16861" xr:uid="{5C51CAD5-E30B-46AC-96D7-B67CE6614443}"/>
    <cellStyle name="Calculation 3 3 34 2 6" xfId="16862" xr:uid="{E036448C-1785-4FC0-B15B-12EF786ADAE4}"/>
    <cellStyle name="Calculation 3 3 34 3" xfId="16863" xr:uid="{A187A346-ED6E-4BA7-86A1-66A5F365D8B7}"/>
    <cellStyle name="Calculation 3 3 34 4" xfId="16864" xr:uid="{9D4C085C-9B74-4E9F-90CF-63AA7946A94B}"/>
    <cellStyle name="Calculation 3 3 34 5" xfId="16865" xr:uid="{5BF45518-6127-4903-9437-B5E9B15EDE8E}"/>
    <cellStyle name="Calculation 3 3 34 6" xfId="16866" xr:uid="{93868F7E-2DB8-4253-9B3A-06A706397F8E}"/>
    <cellStyle name="Calculation 3 3 34 7" xfId="16867" xr:uid="{1F4441DB-514D-4E26-A386-43527204A5FE}"/>
    <cellStyle name="Calculation 3 3 35" xfId="538" xr:uid="{40B2E2EA-FD83-415A-A9EB-04E0047AB16D}"/>
    <cellStyle name="Calculation 3 3 35 2" xfId="12733" xr:uid="{2D7D85DF-ABA5-41F8-AC6D-A8D501370AF6}"/>
    <cellStyle name="Calculation 3 3 35 2 2" xfId="16868" xr:uid="{7296A51B-7C66-404F-B361-42ED5F42DE89}"/>
    <cellStyle name="Calculation 3 3 35 2 3" xfId="16869" xr:uid="{7F00FC5F-6C8D-47BC-81E9-10DE5A11CE9F}"/>
    <cellStyle name="Calculation 3 3 35 2 4" xfId="16870" xr:uid="{A5426E88-304B-4C77-96C9-C77EEC4E083B}"/>
    <cellStyle name="Calculation 3 3 35 2 5" xfId="16871" xr:uid="{FCEF8F62-C7CC-46B2-B348-B42242224569}"/>
    <cellStyle name="Calculation 3 3 35 2 6" xfId="16872" xr:uid="{6E720B2A-A391-412B-BF51-76581823A6A2}"/>
    <cellStyle name="Calculation 3 3 35 3" xfId="16873" xr:uid="{1773E49B-47DA-44B7-9F86-BA9DABCF7A33}"/>
    <cellStyle name="Calculation 3 3 35 4" xfId="16874" xr:uid="{267A6B43-9EE7-436A-8869-C4D8DC057310}"/>
    <cellStyle name="Calculation 3 3 35 5" xfId="16875" xr:uid="{A10D746A-D359-40E1-A374-A37442900EB0}"/>
    <cellStyle name="Calculation 3 3 35 6" xfId="16876" xr:uid="{4F191E09-08F6-4607-A6EE-0C10EF66B92F}"/>
    <cellStyle name="Calculation 3 3 36" xfId="3824" xr:uid="{3177A7F7-F60F-4DF9-9B06-64ED9257D71B}"/>
    <cellStyle name="Calculation 3 3 36 2" xfId="16877" xr:uid="{DFEEBE8C-17B0-4B26-9A3F-27C5F20EF5EC}"/>
    <cellStyle name="Calculation 3 3 36 3" xfId="16878" xr:uid="{46EE26D8-0CD9-45E9-BFA8-BC36F04EE190}"/>
    <cellStyle name="Calculation 3 3 36 4" xfId="16879" xr:uid="{3A2036D1-C9A0-4886-A8FD-2FA86EA52A09}"/>
    <cellStyle name="Calculation 3 3 36 5" xfId="16880" xr:uid="{448063D0-0B99-444F-8A28-264E2E151A0C}"/>
    <cellStyle name="Calculation 3 3 36 6" xfId="16881" xr:uid="{0BF85FCC-0F14-4859-AB2F-F6E47E6F9DF7}"/>
    <cellStyle name="Calculation 3 3 37" xfId="9798" xr:uid="{7AFAC6A7-06A6-4ED8-8637-E988E39F3A5F}"/>
    <cellStyle name="Calculation 3 3 37 2" xfId="16882" xr:uid="{CC600501-5BF1-4CC2-925B-2ED81FDEE6CE}"/>
    <cellStyle name="Calculation 3 3 37 3" xfId="16883" xr:uid="{6D5DBE21-C23A-4A07-A081-8EEC1182F632}"/>
    <cellStyle name="Calculation 3 3 37 4" xfId="16884" xr:uid="{EC923470-1952-4E8F-961C-35BA9A32D7A4}"/>
    <cellStyle name="Calculation 3 3 37 5" xfId="16885" xr:uid="{8EFEC60F-DFB6-4732-9138-D272F3D33288}"/>
    <cellStyle name="Calculation 3 3 37 6" xfId="16886" xr:uid="{D5E8FE74-D1C6-4C9A-B794-17ACE2A4CCFB}"/>
    <cellStyle name="Calculation 3 3 38" xfId="16887" xr:uid="{2650995F-233A-4DAD-9734-5B00E265DE7F}"/>
    <cellStyle name="Calculation 3 3 39" xfId="16888" xr:uid="{E28B8BC6-A585-48FE-ABA4-96BADEB03171}"/>
    <cellStyle name="Calculation 3 3 4" xfId="539" xr:uid="{8FB49362-79CA-484B-945B-6851EDC2CB6A}"/>
    <cellStyle name="Calculation 3 3 4 2" xfId="10102" xr:uid="{F7A2177C-BEE1-4E28-9F86-8073FA6E89FE}"/>
    <cellStyle name="Calculation 3 3 4 2 2" xfId="16889" xr:uid="{49E66431-D4D3-4C4D-8D36-A068E5037F81}"/>
    <cellStyle name="Calculation 3 3 4 2 3" xfId="16890" xr:uid="{26A250AC-E85A-4D69-A1DF-96858E601E35}"/>
    <cellStyle name="Calculation 3 3 4 2 4" xfId="16891" xr:uid="{981A3263-2B5C-4C47-98E4-2A05322120AE}"/>
    <cellStyle name="Calculation 3 3 4 2 5" xfId="16892" xr:uid="{B0161F10-C83B-4B19-8051-B8B3066D1FC0}"/>
    <cellStyle name="Calculation 3 3 4 2 6" xfId="16893" xr:uid="{B4D66A93-5DA3-40C4-9AB1-71760A14D452}"/>
    <cellStyle name="Calculation 3 3 4 3" xfId="16894" xr:uid="{030F2386-B59B-43E5-8226-D016B9C7E8AF}"/>
    <cellStyle name="Calculation 3 3 4 4" xfId="16895" xr:uid="{6E66C678-C65F-489E-9526-66D1D45D61AF}"/>
    <cellStyle name="Calculation 3 3 4 5" xfId="16896" xr:uid="{AD948F96-0804-4585-A5C3-CA2A71CDBF06}"/>
    <cellStyle name="Calculation 3 3 4 6" xfId="16897" xr:uid="{855145B7-CB35-45C6-BE20-FC1E0E91E93D}"/>
    <cellStyle name="Calculation 3 3 4 7" xfId="16898" xr:uid="{BF32D232-6EE4-4D58-B7AD-046169CF6369}"/>
    <cellStyle name="Calculation 3 3 5" xfId="540" xr:uid="{3AFE6AEA-26F2-48AD-BE7D-883A77979485}"/>
    <cellStyle name="Calculation 3 3 5 2" xfId="10192" xr:uid="{81C0463A-F59C-43B9-B832-0F0CAC55DFEA}"/>
    <cellStyle name="Calculation 3 3 5 2 2" xfId="16899" xr:uid="{DCDBCD8C-F01C-4EF2-8F26-9BDDC1F23B96}"/>
    <cellStyle name="Calculation 3 3 5 2 3" xfId="16900" xr:uid="{BC048261-C5E4-464A-ABD0-0FAA40EABB9C}"/>
    <cellStyle name="Calculation 3 3 5 2 4" xfId="16901" xr:uid="{FB4C647A-A91A-4BE3-AC32-887B2C705DF2}"/>
    <cellStyle name="Calculation 3 3 5 2 5" xfId="16902" xr:uid="{B8A8E16C-9279-40F5-9789-49245040C447}"/>
    <cellStyle name="Calculation 3 3 5 2 6" xfId="16903" xr:uid="{B0F9EB0D-B3E9-4BE5-A7A6-462106EECC73}"/>
    <cellStyle name="Calculation 3 3 5 3" xfId="16904" xr:uid="{D622115F-DBAE-48DE-8AC6-3AC2CBF3EBF5}"/>
    <cellStyle name="Calculation 3 3 5 4" xfId="16905" xr:uid="{978B3762-9B02-4E4C-BF23-AA56B04F53FD}"/>
    <cellStyle name="Calculation 3 3 5 5" xfId="16906" xr:uid="{7ABFE6BE-66A9-4E42-B7DB-729BC9AFB857}"/>
    <cellStyle name="Calculation 3 3 5 6" xfId="16907" xr:uid="{709628A0-073D-4B50-B0FB-8AEC44808D8B}"/>
    <cellStyle name="Calculation 3 3 5 7" xfId="16908" xr:uid="{95D92F5E-BE9F-4D3E-A009-0CE6BC74047D}"/>
    <cellStyle name="Calculation 3 3 6" xfId="541" xr:uid="{AA028951-FA9F-4A33-B031-DC61CFBF99AA}"/>
    <cellStyle name="Calculation 3 3 6 2" xfId="10278" xr:uid="{3BD5BCBD-7093-479B-BA0D-522676FD6EEA}"/>
    <cellStyle name="Calculation 3 3 6 2 2" xfId="16909" xr:uid="{58DDAC75-F0A1-463F-AF5D-5505C63C53B8}"/>
    <cellStyle name="Calculation 3 3 6 2 3" xfId="16910" xr:uid="{0CEBE2D5-31D7-4EE6-A111-F1CB4DD56A62}"/>
    <cellStyle name="Calculation 3 3 6 2 4" xfId="16911" xr:uid="{A2157800-C3E8-489C-9CA2-AB81878BD32F}"/>
    <cellStyle name="Calculation 3 3 6 2 5" xfId="16912" xr:uid="{8F1C1587-BBE3-45BD-AD9E-E11ED9B96838}"/>
    <cellStyle name="Calculation 3 3 6 2 6" xfId="16913" xr:uid="{C78805FA-90AC-4A5C-9FF2-D75EC87A825C}"/>
    <cellStyle name="Calculation 3 3 6 3" xfId="16914" xr:uid="{28B41473-13EF-439B-B66E-CA7A05CCA581}"/>
    <cellStyle name="Calculation 3 3 6 4" xfId="16915" xr:uid="{C95B3585-5D6B-4636-9F91-0916AF45EC9D}"/>
    <cellStyle name="Calculation 3 3 6 5" xfId="16916" xr:uid="{0876369F-C41C-44CE-A362-5B066CBA4524}"/>
    <cellStyle name="Calculation 3 3 6 6" xfId="16917" xr:uid="{008F403B-5ADE-4CE9-BCCF-32F8EF409A26}"/>
    <cellStyle name="Calculation 3 3 6 7" xfId="16918" xr:uid="{B591ABAE-CDA6-4B1B-8319-81BC62D1616F}"/>
    <cellStyle name="Calculation 3 3 7" xfId="542" xr:uid="{32856434-84C0-47F1-B11C-571C4D9DEB06}"/>
    <cellStyle name="Calculation 3 3 7 2" xfId="10366" xr:uid="{43D74CAD-E61F-478F-93D5-BEAD246BA82D}"/>
    <cellStyle name="Calculation 3 3 7 2 2" xfId="16919" xr:uid="{410FEBAE-1D25-4A65-8DF4-1462050ED88E}"/>
    <cellStyle name="Calculation 3 3 7 2 3" xfId="16920" xr:uid="{761B08BD-0D44-4B85-9F18-3762BBA01E15}"/>
    <cellStyle name="Calculation 3 3 7 2 4" xfId="16921" xr:uid="{EA12794E-0209-4DC6-A19B-C717B8B246F4}"/>
    <cellStyle name="Calculation 3 3 7 2 5" xfId="16922" xr:uid="{BFDEEC22-A602-410C-A46A-7BF66170A5C4}"/>
    <cellStyle name="Calculation 3 3 7 2 6" xfId="16923" xr:uid="{C737D609-B7EF-4951-A4D2-D9A4F6D1B7B9}"/>
    <cellStyle name="Calculation 3 3 7 3" xfId="16924" xr:uid="{5BF173DA-8C81-43D4-9F70-24097AA15AE2}"/>
    <cellStyle name="Calculation 3 3 7 4" xfId="16925" xr:uid="{A726C6D0-738A-438D-A9BE-54B61557A841}"/>
    <cellStyle name="Calculation 3 3 7 5" xfId="16926" xr:uid="{73E13DDB-7BC1-4964-83AB-5E9C0F9F3E48}"/>
    <cellStyle name="Calculation 3 3 7 6" xfId="16927" xr:uid="{642737B6-3D71-436A-B74E-F558CA178FD2}"/>
    <cellStyle name="Calculation 3 3 7 7" xfId="16928" xr:uid="{BB781374-2226-44CE-B328-F5811D820543}"/>
    <cellStyle name="Calculation 3 3 8" xfId="543" xr:uid="{22D53837-07F5-4BEA-A117-93EC5DC5386A}"/>
    <cellStyle name="Calculation 3 3 8 2" xfId="10453" xr:uid="{957F06CF-E8B0-458A-BC66-3CF5F6A38D50}"/>
    <cellStyle name="Calculation 3 3 8 2 2" xfId="16929" xr:uid="{CBBA4D3D-6136-4D24-B878-FFD7CBD49F71}"/>
    <cellStyle name="Calculation 3 3 8 2 3" xfId="16930" xr:uid="{B4F8DF85-02D4-41F3-BB21-2E0871630096}"/>
    <cellStyle name="Calculation 3 3 8 2 4" xfId="16931" xr:uid="{EE0AB393-FC3B-4425-BCBE-6E096425C383}"/>
    <cellStyle name="Calculation 3 3 8 2 5" xfId="16932" xr:uid="{B27C48C7-E361-4D8B-AD29-0EDAB7DAFE66}"/>
    <cellStyle name="Calculation 3 3 8 2 6" xfId="16933" xr:uid="{6BFC465F-1C1C-4F50-9E21-7A5444FB003A}"/>
    <cellStyle name="Calculation 3 3 8 3" xfId="16934" xr:uid="{64122F16-5C12-434F-BC8E-ACD49AD96CEB}"/>
    <cellStyle name="Calculation 3 3 8 4" xfId="16935" xr:uid="{EAE0ECCA-F91D-4E42-BBE6-0B39CF256708}"/>
    <cellStyle name="Calculation 3 3 8 5" xfId="16936" xr:uid="{064B0194-9510-4593-9867-92FC79046A62}"/>
    <cellStyle name="Calculation 3 3 8 6" xfId="16937" xr:uid="{1A49E60F-5A2F-419A-BD72-AB3D4C440CC6}"/>
    <cellStyle name="Calculation 3 3 8 7" xfId="16938" xr:uid="{D211D08E-BF2C-4A56-916A-898F1F951AA1}"/>
    <cellStyle name="Calculation 3 3 9" xfId="544" xr:uid="{5D8067B5-F8BC-4985-9018-BED9451A7F64}"/>
    <cellStyle name="Calculation 3 3 9 2" xfId="10542" xr:uid="{130C3CE9-3612-4EDE-8D2D-B6902DA2A9E5}"/>
    <cellStyle name="Calculation 3 3 9 2 2" xfId="16939" xr:uid="{B2520A1B-14C4-4BE2-A0B6-5D2FA2049D26}"/>
    <cellStyle name="Calculation 3 3 9 2 3" xfId="16940" xr:uid="{A11AB0C9-EC58-4BA7-8A11-2D9EEEE320BA}"/>
    <cellStyle name="Calculation 3 3 9 2 4" xfId="16941" xr:uid="{A49412BD-605A-4290-BD76-128B5004E0B0}"/>
    <cellStyle name="Calculation 3 3 9 2 5" xfId="16942" xr:uid="{0597553A-5C8E-43EF-9BAC-7871F188B51C}"/>
    <cellStyle name="Calculation 3 3 9 2 6" xfId="16943" xr:uid="{6230F6D8-BF1E-4B6A-B593-E15F92D8586E}"/>
    <cellStyle name="Calculation 3 3 9 3" xfId="16944" xr:uid="{0BCA0526-52DC-4512-BAF1-1D65834A6745}"/>
    <cellStyle name="Calculation 3 3 9 4" xfId="16945" xr:uid="{95AE358E-2FF7-4F8F-B576-780E8A730C66}"/>
    <cellStyle name="Calculation 3 3 9 5" xfId="16946" xr:uid="{80DBE1C3-B45E-4240-84BB-3A7A5EC494BE}"/>
    <cellStyle name="Calculation 3 3 9 6" xfId="16947" xr:uid="{44F5EE8F-7296-42EB-9214-48F75241D003}"/>
    <cellStyle name="Calculation 3 3 9 7" xfId="16948" xr:uid="{6AAAC407-FE2A-4156-A876-11C27B7958AE}"/>
    <cellStyle name="Calculation 3 30" xfId="545" xr:uid="{F2706C81-D3AA-4A86-A93B-64BA477760B1}"/>
    <cellStyle name="Calculation 3 30 2" xfId="11046" xr:uid="{58C38A6F-2B5F-4D0C-A664-ADA2E9C0348A}"/>
    <cellStyle name="Calculation 3 30 2 2" xfId="16949" xr:uid="{BC9174FE-9181-4240-95D2-C9CEA0B23B3E}"/>
    <cellStyle name="Calculation 3 30 2 3" xfId="16950" xr:uid="{F6B0A494-E158-4C6D-A05B-965073C3BE1C}"/>
    <cellStyle name="Calculation 3 30 2 4" xfId="16951" xr:uid="{D1A352D4-4B74-4265-B975-5C07322EE0CA}"/>
    <cellStyle name="Calculation 3 30 2 5" xfId="16952" xr:uid="{FDD70DF0-C967-49BE-98A4-F4AAEC1D0456}"/>
    <cellStyle name="Calculation 3 30 2 6" xfId="16953" xr:uid="{8158F175-34D0-4FB7-A941-4DBC111B45C2}"/>
    <cellStyle name="Calculation 3 30 3" xfId="16954" xr:uid="{34881A12-5328-4C4A-9E2E-C030E18EEF55}"/>
    <cellStyle name="Calculation 3 30 4" xfId="16955" xr:uid="{F531CD84-5961-4FA0-85FA-D809896288C7}"/>
    <cellStyle name="Calculation 3 30 5" xfId="16956" xr:uid="{D0734D18-9A43-4286-81B4-F730C34CAE97}"/>
    <cellStyle name="Calculation 3 30 6" xfId="16957" xr:uid="{E22CC401-DCB6-4794-8ED3-9ECD4DD6E40B}"/>
    <cellStyle name="Calculation 3 30 7" xfId="16958" xr:uid="{010952BA-6F3A-4DC6-9C57-A00049F86F7D}"/>
    <cellStyle name="Calculation 3 31" xfId="546" xr:uid="{81904105-032B-4257-B568-EAAC1EF895A8}"/>
    <cellStyle name="Calculation 3 31 2" xfId="9734" xr:uid="{6A303642-76A8-450D-AD3B-34181B20BE3F}"/>
    <cellStyle name="Calculation 3 31 2 2" xfId="16959" xr:uid="{22A791D1-476D-4481-98A7-54D3FF61886E}"/>
    <cellStyle name="Calculation 3 31 2 3" xfId="16960" xr:uid="{38C786BD-E8DC-4BB3-9649-7626C6D8B4A6}"/>
    <cellStyle name="Calculation 3 31 2 4" xfId="16961" xr:uid="{AA1B9A9F-1025-431E-A3C0-FD2BC6975313}"/>
    <cellStyle name="Calculation 3 31 2 5" xfId="16962" xr:uid="{024F2959-E0CB-4518-B1B1-D4DE59FD9B64}"/>
    <cellStyle name="Calculation 3 31 2 6" xfId="16963" xr:uid="{17D597D2-A413-476D-AD89-F4114FB1048B}"/>
    <cellStyle name="Calculation 3 31 3" xfId="16964" xr:uid="{682C9743-481A-405D-A204-5CA4E11C3DEC}"/>
    <cellStyle name="Calculation 3 31 4" xfId="16965" xr:uid="{0100BEC9-DD66-4255-A9A1-01D6AA8DB67E}"/>
    <cellStyle name="Calculation 3 31 5" xfId="16966" xr:uid="{313B28F1-5C23-4101-AA9C-AF2E1BFC8380}"/>
    <cellStyle name="Calculation 3 31 6" xfId="16967" xr:uid="{5FF57444-712C-4020-A3D7-EB3B699680E1}"/>
    <cellStyle name="Calculation 3 31 7" xfId="16968" xr:uid="{4D3159AE-5DA1-45F9-BB83-87D515B8A7F0}"/>
    <cellStyle name="Calculation 3 32" xfId="547" xr:uid="{EDB20458-781B-4FA9-8566-77975257EDC3}"/>
    <cellStyle name="Calculation 3 32 2" xfId="9883" xr:uid="{443E66A8-ACD5-450B-8603-21B3ABA4DBF5}"/>
    <cellStyle name="Calculation 3 32 2 2" xfId="16969" xr:uid="{BBDCE594-E0C0-4836-9E84-34F115BAD3AE}"/>
    <cellStyle name="Calculation 3 32 2 3" xfId="16970" xr:uid="{38C5E49D-B249-4386-A6CF-D780B44F7742}"/>
    <cellStyle name="Calculation 3 32 2 4" xfId="16971" xr:uid="{DCF96F9E-6D6D-4F59-A4E6-FAA279365848}"/>
    <cellStyle name="Calculation 3 32 2 5" xfId="16972" xr:uid="{523D33C1-B470-4261-A2B2-9F7A27829B20}"/>
    <cellStyle name="Calculation 3 32 2 6" xfId="16973" xr:uid="{97C1C185-AA39-431E-BF80-A3C0E258A832}"/>
    <cellStyle name="Calculation 3 32 3" xfId="16974" xr:uid="{1FD73395-A2CA-4F9C-87EB-EBF2617458EF}"/>
    <cellStyle name="Calculation 3 32 4" xfId="16975" xr:uid="{0AB31119-D069-4138-81AC-10C361012B19}"/>
    <cellStyle name="Calculation 3 32 5" xfId="16976" xr:uid="{D0CF503E-C091-4954-A493-CA42512B274F}"/>
    <cellStyle name="Calculation 3 32 6" xfId="16977" xr:uid="{D8E233E1-59BA-40CC-86F2-401198400D3E}"/>
    <cellStyle name="Calculation 3 32 7" xfId="16978" xr:uid="{C1E31C89-E6A7-4B40-843C-84B73E7289C1}"/>
    <cellStyle name="Calculation 3 33" xfId="548" xr:uid="{FE04DB52-1407-4DFC-95F0-BA9C907DB2F7}"/>
    <cellStyle name="Calculation 3 33 2" xfId="9927" xr:uid="{B87E755F-CB4F-4AA1-A4EC-5F62F45362DA}"/>
    <cellStyle name="Calculation 3 33 2 2" xfId="16979" xr:uid="{ED7B4AC6-CF16-4713-A7D0-AB6BF8B40088}"/>
    <cellStyle name="Calculation 3 33 2 3" xfId="16980" xr:uid="{5F98E980-5369-4A9A-A50C-B1F9DBC20A94}"/>
    <cellStyle name="Calculation 3 33 2 4" xfId="16981" xr:uid="{C9F87E5B-405A-4F12-940D-11137DFBD99D}"/>
    <cellStyle name="Calculation 3 33 2 5" xfId="16982" xr:uid="{B1B8A3D5-C40F-4A01-AA73-48103693740B}"/>
    <cellStyle name="Calculation 3 33 2 6" xfId="16983" xr:uid="{1B429172-0B66-46FF-9864-3856FB146C08}"/>
    <cellStyle name="Calculation 3 33 3" xfId="16984" xr:uid="{F11A813A-C1CB-408F-B14B-DC568E579DD0}"/>
    <cellStyle name="Calculation 3 33 4" xfId="16985" xr:uid="{48A0BA7E-440C-46E0-8E79-2B64FA94AF03}"/>
    <cellStyle name="Calculation 3 33 5" xfId="16986" xr:uid="{4CD62D21-852B-4E83-958F-D836F7BC15E5}"/>
    <cellStyle name="Calculation 3 33 6" xfId="16987" xr:uid="{D8718A93-786F-4276-92E3-AFE0A5A8B46E}"/>
    <cellStyle name="Calculation 3 33 7" xfId="16988" xr:uid="{38CDBD41-6FA9-408A-B1D8-0FF9875B6F05}"/>
    <cellStyle name="Calculation 3 34" xfId="549" xr:uid="{89F0FCA0-E55E-4109-92AD-B540292523D9}"/>
    <cellStyle name="Calculation 3 34 2" xfId="12150" xr:uid="{35D36451-FC57-45F9-BA36-0CD943648C82}"/>
    <cellStyle name="Calculation 3 34 2 2" xfId="16989" xr:uid="{D0B999FC-54DF-4DBB-B4FD-3E631A7C79F2}"/>
    <cellStyle name="Calculation 3 34 2 3" xfId="16990" xr:uid="{168D0A13-6D04-491E-A262-4321A8F98653}"/>
    <cellStyle name="Calculation 3 34 2 4" xfId="16991" xr:uid="{BD2DF14D-A117-49AB-841D-D33A0EC6C7DD}"/>
    <cellStyle name="Calculation 3 34 2 5" xfId="16992" xr:uid="{F4DC58F0-5888-4B79-BF2E-E1B9C4E2BC2F}"/>
    <cellStyle name="Calculation 3 34 2 6" xfId="16993" xr:uid="{2B08E271-403B-4799-9123-A66C6603E31E}"/>
    <cellStyle name="Calculation 3 34 3" xfId="16994" xr:uid="{32172310-DE1E-4B2E-AF67-A6720A72B7D2}"/>
    <cellStyle name="Calculation 3 34 4" xfId="16995" xr:uid="{27085271-D3B0-4A80-8068-19C460D40E08}"/>
    <cellStyle name="Calculation 3 34 5" xfId="16996" xr:uid="{A8579C73-9B26-4257-9AA4-20E62BBBB279}"/>
    <cellStyle name="Calculation 3 34 6" xfId="16997" xr:uid="{54BAB58D-7AFA-48A5-BB79-2DD5B84FF120}"/>
    <cellStyle name="Calculation 3 34 7" xfId="16998" xr:uid="{9F8021C4-83A4-4AB1-9BA5-EBCD40277787}"/>
    <cellStyle name="Calculation 3 35" xfId="550" xr:uid="{508DD3E6-4648-422C-A434-34331E5C8208}"/>
    <cellStyle name="Calculation 3 35 2" xfId="12232" xr:uid="{CCF72A2C-5831-4175-AE3B-D3FC84876535}"/>
    <cellStyle name="Calculation 3 35 2 2" xfId="16999" xr:uid="{5DFA3715-F1C4-42D7-BC2B-ED2CC6F0530D}"/>
    <cellStyle name="Calculation 3 35 2 3" xfId="17000" xr:uid="{99EB91E8-CC64-4944-A6B8-03E2E0BA7C5D}"/>
    <cellStyle name="Calculation 3 35 2 4" xfId="17001" xr:uid="{DDDAB146-C33A-4C04-80E0-43A1B7AF8101}"/>
    <cellStyle name="Calculation 3 35 2 5" xfId="17002" xr:uid="{EAC5AC69-91D3-495C-B73B-73C4FB69A52F}"/>
    <cellStyle name="Calculation 3 35 2 6" xfId="17003" xr:uid="{D7080FB6-1BAD-4713-9E9C-01FFEF71B471}"/>
    <cellStyle name="Calculation 3 35 3" xfId="17004" xr:uid="{9DD63B4C-4C0E-467A-A804-37A1653D891C}"/>
    <cellStyle name="Calculation 3 35 4" xfId="17005" xr:uid="{1804C247-990C-4155-BCA9-DD6AEF35E312}"/>
    <cellStyle name="Calculation 3 35 5" xfId="17006" xr:uid="{5E8B860C-D63C-4202-8BA6-8A4188C536CE}"/>
    <cellStyle name="Calculation 3 35 6" xfId="17007" xr:uid="{9753A9AF-D6DC-4053-8110-2D1CD0A50781}"/>
    <cellStyle name="Calculation 3 35 7" xfId="17008" xr:uid="{A9CCB4E8-5770-49F8-A55A-81157AF2AA4C}"/>
    <cellStyle name="Calculation 3 36" xfId="551" xr:uid="{94A3C537-00CD-4BCE-95B1-EF20136A5BFD}"/>
    <cellStyle name="Calculation 3 36 2" xfId="10342" xr:uid="{74518C51-6062-4B0D-9B6F-2A9A00450651}"/>
    <cellStyle name="Calculation 3 36 2 2" xfId="17009" xr:uid="{16174EEA-E553-4089-91B3-99D0E515A3D6}"/>
    <cellStyle name="Calculation 3 36 2 3" xfId="17010" xr:uid="{B8D1E18F-B05F-442C-BBB1-48FF9E351208}"/>
    <cellStyle name="Calculation 3 36 2 4" xfId="17011" xr:uid="{43F728AB-D97C-46BB-B7C7-3E9D0C6331A3}"/>
    <cellStyle name="Calculation 3 36 2 5" xfId="17012" xr:uid="{47597544-2C84-43B7-B0B3-363D7112747D}"/>
    <cellStyle name="Calculation 3 36 2 6" xfId="17013" xr:uid="{AC8B6D17-ABE6-445D-8AB6-6EFEE61DA42D}"/>
    <cellStyle name="Calculation 3 36 3" xfId="17014" xr:uid="{DFD5CE6B-1D84-44C1-AB38-04A9C5B871CC}"/>
    <cellStyle name="Calculation 3 36 4" xfId="17015" xr:uid="{2FE7C15B-5C54-4BE7-9212-28E280E82967}"/>
    <cellStyle name="Calculation 3 36 5" xfId="17016" xr:uid="{B5DA7F6F-C005-4847-ACAF-B246A0DC644E}"/>
    <cellStyle name="Calculation 3 36 6" xfId="17017" xr:uid="{2FEF9354-551D-43CC-BF8C-77CA70D8DBBE}"/>
    <cellStyle name="Calculation 3 36 7" xfId="17018" xr:uid="{AF33B736-BA26-4043-AAB3-E9F4B4DF2117}"/>
    <cellStyle name="Calculation 3 37" xfId="552" xr:uid="{0DD18FC5-CE4B-48F4-8E78-353832E1C886}"/>
    <cellStyle name="Calculation 3 37 2" xfId="11241" xr:uid="{1C20AD72-CD98-407D-96C8-D32576C997FC}"/>
    <cellStyle name="Calculation 3 37 2 2" xfId="17019" xr:uid="{930260D6-4396-4028-94F6-89DD42906684}"/>
    <cellStyle name="Calculation 3 37 2 3" xfId="17020" xr:uid="{8B027586-CEF6-48C8-A8D6-15CC8E4C4A72}"/>
    <cellStyle name="Calculation 3 37 2 4" xfId="17021" xr:uid="{E8603E9D-4BD6-4026-9B25-0CC01915327D}"/>
    <cellStyle name="Calculation 3 37 2 5" xfId="17022" xr:uid="{CBFE27C1-04B6-4D43-A5DF-B85D891BDFF4}"/>
    <cellStyle name="Calculation 3 37 2 6" xfId="17023" xr:uid="{1DF60FA4-199B-45B8-AD67-04280BCA1AE8}"/>
    <cellStyle name="Calculation 3 37 3" xfId="17024" xr:uid="{6C3D8BFE-C4D1-4080-8EA0-AF74935A4F75}"/>
    <cellStyle name="Calculation 3 37 4" xfId="17025" xr:uid="{6B699AF2-CC29-4139-A0B0-29066019CEFD}"/>
    <cellStyle name="Calculation 3 37 5" xfId="17026" xr:uid="{5BFE59C5-92CF-41DE-9608-8C07D151071C}"/>
    <cellStyle name="Calculation 3 37 6" xfId="17027" xr:uid="{B80C66D0-2D0B-404B-A93E-06B66C82BAA4}"/>
    <cellStyle name="Calculation 3 37 7" xfId="17028" xr:uid="{2618CB32-1863-4A27-8AA6-81BCC55BC5B9}"/>
    <cellStyle name="Calculation 3 38" xfId="553" xr:uid="{8DA81AD8-A032-47EC-89EE-E437298D00DD}"/>
    <cellStyle name="Calculation 3 38 2" xfId="11818" xr:uid="{F1F36B0A-D42F-4F8C-A07C-B548629CC3F6}"/>
    <cellStyle name="Calculation 3 38 2 2" xfId="17029" xr:uid="{4F0384A2-3D54-473F-BE74-2A53676D2DE7}"/>
    <cellStyle name="Calculation 3 38 2 3" xfId="17030" xr:uid="{04DC8B14-2B59-48CE-AF13-EC6FAE51F3B0}"/>
    <cellStyle name="Calculation 3 38 2 4" xfId="17031" xr:uid="{1DF72EF9-C571-49BD-ADF4-181DE3903FD1}"/>
    <cellStyle name="Calculation 3 38 2 5" xfId="17032" xr:uid="{8A8B4A9E-FE6C-4ED5-970D-27471327A80A}"/>
    <cellStyle name="Calculation 3 38 2 6" xfId="17033" xr:uid="{7CAFF3D0-D517-45C4-BD1D-A99F092C29E1}"/>
    <cellStyle name="Calculation 3 38 3" xfId="17034" xr:uid="{5920D43D-D1E7-4F62-BE2E-8988CD65FEF7}"/>
    <cellStyle name="Calculation 3 38 4" xfId="17035" xr:uid="{9201915E-9434-4EDB-8D6D-ACBABD611E7E}"/>
    <cellStyle name="Calculation 3 38 5" xfId="17036" xr:uid="{8D68A97D-61BB-4AE1-AF7E-EA6E992270D0}"/>
    <cellStyle name="Calculation 3 38 6" xfId="17037" xr:uid="{9A952BA7-C9F4-4818-BAB5-D446D579A729}"/>
    <cellStyle name="Calculation 3 39" xfId="554" xr:uid="{306B20E0-C28A-4EF7-AD77-D52D93F47D4F}"/>
    <cellStyle name="Calculation 3 39 2" xfId="17038" xr:uid="{DDAEA137-9BAC-4166-ABB6-93B7EAF98EE4}"/>
    <cellStyle name="Calculation 3 39 3" xfId="17039" xr:uid="{1B01B74A-ED50-4462-B7F0-B258367726AB}"/>
    <cellStyle name="Calculation 3 39 4" xfId="17040" xr:uid="{6D0BF946-936F-4F27-B686-07CC029A1389}"/>
    <cellStyle name="Calculation 3 39 5" xfId="17041" xr:uid="{A00970F5-6412-452C-9E23-07BAD91B7E96}"/>
    <cellStyle name="Calculation 3 39 6" xfId="17042" xr:uid="{0B64138D-0B5F-4289-91B0-C4318D844B6B}"/>
    <cellStyle name="Calculation 3 4" xfId="555" xr:uid="{A5CCBFE0-4157-49EE-9514-E52942CB69CC}"/>
    <cellStyle name="Calculation 3 4 10" xfId="556" xr:uid="{D8A93630-B847-4CF8-B6F7-88197291A942}"/>
    <cellStyle name="Calculation 3 4 10 2" xfId="10700" xr:uid="{6B2B8E7E-2BCE-4CF7-A9E3-609A41E93094}"/>
    <cellStyle name="Calculation 3 4 10 2 2" xfId="17043" xr:uid="{9B2D5902-C15E-498F-B69F-FFF19E70AE5E}"/>
    <cellStyle name="Calculation 3 4 10 2 3" xfId="17044" xr:uid="{FA3F3487-A4D0-4EE6-BF6A-1149BACC63D8}"/>
    <cellStyle name="Calculation 3 4 10 2 4" xfId="17045" xr:uid="{4716597B-9BBA-4060-BF0D-9F5DCCF8B044}"/>
    <cellStyle name="Calculation 3 4 10 2 5" xfId="17046" xr:uid="{99A88D43-3E31-49CE-ABFF-8FBE22A594B6}"/>
    <cellStyle name="Calculation 3 4 10 2 6" xfId="17047" xr:uid="{C595705A-EEC8-49E0-8039-315B8CDA9BA8}"/>
    <cellStyle name="Calculation 3 4 10 3" xfId="17048" xr:uid="{7C0196D1-BE94-448F-80DC-5AC0C7C8271F}"/>
    <cellStyle name="Calculation 3 4 10 4" xfId="17049" xr:uid="{796E37B8-D629-4DB2-9821-52FFD1E56349}"/>
    <cellStyle name="Calculation 3 4 10 5" xfId="17050" xr:uid="{945C9235-437D-4B02-8A25-1AAF8915E3B9}"/>
    <cellStyle name="Calculation 3 4 10 6" xfId="17051" xr:uid="{80A3CF3F-C7A7-4D97-BD32-621C46294442}"/>
    <cellStyle name="Calculation 3 4 10 7" xfId="17052" xr:uid="{51CBEA88-C252-4C88-A33E-6056FC8820A2}"/>
    <cellStyle name="Calculation 3 4 11" xfId="557" xr:uid="{D0AF98B7-0FF8-422D-9AB1-AF36C8C05C49}"/>
    <cellStyle name="Calculation 3 4 11 2" xfId="10791" xr:uid="{73443A2C-6084-4573-B484-ACB96B20ADA6}"/>
    <cellStyle name="Calculation 3 4 11 2 2" xfId="17053" xr:uid="{F407F651-6034-4224-9BAE-D07F53A72ED7}"/>
    <cellStyle name="Calculation 3 4 11 2 3" xfId="17054" xr:uid="{9BED937F-DFEC-4A2C-A321-88E697F78CCB}"/>
    <cellStyle name="Calculation 3 4 11 2 4" xfId="17055" xr:uid="{B53CF2AE-FE35-470F-8864-36A03C7243F8}"/>
    <cellStyle name="Calculation 3 4 11 2 5" xfId="17056" xr:uid="{59D22FD7-C4A2-40AC-B642-BD19DB98F0CE}"/>
    <cellStyle name="Calculation 3 4 11 2 6" xfId="17057" xr:uid="{120EAC0D-F622-4BAB-AA2A-592050FF0C19}"/>
    <cellStyle name="Calculation 3 4 11 3" xfId="17058" xr:uid="{10DECF66-1329-4B9F-B1CF-EFFFB7E0E69B}"/>
    <cellStyle name="Calculation 3 4 11 4" xfId="17059" xr:uid="{7DFBE598-B629-41A4-A616-46DE5A9D55D3}"/>
    <cellStyle name="Calculation 3 4 11 5" xfId="17060" xr:uid="{F5E46E99-C025-479D-8DFD-8E1C87CFF02C}"/>
    <cellStyle name="Calculation 3 4 11 6" xfId="17061" xr:uid="{2D0C1885-90BA-4E43-8175-584882842756}"/>
    <cellStyle name="Calculation 3 4 11 7" xfId="17062" xr:uid="{AD03DB02-EDCC-40C1-8085-78A8F0A0B32A}"/>
    <cellStyle name="Calculation 3 4 12" xfId="558" xr:uid="{9A5E893C-0F18-4051-B644-B6F0409F2ECB}"/>
    <cellStyle name="Calculation 3 4 12 2" xfId="10878" xr:uid="{DE963C01-EE88-4386-A919-A144AB08AD3D}"/>
    <cellStyle name="Calculation 3 4 12 2 2" xfId="17063" xr:uid="{8B315869-0F4B-45F8-A511-4FB77F79229B}"/>
    <cellStyle name="Calculation 3 4 12 2 3" xfId="17064" xr:uid="{F62AB362-79E8-4865-B929-AF653E2CDFE7}"/>
    <cellStyle name="Calculation 3 4 12 2 4" xfId="17065" xr:uid="{641D7C87-6138-41E1-A30A-94CB1CB867E5}"/>
    <cellStyle name="Calculation 3 4 12 2 5" xfId="17066" xr:uid="{6F03CEF3-7B04-4C89-8EDD-390A41528443}"/>
    <cellStyle name="Calculation 3 4 12 2 6" xfId="17067" xr:uid="{9793BBF1-E75F-44F2-AEA7-94F96BAE4E97}"/>
    <cellStyle name="Calculation 3 4 12 3" xfId="17068" xr:uid="{9C538B7E-DFD7-4A27-ABD3-7E84363E5765}"/>
    <cellStyle name="Calculation 3 4 12 4" xfId="17069" xr:uid="{AF3B8923-FC0F-4E59-91B8-D4446E6E0B04}"/>
    <cellStyle name="Calculation 3 4 12 5" xfId="17070" xr:uid="{84E779FB-276B-4C34-8C67-91EF43CC9EB2}"/>
    <cellStyle name="Calculation 3 4 12 6" xfId="17071" xr:uid="{C605A0C5-4FA4-4DD8-B790-BA1FC6C737D0}"/>
    <cellStyle name="Calculation 3 4 12 7" xfId="17072" xr:uid="{44F1D6DD-EB8C-46BB-B694-89E663FDC65C}"/>
    <cellStyle name="Calculation 3 4 13" xfId="559" xr:uid="{84F07243-67B9-434D-BA48-42FDAB25E37B}"/>
    <cellStyle name="Calculation 3 4 13 2" xfId="10967" xr:uid="{C83A4AB6-13FD-4B8F-9A4D-61792FD18BCF}"/>
    <cellStyle name="Calculation 3 4 13 2 2" xfId="17073" xr:uid="{A27A8B11-0604-4B6C-9AB5-3403C36028FC}"/>
    <cellStyle name="Calculation 3 4 13 2 3" xfId="17074" xr:uid="{AC9C3537-53AB-4353-8A26-0848DB099BC0}"/>
    <cellStyle name="Calculation 3 4 13 2 4" xfId="17075" xr:uid="{AE0F5E28-1CB1-4C0E-9AA4-52E4C388979D}"/>
    <cellStyle name="Calculation 3 4 13 2 5" xfId="17076" xr:uid="{EB7D0A11-95E4-4ADF-9591-8BBD7D2FD7FD}"/>
    <cellStyle name="Calculation 3 4 13 2 6" xfId="17077" xr:uid="{B979F0F7-ABEA-46DC-807C-D61BA2508CA5}"/>
    <cellStyle name="Calculation 3 4 13 3" xfId="17078" xr:uid="{2107BFAE-7C55-4696-9294-5977B5C5BA53}"/>
    <cellStyle name="Calculation 3 4 13 4" xfId="17079" xr:uid="{A788A278-45D4-4B4B-BBD3-9821C870227D}"/>
    <cellStyle name="Calculation 3 4 13 5" xfId="17080" xr:uid="{24E92C54-A06D-4D48-BD39-E1B3F606A146}"/>
    <cellStyle name="Calculation 3 4 13 6" xfId="17081" xr:uid="{80969E5D-83E7-4CC4-AF26-92CB065EE8F6}"/>
    <cellStyle name="Calculation 3 4 13 7" xfId="17082" xr:uid="{FDFE4B30-75E8-4AD4-BFDF-1FCF30F7CA3B}"/>
    <cellStyle name="Calculation 3 4 14" xfId="560" xr:uid="{3C249A20-4719-4F71-B6F4-5C2AFD295422}"/>
    <cellStyle name="Calculation 3 4 14 2" xfId="11059" xr:uid="{B8B6612A-0811-487D-9AE3-44E6DAAACF18}"/>
    <cellStyle name="Calculation 3 4 14 2 2" xfId="17083" xr:uid="{C583CFF2-2C75-4996-A7B0-A7CB6C422796}"/>
    <cellStyle name="Calculation 3 4 14 2 3" xfId="17084" xr:uid="{35F753CD-D653-4AB8-87C1-443CB56D5F0C}"/>
    <cellStyle name="Calculation 3 4 14 2 4" xfId="17085" xr:uid="{F64EAEFA-01AD-48D7-8EA1-8B0FAE7F1854}"/>
    <cellStyle name="Calculation 3 4 14 2 5" xfId="17086" xr:uid="{83553227-0A20-48D5-82C9-9FA45F1365E2}"/>
    <cellStyle name="Calculation 3 4 14 2 6" xfId="17087" xr:uid="{942279D3-D666-4CAD-AC04-2FEC1B042219}"/>
    <cellStyle name="Calculation 3 4 14 3" xfId="17088" xr:uid="{764EBEE2-EF2A-48E2-885B-13A68CC0F5F4}"/>
    <cellStyle name="Calculation 3 4 14 4" xfId="17089" xr:uid="{E5BF0A51-6166-4545-B5E0-E2C43B8B122F}"/>
    <cellStyle name="Calculation 3 4 14 5" xfId="17090" xr:uid="{F58483E2-8B5C-4CBF-97AE-D930FD987D59}"/>
    <cellStyle name="Calculation 3 4 14 6" xfId="17091" xr:uid="{8576D06A-1090-4C19-BD39-A0BF714891DB}"/>
    <cellStyle name="Calculation 3 4 14 7" xfId="17092" xr:uid="{08B0C970-A17C-4BF5-BB6C-998BFE2CC2B7}"/>
    <cellStyle name="Calculation 3 4 15" xfId="561" xr:uid="{B35DD283-5CF8-4068-9C93-83C3E28B971E}"/>
    <cellStyle name="Calculation 3 4 15 2" xfId="11142" xr:uid="{E50BD173-C857-44AA-9DA5-FBAC13AC9675}"/>
    <cellStyle name="Calculation 3 4 15 2 2" xfId="17093" xr:uid="{8A478AD0-4F5F-4729-93FE-DE02864706B4}"/>
    <cellStyle name="Calculation 3 4 15 2 3" xfId="17094" xr:uid="{08AE5AE5-B1CC-4ACA-A822-84CC0D2B5E4F}"/>
    <cellStyle name="Calculation 3 4 15 2 4" xfId="17095" xr:uid="{46ACF059-EDBD-4323-A4C3-8BF69D5596C9}"/>
    <cellStyle name="Calculation 3 4 15 2 5" xfId="17096" xr:uid="{F75D8D90-EBB9-4C40-A84F-1475CC285F67}"/>
    <cellStyle name="Calculation 3 4 15 2 6" xfId="17097" xr:uid="{992E0694-B48B-4551-9DBC-782252853F54}"/>
    <cellStyle name="Calculation 3 4 15 3" xfId="17098" xr:uid="{252896EE-79C7-49D5-9AFA-FB63D8AEB93B}"/>
    <cellStyle name="Calculation 3 4 15 4" xfId="17099" xr:uid="{73DF22CB-8E8E-412A-880B-E54F64B1D365}"/>
    <cellStyle name="Calculation 3 4 15 5" xfId="17100" xr:uid="{E420D144-7A1F-47F9-9510-5974F50357E4}"/>
    <cellStyle name="Calculation 3 4 15 6" xfId="17101" xr:uid="{2CB93C4D-AF19-4C1C-B65C-EEFCE6137136}"/>
    <cellStyle name="Calculation 3 4 15 7" xfId="17102" xr:uid="{0F54665F-2924-46D7-A5BE-8C82F3ABDD80}"/>
    <cellStyle name="Calculation 3 4 16" xfId="562" xr:uid="{D9C0418D-991A-4725-9DAD-FE8A852C4683}"/>
    <cellStyle name="Calculation 3 4 16 2" xfId="11231" xr:uid="{A1ED7803-D1BF-4300-AB9C-07EF4BC0C342}"/>
    <cellStyle name="Calculation 3 4 16 2 2" xfId="17103" xr:uid="{B4C0AE78-DE13-4A55-99D1-9ED71DBF378A}"/>
    <cellStyle name="Calculation 3 4 16 2 3" xfId="17104" xr:uid="{6811F0F9-511A-483A-ADCC-C1BF87746CCC}"/>
    <cellStyle name="Calculation 3 4 16 2 4" xfId="17105" xr:uid="{B2FB763B-ABC8-428C-B053-D3B3CF322AEF}"/>
    <cellStyle name="Calculation 3 4 16 2 5" xfId="17106" xr:uid="{65EFAADC-7416-4004-B685-EDE54FE1309F}"/>
    <cellStyle name="Calculation 3 4 16 2 6" xfId="17107" xr:uid="{CB85DF97-85E3-426B-8B83-4B3F28A7CBCE}"/>
    <cellStyle name="Calculation 3 4 16 3" xfId="17108" xr:uid="{CC11F99A-5541-438B-B6D1-E5DDBCC65CE9}"/>
    <cellStyle name="Calculation 3 4 16 4" xfId="17109" xr:uid="{1DCA03FA-2B0A-4D9C-ACCC-2BA10F32D9E3}"/>
    <cellStyle name="Calculation 3 4 16 5" xfId="17110" xr:uid="{00038CAA-8BBA-4831-A53E-6A39064F55E8}"/>
    <cellStyle name="Calculation 3 4 16 6" xfId="17111" xr:uid="{22A4F60A-4487-41E1-98D4-A0703DBBECAF}"/>
    <cellStyle name="Calculation 3 4 16 7" xfId="17112" xr:uid="{D3694EA8-96A1-4C89-B65C-A8DF46F8FFC8}"/>
    <cellStyle name="Calculation 3 4 17" xfId="563" xr:uid="{A0EE6D66-7A9A-4345-9803-9E01543AE828}"/>
    <cellStyle name="Calculation 3 4 17 2" xfId="11317" xr:uid="{AC4799A0-5B95-47B6-8714-FD2E85689707}"/>
    <cellStyle name="Calculation 3 4 17 2 2" xfId="17113" xr:uid="{00445936-4B76-4498-A9CB-94E3236605BD}"/>
    <cellStyle name="Calculation 3 4 17 2 3" xfId="17114" xr:uid="{72AAEF84-0670-4A6C-8EB5-217FC600E742}"/>
    <cellStyle name="Calculation 3 4 17 2 4" xfId="17115" xr:uid="{67064EBF-AC9F-47B6-B1DE-A712B7460AEB}"/>
    <cellStyle name="Calculation 3 4 17 2 5" xfId="17116" xr:uid="{91F3D985-335B-439C-BEEB-78F85B841BE7}"/>
    <cellStyle name="Calculation 3 4 17 2 6" xfId="17117" xr:uid="{7FB097B3-B16C-4BA0-A4FF-0B587C8B3370}"/>
    <cellStyle name="Calculation 3 4 17 3" xfId="17118" xr:uid="{FDBE9C8B-57E8-47B8-8573-6ED54ADAA226}"/>
    <cellStyle name="Calculation 3 4 17 4" xfId="17119" xr:uid="{62827FA0-84EB-4695-BAB1-6AFB849470FF}"/>
    <cellStyle name="Calculation 3 4 17 5" xfId="17120" xr:uid="{8E64DCCE-82DC-48FC-8E19-612338C097DC}"/>
    <cellStyle name="Calculation 3 4 17 6" xfId="17121" xr:uid="{D25CC1E0-A89C-4AA4-A3EA-6EFD5B54F7DC}"/>
    <cellStyle name="Calculation 3 4 17 7" xfId="17122" xr:uid="{FBE1956F-9B90-4948-B166-257D2CE91CDD}"/>
    <cellStyle name="Calculation 3 4 18" xfId="564" xr:uid="{770C153A-5EAC-4790-BCC8-FBB3D6ABC644}"/>
    <cellStyle name="Calculation 3 4 18 2" xfId="11404" xr:uid="{E7734050-80DF-488B-99AB-89BB0A5E67B0}"/>
    <cellStyle name="Calculation 3 4 18 2 2" xfId="17123" xr:uid="{6DE25F7F-DA9C-4224-A15B-BD6CB4C841C7}"/>
    <cellStyle name="Calculation 3 4 18 2 3" xfId="17124" xr:uid="{9DE9BD9F-A44A-4F56-A7D1-765ECEFE9256}"/>
    <cellStyle name="Calculation 3 4 18 2 4" xfId="17125" xr:uid="{9EAF8411-134C-4D9A-AB63-3C24B2961D49}"/>
    <cellStyle name="Calculation 3 4 18 2 5" xfId="17126" xr:uid="{AAD05A99-09D6-4461-B682-07CA575578F3}"/>
    <cellStyle name="Calculation 3 4 18 2 6" xfId="17127" xr:uid="{F25B1E39-6563-4E03-A9BE-A4A3C049A59D}"/>
    <cellStyle name="Calculation 3 4 18 3" xfId="17128" xr:uid="{C70938AE-95FF-4136-A8A9-7DF254D75803}"/>
    <cellStyle name="Calculation 3 4 18 4" xfId="17129" xr:uid="{D4E1B13D-5C79-4BFE-A2C9-59F3D71849AD}"/>
    <cellStyle name="Calculation 3 4 18 5" xfId="17130" xr:uid="{FFD80463-EF3F-469E-B840-503353E9A48C}"/>
    <cellStyle name="Calculation 3 4 18 6" xfId="17131" xr:uid="{DC9BAAC5-7216-4FB5-A5B2-DB3D319F8208}"/>
    <cellStyle name="Calculation 3 4 18 7" xfId="17132" xr:uid="{DCBEB929-20E5-4E69-8CB2-35999CABC3E0}"/>
    <cellStyle name="Calculation 3 4 19" xfId="565" xr:uid="{E3F79B94-8838-4350-BE1B-25E843DA2B7F}"/>
    <cellStyle name="Calculation 3 4 19 2" xfId="11491" xr:uid="{F56EBB43-9062-46D6-8D01-545D832B8128}"/>
    <cellStyle name="Calculation 3 4 19 2 2" xfId="17133" xr:uid="{C23C9369-D9A9-468C-9784-B7638AB3734D}"/>
    <cellStyle name="Calculation 3 4 19 2 3" xfId="17134" xr:uid="{0639FEB8-1CA5-476E-A51D-B758E6D89EFA}"/>
    <cellStyle name="Calculation 3 4 19 2 4" xfId="17135" xr:uid="{717CF3A4-149D-41D5-826B-F4C10E7AB389}"/>
    <cellStyle name="Calculation 3 4 19 2 5" xfId="17136" xr:uid="{E9A4DF36-231B-4C0A-83C6-9F9A793381C2}"/>
    <cellStyle name="Calculation 3 4 19 2 6" xfId="17137" xr:uid="{03366A13-D5B5-478B-8ABE-7590E649ED8B}"/>
    <cellStyle name="Calculation 3 4 19 3" xfId="17138" xr:uid="{02D34557-0C42-4BF9-B5C7-2409D860EFB3}"/>
    <cellStyle name="Calculation 3 4 19 4" xfId="17139" xr:uid="{52D7483F-4316-4108-861D-C619E9BCD71F}"/>
    <cellStyle name="Calculation 3 4 19 5" xfId="17140" xr:uid="{6D320828-13F7-4828-BC36-3BDF4CCE688C}"/>
    <cellStyle name="Calculation 3 4 19 6" xfId="17141" xr:uid="{C9397871-B21A-46C2-85D5-144163676075}"/>
    <cellStyle name="Calculation 3 4 19 7" xfId="17142" xr:uid="{E2A80718-82E4-49CE-831A-7657D34B70B8}"/>
    <cellStyle name="Calculation 3 4 2" xfId="566" xr:uid="{B8521183-B950-4637-A64C-1D562CF4DE16}"/>
    <cellStyle name="Calculation 3 4 2 2" xfId="9997" xr:uid="{82045A41-6480-4320-B0B8-ADD31B78B508}"/>
    <cellStyle name="Calculation 3 4 2 2 2" xfId="17143" xr:uid="{270EE0B8-F0CE-44CC-80C9-9B0151411E3B}"/>
    <cellStyle name="Calculation 3 4 2 2 3" xfId="17144" xr:uid="{DC6C2E45-15C2-4E01-B17E-DAEF6DBFF2DC}"/>
    <cellStyle name="Calculation 3 4 2 2 4" xfId="17145" xr:uid="{C2E1B9DF-833D-4CE0-932C-078A34106E35}"/>
    <cellStyle name="Calculation 3 4 2 2 5" xfId="17146" xr:uid="{B4BB640F-3683-45FD-8352-0015D56AED32}"/>
    <cellStyle name="Calculation 3 4 2 2 6" xfId="17147" xr:uid="{F100BD29-FD48-4B43-8FC0-CF230E19A338}"/>
    <cellStyle name="Calculation 3 4 2 3" xfId="17148" xr:uid="{097CFCD5-9FE5-4649-8735-DF004F80A1D0}"/>
    <cellStyle name="Calculation 3 4 2 4" xfId="17149" xr:uid="{8169ECE7-C52D-4F5C-A67F-75C8BAEC0D8A}"/>
    <cellStyle name="Calculation 3 4 2 5" xfId="17150" xr:uid="{FABA4263-2973-433F-B470-4F1E831E05F1}"/>
    <cellStyle name="Calculation 3 4 2 6" xfId="17151" xr:uid="{4922FA51-419A-4A2E-BA35-54F41B9575C3}"/>
    <cellStyle name="Calculation 3 4 2 7" xfId="17152" xr:uid="{48DCD1F5-F067-4A91-859E-C6F5D498D258}"/>
    <cellStyle name="Calculation 3 4 20" xfId="567" xr:uid="{B28FB934-815E-4F44-B9BB-3FF86AD2346D}"/>
    <cellStyle name="Calculation 3 4 20 2" xfId="11579" xr:uid="{30FE1156-2CC2-4A05-B8F9-4F002E72304A}"/>
    <cellStyle name="Calculation 3 4 20 2 2" xfId="17153" xr:uid="{55584BA4-FDEB-4EBD-8CC7-D38313CD64F5}"/>
    <cellStyle name="Calculation 3 4 20 2 3" xfId="17154" xr:uid="{CD90AAE7-F3A4-4EDA-B9C5-FBB02321396F}"/>
    <cellStyle name="Calculation 3 4 20 2 4" xfId="17155" xr:uid="{B5766BB5-919C-46CF-83E8-020AB9270D38}"/>
    <cellStyle name="Calculation 3 4 20 2 5" xfId="17156" xr:uid="{FABC0ADD-3B3E-4EBA-AB06-C0F33FEEF1D1}"/>
    <cellStyle name="Calculation 3 4 20 2 6" xfId="17157" xr:uid="{67AD1B3D-3AA5-4F81-BA3E-F8AA2EA6851A}"/>
    <cellStyle name="Calculation 3 4 20 3" xfId="17158" xr:uid="{F014307A-2F46-431C-85A3-28AFD734D299}"/>
    <cellStyle name="Calculation 3 4 20 4" xfId="17159" xr:uid="{114D991C-5AB5-4C1D-9B34-0BE08ED0F7E2}"/>
    <cellStyle name="Calculation 3 4 20 5" xfId="17160" xr:uid="{1FEADD61-CD5C-4CD5-BC5A-ED8BBA537CA7}"/>
    <cellStyle name="Calculation 3 4 20 6" xfId="17161" xr:uid="{E9DC88F7-78E4-4913-8D31-690E5B756322}"/>
    <cellStyle name="Calculation 3 4 20 7" xfId="17162" xr:uid="{8C126233-C9B1-46EF-A123-10073FF05D9D}"/>
    <cellStyle name="Calculation 3 4 21" xfId="568" xr:uid="{CB1130CF-3AA5-4A5B-A214-4E6F82D3ED12}"/>
    <cellStyle name="Calculation 3 4 21 2" xfId="11665" xr:uid="{DFE2D7B9-2ED6-45E6-9F73-E01DD1107077}"/>
    <cellStyle name="Calculation 3 4 21 2 2" xfId="17163" xr:uid="{AE6F3A0F-74A3-4932-BFBD-2165EAC0E8D9}"/>
    <cellStyle name="Calculation 3 4 21 2 3" xfId="17164" xr:uid="{621FD33E-F07B-402F-8204-C10D512A79C0}"/>
    <cellStyle name="Calculation 3 4 21 2 4" xfId="17165" xr:uid="{3321DE55-43B8-47E4-9FAA-1C17E635D374}"/>
    <cellStyle name="Calculation 3 4 21 2 5" xfId="17166" xr:uid="{96BFC7F8-D9BA-4226-8478-F8E83CE1D772}"/>
    <cellStyle name="Calculation 3 4 21 2 6" xfId="17167" xr:uid="{5502F134-AF8D-430F-96C1-993E18202F50}"/>
    <cellStyle name="Calculation 3 4 21 3" xfId="17168" xr:uid="{E7AC1841-A43E-4FC1-804B-953A6E70CC1B}"/>
    <cellStyle name="Calculation 3 4 21 4" xfId="17169" xr:uid="{41F39D29-D4E8-47B3-8273-26CA81DCEB0E}"/>
    <cellStyle name="Calculation 3 4 21 5" xfId="17170" xr:uid="{6AAE9B77-C8A9-4C79-B7C4-0F445B33BFA7}"/>
    <cellStyle name="Calculation 3 4 21 6" xfId="17171" xr:uid="{B76076B3-FDC9-41B1-B7F8-6BB0E28659D2}"/>
    <cellStyle name="Calculation 3 4 21 7" xfId="17172" xr:uid="{75C86B5D-8DBA-4267-AB8A-C8C2DFB518CD}"/>
    <cellStyle name="Calculation 3 4 22" xfId="569" xr:uid="{136B304A-DB5A-4661-84E6-4F1F2C24FD89}"/>
    <cellStyle name="Calculation 3 4 22 2" xfId="11748" xr:uid="{ED28737C-EBDC-4F75-9FE3-974DBB67DCCB}"/>
    <cellStyle name="Calculation 3 4 22 2 2" xfId="17173" xr:uid="{79E05D56-BF22-424A-83FB-F5BCE3588B35}"/>
    <cellStyle name="Calculation 3 4 22 2 3" xfId="17174" xr:uid="{F760E5D4-5ECE-4ADE-8957-661A24061F8B}"/>
    <cellStyle name="Calculation 3 4 22 2 4" xfId="17175" xr:uid="{D4EEEA58-D89C-4687-84B7-1E63C6C97597}"/>
    <cellStyle name="Calculation 3 4 22 2 5" xfId="17176" xr:uid="{200AF3FB-05BD-41DB-AE97-42AE9CF93941}"/>
    <cellStyle name="Calculation 3 4 22 2 6" xfId="17177" xr:uid="{7FB8B215-3364-4FCB-A0B8-493BFB7DDED1}"/>
    <cellStyle name="Calculation 3 4 22 3" xfId="17178" xr:uid="{90596F45-B36E-4518-B665-FE18C9ECD069}"/>
    <cellStyle name="Calculation 3 4 22 4" xfId="17179" xr:uid="{C57F5B2B-D886-4929-B192-868AAE2BA4A3}"/>
    <cellStyle name="Calculation 3 4 22 5" xfId="17180" xr:uid="{4535E335-F44A-4C82-ACA7-19BE20C1BE0C}"/>
    <cellStyle name="Calculation 3 4 22 6" xfId="17181" xr:uid="{9D4525AF-699C-415C-AA9D-1901855CE3D2}"/>
    <cellStyle name="Calculation 3 4 22 7" xfId="17182" xr:uid="{38F45BB6-3905-4EA5-A822-FBA26925F4D4}"/>
    <cellStyle name="Calculation 3 4 23" xfId="570" xr:uid="{60B07902-47D9-405D-9182-34EC70E8635F}"/>
    <cellStyle name="Calculation 3 4 23 2" xfId="11830" xr:uid="{4936AED5-48F4-4049-853E-C8FEB6B8F8D2}"/>
    <cellStyle name="Calculation 3 4 23 2 2" xfId="17183" xr:uid="{5E67FBCF-692C-4FBB-AE20-E9B086B55679}"/>
    <cellStyle name="Calculation 3 4 23 2 3" xfId="17184" xr:uid="{F9F46CA1-D582-4551-816E-51375A100ECE}"/>
    <cellStyle name="Calculation 3 4 23 2 4" xfId="17185" xr:uid="{CD8C7E1B-86D1-4C2B-A7CB-58BAD40D52F1}"/>
    <cellStyle name="Calculation 3 4 23 2 5" xfId="17186" xr:uid="{7B145CA4-FA56-4B7F-B9EB-864FBE993D2D}"/>
    <cellStyle name="Calculation 3 4 23 2 6" xfId="17187" xr:uid="{24A1FF33-6AF0-40A1-9496-05330AB38D50}"/>
    <cellStyle name="Calculation 3 4 23 3" xfId="17188" xr:uid="{65F5E2BD-04BD-4BDD-83A1-4B439DE6882A}"/>
    <cellStyle name="Calculation 3 4 23 4" xfId="17189" xr:uid="{C324FF00-2DF6-4DC5-B797-209142FED311}"/>
    <cellStyle name="Calculation 3 4 23 5" xfId="17190" xr:uid="{2282ACE4-82C9-45BA-8407-B5581D191622}"/>
    <cellStyle name="Calculation 3 4 23 6" xfId="17191" xr:uid="{0595A14A-009C-449F-9171-62B2F6AA1777}"/>
    <cellStyle name="Calculation 3 4 23 7" xfId="17192" xr:uid="{1F6AD4E5-86D6-4E46-8C43-4C82AB5044DF}"/>
    <cellStyle name="Calculation 3 4 24" xfId="571" xr:uid="{F9BD1A04-64D6-45C0-9372-3666B062C4F8}"/>
    <cellStyle name="Calculation 3 4 24 2" xfId="11914" xr:uid="{031EB631-D7B3-4FC1-8FB1-6393AA73950E}"/>
    <cellStyle name="Calculation 3 4 24 2 2" xfId="17193" xr:uid="{99CFF24B-3358-47F8-BF08-390A1F6F7C49}"/>
    <cellStyle name="Calculation 3 4 24 2 3" xfId="17194" xr:uid="{C1A87989-4CEF-4ED6-AF21-E440CE8B6D09}"/>
    <cellStyle name="Calculation 3 4 24 2 4" xfId="17195" xr:uid="{D775E10D-D314-4F96-912B-86DDBA07B593}"/>
    <cellStyle name="Calculation 3 4 24 2 5" xfId="17196" xr:uid="{3F32035E-582F-4E3A-98A5-6C32C59DF94B}"/>
    <cellStyle name="Calculation 3 4 24 2 6" xfId="17197" xr:uid="{992A8D39-4E68-4B12-ABDF-D3E16E0C7CB5}"/>
    <cellStyle name="Calculation 3 4 24 3" xfId="17198" xr:uid="{3B77A05D-C421-41E8-8801-72FDE5FDD43B}"/>
    <cellStyle name="Calculation 3 4 24 4" xfId="17199" xr:uid="{41613D97-5005-4E95-9EF6-BA41958359A5}"/>
    <cellStyle name="Calculation 3 4 24 5" xfId="17200" xr:uid="{5F4A0CDA-DEC9-4376-B90B-9E92E5F8C3C5}"/>
    <cellStyle name="Calculation 3 4 24 6" xfId="17201" xr:uid="{411E0DB5-4C56-4297-A423-F619A5CB96A8}"/>
    <cellStyle name="Calculation 3 4 24 7" xfId="17202" xr:uid="{73058DBF-4157-4FCB-B7FB-E1B0C2DD3230}"/>
    <cellStyle name="Calculation 3 4 25" xfId="572" xr:uid="{0AF9C050-C50E-4ADB-9819-8205A4E74A14}"/>
    <cellStyle name="Calculation 3 4 25 2" xfId="11998" xr:uid="{2728A51F-87ED-4A9B-89F8-82CF16F44A89}"/>
    <cellStyle name="Calculation 3 4 25 2 2" xfId="17203" xr:uid="{12F3959C-B317-423E-BEFA-75FCCABC1050}"/>
    <cellStyle name="Calculation 3 4 25 2 3" xfId="17204" xr:uid="{26443042-2B7C-45FC-8EBF-3A485BFA61D4}"/>
    <cellStyle name="Calculation 3 4 25 2 4" xfId="17205" xr:uid="{22D69800-EA78-4C56-AFAE-EC670B920FD3}"/>
    <cellStyle name="Calculation 3 4 25 2 5" xfId="17206" xr:uid="{00478C56-4E8B-4F5F-8615-D10A0ACE700C}"/>
    <cellStyle name="Calculation 3 4 25 2 6" xfId="17207" xr:uid="{AE7DFA70-8CB1-4A79-AB69-0E299552136E}"/>
    <cellStyle name="Calculation 3 4 25 3" xfId="17208" xr:uid="{E307736E-327F-4F36-9F02-C2536B696C29}"/>
    <cellStyle name="Calculation 3 4 25 4" xfId="17209" xr:uid="{BAEEAA18-037B-494D-9D9D-A68F0D01FF28}"/>
    <cellStyle name="Calculation 3 4 25 5" xfId="17210" xr:uid="{67F8D6D5-0F5A-420A-B9C7-3DCA6B093A25}"/>
    <cellStyle name="Calculation 3 4 25 6" xfId="17211" xr:uid="{7022C0F8-CB53-4374-8F31-CD19B7379CF6}"/>
    <cellStyle name="Calculation 3 4 25 7" xfId="17212" xr:uid="{DEC3C8B0-3494-46DC-95DD-945625CBE8FD}"/>
    <cellStyle name="Calculation 3 4 26" xfId="573" xr:uid="{EAB6E5E0-8459-40CA-8C2D-0A803FA523D0}"/>
    <cellStyle name="Calculation 3 4 26 2" xfId="12081" xr:uid="{E3A4B16D-DB6C-4C3B-9405-617A93913663}"/>
    <cellStyle name="Calculation 3 4 26 2 2" xfId="17213" xr:uid="{4D3CD198-18F2-45ED-AC02-9B11D40A5325}"/>
    <cellStyle name="Calculation 3 4 26 2 3" xfId="17214" xr:uid="{680BB670-5793-4ED4-9C6D-4460162EA60E}"/>
    <cellStyle name="Calculation 3 4 26 2 4" xfId="17215" xr:uid="{122FCA9E-1393-4231-931F-FE7D14D6CE09}"/>
    <cellStyle name="Calculation 3 4 26 2 5" xfId="17216" xr:uid="{1F2FCAF4-5BCD-49A1-B408-720EC45C5FF6}"/>
    <cellStyle name="Calculation 3 4 26 2 6" xfId="17217" xr:uid="{39426783-E194-4468-A7C5-325B5C8853C9}"/>
    <cellStyle name="Calculation 3 4 26 3" xfId="17218" xr:uid="{E2743597-C927-466D-A002-90EB3AC1DAB7}"/>
    <cellStyle name="Calculation 3 4 26 4" xfId="17219" xr:uid="{7006BB74-0BD5-4D29-88FD-3C8908EB564A}"/>
    <cellStyle name="Calculation 3 4 26 5" xfId="17220" xr:uid="{6D7BB63E-BF7A-4DE3-A229-793FEDB0CF43}"/>
    <cellStyle name="Calculation 3 4 26 6" xfId="17221" xr:uid="{96F1EF3A-5A25-4213-A301-3A04381919E7}"/>
    <cellStyle name="Calculation 3 4 26 7" xfId="17222" xr:uid="{A67A25C4-2E2C-465A-975A-C19159F98D51}"/>
    <cellStyle name="Calculation 3 4 27" xfId="574" xr:uid="{DC09DEB7-2E6B-44D0-9494-C60F8669229E}"/>
    <cellStyle name="Calculation 3 4 27 2" xfId="12164" xr:uid="{91F994FE-DCEE-4547-86DA-173CF836641A}"/>
    <cellStyle name="Calculation 3 4 27 2 2" xfId="17223" xr:uid="{59D6824B-8E3E-4698-BB42-6E2B6EBFA091}"/>
    <cellStyle name="Calculation 3 4 27 2 3" xfId="17224" xr:uid="{F25508F1-FCA2-43F8-9126-BBE04786F66E}"/>
    <cellStyle name="Calculation 3 4 27 2 4" xfId="17225" xr:uid="{D1408037-22ED-454F-997E-BC8DF62F544E}"/>
    <cellStyle name="Calculation 3 4 27 2 5" xfId="17226" xr:uid="{537F14A8-D562-4578-AAF1-B6291935F8B0}"/>
    <cellStyle name="Calculation 3 4 27 2 6" xfId="17227" xr:uid="{79570511-BF1A-479B-94EA-06FC103BC09E}"/>
    <cellStyle name="Calculation 3 4 27 3" xfId="17228" xr:uid="{BD1C82B1-7381-4369-9CC9-B35553D06AA3}"/>
    <cellStyle name="Calculation 3 4 27 4" xfId="17229" xr:uid="{38701811-26E6-440A-814C-D963403C53D3}"/>
    <cellStyle name="Calculation 3 4 27 5" xfId="17230" xr:uid="{54B167CD-7069-444D-9F28-EFD33482454D}"/>
    <cellStyle name="Calculation 3 4 27 6" xfId="17231" xr:uid="{1133695C-9A88-4773-8804-C05B41A2C7DD}"/>
    <cellStyle name="Calculation 3 4 27 7" xfId="17232" xr:uid="{A197E3DA-1BF1-44DC-BC70-663D5C3AC146}"/>
    <cellStyle name="Calculation 3 4 28" xfId="575" xr:uid="{27F1F092-AABC-4326-80F4-91D8D79AC8A2}"/>
    <cellStyle name="Calculation 3 4 28 2" xfId="12243" xr:uid="{A6E568BA-CDA2-423B-9C7A-E5FC9A4B10B0}"/>
    <cellStyle name="Calculation 3 4 28 2 2" xfId="17233" xr:uid="{35E48395-C5C6-4387-B0C7-5D6C0B5AEDAB}"/>
    <cellStyle name="Calculation 3 4 28 2 3" xfId="17234" xr:uid="{06A43771-F3A3-405E-B073-2CB693376022}"/>
    <cellStyle name="Calculation 3 4 28 2 4" xfId="17235" xr:uid="{2C5B7AC1-6937-4A97-A221-387E5A7C7015}"/>
    <cellStyle name="Calculation 3 4 28 2 5" xfId="17236" xr:uid="{9834D20E-D10F-4A32-A9EE-B35D6ABCABF9}"/>
    <cellStyle name="Calculation 3 4 28 2 6" xfId="17237" xr:uid="{BA4AFADD-1EE5-4377-8FAA-3EE5E309B035}"/>
    <cellStyle name="Calculation 3 4 28 3" xfId="17238" xr:uid="{FE2A8474-11A0-4C89-8BDC-BEE08302A020}"/>
    <cellStyle name="Calculation 3 4 28 4" xfId="17239" xr:uid="{F06DD5E8-296C-4272-9AB2-D4C8FA6C2462}"/>
    <cellStyle name="Calculation 3 4 28 5" xfId="17240" xr:uid="{A439F7F4-C6A0-4670-A0F2-0555F99F510A}"/>
    <cellStyle name="Calculation 3 4 28 6" xfId="17241" xr:uid="{F4404018-0BB0-45FE-81E7-72A2BC1A99A0}"/>
    <cellStyle name="Calculation 3 4 28 7" xfId="17242" xr:uid="{81E0B0AA-E391-42E8-BDB9-CB5C0DAD8580}"/>
    <cellStyle name="Calculation 3 4 29" xfId="576" xr:uid="{BC66B307-C4BD-4ECE-8CD6-0B5E379363AF}"/>
    <cellStyle name="Calculation 3 4 29 2" xfId="12322" xr:uid="{390CF473-FC37-40C0-944A-741BB6AB4504}"/>
    <cellStyle name="Calculation 3 4 29 2 2" xfId="17243" xr:uid="{2C19B0BE-380B-4EDD-8191-1565E2A0B4BE}"/>
    <cellStyle name="Calculation 3 4 29 2 3" xfId="17244" xr:uid="{1E9E0206-8900-4213-AB02-2F854A279400}"/>
    <cellStyle name="Calculation 3 4 29 2 4" xfId="17245" xr:uid="{91D5AA9C-F921-4399-84E8-B523647CCE26}"/>
    <cellStyle name="Calculation 3 4 29 2 5" xfId="17246" xr:uid="{9FA39359-F502-45EC-A971-964925F27257}"/>
    <cellStyle name="Calculation 3 4 29 2 6" xfId="17247" xr:uid="{05275B4A-7C38-4990-99CA-522BF6C1B70D}"/>
    <cellStyle name="Calculation 3 4 29 3" xfId="17248" xr:uid="{481C24B8-C8F9-491C-BB56-E7593FFE0037}"/>
    <cellStyle name="Calculation 3 4 29 4" xfId="17249" xr:uid="{33192BCC-C8BA-486F-BBF9-AD9C627EAFFC}"/>
    <cellStyle name="Calculation 3 4 29 5" xfId="17250" xr:uid="{A6C41D4A-ACBB-4D64-A975-2E78FEE4CDC9}"/>
    <cellStyle name="Calculation 3 4 29 6" xfId="17251" xr:uid="{939A9723-D190-4AA4-94FF-F5EE31CB7F91}"/>
    <cellStyle name="Calculation 3 4 29 7" xfId="17252" xr:uid="{89E12571-4CA8-46AD-8163-EB5944E1EE25}"/>
    <cellStyle name="Calculation 3 4 3" xfId="577" xr:uid="{C6DCD054-2052-4E09-948B-CACE6711A4FF}"/>
    <cellStyle name="Calculation 3 4 3 2" xfId="10088" xr:uid="{54895DA2-BF50-4665-84D4-AA1C00C884FA}"/>
    <cellStyle name="Calculation 3 4 3 2 2" xfId="17253" xr:uid="{1B0CA6DC-1CC9-4C12-A0C3-C2437FDC82BF}"/>
    <cellStyle name="Calculation 3 4 3 2 3" xfId="17254" xr:uid="{9A508B5D-FDBC-4909-866D-8C57EED6676A}"/>
    <cellStyle name="Calculation 3 4 3 2 4" xfId="17255" xr:uid="{98B00169-138A-4896-9E3C-6BBB5938D655}"/>
    <cellStyle name="Calculation 3 4 3 2 5" xfId="17256" xr:uid="{961D329E-8E17-4A95-BDE7-EC2235973440}"/>
    <cellStyle name="Calculation 3 4 3 2 6" xfId="17257" xr:uid="{8D7888D2-BA26-4EF6-BE0F-12D0C08C9BDB}"/>
    <cellStyle name="Calculation 3 4 3 3" xfId="17258" xr:uid="{ABB9121E-7432-4781-B2ED-41F342E7279C}"/>
    <cellStyle name="Calculation 3 4 3 4" xfId="17259" xr:uid="{C35075D6-33DD-490B-A86D-C1399DC3C7CB}"/>
    <cellStyle name="Calculation 3 4 3 5" xfId="17260" xr:uid="{089813B5-2D49-48ED-8B3C-AAB711AB951D}"/>
    <cellStyle name="Calculation 3 4 3 6" xfId="17261" xr:uid="{E5B76365-F5BB-41D2-BF60-D338864D0B0C}"/>
    <cellStyle name="Calculation 3 4 3 7" xfId="17262" xr:uid="{BB0A96AD-1C5B-4EA4-86BC-EE07A2F6A8C8}"/>
    <cellStyle name="Calculation 3 4 30" xfId="578" xr:uid="{95D13FD7-0DFA-4096-8584-6CDE271B1439}"/>
    <cellStyle name="Calculation 3 4 30 2" xfId="12401" xr:uid="{A4880D7D-3DBD-453B-BCEC-C322601F9873}"/>
    <cellStyle name="Calculation 3 4 30 2 2" xfId="17263" xr:uid="{E012ACBA-E757-4C1F-94F8-71DB3F4B03C0}"/>
    <cellStyle name="Calculation 3 4 30 2 3" xfId="17264" xr:uid="{55C6E689-8767-40E9-B251-2594530BEBCC}"/>
    <cellStyle name="Calculation 3 4 30 2 4" xfId="17265" xr:uid="{D3C393B8-2C11-43B2-8290-495B86DE4BB0}"/>
    <cellStyle name="Calculation 3 4 30 2 5" xfId="17266" xr:uid="{91F1AA05-D87C-4665-8D9B-356538F13BAC}"/>
    <cellStyle name="Calculation 3 4 30 2 6" xfId="17267" xr:uid="{FDBFEE1E-E756-431F-BD32-ED38A98997EB}"/>
    <cellStyle name="Calculation 3 4 30 3" xfId="17268" xr:uid="{4D576328-3DFF-4798-A13E-9E3ED51B5B34}"/>
    <cellStyle name="Calculation 3 4 30 4" xfId="17269" xr:uid="{536A2195-4A14-4792-96A1-A764691CB5BE}"/>
    <cellStyle name="Calculation 3 4 30 5" xfId="17270" xr:uid="{94A14454-8C2D-4E38-8BDF-F9E76DAA3154}"/>
    <cellStyle name="Calculation 3 4 30 6" xfId="17271" xr:uid="{5EFEBC01-19BC-4569-98C5-6BB128012376}"/>
    <cellStyle name="Calculation 3 4 30 7" xfId="17272" xr:uid="{6B1BD5C1-397D-48DC-8FD9-287C8EFD59E9}"/>
    <cellStyle name="Calculation 3 4 31" xfId="579" xr:uid="{18EC60C9-8505-4B8B-A8B2-63B2A8321932}"/>
    <cellStyle name="Calculation 3 4 31 2" xfId="12480" xr:uid="{66F9FC33-79E2-46B4-A770-A98463A1D07E}"/>
    <cellStyle name="Calculation 3 4 31 2 2" xfId="17273" xr:uid="{2DE08788-A7B9-4DA1-A759-2FC0FC5CD97E}"/>
    <cellStyle name="Calculation 3 4 31 2 3" xfId="17274" xr:uid="{7F187886-7484-4619-8CE3-7F4E16757E37}"/>
    <cellStyle name="Calculation 3 4 31 2 4" xfId="17275" xr:uid="{57DC7082-F774-4DE0-9978-66B43E4FDC95}"/>
    <cellStyle name="Calculation 3 4 31 2 5" xfId="17276" xr:uid="{B35C1267-C636-41A3-A807-2FCED68DE26B}"/>
    <cellStyle name="Calculation 3 4 31 2 6" xfId="17277" xr:uid="{9CE8F176-529F-4E02-89CB-175EDD867B17}"/>
    <cellStyle name="Calculation 3 4 31 3" xfId="17278" xr:uid="{D2B0F61E-B3DB-470B-83AF-67DE28C41161}"/>
    <cellStyle name="Calculation 3 4 31 4" xfId="17279" xr:uid="{E0D32B8E-B9E0-4B5D-A698-9C8E8D7542A1}"/>
    <cellStyle name="Calculation 3 4 31 5" xfId="17280" xr:uid="{31862A8F-3009-4FF5-A51C-425C2F0F5EDD}"/>
    <cellStyle name="Calculation 3 4 31 6" xfId="17281" xr:uid="{0E17C1F0-7042-42D7-A056-B6EAEEBAB6A1}"/>
    <cellStyle name="Calculation 3 4 31 7" xfId="17282" xr:uid="{0C38FD54-6876-40A9-97F4-7046CC5D0A4E}"/>
    <cellStyle name="Calculation 3 4 32" xfId="580" xr:uid="{D5FE0056-30D7-4E97-B0AA-7736229D983F}"/>
    <cellStyle name="Calculation 3 4 32 2" xfId="12559" xr:uid="{0B16CA9C-7B3C-4642-B8A1-5D9BBB640C8A}"/>
    <cellStyle name="Calculation 3 4 32 2 2" xfId="17283" xr:uid="{74E219C6-05D8-4D3F-9402-58986B2E1647}"/>
    <cellStyle name="Calculation 3 4 32 2 3" xfId="17284" xr:uid="{1B02B084-3DB0-44B1-ACB8-999528FEC5DA}"/>
    <cellStyle name="Calculation 3 4 32 2 4" xfId="17285" xr:uid="{0CDBEFFD-FE57-420D-891A-AA59B3CE8247}"/>
    <cellStyle name="Calculation 3 4 32 2 5" xfId="17286" xr:uid="{98E52347-A0C6-41B7-8E56-5CF33A403391}"/>
    <cellStyle name="Calculation 3 4 32 2 6" xfId="17287" xr:uid="{06F349C7-40D5-45E4-9B91-38D4F51F0363}"/>
    <cellStyle name="Calculation 3 4 32 3" xfId="17288" xr:uid="{2A746820-EB34-4AD7-8E82-DCBFE6570C03}"/>
    <cellStyle name="Calculation 3 4 32 4" xfId="17289" xr:uid="{7C18BB51-3571-4C33-952B-14C71CB3482B}"/>
    <cellStyle name="Calculation 3 4 32 5" xfId="17290" xr:uid="{F8AC5B6F-630A-46A0-A13A-BCFA528A3AB0}"/>
    <cellStyle name="Calculation 3 4 32 6" xfId="17291" xr:uid="{7237268A-9C7B-459E-908E-856A9B5AA07A}"/>
    <cellStyle name="Calculation 3 4 32 7" xfId="17292" xr:uid="{87FD09A6-D44D-4CD2-82FC-7EED2E4215AA}"/>
    <cellStyle name="Calculation 3 4 33" xfId="581" xr:uid="{303041CF-FF29-4296-A085-E7629D443DEB}"/>
    <cellStyle name="Calculation 3 4 33 2" xfId="12638" xr:uid="{ED83D8DC-093D-4268-B322-29EA32D49411}"/>
    <cellStyle name="Calculation 3 4 33 2 2" xfId="17293" xr:uid="{D5D40E45-4310-4902-8AE7-B8F2E6D6B749}"/>
    <cellStyle name="Calculation 3 4 33 2 3" xfId="17294" xr:uid="{6990611F-8933-4A76-9F46-A1F8F04EF0CD}"/>
    <cellStyle name="Calculation 3 4 33 2 4" xfId="17295" xr:uid="{6DEB3094-62B8-4D5C-9F4F-CD6CCF4ECC1D}"/>
    <cellStyle name="Calculation 3 4 33 2 5" xfId="17296" xr:uid="{212F132F-6114-43FF-873B-654920F56D56}"/>
    <cellStyle name="Calculation 3 4 33 2 6" xfId="17297" xr:uid="{2CD3CEA8-213D-44CA-8ADF-D17F92842D7A}"/>
    <cellStyle name="Calculation 3 4 33 3" xfId="17298" xr:uid="{BB6EDA26-E792-4AC1-89E8-63B8CEC7BB63}"/>
    <cellStyle name="Calculation 3 4 33 4" xfId="17299" xr:uid="{A671F392-651F-4465-8E2A-9B9B3DA88DAA}"/>
    <cellStyle name="Calculation 3 4 33 5" xfId="17300" xr:uid="{F1DF22EB-DFAB-4E32-A3AA-531B56AA9C03}"/>
    <cellStyle name="Calculation 3 4 33 6" xfId="17301" xr:uid="{3A04F28D-ADA6-4DF6-9D92-98A8258493A0}"/>
    <cellStyle name="Calculation 3 4 33 7" xfId="17302" xr:uid="{BF7D0AE7-C415-4E7F-A204-DB3740FE7BC7}"/>
    <cellStyle name="Calculation 3 4 34" xfId="582" xr:uid="{F615A34E-8295-4D88-A201-2478C7F4BB24}"/>
    <cellStyle name="Calculation 3 4 34 2" xfId="12722" xr:uid="{D9D03C81-ED59-4CA0-AAE6-677051C44FA5}"/>
    <cellStyle name="Calculation 3 4 34 2 2" xfId="17303" xr:uid="{A99801D4-9CFA-429E-BDF9-6052AFCDA4CA}"/>
    <cellStyle name="Calculation 3 4 34 2 3" xfId="17304" xr:uid="{1021AED5-A841-4B80-A4B9-98537C531BE4}"/>
    <cellStyle name="Calculation 3 4 34 2 4" xfId="17305" xr:uid="{B5889796-A154-456D-B902-0153ACD936D0}"/>
    <cellStyle name="Calculation 3 4 34 2 5" xfId="17306" xr:uid="{522D7359-0A18-4EAB-85F5-FEA185705E4F}"/>
    <cellStyle name="Calculation 3 4 34 2 6" xfId="17307" xr:uid="{BBABA5A6-EA77-4455-BC75-7BB64381C34A}"/>
    <cellStyle name="Calculation 3 4 34 3" xfId="17308" xr:uid="{1110CBF8-AFA1-42B0-B3F8-7831954A6C1F}"/>
    <cellStyle name="Calculation 3 4 34 4" xfId="17309" xr:uid="{5780FEEC-1BB2-47AA-8B9F-C354A6B99781}"/>
    <cellStyle name="Calculation 3 4 34 5" xfId="17310" xr:uid="{0765991D-4120-494B-B994-328821DC9969}"/>
    <cellStyle name="Calculation 3 4 34 6" xfId="17311" xr:uid="{4BFA28E5-72FE-4425-BB3B-B8437DF05772}"/>
    <cellStyle name="Calculation 3 4 35" xfId="3825" xr:uid="{151F029A-3265-42B2-ADBE-2CC06351CDC6}"/>
    <cellStyle name="Calculation 3 4 35 2" xfId="17312" xr:uid="{1F2FF4FE-B694-4EB6-9A75-CFCA88357527}"/>
    <cellStyle name="Calculation 3 4 35 3" xfId="17313" xr:uid="{4BB6CEA0-328A-4190-941C-CC81ACCBCDA0}"/>
    <cellStyle name="Calculation 3 4 35 4" xfId="17314" xr:uid="{63504610-EEEC-4027-94D6-1EC5EAF13BF0}"/>
    <cellStyle name="Calculation 3 4 35 5" xfId="17315" xr:uid="{BA29E948-C0A2-4B17-B798-48656D81F23C}"/>
    <cellStyle name="Calculation 3 4 35 6" xfId="17316" xr:uid="{29788C28-8BB5-4278-B6D5-9DEDFF623101}"/>
    <cellStyle name="Calculation 3 4 36" xfId="9786" xr:uid="{CAB05472-BECE-4263-9148-1925713D0ED1}"/>
    <cellStyle name="Calculation 3 4 36 2" xfId="17317" xr:uid="{78BAD907-30B5-40F5-999A-5BAF27D00AB2}"/>
    <cellStyle name="Calculation 3 4 36 3" xfId="17318" xr:uid="{9A3691F9-9B0A-4F66-84F0-F9E1A17806ED}"/>
    <cellStyle name="Calculation 3 4 36 4" xfId="17319" xr:uid="{07D27E65-6BE8-4EA6-A914-686268F30053}"/>
    <cellStyle name="Calculation 3 4 36 5" xfId="17320" xr:uid="{9108448E-C67C-479D-AD15-AE7D35E435E4}"/>
    <cellStyle name="Calculation 3 4 36 6" xfId="17321" xr:uid="{22112789-8F4C-4779-A0CA-671538E132B9}"/>
    <cellStyle name="Calculation 3 4 37" xfId="17322" xr:uid="{68088FD5-C905-4E42-9E13-115FD5ECDC0D}"/>
    <cellStyle name="Calculation 3 4 38" xfId="17323" xr:uid="{58EFA708-02F9-4591-BA1A-354FBFB92C8B}"/>
    <cellStyle name="Calculation 3 4 39" xfId="17324" xr:uid="{5B0A815A-4F39-453E-8F5D-CDA9835F2136}"/>
    <cellStyle name="Calculation 3 4 4" xfId="583" xr:uid="{D8A800C9-B250-4149-8E14-226510D46C1B}"/>
    <cellStyle name="Calculation 3 4 4 2" xfId="10179" xr:uid="{755E1E03-F547-4E88-8ADC-C45B60508F1C}"/>
    <cellStyle name="Calculation 3 4 4 2 2" xfId="17325" xr:uid="{E2FA2DAF-3EC8-4F8D-A3E3-DA812E9BBB4F}"/>
    <cellStyle name="Calculation 3 4 4 2 3" xfId="17326" xr:uid="{3321AF30-568D-4E68-99D2-48E5B0996FF1}"/>
    <cellStyle name="Calculation 3 4 4 2 4" xfId="17327" xr:uid="{777D27EC-11E4-4CE0-BAD2-914BDC44465F}"/>
    <cellStyle name="Calculation 3 4 4 2 5" xfId="17328" xr:uid="{CC65A5A8-D2A0-46D5-9063-FE6090DBEC0A}"/>
    <cellStyle name="Calculation 3 4 4 2 6" xfId="17329" xr:uid="{93A5D3C5-1FD5-40AC-9738-E25081FB32CA}"/>
    <cellStyle name="Calculation 3 4 4 3" xfId="17330" xr:uid="{27BF0AE7-C349-4CC4-87CE-D36A4B8234DB}"/>
    <cellStyle name="Calculation 3 4 4 4" xfId="17331" xr:uid="{5E2191A3-B175-4065-B3D6-0AF49CB21717}"/>
    <cellStyle name="Calculation 3 4 4 5" xfId="17332" xr:uid="{0D2F17E6-F7CC-4F84-BB5D-E0ABC7A0D5C2}"/>
    <cellStyle name="Calculation 3 4 4 6" xfId="17333" xr:uid="{B8010D56-6C7F-47DB-A13C-41773F9213DF}"/>
    <cellStyle name="Calculation 3 4 4 7" xfId="17334" xr:uid="{12ABA34F-2CD7-48C4-BC6A-30098E029927}"/>
    <cellStyle name="Calculation 3 4 40" xfId="17335" xr:uid="{7A34666A-A0EB-4066-81D0-29F7883F2654}"/>
    <cellStyle name="Calculation 3 4 5" xfId="584" xr:uid="{5FFE9F48-87B1-4579-9F79-CDE6EC45AFB9}"/>
    <cellStyle name="Calculation 3 4 5 2" xfId="10267" xr:uid="{B8ABCACB-A549-45AE-9633-5E00019D1199}"/>
    <cellStyle name="Calculation 3 4 5 2 2" xfId="17336" xr:uid="{A68A7895-236F-4A14-8649-B99D9D21E73A}"/>
    <cellStyle name="Calculation 3 4 5 2 3" xfId="17337" xr:uid="{94584741-7E1E-40B6-989E-9FAD43A90B7A}"/>
    <cellStyle name="Calculation 3 4 5 2 4" xfId="17338" xr:uid="{D3D8363A-8F84-4F18-BFB3-BF9252A08CDB}"/>
    <cellStyle name="Calculation 3 4 5 2 5" xfId="17339" xr:uid="{AD23D3FF-A253-4C1C-A1A8-F47FA5505EFF}"/>
    <cellStyle name="Calculation 3 4 5 2 6" xfId="17340" xr:uid="{DA830391-A4E5-4E8D-86E8-0E668BCA3F45}"/>
    <cellStyle name="Calculation 3 4 5 3" xfId="17341" xr:uid="{93602C88-046E-4238-8488-99029F417381}"/>
    <cellStyle name="Calculation 3 4 5 4" xfId="17342" xr:uid="{A279A997-1102-43B5-B484-E2599F25C4B8}"/>
    <cellStyle name="Calculation 3 4 5 5" xfId="17343" xr:uid="{0E9E31F1-3799-4D20-8536-5DDE3A20B681}"/>
    <cellStyle name="Calculation 3 4 5 6" xfId="17344" xr:uid="{883A6746-8437-4D8C-88DB-BABF375BF57D}"/>
    <cellStyle name="Calculation 3 4 5 7" xfId="17345" xr:uid="{B2261429-73EC-47A5-8A8E-050C8AF69CFE}"/>
    <cellStyle name="Calculation 3 4 6" xfId="585" xr:uid="{43E0C120-C262-45F3-AA9D-BCD921357C55}"/>
    <cellStyle name="Calculation 3 4 6 2" xfId="10352" xr:uid="{B85BF0C3-7397-4B62-B89F-0B18848EB694}"/>
    <cellStyle name="Calculation 3 4 6 2 2" xfId="17346" xr:uid="{6C4858E4-3E02-42C7-9891-4A7D3872172B}"/>
    <cellStyle name="Calculation 3 4 6 2 3" xfId="17347" xr:uid="{335C9E2E-C6C2-46C5-8FF7-A6FEDD823B07}"/>
    <cellStyle name="Calculation 3 4 6 2 4" xfId="17348" xr:uid="{BB64C186-724F-43A0-92C2-0AE73C512210}"/>
    <cellStyle name="Calculation 3 4 6 2 5" xfId="17349" xr:uid="{2B7791E5-D64A-4B73-8D12-E2BA0CC8B081}"/>
    <cellStyle name="Calculation 3 4 6 2 6" xfId="17350" xr:uid="{4F79B468-143F-4D7E-9585-EEC158FC6918}"/>
    <cellStyle name="Calculation 3 4 6 3" xfId="17351" xr:uid="{165B64B1-0907-414B-B538-F7A383B7B1DD}"/>
    <cellStyle name="Calculation 3 4 6 4" xfId="17352" xr:uid="{48548D02-3093-45E1-BDED-37EAA1B28D7C}"/>
    <cellStyle name="Calculation 3 4 6 5" xfId="17353" xr:uid="{1A53C246-1E47-4720-AF06-84963756BC17}"/>
    <cellStyle name="Calculation 3 4 6 6" xfId="17354" xr:uid="{D1B66A29-D1AB-40F2-9CC3-42100CFEB2BE}"/>
    <cellStyle name="Calculation 3 4 6 7" xfId="17355" xr:uid="{BC898216-919D-4560-A59A-ED9C2C0DD58A}"/>
    <cellStyle name="Calculation 3 4 7" xfId="586" xr:uid="{1CCF529E-7D5A-44CF-870B-3981E8068B61}"/>
    <cellStyle name="Calculation 3 4 7 2" xfId="10439" xr:uid="{88081488-1D1F-4496-80BD-3C0B04EB6A3D}"/>
    <cellStyle name="Calculation 3 4 7 2 2" xfId="17356" xr:uid="{12365330-B53F-49AA-836F-E43BFBEBACFA}"/>
    <cellStyle name="Calculation 3 4 7 2 3" xfId="17357" xr:uid="{06B5AF7C-DADA-44F0-A453-B123376C94E0}"/>
    <cellStyle name="Calculation 3 4 7 2 4" xfId="17358" xr:uid="{7F8BBD87-16C2-473F-9C09-71498D8FAEE5}"/>
    <cellStyle name="Calculation 3 4 7 2 5" xfId="17359" xr:uid="{F32D4106-5302-413F-AA30-DE162488D87D}"/>
    <cellStyle name="Calculation 3 4 7 2 6" xfId="17360" xr:uid="{B898CE25-590B-43D1-93FB-FB9EA8F9044B}"/>
    <cellStyle name="Calculation 3 4 7 3" xfId="17361" xr:uid="{A56AA1B5-9F3F-46D8-B257-CFE161355965}"/>
    <cellStyle name="Calculation 3 4 7 4" xfId="17362" xr:uid="{A7DDE228-3AA6-42C9-B184-2F2882DB7EE8}"/>
    <cellStyle name="Calculation 3 4 7 5" xfId="17363" xr:uid="{193BE172-1D4A-4F07-959F-C2B36E990156}"/>
    <cellStyle name="Calculation 3 4 7 6" xfId="17364" xr:uid="{36082ADA-14F8-40ED-91BC-A81AC1638D5F}"/>
    <cellStyle name="Calculation 3 4 7 7" xfId="17365" xr:uid="{DA81F50F-97E4-4480-BB49-441BBDDE4A86}"/>
    <cellStyle name="Calculation 3 4 8" xfId="587" xr:uid="{B843EA41-178C-4CF1-A4E4-8CAEFBF20358}"/>
    <cellStyle name="Calculation 3 4 8 2" xfId="10528" xr:uid="{4EEAAB67-FD7E-40D5-BB1F-634E9CE7E12F}"/>
    <cellStyle name="Calculation 3 4 8 2 2" xfId="17366" xr:uid="{4C4DCC34-8B77-4C64-8AF9-DD6ECF6BA3C3}"/>
    <cellStyle name="Calculation 3 4 8 2 3" xfId="17367" xr:uid="{0582E674-6EE6-43A1-9544-3CFD8C6742D6}"/>
    <cellStyle name="Calculation 3 4 8 2 4" xfId="17368" xr:uid="{77FCC176-B7EE-4362-A14B-0091FDF8F625}"/>
    <cellStyle name="Calculation 3 4 8 2 5" xfId="17369" xr:uid="{EDCF650E-C6FF-4E83-8DF7-591BD4512290}"/>
    <cellStyle name="Calculation 3 4 8 2 6" xfId="17370" xr:uid="{33E223DC-1BA6-49F2-93DA-82FA40FD4A5F}"/>
    <cellStyle name="Calculation 3 4 8 3" xfId="17371" xr:uid="{966868EE-C799-46B1-9BBE-FAD8040332C2}"/>
    <cellStyle name="Calculation 3 4 8 4" xfId="17372" xr:uid="{45C14F48-9647-4CF5-B36D-6D3AF7429E5D}"/>
    <cellStyle name="Calculation 3 4 8 5" xfId="17373" xr:uid="{80D2B8A6-CAAE-4779-902A-ED5E10B914C6}"/>
    <cellStyle name="Calculation 3 4 8 6" xfId="17374" xr:uid="{087E7541-CE74-47FF-89C2-5E07AAB14EC1}"/>
    <cellStyle name="Calculation 3 4 8 7" xfId="17375" xr:uid="{39D3B82E-FCD3-4C09-A7BC-C68CEE671369}"/>
    <cellStyle name="Calculation 3 4 9" xfId="588" xr:uid="{C9492843-9C4D-4A40-B837-49B8FB7CD86A}"/>
    <cellStyle name="Calculation 3 4 9 2" xfId="10610" xr:uid="{3ED2AB56-F826-467D-8D4E-F5D289DEE682}"/>
    <cellStyle name="Calculation 3 4 9 2 2" xfId="17376" xr:uid="{CDA7DC0E-079D-4BF6-9678-5930018A108C}"/>
    <cellStyle name="Calculation 3 4 9 2 3" xfId="17377" xr:uid="{126632AC-E05D-4A56-A0F3-691B7F163366}"/>
    <cellStyle name="Calculation 3 4 9 2 4" xfId="17378" xr:uid="{1D1BA3A7-2A9E-4AB0-8DC6-DD2E4945573B}"/>
    <cellStyle name="Calculation 3 4 9 2 5" xfId="17379" xr:uid="{8CAA3DD3-DE48-473F-A65F-CAD427F33112}"/>
    <cellStyle name="Calculation 3 4 9 2 6" xfId="17380" xr:uid="{1B3C96F1-A339-484E-881B-64910D1BB245}"/>
    <cellStyle name="Calculation 3 4 9 3" xfId="17381" xr:uid="{D620D078-747B-4AB4-9FB5-E276A0F4ECFF}"/>
    <cellStyle name="Calculation 3 4 9 4" xfId="17382" xr:uid="{629E114D-E8FF-4AE1-8E9E-EE32217D1668}"/>
    <cellStyle name="Calculation 3 4 9 5" xfId="17383" xr:uid="{892F720C-B2DC-4B9E-8470-AEF884A51672}"/>
    <cellStyle name="Calculation 3 4 9 6" xfId="17384" xr:uid="{2C768BA2-538A-457B-86BA-7150E3975A46}"/>
    <cellStyle name="Calculation 3 4 9 7" xfId="17385" xr:uid="{E938339F-2632-42BF-AADA-A4D8B0CF1A0D}"/>
    <cellStyle name="Calculation 3 40" xfId="3826" xr:uid="{84652FFC-202F-41C4-82ED-78AA6480D688}"/>
    <cellStyle name="Calculation 3 41" xfId="9763" xr:uid="{DE9EA4BC-142B-40C0-BBEC-85E27376CA16}"/>
    <cellStyle name="Calculation 3 41 2" xfId="17386" xr:uid="{CD671677-4C9D-4371-B496-84519D8DDC25}"/>
    <cellStyle name="Calculation 3 41 3" xfId="17387" xr:uid="{40D2B77F-E523-4B62-BEEA-85E45F796F8F}"/>
    <cellStyle name="Calculation 3 41 4" xfId="17388" xr:uid="{A081CDD6-48F6-4CA0-8A54-DE12DAB0E234}"/>
    <cellStyle name="Calculation 3 41 5" xfId="17389" xr:uid="{DC2F2113-5DEA-40CE-A119-2BEC455F12D0}"/>
    <cellStyle name="Calculation 3 41 6" xfId="17390" xr:uid="{99FFBEF4-3897-4B4A-9D25-7301956E8DE0}"/>
    <cellStyle name="Calculation 3 5" xfId="589" xr:uid="{C7DB0A12-44F3-4F11-854F-36F8B094A20F}"/>
    <cellStyle name="Calculation 3 5 10" xfId="590" xr:uid="{93845B9A-C90A-4FE3-BFAC-A55351A18EAE}"/>
    <cellStyle name="Calculation 3 5 10 2" xfId="10697" xr:uid="{168F2F28-D4B2-4B97-A975-899B78212D93}"/>
    <cellStyle name="Calculation 3 5 10 2 2" xfId="17391" xr:uid="{431D316F-AE5C-4E81-96A9-FB5C5FB05376}"/>
    <cellStyle name="Calculation 3 5 10 2 3" xfId="17392" xr:uid="{4033A923-79C2-4AE6-B25A-BCCB13D2C01F}"/>
    <cellStyle name="Calculation 3 5 10 2 4" xfId="17393" xr:uid="{2A41E032-F885-45E3-BE3E-DCD57A898E19}"/>
    <cellStyle name="Calculation 3 5 10 2 5" xfId="17394" xr:uid="{E2D3FD3F-5A57-44C0-A4BD-C0572ABCE486}"/>
    <cellStyle name="Calculation 3 5 10 2 6" xfId="17395" xr:uid="{A2DB98E4-0985-47F9-88EE-B1388DF54F3F}"/>
    <cellStyle name="Calculation 3 5 10 3" xfId="17396" xr:uid="{6AF44B14-560D-416A-9941-0C24C2B201D6}"/>
    <cellStyle name="Calculation 3 5 10 4" xfId="17397" xr:uid="{B17114D0-72EB-458B-9131-A0D62265B157}"/>
    <cellStyle name="Calculation 3 5 10 5" xfId="17398" xr:uid="{AEFD1363-B3E3-4394-8CD8-FC8801887894}"/>
    <cellStyle name="Calculation 3 5 10 6" xfId="17399" xr:uid="{0CFC641B-F10D-47B9-8431-42F4C134808C}"/>
    <cellStyle name="Calculation 3 5 10 7" xfId="17400" xr:uid="{D04CA194-3D56-4A5D-894B-29883F82F6E6}"/>
    <cellStyle name="Calculation 3 5 11" xfId="591" xr:uid="{5C94C452-6DA2-44C2-9222-95A32ED38935}"/>
    <cellStyle name="Calculation 3 5 11 2" xfId="10788" xr:uid="{A4EAB503-A682-4875-B5BD-92FE7C605E0E}"/>
    <cellStyle name="Calculation 3 5 11 2 2" xfId="17401" xr:uid="{A3A8F7FE-BB1C-4210-84A8-B8635E0045E2}"/>
    <cellStyle name="Calculation 3 5 11 2 3" xfId="17402" xr:uid="{099B679C-5C0F-4A02-9FE4-088B947996ED}"/>
    <cellStyle name="Calculation 3 5 11 2 4" xfId="17403" xr:uid="{3692EAE7-787C-4143-806C-5CEEB1A27B20}"/>
    <cellStyle name="Calculation 3 5 11 2 5" xfId="17404" xr:uid="{8FC615F2-6863-4A9D-A85F-984E0EB13CAE}"/>
    <cellStyle name="Calculation 3 5 11 2 6" xfId="17405" xr:uid="{D33731B6-196C-41C5-895F-34004F3E5413}"/>
    <cellStyle name="Calculation 3 5 11 3" xfId="17406" xr:uid="{8BEAD6CC-BA5E-4771-A3E8-278A55A20C76}"/>
    <cellStyle name="Calculation 3 5 11 4" xfId="17407" xr:uid="{43FB03F2-7624-497D-B531-C7B20F3B7B40}"/>
    <cellStyle name="Calculation 3 5 11 5" xfId="17408" xr:uid="{1748D8B2-D357-4C4F-BB14-CABA3B30B2A3}"/>
    <cellStyle name="Calculation 3 5 11 6" xfId="17409" xr:uid="{BC723813-ED6F-420C-B59A-3C90A5A31667}"/>
    <cellStyle name="Calculation 3 5 11 7" xfId="17410" xr:uid="{B3179305-5933-4D26-A7CA-4129DB1C10C4}"/>
    <cellStyle name="Calculation 3 5 12" xfId="592" xr:uid="{897F825F-B0A3-4522-9EEB-813199EBEF78}"/>
    <cellStyle name="Calculation 3 5 12 2" xfId="10875" xr:uid="{09AD5B34-AF9D-4B8E-AB7A-F0AF77048FC1}"/>
    <cellStyle name="Calculation 3 5 12 2 2" xfId="17411" xr:uid="{958399FB-D9AF-48F7-BC4C-11EF8E5D56C0}"/>
    <cellStyle name="Calculation 3 5 12 2 3" xfId="17412" xr:uid="{2EF1509F-3FBA-495F-88C6-5F35781975FA}"/>
    <cellStyle name="Calculation 3 5 12 2 4" xfId="17413" xr:uid="{81409321-0ECD-4FC0-92A5-6045066C5E6C}"/>
    <cellStyle name="Calculation 3 5 12 2 5" xfId="17414" xr:uid="{458D5F64-18A3-4388-890B-5CB0D84C18C3}"/>
    <cellStyle name="Calculation 3 5 12 2 6" xfId="17415" xr:uid="{9C684AEE-8B0D-4049-9B72-D02AD58732EF}"/>
    <cellStyle name="Calculation 3 5 12 3" xfId="17416" xr:uid="{5D6E73CF-746D-480D-9E0F-AEF568B0FB3E}"/>
    <cellStyle name="Calculation 3 5 12 4" xfId="17417" xr:uid="{860AAEEA-C9E9-4F12-8ED8-A50A5A302804}"/>
    <cellStyle name="Calculation 3 5 12 5" xfId="17418" xr:uid="{1DE03D44-263B-4C22-919E-20F265925B00}"/>
    <cellStyle name="Calculation 3 5 12 6" xfId="17419" xr:uid="{C943EA25-5D5C-45C4-8081-DB2C2BF8AF09}"/>
    <cellStyle name="Calculation 3 5 12 7" xfId="17420" xr:uid="{56E505D4-22B0-424C-AF1B-53A215D103A0}"/>
    <cellStyle name="Calculation 3 5 13" xfId="593" xr:uid="{ACA8BE26-2820-40E0-B6F4-1BE8781780FA}"/>
    <cellStyle name="Calculation 3 5 13 2" xfId="10964" xr:uid="{FF6474B9-18B3-49E1-90F5-D51CCC9C2BBD}"/>
    <cellStyle name="Calculation 3 5 13 2 2" xfId="17421" xr:uid="{46B86F24-E164-49B7-93A0-92023C4F5A35}"/>
    <cellStyle name="Calculation 3 5 13 2 3" xfId="17422" xr:uid="{A2857FD3-45CC-4A61-96B9-FBA47A13B15C}"/>
    <cellStyle name="Calculation 3 5 13 2 4" xfId="17423" xr:uid="{F71CAE8A-5440-4268-A608-4BC329EA994B}"/>
    <cellStyle name="Calculation 3 5 13 2 5" xfId="17424" xr:uid="{6663F488-73AA-4006-BEBF-64653737AB36}"/>
    <cellStyle name="Calculation 3 5 13 2 6" xfId="17425" xr:uid="{C3EA2A82-6211-47EE-B26A-FB15F8C0A0A4}"/>
    <cellStyle name="Calculation 3 5 13 3" xfId="17426" xr:uid="{D8DF9B3E-F256-4E14-B289-FE0A85B29EB7}"/>
    <cellStyle name="Calculation 3 5 13 4" xfId="17427" xr:uid="{7E3CA799-0E4A-475D-8FF2-0AC5D7375576}"/>
    <cellStyle name="Calculation 3 5 13 5" xfId="17428" xr:uid="{1303337F-A3F6-4FAB-A3B4-E8AF108EC33E}"/>
    <cellStyle name="Calculation 3 5 13 6" xfId="17429" xr:uid="{769CC48A-5324-42D0-990A-48B8A47C14E6}"/>
    <cellStyle name="Calculation 3 5 13 7" xfId="17430" xr:uid="{887D5830-1835-4860-94D4-040AB60906F1}"/>
    <cellStyle name="Calculation 3 5 14" xfId="594" xr:uid="{A75BE5FC-FE93-414C-8EF3-490A62A62CB7}"/>
    <cellStyle name="Calculation 3 5 14 2" xfId="11056" xr:uid="{6D39AEF6-85B8-4704-B32E-5ECD75D5E7CA}"/>
    <cellStyle name="Calculation 3 5 14 2 2" xfId="17431" xr:uid="{D7C9BE54-E4F4-43FD-AE72-186DB471E72E}"/>
    <cellStyle name="Calculation 3 5 14 2 3" xfId="17432" xr:uid="{11D24564-7E93-4936-BC7C-B3B9C2D43897}"/>
    <cellStyle name="Calculation 3 5 14 2 4" xfId="17433" xr:uid="{723B7A99-83F9-4B52-B5F3-F602CD695307}"/>
    <cellStyle name="Calculation 3 5 14 2 5" xfId="17434" xr:uid="{D9A62C85-3626-41F4-8563-C93D2A83321D}"/>
    <cellStyle name="Calculation 3 5 14 2 6" xfId="17435" xr:uid="{EB66C3C8-EDF9-474E-8126-50725E5D93F9}"/>
    <cellStyle name="Calculation 3 5 14 3" xfId="17436" xr:uid="{A41F5DE8-6335-4823-8A61-3300B1CD3F27}"/>
    <cellStyle name="Calculation 3 5 14 4" xfId="17437" xr:uid="{9F29EC82-FE8C-41D3-8E84-DE79ABFDEA87}"/>
    <cellStyle name="Calculation 3 5 14 5" xfId="17438" xr:uid="{645FB998-6A29-401C-B714-5E775AE4A895}"/>
    <cellStyle name="Calculation 3 5 14 6" xfId="17439" xr:uid="{DD89EA26-90A3-4037-B2BB-7E558DA403B5}"/>
    <cellStyle name="Calculation 3 5 14 7" xfId="17440" xr:uid="{2FAFF680-3DFB-4EA7-A78F-9F4CFA8D317A}"/>
    <cellStyle name="Calculation 3 5 15" xfId="595" xr:uid="{3994BA63-8FA5-4B66-BD5A-E544309CEEA4}"/>
    <cellStyle name="Calculation 3 5 15 2" xfId="11139" xr:uid="{84BE7FF3-29DC-4310-A390-78CEC825F406}"/>
    <cellStyle name="Calculation 3 5 15 2 2" xfId="17441" xr:uid="{FC3911B5-8BB9-4F1E-AF3D-E2C835A1D91F}"/>
    <cellStyle name="Calculation 3 5 15 2 3" xfId="17442" xr:uid="{7E00A57A-21A8-4F79-B004-C84999055949}"/>
    <cellStyle name="Calculation 3 5 15 2 4" xfId="17443" xr:uid="{B2CDEAF2-FEF1-4FD2-A836-6CF7BC448507}"/>
    <cellStyle name="Calculation 3 5 15 2 5" xfId="17444" xr:uid="{7BE9B92C-3D4E-4C44-8317-DE26C2E839C6}"/>
    <cellStyle name="Calculation 3 5 15 2 6" xfId="17445" xr:uid="{E0E9CD5D-0112-466A-B89B-0FF3DBFD7560}"/>
    <cellStyle name="Calculation 3 5 15 3" xfId="17446" xr:uid="{55BEE79B-D8DF-425E-8367-21322484906A}"/>
    <cellStyle name="Calculation 3 5 15 4" xfId="17447" xr:uid="{339FDA09-FC43-4245-8CDB-8A4AFC9CA500}"/>
    <cellStyle name="Calculation 3 5 15 5" xfId="17448" xr:uid="{7C62B694-0640-4CDF-B89D-4C2AA12E5F93}"/>
    <cellStyle name="Calculation 3 5 15 6" xfId="17449" xr:uid="{BE8B7D08-1377-4F13-B00D-69042651A575}"/>
    <cellStyle name="Calculation 3 5 15 7" xfId="17450" xr:uid="{151644BE-6CCB-49EF-9AF1-DE552685B7CC}"/>
    <cellStyle name="Calculation 3 5 16" xfId="596" xr:uid="{6A3BCF1F-42FE-427B-8313-86C8210FAB76}"/>
    <cellStyle name="Calculation 3 5 16 2" xfId="11228" xr:uid="{86826560-157F-4A8B-972B-21067FCFC2AB}"/>
    <cellStyle name="Calculation 3 5 16 2 2" xfId="17451" xr:uid="{6850738E-FCA1-41D4-B832-2A45A48FF05B}"/>
    <cellStyle name="Calculation 3 5 16 2 3" xfId="17452" xr:uid="{B280F7F3-F40C-45AE-A4CC-5A216B54249B}"/>
    <cellStyle name="Calculation 3 5 16 2 4" xfId="17453" xr:uid="{4BA443C0-AFCB-458B-9878-9563F95F64CA}"/>
    <cellStyle name="Calculation 3 5 16 2 5" xfId="17454" xr:uid="{29BF33B8-8928-40D9-A15A-BEFFA876EB50}"/>
    <cellStyle name="Calculation 3 5 16 2 6" xfId="17455" xr:uid="{897B762C-A379-4630-B688-32E6067DD13C}"/>
    <cellStyle name="Calculation 3 5 16 3" xfId="17456" xr:uid="{BD4259BF-40D9-44EB-AE32-10C1FE4DFFDD}"/>
    <cellStyle name="Calculation 3 5 16 4" xfId="17457" xr:uid="{0C113B2A-B0D1-4192-A8D0-D7CD92A722CF}"/>
    <cellStyle name="Calculation 3 5 16 5" xfId="17458" xr:uid="{AD8690FD-3D84-463C-B11A-6E6805B51327}"/>
    <cellStyle name="Calculation 3 5 16 6" xfId="17459" xr:uid="{F4F26784-2978-4FE1-BEAF-45C1EF399056}"/>
    <cellStyle name="Calculation 3 5 16 7" xfId="17460" xr:uid="{595D8F86-0CBF-4499-90C4-58284F864402}"/>
    <cellStyle name="Calculation 3 5 17" xfId="597" xr:uid="{BEBCB473-84B7-4856-8D09-091A0018049B}"/>
    <cellStyle name="Calculation 3 5 17 2" xfId="11314" xr:uid="{446E6344-A64B-4040-A626-34215F08FC5E}"/>
    <cellStyle name="Calculation 3 5 17 2 2" xfId="17461" xr:uid="{3D03E3E9-50ED-4F87-9DD0-2F1C3841F3A9}"/>
    <cellStyle name="Calculation 3 5 17 2 3" xfId="17462" xr:uid="{9610EC48-458B-4680-9B4A-C43957E085F8}"/>
    <cellStyle name="Calculation 3 5 17 2 4" xfId="17463" xr:uid="{D0D3A341-1ADE-47AE-B321-399487586AE3}"/>
    <cellStyle name="Calculation 3 5 17 2 5" xfId="17464" xr:uid="{BB4495E0-23E9-4A3F-BB9C-BB037D5C63D9}"/>
    <cellStyle name="Calculation 3 5 17 2 6" xfId="17465" xr:uid="{1F2F0B61-CAF3-4F50-82C5-93C429501F28}"/>
    <cellStyle name="Calculation 3 5 17 3" xfId="17466" xr:uid="{FE3EEDFF-C4BF-4B76-AFEA-FDEAEEA5347C}"/>
    <cellStyle name="Calculation 3 5 17 4" xfId="17467" xr:uid="{F371771E-1B53-433C-AA67-2BB1BD9B11BC}"/>
    <cellStyle name="Calculation 3 5 17 5" xfId="17468" xr:uid="{8700BF5C-8298-4687-9285-1E09E93E83E7}"/>
    <cellStyle name="Calculation 3 5 17 6" xfId="17469" xr:uid="{588A629E-A891-4DEE-BA06-5FD530FB6EF9}"/>
    <cellStyle name="Calculation 3 5 17 7" xfId="17470" xr:uid="{68C61FD7-3366-49C7-8697-45A3C908E7D1}"/>
    <cellStyle name="Calculation 3 5 18" xfId="598" xr:uid="{F78D8DC9-E2D3-4937-BC07-0EA8E142546F}"/>
    <cellStyle name="Calculation 3 5 18 2" xfId="11401" xr:uid="{FBB96979-51FC-4EB6-B7EE-1F891FD75939}"/>
    <cellStyle name="Calculation 3 5 18 2 2" xfId="17471" xr:uid="{41264A46-4F60-46EE-B88A-6FB43DB3A9D6}"/>
    <cellStyle name="Calculation 3 5 18 2 3" xfId="17472" xr:uid="{A88ADB8C-2A15-411C-AC5A-DDD30740633F}"/>
    <cellStyle name="Calculation 3 5 18 2 4" xfId="17473" xr:uid="{DD8C9492-6724-4864-B052-5B4D9BC2087A}"/>
    <cellStyle name="Calculation 3 5 18 2 5" xfId="17474" xr:uid="{CFF27502-5AC2-42F3-8BD1-C90B8AFFC966}"/>
    <cellStyle name="Calculation 3 5 18 2 6" xfId="17475" xr:uid="{734E80C7-7BD4-4F9E-A467-BBA2B0C29009}"/>
    <cellStyle name="Calculation 3 5 18 3" xfId="17476" xr:uid="{D443571D-3C7F-4AE2-BB35-FAC93DC69ABB}"/>
    <cellStyle name="Calculation 3 5 18 4" xfId="17477" xr:uid="{72CF251D-B704-4BFF-9090-3CBEEBB16C2C}"/>
    <cellStyle name="Calculation 3 5 18 5" xfId="17478" xr:uid="{29C79279-6503-47EF-B926-93B1B0164C36}"/>
    <cellStyle name="Calculation 3 5 18 6" xfId="17479" xr:uid="{8DF80768-7B19-4704-A4C0-B308D6141C58}"/>
    <cellStyle name="Calculation 3 5 18 7" xfId="17480" xr:uid="{E73752B8-4275-48ED-A1F3-ECA39F2468E7}"/>
    <cellStyle name="Calculation 3 5 19" xfId="599" xr:uid="{CE5A86BE-34BA-49E9-A4EE-513FDB898DF4}"/>
    <cellStyle name="Calculation 3 5 19 2" xfId="11488" xr:uid="{D7CC4634-AEDF-406B-908D-4A53FD5D39FE}"/>
    <cellStyle name="Calculation 3 5 19 2 2" xfId="17481" xr:uid="{22743257-4418-4916-B095-CA21679AF55C}"/>
    <cellStyle name="Calculation 3 5 19 2 3" xfId="17482" xr:uid="{D6DE8509-4C5A-4F34-893E-8D81275AC9F3}"/>
    <cellStyle name="Calculation 3 5 19 2 4" xfId="17483" xr:uid="{2A5AD8FB-B451-4DF6-8196-23AA0FA7497D}"/>
    <cellStyle name="Calculation 3 5 19 2 5" xfId="17484" xr:uid="{99D24719-30F6-46CB-9072-1D6B86FAA1A1}"/>
    <cellStyle name="Calculation 3 5 19 2 6" xfId="17485" xr:uid="{B18D28B8-5E8A-4FFA-A5C5-091C9E465821}"/>
    <cellStyle name="Calculation 3 5 19 3" xfId="17486" xr:uid="{2DFBC585-8BE6-4614-91C8-62246AF70C6E}"/>
    <cellStyle name="Calculation 3 5 19 4" xfId="17487" xr:uid="{F4ED29FA-4E38-4629-872C-8D897F65C62D}"/>
    <cellStyle name="Calculation 3 5 19 5" xfId="17488" xr:uid="{2B95E74D-A270-412A-B51B-907981AB6AF7}"/>
    <cellStyle name="Calculation 3 5 19 6" xfId="17489" xr:uid="{89BCF9C3-1527-46B6-AD52-A82C807C16F5}"/>
    <cellStyle name="Calculation 3 5 19 7" xfId="17490" xr:uid="{7A3FC1D6-BF6F-44D7-AEC6-68A63E51B992}"/>
    <cellStyle name="Calculation 3 5 2" xfId="600" xr:uid="{50AE9135-B19B-4B20-8340-825FF80793BD}"/>
    <cellStyle name="Calculation 3 5 2 2" xfId="9994" xr:uid="{BF6685FC-ED1E-46FE-93BF-C9B5A34C2963}"/>
    <cellStyle name="Calculation 3 5 2 2 2" xfId="17491" xr:uid="{63CA81A9-74E9-40FD-ACE0-9893F439487A}"/>
    <cellStyle name="Calculation 3 5 2 2 3" xfId="17492" xr:uid="{D6552641-C975-41A7-A6FE-246ED6871000}"/>
    <cellStyle name="Calculation 3 5 2 2 4" xfId="17493" xr:uid="{02F287BF-1B61-43AF-B65A-5088DAC27F0C}"/>
    <cellStyle name="Calculation 3 5 2 2 5" xfId="17494" xr:uid="{E1CA6432-652B-41C7-8596-2B2ED8F18D75}"/>
    <cellStyle name="Calculation 3 5 2 2 6" xfId="17495" xr:uid="{689A3EE7-2E89-495D-B4B6-74596C402EBA}"/>
    <cellStyle name="Calculation 3 5 2 3" xfId="17496" xr:uid="{D2D43AD3-ED41-43D4-AC4A-33D2192395F7}"/>
    <cellStyle name="Calculation 3 5 2 4" xfId="17497" xr:uid="{18B15BC4-6689-491C-878D-56F4B243195F}"/>
    <cellStyle name="Calculation 3 5 2 5" xfId="17498" xr:uid="{A18F2612-BB43-4957-956F-9B50C604469C}"/>
    <cellStyle name="Calculation 3 5 2 6" xfId="17499" xr:uid="{550C9DDE-4DBA-4962-8C87-656E7865DEC4}"/>
    <cellStyle name="Calculation 3 5 2 7" xfId="17500" xr:uid="{4A15AB5A-FC37-4CD0-8FD5-280E711602DE}"/>
    <cellStyle name="Calculation 3 5 20" xfId="601" xr:uid="{F068B885-E45A-49B2-8DE3-583C47EA68D0}"/>
    <cellStyle name="Calculation 3 5 20 2" xfId="11576" xr:uid="{B0ADC1DA-76F1-44F1-8CEF-881F2FCECE6E}"/>
    <cellStyle name="Calculation 3 5 20 2 2" xfId="17501" xr:uid="{AB27335E-E85F-4045-8A9E-9F58D171E5A9}"/>
    <cellStyle name="Calculation 3 5 20 2 3" xfId="17502" xr:uid="{3E0141A8-6DB9-40CB-A7DA-11333571BBBD}"/>
    <cellStyle name="Calculation 3 5 20 2 4" xfId="17503" xr:uid="{50018E47-44BA-4876-827D-967D63C4F9E2}"/>
    <cellStyle name="Calculation 3 5 20 2 5" xfId="17504" xr:uid="{CAEC5C0E-AE0F-4161-AB43-926C1BFF91E3}"/>
    <cellStyle name="Calculation 3 5 20 2 6" xfId="17505" xr:uid="{A2CD7415-F6CD-4D2D-8162-309F14E29AEE}"/>
    <cellStyle name="Calculation 3 5 20 3" xfId="17506" xr:uid="{DFEB5B0C-060A-4B48-B9F7-3A1D3AE02363}"/>
    <cellStyle name="Calculation 3 5 20 4" xfId="17507" xr:uid="{334B215D-D8CD-483D-9F2B-6627A684D321}"/>
    <cellStyle name="Calculation 3 5 20 5" xfId="17508" xr:uid="{3B73031F-A598-4660-BE7D-383E11113D78}"/>
    <cellStyle name="Calculation 3 5 20 6" xfId="17509" xr:uid="{32AA5FAA-2152-4E9A-8271-6E680F46666A}"/>
    <cellStyle name="Calculation 3 5 20 7" xfId="17510" xr:uid="{4CEAD77F-8E54-49EB-9987-0D3B52D45C5A}"/>
    <cellStyle name="Calculation 3 5 21" xfId="602" xr:uid="{7E972778-E922-4347-9AF5-A5C316E81111}"/>
    <cellStyle name="Calculation 3 5 21 2" xfId="11662" xr:uid="{DAF92473-E39E-435E-B8F4-FB9CB97682ED}"/>
    <cellStyle name="Calculation 3 5 21 2 2" xfId="17511" xr:uid="{12C2EE7B-0C30-47A4-94EA-9C98F5484F1F}"/>
    <cellStyle name="Calculation 3 5 21 2 3" xfId="17512" xr:uid="{24C87AF6-2DDC-47BC-907F-16C04D02882F}"/>
    <cellStyle name="Calculation 3 5 21 2 4" xfId="17513" xr:uid="{BCC6BBA8-95B7-4F55-BE47-3AAA0E559E8E}"/>
    <cellStyle name="Calculation 3 5 21 2 5" xfId="17514" xr:uid="{38F5F46A-E132-4EAC-8715-F0D4127A0737}"/>
    <cellStyle name="Calculation 3 5 21 2 6" xfId="17515" xr:uid="{FDDF1541-AFD7-42C6-93AE-CE89B8D9D360}"/>
    <cellStyle name="Calculation 3 5 21 3" xfId="17516" xr:uid="{73B77614-0BC5-4325-B58F-042A61275D22}"/>
    <cellStyle name="Calculation 3 5 21 4" xfId="17517" xr:uid="{03E25DD5-A6AA-4065-9C54-32E9E7ED8FE0}"/>
    <cellStyle name="Calculation 3 5 21 5" xfId="17518" xr:uid="{77DC61CE-AAA6-4604-A046-20BC7E59BC47}"/>
    <cellStyle name="Calculation 3 5 21 6" xfId="17519" xr:uid="{C4E8C983-0716-4445-BE57-F83D07E21A60}"/>
    <cellStyle name="Calculation 3 5 21 7" xfId="17520" xr:uid="{B97D119C-BE23-48A9-8F4F-B014ABC17CE9}"/>
    <cellStyle name="Calculation 3 5 22" xfId="603" xr:uid="{D59CEA1F-FEE4-40AD-870A-F0ACA19293C2}"/>
    <cellStyle name="Calculation 3 5 22 2" xfId="11745" xr:uid="{1108BB38-F6B6-4956-B426-9D619AE40766}"/>
    <cellStyle name="Calculation 3 5 22 2 2" xfId="17521" xr:uid="{4D36CB7E-E598-4910-BB02-32BEDDC5E838}"/>
    <cellStyle name="Calculation 3 5 22 2 3" xfId="17522" xr:uid="{EBF15384-8B77-4781-BD58-F9E378F2F84D}"/>
    <cellStyle name="Calculation 3 5 22 2 4" xfId="17523" xr:uid="{F013DA20-D67E-4B3F-954F-3E7573E7E863}"/>
    <cellStyle name="Calculation 3 5 22 2 5" xfId="17524" xr:uid="{2C3B6D95-0C61-41AA-B450-C18358C7CF39}"/>
    <cellStyle name="Calculation 3 5 22 2 6" xfId="17525" xr:uid="{4EEE52BF-92CF-496A-A2FF-139C6356693C}"/>
    <cellStyle name="Calculation 3 5 22 3" xfId="17526" xr:uid="{5BDFFBE3-79F3-4F73-8C98-8E486F0845F3}"/>
    <cellStyle name="Calculation 3 5 22 4" xfId="17527" xr:uid="{6D0E0BBE-326C-4D15-9F3D-786EB81D5061}"/>
    <cellStyle name="Calculation 3 5 22 5" xfId="17528" xr:uid="{2461C575-960E-4981-B363-7F29DED9796F}"/>
    <cellStyle name="Calculation 3 5 22 6" xfId="17529" xr:uid="{B2D64387-F5D7-4901-80F3-32AA04784B11}"/>
    <cellStyle name="Calculation 3 5 22 7" xfId="17530" xr:uid="{FEF4E358-2AF8-4329-85F7-937209DEB1AF}"/>
    <cellStyle name="Calculation 3 5 23" xfId="604" xr:uid="{A05CEBB0-7BBC-42A7-B83B-C3970C2320CF}"/>
    <cellStyle name="Calculation 3 5 23 2" xfId="11827" xr:uid="{550B4975-8DDD-4B5B-ADED-E54BFD4A1774}"/>
    <cellStyle name="Calculation 3 5 23 2 2" xfId="17531" xr:uid="{0B3D8D20-A17D-4D8B-AFF5-D2FB9FBEE1EA}"/>
    <cellStyle name="Calculation 3 5 23 2 3" xfId="17532" xr:uid="{B04076B4-8C1E-49FA-95DE-B41EB26583E9}"/>
    <cellStyle name="Calculation 3 5 23 2 4" xfId="17533" xr:uid="{1BAF8395-CF3A-46A7-A3C0-5F76896DF747}"/>
    <cellStyle name="Calculation 3 5 23 2 5" xfId="17534" xr:uid="{0C7615A4-5554-492A-9777-FC4800FCD35A}"/>
    <cellStyle name="Calculation 3 5 23 2 6" xfId="17535" xr:uid="{77BBC1E7-32C4-469A-9EFE-F13E33D28739}"/>
    <cellStyle name="Calculation 3 5 23 3" xfId="17536" xr:uid="{265B4E3F-9329-44CF-8079-FC42103F0C28}"/>
    <cellStyle name="Calculation 3 5 23 4" xfId="17537" xr:uid="{16F0988A-46E4-44A5-AEBB-4854F84F9D9D}"/>
    <cellStyle name="Calculation 3 5 23 5" xfId="17538" xr:uid="{3CC78CBC-89E1-4ED8-A4E9-195B0F32D6CD}"/>
    <cellStyle name="Calculation 3 5 23 6" xfId="17539" xr:uid="{F2912DAE-EB47-401E-9829-E8C3CF38AF9F}"/>
    <cellStyle name="Calculation 3 5 23 7" xfId="17540" xr:uid="{EB1C06F2-4A4B-4B84-AD34-51906F5D3A57}"/>
    <cellStyle name="Calculation 3 5 24" xfId="605" xr:uid="{692E9D83-28C8-477A-846E-DF69923C12CE}"/>
    <cellStyle name="Calculation 3 5 24 2" xfId="11911" xr:uid="{BF360AB1-5F4A-49B3-9DDF-9567B1FFAFDF}"/>
    <cellStyle name="Calculation 3 5 24 2 2" xfId="17541" xr:uid="{1AC2B27B-BF58-4330-90E1-40247532B18C}"/>
    <cellStyle name="Calculation 3 5 24 2 3" xfId="17542" xr:uid="{AB88AC7C-F43D-47CA-89AD-E913669B0822}"/>
    <cellStyle name="Calculation 3 5 24 2 4" xfId="17543" xr:uid="{70E99DD1-35FB-4809-97C2-539105278D62}"/>
    <cellStyle name="Calculation 3 5 24 2 5" xfId="17544" xr:uid="{3B794619-C479-4788-BD7E-07166FD6151D}"/>
    <cellStyle name="Calculation 3 5 24 2 6" xfId="17545" xr:uid="{EF4407CA-099B-415A-9800-402E98BA23D7}"/>
    <cellStyle name="Calculation 3 5 24 3" xfId="17546" xr:uid="{9E86A364-34D3-473E-9B93-3EC385998098}"/>
    <cellStyle name="Calculation 3 5 24 4" xfId="17547" xr:uid="{9F26E754-B3ED-4ADE-A3D3-D3A351056C15}"/>
    <cellStyle name="Calculation 3 5 24 5" xfId="17548" xr:uid="{50C1E9B3-BC23-4517-B121-A1713817DA39}"/>
    <cellStyle name="Calculation 3 5 24 6" xfId="17549" xr:uid="{CF6BC54B-FA0F-4FD9-A380-867EF49AB6AA}"/>
    <cellStyle name="Calculation 3 5 24 7" xfId="17550" xr:uid="{28E72843-04E3-46AC-A1C1-A056D06ED6B0}"/>
    <cellStyle name="Calculation 3 5 25" xfId="606" xr:uid="{B87E8346-493B-4977-90FC-D4B2E6260329}"/>
    <cellStyle name="Calculation 3 5 25 2" xfId="11995" xr:uid="{B491639F-1F32-4A18-BEF7-35B867C4D3AC}"/>
    <cellStyle name="Calculation 3 5 25 2 2" xfId="17551" xr:uid="{9D2F0A2B-170E-4942-88C4-9A44E825784B}"/>
    <cellStyle name="Calculation 3 5 25 2 3" xfId="17552" xr:uid="{EC263C3C-34BA-4976-99C3-5A57D28FDBD6}"/>
    <cellStyle name="Calculation 3 5 25 2 4" xfId="17553" xr:uid="{9E45915B-FB8D-4DCF-BACF-C9A5E938604C}"/>
    <cellStyle name="Calculation 3 5 25 2 5" xfId="17554" xr:uid="{159DCC19-B601-41C0-96E7-D597291D5D4B}"/>
    <cellStyle name="Calculation 3 5 25 2 6" xfId="17555" xr:uid="{89CFD935-B078-4640-952D-13FD6B34A056}"/>
    <cellStyle name="Calculation 3 5 25 3" xfId="17556" xr:uid="{8028C63C-692E-4204-8381-DB41575A9FD9}"/>
    <cellStyle name="Calculation 3 5 25 4" xfId="17557" xr:uid="{CC5FA706-AF7C-4A40-B814-FE73019D76DF}"/>
    <cellStyle name="Calculation 3 5 25 5" xfId="17558" xr:uid="{C7479BDD-33B9-49AC-B0AE-C1FECEF46A18}"/>
    <cellStyle name="Calculation 3 5 25 6" xfId="17559" xr:uid="{B2D5CB8F-676C-43F2-8193-EDB7C7577DE7}"/>
    <cellStyle name="Calculation 3 5 25 7" xfId="17560" xr:uid="{93D664D2-621F-4748-A329-07056A231932}"/>
    <cellStyle name="Calculation 3 5 26" xfId="607" xr:uid="{AC9D0DA8-5158-4204-8DC3-4207858E1B35}"/>
    <cellStyle name="Calculation 3 5 26 2" xfId="12078" xr:uid="{502A9E0C-2513-454D-8D71-EE4B5A2EA63B}"/>
    <cellStyle name="Calculation 3 5 26 2 2" xfId="17561" xr:uid="{EE10D280-6203-447D-A90D-069330F6C8DD}"/>
    <cellStyle name="Calculation 3 5 26 2 3" xfId="17562" xr:uid="{604483C7-339D-47A9-A156-4FB2ED5BAB59}"/>
    <cellStyle name="Calculation 3 5 26 2 4" xfId="17563" xr:uid="{58A3D467-1D56-4379-8EFA-FABE08E999E5}"/>
    <cellStyle name="Calculation 3 5 26 2 5" xfId="17564" xr:uid="{F5C3C432-7CF0-49B6-9EE3-6EE814554F73}"/>
    <cellStyle name="Calculation 3 5 26 2 6" xfId="17565" xr:uid="{EFBEBCDC-50B8-4182-8B4E-E87B2C7C5A71}"/>
    <cellStyle name="Calculation 3 5 26 3" xfId="17566" xr:uid="{67883900-DCEF-4E3F-8C4B-44535923B8A4}"/>
    <cellStyle name="Calculation 3 5 26 4" xfId="17567" xr:uid="{59626C9C-823B-4232-A0E4-6C649CBF4D08}"/>
    <cellStyle name="Calculation 3 5 26 5" xfId="17568" xr:uid="{F3F5B7FB-D15A-4E9A-8A27-3B4911F62915}"/>
    <cellStyle name="Calculation 3 5 26 6" xfId="17569" xr:uid="{22C1FB41-6A49-4C33-9F1C-EEE1CE86D566}"/>
    <cellStyle name="Calculation 3 5 26 7" xfId="17570" xr:uid="{BC32EEFD-8D06-4740-9CAA-5DDC07210B35}"/>
    <cellStyle name="Calculation 3 5 27" xfId="608" xr:uid="{236542CA-0E3A-4728-B52C-8DD873A6CE64}"/>
    <cellStyle name="Calculation 3 5 27 2" xfId="12161" xr:uid="{F3E53414-FC7F-4E67-89AF-14BD059DA2CC}"/>
    <cellStyle name="Calculation 3 5 27 2 2" xfId="17571" xr:uid="{2496D844-0E80-4506-9992-5D981F4E8A89}"/>
    <cellStyle name="Calculation 3 5 27 2 3" xfId="17572" xr:uid="{D21B91F1-97FD-4813-9419-671140F7AD4D}"/>
    <cellStyle name="Calculation 3 5 27 2 4" xfId="17573" xr:uid="{3BEE095A-E5BE-47D8-9CC7-EF6FE9C17842}"/>
    <cellStyle name="Calculation 3 5 27 2 5" xfId="17574" xr:uid="{9E4C0416-B043-4E39-B09D-866BA24E2F27}"/>
    <cellStyle name="Calculation 3 5 27 2 6" xfId="17575" xr:uid="{3ED13AA4-2F25-44FA-AF5B-2CEB0934095B}"/>
    <cellStyle name="Calculation 3 5 27 3" xfId="17576" xr:uid="{6CEDED19-225E-4725-B210-21A258406A21}"/>
    <cellStyle name="Calculation 3 5 27 4" xfId="17577" xr:uid="{06E2B827-FE14-4B8F-84D7-53F28578C571}"/>
    <cellStyle name="Calculation 3 5 27 5" xfId="17578" xr:uid="{CCC75028-061F-497D-850D-30ED849AEE2E}"/>
    <cellStyle name="Calculation 3 5 27 6" xfId="17579" xr:uid="{7CC43B29-E522-4D1A-8295-30A43F3024B7}"/>
    <cellStyle name="Calculation 3 5 27 7" xfId="17580" xr:uid="{F1F5319E-C3E1-4190-95A3-BE6E31CE7A52}"/>
    <cellStyle name="Calculation 3 5 28" xfId="609" xr:uid="{D0AE59C9-F561-4A71-9882-BE5920DF94AB}"/>
    <cellStyle name="Calculation 3 5 28 2" xfId="12240" xr:uid="{24D07AF7-2D9C-4FB6-89D9-2019279723A1}"/>
    <cellStyle name="Calculation 3 5 28 2 2" xfId="17581" xr:uid="{20470027-B2A1-4305-9A85-A59D0C432496}"/>
    <cellStyle name="Calculation 3 5 28 2 3" xfId="17582" xr:uid="{568D4D4E-63D8-44D4-8AEA-509AC7099F28}"/>
    <cellStyle name="Calculation 3 5 28 2 4" xfId="17583" xr:uid="{4F263082-BF5C-4701-95F1-4FC2EAD318F1}"/>
    <cellStyle name="Calculation 3 5 28 2 5" xfId="17584" xr:uid="{5547198F-9AB8-4652-AD91-F7FB41E670AF}"/>
    <cellStyle name="Calculation 3 5 28 2 6" xfId="17585" xr:uid="{A665DB91-9EE1-4542-9583-CCC813E48E10}"/>
    <cellStyle name="Calculation 3 5 28 3" xfId="17586" xr:uid="{C42235AC-85D9-42FE-BD23-37C09C1E7B8B}"/>
    <cellStyle name="Calculation 3 5 28 4" xfId="17587" xr:uid="{304DB25A-58BC-4B32-9CB9-098F733ADB56}"/>
    <cellStyle name="Calculation 3 5 28 5" xfId="17588" xr:uid="{4F67A485-209A-4E50-B33B-AB50E1566558}"/>
    <cellStyle name="Calculation 3 5 28 6" xfId="17589" xr:uid="{193B7134-D93C-4B65-A6BB-D43BDD449831}"/>
    <cellStyle name="Calculation 3 5 28 7" xfId="17590" xr:uid="{1B15252C-692C-4926-8C62-D6F3EB27B698}"/>
    <cellStyle name="Calculation 3 5 29" xfId="610" xr:uid="{F7548E4E-EB06-4312-AD8D-EDAA01F5C5BF}"/>
    <cellStyle name="Calculation 3 5 29 2" xfId="12319" xr:uid="{4982FBC7-1D2A-4675-89DB-63CAC7924F2D}"/>
    <cellStyle name="Calculation 3 5 29 2 2" xfId="17591" xr:uid="{C33EACE4-894A-49FD-852C-27A4924716DC}"/>
    <cellStyle name="Calculation 3 5 29 2 3" xfId="17592" xr:uid="{F04AF76F-8508-43E7-AC1B-9E28E0378C12}"/>
    <cellStyle name="Calculation 3 5 29 2 4" xfId="17593" xr:uid="{9AF15413-2233-4CC0-8968-2EB200EF06F2}"/>
    <cellStyle name="Calculation 3 5 29 2 5" xfId="17594" xr:uid="{B6E1375B-9E93-44F7-80B2-5D252F73713F}"/>
    <cellStyle name="Calculation 3 5 29 2 6" xfId="17595" xr:uid="{58D81C59-0186-4313-9475-009C100C1AF9}"/>
    <cellStyle name="Calculation 3 5 29 3" xfId="17596" xr:uid="{B7BD251E-63F4-4A28-BDC2-E09FD2D9F295}"/>
    <cellStyle name="Calculation 3 5 29 4" xfId="17597" xr:uid="{B470A864-83F6-4DF3-8F2A-8E6D069446C6}"/>
    <cellStyle name="Calculation 3 5 29 5" xfId="17598" xr:uid="{914496CB-4B4F-4A84-BEAE-5A26CCFEB48A}"/>
    <cellStyle name="Calculation 3 5 29 6" xfId="17599" xr:uid="{B094EDFC-3565-404F-A9DB-D3DB80467687}"/>
    <cellStyle name="Calculation 3 5 29 7" xfId="17600" xr:uid="{D0B7FE0C-31CE-4B4F-B39A-28DA5223B6BA}"/>
    <cellStyle name="Calculation 3 5 3" xfId="611" xr:uid="{D27D98D9-86FC-4F57-8C72-DE9BA3CEDD3B}"/>
    <cellStyle name="Calculation 3 5 3 2" xfId="10085" xr:uid="{90B73EA9-53C1-4B12-B545-60721FC85822}"/>
    <cellStyle name="Calculation 3 5 3 2 2" xfId="17601" xr:uid="{D1813F70-E631-411E-841F-D6BDD8298380}"/>
    <cellStyle name="Calculation 3 5 3 2 3" xfId="17602" xr:uid="{5F8F80C4-1516-478E-9EF8-53EE385C5D83}"/>
    <cellStyle name="Calculation 3 5 3 2 4" xfId="17603" xr:uid="{0A307EC9-12C5-467B-ACD0-35DE597A6989}"/>
    <cellStyle name="Calculation 3 5 3 2 5" xfId="17604" xr:uid="{8BD6A035-ECA1-41E8-AA61-3EC7E0EF09D5}"/>
    <cellStyle name="Calculation 3 5 3 2 6" xfId="17605" xr:uid="{988A78BB-02AB-479C-A892-FF6ABC9BCD7A}"/>
    <cellStyle name="Calculation 3 5 3 3" xfId="17606" xr:uid="{99C2D0BF-1118-49A4-8427-AB1B9618242A}"/>
    <cellStyle name="Calculation 3 5 3 4" xfId="17607" xr:uid="{FFA6F042-9966-46E7-A883-CE66CEC22364}"/>
    <cellStyle name="Calculation 3 5 3 5" xfId="17608" xr:uid="{033B09AB-CF93-4C4D-B071-D1311FEBDC03}"/>
    <cellStyle name="Calculation 3 5 3 6" xfId="17609" xr:uid="{AB66A0F5-51CB-473D-8F25-933BDB7FDB41}"/>
    <cellStyle name="Calculation 3 5 3 7" xfId="17610" xr:uid="{C2D7A0ED-503C-4A77-B994-33AF60689D71}"/>
    <cellStyle name="Calculation 3 5 30" xfId="612" xr:uid="{B7A29652-3207-451F-AF1D-1A012CBC17F8}"/>
    <cellStyle name="Calculation 3 5 30 2" xfId="12398" xr:uid="{13A1EA34-1913-4BC8-9A6B-87146EAB2705}"/>
    <cellStyle name="Calculation 3 5 30 2 2" xfId="17611" xr:uid="{9E63682C-9CB2-4327-A166-827630A113C5}"/>
    <cellStyle name="Calculation 3 5 30 2 3" xfId="17612" xr:uid="{499B9BCE-5A6B-4A2C-84EA-E2844B46C76C}"/>
    <cellStyle name="Calculation 3 5 30 2 4" xfId="17613" xr:uid="{E2126801-8EE7-4F8E-B6DC-C8511EB76C62}"/>
    <cellStyle name="Calculation 3 5 30 2 5" xfId="17614" xr:uid="{92B07FD9-56A8-4220-A00F-C470BA7995D9}"/>
    <cellStyle name="Calculation 3 5 30 2 6" xfId="17615" xr:uid="{5F6CD612-2F02-4221-ABFA-B97A80EE1225}"/>
    <cellStyle name="Calculation 3 5 30 3" xfId="17616" xr:uid="{915DF62C-8322-47FD-AFA4-46C31DFF5FFC}"/>
    <cellStyle name="Calculation 3 5 30 4" xfId="17617" xr:uid="{20CA9457-5452-44C4-A756-1EE654E09170}"/>
    <cellStyle name="Calculation 3 5 30 5" xfId="17618" xr:uid="{16C3F457-554A-40A6-A210-2486A92B6FD3}"/>
    <cellStyle name="Calculation 3 5 30 6" xfId="17619" xr:uid="{6B698DA8-CFC9-458B-90D3-640BA637A68F}"/>
    <cellStyle name="Calculation 3 5 30 7" xfId="17620" xr:uid="{58FB19DC-62B8-448D-9CE4-0EE5C5B5B417}"/>
    <cellStyle name="Calculation 3 5 31" xfId="613" xr:uid="{102A1FC5-C443-41C2-9794-E06B6BE73965}"/>
    <cellStyle name="Calculation 3 5 31 2" xfId="12477" xr:uid="{EDD0D5F4-271A-409C-B82D-AFB8E1499E23}"/>
    <cellStyle name="Calculation 3 5 31 2 2" xfId="17621" xr:uid="{1C29C63F-CF94-4D0C-91C4-A52E07CAF609}"/>
    <cellStyle name="Calculation 3 5 31 2 3" xfId="17622" xr:uid="{559231D2-80F2-4AB8-92F1-F29ACB2E07FA}"/>
    <cellStyle name="Calculation 3 5 31 2 4" xfId="17623" xr:uid="{078A33C3-19E3-4640-8796-6FAF7EDCCB69}"/>
    <cellStyle name="Calculation 3 5 31 2 5" xfId="17624" xr:uid="{395765C5-D1D6-4D12-B63B-E1BE33343351}"/>
    <cellStyle name="Calculation 3 5 31 2 6" xfId="17625" xr:uid="{CD54F147-710F-44AD-BFA5-1922B15DC633}"/>
    <cellStyle name="Calculation 3 5 31 3" xfId="17626" xr:uid="{9939A97F-C50F-445E-92DE-87ED6170D9D4}"/>
    <cellStyle name="Calculation 3 5 31 4" xfId="17627" xr:uid="{EA4586B8-DA13-4073-8BB6-19687690B6B8}"/>
    <cellStyle name="Calculation 3 5 31 5" xfId="17628" xr:uid="{3C970158-0CFC-48B9-B0D0-44FCF6B849DA}"/>
    <cellStyle name="Calculation 3 5 31 6" xfId="17629" xr:uid="{009A7F77-999D-441E-8939-9E4847B29BE5}"/>
    <cellStyle name="Calculation 3 5 31 7" xfId="17630" xr:uid="{B1DFEB23-D15C-482A-9644-13BC106BFBE4}"/>
    <cellStyle name="Calculation 3 5 32" xfId="614" xr:uid="{D546ADB7-F172-4E40-9E7A-13A589705C47}"/>
    <cellStyle name="Calculation 3 5 32 2" xfId="12556" xr:uid="{5B5D33FD-78E0-415E-AAC5-66AF2E8CB178}"/>
    <cellStyle name="Calculation 3 5 32 2 2" xfId="17631" xr:uid="{8502E8BD-8610-4761-9F9B-8091CBE299F2}"/>
    <cellStyle name="Calculation 3 5 32 2 3" xfId="17632" xr:uid="{BBF8334E-52BC-4A12-973C-E40A8141B62D}"/>
    <cellStyle name="Calculation 3 5 32 2 4" xfId="17633" xr:uid="{382EC7D5-826A-411C-877F-0C981C69837B}"/>
    <cellStyle name="Calculation 3 5 32 2 5" xfId="17634" xr:uid="{60BFB32C-94E5-4721-89C0-FDABBC8E9490}"/>
    <cellStyle name="Calculation 3 5 32 2 6" xfId="17635" xr:uid="{95A2DA74-1A7F-4BC6-82F0-5C7EB763B171}"/>
    <cellStyle name="Calculation 3 5 32 3" xfId="17636" xr:uid="{2E44DB35-6406-4AB2-9E1A-2CBEB93CB8DB}"/>
    <cellStyle name="Calculation 3 5 32 4" xfId="17637" xr:uid="{912D87D7-05BD-4504-810C-4563F39CDC56}"/>
    <cellStyle name="Calculation 3 5 32 5" xfId="17638" xr:uid="{6B8275FD-66D2-40DB-99FB-A3F5141E9C0D}"/>
    <cellStyle name="Calculation 3 5 32 6" xfId="17639" xr:uid="{8F66EE62-1EE6-4294-9860-54868F9B6BE0}"/>
    <cellStyle name="Calculation 3 5 32 7" xfId="17640" xr:uid="{37BE4209-0931-41AB-8219-2DD3C86E1D84}"/>
    <cellStyle name="Calculation 3 5 33" xfId="615" xr:uid="{256C3F62-5892-4D84-AE0F-EB1E1206240B}"/>
    <cellStyle name="Calculation 3 5 33 2" xfId="12635" xr:uid="{2DA6809D-6120-4899-BDD9-752E761002B7}"/>
    <cellStyle name="Calculation 3 5 33 2 2" xfId="17641" xr:uid="{FC9AF6AA-163B-44E6-85A7-188006D8B812}"/>
    <cellStyle name="Calculation 3 5 33 2 3" xfId="17642" xr:uid="{8ACDBD76-2B20-46DB-823D-CC08AFCF6044}"/>
    <cellStyle name="Calculation 3 5 33 2 4" xfId="17643" xr:uid="{A5462DFE-0062-4A69-BA09-2D94C8E8E72E}"/>
    <cellStyle name="Calculation 3 5 33 2 5" xfId="17644" xr:uid="{E47E211E-F6DD-4458-ABDE-A18800013829}"/>
    <cellStyle name="Calculation 3 5 33 2 6" xfId="17645" xr:uid="{0C4EFDE4-8466-4F6E-9172-43CF1C0BA4CB}"/>
    <cellStyle name="Calculation 3 5 33 3" xfId="17646" xr:uid="{B7E528C6-F912-4400-A0B8-8804C5EA0F23}"/>
    <cellStyle name="Calculation 3 5 33 4" xfId="17647" xr:uid="{000B2C2E-5B57-424C-9F1A-7BB327EF1402}"/>
    <cellStyle name="Calculation 3 5 33 5" xfId="17648" xr:uid="{4DC85A82-7C4D-4281-947F-474605FEEB4F}"/>
    <cellStyle name="Calculation 3 5 33 6" xfId="17649" xr:uid="{1992B630-C6D1-439C-9F43-7E04C2737D75}"/>
    <cellStyle name="Calculation 3 5 33 7" xfId="17650" xr:uid="{C2948DCD-AABF-4316-88CE-8A3BD31B478A}"/>
    <cellStyle name="Calculation 3 5 34" xfId="616" xr:uid="{6C04D10F-2A30-4722-B604-3AF63625777C}"/>
    <cellStyle name="Calculation 3 5 34 2" xfId="12719" xr:uid="{3998EC6A-2EAA-4099-AAEA-626E6990F07B}"/>
    <cellStyle name="Calculation 3 5 34 2 2" xfId="17651" xr:uid="{35830FAC-6226-4FCB-BEB2-1BCF97E8FCC3}"/>
    <cellStyle name="Calculation 3 5 34 2 3" xfId="17652" xr:uid="{B34A0743-699A-4389-B6D2-E5FA3385480F}"/>
    <cellStyle name="Calculation 3 5 34 2 4" xfId="17653" xr:uid="{441FB3E6-E8B0-4D73-AADA-25A2B9B68680}"/>
    <cellStyle name="Calculation 3 5 34 2 5" xfId="17654" xr:uid="{53A259C5-949F-4F9B-BCD8-E7C383EA440C}"/>
    <cellStyle name="Calculation 3 5 34 2 6" xfId="17655" xr:uid="{0EAFB6E5-B7F2-4946-ACFF-AEC5B764A60D}"/>
    <cellStyle name="Calculation 3 5 34 3" xfId="17656" xr:uid="{1BF0B9A2-FBAB-420B-A601-42BFEB41D03E}"/>
    <cellStyle name="Calculation 3 5 34 4" xfId="17657" xr:uid="{64AB7742-8241-4475-AF01-3F986B3AB240}"/>
    <cellStyle name="Calculation 3 5 34 5" xfId="17658" xr:uid="{9EFCB0FA-7965-42CC-B4AA-76F1B6ADDA09}"/>
    <cellStyle name="Calculation 3 5 34 6" xfId="17659" xr:uid="{FCB42700-3D34-4042-B0E9-EB07EC403ADB}"/>
    <cellStyle name="Calculation 3 5 35" xfId="9783" xr:uid="{DB052CD1-FFC7-4553-BED7-CD4EA88164DC}"/>
    <cellStyle name="Calculation 3 5 35 2" xfId="17660" xr:uid="{1630E2FD-B6D5-429D-AAA1-3378F6252453}"/>
    <cellStyle name="Calculation 3 5 35 3" xfId="17661" xr:uid="{1A9BB56F-6586-4C9A-9E5B-D3CE6601DCB0}"/>
    <cellStyle name="Calculation 3 5 35 4" xfId="17662" xr:uid="{A44DF2DF-980A-4C63-A4D1-C20A9C9A5ACC}"/>
    <cellStyle name="Calculation 3 5 35 5" xfId="17663" xr:uid="{FCE6C18B-20C3-4F52-91A4-B5CD42A67C73}"/>
    <cellStyle name="Calculation 3 5 35 6" xfId="17664" xr:uid="{D5E6C5A5-2276-4DD1-AAFE-F45D86D9E82B}"/>
    <cellStyle name="Calculation 3 5 36" xfId="17665" xr:uid="{FF901323-E969-4F74-B666-C2587231CA21}"/>
    <cellStyle name="Calculation 3 5 37" xfId="17666" xr:uid="{075E68D9-4468-4490-903A-D7BBABAC9282}"/>
    <cellStyle name="Calculation 3 5 38" xfId="17667" xr:uid="{A7B76AEB-A165-41BF-8005-7C3D859A56DB}"/>
    <cellStyle name="Calculation 3 5 39" xfId="17668" xr:uid="{3FAFA19A-5FF9-45EC-92BA-34842CEB96DD}"/>
    <cellStyle name="Calculation 3 5 4" xfId="617" xr:uid="{D51F7D0F-4914-4E68-BB16-10CEF11D2348}"/>
    <cellStyle name="Calculation 3 5 4 2" xfId="10176" xr:uid="{5943C70B-DB43-49D2-9076-B8DCB91F7FE2}"/>
    <cellStyle name="Calculation 3 5 4 2 2" xfId="17669" xr:uid="{1218C6E8-5D94-4ACA-857F-F048EFBE964B}"/>
    <cellStyle name="Calculation 3 5 4 2 3" xfId="17670" xr:uid="{DEE15808-AC7C-4E07-AC59-1AF2BE489698}"/>
    <cellStyle name="Calculation 3 5 4 2 4" xfId="17671" xr:uid="{7D3D5B77-E9A8-4ED8-ABD7-38053EFD9883}"/>
    <cellStyle name="Calculation 3 5 4 2 5" xfId="17672" xr:uid="{DF486BCA-24EB-40AE-A159-9410B57AEC50}"/>
    <cellStyle name="Calculation 3 5 4 2 6" xfId="17673" xr:uid="{443EAD50-0A9D-4B6F-9DFD-08C45BB13B1A}"/>
    <cellStyle name="Calculation 3 5 4 3" xfId="17674" xr:uid="{6AEE0375-A222-4D96-9B81-C1A3A6332342}"/>
    <cellStyle name="Calculation 3 5 4 4" xfId="17675" xr:uid="{278BF2D6-494D-4D0C-B167-90289821B187}"/>
    <cellStyle name="Calculation 3 5 4 5" xfId="17676" xr:uid="{1A38A592-FE73-452F-84AF-48E831C69194}"/>
    <cellStyle name="Calculation 3 5 4 6" xfId="17677" xr:uid="{31E492CF-0B4D-4094-97E0-083E3C12E889}"/>
    <cellStyle name="Calculation 3 5 4 7" xfId="17678" xr:uid="{D681436B-4C11-4499-95E9-BCD036206C67}"/>
    <cellStyle name="Calculation 3 5 5" xfId="618" xr:uid="{60379BF1-8EFC-4C46-A244-56B89AFA10F2}"/>
    <cellStyle name="Calculation 3 5 5 2" xfId="10264" xr:uid="{F8671A12-DA9D-4B25-8747-00A97A8A93A6}"/>
    <cellStyle name="Calculation 3 5 5 2 2" xfId="17679" xr:uid="{8FEE658A-9B7B-48FD-9D12-142F3BFA0718}"/>
    <cellStyle name="Calculation 3 5 5 2 3" xfId="17680" xr:uid="{2C0E0BDA-7D51-41BD-92BE-746AC0CB4FCC}"/>
    <cellStyle name="Calculation 3 5 5 2 4" xfId="17681" xr:uid="{F23A852F-9B40-45A3-A0D7-D87A8DDC76E7}"/>
    <cellStyle name="Calculation 3 5 5 2 5" xfId="17682" xr:uid="{6B83C512-E6FF-4829-9B1C-DAB32326E7D1}"/>
    <cellStyle name="Calculation 3 5 5 2 6" xfId="17683" xr:uid="{F0B1FFF5-AE4D-4D11-A584-E65E0ECEA0F9}"/>
    <cellStyle name="Calculation 3 5 5 3" xfId="17684" xr:uid="{63480609-8F10-4D55-8A5D-21C0B4A45853}"/>
    <cellStyle name="Calculation 3 5 5 4" xfId="17685" xr:uid="{456617E2-F582-47CD-9204-885FD618601F}"/>
    <cellStyle name="Calculation 3 5 5 5" xfId="17686" xr:uid="{D3C947E6-D8AD-483E-8E1E-2769206669F5}"/>
    <cellStyle name="Calculation 3 5 5 6" xfId="17687" xr:uid="{6992A25E-67B0-4268-B735-94D1FF6A5EFD}"/>
    <cellStyle name="Calculation 3 5 5 7" xfId="17688" xr:uid="{27BEDA28-50DA-44FE-A2C0-56ED6F9BA94E}"/>
    <cellStyle name="Calculation 3 5 6" xfId="619" xr:uid="{A5905C52-5603-4A27-B59C-D3AD09272E36}"/>
    <cellStyle name="Calculation 3 5 6 2" xfId="10349" xr:uid="{BA46FA0E-B01C-43EC-857E-BCDF344AE117}"/>
    <cellStyle name="Calculation 3 5 6 2 2" xfId="17689" xr:uid="{DF77BAA1-C842-4DBF-9D3A-99F94C29EE4A}"/>
    <cellStyle name="Calculation 3 5 6 2 3" xfId="17690" xr:uid="{0B4CA6D9-62BC-406C-A288-38EC1E13FD7C}"/>
    <cellStyle name="Calculation 3 5 6 2 4" xfId="17691" xr:uid="{A0E688A4-030A-4E7C-A68F-D230956ECA8D}"/>
    <cellStyle name="Calculation 3 5 6 2 5" xfId="17692" xr:uid="{5D58B449-07A0-4743-A244-0C33CFE9412A}"/>
    <cellStyle name="Calculation 3 5 6 2 6" xfId="17693" xr:uid="{78553F83-9A93-4F03-A3A7-D92CABB7CED5}"/>
    <cellStyle name="Calculation 3 5 6 3" xfId="17694" xr:uid="{347328E6-0D24-4D26-851F-9EFBC4512750}"/>
    <cellStyle name="Calculation 3 5 6 4" xfId="17695" xr:uid="{A8FC2291-9772-44DC-B08B-081776EAE021}"/>
    <cellStyle name="Calculation 3 5 6 5" xfId="17696" xr:uid="{4DC447BC-D53A-4DC4-92A2-5FF82F75D340}"/>
    <cellStyle name="Calculation 3 5 6 6" xfId="17697" xr:uid="{95BC1D2D-09BD-4F7A-BFF4-AB695B0FEF4D}"/>
    <cellStyle name="Calculation 3 5 6 7" xfId="17698" xr:uid="{E8D04C1F-1009-4DB7-94DA-ABEEE852427A}"/>
    <cellStyle name="Calculation 3 5 7" xfId="620" xr:uid="{38EF7167-A56B-471C-AA9F-11FD7B01D808}"/>
    <cellStyle name="Calculation 3 5 7 2" xfId="10436" xr:uid="{2BB05727-E9AC-452E-A632-AAFD7BD22380}"/>
    <cellStyle name="Calculation 3 5 7 2 2" xfId="17699" xr:uid="{16AF2C72-2A20-4F9E-80E0-108C2FC9731D}"/>
    <cellStyle name="Calculation 3 5 7 2 3" xfId="17700" xr:uid="{B99BC3AC-717B-4B31-99F3-01C2196B8CD5}"/>
    <cellStyle name="Calculation 3 5 7 2 4" xfId="17701" xr:uid="{C26AAB75-593C-4681-B934-A5A0CDEC6DF6}"/>
    <cellStyle name="Calculation 3 5 7 2 5" xfId="17702" xr:uid="{177B31DD-86A4-44C3-A4B3-F98FD30A6FCF}"/>
    <cellStyle name="Calculation 3 5 7 2 6" xfId="17703" xr:uid="{C59ADA14-FF39-47BA-80B3-6C0427D6B0A3}"/>
    <cellStyle name="Calculation 3 5 7 3" xfId="17704" xr:uid="{35E37D1C-029E-42AB-9361-F85EE1B08ABD}"/>
    <cellStyle name="Calculation 3 5 7 4" xfId="17705" xr:uid="{A852240C-D71C-4B5C-B11C-C968BDB57EE3}"/>
    <cellStyle name="Calculation 3 5 7 5" xfId="17706" xr:uid="{DA6E7D7D-F3C0-481E-8428-D2E24D732167}"/>
    <cellStyle name="Calculation 3 5 7 6" xfId="17707" xr:uid="{C1FB47A2-B7EB-43B0-A5F9-2BBEC460ABD5}"/>
    <cellStyle name="Calculation 3 5 7 7" xfId="17708" xr:uid="{C0EC0BB1-0342-4343-9E75-612319708098}"/>
    <cellStyle name="Calculation 3 5 8" xfId="621" xr:uid="{F62C5BFB-3252-4D91-99C9-0D1A39E7EF01}"/>
    <cellStyle name="Calculation 3 5 8 2" xfId="10525" xr:uid="{FBDFC9C6-89A3-4BE9-A5D6-558038E16003}"/>
    <cellStyle name="Calculation 3 5 8 2 2" xfId="17709" xr:uid="{960B2D6A-2469-416E-AAA2-CB809EFDFA44}"/>
    <cellStyle name="Calculation 3 5 8 2 3" xfId="17710" xr:uid="{2D0BF9F7-5721-43B5-92DD-7EEA076D1587}"/>
    <cellStyle name="Calculation 3 5 8 2 4" xfId="17711" xr:uid="{8A2E5301-8559-43D3-9CF4-31955BCF91CE}"/>
    <cellStyle name="Calculation 3 5 8 2 5" xfId="17712" xr:uid="{A4C5CA56-B5BF-40F6-A9EB-34741E28FC83}"/>
    <cellStyle name="Calculation 3 5 8 2 6" xfId="17713" xr:uid="{ECE6CCA5-D4BC-4592-B519-C16B337E5FA8}"/>
    <cellStyle name="Calculation 3 5 8 3" xfId="17714" xr:uid="{6A5A5AD8-DFEB-444E-983F-1DD85DAE1964}"/>
    <cellStyle name="Calculation 3 5 8 4" xfId="17715" xr:uid="{A3553F4A-0FEE-4316-89FD-813E23FBD9F9}"/>
    <cellStyle name="Calculation 3 5 8 5" xfId="17716" xr:uid="{A59BBE1A-401A-4F57-9295-C2BF2F60CF0C}"/>
    <cellStyle name="Calculation 3 5 8 6" xfId="17717" xr:uid="{69EC5EBA-2893-42FD-9C95-21CB5FC4DFC4}"/>
    <cellStyle name="Calculation 3 5 8 7" xfId="17718" xr:uid="{727C864B-F11C-4D2F-8DB5-10F11F85EB61}"/>
    <cellStyle name="Calculation 3 5 9" xfId="622" xr:uid="{FEECC887-5795-42F1-BF46-75D16FA121CB}"/>
    <cellStyle name="Calculation 3 5 9 2" xfId="10607" xr:uid="{99387339-99C4-48C2-A3E7-88AB07E1F771}"/>
    <cellStyle name="Calculation 3 5 9 2 2" xfId="17719" xr:uid="{06FC5865-7B24-4291-9703-88F0B22038E5}"/>
    <cellStyle name="Calculation 3 5 9 2 3" xfId="17720" xr:uid="{8117DD42-8445-4227-BC76-F3E1D17A7E5E}"/>
    <cellStyle name="Calculation 3 5 9 2 4" xfId="17721" xr:uid="{A6C6C2BE-6BB4-42E2-B633-3D0F83853C4E}"/>
    <cellStyle name="Calculation 3 5 9 2 5" xfId="17722" xr:uid="{F68AFCE9-3603-452F-898E-24168AE63844}"/>
    <cellStyle name="Calculation 3 5 9 2 6" xfId="17723" xr:uid="{BEFEF997-4309-4524-BDAC-1CAA9E3FC228}"/>
    <cellStyle name="Calculation 3 5 9 3" xfId="17724" xr:uid="{D6E64AF5-D378-4AE0-B135-BB10E573EDCA}"/>
    <cellStyle name="Calculation 3 5 9 4" xfId="17725" xr:uid="{85E38799-74AD-4882-BB15-99225ECB6178}"/>
    <cellStyle name="Calculation 3 5 9 5" xfId="17726" xr:uid="{339DD586-4EF8-425D-AF2C-8471CB6E540A}"/>
    <cellStyle name="Calculation 3 5 9 6" xfId="17727" xr:uid="{0F2182E2-1133-4009-96D4-FCFC719240D1}"/>
    <cellStyle name="Calculation 3 5 9 7" xfId="17728" xr:uid="{E7B0E858-CBB2-4B85-BAEC-B3466634BEC0}"/>
    <cellStyle name="Calculation 3 6" xfId="623" xr:uid="{C35AA004-D6A0-4A19-A6BD-43F7497D989C}"/>
    <cellStyle name="Calculation 3 6 2" xfId="9934" xr:uid="{2A300D65-C4EC-4910-8EF5-182EFCFDFB08}"/>
    <cellStyle name="Calculation 3 6 2 2" xfId="17729" xr:uid="{1EEC7940-D8A8-471A-93BD-ECE273924072}"/>
    <cellStyle name="Calculation 3 6 2 3" xfId="17730" xr:uid="{D36A7C74-6431-40E5-9426-6244CE5632CB}"/>
    <cellStyle name="Calculation 3 6 2 4" xfId="17731" xr:uid="{BE8DD37D-5ED8-40CB-8ED3-0BA9409A9AA8}"/>
    <cellStyle name="Calculation 3 6 2 5" xfId="17732" xr:uid="{2D113451-458F-493C-AAE7-99F9B9DA78E4}"/>
    <cellStyle name="Calculation 3 6 2 6" xfId="17733" xr:uid="{609743DC-BA87-4A40-B844-8907ADF3FFD3}"/>
    <cellStyle name="Calculation 3 6 3" xfId="17734" xr:uid="{4E2F0147-4050-4FAC-8DCA-17128BE191E4}"/>
    <cellStyle name="Calculation 3 6 4" xfId="17735" xr:uid="{42CE3DE9-8858-4991-8509-0C078D1771FB}"/>
    <cellStyle name="Calculation 3 6 5" xfId="17736" xr:uid="{A59F64D6-B6A5-4B07-AA72-C7B40D29BE1F}"/>
    <cellStyle name="Calculation 3 6 6" xfId="17737" xr:uid="{60B47CB9-A570-4334-8735-C73B2BB55DE5}"/>
    <cellStyle name="Calculation 3 6 7" xfId="17738" xr:uid="{7898170B-AA8C-4EAC-8F0F-E07F707049CD}"/>
    <cellStyle name="Calculation 3 7" xfId="624" xr:uid="{1011BF89-54BC-47D3-8A94-44A3BE60F79D}"/>
    <cellStyle name="Calculation 3 7 2" xfId="9914" xr:uid="{D3CA5CB2-825B-4A8B-999E-B4959CEDB8BA}"/>
    <cellStyle name="Calculation 3 7 2 2" xfId="17739" xr:uid="{1861E45B-980E-46E7-A2F5-363E4D178C65}"/>
    <cellStyle name="Calculation 3 7 2 3" xfId="17740" xr:uid="{66CC52B1-BBBF-403E-94FB-5C13560901DB}"/>
    <cellStyle name="Calculation 3 7 2 4" xfId="17741" xr:uid="{EA863B62-3045-4E24-8D25-B7C3852F6D80}"/>
    <cellStyle name="Calculation 3 7 2 5" xfId="17742" xr:uid="{37E46EF7-F9DC-4A83-AAB1-03D0EE901386}"/>
    <cellStyle name="Calculation 3 7 2 6" xfId="17743" xr:uid="{534BD249-5100-449E-92FB-A154978B2BE6}"/>
    <cellStyle name="Calculation 3 7 3" xfId="17744" xr:uid="{99A2C6F8-AADA-4B09-B778-E53D4071FED7}"/>
    <cellStyle name="Calculation 3 7 4" xfId="17745" xr:uid="{FC7DEE39-9BFF-46DC-8FFC-F854299D7F06}"/>
    <cellStyle name="Calculation 3 7 5" xfId="17746" xr:uid="{04CBCE94-B815-4400-8734-9157772DC929}"/>
    <cellStyle name="Calculation 3 7 6" xfId="17747" xr:uid="{4B3B8C7A-CDB1-4D0F-8332-27C7AB4EE9C1}"/>
    <cellStyle name="Calculation 3 7 7" xfId="17748" xr:uid="{DE231C50-AA68-4EAD-BB94-36E224991B95}"/>
    <cellStyle name="Calculation 3 8" xfId="625" xr:uid="{78E0E800-E246-4DC9-9504-A72B75248D74}"/>
    <cellStyle name="Calculation 3 8 2" xfId="9935" xr:uid="{AFEFC139-7521-4CC5-857D-7F7A9CC7B76E}"/>
    <cellStyle name="Calculation 3 8 2 2" xfId="17749" xr:uid="{D2980B0D-4CBA-4D22-85C0-A9A74CD8D3CD}"/>
    <cellStyle name="Calculation 3 8 2 3" xfId="17750" xr:uid="{41D55D92-C641-4439-B5B3-2AD8FBCA114B}"/>
    <cellStyle name="Calculation 3 8 2 4" xfId="17751" xr:uid="{3E1F54D3-3315-4748-BF07-B602A4567E09}"/>
    <cellStyle name="Calculation 3 8 2 5" xfId="17752" xr:uid="{FEC230F9-6B18-46E5-81E9-326A5A70FAF0}"/>
    <cellStyle name="Calculation 3 8 2 6" xfId="17753" xr:uid="{8EFBEE65-6A12-4227-A451-6534512615A8}"/>
    <cellStyle name="Calculation 3 8 3" xfId="17754" xr:uid="{EF6E9FB3-5ECD-471B-ABCB-1CB7235F0C47}"/>
    <cellStyle name="Calculation 3 8 4" xfId="17755" xr:uid="{9C451BE0-EFAE-4D1D-8908-EE50B3484D1C}"/>
    <cellStyle name="Calculation 3 8 5" xfId="17756" xr:uid="{ED934585-7E25-469D-8902-E930E8177321}"/>
    <cellStyle name="Calculation 3 8 6" xfId="17757" xr:uid="{792883F9-4092-4024-9EE3-AA6B649C14C2}"/>
    <cellStyle name="Calculation 3 8 7" xfId="17758" xr:uid="{6E43CAC1-AC01-4325-A054-A998A6DAEBCA}"/>
    <cellStyle name="Calculation 3 9" xfId="626" xr:uid="{04D73095-6954-46D8-BA94-E7938B744359}"/>
    <cellStyle name="Calculation 3 9 2" xfId="9743" xr:uid="{0ABE32F2-3DF6-4FB5-AC0A-94D0F6203F09}"/>
    <cellStyle name="Calculation 3 9 2 2" xfId="17759" xr:uid="{68F87591-2D08-4080-AD23-6AB586ABE594}"/>
    <cellStyle name="Calculation 3 9 2 3" xfId="17760" xr:uid="{58FAFAF3-861F-4C73-826E-4D153045E961}"/>
    <cellStyle name="Calculation 3 9 2 4" xfId="17761" xr:uid="{3E2403B6-59AA-4FB2-A422-E154817B4B5B}"/>
    <cellStyle name="Calculation 3 9 2 5" xfId="17762" xr:uid="{63A2C082-7805-4F5E-A27E-EF187911E3C0}"/>
    <cellStyle name="Calculation 3 9 2 6" xfId="17763" xr:uid="{AA1BB49C-3825-48B4-B8C8-AF7EE4B56EFF}"/>
    <cellStyle name="Calculation 3 9 3" xfId="17764" xr:uid="{6078C614-0B33-42DD-AFAC-04B25AE6B27A}"/>
    <cellStyle name="Calculation 3 9 4" xfId="17765" xr:uid="{E1A76800-FDED-48D6-BA2A-576D8F97F597}"/>
    <cellStyle name="Calculation 3 9 5" xfId="17766" xr:uid="{CD5EF59E-3D08-4FD6-8FAE-7E16446F02F2}"/>
    <cellStyle name="Calculation 3 9 6" xfId="17767" xr:uid="{5D1FD15F-048B-40FA-B5D4-6EC344F26001}"/>
    <cellStyle name="Calculation 3 9 7" xfId="17768" xr:uid="{8B5D618C-8672-4684-BF1D-F11A23E7C571}"/>
    <cellStyle name="Calculation 4" xfId="17769" xr:uid="{0C5A7BD8-81D7-4A1C-9777-F284B28419D0}"/>
    <cellStyle name="Calculation 5" xfId="44209" xr:uid="{E214633E-2BD7-44BD-AB57-DB9C1C467694}"/>
    <cellStyle name="Check Cell 2" xfId="627" xr:uid="{EB0199E3-046B-42FD-BD19-62FCB418607E}"/>
    <cellStyle name="Check Cell 2 2" xfId="3827" xr:uid="{73D1BED4-1A7E-4AFD-A80B-75F0160B982E}"/>
    <cellStyle name="Check Cell 2 3" xfId="44168" xr:uid="{C0036553-FA74-452A-9392-655DA9573290}"/>
    <cellStyle name="Check Cell 3" xfId="628" xr:uid="{6CB9C960-307F-4CBC-A695-02EA1020152C}"/>
    <cellStyle name="Check Cell 3 2" xfId="3828" xr:uid="{097D98BC-5B0D-49B3-9E98-C29F98020AE4}"/>
    <cellStyle name="Check Cell 3 2 2" xfId="3829" xr:uid="{D8436A2B-4BD3-4E24-AFB1-BC5F8D065F1B}"/>
    <cellStyle name="Check Cell 3 3" xfId="3830" xr:uid="{C4AFF0AB-D708-48A2-ACA9-829E61564571}"/>
    <cellStyle name="Check Cell 3 4" xfId="3831" xr:uid="{E1061C6A-51AB-4FD7-AE42-A32F9E1DAD59}"/>
    <cellStyle name="Check Cell 3 5" xfId="3832" xr:uid="{DCB538ED-53AA-4152-8B69-484269CBA75D}"/>
    <cellStyle name="Check Cell 4" xfId="3833" xr:uid="{27BFC8BF-E558-4523-8C9C-FDA677790AA8}"/>
    <cellStyle name="Check Cell 4 2" xfId="3834" xr:uid="{9AA4C41A-E4E6-4575-BF29-5769ECCC091D}"/>
    <cellStyle name="Check Cell 4 2 2" xfId="3835" xr:uid="{72778124-9039-4278-B7EF-46DAE51A6120}"/>
    <cellStyle name="Check Cell 4 3" xfId="3836" xr:uid="{6F385D3D-B7B7-4A28-83C9-96E771F83BAB}"/>
    <cellStyle name="Check Cell 4 3 2" xfId="3837" xr:uid="{A986ED0F-BAEB-4C68-AF37-09677D034C82}"/>
    <cellStyle name="Check Cell 4 4" xfId="3838" xr:uid="{34B2DFB8-0C1D-4050-88ED-AC3F69C28BCB}"/>
    <cellStyle name="Check Cell 5" xfId="3839" xr:uid="{C4188FF4-451D-459B-B20C-1FFD1900FAF9}"/>
    <cellStyle name="Check Cell 6" xfId="44211" xr:uid="{637C69C3-7C98-4F8E-B6EA-88990BA105FC}"/>
    <cellStyle name="Column Heading" xfId="629" xr:uid="{EA9055B9-D65E-4DB1-99B4-761E9199010C}"/>
    <cellStyle name="Column Heading 10" xfId="630" xr:uid="{FA124757-D7C7-4727-879D-BF79A9ECC0F6}"/>
    <cellStyle name="Column Heading 10 2" xfId="9742" xr:uid="{DD89BDE5-F695-4809-8A82-5F889042B9EF}"/>
    <cellStyle name="Column Heading 10 2 2" xfId="17770" xr:uid="{B53D58A7-2AF3-4390-8457-31AF8DCFD31D}"/>
    <cellStyle name="Column Heading 10 2 3" xfId="17771" xr:uid="{0FF92897-7222-4C84-BF23-6658F326A699}"/>
    <cellStyle name="Column Heading 10 2 4" xfId="17772" xr:uid="{CA1FDDBD-56C2-4F9D-A247-6BA957D6F6FA}"/>
    <cellStyle name="Column Heading 10 2 5" xfId="17773" xr:uid="{AB26C98A-74C9-4ABC-89BC-48101F0FF7A2}"/>
    <cellStyle name="Column Heading 10 2 6" xfId="17774" xr:uid="{5ED23EE0-79F3-48E0-BC3D-2A2F47E1821C}"/>
    <cellStyle name="Column Heading 10 3" xfId="17775" xr:uid="{699CE401-2AB5-4393-9AA7-2F31E4253701}"/>
    <cellStyle name="Column Heading 10 4" xfId="17776" xr:uid="{554CE654-E2F3-404C-AA4A-37EDED84AD18}"/>
    <cellStyle name="Column Heading 10 5" xfId="17777" xr:uid="{BEEC68F6-67AB-4D1B-998B-CA0829DDD4F3}"/>
    <cellStyle name="Column Heading 10 6" xfId="17778" xr:uid="{EFCB2DAE-4BEF-49E1-8B8B-848C55CA7AD2}"/>
    <cellStyle name="Column Heading 10 7" xfId="17779" xr:uid="{F5DB5373-68AB-4347-80B5-326F7D199EBE}"/>
    <cellStyle name="Column Heading 11" xfId="631" xr:uid="{7ECB455E-C228-4178-AA09-0566273CBB52}"/>
    <cellStyle name="Column Heading 11 2" xfId="11328" xr:uid="{DBB23F26-3BB5-4320-8D05-F24CB8DF120B}"/>
    <cellStyle name="Column Heading 11 2 2" xfId="17780" xr:uid="{ED9D29BB-DDB3-489B-BC57-D12EEFA8DB13}"/>
    <cellStyle name="Column Heading 11 2 3" xfId="17781" xr:uid="{CBDB54F9-E207-41E5-9FBC-6862A72DBE4C}"/>
    <cellStyle name="Column Heading 11 2 4" xfId="17782" xr:uid="{5227BD73-D549-4C09-BF7A-C191C21F9F2D}"/>
    <cellStyle name="Column Heading 11 2 5" xfId="17783" xr:uid="{F33BD6FA-CF43-4560-9037-9A2533C7EE54}"/>
    <cellStyle name="Column Heading 11 2 6" xfId="17784" xr:uid="{98D393BC-719D-478D-8957-0659BA368CAB}"/>
    <cellStyle name="Column Heading 11 3" xfId="17785" xr:uid="{47D6417B-8315-4BCE-B271-C1036C8E921B}"/>
    <cellStyle name="Column Heading 11 4" xfId="17786" xr:uid="{7A8C4CB3-DC0C-464D-9EED-886496E1ED43}"/>
    <cellStyle name="Column Heading 11 5" xfId="17787" xr:uid="{E124B116-AF3F-40F0-AF21-97A0CF9EE9AA}"/>
    <cellStyle name="Column Heading 11 6" xfId="17788" xr:uid="{C505C1BE-FDE3-4AD5-BC7B-2D71096881A3}"/>
    <cellStyle name="Column Heading 11 7" xfId="17789" xr:uid="{C18C2371-F955-43FF-97D0-75EAA1F08937}"/>
    <cellStyle name="Column Heading 12" xfId="632" xr:uid="{30EC3601-017E-45FA-B205-F5FBA08E9A88}"/>
    <cellStyle name="Column Heading 12 2" xfId="11414" xr:uid="{AFB8E28A-CEDD-4C66-B2A0-C9F6831DC5FB}"/>
    <cellStyle name="Column Heading 12 2 2" xfId="17790" xr:uid="{AF3E2F0D-6C0F-4182-9C51-1694C36ECB7E}"/>
    <cellStyle name="Column Heading 12 2 3" xfId="17791" xr:uid="{0970005B-9600-4902-A0AA-D0B763941A0F}"/>
    <cellStyle name="Column Heading 12 2 4" xfId="17792" xr:uid="{E200715F-6F49-49E5-A7F1-AEBD10290B33}"/>
    <cellStyle name="Column Heading 12 2 5" xfId="17793" xr:uid="{4F79F433-CF93-4173-BAEA-77F96163FD33}"/>
    <cellStyle name="Column Heading 12 2 6" xfId="17794" xr:uid="{3F396067-7FCF-4CB5-9F9A-28DF8E1A855D}"/>
    <cellStyle name="Column Heading 12 3" xfId="17795" xr:uid="{02B56F33-4819-4021-916D-E336F81AAA26}"/>
    <cellStyle name="Column Heading 12 4" xfId="17796" xr:uid="{D633EC18-6F67-49FB-9098-C21BD7394D41}"/>
    <cellStyle name="Column Heading 12 5" xfId="17797" xr:uid="{8F9A3EC0-C3E7-4D4C-8547-308D25D12CA3}"/>
    <cellStyle name="Column Heading 12 6" xfId="17798" xr:uid="{868FA3E6-CFF7-459B-8337-D69E1138AB28}"/>
    <cellStyle name="Column Heading 12 7" xfId="17799" xr:uid="{BD6E51A6-7631-4CE0-B502-E4C525D0BACE}"/>
    <cellStyle name="Column Heading 13" xfId="633" xr:uid="{D7EC926F-C270-4C26-8B68-08AD4E86BD15}"/>
    <cellStyle name="Column Heading 13 2" xfId="9967" xr:uid="{44AEDB42-2300-4974-924E-B1FD2CE66D4A}"/>
    <cellStyle name="Column Heading 13 2 2" xfId="17800" xr:uid="{751519F9-D3BD-4829-9F4E-F9B6249A53DF}"/>
    <cellStyle name="Column Heading 13 2 3" xfId="17801" xr:uid="{5C452AF1-3181-4A0B-A5F3-7F883356B78E}"/>
    <cellStyle name="Column Heading 13 2 4" xfId="17802" xr:uid="{3D43C585-4C76-4E82-9A04-29522F701EE9}"/>
    <cellStyle name="Column Heading 13 2 5" xfId="17803" xr:uid="{0ACDFC27-6DA7-472E-9656-BFDE3C19E925}"/>
    <cellStyle name="Column Heading 13 2 6" xfId="17804" xr:uid="{8AE54DD1-978C-43C7-B957-5F625FC4910B}"/>
    <cellStyle name="Column Heading 13 3" xfId="17805" xr:uid="{1812F599-1C6E-4439-AB4E-5D7010096222}"/>
    <cellStyle name="Column Heading 13 4" xfId="17806" xr:uid="{BC9ECBEA-891F-46E4-B908-4E6AE883DA3F}"/>
    <cellStyle name="Column Heading 13 5" xfId="17807" xr:uid="{89D8D98D-ED03-4618-B045-AF2834AB33F9}"/>
    <cellStyle name="Column Heading 13 6" xfId="17808" xr:uid="{4D01CC31-FF3A-4DE7-AE60-47FB0BFF6AD6}"/>
    <cellStyle name="Column Heading 13 7" xfId="17809" xr:uid="{9FEDA377-6BCE-4FE3-BF2B-3FC0C1FA821B}"/>
    <cellStyle name="Column Heading 14" xfId="9706" xr:uid="{16151B5E-F45D-4C6F-AFB7-7CF1EEEA901A}"/>
    <cellStyle name="Column Heading 14 2" xfId="17810" xr:uid="{A94A61CE-7B50-4671-AC40-5EB0F7880BA4}"/>
    <cellStyle name="Column Heading 14 3" xfId="17811" xr:uid="{98F6AF0A-AC84-4646-974F-BC3FAD551041}"/>
    <cellStyle name="Column Heading 14 4" xfId="17812" xr:uid="{9873A78B-6806-455C-B945-A64C4FAF5E12}"/>
    <cellStyle name="Column Heading 14 5" xfId="17813" xr:uid="{6C9A6ABF-45B2-4911-B299-31DCEACB4FE5}"/>
    <cellStyle name="Column Heading 14 6" xfId="17814" xr:uid="{E67FED8F-9D95-4025-8BB4-DF90397D5D85}"/>
    <cellStyle name="Column Heading 2" xfId="634" xr:uid="{16DA372B-5073-404B-82F0-09B3091F4102}"/>
    <cellStyle name="Column Heading 2 10" xfId="635" xr:uid="{A409CF55-8848-444A-BC85-ADEA6833B72F}"/>
    <cellStyle name="Column Heading 2 10 2" xfId="10637" xr:uid="{26076FFA-B380-45B3-96C8-7D95B8C61350}"/>
    <cellStyle name="Column Heading 2 10 2 2" xfId="17815" xr:uid="{8CF55C52-F07C-4CF8-9FBF-7824B9176D30}"/>
    <cellStyle name="Column Heading 2 10 2 3" xfId="17816" xr:uid="{7D0D683E-0637-4F0C-BB81-49C7FC04D01C}"/>
    <cellStyle name="Column Heading 2 10 2 4" xfId="17817" xr:uid="{6089C7C8-13D9-4DA7-B85C-79FEE033F418}"/>
    <cellStyle name="Column Heading 2 10 2 5" xfId="17818" xr:uid="{EDC73A9E-C8D5-4711-B00B-2417DAFE3F62}"/>
    <cellStyle name="Column Heading 2 10 2 6" xfId="17819" xr:uid="{6A7FE257-F712-458C-837B-9F835A261456}"/>
    <cellStyle name="Column Heading 2 10 3" xfId="17820" xr:uid="{19C8D01A-9D61-43E0-B904-4BBE13E90B8B}"/>
    <cellStyle name="Column Heading 2 10 4" xfId="17821" xr:uid="{55A469AC-3BD6-479F-9CEB-B2301322AD2D}"/>
    <cellStyle name="Column Heading 2 10 5" xfId="17822" xr:uid="{ABB533FB-11B8-4BA7-829C-A8D707265B00}"/>
    <cellStyle name="Column Heading 2 10 6" xfId="17823" xr:uid="{9A840959-65D9-4E10-A9C5-DD7AE105B242}"/>
    <cellStyle name="Column Heading 2 10 7" xfId="17824" xr:uid="{EEFFF481-C8AB-45AB-A435-FA3B71A44ACA}"/>
    <cellStyle name="Column Heading 2 11" xfId="636" xr:uid="{25F1E4A9-237C-4A44-9D45-6389F9D54DE1}"/>
    <cellStyle name="Column Heading 2 11 2" xfId="10728" xr:uid="{92DC0C4D-340A-448B-AADE-5F0BAA7E8AD6}"/>
    <cellStyle name="Column Heading 2 11 2 2" xfId="17825" xr:uid="{A0FC5567-534D-47EF-9123-8F6871083FAC}"/>
    <cellStyle name="Column Heading 2 11 2 3" xfId="17826" xr:uid="{8C0154C5-C101-4492-87CD-13B8C4A4E38F}"/>
    <cellStyle name="Column Heading 2 11 2 4" xfId="17827" xr:uid="{E4DE0D33-087F-4400-9495-03B691C7E201}"/>
    <cellStyle name="Column Heading 2 11 2 5" xfId="17828" xr:uid="{94F8A320-110B-4D72-B6F7-A23FCD9F2294}"/>
    <cellStyle name="Column Heading 2 11 2 6" xfId="17829" xr:uid="{6BBAAD4C-DCF9-4F7C-AF7A-297DD3D16F19}"/>
    <cellStyle name="Column Heading 2 11 3" xfId="17830" xr:uid="{ED2BC73F-3BA7-4DF6-ABAC-A979ABF2F95B}"/>
    <cellStyle name="Column Heading 2 11 4" xfId="17831" xr:uid="{74466E10-E451-477C-8E94-4B093AAD0D8C}"/>
    <cellStyle name="Column Heading 2 11 5" xfId="17832" xr:uid="{72C94236-89B1-4BA0-94F4-49F184F39B73}"/>
    <cellStyle name="Column Heading 2 11 6" xfId="17833" xr:uid="{8E3A31AB-F3C4-492F-BF75-FD138007321E}"/>
    <cellStyle name="Column Heading 2 11 7" xfId="17834" xr:uid="{09F48B09-6E15-4C0B-97A1-64223065216A}"/>
    <cellStyle name="Column Heading 2 12" xfId="637" xr:uid="{45C56A7E-61E6-47F9-90ED-C913DCD180E4}"/>
    <cellStyle name="Column Heading 2 12 2" xfId="10816" xr:uid="{4167E585-B798-460C-B302-D401AE4228D0}"/>
    <cellStyle name="Column Heading 2 12 2 2" xfId="17835" xr:uid="{33D0B645-F1C4-42DB-9FFD-CBBB33E24A29}"/>
    <cellStyle name="Column Heading 2 12 2 3" xfId="17836" xr:uid="{7C7CB260-5054-477D-BEE8-9F1D690A6521}"/>
    <cellStyle name="Column Heading 2 12 2 4" xfId="17837" xr:uid="{B01C77A9-F177-4706-8462-1140212B8B05}"/>
    <cellStyle name="Column Heading 2 12 2 5" xfId="17838" xr:uid="{A75EADA6-26DE-4754-A1D2-45C41CA7F223}"/>
    <cellStyle name="Column Heading 2 12 2 6" xfId="17839" xr:uid="{30495322-4BA6-407C-8032-C95019DC2784}"/>
    <cellStyle name="Column Heading 2 12 3" xfId="17840" xr:uid="{0711B448-D017-4E5A-A9AE-7404E10425D7}"/>
    <cellStyle name="Column Heading 2 12 4" xfId="17841" xr:uid="{7187507B-6617-4A0E-86B1-557B803913BA}"/>
    <cellStyle name="Column Heading 2 12 5" xfId="17842" xr:uid="{9406C149-D00C-463A-B496-E17113FCDF79}"/>
    <cellStyle name="Column Heading 2 12 6" xfId="17843" xr:uid="{8E3147AA-3401-40BB-B33E-97ED704924BB}"/>
    <cellStyle name="Column Heading 2 12 7" xfId="17844" xr:uid="{04A3896D-1806-459E-914E-624A2B104F2B}"/>
    <cellStyle name="Column Heading 2 13" xfId="638" xr:uid="{862934F3-C648-4CDF-AC14-EC0FEFCB80D4}"/>
    <cellStyle name="Column Heading 2 13 2" xfId="10905" xr:uid="{0CFF10F3-1EC3-4F2A-9B51-6895D8E45B9A}"/>
    <cellStyle name="Column Heading 2 13 2 2" xfId="17845" xr:uid="{F9C0851B-E764-47AD-966A-CC8A7F513739}"/>
    <cellStyle name="Column Heading 2 13 2 3" xfId="17846" xr:uid="{96AB08FE-B3D4-463C-8B50-765C1DAD5D12}"/>
    <cellStyle name="Column Heading 2 13 2 4" xfId="17847" xr:uid="{88E31A99-B188-4E4C-ABCF-F60B19E2E877}"/>
    <cellStyle name="Column Heading 2 13 2 5" xfId="17848" xr:uid="{65DED56F-B72D-46F7-8DDC-B07A8632734F}"/>
    <cellStyle name="Column Heading 2 13 2 6" xfId="17849" xr:uid="{56B69A3D-B234-4210-B1D7-B80EC80B82EF}"/>
    <cellStyle name="Column Heading 2 13 3" xfId="17850" xr:uid="{81019BB3-CA35-40B2-A4BE-3DC515B6EB98}"/>
    <cellStyle name="Column Heading 2 13 4" xfId="17851" xr:uid="{C022541D-AADB-4900-80E3-E623B274C1E7}"/>
    <cellStyle name="Column Heading 2 13 5" xfId="17852" xr:uid="{A30BD0B4-110A-43DA-A98F-922194BE3594}"/>
    <cellStyle name="Column Heading 2 13 6" xfId="17853" xr:uid="{10E7F196-60C8-47C9-A369-E6650FAB3FC6}"/>
    <cellStyle name="Column Heading 2 13 7" xfId="17854" xr:uid="{FC0A51DF-1B7E-48A9-9668-A9067DFC37A8}"/>
    <cellStyle name="Column Heading 2 14" xfId="639" xr:uid="{99666E80-41C6-40EC-8C8D-116C7364AF18}"/>
    <cellStyle name="Column Heading 2 14 2" xfId="10995" xr:uid="{B9019BDA-0930-4BA9-9643-F20398D7F6F7}"/>
    <cellStyle name="Column Heading 2 14 2 2" xfId="17855" xr:uid="{F385A246-AE73-4AF8-8AB3-745D002D73B2}"/>
    <cellStyle name="Column Heading 2 14 2 3" xfId="17856" xr:uid="{7881658E-475D-421C-8631-96DC327F26B2}"/>
    <cellStyle name="Column Heading 2 14 2 4" xfId="17857" xr:uid="{88E9239D-F8DE-49DB-AC81-1A3D764B22DC}"/>
    <cellStyle name="Column Heading 2 14 2 5" xfId="17858" xr:uid="{ED4B28F0-9BAA-4288-B213-8260B3932E97}"/>
    <cellStyle name="Column Heading 2 14 2 6" xfId="17859" xr:uid="{F9155A50-3CFC-4AD2-AB92-01D9C0E8695B}"/>
    <cellStyle name="Column Heading 2 14 3" xfId="17860" xr:uid="{5DBEB9B6-0876-424F-952A-7FF62F718954}"/>
    <cellStyle name="Column Heading 2 14 4" xfId="17861" xr:uid="{DA93C9D1-C47E-44FF-ADFD-590845F2FEBF}"/>
    <cellStyle name="Column Heading 2 14 5" xfId="17862" xr:uid="{1D06A93C-4EB6-4B15-A516-0EA97875E9DE}"/>
    <cellStyle name="Column Heading 2 14 6" xfId="17863" xr:uid="{22437CD4-73B3-4F8F-836C-705D940A83A6}"/>
    <cellStyle name="Column Heading 2 14 7" xfId="17864" xr:uid="{525132DF-A339-4107-BAA0-045FDEBCE986}"/>
    <cellStyle name="Column Heading 2 15" xfId="640" xr:uid="{A6847B63-4E4C-4EB5-A50B-A28FAF3938B5}"/>
    <cellStyle name="Column Heading 2 15 2" xfId="11085" xr:uid="{73A7E3AE-512A-460B-927A-79DB24EC669F}"/>
    <cellStyle name="Column Heading 2 15 2 2" xfId="17865" xr:uid="{C7C60385-2191-47D5-99BC-3D6AA1DD274A}"/>
    <cellStyle name="Column Heading 2 15 2 3" xfId="17866" xr:uid="{0BF867DA-1AEC-4A33-8D20-0CF0D7A54F40}"/>
    <cellStyle name="Column Heading 2 15 2 4" xfId="17867" xr:uid="{0D1A22BF-A69F-49B9-900D-753E2FCE15BB}"/>
    <cellStyle name="Column Heading 2 15 2 5" xfId="17868" xr:uid="{DFA9C549-1984-4D4E-9AD4-F10712941E66}"/>
    <cellStyle name="Column Heading 2 15 2 6" xfId="17869" xr:uid="{51170ADD-233B-42EC-809E-F36DE39880C2}"/>
    <cellStyle name="Column Heading 2 15 3" xfId="17870" xr:uid="{92167FA9-4B09-4EBD-9621-4E985F58334C}"/>
    <cellStyle name="Column Heading 2 15 4" xfId="17871" xr:uid="{D5BBF7DF-4584-45BD-BA9C-7D8B1E59CC38}"/>
    <cellStyle name="Column Heading 2 15 5" xfId="17872" xr:uid="{E8FF9C1D-32ED-4FFB-8848-12D14C7F302B}"/>
    <cellStyle name="Column Heading 2 15 6" xfId="17873" xr:uid="{2DB93703-6C5C-4267-8E89-FF0277252E6B}"/>
    <cellStyle name="Column Heading 2 15 7" xfId="17874" xr:uid="{2D96C080-7DB4-4FBE-9BBE-BD41E83F7102}"/>
    <cellStyle name="Column Heading 2 16" xfId="641" xr:uid="{339A74E9-2D68-4468-A516-0DC9E47AA6F1}"/>
    <cellStyle name="Column Heading 2 16 2" xfId="11168" xr:uid="{6BEFB446-1636-4646-9DDE-DA5038D26F61}"/>
    <cellStyle name="Column Heading 2 16 2 2" xfId="17875" xr:uid="{FF10CB5D-5EFE-4BC9-A0E3-ED172613D115}"/>
    <cellStyle name="Column Heading 2 16 2 3" xfId="17876" xr:uid="{B4DAEC7A-AE51-4781-80B3-25FEDAE9A662}"/>
    <cellStyle name="Column Heading 2 16 2 4" xfId="17877" xr:uid="{9C4A25AF-B1F9-41B4-9EA1-0542AA0CC5AC}"/>
    <cellStyle name="Column Heading 2 16 2 5" xfId="17878" xr:uid="{BF0F6F5E-F678-44C2-8635-4FD30FD68B32}"/>
    <cellStyle name="Column Heading 2 16 2 6" xfId="17879" xr:uid="{ED300DD6-BBCF-4A8A-9565-878A23169202}"/>
    <cellStyle name="Column Heading 2 16 3" xfId="17880" xr:uid="{6C2CB507-E911-4223-B55F-82EE1D6F23C9}"/>
    <cellStyle name="Column Heading 2 16 4" xfId="17881" xr:uid="{6B9E9625-2F1F-4AA7-A948-F3820E083306}"/>
    <cellStyle name="Column Heading 2 16 5" xfId="17882" xr:uid="{BE732BCD-8683-4404-A3F0-A814C9501D26}"/>
    <cellStyle name="Column Heading 2 16 6" xfId="17883" xr:uid="{B5817543-1797-4BF1-BF34-78CCFC26CFFB}"/>
    <cellStyle name="Column Heading 2 16 7" xfId="17884" xr:uid="{C1ECA83A-6EF3-4530-A4FC-3C4E62FE8DBE}"/>
    <cellStyle name="Column Heading 2 17" xfId="642" xr:uid="{C825C5D2-6A4A-42A3-9E5F-58EE40069A70}"/>
    <cellStyle name="Column Heading 2 17 2" xfId="11258" xr:uid="{3184246E-20E4-48AF-BAB8-12A5341D2BAF}"/>
    <cellStyle name="Column Heading 2 17 2 2" xfId="17885" xr:uid="{9684B87C-8695-494B-99D8-AE6E04B0719B}"/>
    <cellStyle name="Column Heading 2 17 2 3" xfId="17886" xr:uid="{22334A7A-C3CC-41B5-AC36-A2F3D42CE316}"/>
    <cellStyle name="Column Heading 2 17 2 4" xfId="17887" xr:uid="{D9A9125D-8ED9-46BB-88E5-121EC47C55DB}"/>
    <cellStyle name="Column Heading 2 17 2 5" xfId="17888" xr:uid="{D734414D-E9EC-4DE2-9BE7-2D735CFFD8A8}"/>
    <cellStyle name="Column Heading 2 17 2 6" xfId="17889" xr:uid="{C641EAD8-DC9A-4F94-A81A-5F41808A4166}"/>
    <cellStyle name="Column Heading 2 17 3" xfId="17890" xr:uid="{184610A3-DEEB-4854-9BF4-B8EA10E1A98D}"/>
    <cellStyle name="Column Heading 2 17 4" xfId="17891" xr:uid="{F31C79E3-491C-4650-A542-4398D1A56049}"/>
    <cellStyle name="Column Heading 2 17 5" xfId="17892" xr:uid="{72D58206-4002-4522-A564-1B55BABCE393}"/>
    <cellStyle name="Column Heading 2 17 6" xfId="17893" xr:uid="{8D38508B-BFAD-4035-B910-4A158799BD42}"/>
    <cellStyle name="Column Heading 2 17 7" xfId="17894" xr:uid="{A0375E66-436A-43A5-B9E6-B302A9C9BBC0}"/>
    <cellStyle name="Column Heading 2 18" xfId="643" xr:uid="{740D49D8-4923-4001-B243-118CF03348B6}"/>
    <cellStyle name="Column Heading 2 18 2" xfId="11344" xr:uid="{F6BBAA70-A4BE-419F-A1FB-EBEB38CA6123}"/>
    <cellStyle name="Column Heading 2 18 2 2" xfId="17895" xr:uid="{DF0D4823-AD48-470F-A14D-B5BF399DB96F}"/>
    <cellStyle name="Column Heading 2 18 2 3" xfId="17896" xr:uid="{45F1230F-0267-43E1-B0CF-7C09A0EC828C}"/>
    <cellStyle name="Column Heading 2 18 2 4" xfId="17897" xr:uid="{F496D27A-6DD5-4416-A02F-39C9E8487E52}"/>
    <cellStyle name="Column Heading 2 18 2 5" xfId="17898" xr:uid="{7C02EA40-A66E-46EA-AF3D-78AE0E08F2DB}"/>
    <cellStyle name="Column Heading 2 18 2 6" xfId="17899" xr:uid="{39ABEFFA-FDC5-4B1B-861F-EA0CCF418B8F}"/>
    <cellStyle name="Column Heading 2 18 3" xfId="17900" xr:uid="{1489F466-05D8-45D2-B9CC-F46CD1C3B36E}"/>
    <cellStyle name="Column Heading 2 18 4" xfId="17901" xr:uid="{557BCEDF-C772-4D8A-9C47-4DE5BF49B52D}"/>
    <cellStyle name="Column Heading 2 18 5" xfId="17902" xr:uid="{B794B541-5589-4577-AD3D-EECC94567586}"/>
    <cellStyle name="Column Heading 2 18 6" xfId="17903" xr:uid="{90FB0E2A-6677-4FEF-A212-3E6C77AA7913}"/>
    <cellStyle name="Column Heading 2 18 7" xfId="17904" xr:uid="{5230D826-20F6-4907-952A-07277747DA3D}"/>
    <cellStyle name="Column Heading 2 19" xfId="644" xr:uid="{7684E982-09D4-4826-BF61-8DA50F5F1C8C}"/>
    <cellStyle name="Column Heading 2 19 2" xfId="11431" xr:uid="{CA460E13-FCDB-4C7E-A221-E34570B7BFFC}"/>
    <cellStyle name="Column Heading 2 19 2 2" xfId="17905" xr:uid="{8214B5E4-AB0B-45ED-9E1B-365AB20575BE}"/>
    <cellStyle name="Column Heading 2 19 2 3" xfId="17906" xr:uid="{F8931FE6-B419-4C64-B8D0-C8719BA9B865}"/>
    <cellStyle name="Column Heading 2 19 2 4" xfId="17907" xr:uid="{F52FC7B0-2B3C-45EB-AFD8-46BF4088CC12}"/>
    <cellStyle name="Column Heading 2 19 2 5" xfId="17908" xr:uid="{A16F42DA-F93A-4B09-BA62-2E400F38A0DA}"/>
    <cellStyle name="Column Heading 2 19 2 6" xfId="17909" xr:uid="{01498A8A-501B-402B-9ECE-1CD097A4809B}"/>
    <cellStyle name="Column Heading 2 19 3" xfId="17910" xr:uid="{6A783DDC-204E-4792-A335-8BF631E3BC88}"/>
    <cellStyle name="Column Heading 2 19 4" xfId="17911" xr:uid="{F30B2C4F-652F-4CA4-B629-A144A2692CB9}"/>
    <cellStyle name="Column Heading 2 19 5" xfId="17912" xr:uid="{0CDC2D67-ECCD-4138-BC60-760346763111}"/>
    <cellStyle name="Column Heading 2 19 6" xfId="17913" xr:uid="{999ED64E-9232-4E1A-969F-BF9BDF7165F2}"/>
    <cellStyle name="Column Heading 2 19 7" xfId="17914" xr:uid="{AB1CAF8D-BAE8-4F62-896D-C008AC08D5BF}"/>
    <cellStyle name="Column Heading 2 2" xfId="645" xr:uid="{0FA4D1E1-5732-4615-9CCE-D6E10DD5B3E7}"/>
    <cellStyle name="Column Heading 2 2 10" xfId="646" xr:uid="{E5104E57-E389-47D4-A64C-70D1AA764388}"/>
    <cellStyle name="Column Heading 2 2 10 2" xfId="10761" xr:uid="{05FEBA91-D1A7-40D8-9AA3-56FB92855F72}"/>
    <cellStyle name="Column Heading 2 2 10 2 2" xfId="17915" xr:uid="{12052EB1-7858-416B-939E-5BA595A08097}"/>
    <cellStyle name="Column Heading 2 2 10 2 3" xfId="17916" xr:uid="{3DFB16F3-DA0C-4238-AEBF-38457F3A6283}"/>
    <cellStyle name="Column Heading 2 2 10 2 4" xfId="17917" xr:uid="{78CDA48D-23A7-414E-ADCB-50C2C5E1214B}"/>
    <cellStyle name="Column Heading 2 2 10 2 5" xfId="17918" xr:uid="{0A3AB9B9-E14C-40B6-B935-B62883426D86}"/>
    <cellStyle name="Column Heading 2 2 10 2 6" xfId="17919" xr:uid="{21F87692-A9FB-4F8C-B575-DFF99D808218}"/>
    <cellStyle name="Column Heading 2 2 10 3" xfId="17920" xr:uid="{8227B04B-CF34-44CD-96DE-F43FDEB0F571}"/>
    <cellStyle name="Column Heading 2 2 10 4" xfId="17921" xr:uid="{423B3C50-A7D2-4E94-877E-3FC0CA30B234}"/>
    <cellStyle name="Column Heading 2 2 10 5" xfId="17922" xr:uid="{E9206A0A-331E-4B1D-91BA-D240D8610763}"/>
    <cellStyle name="Column Heading 2 2 10 6" xfId="17923" xr:uid="{A57CED6E-8AE1-42D7-A1B1-0C87CE6E4BEC}"/>
    <cellStyle name="Column Heading 2 2 10 7" xfId="17924" xr:uid="{3A223BAA-5C11-45B2-838A-DAC3410B8E26}"/>
    <cellStyle name="Column Heading 2 2 11" xfId="647" xr:uid="{24813982-64A2-4B78-B926-4610E1D8F086}"/>
    <cellStyle name="Column Heading 2 2 11 2" xfId="10849" xr:uid="{1E184368-4A44-4435-9D14-A3EB1E583234}"/>
    <cellStyle name="Column Heading 2 2 11 2 2" xfId="17925" xr:uid="{233740FC-6CB3-4308-B7BB-8FE98A5FAAC0}"/>
    <cellStyle name="Column Heading 2 2 11 2 3" xfId="17926" xr:uid="{4967CC90-9182-43BB-ACD9-5F9CD742DA75}"/>
    <cellStyle name="Column Heading 2 2 11 2 4" xfId="17927" xr:uid="{F75D0D12-E292-4576-B789-D8B393B8D9E9}"/>
    <cellStyle name="Column Heading 2 2 11 2 5" xfId="17928" xr:uid="{F42EF74E-7DD5-4714-9E2C-E42CC71DBA3D}"/>
    <cellStyle name="Column Heading 2 2 11 2 6" xfId="17929" xr:uid="{9B9EBF5F-EF7E-493B-B07E-09274FDDF5D0}"/>
    <cellStyle name="Column Heading 2 2 11 3" xfId="17930" xr:uid="{F48FAB94-1A12-4A74-B5D9-44044F1B524A}"/>
    <cellStyle name="Column Heading 2 2 11 4" xfId="17931" xr:uid="{8E59B733-0CB3-461C-A847-D7E6E3C5D6DC}"/>
    <cellStyle name="Column Heading 2 2 11 5" xfId="17932" xr:uid="{3EF645F3-8FE4-451C-BE39-9F25F7399C3D}"/>
    <cellStyle name="Column Heading 2 2 11 6" xfId="17933" xr:uid="{44089875-BAE2-460A-B2A0-747CD79F516D}"/>
    <cellStyle name="Column Heading 2 2 11 7" xfId="17934" xr:uid="{F2D9B785-EBD7-4E4A-B058-2B9D6062CD39}"/>
    <cellStyle name="Column Heading 2 2 12" xfId="648" xr:uid="{713F28E8-0034-4A7F-B145-8DEB6412E564}"/>
    <cellStyle name="Column Heading 2 2 12 2" xfId="10938" xr:uid="{39AB4A19-F330-4E50-87BC-0214F919440D}"/>
    <cellStyle name="Column Heading 2 2 12 2 2" xfId="17935" xr:uid="{FD023F81-5A4C-4BBF-AD25-B5FFEEA56778}"/>
    <cellStyle name="Column Heading 2 2 12 2 3" xfId="17936" xr:uid="{6D0D85D3-61FD-4ED8-A01A-83D90D5BE178}"/>
    <cellStyle name="Column Heading 2 2 12 2 4" xfId="17937" xr:uid="{72809795-2E97-4AF5-9F12-B12EE6FC66E6}"/>
    <cellStyle name="Column Heading 2 2 12 2 5" xfId="17938" xr:uid="{7E345A0A-6DC5-4C19-A156-6EE058B7BB88}"/>
    <cellStyle name="Column Heading 2 2 12 2 6" xfId="17939" xr:uid="{E47E487B-86B1-4065-B20C-F709F18ABCDB}"/>
    <cellStyle name="Column Heading 2 2 12 3" xfId="17940" xr:uid="{F8A45B3C-DD74-4B1A-B90E-CAEA10C376FF}"/>
    <cellStyle name="Column Heading 2 2 12 4" xfId="17941" xr:uid="{E314795B-AD80-4FDD-A12B-DD1E8C995AE4}"/>
    <cellStyle name="Column Heading 2 2 12 5" xfId="17942" xr:uid="{55657B89-2FCE-417C-B009-53D3F3AA34A9}"/>
    <cellStyle name="Column Heading 2 2 12 6" xfId="17943" xr:uid="{D741B97C-0F86-4D27-AE75-03C802FFB0B8}"/>
    <cellStyle name="Column Heading 2 2 12 7" xfId="17944" xr:uid="{7B34A5A2-9096-4B72-BC6F-469CFE41872F}"/>
    <cellStyle name="Column Heading 2 2 13" xfId="649" xr:uid="{F0C56825-B334-4BD0-9587-CAF4EF428829}"/>
    <cellStyle name="Column Heading 2 2 13 2" xfId="11028" xr:uid="{9F7697A1-7C3F-4931-84E8-5FC42E4A87D6}"/>
    <cellStyle name="Column Heading 2 2 13 2 2" xfId="17945" xr:uid="{7DACBFBF-1A62-4162-A071-BC19265F722F}"/>
    <cellStyle name="Column Heading 2 2 13 2 3" xfId="17946" xr:uid="{5CBE2CF3-0AAA-448F-8B2D-CA4293F1B99D}"/>
    <cellStyle name="Column Heading 2 2 13 2 4" xfId="17947" xr:uid="{43CDF2D2-F987-4893-B0B6-5C202EEAEC23}"/>
    <cellStyle name="Column Heading 2 2 13 2 5" xfId="17948" xr:uid="{F7BFBA4C-41F6-43E7-9D18-38658BFACE57}"/>
    <cellStyle name="Column Heading 2 2 13 2 6" xfId="17949" xr:uid="{12D2DCDC-4DFD-44A2-9024-07EED7E4D1D7}"/>
    <cellStyle name="Column Heading 2 2 13 3" xfId="17950" xr:uid="{58F22904-DF93-42B3-B14C-A43F1DAD8C11}"/>
    <cellStyle name="Column Heading 2 2 13 4" xfId="17951" xr:uid="{8AF779FF-F187-43CB-9CFE-B27B4504530B}"/>
    <cellStyle name="Column Heading 2 2 13 5" xfId="17952" xr:uid="{C056F8D6-1C3E-4AFB-8536-6CD4424BAD41}"/>
    <cellStyle name="Column Heading 2 2 13 6" xfId="17953" xr:uid="{8C81F722-5B42-40A1-80CE-D0AC9E7BB0C8}"/>
    <cellStyle name="Column Heading 2 2 13 7" xfId="17954" xr:uid="{6035E21C-FA21-46E4-9F08-4B614D067921}"/>
    <cellStyle name="Column Heading 2 2 14" xfId="650" xr:uid="{89F96EA8-D257-4F57-9CA5-7F248F3C25D5}"/>
    <cellStyle name="Column Heading 2 2 14 2" xfId="11118" xr:uid="{F712E707-3756-4820-953F-87F650D1CC4F}"/>
    <cellStyle name="Column Heading 2 2 14 2 2" xfId="17955" xr:uid="{E9A24465-1A71-4E5F-A94C-A04ECCE0536B}"/>
    <cellStyle name="Column Heading 2 2 14 2 3" xfId="17956" xr:uid="{BD0903EB-0962-48BB-9B28-652EE69765EC}"/>
    <cellStyle name="Column Heading 2 2 14 2 4" xfId="17957" xr:uid="{1ABA0000-9DD7-4255-9AA6-6938D003968E}"/>
    <cellStyle name="Column Heading 2 2 14 2 5" xfId="17958" xr:uid="{BD175E9E-9D0C-4499-ADAD-94DDA350EEAE}"/>
    <cellStyle name="Column Heading 2 2 14 2 6" xfId="17959" xr:uid="{B928FB63-E594-44C3-B797-9DA51B293EF7}"/>
    <cellStyle name="Column Heading 2 2 14 3" xfId="17960" xr:uid="{EDB33CCD-F993-491E-BA57-DFBD9F4C0195}"/>
    <cellStyle name="Column Heading 2 2 14 4" xfId="17961" xr:uid="{FE99008E-60F3-488C-B61A-766643B62241}"/>
    <cellStyle name="Column Heading 2 2 14 5" xfId="17962" xr:uid="{0C73A279-D709-4370-BC28-D8FD9ABEFE92}"/>
    <cellStyle name="Column Heading 2 2 14 6" xfId="17963" xr:uid="{6A7D45B0-A7FA-49CF-815C-DADC624A1DD7}"/>
    <cellStyle name="Column Heading 2 2 14 7" xfId="17964" xr:uid="{FD65675C-0347-4047-8D04-A77F52F7541C}"/>
    <cellStyle name="Column Heading 2 2 15" xfId="651" xr:uid="{3DEC2CD2-0124-42C4-85F9-567F69E9E688}"/>
    <cellStyle name="Column Heading 2 2 15 2" xfId="11201" xr:uid="{F370075D-523C-4C9C-AA6A-1DD2EF2CEA07}"/>
    <cellStyle name="Column Heading 2 2 15 2 2" xfId="17965" xr:uid="{D9F9F18E-EFB2-4DDC-A1B3-B9087CC95ABF}"/>
    <cellStyle name="Column Heading 2 2 15 2 3" xfId="17966" xr:uid="{DF18FA2D-C779-4F77-A994-C99BA334EA81}"/>
    <cellStyle name="Column Heading 2 2 15 2 4" xfId="17967" xr:uid="{9A605497-72AF-4019-B33B-5B56F33B35AC}"/>
    <cellStyle name="Column Heading 2 2 15 2 5" xfId="17968" xr:uid="{A1061377-FD61-4A49-B70B-A71DAD086F12}"/>
    <cellStyle name="Column Heading 2 2 15 2 6" xfId="17969" xr:uid="{9D18D461-4E23-429E-BA3E-7003EDECFBD5}"/>
    <cellStyle name="Column Heading 2 2 15 3" xfId="17970" xr:uid="{5A6B963A-3F57-4C63-9BDD-E5D259F7BEE8}"/>
    <cellStyle name="Column Heading 2 2 15 4" xfId="17971" xr:uid="{76BAD20C-41C9-494F-A78C-A404EB90C940}"/>
    <cellStyle name="Column Heading 2 2 15 5" xfId="17972" xr:uid="{B4288FAE-D15F-4B9F-A6F2-FEB8C4AAAA0B}"/>
    <cellStyle name="Column Heading 2 2 15 6" xfId="17973" xr:uid="{4DB4F26D-5041-4F7E-A959-CA7FC1E017B3}"/>
    <cellStyle name="Column Heading 2 2 15 7" xfId="17974" xr:uid="{64A15868-CF1E-41D9-BB9E-8BC0574FAEB5}"/>
    <cellStyle name="Column Heading 2 2 16" xfId="652" xr:uid="{13332E00-4EBC-4902-A6BB-57B26F15D83D}"/>
    <cellStyle name="Column Heading 2 2 16 2" xfId="11291" xr:uid="{717B0443-644F-4DDD-A1CA-B4F7A5E90BB5}"/>
    <cellStyle name="Column Heading 2 2 16 2 2" xfId="17975" xr:uid="{FE682725-5504-4F14-9F87-54585AA2B293}"/>
    <cellStyle name="Column Heading 2 2 16 2 3" xfId="17976" xr:uid="{1CB19BD5-4B2A-48FA-9B8E-F7B46047428F}"/>
    <cellStyle name="Column Heading 2 2 16 2 4" xfId="17977" xr:uid="{CB3640CC-E8C4-4FA2-B411-579CCA86791D}"/>
    <cellStyle name="Column Heading 2 2 16 2 5" xfId="17978" xr:uid="{39F142F1-9C7B-4A02-860B-7E4DC5966655}"/>
    <cellStyle name="Column Heading 2 2 16 2 6" xfId="17979" xr:uid="{0090C657-89B0-4F2A-AEBF-59AFACBA24DB}"/>
    <cellStyle name="Column Heading 2 2 16 3" xfId="17980" xr:uid="{C2A1BB17-80C8-4679-95AC-45AC6B6B976C}"/>
    <cellStyle name="Column Heading 2 2 16 4" xfId="17981" xr:uid="{6CDCFE2E-376E-4E12-B1CB-29D79A9448DB}"/>
    <cellStyle name="Column Heading 2 2 16 5" xfId="17982" xr:uid="{083F7370-D88F-4183-BE22-0A5B442E1E72}"/>
    <cellStyle name="Column Heading 2 2 16 6" xfId="17983" xr:uid="{8BCE1F79-9966-4AF8-A37E-5EA277F8C18B}"/>
    <cellStyle name="Column Heading 2 2 16 7" xfId="17984" xr:uid="{BC127BB0-7014-405D-BEC9-D168A9E676A2}"/>
    <cellStyle name="Column Heading 2 2 17" xfId="653" xr:uid="{E88683F6-4BA2-4440-A8D6-5B955ED58E11}"/>
    <cellStyle name="Column Heading 2 2 17 2" xfId="11377" xr:uid="{87EFC8BF-C654-4644-AD8D-1EDC53B47D23}"/>
    <cellStyle name="Column Heading 2 2 17 2 2" xfId="17985" xr:uid="{7E43446C-C92F-4BAB-B1F6-D35F21329D6A}"/>
    <cellStyle name="Column Heading 2 2 17 2 3" xfId="17986" xr:uid="{B08DBD16-5C17-4DAA-95E7-C4CCD91CA5CB}"/>
    <cellStyle name="Column Heading 2 2 17 2 4" xfId="17987" xr:uid="{A84205E6-35CB-42DB-B161-19EB9EA6489F}"/>
    <cellStyle name="Column Heading 2 2 17 2 5" xfId="17988" xr:uid="{44AAA56C-6F2B-4858-87DF-AC518AA06BE1}"/>
    <cellStyle name="Column Heading 2 2 17 2 6" xfId="17989" xr:uid="{F003EB70-E192-4803-9ECD-5D4E4ACDF96C}"/>
    <cellStyle name="Column Heading 2 2 17 3" xfId="17990" xr:uid="{6042A776-FE1F-494D-9D70-C682E3B82139}"/>
    <cellStyle name="Column Heading 2 2 17 4" xfId="17991" xr:uid="{CA81CF13-2A0E-49E3-9BF7-1EF61E883C8F}"/>
    <cellStyle name="Column Heading 2 2 17 5" xfId="17992" xr:uid="{85DE82BA-7346-4263-8085-F58F9D138984}"/>
    <cellStyle name="Column Heading 2 2 17 6" xfId="17993" xr:uid="{3025209A-32CD-4FDE-9D52-BD987BDC6349}"/>
    <cellStyle name="Column Heading 2 2 17 7" xfId="17994" xr:uid="{200EE975-21EC-41A8-8C22-A5FD28FA5DCB}"/>
    <cellStyle name="Column Heading 2 2 18" xfId="654" xr:uid="{C0C5491D-24E5-4632-8A49-B7AC4A9278BD}"/>
    <cellStyle name="Column Heading 2 2 18 2" xfId="11464" xr:uid="{3ECAFD11-0A50-4947-9083-CEEA2B411B07}"/>
    <cellStyle name="Column Heading 2 2 18 2 2" xfId="17995" xr:uid="{C9D71964-D7A9-400A-91D5-01B2B9F38738}"/>
    <cellStyle name="Column Heading 2 2 18 2 3" xfId="17996" xr:uid="{70FB86E9-1257-40E9-AD17-C905C5DBBF1B}"/>
    <cellStyle name="Column Heading 2 2 18 2 4" xfId="17997" xr:uid="{11C7F1D0-D8B7-4836-81D5-F29473B972A0}"/>
    <cellStyle name="Column Heading 2 2 18 2 5" xfId="17998" xr:uid="{9C82A2B2-57FB-4974-BC26-28C65417BD25}"/>
    <cellStyle name="Column Heading 2 2 18 2 6" xfId="17999" xr:uid="{772E2C2D-09C2-44B0-8553-E76D22D07656}"/>
    <cellStyle name="Column Heading 2 2 18 3" xfId="18000" xr:uid="{F3CFF199-72CA-4E72-A5B0-6515889E327B}"/>
    <cellStyle name="Column Heading 2 2 18 4" xfId="18001" xr:uid="{125B172B-7F83-41D7-A77A-41BE0832803F}"/>
    <cellStyle name="Column Heading 2 2 18 5" xfId="18002" xr:uid="{6FFC3316-36EE-4011-9A74-CB2BDFDB3CDA}"/>
    <cellStyle name="Column Heading 2 2 18 6" xfId="18003" xr:uid="{52D2EBA3-F304-402B-9322-06443CFA493E}"/>
    <cellStyle name="Column Heading 2 2 18 7" xfId="18004" xr:uid="{B4968782-7637-4DD9-B3BC-4E229ABBF6AE}"/>
    <cellStyle name="Column Heading 2 2 19" xfId="655" xr:uid="{B715DB51-B2A4-4F02-8B69-357BC20D3B93}"/>
    <cellStyle name="Column Heading 2 2 19 2" xfId="11551" xr:uid="{7A57102C-DDCD-41DB-8FD1-6DFCCBCB73B2}"/>
    <cellStyle name="Column Heading 2 2 19 2 2" xfId="18005" xr:uid="{96E8BD53-7E04-4669-BE0E-B4051AE14356}"/>
    <cellStyle name="Column Heading 2 2 19 2 3" xfId="18006" xr:uid="{4847E44E-2CF6-4FD1-88DD-C21E66C7D252}"/>
    <cellStyle name="Column Heading 2 2 19 2 4" xfId="18007" xr:uid="{13FE0A0F-09F8-42EF-8CF8-3FA3899855D9}"/>
    <cellStyle name="Column Heading 2 2 19 2 5" xfId="18008" xr:uid="{A25EFDBD-5248-4DE3-963D-37021D4E8621}"/>
    <cellStyle name="Column Heading 2 2 19 2 6" xfId="18009" xr:uid="{9ED9DEA1-0163-4867-8C50-0606EA76072B}"/>
    <cellStyle name="Column Heading 2 2 19 3" xfId="18010" xr:uid="{FD0943EC-C7DB-4D46-954E-8A75B6B1AE6F}"/>
    <cellStyle name="Column Heading 2 2 19 4" xfId="18011" xr:uid="{43890208-6176-4B6F-BF94-BAB77E747A45}"/>
    <cellStyle name="Column Heading 2 2 19 5" xfId="18012" xr:uid="{40DE3C37-71B5-487A-80A8-75A604C12F10}"/>
    <cellStyle name="Column Heading 2 2 19 6" xfId="18013" xr:uid="{8EFC6F60-1DED-46A3-B158-10ABDFC3A49E}"/>
    <cellStyle name="Column Heading 2 2 19 7" xfId="18014" xr:uid="{6173D7B2-5B75-42D5-A50F-16B15A6CD91E}"/>
    <cellStyle name="Column Heading 2 2 2" xfId="656" xr:uid="{EB9D7394-1194-4CF3-ADFA-86F079C04AAC}"/>
    <cellStyle name="Column Heading 2 2 2 2" xfId="10058" xr:uid="{8AFA5EE7-66B7-4096-B1CB-A92285D0AE38}"/>
    <cellStyle name="Column Heading 2 2 2 2 2" xfId="18015" xr:uid="{C7589FA1-65C8-42E8-B9AE-7F1F1824595B}"/>
    <cellStyle name="Column Heading 2 2 2 2 3" xfId="18016" xr:uid="{790B8F54-63A2-450A-9BF5-68DF8117F3AA}"/>
    <cellStyle name="Column Heading 2 2 2 2 4" xfId="18017" xr:uid="{107E58DA-324C-4F4E-80E1-F57386ABFA83}"/>
    <cellStyle name="Column Heading 2 2 2 2 5" xfId="18018" xr:uid="{2E151E2B-C253-4FA7-9071-D74AC525B6BD}"/>
    <cellStyle name="Column Heading 2 2 2 2 6" xfId="18019" xr:uid="{9D78D533-12A7-4A21-91CC-916441526277}"/>
    <cellStyle name="Column Heading 2 2 2 3" xfId="18020" xr:uid="{BF774AFB-25F5-441A-BCCF-C355A09B6DBD}"/>
    <cellStyle name="Column Heading 2 2 2 4" xfId="18021" xr:uid="{9019C291-003C-4569-99FF-6612FC796E33}"/>
    <cellStyle name="Column Heading 2 2 2 5" xfId="18022" xr:uid="{A0776DCF-5712-4939-AC47-926A9637C9E5}"/>
    <cellStyle name="Column Heading 2 2 2 6" xfId="18023" xr:uid="{CF557952-6558-4072-87FC-97C4F3EB9652}"/>
    <cellStyle name="Column Heading 2 2 2 7" xfId="18024" xr:uid="{75EFCDD5-CFE1-4183-861E-E604E86B33FD}"/>
    <cellStyle name="Column Heading 2 2 20" xfId="657" xr:uid="{D813E0E1-0B58-48E2-B7AF-36FDCEFABECA}"/>
    <cellStyle name="Column Heading 2 2 20 2" xfId="11639" xr:uid="{3C2F9CE2-00AF-4DD9-A2B1-25EE6CA4F8A1}"/>
    <cellStyle name="Column Heading 2 2 20 2 2" xfId="18025" xr:uid="{73F3EE39-53AD-4C0E-B759-DD96A77692A3}"/>
    <cellStyle name="Column Heading 2 2 20 2 3" xfId="18026" xr:uid="{BCF9598E-7E73-4353-82E7-2845D4FE1E90}"/>
    <cellStyle name="Column Heading 2 2 20 2 4" xfId="18027" xr:uid="{E7F3CC03-7562-418B-9C4E-C811D83EF5A0}"/>
    <cellStyle name="Column Heading 2 2 20 2 5" xfId="18028" xr:uid="{C435A8F6-B7AA-4730-9E09-572689339085}"/>
    <cellStyle name="Column Heading 2 2 20 2 6" xfId="18029" xr:uid="{CA0D699E-6A8C-4507-BFCB-B4C1AE07A796}"/>
    <cellStyle name="Column Heading 2 2 20 3" xfId="18030" xr:uid="{B18E4A07-ACE7-49B7-9B1D-A82D6F951640}"/>
    <cellStyle name="Column Heading 2 2 20 4" xfId="18031" xr:uid="{A2991153-5EEA-4CD1-B9AF-503B2C5D21FC}"/>
    <cellStyle name="Column Heading 2 2 20 5" xfId="18032" xr:uid="{91A69695-A1D9-4CB7-B95D-A72D37A11A93}"/>
    <cellStyle name="Column Heading 2 2 20 6" xfId="18033" xr:uid="{F917A8D8-67CC-4805-9987-89334B63E602}"/>
    <cellStyle name="Column Heading 2 2 20 7" xfId="18034" xr:uid="{BACA1E65-0F6B-4391-88E5-C138B564D8F5}"/>
    <cellStyle name="Column Heading 2 2 21" xfId="658" xr:uid="{D09EE79C-B791-428A-BBB3-E23969EF5EAF}"/>
    <cellStyle name="Column Heading 2 2 21 2" xfId="11723" xr:uid="{8A6E1508-AD00-4A93-8F72-961D47978B4F}"/>
    <cellStyle name="Column Heading 2 2 21 2 2" xfId="18035" xr:uid="{A84B1612-C2C9-41B1-B5AF-337B6ED453B1}"/>
    <cellStyle name="Column Heading 2 2 21 2 3" xfId="18036" xr:uid="{A66BC72D-0A32-4670-B416-E6DA38432F08}"/>
    <cellStyle name="Column Heading 2 2 21 2 4" xfId="18037" xr:uid="{E417C06C-E3FF-4153-8A2B-4D5A97A2832B}"/>
    <cellStyle name="Column Heading 2 2 21 2 5" xfId="18038" xr:uid="{E2E9A058-407F-4834-B8CC-227FC5BF9227}"/>
    <cellStyle name="Column Heading 2 2 21 2 6" xfId="18039" xr:uid="{28CCAFB1-2F18-482E-BB69-FD3D61241B58}"/>
    <cellStyle name="Column Heading 2 2 21 3" xfId="18040" xr:uid="{73D925CB-418E-4755-9423-1EBEF49FD435}"/>
    <cellStyle name="Column Heading 2 2 21 4" xfId="18041" xr:uid="{C299E498-D255-4157-A75B-381ECD2575CF}"/>
    <cellStyle name="Column Heading 2 2 21 5" xfId="18042" xr:uid="{4A3AC204-6363-40BF-9738-1C12A8A2EB9C}"/>
    <cellStyle name="Column Heading 2 2 21 6" xfId="18043" xr:uid="{A0DFD5FD-2CCD-4EE9-9820-30FC03467C81}"/>
    <cellStyle name="Column Heading 2 2 21 7" xfId="18044" xr:uid="{D5025856-D441-48F5-BE9E-787E6C1D5481}"/>
    <cellStyle name="Column Heading 2 2 22" xfId="659" xr:uid="{2F605369-32D2-4453-991E-505E55DD85E8}"/>
    <cellStyle name="Column Heading 2 2 22 2" xfId="11806" xr:uid="{3E510263-6BB6-4EBA-8531-BEE665429BAB}"/>
    <cellStyle name="Column Heading 2 2 22 2 2" xfId="18045" xr:uid="{8F950EA3-5832-49A1-8FDB-FB4B6DBFB8E5}"/>
    <cellStyle name="Column Heading 2 2 22 2 3" xfId="18046" xr:uid="{4E05A8E6-744A-4B56-952C-6BD791C92978}"/>
    <cellStyle name="Column Heading 2 2 22 2 4" xfId="18047" xr:uid="{02F2EDE6-BE88-424C-A1D0-CC0152058982}"/>
    <cellStyle name="Column Heading 2 2 22 2 5" xfId="18048" xr:uid="{45299284-71C1-4F7B-A217-DF82FFFAEC1C}"/>
    <cellStyle name="Column Heading 2 2 22 2 6" xfId="18049" xr:uid="{8896B77A-D252-43E6-8651-80BFC79B701D}"/>
    <cellStyle name="Column Heading 2 2 22 3" xfId="18050" xr:uid="{89F5699E-05C9-41D7-A197-0D63812458B8}"/>
    <cellStyle name="Column Heading 2 2 22 4" xfId="18051" xr:uid="{B7205224-9CE8-4E6F-AFAC-D9424D7937EE}"/>
    <cellStyle name="Column Heading 2 2 22 5" xfId="18052" xr:uid="{329EF358-CFAC-4BEE-BBCC-7A7F4949502B}"/>
    <cellStyle name="Column Heading 2 2 22 6" xfId="18053" xr:uid="{4C03947E-6574-4AB7-A84A-D31D81934133}"/>
    <cellStyle name="Column Heading 2 2 22 7" xfId="18054" xr:uid="{325A9203-76AF-4354-B533-9BE72EA30FBE}"/>
    <cellStyle name="Column Heading 2 2 23" xfId="660" xr:uid="{146DB627-F9B1-424E-9B34-3C61AA3EE271}"/>
    <cellStyle name="Column Heading 2 2 23 2" xfId="11889" xr:uid="{D9BD68D2-2C06-4968-A975-1F1FF8C559E2}"/>
    <cellStyle name="Column Heading 2 2 23 2 2" xfId="18055" xr:uid="{A8A5B46A-37D9-4B43-9742-B7085A370539}"/>
    <cellStyle name="Column Heading 2 2 23 2 3" xfId="18056" xr:uid="{9D6243F8-62B8-465A-9CF8-AD1CBF559AC5}"/>
    <cellStyle name="Column Heading 2 2 23 2 4" xfId="18057" xr:uid="{E7C460B7-AD46-41F1-AD3C-0A34B4CB1C8D}"/>
    <cellStyle name="Column Heading 2 2 23 2 5" xfId="18058" xr:uid="{6E99F132-3ECE-4A8E-A01D-8B0287174EF9}"/>
    <cellStyle name="Column Heading 2 2 23 2 6" xfId="18059" xr:uid="{29583B5A-5E42-4C93-BB63-CB39F43695E4}"/>
    <cellStyle name="Column Heading 2 2 23 3" xfId="18060" xr:uid="{F956FBF6-1C4F-436A-B06D-EE1AC10FC782}"/>
    <cellStyle name="Column Heading 2 2 23 4" xfId="18061" xr:uid="{9EEF95C2-28E6-4E49-A76F-5CBA0785EBDD}"/>
    <cellStyle name="Column Heading 2 2 23 5" xfId="18062" xr:uid="{93B2DD51-3B20-47B4-95CD-CC68115E1DBD}"/>
    <cellStyle name="Column Heading 2 2 23 6" xfId="18063" xr:uid="{1FE55AD5-BDC6-422C-85F1-54C963E79EBF}"/>
    <cellStyle name="Column Heading 2 2 23 7" xfId="18064" xr:uid="{8595A1E2-F910-48A6-AA96-7A56E3217969}"/>
    <cellStyle name="Column Heading 2 2 24" xfId="661" xr:uid="{FC853E80-ABE9-4889-827C-6E91D32B989B}"/>
    <cellStyle name="Column Heading 2 2 24 2" xfId="11973" xr:uid="{12EA6CFD-CE67-4D7C-A6CC-02C71862C39B}"/>
    <cellStyle name="Column Heading 2 2 24 2 2" xfId="18065" xr:uid="{B4F0CE49-7FFA-4EB5-A283-895CF582D9F3}"/>
    <cellStyle name="Column Heading 2 2 24 2 3" xfId="18066" xr:uid="{3289BF0B-C958-449C-9100-C7E53B1BA4F7}"/>
    <cellStyle name="Column Heading 2 2 24 2 4" xfId="18067" xr:uid="{992F766D-E441-474D-B147-2C8A9524481A}"/>
    <cellStyle name="Column Heading 2 2 24 2 5" xfId="18068" xr:uid="{4145662B-8AD5-4AD6-9FBC-E2F421EFF32C}"/>
    <cellStyle name="Column Heading 2 2 24 2 6" xfId="18069" xr:uid="{8719F819-029B-4E8A-9EBE-245F48BDC21F}"/>
    <cellStyle name="Column Heading 2 2 24 3" xfId="18070" xr:uid="{22020F39-9841-4171-A357-CE15AA134F78}"/>
    <cellStyle name="Column Heading 2 2 24 4" xfId="18071" xr:uid="{E62989B1-810F-4429-93FA-58672FBB2F84}"/>
    <cellStyle name="Column Heading 2 2 24 5" xfId="18072" xr:uid="{6F57F6CC-3D8D-47B8-96F4-B16B250C8054}"/>
    <cellStyle name="Column Heading 2 2 24 6" xfId="18073" xr:uid="{64968BD6-CD5D-440A-9578-AD5F3E32B0DD}"/>
    <cellStyle name="Column Heading 2 2 24 7" xfId="18074" xr:uid="{167700B8-0C4B-49F7-AD98-09D2FD42AE9B}"/>
    <cellStyle name="Column Heading 2 2 25" xfId="662" xr:uid="{B6804ACE-00CA-4639-8996-D4DC5C538D50}"/>
    <cellStyle name="Column Heading 2 2 25 2" xfId="12056" xr:uid="{DCECC531-E0EF-4555-A5AD-76CBBE3747D4}"/>
    <cellStyle name="Column Heading 2 2 25 2 2" xfId="18075" xr:uid="{D9A90CC9-6C29-48C0-B1DD-38CB1375A829}"/>
    <cellStyle name="Column Heading 2 2 25 2 3" xfId="18076" xr:uid="{57B28736-4F7C-42B8-82B2-75BE55BBE836}"/>
    <cellStyle name="Column Heading 2 2 25 2 4" xfId="18077" xr:uid="{4DA3AB56-54DC-4828-8516-AF16EEC78B7D}"/>
    <cellStyle name="Column Heading 2 2 25 2 5" xfId="18078" xr:uid="{7C47207A-13A0-4F3D-9C45-269FB92BF278}"/>
    <cellStyle name="Column Heading 2 2 25 2 6" xfId="18079" xr:uid="{42B08335-8C86-4B82-9D72-89050B37A62A}"/>
    <cellStyle name="Column Heading 2 2 25 3" xfId="18080" xr:uid="{F0B5B41E-D44F-4797-9C9F-A58C6886C605}"/>
    <cellStyle name="Column Heading 2 2 25 4" xfId="18081" xr:uid="{02FEF317-2466-46CE-9220-4599F76FA172}"/>
    <cellStyle name="Column Heading 2 2 25 5" xfId="18082" xr:uid="{391FCF71-CC08-462C-8DF7-623E8BB5226F}"/>
    <cellStyle name="Column Heading 2 2 25 6" xfId="18083" xr:uid="{D8DBEB3F-CC2E-41A4-A34F-9A6C62FCB2BC}"/>
    <cellStyle name="Column Heading 2 2 25 7" xfId="18084" xr:uid="{D04B8B60-890D-4D11-8B89-6FE9861224E3}"/>
    <cellStyle name="Column Heading 2 2 26" xfId="663" xr:uid="{C31767DD-9D7D-4F6E-93D3-6D4BA17EFD19}"/>
    <cellStyle name="Column Heading 2 2 26 2" xfId="12139" xr:uid="{7A39F68F-FC56-46D2-8CE1-EDCF88EA9C68}"/>
    <cellStyle name="Column Heading 2 2 26 2 2" xfId="18085" xr:uid="{4FC9BDE7-1EB4-4292-9AAD-B385C92F6AA7}"/>
    <cellStyle name="Column Heading 2 2 26 2 3" xfId="18086" xr:uid="{58287E92-C54D-4692-972D-1B7CA3A89BA2}"/>
    <cellStyle name="Column Heading 2 2 26 2 4" xfId="18087" xr:uid="{DD6A7B29-6AE1-4766-A614-FDBAF259D545}"/>
    <cellStyle name="Column Heading 2 2 26 2 5" xfId="18088" xr:uid="{B039D296-BA38-486A-97C1-970E885AB4FA}"/>
    <cellStyle name="Column Heading 2 2 26 2 6" xfId="18089" xr:uid="{BDDD73F2-073D-4EF5-BA38-0EA9DCA7DF3F}"/>
    <cellStyle name="Column Heading 2 2 26 3" xfId="18090" xr:uid="{D6481BAC-C265-4661-B226-8C55F4E1E745}"/>
    <cellStyle name="Column Heading 2 2 26 4" xfId="18091" xr:uid="{0D438E45-C1D4-4187-B360-D1B41CD40AA9}"/>
    <cellStyle name="Column Heading 2 2 26 5" xfId="18092" xr:uid="{E5EDAEC5-7116-4391-A235-564A3A829825}"/>
    <cellStyle name="Column Heading 2 2 26 6" xfId="18093" xr:uid="{C05562B5-DD59-4D8A-A326-7CD88BBEE4AD}"/>
    <cellStyle name="Column Heading 2 2 26 7" xfId="18094" xr:uid="{640E183E-8DA0-41AC-9DE5-26F7E9A04C6B}"/>
    <cellStyle name="Column Heading 2 2 27" xfId="664" xr:uid="{59E99824-77AA-4757-AC1F-9F964A95B0CB}"/>
    <cellStyle name="Column Heading 2 2 27 2" xfId="12221" xr:uid="{1C66E707-91B0-4CBA-A742-B54E7BF484BE}"/>
    <cellStyle name="Column Heading 2 2 27 2 2" xfId="18095" xr:uid="{58A3C3ED-9037-46B9-9937-FD2A33902339}"/>
    <cellStyle name="Column Heading 2 2 27 2 3" xfId="18096" xr:uid="{07E3F3BE-4221-4EE9-B66A-C6C6655C6B5B}"/>
    <cellStyle name="Column Heading 2 2 27 2 4" xfId="18097" xr:uid="{9C90CD8D-489D-44AE-B1BE-5FF9E91DFD08}"/>
    <cellStyle name="Column Heading 2 2 27 2 5" xfId="18098" xr:uid="{A122E7A1-BBC9-488B-AC9F-C9FF345C98B7}"/>
    <cellStyle name="Column Heading 2 2 27 2 6" xfId="18099" xr:uid="{08E218CE-A3A6-49B7-94FF-8CAE2CAFAE43}"/>
    <cellStyle name="Column Heading 2 2 27 3" xfId="18100" xr:uid="{335D39F9-A868-466E-B73B-9CE1DA531B8A}"/>
    <cellStyle name="Column Heading 2 2 27 4" xfId="18101" xr:uid="{D0B58CF3-CB59-43B7-8BFB-BF53FFC639B8}"/>
    <cellStyle name="Column Heading 2 2 27 5" xfId="18102" xr:uid="{99575E53-CDE1-4E3B-B31C-C6FB3C65DB38}"/>
    <cellStyle name="Column Heading 2 2 27 6" xfId="18103" xr:uid="{B1C2F26E-44B2-470C-824B-1AEBE699B858}"/>
    <cellStyle name="Column Heading 2 2 27 7" xfId="18104" xr:uid="{F17AA989-94CE-4304-98AA-E5F8E0E92F89}"/>
    <cellStyle name="Column Heading 2 2 28" xfId="665" xr:uid="{42AFD770-70E4-46CC-805C-F76F2C441718}"/>
    <cellStyle name="Column Heading 2 2 28 2" xfId="12301" xr:uid="{AE713F3C-E5F7-40FD-AE0D-00683F8BED54}"/>
    <cellStyle name="Column Heading 2 2 28 2 2" xfId="18105" xr:uid="{11AACA5E-600D-498C-A889-D6B505505048}"/>
    <cellStyle name="Column Heading 2 2 28 2 3" xfId="18106" xr:uid="{15237100-441A-4AEF-A685-164B57046D96}"/>
    <cellStyle name="Column Heading 2 2 28 2 4" xfId="18107" xr:uid="{ECE84547-FEBF-4307-9332-3E1F37A10FE2}"/>
    <cellStyle name="Column Heading 2 2 28 2 5" xfId="18108" xr:uid="{952FD949-E9E9-44CF-85A4-D975B98DE6A7}"/>
    <cellStyle name="Column Heading 2 2 28 2 6" xfId="18109" xr:uid="{48777E39-B06F-453F-BDB6-7CD191BB31AB}"/>
    <cellStyle name="Column Heading 2 2 28 3" xfId="18110" xr:uid="{EF48302F-ACAC-445C-AC80-DF6E94BEF3BA}"/>
    <cellStyle name="Column Heading 2 2 28 4" xfId="18111" xr:uid="{51B2D933-E471-4595-8009-B5765A642B08}"/>
    <cellStyle name="Column Heading 2 2 28 5" xfId="18112" xr:uid="{5F616EED-515A-4A5A-86A4-1C95739B95D5}"/>
    <cellStyle name="Column Heading 2 2 28 6" xfId="18113" xr:uid="{8370ADF9-868B-4B5E-9D81-890E36EE7428}"/>
    <cellStyle name="Column Heading 2 2 28 7" xfId="18114" xr:uid="{E7280C6E-C0E7-4147-ABF3-07352F453CDA}"/>
    <cellStyle name="Column Heading 2 2 29" xfId="666" xr:uid="{6964FECB-4C28-4BEC-90E7-D27269ED4C65}"/>
    <cellStyle name="Column Heading 2 2 29 2" xfId="12379" xr:uid="{75387ACD-851C-40F0-A15D-96277B2D32EE}"/>
    <cellStyle name="Column Heading 2 2 29 2 2" xfId="18115" xr:uid="{CFE7CBD9-2C64-4F19-AE0E-2684EC6E581C}"/>
    <cellStyle name="Column Heading 2 2 29 2 3" xfId="18116" xr:uid="{4BAC468E-641D-4912-8863-B3D9271165A3}"/>
    <cellStyle name="Column Heading 2 2 29 2 4" xfId="18117" xr:uid="{49B15D71-1853-48C5-86E6-DABA8C5470C6}"/>
    <cellStyle name="Column Heading 2 2 29 2 5" xfId="18118" xr:uid="{15937147-A5CC-4990-A2F0-4A1EA62FA83B}"/>
    <cellStyle name="Column Heading 2 2 29 2 6" xfId="18119" xr:uid="{51822FC0-D386-4F97-944D-891591211406}"/>
    <cellStyle name="Column Heading 2 2 29 3" xfId="18120" xr:uid="{39B8D0C9-179D-4D65-A9B4-C0DE3C8EE2BC}"/>
    <cellStyle name="Column Heading 2 2 29 4" xfId="18121" xr:uid="{82D8DE82-BDBF-414C-BF96-5D596272FEAD}"/>
    <cellStyle name="Column Heading 2 2 29 5" xfId="18122" xr:uid="{8952CC99-8B26-4D35-8FED-AA64D4056707}"/>
    <cellStyle name="Column Heading 2 2 29 6" xfId="18123" xr:uid="{D4360458-88D6-4379-8104-0187C39F2B13}"/>
    <cellStyle name="Column Heading 2 2 29 7" xfId="18124" xr:uid="{F37060F0-EF48-408E-938D-C2552BD3210B}"/>
    <cellStyle name="Column Heading 2 2 3" xfId="667" xr:uid="{C9F81CE5-ACD7-4A2A-8A60-4F2162B0C861}"/>
    <cellStyle name="Column Heading 2 2 3 2" xfId="10149" xr:uid="{76957E43-CA5C-4BE4-8793-C577E27E022D}"/>
    <cellStyle name="Column Heading 2 2 3 2 2" xfId="18125" xr:uid="{ED504F5D-5CC6-4C8F-81A2-5B0DF6A0DF77}"/>
    <cellStyle name="Column Heading 2 2 3 2 3" xfId="18126" xr:uid="{8F057D44-AD49-473A-8965-4BEA0BCC14AA}"/>
    <cellStyle name="Column Heading 2 2 3 2 4" xfId="18127" xr:uid="{79F92E80-7FFD-4D42-84E0-6B516FC80CE8}"/>
    <cellStyle name="Column Heading 2 2 3 2 5" xfId="18128" xr:uid="{8525E6AB-5E6C-4848-BEAC-30984BBB2B05}"/>
    <cellStyle name="Column Heading 2 2 3 2 6" xfId="18129" xr:uid="{BDC74186-5B1B-4EC8-859E-186E9CCF7C45}"/>
    <cellStyle name="Column Heading 2 2 3 3" xfId="18130" xr:uid="{49D1DB82-95DD-49B0-8B7E-376F714B5490}"/>
    <cellStyle name="Column Heading 2 2 3 4" xfId="18131" xr:uid="{FCFBF3CE-6EE7-45CE-8C37-4AD07C8AB8D3}"/>
    <cellStyle name="Column Heading 2 2 3 5" xfId="18132" xr:uid="{201D5904-9F6A-46A7-A227-153805178300}"/>
    <cellStyle name="Column Heading 2 2 3 6" xfId="18133" xr:uid="{7F30C8A8-3069-4916-958B-E1C001EC10CF}"/>
    <cellStyle name="Column Heading 2 2 3 7" xfId="18134" xr:uid="{6E328CDB-7E57-427B-80AC-EE3E5757A79E}"/>
    <cellStyle name="Column Heading 2 2 30" xfId="668" xr:uid="{D9D1308C-8B28-4203-AE03-FE47A8DABE5B}"/>
    <cellStyle name="Column Heading 2 2 30 2" xfId="12458" xr:uid="{12FD3711-FF6F-4ECD-B67F-F307210AA15F}"/>
    <cellStyle name="Column Heading 2 2 30 2 2" xfId="18135" xr:uid="{B3372B10-EE6C-4709-BD22-CBCF343C0E7D}"/>
    <cellStyle name="Column Heading 2 2 30 2 3" xfId="18136" xr:uid="{CDD16EE7-8908-43B5-816B-D1182D138ADB}"/>
    <cellStyle name="Column Heading 2 2 30 2 4" xfId="18137" xr:uid="{B7C57D3B-74B0-4D67-ABAF-EA24909A3F70}"/>
    <cellStyle name="Column Heading 2 2 30 2 5" xfId="18138" xr:uid="{4A86604E-C2D1-4DAC-986F-C2DBDCDDBB2A}"/>
    <cellStyle name="Column Heading 2 2 30 2 6" xfId="18139" xr:uid="{4ECF0D43-BE08-46F8-A313-0B06737F8694}"/>
    <cellStyle name="Column Heading 2 2 30 3" xfId="18140" xr:uid="{0C38F0FA-B041-4193-AE55-EE28FF0B3360}"/>
    <cellStyle name="Column Heading 2 2 30 4" xfId="18141" xr:uid="{8578A435-81CC-4831-BCF6-D248647D1195}"/>
    <cellStyle name="Column Heading 2 2 30 5" xfId="18142" xr:uid="{F6659663-420B-45CC-B791-445C96F00386}"/>
    <cellStyle name="Column Heading 2 2 30 6" xfId="18143" xr:uid="{04FF9FEC-830A-4616-9CE7-408027EF08BA}"/>
    <cellStyle name="Column Heading 2 2 30 7" xfId="18144" xr:uid="{B51E41C6-BF81-4AB9-BD21-A686839B52E2}"/>
    <cellStyle name="Column Heading 2 2 31" xfId="669" xr:uid="{5CD36CE5-E45B-48C4-8A80-99596ED1DB5E}"/>
    <cellStyle name="Column Heading 2 2 31 2" xfId="12537" xr:uid="{807B6718-EE62-4C28-BDA7-5F42E627AA02}"/>
    <cellStyle name="Column Heading 2 2 31 2 2" xfId="18145" xr:uid="{4C5A52F1-49E4-4FB4-A5A9-6527A2815A02}"/>
    <cellStyle name="Column Heading 2 2 31 2 3" xfId="18146" xr:uid="{78E95DD2-F114-405E-A059-8F8C923E6419}"/>
    <cellStyle name="Column Heading 2 2 31 2 4" xfId="18147" xr:uid="{ECBB8B75-361E-415A-B21D-E68DB1065B29}"/>
    <cellStyle name="Column Heading 2 2 31 2 5" xfId="18148" xr:uid="{BC912423-6161-484C-B898-8D10DFF4038C}"/>
    <cellStyle name="Column Heading 2 2 31 2 6" xfId="18149" xr:uid="{C5FE7721-91D7-4688-BAC6-B0C77CF7F048}"/>
    <cellStyle name="Column Heading 2 2 31 3" xfId="18150" xr:uid="{63AFC11F-72B1-4245-8558-6D330A417D96}"/>
    <cellStyle name="Column Heading 2 2 31 4" xfId="18151" xr:uid="{87F7422D-EA42-4947-9937-0414414A6DA9}"/>
    <cellStyle name="Column Heading 2 2 31 5" xfId="18152" xr:uid="{A41043D6-08CE-4B04-868A-0049959F5581}"/>
    <cellStyle name="Column Heading 2 2 31 6" xfId="18153" xr:uid="{470DB337-00DE-4EB9-8493-011734212A58}"/>
    <cellStyle name="Column Heading 2 2 31 7" xfId="18154" xr:uid="{43E99A73-A3D8-48D7-9C2D-D0C032BB78D8}"/>
    <cellStyle name="Column Heading 2 2 32" xfId="670" xr:uid="{49722398-F797-4153-89D5-21311B04D7FF}"/>
    <cellStyle name="Column Heading 2 2 32 2" xfId="12616" xr:uid="{09CDB512-FD38-4803-AB1B-EB270F32F3EA}"/>
    <cellStyle name="Column Heading 2 2 32 2 2" xfId="18155" xr:uid="{5C347C21-0C39-4B1E-804E-6830E58CEBCF}"/>
    <cellStyle name="Column Heading 2 2 32 2 3" xfId="18156" xr:uid="{8C364E6F-EF47-4594-9924-7D5E8DDE55A8}"/>
    <cellStyle name="Column Heading 2 2 32 2 4" xfId="18157" xr:uid="{7EDF094D-E735-4559-93F7-9DB5592FF271}"/>
    <cellStyle name="Column Heading 2 2 32 2 5" xfId="18158" xr:uid="{1410E5E9-5B4A-4978-BAE7-F462C4013E7A}"/>
    <cellStyle name="Column Heading 2 2 32 2 6" xfId="18159" xr:uid="{CDD5CE53-7BEC-43D0-AF42-2D216005A3C6}"/>
    <cellStyle name="Column Heading 2 2 32 3" xfId="18160" xr:uid="{12331139-F1C5-453C-9566-C61AC6FCD1B7}"/>
    <cellStyle name="Column Heading 2 2 32 4" xfId="18161" xr:uid="{CC491D15-CB4F-4161-AD5F-D8997A56D9E2}"/>
    <cellStyle name="Column Heading 2 2 32 5" xfId="18162" xr:uid="{A18744AC-BFA4-4D00-B7BA-D644680DF1D1}"/>
    <cellStyle name="Column Heading 2 2 32 6" xfId="18163" xr:uid="{45CBB3EB-AE01-4FDF-995C-A29BA4D5E999}"/>
    <cellStyle name="Column Heading 2 2 32 7" xfId="18164" xr:uid="{6AED24BF-04E7-449B-B93A-97D83B7A8616}"/>
    <cellStyle name="Column Heading 2 2 33" xfId="671" xr:uid="{1C3AB0D4-FFFB-4C93-8203-85B909DA0030}"/>
    <cellStyle name="Column Heading 2 2 33 2" xfId="12695" xr:uid="{41529A82-9D74-473B-BC14-90F5A901A232}"/>
    <cellStyle name="Column Heading 2 2 33 2 2" xfId="18165" xr:uid="{8E847684-D71B-4301-B2A1-ABAD973CD453}"/>
    <cellStyle name="Column Heading 2 2 33 2 3" xfId="18166" xr:uid="{36C345FC-A6DA-4DE5-89C8-04DD11BE62CA}"/>
    <cellStyle name="Column Heading 2 2 33 2 4" xfId="18167" xr:uid="{06B8A5A6-71FD-4435-A9D3-000DDC124D24}"/>
    <cellStyle name="Column Heading 2 2 33 2 5" xfId="18168" xr:uid="{4552A554-F5C4-4685-AD0B-C78A3C62ACFF}"/>
    <cellStyle name="Column Heading 2 2 33 2 6" xfId="18169" xr:uid="{528AB75E-3097-4AAD-AAE7-F9D6AEF539B4}"/>
    <cellStyle name="Column Heading 2 2 33 3" xfId="18170" xr:uid="{A915878A-CB55-4C45-8EBE-6B5239BA8D83}"/>
    <cellStyle name="Column Heading 2 2 33 4" xfId="18171" xr:uid="{9090BFF4-A953-4D96-A95B-634186ADC1FF}"/>
    <cellStyle name="Column Heading 2 2 33 5" xfId="18172" xr:uid="{C75E049C-90C9-449C-B159-B8B327C9DEE0}"/>
    <cellStyle name="Column Heading 2 2 33 6" xfId="18173" xr:uid="{4E7D90F9-318E-4DC6-80DA-4F643636954A}"/>
    <cellStyle name="Column Heading 2 2 34" xfId="672" xr:uid="{7B8A9089-51E7-405D-BD13-3C8363FA23DF}"/>
    <cellStyle name="Column Heading 2 2 34 2" xfId="12779" xr:uid="{7AACC647-7679-41FD-AC0E-8457AB392DD4}"/>
    <cellStyle name="Column Heading 2 2 34 2 2" xfId="18174" xr:uid="{1C52D3C9-6D0F-43EF-8208-29F69F90FEEF}"/>
    <cellStyle name="Column Heading 2 2 34 2 3" xfId="18175" xr:uid="{DA12BE1B-F90E-4B05-8E0B-D4331C702B96}"/>
    <cellStyle name="Column Heading 2 2 34 2 4" xfId="18176" xr:uid="{B9D47291-F02B-4E57-AAF7-EBD5614EF558}"/>
    <cellStyle name="Column Heading 2 2 34 2 5" xfId="18177" xr:uid="{01CBF7E3-76F0-4FBC-B120-37CD5E24FB9F}"/>
    <cellStyle name="Column Heading 2 2 34 2 6" xfId="18178" xr:uid="{470829D4-743F-4C6F-9579-ABE76760CCA9}"/>
    <cellStyle name="Column Heading 2 2 34 3" xfId="18179" xr:uid="{907BE50A-DDE8-4DDD-8F2C-8D4C8A3AFB6B}"/>
    <cellStyle name="Column Heading 2 2 34 4" xfId="18180" xr:uid="{2004DAF5-2D32-4816-82BB-0BD4805A3507}"/>
    <cellStyle name="Column Heading 2 2 34 5" xfId="18181" xr:uid="{B0174F72-FBB7-45C5-881C-B27267A0A546}"/>
    <cellStyle name="Column Heading 2 2 34 6" xfId="18182" xr:uid="{C61A5999-150A-4BD5-9CDE-1C0C05868F60}"/>
    <cellStyle name="Column Heading 2 2 34 7" xfId="18183" xr:uid="{B76EF65D-7662-4BD1-9548-942AFDA30D77}"/>
    <cellStyle name="Column Heading 2 2 35" xfId="9845" xr:uid="{5E4975EE-61E0-4512-9AD8-64E4B21A0334}"/>
    <cellStyle name="Column Heading 2 2 35 2" xfId="18184" xr:uid="{4B0B35BF-C774-4049-AD83-5738DC6A7FEE}"/>
    <cellStyle name="Column Heading 2 2 35 3" xfId="18185" xr:uid="{D37F8CA5-BDE8-42FC-9435-9BF55D8F0B5C}"/>
    <cellStyle name="Column Heading 2 2 35 4" xfId="18186" xr:uid="{8C662297-2935-430C-BA7E-E0C9E2D073A0}"/>
    <cellStyle name="Column Heading 2 2 35 5" xfId="18187" xr:uid="{D267BA66-DAD8-4DAD-84C4-8F342777C38F}"/>
    <cellStyle name="Column Heading 2 2 35 6" xfId="18188" xr:uid="{4397BB24-52ED-49DA-A74B-F242347A7D4D}"/>
    <cellStyle name="Column Heading 2 2 36" xfId="18189" xr:uid="{CB8E7914-CAA3-4CAE-97A0-45A2B676DBE9}"/>
    <cellStyle name="Column Heading 2 2 37" xfId="18190" xr:uid="{02746A83-A8FE-414F-B7A4-90AE5BF62EE4}"/>
    <cellStyle name="Column Heading 2 2 38" xfId="18191" xr:uid="{336D1F0A-5CC4-4930-A1DE-12DDDDD3ABB3}"/>
    <cellStyle name="Column Heading 2 2 39" xfId="18192" xr:uid="{B5415353-96D3-445F-8936-5A19A2FA4A60}"/>
    <cellStyle name="Column Heading 2 2 4" xfId="673" xr:uid="{94FAFF82-96CE-482B-821D-E14E2C7ABF5F}"/>
    <cellStyle name="Column Heading 2 2 4 2" xfId="10239" xr:uid="{3D7D33F7-6DB4-4D7D-B021-9FD526C034B5}"/>
    <cellStyle name="Column Heading 2 2 4 2 2" xfId="18193" xr:uid="{8B86032C-F79E-40A9-A3E7-A8A559638028}"/>
    <cellStyle name="Column Heading 2 2 4 2 3" xfId="18194" xr:uid="{95B99F89-D683-46AA-A869-F25BDEDE8CB0}"/>
    <cellStyle name="Column Heading 2 2 4 2 4" xfId="18195" xr:uid="{9BAAB6D7-33AE-41BF-96FA-CBF7B6439133}"/>
    <cellStyle name="Column Heading 2 2 4 2 5" xfId="18196" xr:uid="{14AFC6E5-B888-4C4D-B958-5482410734E6}"/>
    <cellStyle name="Column Heading 2 2 4 2 6" xfId="18197" xr:uid="{2D5267CC-45A9-4A93-81E6-17A9FB35DF41}"/>
    <cellStyle name="Column Heading 2 2 4 3" xfId="18198" xr:uid="{43A77B3F-E8D1-4846-9526-DF00F2406BF0}"/>
    <cellStyle name="Column Heading 2 2 4 4" xfId="18199" xr:uid="{469F9657-DB1F-4572-BB97-C105535C01AC}"/>
    <cellStyle name="Column Heading 2 2 4 5" xfId="18200" xr:uid="{B0A8BFA6-6ECF-4A6E-8F11-B55CC3C28391}"/>
    <cellStyle name="Column Heading 2 2 4 6" xfId="18201" xr:uid="{F03E45D8-4978-406C-8396-459D863D32AF}"/>
    <cellStyle name="Column Heading 2 2 4 7" xfId="18202" xr:uid="{932D8175-C4D9-4839-8F6D-67D030F1260F}"/>
    <cellStyle name="Column Heading 2 2 5" xfId="674" xr:uid="{2A1D385D-BAC2-4CCE-8E35-43A06E77EC8C}"/>
    <cellStyle name="Column Heading 2 2 5 2" xfId="10325" xr:uid="{CCB9172C-29B9-425B-8852-7940F08D78ED}"/>
    <cellStyle name="Column Heading 2 2 5 2 2" xfId="18203" xr:uid="{7399DB28-6E0E-4938-874B-9A1F4F72360E}"/>
    <cellStyle name="Column Heading 2 2 5 2 3" xfId="18204" xr:uid="{B84115FC-4EAD-48D9-948A-C4B83E33FD08}"/>
    <cellStyle name="Column Heading 2 2 5 2 4" xfId="18205" xr:uid="{981DCA5E-7D41-4FA5-83AD-AA1F54F6A00B}"/>
    <cellStyle name="Column Heading 2 2 5 2 5" xfId="18206" xr:uid="{B071F257-4113-4BBF-B908-7DE8B6E08728}"/>
    <cellStyle name="Column Heading 2 2 5 2 6" xfId="18207" xr:uid="{BEF8E8E1-1CE8-4F54-8343-233D84BCCEB6}"/>
    <cellStyle name="Column Heading 2 2 5 3" xfId="18208" xr:uid="{512C7FDA-79C4-4489-A25D-BC42B0E694CF}"/>
    <cellStyle name="Column Heading 2 2 5 4" xfId="18209" xr:uid="{671DB377-4361-4B26-A746-C619D1B4418E}"/>
    <cellStyle name="Column Heading 2 2 5 5" xfId="18210" xr:uid="{4F56306E-1C1F-4DFB-B281-2598DD5EBC6D}"/>
    <cellStyle name="Column Heading 2 2 5 6" xfId="18211" xr:uid="{F98C4246-6A89-4315-8697-DA6B337C7CF7}"/>
    <cellStyle name="Column Heading 2 2 5 7" xfId="18212" xr:uid="{E0E2DCF8-96DA-4B28-8156-064CB43BF3BC}"/>
    <cellStyle name="Column Heading 2 2 6" xfId="675" xr:uid="{E5FC0476-C257-4907-A681-779A55D8DDA1}"/>
    <cellStyle name="Column Heading 2 2 6 2" xfId="10413" xr:uid="{15554F1F-94E9-49F4-8885-FA6F69A33E28}"/>
    <cellStyle name="Column Heading 2 2 6 2 2" xfId="18213" xr:uid="{8AF50E22-B5EF-4375-AF9B-058DAE00839C}"/>
    <cellStyle name="Column Heading 2 2 6 2 3" xfId="18214" xr:uid="{D27D052F-FE13-4478-905F-3C30A8FD0691}"/>
    <cellStyle name="Column Heading 2 2 6 2 4" xfId="18215" xr:uid="{DBBF3381-F475-427F-BCE8-387A589CEE90}"/>
    <cellStyle name="Column Heading 2 2 6 2 5" xfId="18216" xr:uid="{663027B2-5BBB-4A29-9A46-27FB6804D95D}"/>
    <cellStyle name="Column Heading 2 2 6 2 6" xfId="18217" xr:uid="{DFD32283-3D6C-4C50-9B8B-5A0416BBC41C}"/>
    <cellStyle name="Column Heading 2 2 6 3" xfId="18218" xr:uid="{A6818EC6-6396-4E8E-A6AA-506E3D6EDD72}"/>
    <cellStyle name="Column Heading 2 2 6 4" xfId="18219" xr:uid="{9AE849D8-30F6-4D70-97F2-F7BD2628BFD9}"/>
    <cellStyle name="Column Heading 2 2 6 5" xfId="18220" xr:uid="{E909ADC3-962F-4776-8C28-159BB92A0623}"/>
    <cellStyle name="Column Heading 2 2 6 6" xfId="18221" xr:uid="{A4E398A1-8D27-4203-BB62-500E0CD17BBD}"/>
    <cellStyle name="Column Heading 2 2 6 7" xfId="18222" xr:uid="{90D671CC-50F0-40DC-AC2A-2908F6BFD9AD}"/>
    <cellStyle name="Column Heading 2 2 7" xfId="676" xr:uid="{6989D6B3-2CB6-4376-AFBC-7C1481F46B86}"/>
    <cellStyle name="Column Heading 2 2 7 2" xfId="10500" xr:uid="{D1A80571-81F7-489C-A57A-4CFB8EFF5268}"/>
    <cellStyle name="Column Heading 2 2 7 2 2" xfId="18223" xr:uid="{A6340FAB-77C4-46D7-9327-42104E9C69AD}"/>
    <cellStyle name="Column Heading 2 2 7 2 3" xfId="18224" xr:uid="{84F7FC84-8819-4FB1-81ED-3DB837A73A0C}"/>
    <cellStyle name="Column Heading 2 2 7 2 4" xfId="18225" xr:uid="{425EEE90-E788-4F3D-80AE-BAB8C94B0566}"/>
    <cellStyle name="Column Heading 2 2 7 2 5" xfId="18226" xr:uid="{DFE525DA-EA8F-4B54-944B-3632BFCB7B43}"/>
    <cellStyle name="Column Heading 2 2 7 2 6" xfId="18227" xr:uid="{54A02B1D-B41C-458C-A90A-7DDB56697553}"/>
    <cellStyle name="Column Heading 2 2 7 3" xfId="18228" xr:uid="{A6023E12-8965-4B33-A233-1AA8474DC491}"/>
    <cellStyle name="Column Heading 2 2 7 4" xfId="18229" xr:uid="{DE9A8D82-4AD9-4613-B3D4-483205745795}"/>
    <cellStyle name="Column Heading 2 2 7 5" xfId="18230" xr:uid="{9B05B58C-F0D4-4077-AC6C-3F25BD219195}"/>
    <cellStyle name="Column Heading 2 2 7 6" xfId="18231" xr:uid="{AC935F0F-EC09-4B78-833C-A5DAADE84FC8}"/>
    <cellStyle name="Column Heading 2 2 7 7" xfId="18232" xr:uid="{5EEF8137-99C2-4DC5-BABB-07F7DEF51A11}"/>
    <cellStyle name="Column Heading 2 2 8" xfId="677" xr:uid="{A2BC997F-7DC9-4E7C-BE77-BF95875F39F1}"/>
    <cellStyle name="Column Heading 2 2 8 2" xfId="10588" xr:uid="{26DD3CC1-D74E-45A7-9304-713E59C68B8D}"/>
    <cellStyle name="Column Heading 2 2 8 2 2" xfId="18233" xr:uid="{C997499B-13DE-4999-9506-B12DEAA8D5AE}"/>
    <cellStyle name="Column Heading 2 2 8 2 3" xfId="18234" xr:uid="{8CF89CA8-0791-4D0B-BA60-226306E71C12}"/>
    <cellStyle name="Column Heading 2 2 8 2 4" xfId="18235" xr:uid="{D441C179-FFB6-4C23-803C-35DC18854C1A}"/>
    <cellStyle name="Column Heading 2 2 8 2 5" xfId="18236" xr:uid="{28F44B47-D73C-4F04-82CF-96B0554ED066}"/>
    <cellStyle name="Column Heading 2 2 8 2 6" xfId="18237" xr:uid="{EA611EF1-66CD-4753-AA14-935CC6FE017B}"/>
    <cellStyle name="Column Heading 2 2 8 3" xfId="18238" xr:uid="{865D9F6E-E8B3-41ED-9F89-30F11D674C73}"/>
    <cellStyle name="Column Heading 2 2 8 4" xfId="18239" xr:uid="{33BB1B51-F694-4165-8277-B0AE754A06A5}"/>
    <cellStyle name="Column Heading 2 2 8 5" xfId="18240" xr:uid="{6AEAFC00-898A-4FEE-8023-6B52150EA7A3}"/>
    <cellStyle name="Column Heading 2 2 8 6" xfId="18241" xr:uid="{8BA24AD3-60F8-4AFB-BC4B-2BF351F49DB0}"/>
    <cellStyle name="Column Heading 2 2 8 7" xfId="18242" xr:uid="{CDAD75BC-C186-4E2D-9A2A-A9DE1E9F1981}"/>
    <cellStyle name="Column Heading 2 2 9" xfId="678" xr:uid="{F93DDEE9-2337-4E37-AB92-98F6C14D1E76}"/>
    <cellStyle name="Column Heading 2 2 9 2" xfId="10670" xr:uid="{DA9073CF-5FFD-441A-A9C0-F95E197DD466}"/>
    <cellStyle name="Column Heading 2 2 9 2 2" xfId="18243" xr:uid="{46FEEBE8-9595-4F42-9434-A7FD501E4058}"/>
    <cellStyle name="Column Heading 2 2 9 2 3" xfId="18244" xr:uid="{717445C4-160E-4BCB-BB49-70999BE237AC}"/>
    <cellStyle name="Column Heading 2 2 9 2 4" xfId="18245" xr:uid="{090D06BE-9F4B-4810-B0BF-3256F664AF22}"/>
    <cellStyle name="Column Heading 2 2 9 2 5" xfId="18246" xr:uid="{E9643A37-AAF5-42D7-B946-141987B85EEB}"/>
    <cellStyle name="Column Heading 2 2 9 2 6" xfId="18247" xr:uid="{754A5673-EC9A-473D-AA47-3A7AF1578F73}"/>
    <cellStyle name="Column Heading 2 2 9 3" xfId="18248" xr:uid="{40D59BDD-65E7-4CCE-B4D0-3C572FB7262E}"/>
    <cellStyle name="Column Heading 2 2 9 4" xfId="18249" xr:uid="{B0C75BB5-C6DF-411F-85CE-E675DA57D7DF}"/>
    <cellStyle name="Column Heading 2 2 9 5" xfId="18250" xr:uid="{2BE418E5-87C5-4D76-A1C1-7EF402AF0A77}"/>
    <cellStyle name="Column Heading 2 2 9 6" xfId="18251" xr:uid="{17AA9E47-5281-48A0-90A9-2D5DBCDEF43E}"/>
    <cellStyle name="Column Heading 2 2 9 7" xfId="18252" xr:uid="{63D25B94-C01A-40BB-96FD-32E5D4EE8A2D}"/>
    <cellStyle name="Column Heading 2 20" xfId="679" xr:uid="{7DFD8646-3F2A-4CEB-8FAE-F62AF77BC71D}"/>
    <cellStyle name="Column Heading 2 20 2" xfId="11518" xr:uid="{FC6D8F99-8744-4B36-9877-C7B98A23DF2B}"/>
    <cellStyle name="Column Heading 2 20 2 2" xfId="18253" xr:uid="{592C3F6C-4DF8-4C63-8895-7AA69FE9731E}"/>
    <cellStyle name="Column Heading 2 20 2 3" xfId="18254" xr:uid="{EB04CA7A-5BB0-45AC-9E36-29AE9530F57F}"/>
    <cellStyle name="Column Heading 2 20 2 4" xfId="18255" xr:uid="{E1202ADD-73B8-42A3-B926-7793B21912C4}"/>
    <cellStyle name="Column Heading 2 20 2 5" xfId="18256" xr:uid="{ADF43560-01BC-4236-998C-35EEE5A6D2CD}"/>
    <cellStyle name="Column Heading 2 20 2 6" xfId="18257" xr:uid="{BC01F4B1-9859-4E88-8D05-BFD11FAD91CA}"/>
    <cellStyle name="Column Heading 2 20 3" xfId="18258" xr:uid="{C45D705B-624F-40ED-BE20-60DEF9955FA5}"/>
    <cellStyle name="Column Heading 2 20 4" xfId="18259" xr:uid="{AA1AC6FA-F07E-495B-A677-0E2581F0CE2D}"/>
    <cellStyle name="Column Heading 2 20 5" xfId="18260" xr:uid="{B88916D0-1124-4CA8-A9CE-238C91549B5A}"/>
    <cellStyle name="Column Heading 2 20 6" xfId="18261" xr:uid="{E774B871-BC3D-4BEC-AAC8-BBB88380DFE7}"/>
    <cellStyle name="Column Heading 2 20 7" xfId="18262" xr:uid="{271C912A-E735-4ACF-9AE0-2CDC56A62970}"/>
    <cellStyle name="Column Heading 2 21" xfId="680" xr:uid="{0CCD1066-46BF-47AB-AFA7-685859E2FAAE}"/>
    <cellStyle name="Column Heading 2 21 2" xfId="11606" xr:uid="{C6966DAE-5235-4F25-877C-6F4F55043EDE}"/>
    <cellStyle name="Column Heading 2 21 2 2" xfId="18263" xr:uid="{220BEB8A-EA0A-478D-8EA5-87A913AE5948}"/>
    <cellStyle name="Column Heading 2 21 2 3" xfId="18264" xr:uid="{53FEF81E-1BF7-4428-A339-400336B90FAD}"/>
    <cellStyle name="Column Heading 2 21 2 4" xfId="18265" xr:uid="{83EF8A5A-16CE-4C6A-991A-02AEF818CEF5}"/>
    <cellStyle name="Column Heading 2 21 2 5" xfId="18266" xr:uid="{18A31957-D7B0-4D81-9B2F-D41A4DCB3FC3}"/>
    <cellStyle name="Column Heading 2 21 2 6" xfId="18267" xr:uid="{C5F16C80-2BF4-466B-BF89-25B1E9DF3273}"/>
    <cellStyle name="Column Heading 2 21 3" xfId="18268" xr:uid="{2BB64731-17F2-478F-B2A4-70BF379E2E4F}"/>
    <cellStyle name="Column Heading 2 21 4" xfId="18269" xr:uid="{97BCBABA-4FFE-4A6C-8F53-21984DE65D61}"/>
    <cellStyle name="Column Heading 2 21 5" xfId="18270" xr:uid="{947C0731-D359-44F4-846C-02AED29E8ED8}"/>
    <cellStyle name="Column Heading 2 21 6" xfId="18271" xr:uid="{7D8C6572-A5B2-472F-A09C-5AAEF79563AE}"/>
    <cellStyle name="Column Heading 2 21 7" xfId="18272" xr:uid="{990C4223-78C3-445B-8925-EADD607542D0}"/>
    <cellStyle name="Column Heading 2 22" xfId="681" xr:uid="{515FAC63-123B-4686-8FD4-34C2756AD04C}"/>
    <cellStyle name="Column Heading 2 22 2" xfId="11690" xr:uid="{5E1B0923-2203-4FAB-937E-6179B42DFA0C}"/>
    <cellStyle name="Column Heading 2 22 2 2" xfId="18273" xr:uid="{C8C38BDE-9EB9-437B-9796-CB866D3770B6}"/>
    <cellStyle name="Column Heading 2 22 2 3" xfId="18274" xr:uid="{BA7D2483-8052-4E53-A5C7-5ABCBC5AA3AA}"/>
    <cellStyle name="Column Heading 2 22 2 4" xfId="18275" xr:uid="{8B7CB063-002A-4A2E-B179-36B0665509FD}"/>
    <cellStyle name="Column Heading 2 22 2 5" xfId="18276" xr:uid="{A8ACDED8-D3A2-4E5D-8BB6-4692C3ABD8C8}"/>
    <cellStyle name="Column Heading 2 22 2 6" xfId="18277" xr:uid="{87D32F7C-724A-41DD-9090-5B5C3618704F}"/>
    <cellStyle name="Column Heading 2 22 3" xfId="18278" xr:uid="{76324882-4575-4727-A817-03A1BE2729E3}"/>
    <cellStyle name="Column Heading 2 22 4" xfId="18279" xr:uid="{6BB2E500-AF47-4A9D-85C9-78098C7CBB37}"/>
    <cellStyle name="Column Heading 2 22 5" xfId="18280" xr:uid="{91E76FA8-424E-4B82-A1B4-BAED6449BFFF}"/>
    <cellStyle name="Column Heading 2 22 6" xfId="18281" xr:uid="{94A2149C-71F9-44AF-9C40-78FBE8505CD2}"/>
    <cellStyle name="Column Heading 2 22 7" xfId="18282" xr:uid="{3A48920A-95B4-4FED-A65C-FF410073C833}"/>
    <cellStyle name="Column Heading 2 23" xfId="682" xr:uid="{2E1CEECA-705D-4212-9EB3-272015B44639}"/>
    <cellStyle name="Column Heading 2 23 2" xfId="11773" xr:uid="{53B71572-2F4E-4F9A-BE0C-FB2CDDCB4ADB}"/>
    <cellStyle name="Column Heading 2 23 2 2" xfId="18283" xr:uid="{EA24ECDF-C275-42F5-B59C-6230BB022D04}"/>
    <cellStyle name="Column Heading 2 23 2 3" xfId="18284" xr:uid="{CC7E7650-32A2-4E53-A9C2-F67B18CFDA45}"/>
    <cellStyle name="Column Heading 2 23 2 4" xfId="18285" xr:uid="{231A3511-D870-48CD-8E43-F51B1832C44A}"/>
    <cellStyle name="Column Heading 2 23 2 5" xfId="18286" xr:uid="{5B544344-6E73-4787-805D-B0EDB19313CA}"/>
    <cellStyle name="Column Heading 2 23 2 6" xfId="18287" xr:uid="{901AD608-6CB2-4ED2-9CCC-C61A305219D3}"/>
    <cellStyle name="Column Heading 2 23 3" xfId="18288" xr:uid="{2E1AA4CA-D0E5-4ACB-BD37-3F1FB86119B5}"/>
    <cellStyle name="Column Heading 2 23 4" xfId="18289" xr:uid="{C9AE5911-9082-4459-9B8D-5DAC83F7E345}"/>
    <cellStyle name="Column Heading 2 23 5" xfId="18290" xr:uid="{C5E981DB-737E-49DF-AD74-FCF364A31C97}"/>
    <cellStyle name="Column Heading 2 23 6" xfId="18291" xr:uid="{EE30FBAE-A153-4CBB-996C-F7A1FB922433}"/>
    <cellStyle name="Column Heading 2 23 7" xfId="18292" xr:uid="{97249120-7F28-43FF-9A6F-387914F65BAE}"/>
    <cellStyle name="Column Heading 2 24" xfId="683" xr:uid="{45B7E249-5AA7-4919-8156-E1C53097D069}"/>
    <cellStyle name="Column Heading 2 24 2" xfId="11856" xr:uid="{EBFCE332-258B-441D-853F-2660903A8A2B}"/>
    <cellStyle name="Column Heading 2 24 2 2" xfId="18293" xr:uid="{715D909E-F0ED-4DE7-BC43-BCE782C05AF4}"/>
    <cellStyle name="Column Heading 2 24 2 3" xfId="18294" xr:uid="{A0D5AEEC-95A4-4310-A030-91774AC2B41F}"/>
    <cellStyle name="Column Heading 2 24 2 4" xfId="18295" xr:uid="{41CCED8C-520A-434D-9384-94346871FF46}"/>
    <cellStyle name="Column Heading 2 24 2 5" xfId="18296" xr:uid="{01E4E36D-4148-46A2-9DAA-18D5F0352AA4}"/>
    <cellStyle name="Column Heading 2 24 2 6" xfId="18297" xr:uid="{74A72BF9-5AA8-459A-B65B-8F96A6A0A436}"/>
    <cellStyle name="Column Heading 2 24 3" xfId="18298" xr:uid="{DB19179D-9A10-4648-9842-68D6FFEEF709}"/>
    <cellStyle name="Column Heading 2 24 4" xfId="18299" xr:uid="{BE4AC823-D4D1-44E6-B610-2B966CEBB705}"/>
    <cellStyle name="Column Heading 2 24 5" xfId="18300" xr:uid="{03ACC877-8257-4FA8-889D-8E3F760D8F1E}"/>
    <cellStyle name="Column Heading 2 24 6" xfId="18301" xr:uid="{BA4D9ADA-4B7E-4020-BDC2-3273C9610DAC}"/>
    <cellStyle name="Column Heading 2 24 7" xfId="18302" xr:uid="{B8B53445-A256-4A2E-8A17-3AE3EB9D2247}"/>
    <cellStyle name="Column Heading 2 25" xfId="684" xr:uid="{CD99408F-4057-4CCE-8CF1-F9DC3CA0F5C0}"/>
    <cellStyle name="Column Heading 2 25 2" xfId="11940" xr:uid="{1ABD9395-EEAC-4795-A574-AC75222085E5}"/>
    <cellStyle name="Column Heading 2 25 2 2" xfId="18303" xr:uid="{0F34D2B4-9B77-4807-861C-FC310E986D47}"/>
    <cellStyle name="Column Heading 2 25 2 3" xfId="18304" xr:uid="{ABEB684B-D124-4EF6-80E7-6C2F812FBBA2}"/>
    <cellStyle name="Column Heading 2 25 2 4" xfId="18305" xr:uid="{8AEE0D0F-277B-4E7E-8A9A-0CDC42715EC2}"/>
    <cellStyle name="Column Heading 2 25 2 5" xfId="18306" xr:uid="{54490154-0BD3-4ED1-B4CE-39EAA3B3E74B}"/>
    <cellStyle name="Column Heading 2 25 2 6" xfId="18307" xr:uid="{D3E3CE56-38AC-42F7-9E7D-C3A8B08F67E5}"/>
    <cellStyle name="Column Heading 2 25 3" xfId="18308" xr:uid="{F2765617-D6E4-41B8-94B2-94BA3B269EF9}"/>
    <cellStyle name="Column Heading 2 25 4" xfId="18309" xr:uid="{40D05837-90D3-4DA5-B6DD-89BC194E83B7}"/>
    <cellStyle name="Column Heading 2 25 5" xfId="18310" xr:uid="{95295794-A050-4AE1-B1C9-CE443949D043}"/>
    <cellStyle name="Column Heading 2 25 6" xfId="18311" xr:uid="{47E39B2E-6B61-4B48-B5EC-484A7F60F12F}"/>
    <cellStyle name="Column Heading 2 25 7" xfId="18312" xr:uid="{6D5A1CA5-6AA0-4C0D-B42A-6A128F86615A}"/>
    <cellStyle name="Column Heading 2 26" xfId="685" xr:uid="{614D25CC-5317-4653-ADB0-29ADED5F2B1B}"/>
    <cellStyle name="Column Heading 2 26 2" xfId="12023" xr:uid="{0344766A-9708-4A99-A8AA-DC255599FCEF}"/>
    <cellStyle name="Column Heading 2 26 2 2" xfId="18313" xr:uid="{0F8D79B0-58C6-41CA-A64F-1370C929A4EA}"/>
    <cellStyle name="Column Heading 2 26 2 3" xfId="18314" xr:uid="{B4A16FF3-E6B8-4F00-AEFE-1DE80E18982F}"/>
    <cellStyle name="Column Heading 2 26 2 4" xfId="18315" xr:uid="{B1557477-768F-40B1-8080-25D75CA719BB}"/>
    <cellStyle name="Column Heading 2 26 2 5" xfId="18316" xr:uid="{3FB57E8C-F1F3-4DC9-A097-FF589FAC43EC}"/>
    <cellStyle name="Column Heading 2 26 2 6" xfId="18317" xr:uid="{72EC5DCB-A467-4D57-AFE6-B3925B3EBD3E}"/>
    <cellStyle name="Column Heading 2 26 3" xfId="18318" xr:uid="{4E91D2CC-14FD-4AC7-999A-70C7F6B09560}"/>
    <cellStyle name="Column Heading 2 26 4" xfId="18319" xr:uid="{9C4527AA-9025-4C84-9959-85FB6208EC85}"/>
    <cellStyle name="Column Heading 2 26 5" xfId="18320" xr:uid="{9F072B9F-030A-4128-89FA-678BF07B9823}"/>
    <cellStyle name="Column Heading 2 26 6" xfId="18321" xr:uid="{23FCAA4D-23A8-4630-A5E6-FAC8CB1B236F}"/>
    <cellStyle name="Column Heading 2 26 7" xfId="18322" xr:uid="{CAE71917-5179-4F87-A37C-FC3F05C2AE6A}"/>
    <cellStyle name="Column Heading 2 27" xfId="686" xr:uid="{83592574-8631-4BD3-8C76-2B76C61970B6}"/>
    <cellStyle name="Column Heading 2 27 2" xfId="12106" xr:uid="{000928B2-F031-4365-B416-AAE72CA9D3E0}"/>
    <cellStyle name="Column Heading 2 27 2 2" xfId="18323" xr:uid="{5B559EE4-0D63-4F60-8AB5-B1E0673582F3}"/>
    <cellStyle name="Column Heading 2 27 2 3" xfId="18324" xr:uid="{628061EB-523A-4DDD-9B7B-4FB33AC7E25B}"/>
    <cellStyle name="Column Heading 2 27 2 4" xfId="18325" xr:uid="{B31D20EA-09BD-47D7-8DF5-FE81741530DF}"/>
    <cellStyle name="Column Heading 2 27 2 5" xfId="18326" xr:uid="{775EE320-C322-4825-877E-DE6CF93AAB01}"/>
    <cellStyle name="Column Heading 2 27 2 6" xfId="18327" xr:uid="{C9441495-3E50-4DD2-9EA4-B0B4DCCC4BF4}"/>
    <cellStyle name="Column Heading 2 27 3" xfId="18328" xr:uid="{EA740FC2-BAFD-4B2F-9234-65E38F36EE5E}"/>
    <cellStyle name="Column Heading 2 27 4" xfId="18329" xr:uid="{AF25C497-77DD-435F-8ED4-FB007ECC1D3D}"/>
    <cellStyle name="Column Heading 2 27 5" xfId="18330" xr:uid="{30843F98-99CD-4325-BBF2-4552CEE9EF19}"/>
    <cellStyle name="Column Heading 2 27 6" xfId="18331" xr:uid="{6EA9E103-0852-41C1-A28B-BDF7AA5795D3}"/>
    <cellStyle name="Column Heading 2 27 7" xfId="18332" xr:uid="{0372BD46-3574-48A1-8BB8-5BCD95720C89}"/>
    <cellStyle name="Column Heading 2 28" xfId="687" xr:uid="{A5E4506C-DB73-4376-A7BB-92BFBF104E4A}"/>
    <cellStyle name="Column Heading 2 28 2" xfId="12188" xr:uid="{27598D54-DCEB-4B4A-97A3-1E7D2EBB294B}"/>
    <cellStyle name="Column Heading 2 28 2 2" xfId="18333" xr:uid="{60AAD873-A633-4869-AA33-D216FF18A63F}"/>
    <cellStyle name="Column Heading 2 28 2 3" xfId="18334" xr:uid="{303040D4-F232-4724-91D9-DA608EC4E4C0}"/>
    <cellStyle name="Column Heading 2 28 2 4" xfId="18335" xr:uid="{83F880CF-0319-469B-9DC2-B60B8C40BF93}"/>
    <cellStyle name="Column Heading 2 28 2 5" xfId="18336" xr:uid="{395CC86B-C4CA-482F-ADCC-6DDBED278586}"/>
    <cellStyle name="Column Heading 2 28 2 6" xfId="18337" xr:uid="{FDB51176-590F-49DD-8810-448A77981BD8}"/>
    <cellStyle name="Column Heading 2 28 3" xfId="18338" xr:uid="{F053A2CD-136A-4599-8345-FDA0C4D06BCC}"/>
    <cellStyle name="Column Heading 2 28 4" xfId="18339" xr:uid="{8BFDD24A-46FA-41B5-B7C6-D6A26809EF1B}"/>
    <cellStyle name="Column Heading 2 28 5" xfId="18340" xr:uid="{3200D77C-B246-4D60-AFB5-99FAA64A5FD6}"/>
    <cellStyle name="Column Heading 2 28 6" xfId="18341" xr:uid="{9A907C80-E4E9-4A39-8043-CE23F1F1F32F}"/>
    <cellStyle name="Column Heading 2 28 7" xfId="18342" xr:uid="{185FE57A-C7BC-45A5-A752-1BDF4E51DC0D}"/>
    <cellStyle name="Column Heading 2 29" xfId="688" xr:uid="{809993A1-C2FD-4C82-9DC0-91A9D18AB02E}"/>
    <cellStyle name="Column Heading 2 29 2" xfId="12268" xr:uid="{6F855C3C-3D27-4E26-A920-3C39DE13A369}"/>
    <cellStyle name="Column Heading 2 29 2 2" xfId="18343" xr:uid="{A685E603-ED89-4B60-99FB-A23CD264D10A}"/>
    <cellStyle name="Column Heading 2 29 2 3" xfId="18344" xr:uid="{5A664FC6-7BA6-405B-A842-1C698CDB2E93}"/>
    <cellStyle name="Column Heading 2 29 2 4" xfId="18345" xr:uid="{811264B0-58B2-4986-8649-80619930A703}"/>
    <cellStyle name="Column Heading 2 29 2 5" xfId="18346" xr:uid="{90594B5B-FC15-4BDF-BDA6-844E92E7BA53}"/>
    <cellStyle name="Column Heading 2 29 2 6" xfId="18347" xr:uid="{23ED92A4-8854-43C1-BCD4-E188D7013813}"/>
    <cellStyle name="Column Heading 2 29 3" xfId="18348" xr:uid="{B0B2387D-DEBE-46D4-83CC-54577CDBFE42}"/>
    <cellStyle name="Column Heading 2 29 4" xfId="18349" xr:uid="{95BA6272-E8FE-456E-B218-E81BD36A1E2E}"/>
    <cellStyle name="Column Heading 2 29 5" xfId="18350" xr:uid="{69DBAF74-A72F-4E09-8A42-8D11EBCA6179}"/>
    <cellStyle name="Column Heading 2 29 6" xfId="18351" xr:uid="{F8991601-891F-42A9-A3B9-0F8F054B5C07}"/>
    <cellStyle name="Column Heading 2 29 7" xfId="18352" xr:uid="{B7E837BA-08E9-4C93-BBB5-99F342C31793}"/>
    <cellStyle name="Column Heading 2 3" xfId="689" xr:uid="{98338681-BAE0-4A30-B368-AB9181B894AD}"/>
    <cellStyle name="Column Heading 2 3 2" xfId="10025" xr:uid="{441EC2D0-89C8-423E-993D-146D6159E670}"/>
    <cellStyle name="Column Heading 2 3 2 2" xfId="18353" xr:uid="{FFAFD2A3-F70E-4CF6-87D2-B898A7A5016B}"/>
    <cellStyle name="Column Heading 2 3 2 3" xfId="18354" xr:uid="{0E4EEF24-F394-4A3F-B170-BF24A911323A}"/>
    <cellStyle name="Column Heading 2 3 2 4" xfId="18355" xr:uid="{62C7BF59-2F51-4155-A693-0920C1F7CAB7}"/>
    <cellStyle name="Column Heading 2 3 2 5" xfId="18356" xr:uid="{919B80A3-2E94-4F39-A5D7-F25F0BB264A8}"/>
    <cellStyle name="Column Heading 2 3 2 6" xfId="18357" xr:uid="{7E2FAF3E-C6B8-4DD3-A41A-9D82FAA4E379}"/>
    <cellStyle name="Column Heading 2 3 3" xfId="18358" xr:uid="{36FD6F62-04F7-4738-939D-F00C7824B74D}"/>
    <cellStyle name="Column Heading 2 3 4" xfId="18359" xr:uid="{947FBD05-6B5B-4629-A34A-E63C36676E03}"/>
    <cellStyle name="Column Heading 2 3 5" xfId="18360" xr:uid="{3E92DCCA-0945-4323-90C8-B60CA21E66C6}"/>
    <cellStyle name="Column Heading 2 3 6" xfId="18361" xr:uid="{CF88B11C-8AE4-4D24-9AF4-7701F32BDC40}"/>
    <cellStyle name="Column Heading 2 3 7" xfId="18362" xr:uid="{7C34BCA8-722B-4AB1-96EA-F8916508AF7F}"/>
    <cellStyle name="Column Heading 2 30" xfId="690" xr:uid="{6B083FAA-44B1-4796-9388-A407B9742A35}"/>
    <cellStyle name="Column Heading 2 30 2" xfId="12346" xr:uid="{D7F3F7BC-57E3-4701-AFD4-113B5E8CAB32}"/>
    <cellStyle name="Column Heading 2 30 2 2" xfId="18363" xr:uid="{A5854F34-7641-4D8A-AA01-553A8D446BF4}"/>
    <cellStyle name="Column Heading 2 30 2 3" xfId="18364" xr:uid="{8EA3FFEC-ECA3-4313-A02A-9049439EC33B}"/>
    <cellStyle name="Column Heading 2 30 2 4" xfId="18365" xr:uid="{4A01D7CC-11E3-4A44-9E4C-EBCEF58D2C42}"/>
    <cellStyle name="Column Heading 2 30 2 5" xfId="18366" xr:uid="{44E58D04-8537-4248-BD06-C320DA8F84D6}"/>
    <cellStyle name="Column Heading 2 30 2 6" xfId="18367" xr:uid="{69399E6B-983B-481D-B048-2E1D4F9267B5}"/>
    <cellStyle name="Column Heading 2 30 3" xfId="18368" xr:uid="{3C8AFE54-4141-4CF8-8E5F-5F18A6F45EA9}"/>
    <cellStyle name="Column Heading 2 30 4" xfId="18369" xr:uid="{5371B7E9-357C-41E9-BB7C-733CA26C7995}"/>
    <cellStyle name="Column Heading 2 30 5" xfId="18370" xr:uid="{CF4CBF0C-ADDE-42D6-AA67-4BC533B18D8D}"/>
    <cellStyle name="Column Heading 2 30 6" xfId="18371" xr:uid="{2F8528E2-8C6C-48FB-A32A-57066B008A55}"/>
    <cellStyle name="Column Heading 2 30 7" xfId="18372" xr:uid="{D6949C67-64CA-460C-84D4-9233DDA7D458}"/>
    <cellStyle name="Column Heading 2 31" xfId="691" xr:uid="{92E350F6-FF9A-45E3-8AFD-373F16D2EE92}"/>
    <cellStyle name="Column Heading 2 31 2" xfId="12425" xr:uid="{9809A5D5-0498-4DA7-A4D0-5A86E1C9D60E}"/>
    <cellStyle name="Column Heading 2 31 2 2" xfId="18373" xr:uid="{ECD26BF2-0C8B-45FB-A36E-5AFF325591B5}"/>
    <cellStyle name="Column Heading 2 31 2 3" xfId="18374" xr:uid="{CD956983-08EA-422E-AE6A-71D22319C08D}"/>
    <cellStyle name="Column Heading 2 31 2 4" xfId="18375" xr:uid="{557143ED-AAE7-4B3F-BEBF-A301C3CCEC78}"/>
    <cellStyle name="Column Heading 2 31 2 5" xfId="18376" xr:uid="{C7784AE4-67EA-45F2-AD27-7D4DE7628778}"/>
    <cellStyle name="Column Heading 2 31 2 6" xfId="18377" xr:uid="{D42C9B08-A7B1-43C0-A0B4-D57523BDB263}"/>
    <cellStyle name="Column Heading 2 31 3" xfId="18378" xr:uid="{ADAF18E1-B847-4655-8D86-194DBC584B7B}"/>
    <cellStyle name="Column Heading 2 31 4" xfId="18379" xr:uid="{062458B2-7EEF-4BF8-B481-64BB450138B5}"/>
    <cellStyle name="Column Heading 2 31 5" xfId="18380" xr:uid="{BBC818CB-6297-4076-8006-E2D40D9F03AB}"/>
    <cellStyle name="Column Heading 2 31 6" xfId="18381" xr:uid="{9E3AD2DA-4FA7-495D-B8F2-30604155B3C9}"/>
    <cellStyle name="Column Heading 2 31 7" xfId="18382" xr:uid="{40C2A6A1-59FE-4DD1-9C52-C541BA0A93A4}"/>
    <cellStyle name="Column Heading 2 32" xfId="692" xr:uid="{760EEC07-D77A-442B-A97E-1625984F97BB}"/>
    <cellStyle name="Column Heading 2 32 2" xfId="12504" xr:uid="{A86AC18A-BEC2-4323-94F3-2B8749D7CD84}"/>
    <cellStyle name="Column Heading 2 32 2 2" xfId="18383" xr:uid="{00A428E8-C3A2-4DCF-8143-17BBBA5EF6FA}"/>
    <cellStyle name="Column Heading 2 32 2 3" xfId="18384" xr:uid="{457DEE54-2B50-4464-A3BE-55EBF919D31D}"/>
    <cellStyle name="Column Heading 2 32 2 4" xfId="18385" xr:uid="{B0D8A173-D36C-42C9-B1B3-8A1B6D49FBDF}"/>
    <cellStyle name="Column Heading 2 32 2 5" xfId="18386" xr:uid="{F296BB95-2A67-462C-8DB1-A12F1461938B}"/>
    <cellStyle name="Column Heading 2 32 2 6" xfId="18387" xr:uid="{E30865D3-6481-4AC5-B656-AFCAADEE1537}"/>
    <cellStyle name="Column Heading 2 32 3" xfId="18388" xr:uid="{5E05C2FF-CBE1-4C19-99D8-09C455DC32D3}"/>
    <cellStyle name="Column Heading 2 32 4" xfId="18389" xr:uid="{F8A9E7D1-D029-4CAA-8E54-7706171C0309}"/>
    <cellStyle name="Column Heading 2 32 5" xfId="18390" xr:uid="{A1EC0356-41E4-483B-8752-D3D543EBDDCE}"/>
    <cellStyle name="Column Heading 2 32 6" xfId="18391" xr:uid="{0CEF33B7-9B1E-4071-AC6C-880FC67BD2A1}"/>
    <cellStyle name="Column Heading 2 32 7" xfId="18392" xr:uid="{96BABD94-A0FC-47D0-BD05-76852CA402F1}"/>
    <cellStyle name="Column Heading 2 33" xfId="693" xr:uid="{5E6F6876-B6C1-48A4-9A8C-0AB47FCD9511}"/>
    <cellStyle name="Column Heading 2 33 2" xfId="12583" xr:uid="{B6A68A8B-AD5B-4A5E-A1EE-8EE09257FD07}"/>
    <cellStyle name="Column Heading 2 33 2 2" xfId="18393" xr:uid="{B8B91ADA-7DB7-4333-9646-41A03C65AB06}"/>
    <cellStyle name="Column Heading 2 33 2 3" xfId="18394" xr:uid="{ACC1EC6E-5B63-4FF9-A444-22CE1FFE17A4}"/>
    <cellStyle name="Column Heading 2 33 2 4" xfId="18395" xr:uid="{FBFCD8C8-D2AC-434F-BA5A-910C81015A49}"/>
    <cellStyle name="Column Heading 2 33 2 5" xfId="18396" xr:uid="{D56F9517-1A49-4956-B87F-196F27945FDA}"/>
    <cellStyle name="Column Heading 2 33 2 6" xfId="18397" xr:uid="{2A986346-A6A9-4030-97FF-0F9EACB15643}"/>
    <cellStyle name="Column Heading 2 33 3" xfId="18398" xr:uid="{D393AA11-8263-45F2-A7BA-591E4290CE89}"/>
    <cellStyle name="Column Heading 2 33 4" xfId="18399" xr:uid="{44E7BEFC-71AE-4711-B4D9-6DE36812ADBD}"/>
    <cellStyle name="Column Heading 2 33 5" xfId="18400" xr:uid="{0267099E-01EC-4346-964E-150AF7536EEA}"/>
    <cellStyle name="Column Heading 2 33 6" xfId="18401" xr:uid="{B433FC57-D2D1-4DAA-BD22-264322EE81B3}"/>
    <cellStyle name="Column Heading 2 33 7" xfId="18402" xr:uid="{709325D9-6959-4ED4-883B-54231B5A7E53}"/>
    <cellStyle name="Column Heading 2 34" xfId="694" xr:uid="{AD94888A-0D45-46D0-92BD-2BD8D1B1FA79}"/>
    <cellStyle name="Column Heading 2 34 2" xfId="12662" xr:uid="{81ADD7F7-3F3F-48D9-BC40-67F031615EED}"/>
    <cellStyle name="Column Heading 2 34 2 2" xfId="18403" xr:uid="{C571A876-2754-4E7D-B011-74555C66EC6D}"/>
    <cellStyle name="Column Heading 2 34 2 3" xfId="18404" xr:uid="{0B02DB0A-8CD3-4181-9754-E50841795C98}"/>
    <cellStyle name="Column Heading 2 34 2 4" xfId="18405" xr:uid="{E05524DB-A9C3-4D8E-83E1-918D0CEE8944}"/>
    <cellStyle name="Column Heading 2 34 2 5" xfId="18406" xr:uid="{C21A83B5-0C1C-4BBA-9694-67551062CF51}"/>
    <cellStyle name="Column Heading 2 34 2 6" xfId="18407" xr:uid="{5B4B9DE3-6CBD-43E7-9F46-935645706894}"/>
    <cellStyle name="Column Heading 2 34 3" xfId="18408" xr:uid="{1C39B365-D3A8-4EFA-BC49-145143022470}"/>
    <cellStyle name="Column Heading 2 34 4" xfId="18409" xr:uid="{5C3FADBF-74B6-461D-B072-279E6B1AAC12}"/>
    <cellStyle name="Column Heading 2 34 5" xfId="18410" xr:uid="{22E0EBD4-9905-4ECA-8C58-356597D2A091}"/>
    <cellStyle name="Column Heading 2 34 6" xfId="18411" xr:uid="{31C8C982-4E74-459A-9F89-FCB2CED217CC}"/>
    <cellStyle name="Column Heading 2 34 7" xfId="18412" xr:uid="{75EA0E2D-1DC1-400B-9032-D2E410E3C5F6}"/>
    <cellStyle name="Column Heading 2 35" xfId="695" xr:uid="{65DEBA63-CF85-4576-B9F4-4D70F73512E8}"/>
    <cellStyle name="Column Heading 2 35 2" xfId="12746" xr:uid="{23BB5949-9503-410F-AB3F-FB70433E3238}"/>
    <cellStyle name="Column Heading 2 35 2 2" xfId="18413" xr:uid="{146E69C5-7E8E-450D-99A5-E81915420E09}"/>
    <cellStyle name="Column Heading 2 35 2 3" xfId="18414" xr:uid="{33160942-E696-44C2-BFAC-93A7525CCAC3}"/>
    <cellStyle name="Column Heading 2 35 2 4" xfId="18415" xr:uid="{0DFDD72E-A9EC-4AD5-845B-C7538936A055}"/>
    <cellStyle name="Column Heading 2 35 2 5" xfId="18416" xr:uid="{06BA112E-2268-4C83-8BD5-F16284663C1B}"/>
    <cellStyle name="Column Heading 2 35 2 6" xfId="18417" xr:uid="{3F70A3DD-F11F-4769-82DE-60348861642E}"/>
    <cellStyle name="Column Heading 2 35 3" xfId="18418" xr:uid="{B8849433-3BD4-4D51-8D32-AA0ABF5A2973}"/>
    <cellStyle name="Column Heading 2 35 4" xfId="18419" xr:uid="{73117D9E-5CFB-4AE2-A5A8-F4A7A7537399}"/>
    <cellStyle name="Column Heading 2 35 5" xfId="18420" xr:uid="{BF7585AC-15AE-4695-AB72-D1F96ED080B6}"/>
    <cellStyle name="Column Heading 2 35 6" xfId="18421" xr:uid="{006DF046-DBC7-4358-A227-E6AC20642B13}"/>
    <cellStyle name="Column Heading 2 36" xfId="9812" xr:uid="{FF3CD30B-44F1-4606-934D-9A45F94C3F37}"/>
    <cellStyle name="Column Heading 2 36 2" xfId="18422" xr:uid="{887433A9-3204-44F7-A677-61BA5BEEB2B4}"/>
    <cellStyle name="Column Heading 2 36 3" xfId="18423" xr:uid="{C365A15E-43C8-45FA-BC6E-58CA4C8678CC}"/>
    <cellStyle name="Column Heading 2 36 4" xfId="18424" xr:uid="{410FACC1-AFAE-467D-8731-C3C1691EC5B4}"/>
    <cellStyle name="Column Heading 2 36 5" xfId="18425" xr:uid="{4CA69D80-A817-41DA-A1AF-23E245EDC293}"/>
    <cellStyle name="Column Heading 2 36 6" xfId="18426" xr:uid="{DB3CA607-207F-46B6-9B13-ED467CE94C7D}"/>
    <cellStyle name="Column Heading 2 37" xfId="18427" xr:uid="{B59257E8-B73A-48A1-96BD-BC99074B5411}"/>
    <cellStyle name="Column Heading 2 38" xfId="18428" xr:uid="{442AF603-05F0-4C3B-BF67-E0C4126B60D2}"/>
    <cellStyle name="Column Heading 2 39" xfId="18429" xr:uid="{EAB88E3A-1361-42B5-950E-AB6060E8DD93}"/>
    <cellStyle name="Column Heading 2 4" xfId="696" xr:uid="{68456A31-4496-497F-90BE-17452CC0DCE8}"/>
    <cellStyle name="Column Heading 2 4 2" xfId="10116" xr:uid="{0FE9DB50-9CE1-4105-ACD9-C4DEFA342A30}"/>
    <cellStyle name="Column Heading 2 4 2 2" xfId="18430" xr:uid="{110FA9BE-901D-4012-8B47-D2AF0E8E52CC}"/>
    <cellStyle name="Column Heading 2 4 2 3" xfId="18431" xr:uid="{95189183-A58F-4FE6-9C5D-BA81CEE7BDDA}"/>
    <cellStyle name="Column Heading 2 4 2 4" xfId="18432" xr:uid="{2A21EEA0-DA17-43FE-9E50-453238B23FB4}"/>
    <cellStyle name="Column Heading 2 4 2 5" xfId="18433" xr:uid="{EAFBE67D-8CB6-4DE9-997C-62F4C2465162}"/>
    <cellStyle name="Column Heading 2 4 2 6" xfId="18434" xr:uid="{943E1F7E-D104-4609-B251-B8898413B1E4}"/>
    <cellStyle name="Column Heading 2 4 3" xfId="18435" xr:uid="{92ED1638-FA89-43D9-9C3C-9DDFE4CBCEAE}"/>
    <cellStyle name="Column Heading 2 4 4" xfId="18436" xr:uid="{703F1EA5-6FF3-41FA-BA51-C27646E75C55}"/>
    <cellStyle name="Column Heading 2 4 5" xfId="18437" xr:uid="{58B1A07A-F178-4CC7-A258-06E9C9F3137F}"/>
    <cellStyle name="Column Heading 2 4 6" xfId="18438" xr:uid="{3CB465BF-704F-4BEA-ABB1-0C9B0F51055D}"/>
    <cellStyle name="Column Heading 2 4 7" xfId="18439" xr:uid="{EE765CA7-8A02-4164-8D49-A7EDC830B8B3}"/>
    <cellStyle name="Column Heading 2 5" xfId="697" xr:uid="{9526E465-EEAD-48D8-8D88-D5218696B6DA}"/>
    <cellStyle name="Column Heading 2 5 2" xfId="10206" xr:uid="{8392A05E-FAD0-4EE5-8B97-254C02550C97}"/>
    <cellStyle name="Column Heading 2 5 2 2" xfId="18440" xr:uid="{B7581889-4165-4BE5-A55C-05322E956101}"/>
    <cellStyle name="Column Heading 2 5 2 3" xfId="18441" xr:uid="{633F4DF6-03E9-49A1-83C0-995A1169BE63}"/>
    <cellStyle name="Column Heading 2 5 2 4" xfId="18442" xr:uid="{05E0A152-0C77-41A7-A37B-0208D881496E}"/>
    <cellStyle name="Column Heading 2 5 2 5" xfId="18443" xr:uid="{290829BB-5CB0-4204-AEB7-64E0F9FCE0DF}"/>
    <cellStyle name="Column Heading 2 5 2 6" xfId="18444" xr:uid="{49C52EFA-DE3F-4D34-A846-45BFB2E4537E}"/>
    <cellStyle name="Column Heading 2 5 3" xfId="18445" xr:uid="{A2E79BEC-36D0-452C-A37C-6A1B0ACFC876}"/>
    <cellStyle name="Column Heading 2 5 4" xfId="18446" xr:uid="{1B5C146E-9D47-4601-9F55-D64685B90735}"/>
    <cellStyle name="Column Heading 2 5 5" xfId="18447" xr:uid="{CA8B89EF-5308-4EFF-B148-18F0691F8130}"/>
    <cellStyle name="Column Heading 2 5 6" xfId="18448" xr:uid="{3A1325C6-432E-45F2-9283-003584D47F91}"/>
    <cellStyle name="Column Heading 2 5 7" xfId="18449" xr:uid="{61A61AA4-3907-4FD9-B7A6-8DFB0E56E7FC}"/>
    <cellStyle name="Column Heading 2 6" xfId="698" xr:uid="{199ACD09-EBD1-4697-8781-121FD798EC97}"/>
    <cellStyle name="Column Heading 2 6 2" xfId="10292" xr:uid="{1F73A97A-8141-420D-BC54-8C4A0C560C70}"/>
    <cellStyle name="Column Heading 2 6 2 2" xfId="18450" xr:uid="{F9A74A7F-656D-4ECA-9903-510868D2022E}"/>
    <cellStyle name="Column Heading 2 6 2 3" xfId="18451" xr:uid="{3DC31EC7-CCD3-4C97-8C1A-79B2818ED8BD}"/>
    <cellStyle name="Column Heading 2 6 2 4" xfId="18452" xr:uid="{BB1DAB73-3280-4700-9CE0-FC0353907305}"/>
    <cellStyle name="Column Heading 2 6 2 5" xfId="18453" xr:uid="{AB02B825-6FE1-48C1-BC46-004FABE5F9E8}"/>
    <cellStyle name="Column Heading 2 6 2 6" xfId="18454" xr:uid="{D097A8F2-3231-4883-B692-02CD8E7FFF29}"/>
    <cellStyle name="Column Heading 2 6 3" xfId="18455" xr:uid="{4FCFDC50-8305-49BB-B87C-712EABEE2CA6}"/>
    <cellStyle name="Column Heading 2 6 4" xfId="18456" xr:uid="{79F4CB9B-F382-4E62-9BA2-E170E2DD517A}"/>
    <cellStyle name="Column Heading 2 6 5" xfId="18457" xr:uid="{3AF312FD-31B2-4A8B-B231-1880F94B6E61}"/>
    <cellStyle name="Column Heading 2 6 6" xfId="18458" xr:uid="{C5450A69-F718-4F70-BBBB-674A1F2E204D}"/>
    <cellStyle name="Column Heading 2 6 7" xfId="18459" xr:uid="{6F04EB40-EF54-42EB-B035-E41C8F62E1F4}"/>
    <cellStyle name="Column Heading 2 7" xfId="699" xr:uid="{C3E2D4F6-02C2-44DA-9A16-C605055A39EE}"/>
    <cellStyle name="Column Heading 2 7 2" xfId="10380" xr:uid="{BD68FC97-D1D1-4E9A-AF01-6810D50FB37E}"/>
    <cellStyle name="Column Heading 2 7 2 2" xfId="18460" xr:uid="{9A8BB43F-8211-4A46-B09B-961B87DD6F07}"/>
    <cellStyle name="Column Heading 2 7 2 3" xfId="18461" xr:uid="{014B5AB1-E148-424E-A775-7E8CD70C1104}"/>
    <cellStyle name="Column Heading 2 7 2 4" xfId="18462" xr:uid="{2BC58A87-FFA1-4E92-800D-411BAB2D1E44}"/>
    <cellStyle name="Column Heading 2 7 2 5" xfId="18463" xr:uid="{5BBB0A03-ADB5-4449-9C1D-AD2D0DA40580}"/>
    <cellStyle name="Column Heading 2 7 2 6" xfId="18464" xr:uid="{4A374987-5010-4225-A981-CF2154B2D004}"/>
    <cellStyle name="Column Heading 2 7 3" xfId="18465" xr:uid="{3A7DC76F-A3C8-4562-9CEF-A29811B5F0C5}"/>
    <cellStyle name="Column Heading 2 7 4" xfId="18466" xr:uid="{2C0CE7B6-B51D-4460-A535-BF3A725E6C22}"/>
    <cellStyle name="Column Heading 2 7 5" xfId="18467" xr:uid="{F670B6DA-02A0-4E9F-9733-5026B8EC001A}"/>
    <cellStyle name="Column Heading 2 7 6" xfId="18468" xr:uid="{3586CB58-9DCC-4748-A495-2E4BBF5C5DD6}"/>
    <cellStyle name="Column Heading 2 7 7" xfId="18469" xr:uid="{DC87261A-26E6-49B4-BEA9-43674A791A0C}"/>
    <cellStyle name="Column Heading 2 8" xfId="700" xr:uid="{93FE3055-2B88-4036-A7E1-F9FED537B7AA}"/>
    <cellStyle name="Column Heading 2 8 2" xfId="10467" xr:uid="{71E3343A-0520-4130-9616-ED2E00897BC2}"/>
    <cellStyle name="Column Heading 2 8 2 2" xfId="18470" xr:uid="{BD82154E-81AE-4F81-8ADE-4332584944D1}"/>
    <cellStyle name="Column Heading 2 8 2 3" xfId="18471" xr:uid="{F1588AFF-6087-4BAC-BC12-16D3EED9D9BA}"/>
    <cellStyle name="Column Heading 2 8 2 4" xfId="18472" xr:uid="{3D316A38-04DB-4A8F-B91F-1B1E95DFC0B6}"/>
    <cellStyle name="Column Heading 2 8 2 5" xfId="18473" xr:uid="{AF1E3A14-0563-40BF-93C7-4C76FA1FC712}"/>
    <cellStyle name="Column Heading 2 8 2 6" xfId="18474" xr:uid="{5AD45D53-E7C5-47C2-BE6C-6CB69906B832}"/>
    <cellStyle name="Column Heading 2 8 3" xfId="18475" xr:uid="{5E96EB78-70B4-46AE-9388-1949C0A9E6B0}"/>
    <cellStyle name="Column Heading 2 8 4" xfId="18476" xr:uid="{75744346-69AE-4790-A9D6-9B179EF14C2B}"/>
    <cellStyle name="Column Heading 2 8 5" xfId="18477" xr:uid="{8BCAEB65-65E2-49F8-B7B8-D29022F4F0AC}"/>
    <cellStyle name="Column Heading 2 8 6" xfId="18478" xr:uid="{F126AC55-94CF-44E4-9DB7-6F32A52936F3}"/>
    <cellStyle name="Column Heading 2 8 7" xfId="18479" xr:uid="{1AD28E43-4716-40F1-A507-7964CE51C4CC}"/>
    <cellStyle name="Column Heading 2 9" xfId="701" xr:uid="{FA0B44F0-6869-4318-86A0-B6A3511D5370}"/>
    <cellStyle name="Column Heading 2 9 2" xfId="10555" xr:uid="{EE3043F6-EE71-43F3-A4B9-4A18AEBA186C}"/>
    <cellStyle name="Column Heading 2 9 2 2" xfId="18480" xr:uid="{5518D7E8-0FE8-445B-BF4A-33742C1AFDC5}"/>
    <cellStyle name="Column Heading 2 9 2 3" xfId="18481" xr:uid="{F971720D-FCF3-4CAC-A249-09721C32EFD1}"/>
    <cellStyle name="Column Heading 2 9 2 4" xfId="18482" xr:uid="{F78836D8-F7AC-42E5-8111-1A41678B56E8}"/>
    <cellStyle name="Column Heading 2 9 2 5" xfId="18483" xr:uid="{511C7F42-A9B9-4430-AF5A-37FB076822EC}"/>
    <cellStyle name="Column Heading 2 9 2 6" xfId="18484" xr:uid="{C244A369-B367-45B5-BDBF-936E28366353}"/>
    <cellStyle name="Column Heading 2 9 3" xfId="18485" xr:uid="{1444101C-0276-4938-AA5E-2776E8C2BAFD}"/>
    <cellStyle name="Column Heading 2 9 4" xfId="18486" xr:uid="{39F0B30C-773E-4CA2-B1FC-22EF420888B9}"/>
    <cellStyle name="Column Heading 2 9 5" xfId="18487" xr:uid="{24E5B4BB-3387-4B25-8876-05FDB4CE07E6}"/>
    <cellStyle name="Column Heading 2 9 6" xfId="18488" xr:uid="{71CC81FA-118C-44B5-B2D7-E52F3EBBB68A}"/>
    <cellStyle name="Column Heading 2 9 7" xfId="18489" xr:uid="{FB530463-A0CE-4594-952A-21D773206E07}"/>
    <cellStyle name="Column Heading 3" xfId="702" xr:uid="{E48844A6-4238-4075-AF89-557AAF9F3CF7}"/>
    <cellStyle name="Column Heading 3 10" xfId="703" xr:uid="{F7FE0445-E290-4528-BF4C-489762761E32}"/>
    <cellStyle name="Column Heading 3 10 2" xfId="10621" xr:uid="{21C9C3A5-86CC-4679-90D3-DB5A810B8542}"/>
    <cellStyle name="Column Heading 3 10 2 2" xfId="18490" xr:uid="{369EBB5E-F73F-43D5-B709-FCCC6ACCF679}"/>
    <cellStyle name="Column Heading 3 10 2 3" xfId="18491" xr:uid="{F95C7D49-1D3F-4494-BEF8-60D8C348A19E}"/>
    <cellStyle name="Column Heading 3 10 2 4" xfId="18492" xr:uid="{ADF46DD4-52F3-4FCE-B1E4-49C8C50DD0DD}"/>
    <cellStyle name="Column Heading 3 10 2 5" xfId="18493" xr:uid="{2EE74E1D-005B-4788-B64C-A8E8989FE71B}"/>
    <cellStyle name="Column Heading 3 10 2 6" xfId="18494" xr:uid="{A082CAD4-9CC8-46CF-BCDF-1E6476904E7F}"/>
    <cellStyle name="Column Heading 3 10 3" xfId="18495" xr:uid="{518848BB-3560-4300-BEC1-97A343B6BD82}"/>
    <cellStyle name="Column Heading 3 10 4" xfId="18496" xr:uid="{F8B5CEBA-452A-4CE3-8A08-913443A3BA9A}"/>
    <cellStyle name="Column Heading 3 10 5" xfId="18497" xr:uid="{DDADEA8A-C83C-448D-B1BF-7B87B34A5862}"/>
    <cellStyle name="Column Heading 3 10 6" xfId="18498" xr:uid="{0325B931-CA7E-43D8-B8A7-38B025B195AD}"/>
    <cellStyle name="Column Heading 3 10 7" xfId="18499" xr:uid="{82CC85F8-858D-4657-A48E-5497FDA6EDF4}"/>
    <cellStyle name="Column Heading 3 11" xfId="704" xr:uid="{F5A5A43C-A7C3-47E2-94CF-3F9BF9372D32}"/>
    <cellStyle name="Column Heading 3 11 2" xfId="10712" xr:uid="{8A02F4D8-36BA-4183-8F52-976FD0DB6766}"/>
    <cellStyle name="Column Heading 3 11 2 2" xfId="18500" xr:uid="{26B1DA29-7007-4FC3-B668-E223322472C0}"/>
    <cellStyle name="Column Heading 3 11 2 3" xfId="18501" xr:uid="{C15040FE-8926-45A1-B593-D83EC3D55939}"/>
    <cellStyle name="Column Heading 3 11 2 4" xfId="18502" xr:uid="{CD55EB87-5A97-48EC-B7F0-43E807B7F540}"/>
    <cellStyle name="Column Heading 3 11 2 5" xfId="18503" xr:uid="{D8166A91-FE25-4B89-A02D-61A122591875}"/>
    <cellStyle name="Column Heading 3 11 2 6" xfId="18504" xr:uid="{6F5F669F-785B-4E05-B511-7ABF02A23DDB}"/>
    <cellStyle name="Column Heading 3 11 3" xfId="18505" xr:uid="{00E3C4E4-0298-4156-A521-2D2BA7BA4021}"/>
    <cellStyle name="Column Heading 3 11 4" xfId="18506" xr:uid="{29B39478-2497-4E26-ADAC-7B4E9F918C78}"/>
    <cellStyle name="Column Heading 3 11 5" xfId="18507" xr:uid="{5A4EB6B9-0053-457E-9677-9A3D90CDE72E}"/>
    <cellStyle name="Column Heading 3 11 6" xfId="18508" xr:uid="{AFEC5B0F-94FE-4997-A4F6-8709C9D14D48}"/>
    <cellStyle name="Column Heading 3 11 7" xfId="18509" xr:uid="{CC348C6B-E38C-4957-99DB-84EEB20DC520}"/>
    <cellStyle name="Column Heading 3 12" xfId="705" xr:uid="{7B11473B-86FC-4F77-89FD-9730A2DCF526}"/>
    <cellStyle name="Column Heading 3 12 2" xfId="10800" xr:uid="{1BC58AD6-E27E-46EB-80AB-F7C0878486F1}"/>
    <cellStyle name="Column Heading 3 12 2 2" xfId="18510" xr:uid="{F2BB6B3A-A89F-4A88-A2D6-EDCEED77129D}"/>
    <cellStyle name="Column Heading 3 12 2 3" xfId="18511" xr:uid="{273C02AF-737C-4CE5-B9BD-71DEC95A08F5}"/>
    <cellStyle name="Column Heading 3 12 2 4" xfId="18512" xr:uid="{AD9E3F6E-8001-4B92-A1CE-736F890CF6A4}"/>
    <cellStyle name="Column Heading 3 12 2 5" xfId="18513" xr:uid="{F1B16552-BE90-43F0-A1B1-8E89CE5E271C}"/>
    <cellStyle name="Column Heading 3 12 2 6" xfId="18514" xr:uid="{D7547B4B-BAD7-402E-BC37-9F20DCE1CEF3}"/>
    <cellStyle name="Column Heading 3 12 3" xfId="18515" xr:uid="{B16F4258-0BDB-4B98-917C-AD467C5B8C68}"/>
    <cellStyle name="Column Heading 3 12 4" xfId="18516" xr:uid="{2119E4BB-66EC-4455-9C69-04859E757292}"/>
    <cellStyle name="Column Heading 3 12 5" xfId="18517" xr:uid="{FE895EAA-E3EE-4D10-96DA-1130B2FDD15C}"/>
    <cellStyle name="Column Heading 3 12 6" xfId="18518" xr:uid="{0761F0C2-9EE6-4E7F-A0A1-AE73D0647D66}"/>
    <cellStyle name="Column Heading 3 12 7" xfId="18519" xr:uid="{D53F2F0A-67F0-4ED8-81E2-B8C0B6B0BE7D}"/>
    <cellStyle name="Column Heading 3 13" xfId="706" xr:uid="{3CC3393B-0D2C-4264-83D8-B7ABDBE6E9F7}"/>
    <cellStyle name="Column Heading 3 13 2" xfId="10889" xr:uid="{3687126A-78EF-491D-9223-6DAF42C8F973}"/>
    <cellStyle name="Column Heading 3 13 2 2" xfId="18520" xr:uid="{0F4F85F2-2991-46BF-AC01-C4192F070C83}"/>
    <cellStyle name="Column Heading 3 13 2 3" xfId="18521" xr:uid="{7D116489-4EC4-417E-9DF8-1BE16EE89EB8}"/>
    <cellStyle name="Column Heading 3 13 2 4" xfId="18522" xr:uid="{DB3D0194-9290-47DE-BC35-850AB661BA08}"/>
    <cellStyle name="Column Heading 3 13 2 5" xfId="18523" xr:uid="{BCFC91D3-9AA3-457B-BD40-139D0A9F88C6}"/>
    <cellStyle name="Column Heading 3 13 2 6" xfId="18524" xr:uid="{6C7A80E8-BAD4-44CC-A892-D247B83D9036}"/>
    <cellStyle name="Column Heading 3 13 3" xfId="18525" xr:uid="{0359758D-EC6F-4EA2-86D7-00E9FF3FB5B7}"/>
    <cellStyle name="Column Heading 3 13 4" xfId="18526" xr:uid="{8591A820-F434-42BD-A5E8-DF973F8800B5}"/>
    <cellStyle name="Column Heading 3 13 5" xfId="18527" xr:uid="{C5302314-E3AF-406C-A67F-9514A1CA7AC7}"/>
    <cellStyle name="Column Heading 3 13 6" xfId="18528" xr:uid="{6312FCCF-4422-43E5-A628-41EAF1C58128}"/>
    <cellStyle name="Column Heading 3 13 7" xfId="18529" xr:uid="{71B0A173-F71C-4EF8-B40E-667164E11E14}"/>
    <cellStyle name="Column Heading 3 14" xfId="707" xr:uid="{944873A7-09FB-428F-960D-BA52BF71C1DC}"/>
    <cellStyle name="Column Heading 3 14 2" xfId="10979" xr:uid="{0D7C2C19-B8F8-4822-B298-A16889026ADD}"/>
    <cellStyle name="Column Heading 3 14 2 2" xfId="18530" xr:uid="{1257F41E-ED45-4BE3-89D0-08EF26262980}"/>
    <cellStyle name="Column Heading 3 14 2 3" xfId="18531" xr:uid="{DC11B796-90E1-48F5-A3F7-E0A6E390DE47}"/>
    <cellStyle name="Column Heading 3 14 2 4" xfId="18532" xr:uid="{C18735E2-D218-4BC4-B973-CAFD09B27BDA}"/>
    <cellStyle name="Column Heading 3 14 2 5" xfId="18533" xr:uid="{05456B78-16BD-4CEA-9448-B5B44DF2D037}"/>
    <cellStyle name="Column Heading 3 14 2 6" xfId="18534" xr:uid="{FCD4D3E8-06CB-45BC-AF6C-CEB1F5E26913}"/>
    <cellStyle name="Column Heading 3 14 3" xfId="18535" xr:uid="{A253F05F-A53E-4C67-A22C-7797783D0786}"/>
    <cellStyle name="Column Heading 3 14 4" xfId="18536" xr:uid="{2738DC60-3F84-455B-997A-4EB74B344DA7}"/>
    <cellStyle name="Column Heading 3 14 5" xfId="18537" xr:uid="{BE7A5EC1-02BA-4CAB-BF0F-28DAC9E5CD2D}"/>
    <cellStyle name="Column Heading 3 14 6" xfId="18538" xr:uid="{DD6EC7A3-D3D0-4770-99B0-DC6D5A8BEC91}"/>
    <cellStyle name="Column Heading 3 14 7" xfId="18539" xr:uid="{014EEF85-16AE-44F3-81AF-7A301E7D1CEA}"/>
    <cellStyle name="Column Heading 3 15" xfId="708" xr:uid="{478EC24B-BF0D-4285-A9E8-A7564CD06E93}"/>
    <cellStyle name="Column Heading 3 15 2" xfId="11070" xr:uid="{6CEC73D4-0455-43A5-96C3-D15BE4C0D348}"/>
    <cellStyle name="Column Heading 3 15 2 2" xfId="18540" xr:uid="{18A08C89-B306-472A-9C7A-90C03E005C6E}"/>
    <cellStyle name="Column Heading 3 15 2 3" xfId="18541" xr:uid="{D18B6A53-32A8-4C35-ABC5-5B6BEE7FFD9C}"/>
    <cellStyle name="Column Heading 3 15 2 4" xfId="18542" xr:uid="{9D8CCC50-DB47-4A77-B2F6-A81119C255F7}"/>
    <cellStyle name="Column Heading 3 15 2 5" xfId="18543" xr:uid="{139DA380-74F4-432A-8173-C801E71CED0D}"/>
    <cellStyle name="Column Heading 3 15 2 6" xfId="18544" xr:uid="{234BB889-F578-40F9-B17E-A29AB56CA5A2}"/>
    <cellStyle name="Column Heading 3 15 3" xfId="18545" xr:uid="{432FE02B-BFC1-4834-B63E-1BC43F93BF74}"/>
    <cellStyle name="Column Heading 3 15 4" xfId="18546" xr:uid="{41F78B12-B1D2-4D67-A71D-0E56047DB6AE}"/>
    <cellStyle name="Column Heading 3 15 5" xfId="18547" xr:uid="{72104DAA-54CD-4109-8F87-02EA4FD3064A}"/>
    <cellStyle name="Column Heading 3 15 6" xfId="18548" xr:uid="{DA46F01F-6288-4F7E-814F-0E83386F82D6}"/>
    <cellStyle name="Column Heading 3 15 7" xfId="18549" xr:uid="{3901AD3D-1D88-45B8-AC84-B6836294A3F3}"/>
    <cellStyle name="Column Heading 3 16" xfId="709" xr:uid="{ADBC1AFC-D705-441C-89A3-0DB2A3E716DC}"/>
    <cellStyle name="Column Heading 3 16 2" xfId="11153" xr:uid="{CB66F947-6163-40CD-A202-8CCD4E05913D}"/>
    <cellStyle name="Column Heading 3 16 2 2" xfId="18550" xr:uid="{135EA7F8-270F-4F62-A12B-89CC63FB21F0}"/>
    <cellStyle name="Column Heading 3 16 2 3" xfId="18551" xr:uid="{00F566D4-B2CF-481B-A2DC-5A539F87FACB}"/>
    <cellStyle name="Column Heading 3 16 2 4" xfId="18552" xr:uid="{9DFA54B8-54D9-45D6-8050-57FA9CCA58C7}"/>
    <cellStyle name="Column Heading 3 16 2 5" xfId="18553" xr:uid="{8D74B63B-8FF8-4354-B94D-B5A290868C3A}"/>
    <cellStyle name="Column Heading 3 16 2 6" xfId="18554" xr:uid="{7B28BCE9-4F14-4477-AA4B-57942149F310}"/>
    <cellStyle name="Column Heading 3 16 3" xfId="18555" xr:uid="{0E4BA0CF-3101-4367-8404-5CBC0493BEC7}"/>
    <cellStyle name="Column Heading 3 16 4" xfId="18556" xr:uid="{9DA2CF61-74B2-4E92-AF0A-CC18FB9F7F01}"/>
    <cellStyle name="Column Heading 3 16 5" xfId="18557" xr:uid="{CF50590E-507E-4949-A6D7-7BE9982C42B6}"/>
    <cellStyle name="Column Heading 3 16 6" xfId="18558" xr:uid="{3794F366-8870-49D4-B5C9-231FE409705C}"/>
    <cellStyle name="Column Heading 3 16 7" xfId="18559" xr:uid="{792FE75A-4861-4513-A2AA-CE83E052854F}"/>
    <cellStyle name="Column Heading 3 17" xfId="710" xr:uid="{4D0A2F8F-A355-4E75-9CDE-05C36E9F9B2D}"/>
    <cellStyle name="Column Heading 3 17 2" xfId="11243" xr:uid="{8D71AB4D-2743-430D-BBD0-FE7993E84DC4}"/>
    <cellStyle name="Column Heading 3 17 2 2" xfId="18560" xr:uid="{0A89F3CF-1BA4-4248-91E6-E2D283313875}"/>
    <cellStyle name="Column Heading 3 17 2 3" xfId="18561" xr:uid="{AB3C9449-CB75-431B-9FA2-B42C797FDD87}"/>
    <cellStyle name="Column Heading 3 17 2 4" xfId="18562" xr:uid="{909005EE-4C69-4BC1-A197-F0499CCB9714}"/>
    <cellStyle name="Column Heading 3 17 2 5" xfId="18563" xr:uid="{8597D8CB-4BC5-44B5-95B8-53B49D02D8A8}"/>
    <cellStyle name="Column Heading 3 17 2 6" xfId="18564" xr:uid="{984D9A89-6A92-49FD-BD1C-5A341E919E38}"/>
    <cellStyle name="Column Heading 3 17 3" xfId="18565" xr:uid="{9C043970-E355-4EDA-969B-A5EF68B4E43B}"/>
    <cellStyle name="Column Heading 3 17 4" xfId="18566" xr:uid="{8E7BB526-008E-4AFC-96D9-5505B02D5E66}"/>
    <cellStyle name="Column Heading 3 17 5" xfId="18567" xr:uid="{09775C46-7376-4EE8-9032-8FB3612AE3AF}"/>
    <cellStyle name="Column Heading 3 17 6" xfId="18568" xr:uid="{E5739BB5-CA05-4428-9D70-79CD137D845B}"/>
    <cellStyle name="Column Heading 3 17 7" xfId="18569" xr:uid="{703D98DB-334D-404B-9442-107E47CB2331}"/>
    <cellStyle name="Column Heading 3 18" xfId="711" xr:uid="{2A1420F2-155E-4404-AB7D-1576A0E1988B}"/>
    <cellStyle name="Column Heading 3 18 2" xfId="11329" xr:uid="{AE01999A-9DA6-439F-AC97-A4B0D99577DC}"/>
    <cellStyle name="Column Heading 3 18 2 2" xfId="18570" xr:uid="{D9095592-016E-4594-9181-1295DEDA6785}"/>
    <cellStyle name="Column Heading 3 18 2 3" xfId="18571" xr:uid="{6A8DA248-AE5C-47D4-9782-2592DB6FE5C6}"/>
    <cellStyle name="Column Heading 3 18 2 4" xfId="18572" xr:uid="{94996214-ACC0-4A6F-BA25-B3939CEB0686}"/>
    <cellStyle name="Column Heading 3 18 2 5" xfId="18573" xr:uid="{9CCC6224-D71A-4036-9058-F9C0F6303E5F}"/>
    <cellStyle name="Column Heading 3 18 2 6" xfId="18574" xr:uid="{91472BB8-446D-4E6E-91A4-9E246DB10F13}"/>
    <cellStyle name="Column Heading 3 18 3" xfId="18575" xr:uid="{9626226D-5E8D-40C4-B5F0-FE296CBCABFE}"/>
    <cellStyle name="Column Heading 3 18 4" xfId="18576" xr:uid="{77B31D4D-7A8D-4844-9B31-A99CE773E43E}"/>
    <cellStyle name="Column Heading 3 18 5" xfId="18577" xr:uid="{68240663-1BB6-4E28-8624-69BB47851CBE}"/>
    <cellStyle name="Column Heading 3 18 6" xfId="18578" xr:uid="{7177876D-4B83-4D61-BE9E-3D4F48442499}"/>
    <cellStyle name="Column Heading 3 18 7" xfId="18579" xr:uid="{94366523-9294-45CC-A6DA-95EE7BC19C6C}"/>
    <cellStyle name="Column Heading 3 19" xfId="712" xr:uid="{4C1E9069-8AA7-405E-9A4E-18DA0DD5B719}"/>
    <cellStyle name="Column Heading 3 19 2" xfId="11415" xr:uid="{2E2B97D1-794A-4E1F-A997-3C98A6991B77}"/>
    <cellStyle name="Column Heading 3 19 2 2" xfId="18580" xr:uid="{B24AE2BB-9271-49C0-B735-21019C44143E}"/>
    <cellStyle name="Column Heading 3 19 2 3" xfId="18581" xr:uid="{138E0985-A73A-4AE4-9061-C4D5BBD4E0A8}"/>
    <cellStyle name="Column Heading 3 19 2 4" xfId="18582" xr:uid="{3AA103F8-1260-470F-B29D-5F3275EA9543}"/>
    <cellStyle name="Column Heading 3 19 2 5" xfId="18583" xr:uid="{23C92B66-8611-4C97-BE84-3746BC0A1EDA}"/>
    <cellStyle name="Column Heading 3 19 2 6" xfId="18584" xr:uid="{7FEAD4DD-4632-45DF-9FA7-7E398FC40D70}"/>
    <cellStyle name="Column Heading 3 19 3" xfId="18585" xr:uid="{1D7864A8-25F2-44EE-B645-109719811708}"/>
    <cellStyle name="Column Heading 3 19 4" xfId="18586" xr:uid="{EFEC2AE3-3202-4E8F-AA81-AC9FFDB8900F}"/>
    <cellStyle name="Column Heading 3 19 5" xfId="18587" xr:uid="{5E32C462-A35D-4809-8D56-84B7A7CD2C0E}"/>
    <cellStyle name="Column Heading 3 19 6" xfId="18588" xr:uid="{5BC7CCC2-8951-4FD3-9413-B1DAF128EA1A}"/>
    <cellStyle name="Column Heading 3 19 7" xfId="18589" xr:uid="{FFB41EB3-9A81-4888-8835-C12B20C81D66}"/>
    <cellStyle name="Column Heading 3 2" xfId="713" xr:uid="{99CAE3FE-BD38-4CB4-A0FC-BC127CB6FDDD}"/>
    <cellStyle name="Column Heading 3 2 10" xfId="714" xr:uid="{6B3320A0-35C9-44B6-BD35-BD5DFFEF3C98}"/>
    <cellStyle name="Column Heading 3 2 10 2" xfId="10746" xr:uid="{C039963A-0D5F-4D66-BF2D-13C24BB0BDA9}"/>
    <cellStyle name="Column Heading 3 2 10 2 2" xfId="18590" xr:uid="{B59E8AE8-1329-49BD-AB85-94596628A2B2}"/>
    <cellStyle name="Column Heading 3 2 10 2 3" xfId="18591" xr:uid="{71CF836D-B7EF-4909-856E-8FF4AE1C5D63}"/>
    <cellStyle name="Column Heading 3 2 10 2 4" xfId="18592" xr:uid="{2756A104-E877-401F-8C92-B662E18E063B}"/>
    <cellStyle name="Column Heading 3 2 10 2 5" xfId="18593" xr:uid="{9912E8C1-28E5-49EA-BB46-0B28E131183A}"/>
    <cellStyle name="Column Heading 3 2 10 2 6" xfId="18594" xr:uid="{F92BCDA3-ADB9-442F-B53F-8B06A4770453}"/>
    <cellStyle name="Column Heading 3 2 10 3" xfId="18595" xr:uid="{41D8DB81-7758-489C-9BBA-D5E89132AF1A}"/>
    <cellStyle name="Column Heading 3 2 10 4" xfId="18596" xr:uid="{504E3762-9C83-4CE9-97BE-9F8E0A7C6363}"/>
    <cellStyle name="Column Heading 3 2 10 5" xfId="18597" xr:uid="{851232BB-6452-493D-BAB5-1143E568C3C3}"/>
    <cellStyle name="Column Heading 3 2 10 6" xfId="18598" xr:uid="{70EF768D-66CB-4A25-AF5C-11CF28827678}"/>
    <cellStyle name="Column Heading 3 2 10 7" xfId="18599" xr:uid="{C5BDDBC1-59EC-4A4E-A258-1C83B52ADCB3}"/>
    <cellStyle name="Column Heading 3 2 11" xfId="715" xr:uid="{3FC3CA4D-534D-4E46-97BD-6DEC86ABCA74}"/>
    <cellStyle name="Column Heading 3 2 11 2" xfId="10834" xr:uid="{7DF6E4E9-68AD-446C-884B-CAAE1391431A}"/>
    <cellStyle name="Column Heading 3 2 11 2 2" xfId="18600" xr:uid="{4BBF00E8-54CC-47AD-977F-8FB71758B22A}"/>
    <cellStyle name="Column Heading 3 2 11 2 3" xfId="18601" xr:uid="{F45E9CE7-E0D2-496C-8BD4-16791F8FD92C}"/>
    <cellStyle name="Column Heading 3 2 11 2 4" xfId="18602" xr:uid="{F4F21031-6BC0-4163-8728-B06E91526367}"/>
    <cellStyle name="Column Heading 3 2 11 2 5" xfId="18603" xr:uid="{1919BC3F-90CC-496F-9A89-8BAD964BE704}"/>
    <cellStyle name="Column Heading 3 2 11 2 6" xfId="18604" xr:uid="{F54387EC-C776-4B38-A791-5A63AD285E19}"/>
    <cellStyle name="Column Heading 3 2 11 3" xfId="18605" xr:uid="{C4F07A00-52E7-4B9B-9893-A955FE7561B4}"/>
    <cellStyle name="Column Heading 3 2 11 4" xfId="18606" xr:uid="{B6398BBD-AD00-47A1-AE36-B6AD8DFE4236}"/>
    <cellStyle name="Column Heading 3 2 11 5" xfId="18607" xr:uid="{95280DB5-AFD4-4B9B-8ED8-AC0E8D1414B6}"/>
    <cellStyle name="Column Heading 3 2 11 6" xfId="18608" xr:uid="{95E8BF6C-130E-4D67-B028-61D96ACED552}"/>
    <cellStyle name="Column Heading 3 2 11 7" xfId="18609" xr:uid="{605ADD7E-F676-4C9B-B701-6FBDB02EB1AC}"/>
    <cellStyle name="Column Heading 3 2 12" xfId="716" xr:uid="{88E45032-03FA-494A-AAC8-03219A1E1026}"/>
    <cellStyle name="Column Heading 3 2 12 2" xfId="10923" xr:uid="{EEF5BE01-46E6-49C3-91C8-FB4B8C575AA5}"/>
    <cellStyle name="Column Heading 3 2 12 2 2" xfId="18610" xr:uid="{D304C0DA-F820-406E-B1DC-EFC844A1CFD2}"/>
    <cellStyle name="Column Heading 3 2 12 2 3" xfId="18611" xr:uid="{1E199902-8ABF-46D4-B759-B8694C5180DE}"/>
    <cellStyle name="Column Heading 3 2 12 2 4" xfId="18612" xr:uid="{11AC41C2-52E0-436C-92BD-88856C353F89}"/>
    <cellStyle name="Column Heading 3 2 12 2 5" xfId="18613" xr:uid="{68715C7F-0B97-437C-BB2A-2383D2B457AD}"/>
    <cellStyle name="Column Heading 3 2 12 2 6" xfId="18614" xr:uid="{4DD7677B-34F2-4095-8ED4-51AF3926A66E}"/>
    <cellStyle name="Column Heading 3 2 12 3" xfId="18615" xr:uid="{A4AA0963-D8B1-4936-BB7D-15E2F874E25F}"/>
    <cellStyle name="Column Heading 3 2 12 4" xfId="18616" xr:uid="{CB71C51E-A6B2-4BDF-8A67-67EEA72B9356}"/>
    <cellStyle name="Column Heading 3 2 12 5" xfId="18617" xr:uid="{41982831-6330-4619-870F-11496FCF37F0}"/>
    <cellStyle name="Column Heading 3 2 12 6" xfId="18618" xr:uid="{DDE52DCD-E83E-4AFA-B4D3-4E4D89D6C328}"/>
    <cellStyle name="Column Heading 3 2 12 7" xfId="18619" xr:uid="{333D96F7-0442-4151-AD0F-F06F15B341A7}"/>
    <cellStyle name="Column Heading 3 2 13" xfId="717" xr:uid="{6E6F1929-F281-4B70-9CFF-0840F29C2BF8}"/>
    <cellStyle name="Column Heading 3 2 13 2" xfId="11013" xr:uid="{DC214C27-F5D1-49D5-BBB4-730431DC41D6}"/>
    <cellStyle name="Column Heading 3 2 13 2 2" xfId="18620" xr:uid="{8F6A0A38-87B3-47ED-9AF2-E7FD67F76B3C}"/>
    <cellStyle name="Column Heading 3 2 13 2 3" xfId="18621" xr:uid="{F098359D-999D-4644-8088-8FC76E09EEA3}"/>
    <cellStyle name="Column Heading 3 2 13 2 4" xfId="18622" xr:uid="{A6A241B4-5D86-4D86-8A49-4976CE3AC47B}"/>
    <cellStyle name="Column Heading 3 2 13 2 5" xfId="18623" xr:uid="{4173E18B-DE4D-4A0D-9B9D-53A6A12FDA84}"/>
    <cellStyle name="Column Heading 3 2 13 2 6" xfId="18624" xr:uid="{00D177E6-C487-449A-BA0D-3F18BE2FC7D4}"/>
    <cellStyle name="Column Heading 3 2 13 3" xfId="18625" xr:uid="{5047C2CC-585C-4971-8290-130F8B28C257}"/>
    <cellStyle name="Column Heading 3 2 13 4" xfId="18626" xr:uid="{E9BF7893-96DE-4BD8-8EDF-C9DEB0E15182}"/>
    <cellStyle name="Column Heading 3 2 13 5" xfId="18627" xr:uid="{737CF0B2-44D3-4EA9-B309-ED9A54296EE2}"/>
    <cellStyle name="Column Heading 3 2 13 6" xfId="18628" xr:uid="{CD1B9D53-F5D7-41CF-863B-DB6044E14EE1}"/>
    <cellStyle name="Column Heading 3 2 13 7" xfId="18629" xr:uid="{BC8A596D-5EDE-4058-892B-5D1B22C094C8}"/>
    <cellStyle name="Column Heading 3 2 14" xfId="718" xr:uid="{57CEB5CE-6578-4813-B6BB-5915D11A2E49}"/>
    <cellStyle name="Column Heading 3 2 14 2" xfId="11103" xr:uid="{7997B71B-3583-49FE-9C11-7089FC2E51B8}"/>
    <cellStyle name="Column Heading 3 2 14 2 2" xfId="18630" xr:uid="{814848FA-D487-46FB-A29F-8A2125ED0DDD}"/>
    <cellStyle name="Column Heading 3 2 14 2 3" xfId="18631" xr:uid="{087CED71-B7BE-4A90-885B-103DDEEA5990}"/>
    <cellStyle name="Column Heading 3 2 14 2 4" xfId="18632" xr:uid="{73EBB9EA-CBA3-4446-BA3D-E375B4B7CA4C}"/>
    <cellStyle name="Column Heading 3 2 14 2 5" xfId="18633" xr:uid="{A9035907-3021-4CE6-A765-C28A6F812F61}"/>
    <cellStyle name="Column Heading 3 2 14 2 6" xfId="18634" xr:uid="{5BA829CF-BBE0-4B20-8866-F36DE8D6583C}"/>
    <cellStyle name="Column Heading 3 2 14 3" xfId="18635" xr:uid="{FDE69D4B-D1EB-4ACF-B5D9-4EEB2BB70180}"/>
    <cellStyle name="Column Heading 3 2 14 4" xfId="18636" xr:uid="{BBD9AB8E-0DDF-40D8-99F7-47B58128A93E}"/>
    <cellStyle name="Column Heading 3 2 14 5" xfId="18637" xr:uid="{C11DA4A1-427B-47E5-8766-76577C479C75}"/>
    <cellStyle name="Column Heading 3 2 14 6" xfId="18638" xr:uid="{B3B0B648-A155-4256-86A9-1E0ACA8F70A6}"/>
    <cellStyle name="Column Heading 3 2 14 7" xfId="18639" xr:uid="{C93A05B7-58FD-43A9-99D3-DCFC7427B6B2}"/>
    <cellStyle name="Column Heading 3 2 15" xfId="719" xr:uid="{6E85F16B-1802-4230-A440-D57F226A1B41}"/>
    <cellStyle name="Column Heading 3 2 15 2" xfId="11186" xr:uid="{EEFAE050-2A3F-4DED-959E-E70DEC4BACA1}"/>
    <cellStyle name="Column Heading 3 2 15 2 2" xfId="18640" xr:uid="{38A0C5C9-6A87-453F-8026-68419D50EB3E}"/>
    <cellStyle name="Column Heading 3 2 15 2 3" xfId="18641" xr:uid="{002AB8A8-DE07-4742-BAF0-0675974AF885}"/>
    <cellStyle name="Column Heading 3 2 15 2 4" xfId="18642" xr:uid="{745D6AE4-ECE8-43EA-9C3E-FE97CAB1F0B9}"/>
    <cellStyle name="Column Heading 3 2 15 2 5" xfId="18643" xr:uid="{FDF81986-51C6-44D7-BF2E-F759CC6E27F2}"/>
    <cellStyle name="Column Heading 3 2 15 2 6" xfId="18644" xr:uid="{6345642F-20FB-4C86-826E-1648E91B7267}"/>
    <cellStyle name="Column Heading 3 2 15 3" xfId="18645" xr:uid="{776EDDEF-7321-46A9-B646-2932958558DB}"/>
    <cellStyle name="Column Heading 3 2 15 4" xfId="18646" xr:uid="{0E6E23B4-1C00-4673-8B64-3593FB274A47}"/>
    <cellStyle name="Column Heading 3 2 15 5" xfId="18647" xr:uid="{A6CE3E05-AA44-4887-BDFB-089E7026C9AB}"/>
    <cellStyle name="Column Heading 3 2 15 6" xfId="18648" xr:uid="{7ADABB2D-E156-4D99-A0D0-E613611409D3}"/>
    <cellStyle name="Column Heading 3 2 15 7" xfId="18649" xr:uid="{8C9386D5-1C22-4F77-9ACF-C21E0EF56F1E}"/>
    <cellStyle name="Column Heading 3 2 16" xfId="720" xr:uid="{6297FFA0-5D74-4BBC-ADC4-7FB29B79DE76}"/>
    <cellStyle name="Column Heading 3 2 16 2" xfId="11276" xr:uid="{04F1B0EF-BAE2-472A-866A-C47E34016BD6}"/>
    <cellStyle name="Column Heading 3 2 16 2 2" xfId="18650" xr:uid="{EEC6A439-4757-4F81-8C61-354ED6612254}"/>
    <cellStyle name="Column Heading 3 2 16 2 3" xfId="18651" xr:uid="{F1D97814-3313-4891-948B-431C96C22C61}"/>
    <cellStyle name="Column Heading 3 2 16 2 4" xfId="18652" xr:uid="{96E4C8C4-23A4-4764-A707-AACD0B550A45}"/>
    <cellStyle name="Column Heading 3 2 16 2 5" xfId="18653" xr:uid="{3ADE6767-0D28-4462-9853-018DAF808EF9}"/>
    <cellStyle name="Column Heading 3 2 16 2 6" xfId="18654" xr:uid="{79EFBE49-E9CB-42FB-B445-0BE14AD009A0}"/>
    <cellStyle name="Column Heading 3 2 16 3" xfId="18655" xr:uid="{B18D31FE-3F42-48CE-8033-E4BDAD1F8C2F}"/>
    <cellStyle name="Column Heading 3 2 16 4" xfId="18656" xr:uid="{1ED08D83-E9AB-4E6A-AD7C-924E7CD2A2F4}"/>
    <cellStyle name="Column Heading 3 2 16 5" xfId="18657" xr:uid="{16C625D4-9E99-4081-9B94-FF1C87F13081}"/>
    <cellStyle name="Column Heading 3 2 16 6" xfId="18658" xr:uid="{B826933B-DEF4-4A29-864D-09C2F26863B7}"/>
    <cellStyle name="Column Heading 3 2 16 7" xfId="18659" xr:uid="{7758C25E-9652-43B2-A3DF-71CB071E3D2A}"/>
    <cellStyle name="Column Heading 3 2 17" xfId="721" xr:uid="{7393F106-802B-49DA-B67D-5C0A986D17FB}"/>
    <cellStyle name="Column Heading 3 2 17 2" xfId="11362" xr:uid="{D6D47C62-8F9E-43C3-A043-9086D8683746}"/>
    <cellStyle name="Column Heading 3 2 17 2 2" xfId="18660" xr:uid="{A47F5AD5-6082-4143-AB7C-09059D47EDF8}"/>
    <cellStyle name="Column Heading 3 2 17 2 3" xfId="18661" xr:uid="{B0B5C4BF-5222-4ECC-825B-B10D0605513D}"/>
    <cellStyle name="Column Heading 3 2 17 2 4" xfId="18662" xr:uid="{A175C006-7EB9-4E81-AD1A-D044972D623C}"/>
    <cellStyle name="Column Heading 3 2 17 2 5" xfId="18663" xr:uid="{FAA0DD95-09F9-456C-8C67-7BDD8D8C7DC5}"/>
    <cellStyle name="Column Heading 3 2 17 2 6" xfId="18664" xr:uid="{8499C59E-60AA-451A-B68A-B106C6D7B55B}"/>
    <cellStyle name="Column Heading 3 2 17 3" xfId="18665" xr:uid="{49C2194E-EDC5-4E5E-8325-D12DC10CB376}"/>
    <cellStyle name="Column Heading 3 2 17 4" xfId="18666" xr:uid="{E8B30D06-3B99-4EB9-A1AC-03DCC718EE94}"/>
    <cellStyle name="Column Heading 3 2 17 5" xfId="18667" xr:uid="{C0FE14CA-4734-452B-AB9E-4CD31D62E1A3}"/>
    <cellStyle name="Column Heading 3 2 17 6" xfId="18668" xr:uid="{A99F83E3-3C5C-479B-9C3C-4C58DDC069DE}"/>
    <cellStyle name="Column Heading 3 2 17 7" xfId="18669" xr:uid="{94959C9F-7D0C-4FF9-B283-A2A78D4428D4}"/>
    <cellStyle name="Column Heading 3 2 18" xfId="722" xr:uid="{BC8142ED-931E-4D2C-8841-73DA328ACF49}"/>
    <cellStyle name="Column Heading 3 2 18 2" xfId="11449" xr:uid="{0277D827-1332-48E5-BA93-3ED44D01C845}"/>
    <cellStyle name="Column Heading 3 2 18 2 2" xfId="18670" xr:uid="{85C4C698-7B49-4C58-BE26-194FA1E3F4CE}"/>
    <cellStyle name="Column Heading 3 2 18 2 3" xfId="18671" xr:uid="{C1254EFD-C56A-4A34-ACD3-80F1BADD8E7C}"/>
    <cellStyle name="Column Heading 3 2 18 2 4" xfId="18672" xr:uid="{BDF23808-4920-4E5A-8D58-0609FB7AE44D}"/>
    <cellStyle name="Column Heading 3 2 18 2 5" xfId="18673" xr:uid="{FDB4DFCA-CD5C-44C1-B99F-246B0C3A1F93}"/>
    <cellStyle name="Column Heading 3 2 18 2 6" xfId="18674" xr:uid="{C566F2B0-E8BC-41FA-9923-90D7ABEF9B73}"/>
    <cellStyle name="Column Heading 3 2 18 3" xfId="18675" xr:uid="{C2929BE0-8A20-4C47-8D68-395D4A5C1F99}"/>
    <cellStyle name="Column Heading 3 2 18 4" xfId="18676" xr:uid="{A19C08B9-24F4-46D1-A5C5-1AEF70139908}"/>
    <cellStyle name="Column Heading 3 2 18 5" xfId="18677" xr:uid="{C8B02453-BE05-4B10-9E0E-5EDECB227340}"/>
    <cellStyle name="Column Heading 3 2 18 6" xfId="18678" xr:uid="{F00C8B26-AD96-48C2-9D13-4A6D3DC16F4B}"/>
    <cellStyle name="Column Heading 3 2 18 7" xfId="18679" xr:uid="{CD64A241-8049-4182-AA03-7F03253BACD6}"/>
    <cellStyle name="Column Heading 3 2 19" xfId="723" xr:uid="{788CA93E-4E28-4976-8838-C9EAD56CC0B6}"/>
    <cellStyle name="Column Heading 3 2 19 2" xfId="11536" xr:uid="{BF915AC4-CCD4-4D28-8C50-5B1A7AFD50FA}"/>
    <cellStyle name="Column Heading 3 2 19 2 2" xfId="18680" xr:uid="{3BEEC034-D13C-4239-A023-19534D68C94E}"/>
    <cellStyle name="Column Heading 3 2 19 2 3" xfId="18681" xr:uid="{7F2B61C3-F895-48EB-BB91-41C5BEB814F8}"/>
    <cellStyle name="Column Heading 3 2 19 2 4" xfId="18682" xr:uid="{D034217D-D507-4267-824E-C12575E8D1F4}"/>
    <cellStyle name="Column Heading 3 2 19 2 5" xfId="18683" xr:uid="{97197335-12BD-45A6-BF9B-3F2FD075407F}"/>
    <cellStyle name="Column Heading 3 2 19 2 6" xfId="18684" xr:uid="{66C39A3D-AC60-4C6F-89B4-957F6C1DD1AE}"/>
    <cellStyle name="Column Heading 3 2 19 3" xfId="18685" xr:uid="{321857B2-1B49-49A8-A7DF-C00D37FF3FEB}"/>
    <cellStyle name="Column Heading 3 2 19 4" xfId="18686" xr:uid="{210CDEAA-5B8C-40B4-A8F2-8DFB0AAC8709}"/>
    <cellStyle name="Column Heading 3 2 19 5" xfId="18687" xr:uid="{9BCEFC8B-AB9B-4E51-96AD-D285ACBCCEC8}"/>
    <cellStyle name="Column Heading 3 2 19 6" xfId="18688" xr:uid="{FE39164C-3715-403F-ABDB-BFD58264E789}"/>
    <cellStyle name="Column Heading 3 2 19 7" xfId="18689" xr:uid="{9CC0DBDF-ABBA-4E80-AD12-45D40085436C}"/>
    <cellStyle name="Column Heading 3 2 2" xfId="724" xr:uid="{3EDA4AFA-D1EF-41E5-9B4F-8C33C57C70F4}"/>
    <cellStyle name="Column Heading 3 2 2 2" xfId="10043" xr:uid="{A4706995-A5B5-498C-A547-819BBF77CA0D}"/>
    <cellStyle name="Column Heading 3 2 2 2 2" xfId="18690" xr:uid="{3B9BDED2-4EEE-40CA-976D-0642958B85EF}"/>
    <cellStyle name="Column Heading 3 2 2 2 3" xfId="18691" xr:uid="{C4846240-D770-4598-B4EF-E599DCF75F44}"/>
    <cellStyle name="Column Heading 3 2 2 2 4" xfId="18692" xr:uid="{7A91C334-714B-40E9-B664-2B86844AA08A}"/>
    <cellStyle name="Column Heading 3 2 2 2 5" xfId="18693" xr:uid="{672E7735-5EA1-4C1F-8B33-BA8FEDB0DE27}"/>
    <cellStyle name="Column Heading 3 2 2 2 6" xfId="18694" xr:uid="{7EC9DF94-365E-46F5-928D-07208DFEAE0C}"/>
    <cellStyle name="Column Heading 3 2 2 3" xfId="18695" xr:uid="{CC277C65-1D8B-4933-B242-18919EF3819B}"/>
    <cellStyle name="Column Heading 3 2 2 4" xfId="18696" xr:uid="{61058177-AC3C-479C-B761-54B25DF2C599}"/>
    <cellStyle name="Column Heading 3 2 2 5" xfId="18697" xr:uid="{51CD3D62-842E-4FE6-9CE9-CEC234BD8331}"/>
    <cellStyle name="Column Heading 3 2 2 6" xfId="18698" xr:uid="{9D4A8B65-5006-44ED-8017-B993B4E32BD8}"/>
    <cellStyle name="Column Heading 3 2 2 7" xfId="18699" xr:uid="{90D203D4-E2C8-442F-9C20-77BDB3537202}"/>
    <cellStyle name="Column Heading 3 2 20" xfId="725" xr:uid="{45A63903-A3C6-4F60-8E7B-BA1618250178}"/>
    <cellStyle name="Column Heading 3 2 20 2" xfId="11624" xr:uid="{28775F04-ED57-4DBC-87B2-5BFDCCB0E9FC}"/>
    <cellStyle name="Column Heading 3 2 20 2 2" xfId="18700" xr:uid="{6A2976CA-A0C3-4FD0-B461-A1E1A191056C}"/>
    <cellStyle name="Column Heading 3 2 20 2 3" xfId="18701" xr:uid="{FAF55EC4-03AC-43E9-9C3B-5C8D2B5F495A}"/>
    <cellStyle name="Column Heading 3 2 20 2 4" xfId="18702" xr:uid="{0AB454FE-0EF9-4DF6-B25B-3F2447796571}"/>
    <cellStyle name="Column Heading 3 2 20 2 5" xfId="18703" xr:uid="{E476CE21-784E-4445-9208-EBBCD7F4847C}"/>
    <cellStyle name="Column Heading 3 2 20 2 6" xfId="18704" xr:uid="{992A19C4-5F44-4E96-8EE6-636B8D8D16AE}"/>
    <cellStyle name="Column Heading 3 2 20 3" xfId="18705" xr:uid="{1B7C9C1E-A9F2-484B-8669-1FE60E3A4696}"/>
    <cellStyle name="Column Heading 3 2 20 4" xfId="18706" xr:uid="{158E7BA0-5CFE-4812-840B-A2D86578A26B}"/>
    <cellStyle name="Column Heading 3 2 20 5" xfId="18707" xr:uid="{F38BE265-09B2-4961-858C-974A37920DA8}"/>
    <cellStyle name="Column Heading 3 2 20 6" xfId="18708" xr:uid="{BCF6C250-6FBC-4B15-BC0F-51150AF364C6}"/>
    <cellStyle name="Column Heading 3 2 20 7" xfId="18709" xr:uid="{30B4A303-9575-40F4-9406-6BE1A0C1384A}"/>
    <cellStyle name="Column Heading 3 2 21" xfId="726" xr:uid="{AEC2B9DD-F542-4B74-AF80-A786619A02D4}"/>
    <cellStyle name="Column Heading 3 2 21 2" xfId="11708" xr:uid="{25F76E37-14BD-47D6-B36E-E5839131492B}"/>
    <cellStyle name="Column Heading 3 2 21 2 2" xfId="18710" xr:uid="{C1B03861-9543-4BD6-9664-21B6C6352C4D}"/>
    <cellStyle name="Column Heading 3 2 21 2 3" xfId="18711" xr:uid="{D5395E64-C9D1-4266-BCF9-F57C78322B08}"/>
    <cellStyle name="Column Heading 3 2 21 2 4" xfId="18712" xr:uid="{15F5DB0F-3516-4E61-9F6E-48152EE0639B}"/>
    <cellStyle name="Column Heading 3 2 21 2 5" xfId="18713" xr:uid="{E7967B8C-C762-4A31-9B17-91A0DDE81684}"/>
    <cellStyle name="Column Heading 3 2 21 2 6" xfId="18714" xr:uid="{6FB013E5-45DA-44C3-BAC2-CE664A4DEAA6}"/>
    <cellStyle name="Column Heading 3 2 21 3" xfId="18715" xr:uid="{59CB82DB-BEF7-4AF5-8504-D4DD01809866}"/>
    <cellStyle name="Column Heading 3 2 21 4" xfId="18716" xr:uid="{B63C6340-893A-4391-BC1D-1C69358C186F}"/>
    <cellStyle name="Column Heading 3 2 21 5" xfId="18717" xr:uid="{CC586A5E-A439-49E7-96E6-F6B42E45AC8A}"/>
    <cellStyle name="Column Heading 3 2 21 6" xfId="18718" xr:uid="{62D8A3F4-5152-4055-8C24-4770841A339C}"/>
    <cellStyle name="Column Heading 3 2 21 7" xfId="18719" xr:uid="{C8A06A9D-C9CC-464E-92C2-29E4B5BF24BE}"/>
    <cellStyle name="Column Heading 3 2 22" xfId="727" xr:uid="{8C23D192-4392-473C-8BEB-3596BE47EA5E}"/>
    <cellStyle name="Column Heading 3 2 22 2" xfId="11791" xr:uid="{984ABC43-8A99-4388-BA38-C8A424A93052}"/>
    <cellStyle name="Column Heading 3 2 22 2 2" xfId="18720" xr:uid="{D1051713-BA1A-41AA-B7EB-2E27AEDF8A1A}"/>
    <cellStyle name="Column Heading 3 2 22 2 3" xfId="18721" xr:uid="{0CF8E61C-9E23-4C77-955E-12746D469907}"/>
    <cellStyle name="Column Heading 3 2 22 2 4" xfId="18722" xr:uid="{F1595844-2A43-43BA-B5FB-D08524DD0E63}"/>
    <cellStyle name="Column Heading 3 2 22 2 5" xfId="18723" xr:uid="{B47FC7DE-E494-4280-97ED-E0FEEBD1AFE5}"/>
    <cellStyle name="Column Heading 3 2 22 2 6" xfId="18724" xr:uid="{D82E8E63-8459-4C84-8E70-0CCFC6A675B0}"/>
    <cellStyle name="Column Heading 3 2 22 3" xfId="18725" xr:uid="{552A58EC-D29F-4121-B416-DB606A7B91D1}"/>
    <cellStyle name="Column Heading 3 2 22 4" xfId="18726" xr:uid="{F8FF2F4F-3462-481E-82AC-70D6E0859E87}"/>
    <cellStyle name="Column Heading 3 2 22 5" xfId="18727" xr:uid="{37E4F0CC-AF02-495E-A2E1-CF2D196353F9}"/>
    <cellStyle name="Column Heading 3 2 22 6" xfId="18728" xr:uid="{39905D48-D92A-4F33-93BE-B79500DF86B7}"/>
    <cellStyle name="Column Heading 3 2 22 7" xfId="18729" xr:uid="{F6F56F46-7674-443B-B7D1-2DB604538D4E}"/>
    <cellStyle name="Column Heading 3 2 23" xfId="728" xr:uid="{D8B3C523-9DD8-4BCA-8EED-2F188E99BD2E}"/>
    <cellStyle name="Column Heading 3 2 23 2" xfId="11874" xr:uid="{97E1DE62-FEF8-4E61-BEE0-415E6A622F83}"/>
    <cellStyle name="Column Heading 3 2 23 2 2" xfId="18730" xr:uid="{D27F7AA9-FBF6-4CB1-8E50-09FF26C28776}"/>
    <cellStyle name="Column Heading 3 2 23 2 3" xfId="18731" xr:uid="{89852111-66DD-423C-AD2C-98EA555CADDF}"/>
    <cellStyle name="Column Heading 3 2 23 2 4" xfId="18732" xr:uid="{84B78077-DB6F-4756-B039-32D82E1E6CBA}"/>
    <cellStyle name="Column Heading 3 2 23 2 5" xfId="18733" xr:uid="{CE4DEAB1-A4E6-41CE-9B4B-7708F1E3E91E}"/>
    <cellStyle name="Column Heading 3 2 23 2 6" xfId="18734" xr:uid="{23F8340F-440C-4AD2-A450-1DCAE1C1DA01}"/>
    <cellStyle name="Column Heading 3 2 23 3" xfId="18735" xr:uid="{688374B5-6330-49B9-A40B-5D28BA332DD2}"/>
    <cellStyle name="Column Heading 3 2 23 4" xfId="18736" xr:uid="{4B98E868-ED18-41C4-8B5E-DF3726BBEAE9}"/>
    <cellStyle name="Column Heading 3 2 23 5" xfId="18737" xr:uid="{5446887D-8AE2-4E36-8661-49A478477FF8}"/>
    <cellStyle name="Column Heading 3 2 23 6" xfId="18738" xr:uid="{E0AD45E8-6DC6-4F86-993F-8D26F10791EC}"/>
    <cellStyle name="Column Heading 3 2 23 7" xfId="18739" xr:uid="{67299AE0-00CC-4D0C-BB4A-A0E85162BA43}"/>
    <cellStyle name="Column Heading 3 2 24" xfId="729" xr:uid="{438A0D41-AA26-44CA-91A0-22935C6BAD9B}"/>
    <cellStyle name="Column Heading 3 2 24 2" xfId="11958" xr:uid="{7DB4B864-05A2-468A-983E-AC346452A993}"/>
    <cellStyle name="Column Heading 3 2 24 2 2" xfId="18740" xr:uid="{8B50E6AB-4C7E-4086-9C37-5ACA7D5CC361}"/>
    <cellStyle name="Column Heading 3 2 24 2 3" xfId="18741" xr:uid="{D8C416D0-7E71-4091-8DA2-EC5C4D5B6D04}"/>
    <cellStyle name="Column Heading 3 2 24 2 4" xfId="18742" xr:uid="{61983703-C8C4-44F2-8EF1-BE01CF06C056}"/>
    <cellStyle name="Column Heading 3 2 24 2 5" xfId="18743" xr:uid="{7FFDF2E6-E463-4818-AA6A-32ECFBFD8A22}"/>
    <cellStyle name="Column Heading 3 2 24 2 6" xfId="18744" xr:uid="{39B3F962-AC96-4408-B83D-52E4D3499A5F}"/>
    <cellStyle name="Column Heading 3 2 24 3" xfId="18745" xr:uid="{F49FB5AA-EAC5-4141-8139-8BEDD756DF37}"/>
    <cellStyle name="Column Heading 3 2 24 4" xfId="18746" xr:uid="{20CCF4E8-C3BB-4F1D-9AC2-F0C27BDE657F}"/>
    <cellStyle name="Column Heading 3 2 24 5" xfId="18747" xr:uid="{BE133D2B-A78D-4AF9-B45E-9DC4552F6E53}"/>
    <cellStyle name="Column Heading 3 2 24 6" xfId="18748" xr:uid="{634ECAD8-95C2-43C5-988C-C5CD6A8A4D8E}"/>
    <cellStyle name="Column Heading 3 2 24 7" xfId="18749" xr:uid="{A13E6706-758A-47D5-B6A1-704236305C07}"/>
    <cellStyle name="Column Heading 3 2 25" xfId="730" xr:uid="{873DA38F-7FCC-46DB-A756-96E32B80D309}"/>
    <cellStyle name="Column Heading 3 2 25 2" xfId="12041" xr:uid="{7F079DD0-77A8-4F99-B556-F2D18751C3D0}"/>
    <cellStyle name="Column Heading 3 2 25 2 2" xfId="18750" xr:uid="{39BF85AC-C5DA-435F-82AF-55AE04C96E66}"/>
    <cellStyle name="Column Heading 3 2 25 2 3" xfId="18751" xr:uid="{7C470986-6BCA-4345-8F46-1484B5FE141E}"/>
    <cellStyle name="Column Heading 3 2 25 2 4" xfId="18752" xr:uid="{0041D54A-8B53-461D-B488-8A899145987E}"/>
    <cellStyle name="Column Heading 3 2 25 2 5" xfId="18753" xr:uid="{F207A073-A408-4394-8B46-F22A2BE4A64D}"/>
    <cellStyle name="Column Heading 3 2 25 2 6" xfId="18754" xr:uid="{656EFCE9-F0AE-4A73-B729-F303C05A0C3E}"/>
    <cellStyle name="Column Heading 3 2 25 3" xfId="18755" xr:uid="{66B6EFC2-71CE-4504-AF66-227854A3F247}"/>
    <cellStyle name="Column Heading 3 2 25 4" xfId="18756" xr:uid="{F2BE2B24-CF7D-4FE0-BDD7-4F19ED0F752B}"/>
    <cellStyle name="Column Heading 3 2 25 5" xfId="18757" xr:uid="{34F21F42-E369-455F-B403-1A77060719BE}"/>
    <cellStyle name="Column Heading 3 2 25 6" xfId="18758" xr:uid="{2922D585-0822-4FD2-8917-632C73844430}"/>
    <cellStyle name="Column Heading 3 2 25 7" xfId="18759" xr:uid="{25DAA965-6C85-4BD1-9B42-DB06118E204A}"/>
    <cellStyle name="Column Heading 3 2 26" xfId="731" xr:uid="{E21D41E0-A113-427F-A1E3-69F96C57C7C4}"/>
    <cellStyle name="Column Heading 3 2 26 2" xfId="12124" xr:uid="{1342C669-540C-4BC5-8291-B7E5224EF973}"/>
    <cellStyle name="Column Heading 3 2 26 2 2" xfId="18760" xr:uid="{9F1EAC0C-D957-4431-8099-1A2AA70C0BE3}"/>
    <cellStyle name="Column Heading 3 2 26 2 3" xfId="18761" xr:uid="{C2923BD7-3633-42EB-829A-26B6701B23EF}"/>
    <cellStyle name="Column Heading 3 2 26 2 4" xfId="18762" xr:uid="{9E94B183-3C5B-4EB9-995C-3B20C01B395A}"/>
    <cellStyle name="Column Heading 3 2 26 2 5" xfId="18763" xr:uid="{3EBD75F0-C84A-492C-A6D6-8B7F49DC1A0B}"/>
    <cellStyle name="Column Heading 3 2 26 2 6" xfId="18764" xr:uid="{E81DC65C-5A8C-4471-B350-0B0A5B95B44C}"/>
    <cellStyle name="Column Heading 3 2 26 3" xfId="18765" xr:uid="{136AE1D1-3FAC-42E8-8F86-D75043CD4225}"/>
    <cellStyle name="Column Heading 3 2 26 4" xfId="18766" xr:uid="{3F8B4771-4EC7-4F8D-9F32-8354D1637CE0}"/>
    <cellStyle name="Column Heading 3 2 26 5" xfId="18767" xr:uid="{6006BCE8-D1F5-431C-B3B7-574B7122DC6F}"/>
    <cellStyle name="Column Heading 3 2 26 6" xfId="18768" xr:uid="{357C4F8F-CA85-4CE2-9CFE-DE86E525269C}"/>
    <cellStyle name="Column Heading 3 2 26 7" xfId="18769" xr:uid="{74181C61-DFE8-403B-B289-F1871E11DC08}"/>
    <cellStyle name="Column Heading 3 2 27" xfId="732" xr:uid="{795EAA3D-8A91-46D0-B56E-D0CBBA0878A3}"/>
    <cellStyle name="Column Heading 3 2 27 2" xfId="12206" xr:uid="{4B4AD24F-692E-4BB2-9356-624A57CF871A}"/>
    <cellStyle name="Column Heading 3 2 27 2 2" xfId="18770" xr:uid="{ACC2C14C-8ECB-493F-BFCE-51046DAA463B}"/>
    <cellStyle name="Column Heading 3 2 27 2 3" xfId="18771" xr:uid="{47461F75-D0E9-4B86-82CB-E57BE8EA4243}"/>
    <cellStyle name="Column Heading 3 2 27 2 4" xfId="18772" xr:uid="{60A977A4-EB48-4E68-A33F-9D3BCFC690D1}"/>
    <cellStyle name="Column Heading 3 2 27 2 5" xfId="18773" xr:uid="{03912F72-EF83-45B0-B9A2-A5FDCC63B94A}"/>
    <cellStyle name="Column Heading 3 2 27 2 6" xfId="18774" xr:uid="{82409BDD-27F5-4899-9D14-935941ACF341}"/>
    <cellStyle name="Column Heading 3 2 27 3" xfId="18775" xr:uid="{42D89314-64F9-4449-BCEE-923F6BFB0027}"/>
    <cellStyle name="Column Heading 3 2 27 4" xfId="18776" xr:uid="{44A6B880-AF98-4F18-A38B-0D4F7640666B}"/>
    <cellStyle name="Column Heading 3 2 27 5" xfId="18777" xr:uid="{342DCA9E-10E8-45B3-8ABC-0291A2074036}"/>
    <cellStyle name="Column Heading 3 2 27 6" xfId="18778" xr:uid="{6239D3F9-9448-4206-B131-39F46887DBB9}"/>
    <cellStyle name="Column Heading 3 2 27 7" xfId="18779" xr:uid="{D41196D8-FF52-47D9-A6E9-7ED9CE511EE1}"/>
    <cellStyle name="Column Heading 3 2 28" xfId="733" xr:uid="{456A3943-4051-48F9-823C-4BB4A7A0C5DC}"/>
    <cellStyle name="Column Heading 3 2 28 2" xfId="12286" xr:uid="{3B9AD5B3-6670-4E42-911D-7DEFF2EE90EB}"/>
    <cellStyle name="Column Heading 3 2 28 2 2" xfId="18780" xr:uid="{11FFFD81-3355-4E24-B4D7-BDF2C084D9E7}"/>
    <cellStyle name="Column Heading 3 2 28 2 3" xfId="18781" xr:uid="{6E20AB86-3AE8-48AE-89D3-B398E8DD5FDD}"/>
    <cellStyle name="Column Heading 3 2 28 2 4" xfId="18782" xr:uid="{CBBBDB5E-A2F6-4456-A9D7-3E9454EBE3C3}"/>
    <cellStyle name="Column Heading 3 2 28 2 5" xfId="18783" xr:uid="{C5309873-A7D0-4896-807F-9AF1A1B138A9}"/>
    <cellStyle name="Column Heading 3 2 28 2 6" xfId="18784" xr:uid="{9D4B5E6B-8291-4531-A1EB-577C14EE02C6}"/>
    <cellStyle name="Column Heading 3 2 28 3" xfId="18785" xr:uid="{4AE764A4-5F59-4671-8A33-3EBCD6F836E6}"/>
    <cellStyle name="Column Heading 3 2 28 4" xfId="18786" xr:uid="{8C196B26-C309-4F3B-B80B-9E7A1C83708F}"/>
    <cellStyle name="Column Heading 3 2 28 5" xfId="18787" xr:uid="{B68F9A25-A4E6-4EFD-A818-C7D30CEB3BCB}"/>
    <cellStyle name="Column Heading 3 2 28 6" xfId="18788" xr:uid="{2DB50982-ABF4-4FCF-8B2D-ED8942227C97}"/>
    <cellStyle name="Column Heading 3 2 28 7" xfId="18789" xr:uid="{F0DDF1AA-8C69-4692-ACF0-07BAAB2C6BB8}"/>
    <cellStyle name="Column Heading 3 2 29" xfId="734" xr:uid="{E45035ED-235F-4E74-86B2-96C766164D43}"/>
    <cellStyle name="Column Heading 3 2 29 2" xfId="12364" xr:uid="{3D1823DA-FBA6-4D76-884A-0788A8AD45F7}"/>
    <cellStyle name="Column Heading 3 2 29 2 2" xfId="18790" xr:uid="{1A82B63C-E34C-47FA-B823-3E37CCD0BC54}"/>
    <cellStyle name="Column Heading 3 2 29 2 3" xfId="18791" xr:uid="{2E741F68-C05E-4717-870D-8C91A06761FA}"/>
    <cellStyle name="Column Heading 3 2 29 2 4" xfId="18792" xr:uid="{8B77644B-E659-4500-899A-C0FD69E5C973}"/>
    <cellStyle name="Column Heading 3 2 29 2 5" xfId="18793" xr:uid="{CCC3CEB3-C8D2-4DC0-AE07-F66E69844FCB}"/>
    <cellStyle name="Column Heading 3 2 29 2 6" xfId="18794" xr:uid="{EFE3BF3F-0EEF-49B4-A2E8-4AB892D6AD41}"/>
    <cellStyle name="Column Heading 3 2 29 3" xfId="18795" xr:uid="{2FD9C2D0-A8FE-4593-B54D-5270A2CD5D31}"/>
    <cellStyle name="Column Heading 3 2 29 4" xfId="18796" xr:uid="{66E7E031-7B2C-41E2-8D89-53ED1CC75703}"/>
    <cellStyle name="Column Heading 3 2 29 5" xfId="18797" xr:uid="{7A74B567-DEA1-4FF9-BE8D-0064FA2DE919}"/>
    <cellStyle name="Column Heading 3 2 29 6" xfId="18798" xr:uid="{FE2575E1-55A3-425C-87A8-E5253B7E2DEA}"/>
    <cellStyle name="Column Heading 3 2 29 7" xfId="18799" xr:uid="{E2A9BE3C-292E-46E2-A705-556424072D90}"/>
    <cellStyle name="Column Heading 3 2 3" xfId="735" xr:uid="{D8647F77-18CF-424D-9ECC-4A39EBBE08F2}"/>
    <cellStyle name="Column Heading 3 2 3 2" xfId="10134" xr:uid="{619A289D-D3C6-4E3D-AEED-C19709DC6CC9}"/>
    <cellStyle name="Column Heading 3 2 3 2 2" xfId="18800" xr:uid="{AB21BFD0-A8C0-475C-B07D-D7B7155BAB41}"/>
    <cellStyle name="Column Heading 3 2 3 2 3" xfId="18801" xr:uid="{072CA004-DDFB-4571-AC28-C4358DF514EA}"/>
    <cellStyle name="Column Heading 3 2 3 2 4" xfId="18802" xr:uid="{D116227A-424D-4B0B-8D70-880ECFE8A0E6}"/>
    <cellStyle name="Column Heading 3 2 3 2 5" xfId="18803" xr:uid="{31642378-BC9A-4959-B74C-8B5DC4B45833}"/>
    <cellStyle name="Column Heading 3 2 3 2 6" xfId="18804" xr:uid="{A113FF69-E8AE-44BE-A749-E062C35E3090}"/>
    <cellStyle name="Column Heading 3 2 3 3" xfId="18805" xr:uid="{AB379474-6E98-4A43-A0E9-CBA07D59FF24}"/>
    <cellStyle name="Column Heading 3 2 3 4" xfId="18806" xr:uid="{1BE12D6E-5422-470D-9579-5E37C73CF087}"/>
    <cellStyle name="Column Heading 3 2 3 5" xfId="18807" xr:uid="{93F16494-A1DA-4EF3-ACF8-188C14E9B9CB}"/>
    <cellStyle name="Column Heading 3 2 3 6" xfId="18808" xr:uid="{6CD69359-FE6E-4DCB-987B-AA9ADDD14D5F}"/>
    <cellStyle name="Column Heading 3 2 3 7" xfId="18809" xr:uid="{F5B0927C-FC29-48DD-AC08-BF1BA70262CF}"/>
    <cellStyle name="Column Heading 3 2 30" xfId="736" xr:uid="{B5507097-8577-40B3-B251-4C1D0415EBE0}"/>
    <cellStyle name="Column Heading 3 2 30 2" xfId="12443" xr:uid="{32C7BB43-A4F3-4A6C-93CC-E903ED121EE4}"/>
    <cellStyle name="Column Heading 3 2 30 2 2" xfId="18810" xr:uid="{2AD54769-9262-4F5F-AE18-D5E137BBD6E5}"/>
    <cellStyle name="Column Heading 3 2 30 2 3" xfId="18811" xr:uid="{2B5B1BC8-FB8F-4574-BB89-8854D4524971}"/>
    <cellStyle name="Column Heading 3 2 30 2 4" xfId="18812" xr:uid="{D5673DFD-1285-40B1-8C26-893AC146A14D}"/>
    <cellStyle name="Column Heading 3 2 30 2 5" xfId="18813" xr:uid="{B195AF62-A27B-4EC8-AAEC-63D88664C4D5}"/>
    <cellStyle name="Column Heading 3 2 30 2 6" xfId="18814" xr:uid="{88239D40-EA35-4C81-AEF5-E7F06EE7F4FD}"/>
    <cellStyle name="Column Heading 3 2 30 3" xfId="18815" xr:uid="{6E1A2676-FD4D-49C0-AC1A-336C75158C8F}"/>
    <cellStyle name="Column Heading 3 2 30 4" xfId="18816" xr:uid="{07E3D720-15C8-4117-AF92-7FD9148A403B}"/>
    <cellStyle name="Column Heading 3 2 30 5" xfId="18817" xr:uid="{37BC2CF0-BE45-4D6A-BA0C-3F31AB205B41}"/>
    <cellStyle name="Column Heading 3 2 30 6" xfId="18818" xr:uid="{ECF2028C-3123-41E5-8B2E-75786F0CC38C}"/>
    <cellStyle name="Column Heading 3 2 30 7" xfId="18819" xr:uid="{3BB681F7-A66D-4C1B-A8D7-BE1F37266180}"/>
    <cellStyle name="Column Heading 3 2 31" xfId="737" xr:uid="{6DB27EF3-02CE-4C90-BFFE-F639F81D4C66}"/>
    <cellStyle name="Column Heading 3 2 31 2" xfId="12522" xr:uid="{BE947831-E4ED-4371-BED1-632CC30D9997}"/>
    <cellStyle name="Column Heading 3 2 31 2 2" xfId="18820" xr:uid="{D8065F44-8A22-4CA2-AC06-11A92D9F39E1}"/>
    <cellStyle name="Column Heading 3 2 31 2 3" xfId="18821" xr:uid="{837022E8-708E-41D7-87FC-C87B1CC9DCE0}"/>
    <cellStyle name="Column Heading 3 2 31 2 4" xfId="18822" xr:uid="{41C78662-0098-445D-81E5-88821541FB41}"/>
    <cellStyle name="Column Heading 3 2 31 2 5" xfId="18823" xr:uid="{385384A8-3E4C-444B-B8E3-C9AE1F1A5CDE}"/>
    <cellStyle name="Column Heading 3 2 31 2 6" xfId="18824" xr:uid="{0BF27373-9BE7-4112-9FA1-03704A182C2B}"/>
    <cellStyle name="Column Heading 3 2 31 3" xfId="18825" xr:uid="{2BACD358-7EAC-4F29-BC6B-B3F0261D8AC4}"/>
    <cellStyle name="Column Heading 3 2 31 4" xfId="18826" xr:uid="{138AE718-5917-4D4F-801D-3F4D2E530BA1}"/>
    <cellStyle name="Column Heading 3 2 31 5" xfId="18827" xr:uid="{F34ED30B-C188-4673-BBA6-258A33B5A661}"/>
    <cellStyle name="Column Heading 3 2 31 6" xfId="18828" xr:uid="{41968649-A94F-4DA4-8DA9-8973F00A8683}"/>
    <cellStyle name="Column Heading 3 2 31 7" xfId="18829" xr:uid="{3052B234-2D42-4D06-9F9E-692CE5486F5B}"/>
    <cellStyle name="Column Heading 3 2 32" xfId="738" xr:uid="{DBC997EC-D93E-4899-8E8F-25524684A30C}"/>
    <cellStyle name="Column Heading 3 2 32 2" xfId="12601" xr:uid="{6128DD8D-169B-47D3-B41A-B7232A589341}"/>
    <cellStyle name="Column Heading 3 2 32 2 2" xfId="18830" xr:uid="{8169417B-07C9-40BE-891C-51A35CB4F1E5}"/>
    <cellStyle name="Column Heading 3 2 32 2 3" xfId="18831" xr:uid="{CC4EF2C4-6A82-4304-83BC-C883163D7ADA}"/>
    <cellStyle name="Column Heading 3 2 32 2 4" xfId="18832" xr:uid="{32206872-0602-4F26-8D71-519D6CE073E3}"/>
    <cellStyle name="Column Heading 3 2 32 2 5" xfId="18833" xr:uid="{11B22850-EE22-4E59-AE90-5AD456C5E476}"/>
    <cellStyle name="Column Heading 3 2 32 2 6" xfId="18834" xr:uid="{ECC602B0-49CD-41D8-942A-B71C315DE441}"/>
    <cellStyle name="Column Heading 3 2 32 3" xfId="18835" xr:uid="{07C3611E-7F4B-4657-BE80-1A46608A3C96}"/>
    <cellStyle name="Column Heading 3 2 32 4" xfId="18836" xr:uid="{1E366F51-AB4E-401A-A915-6CD2B92E9C70}"/>
    <cellStyle name="Column Heading 3 2 32 5" xfId="18837" xr:uid="{7877424E-A512-4952-B4C7-9632C92CAC3A}"/>
    <cellStyle name="Column Heading 3 2 32 6" xfId="18838" xr:uid="{8C6BB981-F580-4879-99EF-9D99561445A5}"/>
    <cellStyle name="Column Heading 3 2 32 7" xfId="18839" xr:uid="{E678CBC5-1E94-45F7-AB50-DE00119F05BB}"/>
    <cellStyle name="Column Heading 3 2 33" xfId="739" xr:uid="{01B8231C-603E-4507-96A0-050E0F053113}"/>
    <cellStyle name="Column Heading 3 2 33 2" xfId="12680" xr:uid="{F5935F2F-C872-42F6-BB77-E3D38228D336}"/>
    <cellStyle name="Column Heading 3 2 33 2 2" xfId="18840" xr:uid="{77A82514-7B85-4235-B349-329222587C6C}"/>
    <cellStyle name="Column Heading 3 2 33 2 3" xfId="18841" xr:uid="{80094778-977E-4F0B-A288-19DE492E6489}"/>
    <cellStyle name="Column Heading 3 2 33 2 4" xfId="18842" xr:uid="{9843B714-B747-4530-9D81-AD5DCCB83D2D}"/>
    <cellStyle name="Column Heading 3 2 33 2 5" xfId="18843" xr:uid="{59F93A2C-239A-4484-AD37-77416923719C}"/>
    <cellStyle name="Column Heading 3 2 33 2 6" xfId="18844" xr:uid="{39E81A13-ADCC-4E13-B2A0-076FA234A705}"/>
    <cellStyle name="Column Heading 3 2 33 3" xfId="18845" xr:uid="{7A6A0386-55CF-498C-AF02-13B551E062CD}"/>
    <cellStyle name="Column Heading 3 2 33 4" xfId="18846" xr:uid="{8673165A-9FA4-4CC8-9EC5-7C90E8F5E411}"/>
    <cellStyle name="Column Heading 3 2 33 5" xfId="18847" xr:uid="{631D0B01-EB8E-4631-A9BB-BFD60ABC5549}"/>
    <cellStyle name="Column Heading 3 2 33 6" xfId="18848" xr:uid="{8856185C-2902-4683-B114-E816394AFC0D}"/>
    <cellStyle name="Column Heading 3 2 33 7" xfId="18849" xr:uid="{700A031E-987F-462F-94F9-A8AD1648FC54}"/>
    <cellStyle name="Column Heading 3 2 34" xfId="740" xr:uid="{FBC764FF-7DF0-4BB1-B778-226A5316263D}"/>
    <cellStyle name="Column Heading 3 2 34 2" xfId="12764" xr:uid="{46F1EBA3-2AE3-41FF-AC6D-B38019E87732}"/>
    <cellStyle name="Column Heading 3 2 34 2 2" xfId="18850" xr:uid="{1D6E636D-8D77-4A2A-9250-B37E990C8E5C}"/>
    <cellStyle name="Column Heading 3 2 34 2 3" xfId="18851" xr:uid="{161D3D7F-56AC-41F5-98AD-E86610E1AF6A}"/>
    <cellStyle name="Column Heading 3 2 34 2 4" xfId="18852" xr:uid="{3733880F-C027-4602-85BB-D069024EEA72}"/>
    <cellStyle name="Column Heading 3 2 34 2 5" xfId="18853" xr:uid="{194FA5F0-88AC-4B82-A791-46A463EDE8CD}"/>
    <cellStyle name="Column Heading 3 2 34 2 6" xfId="18854" xr:uid="{89932AC8-35A3-43D5-8FB9-1CCCF19564C6}"/>
    <cellStyle name="Column Heading 3 2 34 3" xfId="18855" xr:uid="{68F12206-4604-4CED-989A-3FBD5F291476}"/>
    <cellStyle name="Column Heading 3 2 34 4" xfId="18856" xr:uid="{1B0B9E05-A4BB-423A-A7D3-CDAB379B1E88}"/>
    <cellStyle name="Column Heading 3 2 34 5" xfId="18857" xr:uid="{2134DB7A-1307-4620-859A-51D4A6909FD9}"/>
    <cellStyle name="Column Heading 3 2 34 6" xfId="18858" xr:uid="{F28E6000-4168-4C02-A356-EA3D15BF235F}"/>
    <cellStyle name="Column Heading 3 2 35" xfId="9830" xr:uid="{23308A1A-3612-4EDF-825D-CC9E595734F4}"/>
    <cellStyle name="Column Heading 3 2 35 2" xfId="18859" xr:uid="{8B12710A-1F20-487E-9ECF-887364318C37}"/>
    <cellStyle name="Column Heading 3 2 35 3" xfId="18860" xr:uid="{5AA4CBA0-4E76-407A-B217-12078E70B0D9}"/>
    <cellStyle name="Column Heading 3 2 35 4" xfId="18861" xr:uid="{04456FDE-3D53-47FE-9C5B-FB056103F790}"/>
    <cellStyle name="Column Heading 3 2 35 5" xfId="18862" xr:uid="{23D49E06-7544-4767-8D9F-384155254D30}"/>
    <cellStyle name="Column Heading 3 2 35 6" xfId="18863" xr:uid="{467ACBA1-1CC8-4452-AE38-05CCEE57430F}"/>
    <cellStyle name="Column Heading 3 2 36" xfId="18864" xr:uid="{63A32AC8-706F-4157-A79F-9C930CA16391}"/>
    <cellStyle name="Column Heading 3 2 37" xfId="18865" xr:uid="{5C202846-C85E-45A2-9F29-703BB8F58643}"/>
    <cellStyle name="Column Heading 3 2 38" xfId="18866" xr:uid="{DF1EA084-FBEB-4B06-B80D-45B52DF94A27}"/>
    <cellStyle name="Column Heading 3 2 39" xfId="18867" xr:uid="{E57899B4-1F80-4559-B072-B039FF369BAD}"/>
    <cellStyle name="Column Heading 3 2 4" xfId="741" xr:uid="{24F46A45-71FA-4F9A-85D4-E825D1128E6A}"/>
    <cellStyle name="Column Heading 3 2 4 2" xfId="10224" xr:uid="{EDF3A7C6-41A4-4E7E-8EF7-3F546637D3BC}"/>
    <cellStyle name="Column Heading 3 2 4 2 2" xfId="18868" xr:uid="{37107DF1-8CD1-4AE7-B167-6A7A7D0412C0}"/>
    <cellStyle name="Column Heading 3 2 4 2 3" xfId="18869" xr:uid="{6E510636-AE43-40A4-B0CD-431D284B2738}"/>
    <cellStyle name="Column Heading 3 2 4 2 4" xfId="18870" xr:uid="{29D45112-0AF4-4B34-B8FD-04E4CC4A2A4E}"/>
    <cellStyle name="Column Heading 3 2 4 2 5" xfId="18871" xr:uid="{2AC45F67-EBD7-45DE-914C-C62FC7A9E2BD}"/>
    <cellStyle name="Column Heading 3 2 4 2 6" xfId="18872" xr:uid="{5E8AC721-65C0-42E7-81BA-2E3469CA9EFC}"/>
    <cellStyle name="Column Heading 3 2 4 3" xfId="18873" xr:uid="{D28501FD-B188-4454-BD3A-5313F033D2CE}"/>
    <cellStyle name="Column Heading 3 2 4 4" xfId="18874" xr:uid="{F14E8B91-C4F3-42DD-ADA2-48840FFC09C1}"/>
    <cellStyle name="Column Heading 3 2 4 5" xfId="18875" xr:uid="{7E5C88B8-4796-40B7-8C3A-4ACA6D451957}"/>
    <cellStyle name="Column Heading 3 2 4 6" xfId="18876" xr:uid="{F0912D9C-C136-4ED1-98C9-FF8DDF2B51BF}"/>
    <cellStyle name="Column Heading 3 2 4 7" xfId="18877" xr:uid="{D60E7C7B-A0AE-4CD6-A618-2D9D4744FF07}"/>
    <cellStyle name="Column Heading 3 2 5" xfId="742" xr:uid="{05D913E5-E18F-4772-8952-2FE57A3939D9}"/>
    <cellStyle name="Column Heading 3 2 5 2" xfId="10310" xr:uid="{E15CA98D-454B-4D45-84B6-948D72E7A5CE}"/>
    <cellStyle name="Column Heading 3 2 5 2 2" xfId="18878" xr:uid="{9EB32658-258C-4BF5-95FD-9ABA9D55A118}"/>
    <cellStyle name="Column Heading 3 2 5 2 3" xfId="18879" xr:uid="{72B043B7-4A85-4659-8AB6-2A87922AB91F}"/>
    <cellStyle name="Column Heading 3 2 5 2 4" xfId="18880" xr:uid="{39515188-99E9-4C1C-ADC3-C2BD02A6DDB2}"/>
    <cellStyle name="Column Heading 3 2 5 2 5" xfId="18881" xr:uid="{F25147E6-6D11-4CE6-9431-5804E9CF89D5}"/>
    <cellStyle name="Column Heading 3 2 5 2 6" xfId="18882" xr:uid="{419DCB38-0D3C-492C-9AE4-B3CFD82C0162}"/>
    <cellStyle name="Column Heading 3 2 5 3" xfId="18883" xr:uid="{29937808-2AC4-4AB0-8614-4E61B5B6A406}"/>
    <cellStyle name="Column Heading 3 2 5 4" xfId="18884" xr:uid="{22D74DAB-CE23-4AAD-BD0E-DA48BEAB9384}"/>
    <cellStyle name="Column Heading 3 2 5 5" xfId="18885" xr:uid="{A6A62C63-D19B-46AD-B22A-88EF2572F8E2}"/>
    <cellStyle name="Column Heading 3 2 5 6" xfId="18886" xr:uid="{037DDEBA-599B-4369-89D5-86C900BE10FB}"/>
    <cellStyle name="Column Heading 3 2 5 7" xfId="18887" xr:uid="{DBAE4B21-22A1-48F2-A2CD-41B266779244}"/>
    <cellStyle name="Column Heading 3 2 6" xfId="743" xr:uid="{36E82819-4B5F-42FF-8B32-8926972F74DA}"/>
    <cellStyle name="Column Heading 3 2 6 2" xfId="10398" xr:uid="{09A81BC5-A3BB-48F3-9F76-B4B39794E7A4}"/>
    <cellStyle name="Column Heading 3 2 6 2 2" xfId="18888" xr:uid="{6A732D69-4CAB-4F2E-96A5-28BC2441C74B}"/>
    <cellStyle name="Column Heading 3 2 6 2 3" xfId="18889" xr:uid="{B3F77A67-C7D4-4FB4-BA81-98879EAE0578}"/>
    <cellStyle name="Column Heading 3 2 6 2 4" xfId="18890" xr:uid="{632424CD-ECD9-47BF-B579-692B56343B7E}"/>
    <cellStyle name="Column Heading 3 2 6 2 5" xfId="18891" xr:uid="{03A5AB95-82FB-4419-A484-F0778E8B93D5}"/>
    <cellStyle name="Column Heading 3 2 6 2 6" xfId="18892" xr:uid="{8E584A25-5B07-4CBD-BE45-27162A862A69}"/>
    <cellStyle name="Column Heading 3 2 6 3" xfId="18893" xr:uid="{FCC159DE-8816-4516-9DE5-35E673E72734}"/>
    <cellStyle name="Column Heading 3 2 6 4" xfId="18894" xr:uid="{EEA39200-8F21-4DFD-A293-46BE39E6AEE9}"/>
    <cellStyle name="Column Heading 3 2 6 5" xfId="18895" xr:uid="{C9C7B93D-0F85-401A-9FF1-A2574BC7B156}"/>
    <cellStyle name="Column Heading 3 2 6 6" xfId="18896" xr:uid="{6D408CB5-7E6C-4BA6-B079-AE2FF09FE25D}"/>
    <cellStyle name="Column Heading 3 2 6 7" xfId="18897" xr:uid="{6E287EAD-3AAA-459D-B6F9-3218F5BF7971}"/>
    <cellStyle name="Column Heading 3 2 7" xfId="744" xr:uid="{0285E07F-26E9-4325-971D-DE7E6277AE37}"/>
    <cellStyle name="Column Heading 3 2 7 2" xfId="10485" xr:uid="{D9949D7F-4121-490C-8125-AADAE90DEDD5}"/>
    <cellStyle name="Column Heading 3 2 7 2 2" xfId="18898" xr:uid="{BADC3711-4C11-429F-9175-61C65B2F22D1}"/>
    <cellStyle name="Column Heading 3 2 7 2 3" xfId="18899" xr:uid="{0ED4E42D-8898-4414-A5C8-E6F512609035}"/>
    <cellStyle name="Column Heading 3 2 7 2 4" xfId="18900" xr:uid="{6F487D2D-299B-4BF0-B072-49E300F0C2BA}"/>
    <cellStyle name="Column Heading 3 2 7 2 5" xfId="18901" xr:uid="{E03B78C7-F8A8-462B-8760-2B062D024784}"/>
    <cellStyle name="Column Heading 3 2 7 2 6" xfId="18902" xr:uid="{AEBDAC05-179A-4C91-8477-AC593C1A55E4}"/>
    <cellStyle name="Column Heading 3 2 7 3" xfId="18903" xr:uid="{0D1B04A2-67A3-4F70-8748-205423BDC789}"/>
    <cellStyle name="Column Heading 3 2 7 4" xfId="18904" xr:uid="{68DF8ABA-74CA-44B6-86C4-392742176667}"/>
    <cellStyle name="Column Heading 3 2 7 5" xfId="18905" xr:uid="{9A2C9204-2865-4FC3-B1AE-8A9BC0D3CE55}"/>
    <cellStyle name="Column Heading 3 2 7 6" xfId="18906" xr:uid="{E2DB5375-0F2B-4634-9AD9-4895A9DCBD77}"/>
    <cellStyle name="Column Heading 3 2 7 7" xfId="18907" xr:uid="{5441BFCA-6EAC-44D2-A535-692CDFD3F770}"/>
    <cellStyle name="Column Heading 3 2 8" xfId="745" xr:uid="{28D78198-4C98-40FE-BC8D-741BCA7FE8FD}"/>
    <cellStyle name="Column Heading 3 2 8 2" xfId="10573" xr:uid="{18F58983-7F90-47C4-B1D2-DC41836D98A7}"/>
    <cellStyle name="Column Heading 3 2 8 2 2" xfId="18908" xr:uid="{E5DC60C7-8C39-4DCC-B625-78A04A54961D}"/>
    <cellStyle name="Column Heading 3 2 8 2 3" xfId="18909" xr:uid="{0FA6DB60-9CBE-4646-BC12-7A30DDEDC308}"/>
    <cellStyle name="Column Heading 3 2 8 2 4" xfId="18910" xr:uid="{F5239DAA-5154-4845-89CB-0F1527707027}"/>
    <cellStyle name="Column Heading 3 2 8 2 5" xfId="18911" xr:uid="{6C19E2E4-C1DC-4D58-8D1B-0B2DA7F1197A}"/>
    <cellStyle name="Column Heading 3 2 8 2 6" xfId="18912" xr:uid="{BECB95FF-CD21-4E3A-B7E4-D5C5AD972795}"/>
    <cellStyle name="Column Heading 3 2 8 3" xfId="18913" xr:uid="{22295729-25CF-4F14-B729-A28985B442BF}"/>
    <cellStyle name="Column Heading 3 2 8 4" xfId="18914" xr:uid="{EE2E16C4-CBB0-4FE9-AA52-0A74C4118A1C}"/>
    <cellStyle name="Column Heading 3 2 8 5" xfId="18915" xr:uid="{A6BB4AC7-6D6D-4660-B9D5-3092D433132F}"/>
    <cellStyle name="Column Heading 3 2 8 6" xfId="18916" xr:uid="{D83DCFB8-6294-4627-88F6-72085DCCD42C}"/>
    <cellStyle name="Column Heading 3 2 8 7" xfId="18917" xr:uid="{D8832859-7F41-44CB-A8AF-02569AB7A671}"/>
    <cellStyle name="Column Heading 3 2 9" xfId="746" xr:uid="{27D48E49-72FA-4CAA-8D1E-01EC129A3E95}"/>
    <cellStyle name="Column Heading 3 2 9 2" xfId="10655" xr:uid="{22FE59AF-BC3A-4E08-A934-364354755DBC}"/>
    <cellStyle name="Column Heading 3 2 9 2 2" xfId="18918" xr:uid="{6DCD3F9C-B465-4512-A2FC-9A8F8C3060C7}"/>
    <cellStyle name="Column Heading 3 2 9 2 3" xfId="18919" xr:uid="{5C23D081-C195-4AC7-A3A7-4A538D923AA2}"/>
    <cellStyle name="Column Heading 3 2 9 2 4" xfId="18920" xr:uid="{36B8CCE2-CDA5-4FE0-B110-FBA1CF3B202F}"/>
    <cellStyle name="Column Heading 3 2 9 2 5" xfId="18921" xr:uid="{93ECE772-5A95-4878-95C1-A8F102288D4F}"/>
    <cellStyle name="Column Heading 3 2 9 2 6" xfId="18922" xr:uid="{E1594314-CEB1-4599-947C-95FA2D7CD3C8}"/>
    <cellStyle name="Column Heading 3 2 9 3" xfId="18923" xr:uid="{2CB273BB-DB8E-4A67-8CB4-3AFF1654C217}"/>
    <cellStyle name="Column Heading 3 2 9 4" xfId="18924" xr:uid="{88D598AC-1DC7-4C0F-AAA8-29C7C39140A4}"/>
    <cellStyle name="Column Heading 3 2 9 5" xfId="18925" xr:uid="{743ECE9A-3B7F-47A3-B6C0-5C565FFEBD43}"/>
    <cellStyle name="Column Heading 3 2 9 6" xfId="18926" xr:uid="{BC27AA29-C567-4F61-BF3C-20EEF58FBA07}"/>
    <cellStyle name="Column Heading 3 2 9 7" xfId="18927" xr:uid="{6C98E23E-5EB0-4A34-A27E-323F55393E70}"/>
    <cellStyle name="Column Heading 3 20" xfId="747" xr:uid="{971384DF-17BA-4119-892E-DE28B06BD7FD}"/>
    <cellStyle name="Column Heading 3 20 2" xfId="11502" xr:uid="{6413CFE2-29C9-4C68-9746-A91345A4CADB}"/>
    <cellStyle name="Column Heading 3 20 2 2" xfId="18928" xr:uid="{7596CCFC-E3FD-49FA-83C6-C4F0D634ECE1}"/>
    <cellStyle name="Column Heading 3 20 2 3" xfId="18929" xr:uid="{CBE0C473-9B67-4610-9AE3-131D3BF82A67}"/>
    <cellStyle name="Column Heading 3 20 2 4" xfId="18930" xr:uid="{82F6E84D-47B6-472F-9C53-CEE1AEDE7E79}"/>
    <cellStyle name="Column Heading 3 20 2 5" xfId="18931" xr:uid="{D3C1817E-0788-4E3D-AA09-93B900814EE3}"/>
    <cellStyle name="Column Heading 3 20 2 6" xfId="18932" xr:uid="{F0D6033B-0B1C-4F6D-9D30-2011B7A45738}"/>
    <cellStyle name="Column Heading 3 20 3" xfId="18933" xr:uid="{F3BAF5F6-54DD-4AE1-8155-E8B9F0808BE7}"/>
    <cellStyle name="Column Heading 3 20 4" xfId="18934" xr:uid="{27A2FF95-D7B6-4A50-9C07-91A0EDD0FACF}"/>
    <cellStyle name="Column Heading 3 20 5" xfId="18935" xr:uid="{CB20D2E0-D63C-42F3-A6E1-63DA247A213C}"/>
    <cellStyle name="Column Heading 3 20 6" xfId="18936" xr:uid="{8826CBEA-A98C-4AD1-BF69-8F5A3DE1A783}"/>
    <cellStyle name="Column Heading 3 20 7" xfId="18937" xr:uid="{357817D1-EC99-41AA-83D5-F4408DBA24C7}"/>
    <cellStyle name="Column Heading 3 21" xfId="748" xr:uid="{58D44888-65EE-4706-B6B8-78DD28E3F052}"/>
    <cellStyle name="Column Heading 3 21 2" xfId="11590" xr:uid="{FB52A01C-7DA7-40CE-BBEA-8E0D4034F705}"/>
    <cellStyle name="Column Heading 3 21 2 2" xfId="18938" xr:uid="{2A4C0287-B2C9-4A52-8D61-DC6C985AD13C}"/>
    <cellStyle name="Column Heading 3 21 2 3" xfId="18939" xr:uid="{75136DFA-EFB8-4343-85D5-5B17A9BDEC68}"/>
    <cellStyle name="Column Heading 3 21 2 4" xfId="18940" xr:uid="{C9639258-EA8A-422A-A707-851773676521}"/>
    <cellStyle name="Column Heading 3 21 2 5" xfId="18941" xr:uid="{56AA36CA-BBD5-46DE-85E3-A77C2355F99C}"/>
    <cellStyle name="Column Heading 3 21 2 6" xfId="18942" xr:uid="{794294BC-9C96-4522-BE88-FB90C46E1823}"/>
    <cellStyle name="Column Heading 3 21 3" xfId="18943" xr:uid="{8C5E62E2-586B-4377-8779-72B6D9F8FD6A}"/>
    <cellStyle name="Column Heading 3 21 4" xfId="18944" xr:uid="{4CE6A1B0-A843-4489-AE09-3D5B1E7BC8A9}"/>
    <cellStyle name="Column Heading 3 21 5" xfId="18945" xr:uid="{201A3B72-3709-459F-AB7D-5E9D7DA64622}"/>
    <cellStyle name="Column Heading 3 21 6" xfId="18946" xr:uid="{32792DB1-3B6F-418E-997A-52C5D1FF4C9A}"/>
    <cellStyle name="Column Heading 3 21 7" xfId="18947" xr:uid="{AC021D64-E828-433F-BC2F-A3C46253EA0E}"/>
    <cellStyle name="Column Heading 3 22" xfId="749" xr:uid="{4AC87AE7-19D6-4C93-8D22-ECF0BC92C13E}"/>
    <cellStyle name="Column Heading 3 22 2" xfId="11675" xr:uid="{B1B8A4A3-DE1D-40EB-AC8F-48B15062C53E}"/>
    <cellStyle name="Column Heading 3 22 2 2" xfId="18948" xr:uid="{6ED51E0E-CC6B-4443-92F1-68E7CAB2313D}"/>
    <cellStyle name="Column Heading 3 22 2 3" xfId="18949" xr:uid="{6CBF4F89-44BD-4CE9-ABE2-7D6FD9CF5DE5}"/>
    <cellStyle name="Column Heading 3 22 2 4" xfId="18950" xr:uid="{C2A139A4-A292-4263-8DF3-D1907A5C18D7}"/>
    <cellStyle name="Column Heading 3 22 2 5" xfId="18951" xr:uid="{18308574-DAF7-4A8C-8FA9-B50FE5F6FE70}"/>
    <cellStyle name="Column Heading 3 22 2 6" xfId="18952" xr:uid="{BD346F2F-4AFC-4C3A-B257-717A46C32C34}"/>
    <cellStyle name="Column Heading 3 22 3" xfId="18953" xr:uid="{95638FB9-982F-4CFA-BFF6-2A762FC8AD77}"/>
    <cellStyle name="Column Heading 3 22 4" xfId="18954" xr:uid="{BB0DDDD5-1324-4B86-B7D1-5BCC806CE190}"/>
    <cellStyle name="Column Heading 3 22 5" xfId="18955" xr:uid="{42F51FBD-A466-4345-9823-5E94289A743D}"/>
    <cellStyle name="Column Heading 3 22 6" xfId="18956" xr:uid="{0FA2D652-6BE8-4485-9D06-00FFBB186CB3}"/>
    <cellStyle name="Column Heading 3 22 7" xfId="18957" xr:uid="{6554F315-73A3-4F6B-9EFE-6F8901241C6C}"/>
    <cellStyle name="Column Heading 3 23" xfId="750" xr:uid="{82DE0AED-A158-46E4-8A5A-AB8F26AC57C1}"/>
    <cellStyle name="Column Heading 3 23 2" xfId="11758" xr:uid="{C0EBCBEA-7EA1-4C41-A87F-3594528A4264}"/>
    <cellStyle name="Column Heading 3 23 2 2" xfId="18958" xr:uid="{AA30C26D-9EDA-45B0-A521-DD4F4D6FDEE1}"/>
    <cellStyle name="Column Heading 3 23 2 3" xfId="18959" xr:uid="{9500F08E-F355-4901-972B-42D27132FBDD}"/>
    <cellStyle name="Column Heading 3 23 2 4" xfId="18960" xr:uid="{5A8987ED-EDE4-4D89-AF61-FAC34B63F72C}"/>
    <cellStyle name="Column Heading 3 23 2 5" xfId="18961" xr:uid="{3FA99988-567F-48BA-81D7-D7FCB028B867}"/>
    <cellStyle name="Column Heading 3 23 2 6" xfId="18962" xr:uid="{0FBFE4A0-D1C9-46B8-B219-B620A2005D87}"/>
    <cellStyle name="Column Heading 3 23 3" xfId="18963" xr:uid="{72D305C1-50F1-4003-9812-EBB617E62F3D}"/>
    <cellStyle name="Column Heading 3 23 4" xfId="18964" xr:uid="{62188A5D-FDEE-410A-AA5F-239FAB6BA157}"/>
    <cellStyle name="Column Heading 3 23 5" xfId="18965" xr:uid="{41D6B737-3E8E-4FAE-B569-B6EF8C022DD3}"/>
    <cellStyle name="Column Heading 3 23 6" xfId="18966" xr:uid="{2FA78B2C-F7D5-4464-A49A-7CEBD74DD963}"/>
    <cellStyle name="Column Heading 3 23 7" xfId="18967" xr:uid="{D342DF27-0706-4E8E-A52E-0DCB927E30F4}"/>
    <cellStyle name="Column Heading 3 24" xfId="751" xr:uid="{745EE64C-4680-42C2-A09F-0F5B1E5EF472}"/>
    <cellStyle name="Column Heading 3 24 2" xfId="11840" xr:uid="{A48DA4D0-1BC4-43AD-AAED-6E0B623DBB13}"/>
    <cellStyle name="Column Heading 3 24 2 2" xfId="18968" xr:uid="{84E70585-7544-4817-A6B4-3709322C9A7C}"/>
    <cellStyle name="Column Heading 3 24 2 3" xfId="18969" xr:uid="{4298F69B-531F-4395-AAD6-CD7F175727BC}"/>
    <cellStyle name="Column Heading 3 24 2 4" xfId="18970" xr:uid="{FF261AA9-4790-4FD8-AB5B-75DE6AF5EE79}"/>
    <cellStyle name="Column Heading 3 24 2 5" xfId="18971" xr:uid="{8DBB70A4-2424-4885-AC9F-08425B63D702}"/>
    <cellStyle name="Column Heading 3 24 2 6" xfId="18972" xr:uid="{73F07A35-D97A-4315-8FA9-B78220197837}"/>
    <cellStyle name="Column Heading 3 24 3" xfId="18973" xr:uid="{0126ACB2-CC56-4A9B-A180-955FAABA584A}"/>
    <cellStyle name="Column Heading 3 24 4" xfId="18974" xr:uid="{4C100EE0-C0EF-4DBC-9F25-696B2F9780CB}"/>
    <cellStyle name="Column Heading 3 24 5" xfId="18975" xr:uid="{9A21A648-3F3B-47BE-BB7C-987ECEB6CC48}"/>
    <cellStyle name="Column Heading 3 24 6" xfId="18976" xr:uid="{F4BF8C01-783C-407E-8E69-9E8B7B260199}"/>
    <cellStyle name="Column Heading 3 24 7" xfId="18977" xr:uid="{0DF5B04F-3AA2-40A6-B492-4A02A67C9151}"/>
    <cellStyle name="Column Heading 3 25" xfId="752" xr:uid="{7A4C83A2-62FE-462B-8F79-13DC75C85057}"/>
    <cellStyle name="Column Heading 3 25 2" xfId="11924" xr:uid="{130508CC-262E-4A49-AFF4-DD4C1038F406}"/>
    <cellStyle name="Column Heading 3 25 2 2" xfId="18978" xr:uid="{79D8E661-4FDE-411F-B308-D1FDE3965234}"/>
    <cellStyle name="Column Heading 3 25 2 3" xfId="18979" xr:uid="{1C7D117E-65D1-41D9-9F4D-E1981C38D0A7}"/>
    <cellStyle name="Column Heading 3 25 2 4" xfId="18980" xr:uid="{15691A10-82D5-4996-A2D2-7CC14CB03858}"/>
    <cellStyle name="Column Heading 3 25 2 5" xfId="18981" xr:uid="{0F0DFB31-D661-4D30-AC6D-C046E26E6E09}"/>
    <cellStyle name="Column Heading 3 25 2 6" xfId="18982" xr:uid="{0359FB55-5481-460A-8524-2E3C48E128A0}"/>
    <cellStyle name="Column Heading 3 25 3" xfId="18983" xr:uid="{A461A0F1-05AF-45B8-BFB4-8259548F1AD9}"/>
    <cellStyle name="Column Heading 3 25 4" xfId="18984" xr:uid="{D85CB468-6B34-4D0B-9136-82FD6E2C3833}"/>
    <cellStyle name="Column Heading 3 25 5" xfId="18985" xr:uid="{24333D3A-C129-44EF-A778-B2727A949620}"/>
    <cellStyle name="Column Heading 3 25 6" xfId="18986" xr:uid="{B7810B15-C0D7-4E88-A857-2A9BDEA67BD5}"/>
    <cellStyle name="Column Heading 3 25 7" xfId="18987" xr:uid="{B2FCEE56-6F7D-4909-8E2F-05F746C19FED}"/>
    <cellStyle name="Column Heading 3 26" xfId="753" xr:uid="{694A173C-35A7-41FE-8985-33C38351B9CD}"/>
    <cellStyle name="Column Heading 3 26 2" xfId="12008" xr:uid="{8ACBA87E-FA7D-4DB8-803A-6991674293C5}"/>
    <cellStyle name="Column Heading 3 26 2 2" xfId="18988" xr:uid="{F536E63E-7221-40D7-A51A-2D3DA41D7733}"/>
    <cellStyle name="Column Heading 3 26 2 3" xfId="18989" xr:uid="{1AA41FA4-0489-4C41-99EC-784FAF071743}"/>
    <cellStyle name="Column Heading 3 26 2 4" xfId="18990" xr:uid="{0C70942F-1D36-4493-BE57-15A7219786A5}"/>
    <cellStyle name="Column Heading 3 26 2 5" xfId="18991" xr:uid="{8B8297DF-1327-4C42-AF0F-EB75C2242025}"/>
    <cellStyle name="Column Heading 3 26 2 6" xfId="18992" xr:uid="{87407096-3614-4736-9205-BCACE59BE3B0}"/>
    <cellStyle name="Column Heading 3 26 3" xfId="18993" xr:uid="{FC41D0A4-D40D-49A7-B3A2-27D0AD38E7D7}"/>
    <cellStyle name="Column Heading 3 26 4" xfId="18994" xr:uid="{093BCFAF-4A0E-4A44-9983-0AC830DA6C39}"/>
    <cellStyle name="Column Heading 3 26 5" xfId="18995" xr:uid="{A428632A-D8D1-4631-8120-4465AC1CA852}"/>
    <cellStyle name="Column Heading 3 26 6" xfId="18996" xr:uid="{DC6C326D-733F-4EA8-B6A3-5AD31C5FE293}"/>
    <cellStyle name="Column Heading 3 26 7" xfId="18997" xr:uid="{A7BD2836-F98E-44C6-BBDF-818511591EB8}"/>
    <cellStyle name="Column Heading 3 27" xfId="754" xr:uid="{2A0E7B66-9B18-4BAB-9260-BDDA710F061D}"/>
    <cellStyle name="Column Heading 3 27 2" xfId="12091" xr:uid="{AC57A52C-95CF-416C-AD58-F29D3C6B9108}"/>
    <cellStyle name="Column Heading 3 27 2 2" xfId="18998" xr:uid="{8E748DC9-D277-42F1-AECC-AD93A9935E61}"/>
    <cellStyle name="Column Heading 3 27 2 3" xfId="18999" xr:uid="{40B00EEA-46F3-4904-94E0-DD921F290EC7}"/>
    <cellStyle name="Column Heading 3 27 2 4" xfId="19000" xr:uid="{F8BFB01A-368D-467D-90FE-987E08AE368C}"/>
    <cellStyle name="Column Heading 3 27 2 5" xfId="19001" xr:uid="{706CF5A5-F933-4576-8977-4C9C673EF035}"/>
    <cellStyle name="Column Heading 3 27 2 6" xfId="19002" xr:uid="{B16FC1D8-7EF6-46C8-9F02-8F053C7D565A}"/>
    <cellStyle name="Column Heading 3 27 3" xfId="19003" xr:uid="{B7EEE3BA-2AE8-49A3-B2CB-A75181ABCC0F}"/>
    <cellStyle name="Column Heading 3 27 4" xfId="19004" xr:uid="{2D4A0E2A-2BEE-48A7-9DFB-6DC74EC4D599}"/>
    <cellStyle name="Column Heading 3 27 5" xfId="19005" xr:uid="{164212FB-DAFE-4445-9A49-84C4DECD1598}"/>
    <cellStyle name="Column Heading 3 27 6" xfId="19006" xr:uid="{599A90E0-96FD-4528-95E2-E92F2EDB03CF}"/>
    <cellStyle name="Column Heading 3 27 7" xfId="19007" xr:uid="{3BF91083-82BB-4222-8012-296466992959}"/>
    <cellStyle name="Column Heading 3 28" xfId="755" xr:uid="{A5CE10B2-4B13-4E5E-95CA-E9F5E17A49CB}"/>
    <cellStyle name="Column Heading 3 28 2" xfId="12173" xr:uid="{E1311499-5A55-4AE0-A9F8-AA1AFCF35EEC}"/>
    <cellStyle name="Column Heading 3 28 2 2" xfId="19008" xr:uid="{0D9C92CA-26AD-4EFB-9DA9-87D3114D3FF6}"/>
    <cellStyle name="Column Heading 3 28 2 3" xfId="19009" xr:uid="{5DED60D6-B5C5-4BE5-B256-2E702F4E62E0}"/>
    <cellStyle name="Column Heading 3 28 2 4" xfId="19010" xr:uid="{64CAA18D-294C-421B-BB51-153809537EB2}"/>
    <cellStyle name="Column Heading 3 28 2 5" xfId="19011" xr:uid="{CE037001-6E0C-4473-B987-30C8652B25CF}"/>
    <cellStyle name="Column Heading 3 28 2 6" xfId="19012" xr:uid="{4E2C14A1-452E-45B2-8463-E0800A939457}"/>
    <cellStyle name="Column Heading 3 28 3" xfId="19013" xr:uid="{6D31FC28-0DC3-4DE2-9A51-9F22D9B0CF87}"/>
    <cellStyle name="Column Heading 3 28 4" xfId="19014" xr:uid="{5FB67CCA-6D8C-4F35-A824-5C5EF72E720D}"/>
    <cellStyle name="Column Heading 3 28 5" xfId="19015" xr:uid="{35FBB605-7A6A-4F46-9325-630F8466541F}"/>
    <cellStyle name="Column Heading 3 28 6" xfId="19016" xr:uid="{DEFD4647-A7F3-44B0-A293-B04B3A288EF8}"/>
    <cellStyle name="Column Heading 3 28 7" xfId="19017" xr:uid="{C9FE23F8-5211-4418-9E98-90D3BF732E01}"/>
    <cellStyle name="Column Heading 3 29" xfId="756" xr:uid="{C6317AE3-A446-48ED-8D0D-8544673E193F}"/>
    <cellStyle name="Column Heading 3 29 2" xfId="12253" xr:uid="{AD32E935-EE43-4140-8DE1-A96C9DFE3771}"/>
    <cellStyle name="Column Heading 3 29 2 2" xfId="19018" xr:uid="{929CC937-FBC7-4634-BE05-94B2568A8350}"/>
    <cellStyle name="Column Heading 3 29 2 3" xfId="19019" xr:uid="{16090F80-61C0-4DC3-BE98-3C1B3DDBE1FD}"/>
    <cellStyle name="Column Heading 3 29 2 4" xfId="19020" xr:uid="{E86BADE5-7084-44A3-BDD0-C181EC4D5081}"/>
    <cellStyle name="Column Heading 3 29 2 5" xfId="19021" xr:uid="{D2C15F46-3685-4C57-AADA-6DBDEDC308EE}"/>
    <cellStyle name="Column Heading 3 29 2 6" xfId="19022" xr:uid="{EEE630E9-23CC-4412-B88F-42A892DC5D8E}"/>
    <cellStyle name="Column Heading 3 29 3" xfId="19023" xr:uid="{C905DF8A-A379-48F3-BC84-6C27BD224570}"/>
    <cellStyle name="Column Heading 3 29 4" xfId="19024" xr:uid="{C8957ED5-701A-487B-AC8A-DA4FEA5DA60F}"/>
    <cellStyle name="Column Heading 3 29 5" xfId="19025" xr:uid="{F148BFF9-7EFA-4C25-8E7B-A4E1F45FE338}"/>
    <cellStyle name="Column Heading 3 29 6" xfId="19026" xr:uid="{524329AA-B788-4E20-9CB0-A73E675700E8}"/>
    <cellStyle name="Column Heading 3 29 7" xfId="19027" xr:uid="{C90ADB1E-531A-4828-8902-914F4EE4A76C}"/>
    <cellStyle name="Column Heading 3 3" xfId="757" xr:uid="{50169262-BD41-4157-BF3C-5B992FCDA202}"/>
    <cellStyle name="Column Heading 3 3 2" xfId="10009" xr:uid="{02552A64-B935-4229-85A6-6185D70ED9BD}"/>
    <cellStyle name="Column Heading 3 3 2 2" xfId="19028" xr:uid="{AEC20493-8227-416D-B208-D322FD40F04B}"/>
    <cellStyle name="Column Heading 3 3 2 3" xfId="19029" xr:uid="{CE09D575-66DC-4684-986D-9AA27D1F50DA}"/>
    <cellStyle name="Column Heading 3 3 2 4" xfId="19030" xr:uid="{282790B1-9E20-4346-88DC-8E493D5A5032}"/>
    <cellStyle name="Column Heading 3 3 2 5" xfId="19031" xr:uid="{872405CD-5F8E-4664-857C-A05180B02371}"/>
    <cellStyle name="Column Heading 3 3 2 6" xfId="19032" xr:uid="{ABE1CBDA-FCAA-47F0-85BD-920F8F02DFF4}"/>
    <cellStyle name="Column Heading 3 3 3" xfId="19033" xr:uid="{A59DCCE5-3DE6-4ABD-BA5D-44D6709170E0}"/>
    <cellStyle name="Column Heading 3 3 4" xfId="19034" xr:uid="{474C3D20-8158-412A-AC4C-8D2B5659C2CA}"/>
    <cellStyle name="Column Heading 3 3 5" xfId="19035" xr:uid="{CBD94623-8649-4750-800C-1CADFE63954B}"/>
    <cellStyle name="Column Heading 3 3 6" xfId="19036" xr:uid="{A75773BB-DFFC-4910-B89D-4E2FF7CFEEBB}"/>
    <cellStyle name="Column Heading 3 3 7" xfId="19037" xr:uid="{E3E6491A-9A73-4F7E-96EC-6BF3B59C9DA0}"/>
    <cellStyle name="Column Heading 3 30" xfId="758" xr:uid="{3C62C1BC-6D64-45BC-AFEE-F6F71E13810C}"/>
    <cellStyle name="Column Heading 3 30 2" xfId="12331" xr:uid="{F63DBD60-AF6E-4FC3-B192-180CB086EBC3}"/>
    <cellStyle name="Column Heading 3 30 2 2" xfId="19038" xr:uid="{65922981-9246-49E8-9F9F-32F02803DC9B}"/>
    <cellStyle name="Column Heading 3 30 2 3" xfId="19039" xr:uid="{C929CA0E-E528-4517-9825-0D39822701FD}"/>
    <cellStyle name="Column Heading 3 30 2 4" xfId="19040" xr:uid="{4860C20E-AEF4-4517-9213-8F7943527213}"/>
    <cellStyle name="Column Heading 3 30 2 5" xfId="19041" xr:uid="{3F643790-3468-4E1F-9BD3-A0E6D12CC60F}"/>
    <cellStyle name="Column Heading 3 30 2 6" xfId="19042" xr:uid="{E14B69B9-5FD4-4C12-A8EB-601BF07816B5}"/>
    <cellStyle name="Column Heading 3 30 3" xfId="19043" xr:uid="{1E16C6A0-A4F3-4E1D-8318-BB94175896D8}"/>
    <cellStyle name="Column Heading 3 30 4" xfId="19044" xr:uid="{240D758C-DD0E-40EE-B6C7-3C5F237C3B41}"/>
    <cellStyle name="Column Heading 3 30 5" xfId="19045" xr:uid="{3EC210D6-F31E-4216-B728-9A820D755BA7}"/>
    <cellStyle name="Column Heading 3 30 6" xfId="19046" xr:uid="{F52ECDE2-EDEA-4272-BC38-77CA438AADAA}"/>
    <cellStyle name="Column Heading 3 30 7" xfId="19047" xr:uid="{748DEC1D-5DF5-497D-80AC-E0292FE87CF5}"/>
    <cellStyle name="Column Heading 3 31" xfId="759" xr:uid="{09AEFC60-CBE7-4959-BA14-435E779F2FC9}"/>
    <cellStyle name="Column Heading 3 31 2" xfId="12410" xr:uid="{F4B07BA5-01C3-426A-A711-342F2F89240E}"/>
    <cellStyle name="Column Heading 3 31 2 2" xfId="19048" xr:uid="{71815C04-0E93-4DEE-A27F-AE4550B09DAD}"/>
    <cellStyle name="Column Heading 3 31 2 3" xfId="19049" xr:uid="{5BE17F51-B12B-42FC-81D7-D1FFD3238A7A}"/>
    <cellStyle name="Column Heading 3 31 2 4" xfId="19050" xr:uid="{79ED45A7-1F35-4CB8-9C00-DAB33AC88F08}"/>
    <cellStyle name="Column Heading 3 31 2 5" xfId="19051" xr:uid="{AC247266-AF59-4817-8AB9-F5862B487E4B}"/>
    <cellStyle name="Column Heading 3 31 2 6" xfId="19052" xr:uid="{89591AD2-E0FA-42A3-8C48-02C993348A7E}"/>
    <cellStyle name="Column Heading 3 31 3" xfId="19053" xr:uid="{24084974-8D95-4107-81D0-AB578B335EAE}"/>
    <cellStyle name="Column Heading 3 31 4" xfId="19054" xr:uid="{3F4F1441-3C33-43A7-9D59-F85CACBCE3D3}"/>
    <cellStyle name="Column Heading 3 31 5" xfId="19055" xr:uid="{719FB1E9-B530-4BFC-9286-5823EDD29903}"/>
    <cellStyle name="Column Heading 3 31 6" xfId="19056" xr:uid="{827629A8-BFD9-4E76-A6E7-EA4AA0304197}"/>
    <cellStyle name="Column Heading 3 31 7" xfId="19057" xr:uid="{5BC90C14-1E1B-42B1-8820-686C71034B78}"/>
    <cellStyle name="Column Heading 3 32" xfId="760" xr:uid="{71FE7216-A81E-4CF7-AE06-6B92D039FD79}"/>
    <cellStyle name="Column Heading 3 32 2" xfId="12489" xr:uid="{54531919-2FFA-4F60-82AF-B4317CF867FB}"/>
    <cellStyle name="Column Heading 3 32 2 2" xfId="19058" xr:uid="{66814227-0132-4E2A-8D05-F3EAEF6376C1}"/>
    <cellStyle name="Column Heading 3 32 2 3" xfId="19059" xr:uid="{CD9900E1-F04B-45E9-92A7-5B8000F40CFC}"/>
    <cellStyle name="Column Heading 3 32 2 4" xfId="19060" xr:uid="{60AD1994-0494-4423-806E-A4DAEA721718}"/>
    <cellStyle name="Column Heading 3 32 2 5" xfId="19061" xr:uid="{34E0B256-8EB7-493B-BD6E-92BDEA658585}"/>
    <cellStyle name="Column Heading 3 32 2 6" xfId="19062" xr:uid="{F5B7CEBA-1D1E-4481-A1DB-1EE4145EE663}"/>
    <cellStyle name="Column Heading 3 32 3" xfId="19063" xr:uid="{7AFE0E3D-0D8A-41F0-8AC1-54F5E67AE3B4}"/>
    <cellStyle name="Column Heading 3 32 4" xfId="19064" xr:uid="{0F681026-8483-481C-940E-D5230AC2474F}"/>
    <cellStyle name="Column Heading 3 32 5" xfId="19065" xr:uid="{1B55BBA6-F843-4340-AFED-7CF9AC81C046}"/>
    <cellStyle name="Column Heading 3 32 6" xfId="19066" xr:uid="{D33F2749-D6F8-4BFC-91E9-9EE739A49CB9}"/>
    <cellStyle name="Column Heading 3 32 7" xfId="19067" xr:uid="{1589D4C3-4E3D-49B9-80DA-DAEE3D0820F8}"/>
    <cellStyle name="Column Heading 3 33" xfId="761" xr:uid="{D5E10648-53D7-489E-802F-EE44DC64598E}"/>
    <cellStyle name="Column Heading 3 33 2" xfId="12568" xr:uid="{D9640369-34BF-469C-8897-078206D9EB9D}"/>
    <cellStyle name="Column Heading 3 33 2 2" xfId="19068" xr:uid="{163590F9-31FD-41D7-9B24-59F2A3BA4E9F}"/>
    <cellStyle name="Column Heading 3 33 2 3" xfId="19069" xr:uid="{C9DFF504-EB92-4A7C-98CF-F01304DA41CC}"/>
    <cellStyle name="Column Heading 3 33 2 4" xfId="19070" xr:uid="{07FAF771-35D9-4EC7-8760-B2A177976353}"/>
    <cellStyle name="Column Heading 3 33 2 5" xfId="19071" xr:uid="{0F78325A-CB2D-4D16-85E0-D057BC6C575A}"/>
    <cellStyle name="Column Heading 3 33 2 6" xfId="19072" xr:uid="{C5C65C4A-5FF1-48D1-8CE4-06D3BE3EF5EC}"/>
    <cellStyle name="Column Heading 3 33 3" xfId="19073" xr:uid="{7683014C-E30B-465C-BE8A-AAB810359E24}"/>
    <cellStyle name="Column Heading 3 33 4" xfId="19074" xr:uid="{AA9E3503-AE89-43B8-9EED-71D7F0EDFF42}"/>
    <cellStyle name="Column Heading 3 33 5" xfId="19075" xr:uid="{D56B7EAB-C8B7-44A3-B836-F0702FEC6D49}"/>
    <cellStyle name="Column Heading 3 33 6" xfId="19076" xr:uid="{D894EB24-30F5-4BC8-B298-F7C7F05DF2F1}"/>
    <cellStyle name="Column Heading 3 33 7" xfId="19077" xr:uid="{AD382A7A-AF8D-4230-B0E4-378DC879BE5C}"/>
    <cellStyle name="Column Heading 3 34" xfId="762" xr:uid="{B02F21D2-6E43-4FAA-8A16-BEF14916FF33}"/>
    <cellStyle name="Column Heading 3 34 2" xfId="12647" xr:uid="{9C0B1EB7-E1F5-41D2-B55D-C8384CF633ED}"/>
    <cellStyle name="Column Heading 3 34 2 2" xfId="19078" xr:uid="{94184565-C33D-4428-81C8-95F4479AEB9E}"/>
    <cellStyle name="Column Heading 3 34 2 3" xfId="19079" xr:uid="{62DA5BA7-0C15-43E7-9362-217CF2316EA4}"/>
    <cellStyle name="Column Heading 3 34 2 4" xfId="19080" xr:uid="{015E74CE-CE03-4862-BA32-2565175A9241}"/>
    <cellStyle name="Column Heading 3 34 2 5" xfId="19081" xr:uid="{37BF18CF-5325-4601-AFC2-9952C2B5E943}"/>
    <cellStyle name="Column Heading 3 34 2 6" xfId="19082" xr:uid="{E6F00C48-5D31-4025-9B39-68A15AE17FF1}"/>
    <cellStyle name="Column Heading 3 34 3" xfId="19083" xr:uid="{3729B235-C486-4B35-9DD7-8D9CFA6EB2A7}"/>
    <cellStyle name="Column Heading 3 34 4" xfId="19084" xr:uid="{C1D83584-24FD-45DA-93FD-6A485C6CAB86}"/>
    <cellStyle name="Column Heading 3 34 5" xfId="19085" xr:uid="{5A7F8C44-0DAE-4D3F-AB53-9E1840CC5FA4}"/>
    <cellStyle name="Column Heading 3 34 6" xfId="19086" xr:uid="{0ADC7D95-A862-47E3-A14D-CE65A3F8BEB1}"/>
    <cellStyle name="Column Heading 3 34 7" xfId="19087" xr:uid="{9DE609C2-87EB-4A6B-BC43-082EB7277054}"/>
    <cellStyle name="Column Heading 3 35" xfId="763" xr:uid="{A06DEE06-ED5E-455F-9138-DF74456E6CB5}"/>
    <cellStyle name="Column Heading 3 35 2" xfId="12731" xr:uid="{C5ED7F88-5731-4262-B67A-61A5159A197E}"/>
    <cellStyle name="Column Heading 3 35 2 2" xfId="19088" xr:uid="{424A7704-4C4D-46BB-8250-DFF1D398F696}"/>
    <cellStyle name="Column Heading 3 35 2 3" xfId="19089" xr:uid="{AEF0463B-0FE6-4658-91E9-5DD42D038D26}"/>
    <cellStyle name="Column Heading 3 35 2 4" xfId="19090" xr:uid="{FFC21DAF-CE63-47EE-9664-AAECC3962621}"/>
    <cellStyle name="Column Heading 3 35 2 5" xfId="19091" xr:uid="{D65A0D2F-ED48-49B8-AD49-909E102C5A34}"/>
    <cellStyle name="Column Heading 3 35 2 6" xfId="19092" xr:uid="{67505463-221D-41B4-B63D-713C1D08229F}"/>
    <cellStyle name="Column Heading 3 35 3" xfId="19093" xr:uid="{15801B93-3686-4687-A6EE-814EF2015280}"/>
    <cellStyle name="Column Heading 3 35 4" xfId="19094" xr:uid="{13DFD28B-5F7C-44F2-9592-72A81D796BA0}"/>
    <cellStyle name="Column Heading 3 35 5" xfId="19095" xr:uid="{EE8B0824-E85D-4966-BB4C-99CB68C704F2}"/>
    <cellStyle name="Column Heading 3 35 6" xfId="19096" xr:uid="{AF5A992F-8AF8-4FBB-9012-326B01F11177}"/>
    <cellStyle name="Column Heading 3 36" xfId="9796" xr:uid="{C40EA4BA-BCC0-4055-850D-5FA62D584BD9}"/>
    <cellStyle name="Column Heading 3 36 2" xfId="19097" xr:uid="{FF3F6183-C020-4D7C-B041-930A7448B1E4}"/>
    <cellStyle name="Column Heading 3 36 3" xfId="19098" xr:uid="{E7FE4616-9BAA-43BA-967C-70A672777B87}"/>
    <cellStyle name="Column Heading 3 36 4" xfId="19099" xr:uid="{15CDE29C-6F36-4347-BB7E-CE53AC50A997}"/>
    <cellStyle name="Column Heading 3 36 5" xfId="19100" xr:uid="{77A33322-864D-43E1-B9E4-ED0DC6B0DA86}"/>
    <cellStyle name="Column Heading 3 36 6" xfId="19101" xr:uid="{DD8B8C7B-6157-4ACF-88FA-5D8A6FF77908}"/>
    <cellStyle name="Column Heading 3 37" xfId="19102" xr:uid="{5373E3F7-ECB5-410D-A1BD-ADE5F64A914A}"/>
    <cellStyle name="Column Heading 3 38" xfId="19103" xr:uid="{13584A1C-0CEC-4CE0-A39F-716DA1F3E54D}"/>
    <cellStyle name="Column Heading 3 39" xfId="19104" xr:uid="{FB88E2F4-CAD1-4207-BEFE-C1538BC1D055}"/>
    <cellStyle name="Column Heading 3 4" xfId="764" xr:uid="{FD1FE561-88E3-4934-B8B9-7AB40AB386D6}"/>
    <cellStyle name="Column Heading 3 4 2" xfId="10100" xr:uid="{758031DF-883D-4CB9-A559-0A6B9813D95E}"/>
    <cellStyle name="Column Heading 3 4 2 2" xfId="19105" xr:uid="{3D09B15E-5519-4804-B16C-949C444CF288}"/>
    <cellStyle name="Column Heading 3 4 2 3" xfId="19106" xr:uid="{FB7E6B6B-13E3-4C58-A8D0-EC30E5AE6068}"/>
    <cellStyle name="Column Heading 3 4 2 4" xfId="19107" xr:uid="{2D769117-93EB-4415-83DF-26FBAE5F28AE}"/>
    <cellStyle name="Column Heading 3 4 2 5" xfId="19108" xr:uid="{FB1014BC-DE2B-4881-B2A3-9EC93E7A4DEB}"/>
    <cellStyle name="Column Heading 3 4 2 6" xfId="19109" xr:uid="{4C80D441-D311-4458-8F19-2730EBB80625}"/>
    <cellStyle name="Column Heading 3 4 3" xfId="19110" xr:uid="{E2677CF3-705B-43DB-ACA7-A907E3FE334B}"/>
    <cellStyle name="Column Heading 3 4 4" xfId="19111" xr:uid="{5AA7CF76-B31A-4841-ACD8-DD6B49846D73}"/>
    <cellStyle name="Column Heading 3 4 5" xfId="19112" xr:uid="{241116F4-C8C8-4C9D-9D4B-380D2A4719A7}"/>
    <cellStyle name="Column Heading 3 4 6" xfId="19113" xr:uid="{79092D38-A6AF-48DA-B444-48DC3D72CCED}"/>
    <cellStyle name="Column Heading 3 4 7" xfId="19114" xr:uid="{9B5EE019-397F-4358-8117-7AFC8E7FAFAB}"/>
    <cellStyle name="Column Heading 3 5" xfId="765" xr:uid="{3165B3DF-0746-4A76-9352-60588511BAA5}"/>
    <cellStyle name="Column Heading 3 5 2" xfId="10190" xr:uid="{043930EF-313A-4117-98A1-EA6D44D1A8E2}"/>
    <cellStyle name="Column Heading 3 5 2 2" xfId="19115" xr:uid="{C518FE79-B990-418F-A767-EC30820E0C78}"/>
    <cellStyle name="Column Heading 3 5 2 3" xfId="19116" xr:uid="{E123DF3C-DBB1-403D-975E-6157EE9DA968}"/>
    <cellStyle name="Column Heading 3 5 2 4" xfId="19117" xr:uid="{D1A4E6DC-565B-41C7-BE13-C7D70C4BD802}"/>
    <cellStyle name="Column Heading 3 5 2 5" xfId="19118" xr:uid="{917A1126-EEEA-48C0-926B-C8637301055B}"/>
    <cellStyle name="Column Heading 3 5 2 6" xfId="19119" xr:uid="{8EEC4EC6-F802-4390-AAF4-0507D21683D6}"/>
    <cellStyle name="Column Heading 3 5 3" xfId="19120" xr:uid="{DCFBE95E-94D5-4FAB-97D9-D66868CA8763}"/>
    <cellStyle name="Column Heading 3 5 4" xfId="19121" xr:uid="{AB282407-9F56-4A7D-94CF-68984F5CED66}"/>
    <cellStyle name="Column Heading 3 5 5" xfId="19122" xr:uid="{E55979A4-0B07-4A65-AB3F-6C77246D54AE}"/>
    <cellStyle name="Column Heading 3 5 6" xfId="19123" xr:uid="{572CE08D-3159-4408-AE6B-6D6CD2C23757}"/>
    <cellStyle name="Column Heading 3 5 7" xfId="19124" xr:uid="{2FD77EDA-80E2-489E-9DED-1515C434E830}"/>
    <cellStyle name="Column Heading 3 6" xfId="766" xr:uid="{0059F224-2245-411E-96AE-A0B7378A7250}"/>
    <cellStyle name="Column Heading 3 6 2" xfId="10276" xr:uid="{3E13BAD4-442D-44E2-9EF4-C84EDAA1EFF2}"/>
    <cellStyle name="Column Heading 3 6 2 2" xfId="19125" xr:uid="{6497EF2A-8645-4137-8528-4BBA4F75EEDB}"/>
    <cellStyle name="Column Heading 3 6 2 3" xfId="19126" xr:uid="{62F3B95D-87AE-49D8-B8EE-FC0EE6B066D6}"/>
    <cellStyle name="Column Heading 3 6 2 4" xfId="19127" xr:uid="{A7723E48-382A-4D97-888A-BD845CC54FED}"/>
    <cellStyle name="Column Heading 3 6 2 5" xfId="19128" xr:uid="{1D3E0072-8527-4325-8913-7982757464E5}"/>
    <cellStyle name="Column Heading 3 6 2 6" xfId="19129" xr:uid="{385E9B90-3A1B-4DC6-AEEF-CB06EE5710D3}"/>
    <cellStyle name="Column Heading 3 6 3" xfId="19130" xr:uid="{06BB3D08-D4A8-40AE-99B3-E13B780FCB58}"/>
    <cellStyle name="Column Heading 3 6 4" xfId="19131" xr:uid="{ABF666E8-BB77-402F-A1B2-FB8DC20E9C59}"/>
    <cellStyle name="Column Heading 3 6 5" xfId="19132" xr:uid="{FC2A2131-E085-4985-AF68-4AEC2BED9A7C}"/>
    <cellStyle name="Column Heading 3 6 6" xfId="19133" xr:uid="{5A155A2F-11C0-4859-BEC5-3212E4BAD54F}"/>
    <cellStyle name="Column Heading 3 6 7" xfId="19134" xr:uid="{1F3B7299-7780-4B6B-AF5B-F8E9BC85B510}"/>
    <cellStyle name="Column Heading 3 7" xfId="767" xr:uid="{1E6A10E0-84FE-44CF-AB9E-D4A9D2B1BCDE}"/>
    <cellStyle name="Column Heading 3 7 2" xfId="10364" xr:uid="{96A999B8-AA13-4A53-9EB6-E607E7AE38AF}"/>
    <cellStyle name="Column Heading 3 7 2 2" xfId="19135" xr:uid="{C9868ED8-861B-4309-8B4E-DF1754F207F7}"/>
    <cellStyle name="Column Heading 3 7 2 3" xfId="19136" xr:uid="{75E52718-BEDF-46C9-AB23-E89779EB4D87}"/>
    <cellStyle name="Column Heading 3 7 2 4" xfId="19137" xr:uid="{8C29F202-531B-42F4-91B7-89FAEDAE8490}"/>
    <cellStyle name="Column Heading 3 7 2 5" xfId="19138" xr:uid="{689AB641-557B-403A-887A-965301D5271A}"/>
    <cellStyle name="Column Heading 3 7 2 6" xfId="19139" xr:uid="{8F73CE71-1341-4061-9F0E-9A6D48F79724}"/>
    <cellStyle name="Column Heading 3 7 3" xfId="19140" xr:uid="{CC549545-B2B4-464A-9782-F28DD190DEAD}"/>
    <cellStyle name="Column Heading 3 7 4" xfId="19141" xr:uid="{700F6BF3-F157-464D-873F-8167E7382657}"/>
    <cellStyle name="Column Heading 3 7 5" xfId="19142" xr:uid="{77D020B2-28CB-4D77-8C39-19DD37F55C0D}"/>
    <cellStyle name="Column Heading 3 7 6" xfId="19143" xr:uid="{171A7068-548B-409F-8675-FDECCAD0243D}"/>
    <cellStyle name="Column Heading 3 7 7" xfId="19144" xr:uid="{36356B9D-FA6D-4DB8-B2E1-DCFCE863987C}"/>
    <cellStyle name="Column Heading 3 8" xfId="768" xr:uid="{8CC2C919-79F4-4D43-98B2-6149CC29FBD0}"/>
    <cellStyle name="Column Heading 3 8 2" xfId="10451" xr:uid="{A3174F63-4523-4959-A612-39EF2FBB64B9}"/>
    <cellStyle name="Column Heading 3 8 2 2" xfId="19145" xr:uid="{300F43C8-BDE0-4EE8-8579-36052209A180}"/>
    <cellStyle name="Column Heading 3 8 2 3" xfId="19146" xr:uid="{3EACF40D-3F87-4AC1-BFA6-1EBA5E9024EF}"/>
    <cellStyle name="Column Heading 3 8 2 4" xfId="19147" xr:uid="{6DEE60E1-3423-4F45-A1C4-A84CA4FDFA6E}"/>
    <cellStyle name="Column Heading 3 8 2 5" xfId="19148" xr:uid="{5CECA3D3-0B3B-4963-998E-04F40D9C5AE7}"/>
    <cellStyle name="Column Heading 3 8 2 6" xfId="19149" xr:uid="{3A80F6CD-BBB5-4EC1-9D8B-AC4C079AB91F}"/>
    <cellStyle name="Column Heading 3 8 3" xfId="19150" xr:uid="{24338BF7-E85C-4CBD-AB9D-2F94832E6285}"/>
    <cellStyle name="Column Heading 3 8 4" xfId="19151" xr:uid="{B8445FFA-F7BE-4866-8B16-138423980E39}"/>
    <cellStyle name="Column Heading 3 8 5" xfId="19152" xr:uid="{79919859-93C3-4FAA-A475-57C25D99DFFE}"/>
    <cellStyle name="Column Heading 3 8 6" xfId="19153" xr:uid="{04CA67BC-203A-4474-A9F6-CEF29938083A}"/>
    <cellStyle name="Column Heading 3 8 7" xfId="19154" xr:uid="{99F31154-17DD-4691-9747-24979D115DEE}"/>
    <cellStyle name="Column Heading 3 9" xfId="769" xr:uid="{92B1A26F-A8E3-467B-8583-EF15FB80E9ED}"/>
    <cellStyle name="Column Heading 3 9 2" xfId="10540" xr:uid="{308B6871-474E-4A44-B8E7-683799D06B70}"/>
    <cellStyle name="Column Heading 3 9 2 2" xfId="19155" xr:uid="{8CBDFFC7-D4D6-4714-BB5C-1176868E628A}"/>
    <cellStyle name="Column Heading 3 9 2 3" xfId="19156" xr:uid="{6F8FAF3D-B70A-4142-820A-363A9759A03F}"/>
    <cellStyle name="Column Heading 3 9 2 4" xfId="19157" xr:uid="{37019896-B261-40CA-B0B7-FF46321B7D0A}"/>
    <cellStyle name="Column Heading 3 9 2 5" xfId="19158" xr:uid="{C5B85141-7575-48C1-B5B0-534D7EB0B181}"/>
    <cellStyle name="Column Heading 3 9 2 6" xfId="19159" xr:uid="{54B58897-B4C8-4300-8476-064902866985}"/>
    <cellStyle name="Column Heading 3 9 3" xfId="19160" xr:uid="{2B990A84-B5EA-43AF-8AD0-CEDD8CCED78F}"/>
    <cellStyle name="Column Heading 3 9 4" xfId="19161" xr:uid="{45C4BE27-98C1-42FF-A5DB-F3D7FC4DAECB}"/>
    <cellStyle name="Column Heading 3 9 5" xfId="19162" xr:uid="{657229C6-92E9-4AA4-AA7F-0581D70BB372}"/>
    <cellStyle name="Column Heading 3 9 6" xfId="19163" xr:uid="{B38DD640-304A-44C2-952E-63BE4D715F47}"/>
    <cellStyle name="Column Heading 3 9 7" xfId="19164" xr:uid="{6CD4279B-84FC-455D-95FB-41DC3C506120}"/>
    <cellStyle name="Column Heading 4" xfId="770" xr:uid="{9A35BB03-160B-49DE-A48F-97CD867E6B07}"/>
    <cellStyle name="Column Heading 4 10" xfId="771" xr:uid="{63B41F59-F8C6-42B6-B830-4F7BDAFE9210}"/>
    <cellStyle name="Column Heading 4 10 2" xfId="10691" xr:uid="{5BB3A946-4D95-41EC-8E32-CD1687F5502D}"/>
    <cellStyle name="Column Heading 4 10 2 2" xfId="19165" xr:uid="{7DD6319F-9C48-4E90-BEAB-BC6199E53BF4}"/>
    <cellStyle name="Column Heading 4 10 2 3" xfId="19166" xr:uid="{0C19B814-BAB9-4BAE-93FD-F5FB69D7BC59}"/>
    <cellStyle name="Column Heading 4 10 2 4" xfId="19167" xr:uid="{019E9D83-22C2-4EF1-95A1-30331B00352E}"/>
    <cellStyle name="Column Heading 4 10 2 5" xfId="19168" xr:uid="{BB76E330-D47F-4069-91E9-1B57897F927A}"/>
    <cellStyle name="Column Heading 4 10 2 6" xfId="19169" xr:uid="{E0C4FE66-9843-46DD-844C-131790EF1765}"/>
    <cellStyle name="Column Heading 4 10 3" xfId="19170" xr:uid="{A5BD5570-67CA-4AF4-A699-76EB25CA585D}"/>
    <cellStyle name="Column Heading 4 10 4" xfId="19171" xr:uid="{E1452D8A-1232-4CFC-AD83-25E10402A187}"/>
    <cellStyle name="Column Heading 4 10 5" xfId="19172" xr:uid="{B6F253F3-E2BC-43EB-9B98-275AA23CFECD}"/>
    <cellStyle name="Column Heading 4 10 6" xfId="19173" xr:uid="{27574E04-26DB-4E8A-82CD-8EA3E95433D7}"/>
    <cellStyle name="Column Heading 4 10 7" xfId="19174" xr:uid="{B41B2610-4BC2-472A-8243-4A31D5570201}"/>
    <cellStyle name="Column Heading 4 11" xfId="772" xr:uid="{25BF8ACE-E227-42BF-9BD3-43B2BDA90220}"/>
    <cellStyle name="Column Heading 4 11 2" xfId="10782" xr:uid="{4DF9A33C-C6BB-49B5-BEAB-A19734B28F52}"/>
    <cellStyle name="Column Heading 4 11 2 2" xfId="19175" xr:uid="{B032F287-7D6C-4E5D-A73B-8295E81C8CCA}"/>
    <cellStyle name="Column Heading 4 11 2 3" xfId="19176" xr:uid="{67683F8B-B23D-47F2-9AA5-19847BA07E56}"/>
    <cellStyle name="Column Heading 4 11 2 4" xfId="19177" xr:uid="{E2EFC724-4498-4E20-947B-EBEB6643FB15}"/>
    <cellStyle name="Column Heading 4 11 2 5" xfId="19178" xr:uid="{976EADA7-97EB-4B8B-A273-349D19AF0B5F}"/>
    <cellStyle name="Column Heading 4 11 2 6" xfId="19179" xr:uid="{51EA4EC6-55C6-4BA5-88D2-67AFE5ACEE1E}"/>
    <cellStyle name="Column Heading 4 11 3" xfId="19180" xr:uid="{AD713695-7696-4BD0-8BF6-9C0B144FF0FA}"/>
    <cellStyle name="Column Heading 4 11 4" xfId="19181" xr:uid="{9886A169-6C6D-4617-AD2A-B989162CAA83}"/>
    <cellStyle name="Column Heading 4 11 5" xfId="19182" xr:uid="{5A9A12C8-921C-422D-8F74-25E375AC629E}"/>
    <cellStyle name="Column Heading 4 11 6" xfId="19183" xr:uid="{072ED19C-193A-4C58-AD7C-872C1B725EE6}"/>
    <cellStyle name="Column Heading 4 11 7" xfId="19184" xr:uid="{57BB4E45-2CDA-48AD-9E1C-7555B98AB7B7}"/>
    <cellStyle name="Column Heading 4 12" xfId="773" xr:uid="{25E7DB18-2A18-4EC1-84A5-36C6EDB89A07}"/>
    <cellStyle name="Column Heading 4 12 2" xfId="10869" xr:uid="{C9C17095-8CD3-40CA-A629-21FCC7D9A721}"/>
    <cellStyle name="Column Heading 4 12 2 2" xfId="19185" xr:uid="{B26E947E-C392-445D-B117-D3E96D071A66}"/>
    <cellStyle name="Column Heading 4 12 2 3" xfId="19186" xr:uid="{92FCC8B4-2ABF-4326-A419-B8E24C30A821}"/>
    <cellStyle name="Column Heading 4 12 2 4" xfId="19187" xr:uid="{0CD6F482-9C68-4C36-B776-09D1095BFDED}"/>
    <cellStyle name="Column Heading 4 12 2 5" xfId="19188" xr:uid="{9A672A25-D788-4298-BD58-7CD4B25B7106}"/>
    <cellStyle name="Column Heading 4 12 2 6" xfId="19189" xr:uid="{8C41851D-BA2D-4ED9-9687-29DF5FA74E58}"/>
    <cellStyle name="Column Heading 4 12 3" xfId="19190" xr:uid="{69651F29-17B1-4846-8EC3-EEC083FF289F}"/>
    <cellStyle name="Column Heading 4 12 4" xfId="19191" xr:uid="{3DD93A49-2516-4BD8-8F2C-DF2C07E10D3E}"/>
    <cellStyle name="Column Heading 4 12 5" xfId="19192" xr:uid="{9B5EBB36-E7A6-4B40-B01A-A22F75A9CC6F}"/>
    <cellStyle name="Column Heading 4 12 6" xfId="19193" xr:uid="{68D2CAAA-7E31-4D9A-BB36-DECA4D5339B8}"/>
    <cellStyle name="Column Heading 4 12 7" xfId="19194" xr:uid="{02A7B411-5724-4107-9891-3386F49314D1}"/>
    <cellStyle name="Column Heading 4 13" xfId="774" xr:uid="{DA6BD2F2-2110-4118-88C7-56B4A4D8CDB7}"/>
    <cellStyle name="Column Heading 4 13 2" xfId="10958" xr:uid="{B6D9BC6F-FB25-4235-AA95-B69B55B70384}"/>
    <cellStyle name="Column Heading 4 13 2 2" xfId="19195" xr:uid="{8709C006-408D-4077-B021-7F22F78DC357}"/>
    <cellStyle name="Column Heading 4 13 2 3" xfId="19196" xr:uid="{89820095-027F-4E76-B450-3CC4FDADB0F8}"/>
    <cellStyle name="Column Heading 4 13 2 4" xfId="19197" xr:uid="{21748959-7DAD-4CDA-97BE-F00D160CA264}"/>
    <cellStyle name="Column Heading 4 13 2 5" xfId="19198" xr:uid="{769D5CD7-F411-47C4-9192-C85D62C45DCC}"/>
    <cellStyle name="Column Heading 4 13 2 6" xfId="19199" xr:uid="{A295FA06-C782-483A-A2C0-FBCA5977F391}"/>
    <cellStyle name="Column Heading 4 13 3" xfId="19200" xr:uid="{14A0254A-FEEA-4CE7-9EB8-344A9B641311}"/>
    <cellStyle name="Column Heading 4 13 4" xfId="19201" xr:uid="{7807C37E-3578-4895-ADEC-8845841836B2}"/>
    <cellStyle name="Column Heading 4 13 5" xfId="19202" xr:uid="{7877F3C5-850E-4ED4-9AC4-FA1F8839912D}"/>
    <cellStyle name="Column Heading 4 13 6" xfId="19203" xr:uid="{915CEC0F-ED27-4D2B-AE7F-3A35519A89BE}"/>
    <cellStyle name="Column Heading 4 13 7" xfId="19204" xr:uid="{FD7AF654-4BF3-4DEF-82BB-318C6618BC70}"/>
    <cellStyle name="Column Heading 4 14" xfId="775" xr:uid="{AB162554-92EF-4EE3-A5F7-430AA73F910B}"/>
    <cellStyle name="Column Heading 4 14 2" xfId="11050" xr:uid="{DD5B699A-F28F-4281-ADD5-5632D1CE04B7}"/>
    <cellStyle name="Column Heading 4 14 2 2" xfId="19205" xr:uid="{E183CE42-979A-4BF1-91B6-E44890C10F2D}"/>
    <cellStyle name="Column Heading 4 14 2 3" xfId="19206" xr:uid="{11B206F3-E58B-4BCE-A41C-C24C97A50CD7}"/>
    <cellStyle name="Column Heading 4 14 2 4" xfId="19207" xr:uid="{6F508051-243D-439B-A4C3-71F44AB9226F}"/>
    <cellStyle name="Column Heading 4 14 2 5" xfId="19208" xr:uid="{61B0C5F8-7D27-4A84-AE40-3CB2D286FF2E}"/>
    <cellStyle name="Column Heading 4 14 2 6" xfId="19209" xr:uid="{92883CB7-985E-4A95-8B2D-D8F7B0BCACC7}"/>
    <cellStyle name="Column Heading 4 14 3" xfId="19210" xr:uid="{99A8921C-5CAB-4BD8-AE1E-FCDF8E1FDB3C}"/>
    <cellStyle name="Column Heading 4 14 4" xfId="19211" xr:uid="{04B54FE8-45F0-47D7-98EA-0979C11FC45E}"/>
    <cellStyle name="Column Heading 4 14 5" xfId="19212" xr:uid="{1F328488-CF1D-471C-8388-41A8DCA80DB5}"/>
    <cellStyle name="Column Heading 4 14 6" xfId="19213" xr:uid="{B9210161-00C3-4A78-A09D-EA036D7A80AF}"/>
    <cellStyle name="Column Heading 4 14 7" xfId="19214" xr:uid="{3CD1022F-5690-4C5A-89DA-7ABE9AC99E9A}"/>
    <cellStyle name="Column Heading 4 15" xfId="776" xr:uid="{AA8A0935-489F-4080-82F0-3944C62BED85}"/>
    <cellStyle name="Column Heading 4 15 2" xfId="11133" xr:uid="{013A4EE7-B2A4-4191-B364-ACF4CED62116}"/>
    <cellStyle name="Column Heading 4 15 2 2" xfId="19215" xr:uid="{BA118A39-119B-4714-826E-C8A3F697C817}"/>
    <cellStyle name="Column Heading 4 15 2 3" xfId="19216" xr:uid="{193A9434-81A5-46BE-B5BC-4634EDF9431B}"/>
    <cellStyle name="Column Heading 4 15 2 4" xfId="19217" xr:uid="{0955B942-6164-4DAE-9B14-64E26E4DD49E}"/>
    <cellStyle name="Column Heading 4 15 2 5" xfId="19218" xr:uid="{6AD891F7-DBDA-4BA9-9406-079AEB0AD2B0}"/>
    <cellStyle name="Column Heading 4 15 2 6" xfId="19219" xr:uid="{10524E79-19E8-4083-8671-A32B62D9A87F}"/>
    <cellStyle name="Column Heading 4 15 3" xfId="19220" xr:uid="{41BF2934-7A63-461B-BE6D-9EA10C72B396}"/>
    <cellStyle name="Column Heading 4 15 4" xfId="19221" xr:uid="{5CEB6EBD-AB6A-47A9-B13D-20E82BAC754F}"/>
    <cellStyle name="Column Heading 4 15 5" xfId="19222" xr:uid="{378CAAD0-DF2C-4687-9AAA-E0084C198972}"/>
    <cellStyle name="Column Heading 4 15 6" xfId="19223" xr:uid="{DBBD7138-7097-4E71-A62A-BD6E683F2967}"/>
    <cellStyle name="Column Heading 4 15 7" xfId="19224" xr:uid="{58A34EBD-778C-43E8-A335-0387A314F7C5}"/>
    <cellStyle name="Column Heading 4 16" xfId="777" xr:uid="{81637030-71ED-4D03-BF76-EBE66F5CDACA}"/>
    <cellStyle name="Column Heading 4 16 2" xfId="11222" xr:uid="{D1C48D5C-5278-4696-9162-45377781E4A9}"/>
    <cellStyle name="Column Heading 4 16 2 2" xfId="19225" xr:uid="{47305BA2-0B8F-4919-B277-81EB0AE567CB}"/>
    <cellStyle name="Column Heading 4 16 2 3" xfId="19226" xr:uid="{9C904A98-E299-4EC6-A611-6D88BC2774CC}"/>
    <cellStyle name="Column Heading 4 16 2 4" xfId="19227" xr:uid="{ED3D5492-064E-4430-97B2-9BAA1009B17F}"/>
    <cellStyle name="Column Heading 4 16 2 5" xfId="19228" xr:uid="{46ABB0E2-214B-4AFD-A950-7CAABC9A54FE}"/>
    <cellStyle name="Column Heading 4 16 2 6" xfId="19229" xr:uid="{5BA28168-B1EF-457B-AB42-FABF606DF993}"/>
    <cellStyle name="Column Heading 4 16 3" xfId="19230" xr:uid="{4DD9AEA9-D7C6-449E-BA6C-EFD72D35CA45}"/>
    <cellStyle name="Column Heading 4 16 4" xfId="19231" xr:uid="{AF3B8AE7-8CDA-45AB-A00A-6F515B746C9A}"/>
    <cellStyle name="Column Heading 4 16 5" xfId="19232" xr:uid="{72F83C10-7691-499A-A804-050D1673E438}"/>
    <cellStyle name="Column Heading 4 16 6" xfId="19233" xr:uid="{E5516B73-C9C2-4F26-AE9F-BD42D42AF8A8}"/>
    <cellStyle name="Column Heading 4 16 7" xfId="19234" xr:uid="{6DF8C393-5F5D-4D8A-8DC7-27664EAD2AD2}"/>
    <cellStyle name="Column Heading 4 17" xfId="778" xr:uid="{24AC9EC1-AF38-45F3-B7A0-4626D094D9C7}"/>
    <cellStyle name="Column Heading 4 17 2" xfId="11308" xr:uid="{020F5374-AE72-4B87-8488-D89BF7FBDC82}"/>
    <cellStyle name="Column Heading 4 17 2 2" xfId="19235" xr:uid="{92FEC159-3928-4300-989B-5A9EC2554BBD}"/>
    <cellStyle name="Column Heading 4 17 2 3" xfId="19236" xr:uid="{F58DF9C4-1CDD-4481-B289-AAF4115BC090}"/>
    <cellStyle name="Column Heading 4 17 2 4" xfId="19237" xr:uid="{B3BFC964-D9BB-456D-81C7-7919C21B678F}"/>
    <cellStyle name="Column Heading 4 17 2 5" xfId="19238" xr:uid="{BFB37D78-DA90-4070-B7C8-820D3A91CCEA}"/>
    <cellStyle name="Column Heading 4 17 2 6" xfId="19239" xr:uid="{DCC39AC7-4414-468D-9F40-70F96183C911}"/>
    <cellStyle name="Column Heading 4 17 3" xfId="19240" xr:uid="{B7323C2E-11B4-4703-A86A-F42CECC50368}"/>
    <cellStyle name="Column Heading 4 17 4" xfId="19241" xr:uid="{824F8BF6-DD9A-493D-8F82-820DE69A3EA2}"/>
    <cellStyle name="Column Heading 4 17 5" xfId="19242" xr:uid="{C2CB356E-AF1F-43E6-AF22-2A973A5D8F35}"/>
    <cellStyle name="Column Heading 4 17 6" xfId="19243" xr:uid="{B667DCAF-784E-4E43-A5E0-71B9988DE5E6}"/>
    <cellStyle name="Column Heading 4 17 7" xfId="19244" xr:uid="{5AEF2D36-8B98-421B-AA20-EAB10C7009FC}"/>
    <cellStyle name="Column Heading 4 18" xfId="779" xr:uid="{A690FFFC-220F-498B-BA7A-1BFCFFF103A4}"/>
    <cellStyle name="Column Heading 4 18 2" xfId="11395" xr:uid="{1D109E70-2A4F-4883-97CD-A294B5FBC3B9}"/>
    <cellStyle name="Column Heading 4 18 2 2" xfId="19245" xr:uid="{52B0BE7B-F8A8-465C-B188-44AB3AA2EE0B}"/>
    <cellStyle name="Column Heading 4 18 2 3" xfId="19246" xr:uid="{6062EDE2-407C-4181-9CA7-3DEFAAD65DD8}"/>
    <cellStyle name="Column Heading 4 18 2 4" xfId="19247" xr:uid="{20A8C9DE-3EC0-4FF8-9775-436C4B817892}"/>
    <cellStyle name="Column Heading 4 18 2 5" xfId="19248" xr:uid="{9B16B766-99AA-41B0-A528-D91A7E6B94AE}"/>
    <cellStyle name="Column Heading 4 18 2 6" xfId="19249" xr:uid="{9A75C21A-15D7-4E0D-9EA4-6E4E25B62E72}"/>
    <cellStyle name="Column Heading 4 18 3" xfId="19250" xr:uid="{579696CD-0ED9-40FF-8932-9A7ACC158164}"/>
    <cellStyle name="Column Heading 4 18 4" xfId="19251" xr:uid="{206585C6-5F09-49E9-88B0-5E9A8018411B}"/>
    <cellStyle name="Column Heading 4 18 5" xfId="19252" xr:uid="{67712536-F6C1-4A11-820E-26563C3FCC53}"/>
    <cellStyle name="Column Heading 4 18 6" xfId="19253" xr:uid="{E1B72D49-6C89-4524-B508-3B61C8777C0F}"/>
    <cellStyle name="Column Heading 4 18 7" xfId="19254" xr:uid="{0CE7A7C6-8213-4616-8318-A45ED131918D}"/>
    <cellStyle name="Column Heading 4 19" xfId="780" xr:uid="{5CB6578D-275F-4E65-9504-E685A48CFB3C}"/>
    <cellStyle name="Column Heading 4 19 2" xfId="11482" xr:uid="{4A43E3B3-7364-423B-AB3C-267020933E76}"/>
    <cellStyle name="Column Heading 4 19 2 2" xfId="19255" xr:uid="{576DEA43-9E0E-4F15-886C-9F4D61A38294}"/>
    <cellStyle name="Column Heading 4 19 2 3" xfId="19256" xr:uid="{272E212C-BCD7-44F1-B19B-821783288E0C}"/>
    <cellStyle name="Column Heading 4 19 2 4" xfId="19257" xr:uid="{57B71AF8-4013-4FBE-A789-80FC8AF98699}"/>
    <cellStyle name="Column Heading 4 19 2 5" xfId="19258" xr:uid="{AECBE0D2-0257-4E23-B590-17A0E8AB31C4}"/>
    <cellStyle name="Column Heading 4 19 2 6" xfId="19259" xr:uid="{3A5DF942-A013-4207-9912-C71F4185DD98}"/>
    <cellStyle name="Column Heading 4 19 3" xfId="19260" xr:uid="{94A4F4F7-985A-4E10-8CE1-8F678E7F4C19}"/>
    <cellStyle name="Column Heading 4 19 4" xfId="19261" xr:uid="{972C5E42-FA6B-4974-B12C-A5F52126A4F3}"/>
    <cellStyle name="Column Heading 4 19 5" xfId="19262" xr:uid="{B25E6245-BE59-45B5-94D1-1BAD4C0645BB}"/>
    <cellStyle name="Column Heading 4 19 6" xfId="19263" xr:uid="{C005E0D5-3D14-471C-8148-0AEB5EAB7565}"/>
    <cellStyle name="Column Heading 4 19 7" xfId="19264" xr:uid="{DB45AB92-7009-42BA-8D70-CE7BF5D1755D}"/>
    <cellStyle name="Column Heading 4 2" xfId="781" xr:uid="{C157D64C-D9C6-4C9B-A2F1-290EAD3E1E45}"/>
    <cellStyle name="Column Heading 4 2 2" xfId="9988" xr:uid="{901257AD-24DE-4481-A0AE-5299D21A7216}"/>
    <cellStyle name="Column Heading 4 2 2 2" xfId="19265" xr:uid="{F380E9ED-C3F4-41D2-867F-9C70670FA606}"/>
    <cellStyle name="Column Heading 4 2 2 3" xfId="19266" xr:uid="{5F08079E-F2FB-4042-A02A-357AF18DEB90}"/>
    <cellStyle name="Column Heading 4 2 2 4" xfId="19267" xr:uid="{AF457CBE-789F-4F44-9781-49E59A8987C5}"/>
    <cellStyle name="Column Heading 4 2 2 5" xfId="19268" xr:uid="{7A4A290E-6177-4815-A4F2-6DCE9E192D78}"/>
    <cellStyle name="Column Heading 4 2 2 6" xfId="19269" xr:uid="{EAEA0EF6-5A33-4446-9D66-E39AC2FADB33}"/>
    <cellStyle name="Column Heading 4 2 3" xfId="19270" xr:uid="{9947E1CB-C7CA-4FB2-853C-89FC535244DD}"/>
    <cellStyle name="Column Heading 4 2 4" xfId="19271" xr:uid="{51315EAB-5F5F-43A8-A404-30E1DCAD15F1}"/>
    <cellStyle name="Column Heading 4 2 5" xfId="19272" xr:uid="{815F96B3-F3C7-4A92-9733-9C3BB322A6B1}"/>
    <cellStyle name="Column Heading 4 2 6" xfId="19273" xr:uid="{915063C2-DAE6-4CDD-8EE2-198BDB97A552}"/>
    <cellStyle name="Column Heading 4 2 7" xfId="19274" xr:uid="{63620693-4A38-4BB2-9D67-2477D76E3321}"/>
    <cellStyle name="Column Heading 4 20" xfId="782" xr:uid="{6DF2019C-78B9-4CE4-84E1-C200054462B6}"/>
    <cellStyle name="Column Heading 4 20 2" xfId="11570" xr:uid="{520D7AD7-2B26-42A9-8274-8371BAAFDF1D}"/>
    <cellStyle name="Column Heading 4 20 2 2" xfId="19275" xr:uid="{CF6B4A77-F608-4A5D-83BD-1736878DFCB2}"/>
    <cellStyle name="Column Heading 4 20 2 3" xfId="19276" xr:uid="{F8692E4E-034D-4352-8726-8834550C40AE}"/>
    <cellStyle name="Column Heading 4 20 2 4" xfId="19277" xr:uid="{752AB237-C365-4171-A4CB-31A4159F9366}"/>
    <cellStyle name="Column Heading 4 20 2 5" xfId="19278" xr:uid="{68537BBE-176A-4707-818E-19F79C2B62C9}"/>
    <cellStyle name="Column Heading 4 20 2 6" xfId="19279" xr:uid="{62413DF3-CDD6-47F7-B99C-213359C306CB}"/>
    <cellStyle name="Column Heading 4 20 3" xfId="19280" xr:uid="{7E00A063-267E-4703-954A-1D38AC135112}"/>
    <cellStyle name="Column Heading 4 20 4" xfId="19281" xr:uid="{F6E4DE10-085E-4956-A9D8-BC73444B7154}"/>
    <cellStyle name="Column Heading 4 20 5" xfId="19282" xr:uid="{0DBD5362-1E5B-4D98-A6A3-D004CCE91FF8}"/>
    <cellStyle name="Column Heading 4 20 6" xfId="19283" xr:uid="{85888AC1-595D-4559-B267-739BFD80A313}"/>
    <cellStyle name="Column Heading 4 20 7" xfId="19284" xr:uid="{9C044CFF-1641-4236-9DB2-C8C479AB9CFF}"/>
    <cellStyle name="Column Heading 4 21" xfId="783" xr:uid="{105A6237-5778-49C8-ACBC-1076AD48F236}"/>
    <cellStyle name="Column Heading 4 21 2" xfId="11656" xr:uid="{1B824A76-9C64-4E18-9DD2-6DF8F8A2609D}"/>
    <cellStyle name="Column Heading 4 21 2 2" xfId="19285" xr:uid="{08D313A6-60AA-433C-B5D6-D71DA79A7AB6}"/>
    <cellStyle name="Column Heading 4 21 2 3" xfId="19286" xr:uid="{2F449AED-A4D5-49DC-B737-A669D602653E}"/>
    <cellStyle name="Column Heading 4 21 2 4" xfId="19287" xr:uid="{CEAD9D9D-C2D2-4528-8018-FBCCCB90A0A4}"/>
    <cellStyle name="Column Heading 4 21 2 5" xfId="19288" xr:uid="{2B69BB75-F32F-4248-8B36-2B1F749A50D3}"/>
    <cellStyle name="Column Heading 4 21 2 6" xfId="19289" xr:uid="{B5328F3A-BB45-4FC1-8CAB-1090FB1F35BF}"/>
    <cellStyle name="Column Heading 4 21 3" xfId="19290" xr:uid="{79C91A2D-D885-4F16-8328-7FFABFC3C8DF}"/>
    <cellStyle name="Column Heading 4 21 4" xfId="19291" xr:uid="{28429E1D-7072-445C-9483-8C09D2EEEB79}"/>
    <cellStyle name="Column Heading 4 21 5" xfId="19292" xr:uid="{0CC4FF9B-66CE-4ADD-89CE-D69CEAC37E6E}"/>
    <cellStyle name="Column Heading 4 21 6" xfId="19293" xr:uid="{76756F78-E8F6-427C-B9E3-E0EDA6D12750}"/>
    <cellStyle name="Column Heading 4 21 7" xfId="19294" xr:uid="{5F2A4C8A-0A89-45DA-8C33-45A5F061A8AA}"/>
    <cellStyle name="Column Heading 4 22" xfId="784" xr:uid="{F38DC365-77DD-49EC-8D6E-6DA4F697DA13}"/>
    <cellStyle name="Column Heading 4 22 2" xfId="11739" xr:uid="{0049BD40-E909-449F-87B5-0776D0B4AC3D}"/>
    <cellStyle name="Column Heading 4 22 2 2" xfId="19295" xr:uid="{E15B5115-F831-47A4-98B7-B0620AA356B8}"/>
    <cellStyle name="Column Heading 4 22 2 3" xfId="19296" xr:uid="{BAFAB2F0-010B-4075-94C2-CD6BF740F755}"/>
    <cellStyle name="Column Heading 4 22 2 4" xfId="19297" xr:uid="{5B470AFB-C5FC-4596-835C-C0107CEF95DE}"/>
    <cellStyle name="Column Heading 4 22 2 5" xfId="19298" xr:uid="{A78F76B4-4FE8-42AC-A7C7-A82488F56FA8}"/>
    <cellStyle name="Column Heading 4 22 2 6" xfId="19299" xr:uid="{023DE199-46ED-4A62-A186-5BF287B9595B}"/>
    <cellStyle name="Column Heading 4 22 3" xfId="19300" xr:uid="{C3E251E2-B118-4AAA-8E02-90BF94F54FF5}"/>
    <cellStyle name="Column Heading 4 22 4" xfId="19301" xr:uid="{47A66471-658F-4CAB-ACD3-BB85D7420B22}"/>
    <cellStyle name="Column Heading 4 22 5" xfId="19302" xr:uid="{947FE434-A217-45F5-9FEC-9A6794A168BD}"/>
    <cellStyle name="Column Heading 4 22 6" xfId="19303" xr:uid="{F7856FD5-8969-47AF-B660-FA36CC9F2A87}"/>
    <cellStyle name="Column Heading 4 22 7" xfId="19304" xr:uid="{1ED31B25-3CA7-41BA-9386-E1DA51FFB2B9}"/>
    <cellStyle name="Column Heading 4 23" xfId="785" xr:uid="{F7FA8A2D-EEC0-497C-B408-8F03D3513C26}"/>
    <cellStyle name="Column Heading 4 23 2" xfId="11821" xr:uid="{7093B394-86FF-4DDC-A630-DF6B661129A4}"/>
    <cellStyle name="Column Heading 4 23 2 2" xfId="19305" xr:uid="{2BEF1549-5294-4F84-A532-B30A4FD66234}"/>
    <cellStyle name="Column Heading 4 23 2 3" xfId="19306" xr:uid="{F956F602-0F7D-45CF-B25E-8340D1F1EBC1}"/>
    <cellStyle name="Column Heading 4 23 2 4" xfId="19307" xr:uid="{2557F49C-6017-482C-BE3F-F8B249BA9995}"/>
    <cellStyle name="Column Heading 4 23 2 5" xfId="19308" xr:uid="{7A0288A5-C75B-435A-9510-07506A76B7A7}"/>
    <cellStyle name="Column Heading 4 23 2 6" xfId="19309" xr:uid="{892B7A86-AA8F-4CC9-B12A-1FCD4681B495}"/>
    <cellStyle name="Column Heading 4 23 3" xfId="19310" xr:uid="{521FAF63-3D33-4F1F-861D-F6910516D772}"/>
    <cellStyle name="Column Heading 4 23 4" xfId="19311" xr:uid="{CB94167E-D7D5-4B99-9602-57F1CABCEE17}"/>
    <cellStyle name="Column Heading 4 23 5" xfId="19312" xr:uid="{A9AD313A-BFBF-44B6-A32C-00163402EFAB}"/>
    <cellStyle name="Column Heading 4 23 6" xfId="19313" xr:uid="{A1CB42DB-0836-4970-9FA7-4876EE2C3C6B}"/>
    <cellStyle name="Column Heading 4 23 7" xfId="19314" xr:uid="{D4D00B13-2021-4F89-9402-8C47F8174967}"/>
    <cellStyle name="Column Heading 4 24" xfId="786" xr:uid="{EC833D98-5BC1-4FA8-8E39-9DD8226C4142}"/>
    <cellStyle name="Column Heading 4 24 2" xfId="11905" xr:uid="{1CED6FEB-A3F5-459D-BA08-A2DEEAF11B80}"/>
    <cellStyle name="Column Heading 4 24 2 2" xfId="19315" xr:uid="{CCADD0F0-CA32-463D-A084-0E939330A211}"/>
    <cellStyle name="Column Heading 4 24 2 3" xfId="19316" xr:uid="{519515CD-297E-4EEF-8225-DFD0D65984CE}"/>
    <cellStyle name="Column Heading 4 24 2 4" xfId="19317" xr:uid="{61498164-A423-4900-810A-27A7A7189A8F}"/>
    <cellStyle name="Column Heading 4 24 2 5" xfId="19318" xr:uid="{97FFF81D-09FE-4775-8194-5A5D017419BB}"/>
    <cellStyle name="Column Heading 4 24 2 6" xfId="19319" xr:uid="{F2798EEB-0891-4B70-8FD4-52BCB3D53AB2}"/>
    <cellStyle name="Column Heading 4 24 3" xfId="19320" xr:uid="{702FD631-74D9-4AB0-B99A-354EB8D5833B}"/>
    <cellStyle name="Column Heading 4 24 4" xfId="19321" xr:uid="{26ABFFB4-E1DB-4E3E-AE7B-A75D652B2CEC}"/>
    <cellStyle name="Column Heading 4 24 5" xfId="19322" xr:uid="{C1960DF2-20FC-44D3-A05E-3B781FE3DAFD}"/>
    <cellStyle name="Column Heading 4 24 6" xfId="19323" xr:uid="{361D8926-406C-4DFA-B9D7-953FF3E66196}"/>
    <cellStyle name="Column Heading 4 24 7" xfId="19324" xr:uid="{E60F5A94-8CC8-41DE-B5C0-69608C93B5ED}"/>
    <cellStyle name="Column Heading 4 25" xfId="787" xr:uid="{BB7B8660-C159-4E93-BD9D-EFEC5B96D25F}"/>
    <cellStyle name="Column Heading 4 25 2" xfId="11989" xr:uid="{AFAF9076-021F-41D3-A913-4F9A32BE4FE6}"/>
    <cellStyle name="Column Heading 4 25 2 2" xfId="19325" xr:uid="{1F57D18B-6AEA-4814-954A-29F5E4A6E6E7}"/>
    <cellStyle name="Column Heading 4 25 2 3" xfId="19326" xr:uid="{FD0F486E-DF33-4B00-86ED-F24E53A7BD1C}"/>
    <cellStyle name="Column Heading 4 25 2 4" xfId="19327" xr:uid="{B2CD5AFD-0AAC-40EB-AF84-D14D156682E3}"/>
    <cellStyle name="Column Heading 4 25 2 5" xfId="19328" xr:uid="{BAFE81E3-8C0C-4411-BC0E-A74CD492FAA1}"/>
    <cellStyle name="Column Heading 4 25 2 6" xfId="19329" xr:uid="{53C06B8A-F1B2-4680-B34F-87DA7033F2D4}"/>
    <cellStyle name="Column Heading 4 25 3" xfId="19330" xr:uid="{4D112B00-6AF8-4C09-95E6-52E84D13AF0C}"/>
    <cellStyle name="Column Heading 4 25 4" xfId="19331" xr:uid="{30F1648E-DFA5-47BC-B846-386A082F871B}"/>
    <cellStyle name="Column Heading 4 25 5" xfId="19332" xr:uid="{1771F340-A0AB-40B6-9F20-D6791AD40604}"/>
    <cellStyle name="Column Heading 4 25 6" xfId="19333" xr:uid="{7B6961E4-60A9-474C-877C-5434A81BF3A9}"/>
    <cellStyle name="Column Heading 4 25 7" xfId="19334" xr:uid="{26AF01BE-1CD7-4FB1-8CDB-F11EDC27616C}"/>
    <cellStyle name="Column Heading 4 26" xfId="788" xr:uid="{9D60EBE8-C177-431A-90FE-B4CFE9166C45}"/>
    <cellStyle name="Column Heading 4 26 2" xfId="12072" xr:uid="{4A018FC9-67E7-4F11-BA48-A5FFC4BE4FA1}"/>
    <cellStyle name="Column Heading 4 26 2 2" xfId="19335" xr:uid="{D364E8ED-53A1-4AA7-B652-ADC990D349AB}"/>
    <cellStyle name="Column Heading 4 26 2 3" xfId="19336" xr:uid="{687461F5-7337-4E76-8272-795AECAF6713}"/>
    <cellStyle name="Column Heading 4 26 2 4" xfId="19337" xr:uid="{672FA786-FF10-4D46-86D5-7E49E1A062EB}"/>
    <cellStyle name="Column Heading 4 26 2 5" xfId="19338" xr:uid="{05264E51-FF0D-461C-B790-4B60BDF26084}"/>
    <cellStyle name="Column Heading 4 26 2 6" xfId="19339" xr:uid="{5ACA4397-27EC-450D-BE1B-E513EBF439EF}"/>
    <cellStyle name="Column Heading 4 26 3" xfId="19340" xr:uid="{275855F3-5A92-48DC-8587-1F66817FF4A1}"/>
    <cellStyle name="Column Heading 4 26 4" xfId="19341" xr:uid="{6124AE52-F928-4E2D-85E5-ECC8D17D8766}"/>
    <cellStyle name="Column Heading 4 26 5" xfId="19342" xr:uid="{6ADA3895-B82D-4308-B865-051FB6958371}"/>
    <cellStyle name="Column Heading 4 26 6" xfId="19343" xr:uid="{07FFBF9F-FB53-47BC-8030-1972AD9C0F44}"/>
    <cellStyle name="Column Heading 4 26 7" xfId="19344" xr:uid="{3FBE8ACA-C5D2-440F-B519-5CCB0577E824}"/>
    <cellStyle name="Column Heading 4 27" xfId="789" xr:uid="{B7B5FE9A-5700-4482-8D68-BEFC0AE6F34D}"/>
    <cellStyle name="Column Heading 4 27 2" xfId="12155" xr:uid="{7321CB48-9D8F-4C61-9BBB-42A726ADE2C4}"/>
    <cellStyle name="Column Heading 4 27 2 2" xfId="19345" xr:uid="{CC9E7DBA-5864-489D-9922-4091521C46DF}"/>
    <cellStyle name="Column Heading 4 27 2 3" xfId="19346" xr:uid="{C56B83CD-C32A-4A0E-9A89-2C8A548860F8}"/>
    <cellStyle name="Column Heading 4 27 2 4" xfId="19347" xr:uid="{F0A6160F-2D73-4A0C-96B1-350C60FC3306}"/>
    <cellStyle name="Column Heading 4 27 2 5" xfId="19348" xr:uid="{37CB2B1E-AD2B-4D6A-829B-295E1D673FA7}"/>
    <cellStyle name="Column Heading 4 27 2 6" xfId="19349" xr:uid="{9690206B-0261-4CFC-9121-512ADBB797A4}"/>
    <cellStyle name="Column Heading 4 27 3" xfId="19350" xr:uid="{B451FBB6-F5FC-4E54-A1C3-EAC61560C696}"/>
    <cellStyle name="Column Heading 4 27 4" xfId="19351" xr:uid="{3E6CC671-34A9-49C3-B684-6F4C49E76E37}"/>
    <cellStyle name="Column Heading 4 27 5" xfId="19352" xr:uid="{E935CFE2-1D11-4567-ABCB-BF48625C1175}"/>
    <cellStyle name="Column Heading 4 27 6" xfId="19353" xr:uid="{CCA89BF1-0279-4A48-8864-984075A45A7E}"/>
    <cellStyle name="Column Heading 4 27 7" xfId="19354" xr:uid="{954D3423-C7AF-45A1-AC18-FDBB6821051F}"/>
    <cellStyle name="Column Heading 4 28" xfId="790" xr:uid="{0115E608-54FD-4C8C-9FBB-1746CCFC7A82}"/>
    <cellStyle name="Column Heading 4 28 2" xfId="12234" xr:uid="{706B3CD9-C432-4218-88E9-FAA5EB76898D}"/>
    <cellStyle name="Column Heading 4 28 2 2" xfId="19355" xr:uid="{CE7A74B8-BD9A-45E5-A274-2D68C4BEFEAA}"/>
    <cellStyle name="Column Heading 4 28 2 3" xfId="19356" xr:uid="{9D40D8C5-86B1-4527-B499-844C45E0B572}"/>
    <cellStyle name="Column Heading 4 28 2 4" xfId="19357" xr:uid="{2164AF0C-C513-465C-A2E7-039BC88239D0}"/>
    <cellStyle name="Column Heading 4 28 2 5" xfId="19358" xr:uid="{674A8FA9-B0D8-4651-BC09-B5CF182F6A91}"/>
    <cellStyle name="Column Heading 4 28 2 6" xfId="19359" xr:uid="{A68F5377-FCA0-4620-8B59-CE1F6EFD5C1C}"/>
    <cellStyle name="Column Heading 4 28 3" xfId="19360" xr:uid="{CF850D59-6AB0-4FBF-81B9-659EE8CCA436}"/>
    <cellStyle name="Column Heading 4 28 4" xfId="19361" xr:uid="{EA61C5F3-D243-438A-A557-AA02E5FFA5AE}"/>
    <cellStyle name="Column Heading 4 28 5" xfId="19362" xr:uid="{12A75D53-BC09-4BFD-97AD-A2C2A74D4275}"/>
    <cellStyle name="Column Heading 4 28 6" xfId="19363" xr:uid="{7C0310A5-1B17-486A-8836-CA42893E9105}"/>
    <cellStyle name="Column Heading 4 28 7" xfId="19364" xr:uid="{03983F66-E045-43C4-BC9B-BAC5D23EBE54}"/>
    <cellStyle name="Column Heading 4 29" xfId="791" xr:uid="{5F82ADC5-DE4E-46D4-8590-32CD3DC8D28F}"/>
    <cellStyle name="Column Heading 4 29 2" xfId="12313" xr:uid="{29788723-8CB8-455F-AF86-FF5C474B2994}"/>
    <cellStyle name="Column Heading 4 29 2 2" xfId="19365" xr:uid="{9E940B85-8300-4750-9FE4-2100602DC7C1}"/>
    <cellStyle name="Column Heading 4 29 2 3" xfId="19366" xr:uid="{903B6F58-A993-4E9E-BC3A-93E52EEEA103}"/>
    <cellStyle name="Column Heading 4 29 2 4" xfId="19367" xr:uid="{FEDF48AB-700A-4B63-9847-D4E48D03E46F}"/>
    <cellStyle name="Column Heading 4 29 2 5" xfId="19368" xr:uid="{8FE54CCB-5329-45D8-939A-C3C68968966B}"/>
    <cellStyle name="Column Heading 4 29 2 6" xfId="19369" xr:uid="{BC8213BB-13CA-4709-AF7F-3EF1BE5DC659}"/>
    <cellStyle name="Column Heading 4 29 3" xfId="19370" xr:uid="{8680E645-5318-4A43-9BBD-594D3E139C38}"/>
    <cellStyle name="Column Heading 4 29 4" xfId="19371" xr:uid="{41921914-1204-4D55-9500-E6933AFB4415}"/>
    <cellStyle name="Column Heading 4 29 5" xfId="19372" xr:uid="{39636B62-E625-4410-A688-C550B458C437}"/>
    <cellStyle name="Column Heading 4 29 6" xfId="19373" xr:uid="{78C0D634-4CA2-46CD-89B8-CCCF6CE75BD4}"/>
    <cellStyle name="Column Heading 4 29 7" xfId="19374" xr:uid="{B90333C5-B9E4-4F40-9F0C-9B1982A3E034}"/>
    <cellStyle name="Column Heading 4 3" xfId="792" xr:uid="{709E14D5-4896-40E7-91E5-35795696DE2C}"/>
    <cellStyle name="Column Heading 4 3 2" xfId="10079" xr:uid="{E5C585D2-E306-45DB-96EA-E67ED560B1E2}"/>
    <cellStyle name="Column Heading 4 3 2 2" xfId="19375" xr:uid="{1ECCFBA6-BD60-42D2-8604-4FAAEBF69585}"/>
    <cellStyle name="Column Heading 4 3 2 3" xfId="19376" xr:uid="{E7B9ACBB-86C9-4FEA-9818-4C8E8DB0E1B4}"/>
    <cellStyle name="Column Heading 4 3 2 4" xfId="19377" xr:uid="{0D22C1FC-53D2-4056-9CC5-7EAA91CEA3E3}"/>
    <cellStyle name="Column Heading 4 3 2 5" xfId="19378" xr:uid="{52CAEE48-37A1-46BC-855B-9CFFF989CFC6}"/>
    <cellStyle name="Column Heading 4 3 2 6" xfId="19379" xr:uid="{138217C1-F7A8-43CF-A79B-DAD74C1DCB3B}"/>
    <cellStyle name="Column Heading 4 3 3" xfId="19380" xr:uid="{E19A294D-D207-485A-B0BE-AE9A22E5897E}"/>
    <cellStyle name="Column Heading 4 3 4" xfId="19381" xr:uid="{34766D69-4140-43C9-8FA2-F4F8BDF8FF05}"/>
    <cellStyle name="Column Heading 4 3 5" xfId="19382" xr:uid="{FDBDDC9D-338F-4D9C-A4E7-AC7029AF540E}"/>
    <cellStyle name="Column Heading 4 3 6" xfId="19383" xr:uid="{3DE11C72-78E8-4837-8E8D-EADCAAD80267}"/>
    <cellStyle name="Column Heading 4 3 7" xfId="19384" xr:uid="{CB82E363-9DE9-4D7F-8C79-C5363CE5DD8F}"/>
    <cellStyle name="Column Heading 4 30" xfId="793" xr:uid="{59FE8B01-7D95-4079-9B24-D4CBC27FC901}"/>
    <cellStyle name="Column Heading 4 30 2" xfId="12392" xr:uid="{FC6B8029-00C3-4498-9C43-9EA30D699230}"/>
    <cellStyle name="Column Heading 4 30 2 2" xfId="19385" xr:uid="{31FCBB0D-A33A-4011-9E01-89252969E6D5}"/>
    <cellStyle name="Column Heading 4 30 2 3" xfId="19386" xr:uid="{322D631B-0FEE-4F57-9A80-138FE7B828E7}"/>
    <cellStyle name="Column Heading 4 30 2 4" xfId="19387" xr:uid="{841FC22A-2A94-40E2-A195-40D7EFBF7A29}"/>
    <cellStyle name="Column Heading 4 30 2 5" xfId="19388" xr:uid="{A26BE15D-E5D0-4E08-B092-F4CB9E96551E}"/>
    <cellStyle name="Column Heading 4 30 2 6" xfId="19389" xr:uid="{8FF3604A-2C35-4959-A560-07DE041DC947}"/>
    <cellStyle name="Column Heading 4 30 3" xfId="19390" xr:uid="{509AC264-91BA-4C8D-BE88-6CD00FD5B710}"/>
    <cellStyle name="Column Heading 4 30 4" xfId="19391" xr:uid="{A968F40F-E7F7-4325-8126-5C8706C7F5A2}"/>
    <cellStyle name="Column Heading 4 30 5" xfId="19392" xr:uid="{F76256B5-C916-48ED-B76D-4FC20CC86A44}"/>
    <cellStyle name="Column Heading 4 30 6" xfId="19393" xr:uid="{0DFB7C88-A774-4620-9920-21280E90AE1C}"/>
    <cellStyle name="Column Heading 4 30 7" xfId="19394" xr:uid="{79EFFE79-7371-4F69-B5A2-16941F3652FF}"/>
    <cellStyle name="Column Heading 4 31" xfId="794" xr:uid="{42C93C22-578A-4A2C-BA50-CAFC6B6D258A}"/>
    <cellStyle name="Column Heading 4 31 2" xfId="12471" xr:uid="{D54BA87A-A201-406D-9CEF-5A33B734A1BB}"/>
    <cellStyle name="Column Heading 4 31 2 2" xfId="19395" xr:uid="{BB84B517-E4A0-4305-8C25-55E7A9CA9B54}"/>
    <cellStyle name="Column Heading 4 31 2 3" xfId="19396" xr:uid="{8DD6E84A-E972-4F55-A374-14D0BD78790B}"/>
    <cellStyle name="Column Heading 4 31 2 4" xfId="19397" xr:uid="{7561EE20-297C-489E-A3A1-A08D493E8AE5}"/>
    <cellStyle name="Column Heading 4 31 2 5" xfId="19398" xr:uid="{4599E839-F8EF-4496-A69C-37A49C69310D}"/>
    <cellStyle name="Column Heading 4 31 2 6" xfId="19399" xr:uid="{C06D6344-4DF6-4C92-BEFF-C374DB9DD463}"/>
    <cellStyle name="Column Heading 4 31 3" xfId="19400" xr:uid="{DB7754FF-64E0-4028-974A-21A5D9B02543}"/>
    <cellStyle name="Column Heading 4 31 4" xfId="19401" xr:uid="{FD257AFE-39A0-4A38-982F-AFBD93C25C3B}"/>
    <cellStyle name="Column Heading 4 31 5" xfId="19402" xr:uid="{1E0E8A5D-3F0E-43C0-B62D-89E6DDBB314D}"/>
    <cellStyle name="Column Heading 4 31 6" xfId="19403" xr:uid="{607F9FE1-9576-408F-AEA3-0521131CC236}"/>
    <cellStyle name="Column Heading 4 31 7" xfId="19404" xr:uid="{93F42712-876D-4C1A-9365-E3B5BE85D910}"/>
    <cellStyle name="Column Heading 4 32" xfId="795" xr:uid="{1CB410B2-804F-4F1E-B0CB-6100785D5425}"/>
    <cellStyle name="Column Heading 4 32 2" xfId="12550" xr:uid="{3C1D4739-E055-479B-8B0A-A86D40F4927D}"/>
    <cellStyle name="Column Heading 4 32 2 2" xfId="19405" xr:uid="{844A8978-0C2D-4864-845C-37B1ECCEDCEC}"/>
    <cellStyle name="Column Heading 4 32 2 3" xfId="19406" xr:uid="{C6837BA6-0A8D-4B08-9816-D12B9B961A19}"/>
    <cellStyle name="Column Heading 4 32 2 4" xfId="19407" xr:uid="{24670FCB-28A2-45A7-A21E-90763D6A24D9}"/>
    <cellStyle name="Column Heading 4 32 2 5" xfId="19408" xr:uid="{A0B20FA2-5E67-4F73-86E5-010DB1904B93}"/>
    <cellStyle name="Column Heading 4 32 2 6" xfId="19409" xr:uid="{69C64627-5D5A-45DD-B5C8-14792C9BC6A9}"/>
    <cellStyle name="Column Heading 4 32 3" xfId="19410" xr:uid="{D9982998-AD6B-4450-956C-B4A5DB8D0228}"/>
    <cellStyle name="Column Heading 4 32 4" xfId="19411" xr:uid="{E6102F83-CDBA-458D-8F9A-BBDE72C5D3B0}"/>
    <cellStyle name="Column Heading 4 32 5" xfId="19412" xr:uid="{A83B8378-0A8F-44F6-A998-A0B3E94E4F8D}"/>
    <cellStyle name="Column Heading 4 32 6" xfId="19413" xr:uid="{4931CB27-F38B-4585-B029-D96344205F99}"/>
    <cellStyle name="Column Heading 4 32 7" xfId="19414" xr:uid="{FDBFD70F-EC28-4A70-A2AA-23A78A140249}"/>
    <cellStyle name="Column Heading 4 33" xfId="796" xr:uid="{9447F979-F4DD-4D65-9B67-2D13780B1937}"/>
    <cellStyle name="Column Heading 4 33 2" xfId="12629" xr:uid="{7FC53E4C-CEA1-4006-83E4-F85733CA1FEC}"/>
    <cellStyle name="Column Heading 4 33 2 2" xfId="19415" xr:uid="{B7634014-6A03-42AF-8871-59B522923026}"/>
    <cellStyle name="Column Heading 4 33 2 3" xfId="19416" xr:uid="{01F9A0CB-16E9-4517-B899-F6B14636566A}"/>
    <cellStyle name="Column Heading 4 33 2 4" xfId="19417" xr:uid="{EC1B42F7-8FEF-4904-BF03-E06046DE8FED}"/>
    <cellStyle name="Column Heading 4 33 2 5" xfId="19418" xr:uid="{F024256F-0F6A-4EA3-BBB2-3C91B7276265}"/>
    <cellStyle name="Column Heading 4 33 2 6" xfId="19419" xr:uid="{2815529E-05C7-4D22-9321-3AEE0957FCD5}"/>
    <cellStyle name="Column Heading 4 33 3" xfId="19420" xr:uid="{60E09808-BDCB-4C14-9757-0DE9A634F73F}"/>
    <cellStyle name="Column Heading 4 33 4" xfId="19421" xr:uid="{70BD4056-6492-4335-A9FD-860A02FD9C8D}"/>
    <cellStyle name="Column Heading 4 33 5" xfId="19422" xr:uid="{F4AAAB01-BBC0-4464-AF91-A6A432B24B07}"/>
    <cellStyle name="Column Heading 4 33 6" xfId="19423" xr:uid="{AAF07E51-B6C6-4AA4-B531-0845634B4DD6}"/>
    <cellStyle name="Column Heading 4 33 7" xfId="19424" xr:uid="{F76B3AA0-4EEC-4B8B-BCBD-FF791243BFDE}"/>
    <cellStyle name="Column Heading 4 34" xfId="797" xr:uid="{D1A9F7B6-77FC-44C5-9CE4-0030A57E686B}"/>
    <cellStyle name="Column Heading 4 34 2" xfId="12713" xr:uid="{FE43FDA1-73B6-4BC7-BAD8-8B1900DDAE8B}"/>
    <cellStyle name="Column Heading 4 34 2 2" xfId="19425" xr:uid="{2C8265F1-1542-4840-AEDA-3BCCFED04B5D}"/>
    <cellStyle name="Column Heading 4 34 2 3" xfId="19426" xr:uid="{250FC192-0C97-4C5E-B9F8-F91AC1077AAC}"/>
    <cellStyle name="Column Heading 4 34 2 4" xfId="19427" xr:uid="{8A372803-017A-4CF6-83D8-972ACB0A8041}"/>
    <cellStyle name="Column Heading 4 34 2 5" xfId="19428" xr:uid="{0BEDBCCC-74B7-4C40-8ECA-248DC11A6299}"/>
    <cellStyle name="Column Heading 4 34 2 6" xfId="19429" xr:uid="{A7A13CEA-8B4C-444D-95B5-2677CED45BCE}"/>
    <cellStyle name="Column Heading 4 34 3" xfId="19430" xr:uid="{CD4AF17B-0EF4-46FD-AEA0-009038C1D455}"/>
    <cellStyle name="Column Heading 4 34 4" xfId="19431" xr:uid="{E8A28A91-EF7B-4471-A973-35213B8B9709}"/>
    <cellStyle name="Column Heading 4 34 5" xfId="19432" xr:uid="{7AD78785-E743-4397-83A5-0938D650F345}"/>
    <cellStyle name="Column Heading 4 35" xfId="9777" xr:uid="{320334D5-968F-4DE1-9B8A-5E53C0B3F299}"/>
    <cellStyle name="Column Heading 4 35 2" xfId="19433" xr:uid="{7ACE4C0D-EB98-45A5-A99B-13A9FF9EC2E9}"/>
    <cellStyle name="Column Heading 4 35 3" xfId="19434" xr:uid="{E6EB355A-8D0E-4F83-B4D7-FBB21AD08EF0}"/>
    <cellStyle name="Column Heading 4 35 4" xfId="19435" xr:uid="{26F35382-355C-489B-884D-D522BE130EF1}"/>
    <cellStyle name="Column Heading 4 35 5" xfId="19436" xr:uid="{0FA27C37-0DF8-4B48-B685-3250FF698328}"/>
    <cellStyle name="Column Heading 4 35 6" xfId="19437" xr:uid="{A03FB8CF-4487-4827-B760-2F412003EB80}"/>
    <cellStyle name="Column Heading 4 36" xfId="19438" xr:uid="{89CEB14A-B8DE-4C7F-9CC7-1810796DBC89}"/>
    <cellStyle name="Column Heading 4 37" xfId="19439" xr:uid="{DFA430D4-28C1-408E-AB64-D946AC4B9148}"/>
    <cellStyle name="Column Heading 4 38" xfId="19440" xr:uid="{D2DBE012-98B0-4994-9A42-45F9C11D6C8B}"/>
    <cellStyle name="Column Heading 4 4" xfId="798" xr:uid="{312C2502-1613-42CF-9DF7-3695A6564614}"/>
    <cellStyle name="Column Heading 4 4 2" xfId="10170" xr:uid="{CA4E1A5D-1B11-4AA9-B76A-1C39ECB79F90}"/>
    <cellStyle name="Column Heading 4 4 2 2" xfId="19441" xr:uid="{745D671F-5A47-44CC-84FB-8DF4D1405D77}"/>
    <cellStyle name="Column Heading 4 4 2 3" xfId="19442" xr:uid="{A61D3B0E-9E6A-4C8D-93C9-792910959221}"/>
    <cellStyle name="Column Heading 4 4 2 4" xfId="19443" xr:uid="{BF914F12-CEF8-4C1F-A0A7-1AF1510D0096}"/>
    <cellStyle name="Column Heading 4 4 2 5" xfId="19444" xr:uid="{6EADE049-5C69-4216-97EC-D9556E2A075E}"/>
    <cellStyle name="Column Heading 4 4 2 6" xfId="19445" xr:uid="{454C99BA-6253-455E-9D8A-7FE5FB7178CC}"/>
    <cellStyle name="Column Heading 4 4 3" xfId="19446" xr:uid="{ECCFF5BB-0CE2-4F4A-A7D5-B39CFA31C880}"/>
    <cellStyle name="Column Heading 4 4 4" xfId="19447" xr:uid="{D3E1F4A5-EB19-46CD-92D5-FB03FFA59F75}"/>
    <cellStyle name="Column Heading 4 4 5" xfId="19448" xr:uid="{18155458-9D20-46FD-92D7-DAFF182C2F05}"/>
    <cellStyle name="Column Heading 4 4 6" xfId="19449" xr:uid="{58086333-38BC-4E2E-8FBB-05ABAAD36E0F}"/>
    <cellStyle name="Column Heading 4 4 7" xfId="19450" xr:uid="{BAC50FEF-4ABC-46D4-A13C-CF2498289CC4}"/>
    <cellStyle name="Column Heading 4 5" xfId="799" xr:uid="{BB667968-A0E3-4ECF-BD60-DD84DEBDDE99}"/>
    <cellStyle name="Column Heading 4 5 2" xfId="10258" xr:uid="{CBF1F6C5-CC8E-487D-9ADC-902436BC42A0}"/>
    <cellStyle name="Column Heading 4 5 2 2" xfId="19451" xr:uid="{AE7A5497-2BA6-4974-864A-2F0DBB312D5C}"/>
    <cellStyle name="Column Heading 4 5 2 3" xfId="19452" xr:uid="{65C5A03F-2BEE-4111-AAEC-5D2CB718E2DE}"/>
    <cellStyle name="Column Heading 4 5 2 4" xfId="19453" xr:uid="{02E7444B-E86F-40C8-8E3C-B505A5134E6A}"/>
    <cellStyle name="Column Heading 4 5 2 5" xfId="19454" xr:uid="{7588460D-7E16-492B-B446-5DAB25361B69}"/>
    <cellStyle name="Column Heading 4 5 2 6" xfId="19455" xr:uid="{CF492A0F-D223-465C-962D-5973FD8AAD8F}"/>
    <cellStyle name="Column Heading 4 5 3" xfId="19456" xr:uid="{B2327765-E5B5-4BEA-855B-B154ECA297D7}"/>
    <cellStyle name="Column Heading 4 5 4" xfId="19457" xr:uid="{BC59603A-45A5-4BC0-A020-D5D493564882}"/>
    <cellStyle name="Column Heading 4 5 5" xfId="19458" xr:uid="{916D4AF7-DC8C-4086-92EF-6515FAF26E0A}"/>
    <cellStyle name="Column Heading 4 5 6" xfId="19459" xr:uid="{D010CD54-F405-440E-A16C-9464F577555E}"/>
    <cellStyle name="Column Heading 4 5 7" xfId="19460" xr:uid="{2935BBEA-FDBF-40D7-ADA8-716BF9C35109}"/>
    <cellStyle name="Column Heading 4 6" xfId="800" xr:uid="{BAAB3094-AA47-4068-B02E-4F1E66D2AD1B}"/>
    <cellStyle name="Column Heading 4 6 2" xfId="10343" xr:uid="{3BDD5BB2-2966-4690-9FC9-3BB256423995}"/>
    <cellStyle name="Column Heading 4 6 2 2" xfId="19461" xr:uid="{30BB4216-D700-468E-897A-AC901F3808BA}"/>
    <cellStyle name="Column Heading 4 6 2 3" xfId="19462" xr:uid="{E72A55D0-6942-42EE-970F-EA2D6326C87B}"/>
    <cellStyle name="Column Heading 4 6 2 4" xfId="19463" xr:uid="{B20D1DB1-A4C1-471B-9809-28FAB9C0F436}"/>
    <cellStyle name="Column Heading 4 6 2 5" xfId="19464" xr:uid="{6F74AFF5-C1A8-4950-97D5-C4C943FEA54E}"/>
    <cellStyle name="Column Heading 4 6 2 6" xfId="19465" xr:uid="{5E7DD65E-90AD-47AC-939B-FE1D7D5442CA}"/>
    <cellStyle name="Column Heading 4 6 3" xfId="19466" xr:uid="{1D8F24F5-516F-45AA-B137-56C6ECCAAFF6}"/>
    <cellStyle name="Column Heading 4 6 4" xfId="19467" xr:uid="{70C75282-732D-4009-8AF1-69310231C841}"/>
    <cellStyle name="Column Heading 4 6 5" xfId="19468" xr:uid="{0F809F67-2E8F-4647-8B64-A13354CFFA03}"/>
    <cellStyle name="Column Heading 4 6 6" xfId="19469" xr:uid="{C33F28B4-80A2-4281-A730-83EE21C651AE}"/>
    <cellStyle name="Column Heading 4 6 7" xfId="19470" xr:uid="{88A68A01-BD5E-4C33-8B45-B390BC60E87E}"/>
    <cellStyle name="Column Heading 4 7" xfId="801" xr:uid="{F8F9B7D1-4570-4C0E-869D-9FCE0B187803}"/>
    <cellStyle name="Column Heading 4 7 2" xfId="10430" xr:uid="{4652ABE0-995E-47C0-AE11-8D900ED6E0F7}"/>
    <cellStyle name="Column Heading 4 7 2 2" xfId="19471" xr:uid="{B2C33B74-AB40-410E-A2DC-55873DAFA60B}"/>
    <cellStyle name="Column Heading 4 7 2 3" xfId="19472" xr:uid="{098B5591-E347-474D-928C-DBF67C23F7B8}"/>
    <cellStyle name="Column Heading 4 7 2 4" xfId="19473" xr:uid="{1E3AFFA0-3196-49F2-842C-C36794793B84}"/>
    <cellStyle name="Column Heading 4 7 2 5" xfId="19474" xr:uid="{3F6F4FF1-4A2E-4574-B4BA-C4CDD57CF52C}"/>
    <cellStyle name="Column Heading 4 7 2 6" xfId="19475" xr:uid="{F1CBDB70-75C0-4D20-8CBF-8665192B66F9}"/>
    <cellStyle name="Column Heading 4 7 3" xfId="19476" xr:uid="{E12D55AC-41E5-4A3F-982F-EFC8673BF186}"/>
    <cellStyle name="Column Heading 4 7 4" xfId="19477" xr:uid="{B9C05C16-46BF-47C9-A56C-1A131CABD422}"/>
    <cellStyle name="Column Heading 4 7 5" xfId="19478" xr:uid="{BEB011D4-4B8A-4FA9-B173-B4D4D38D89C8}"/>
    <cellStyle name="Column Heading 4 7 6" xfId="19479" xr:uid="{A5197254-944B-4262-9EF1-B8FF501148D9}"/>
    <cellStyle name="Column Heading 4 7 7" xfId="19480" xr:uid="{D0E58B6D-C44F-4567-92CE-954F3AA82FBF}"/>
    <cellStyle name="Column Heading 4 8" xfId="802" xr:uid="{28DC88F8-A47F-42A3-94D8-2B4E94F4F590}"/>
    <cellStyle name="Column Heading 4 8 2" xfId="10519" xr:uid="{8C63CD24-F774-44A0-8BF4-F42872962556}"/>
    <cellStyle name="Column Heading 4 8 2 2" xfId="19481" xr:uid="{D250DF3F-76D6-4D6E-8047-4D40A8353FC5}"/>
    <cellStyle name="Column Heading 4 8 2 3" xfId="19482" xr:uid="{5B81CF45-B6EB-4D0D-A989-B1DF59DE56FB}"/>
    <cellStyle name="Column Heading 4 8 2 4" xfId="19483" xr:uid="{749424C4-B323-4C63-86C6-5C3A5F239EAE}"/>
    <cellStyle name="Column Heading 4 8 2 5" xfId="19484" xr:uid="{79E24E6E-FC52-4D74-A64D-28AB9CEA29BE}"/>
    <cellStyle name="Column Heading 4 8 2 6" xfId="19485" xr:uid="{70622AF1-75AA-4CB2-98A4-FF27A6307BEC}"/>
    <cellStyle name="Column Heading 4 8 3" xfId="19486" xr:uid="{16B4F2C3-7A87-46DF-97D3-D1129A0B6AE5}"/>
    <cellStyle name="Column Heading 4 8 4" xfId="19487" xr:uid="{01BF432B-F795-49EF-8556-5EAA31C88A91}"/>
    <cellStyle name="Column Heading 4 8 5" xfId="19488" xr:uid="{DFCB3E17-0791-4FAC-B69D-718C1A25F10E}"/>
    <cellStyle name="Column Heading 4 8 6" xfId="19489" xr:uid="{5D014CD6-67BC-45B1-AB85-13F9B0D43FF9}"/>
    <cellStyle name="Column Heading 4 8 7" xfId="19490" xr:uid="{9151B8C2-01E7-4C17-88AA-3ECBD5AF9036}"/>
    <cellStyle name="Column Heading 4 9" xfId="803" xr:uid="{CE1253C4-404B-4271-9239-80C6EAFAEA9E}"/>
    <cellStyle name="Column Heading 4 9 2" xfId="10601" xr:uid="{0A0A635B-B3E6-47F9-85AA-316D7BFD0758}"/>
    <cellStyle name="Column Heading 4 9 2 2" xfId="19491" xr:uid="{A098AFAB-56B7-4249-85BE-7CBBAA7B43D6}"/>
    <cellStyle name="Column Heading 4 9 2 3" xfId="19492" xr:uid="{8DBF20A8-C1D7-4255-85B8-BC866CDFEFB6}"/>
    <cellStyle name="Column Heading 4 9 2 4" xfId="19493" xr:uid="{AE5F62AA-9CCE-43E6-9F72-D7A79BC150D5}"/>
    <cellStyle name="Column Heading 4 9 2 5" xfId="19494" xr:uid="{2067FC2A-A529-431F-BEC0-D33D798DE453}"/>
    <cellStyle name="Column Heading 4 9 2 6" xfId="19495" xr:uid="{5F80A606-E088-4B49-B804-D28BCCF2A767}"/>
    <cellStyle name="Column Heading 4 9 3" xfId="19496" xr:uid="{8A89C739-F38D-4B90-A59A-6784B9E5F1BC}"/>
    <cellStyle name="Column Heading 4 9 4" xfId="19497" xr:uid="{2EF234B5-2B48-48BC-9A45-A3DF6CC10AFA}"/>
    <cellStyle name="Column Heading 4 9 5" xfId="19498" xr:uid="{1290827E-97F0-4958-B322-7FD5480266A3}"/>
    <cellStyle name="Column Heading 4 9 6" xfId="19499" xr:uid="{70EB7CF5-92C0-4333-B722-E409E3F66CEF}"/>
    <cellStyle name="Column Heading 4 9 7" xfId="19500" xr:uid="{2871FC4D-669F-4243-8754-DDE9AD5D81AC}"/>
    <cellStyle name="Column Heading 5" xfId="804" xr:uid="{A6CE9762-2D70-4CD7-A89B-A059FF1E9852}"/>
    <cellStyle name="Column Heading 5 2" xfId="9718" xr:uid="{D64F50C1-EFFF-483F-8A7B-62CE6D99D85A}"/>
    <cellStyle name="Column Heading 5 2 2" xfId="19501" xr:uid="{BC01ED2E-1721-4D26-A77E-21F7EFB0AE08}"/>
    <cellStyle name="Column Heading 5 2 3" xfId="19502" xr:uid="{2E496A30-AB40-472E-B049-4BAC0FB8911D}"/>
    <cellStyle name="Column Heading 5 2 4" xfId="19503" xr:uid="{CF9AF410-D8C6-424A-8010-E81B3C26BDB0}"/>
    <cellStyle name="Column Heading 5 2 5" xfId="19504" xr:uid="{D19FF667-04F6-4BB9-8C17-3CC3B54D4554}"/>
    <cellStyle name="Column Heading 5 2 6" xfId="19505" xr:uid="{2751648E-5442-45D8-9D84-0D27D10FC6D8}"/>
    <cellStyle name="Column Heading 5 3" xfId="19506" xr:uid="{D0288E3F-AAE7-4DC6-8A67-7E6681E6D525}"/>
    <cellStyle name="Column Heading 5 4" xfId="19507" xr:uid="{95117BFC-49DB-429E-A38D-565463A433C0}"/>
    <cellStyle name="Column Heading 5 5" xfId="19508" xr:uid="{345E5081-3F0F-485B-B137-966D3B9BF1A1}"/>
    <cellStyle name="Column Heading 5 6" xfId="19509" xr:uid="{FA68616B-8DDB-4EAC-BEE4-DDB61081EF61}"/>
    <cellStyle name="Column Heading 5 7" xfId="19510" xr:uid="{40A8D962-876D-4749-A01B-D307D929622A}"/>
    <cellStyle name="Column Heading 6" xfId="805" xr:uid="{98018B80-917F-4323-A9A0-87C53404322D}"/>
    <cellStyle name="Column Heading 6 2" xfId="9756" xr:uid="{672B89E8-D7BC-4216-91C3-3BABED78734E}"/>
    <cellStyle name="Column Heading 6 2 2" xfId="19511" xr:uid="{39F51932-382A-482D-AF9A-4B983FFF2435}"/>
    <cellStyle name="Column Heading 6 2 3" xfId="19512" xr:uid="{CB4D92C3-6181-4F2D-9492-EA211B7E61BA}"/>
    <cellStyle name="Column Heading 6 2 4" xfId="19513" xr:uid="{C9CBDDDD-E4A4-49DA-9D77-528BEEA1BC61}"/>
    <cellStyle name="Column Heading 6 2 5" xfId="19514" xr:uid="{B2CE6402-9219-4C5D-95EA-8BFB270FD210}"/>
    <cellStyle name="Column Heading 6 2 6" xfId="19515" xr:uid="{AF0CA25D-B28C-4920-B252-8D7F58977C50}"/>
    <cellStyle name="Column Heading 6 3" xfId="19516" xr:uid="{02167ED8-56BA-43C1-A690-BAA5BD235676}"/>
    <cellStyle name="Column Heading 6 4" xfId="19517" xr:uid="{5851ACDA-53CE-47C2-ADDE-AE71CED404D2}"/>
    <cellStyle name="Column Heading 6 5" xfId="19518" xr:uid="{1B807363-B67C-43EC-B310-573271782D3C}"/>
    <cellStyle name="Column Heading 6 6" xfId="19519" xr:uid="{7D7F61B9-132B-40B4-B94A-6DE60620DBAB}"/>
    <cellStyle name="Column Heading 6 7" xfId="19520" xr:uid="{B151EFF6-5D1F-44EB-9581-4F1E1A327CDC}"/>
    <cellStyle name="Column Heading 7" xfId="806" xr:uid="{59EC9A66-F865-413D-A792-681FB0D9824C}"/>
    <cellStyle name="Column Heading 7 2" xfId="10538" xr:uid="{E4E6B33E-0B77-4BC1-B75E-32A1BCF22C93}"/>
    <cellStyle name="Column Heading 7 2 2" xfId="19521" xr:uid="{0AC4BB1F-1296-4391-B970-F71824DCA30F}"/>
    <cellStyle name="Column Heading 7 2 3" xfId="19522" xr:uid="{F9427E49-BA06-4A26-AF16-103B28744F6A}"/>
    <cellStyle name="Column Heading 7 2 4" xfId="19523" xr:uid="{D968FCB4-FDFE-4289-8200-3E65F8DDDA54}"/>
    <cellStyle name="Column Heading 7 2 5" xfId="19524" xr:uid="{19AE2FD7-170E-42E5-A6AF-E3AABB3477F8}"/>
    <cellStyle name="Column Heading 7 2 6" xfId="19525" xr:uid="{37B0D609-966B-40E9-8BAA-BAB5F5A6C38C}"/>
    <cellStyle name="Column Heading 7 3" xfId="19526" xr:uid="{38E3111A-0361-4DCC-BC9A-F858962E47E3}"/>
    <cellStyle name="Column Heading 7 4" xfId="19527" xr:uid="{08438DFC-2434-4A93-BDBF-739A9A84A358}"/>
    <cellStyle name="Column Heading 7 5" xfId="19528" xr:uid="{474D609C-14E0-4F5D-9799-B9A119CBE0FA}"/>
    <cellStyle name="Column Heading 7 6" xfId="19529" xr:uid="{DBF3A787-0D19-4E7E-A76E-98E6D9A13098}"/>
    <cellStyle name="Column Heading 7 7" xfId="19530" xr:uid="{33A0C0FF-B7C4-4C4B-A5BD-92F236EBC32B}"/>
    <cellStyle name="Column Heading 8" xfId="807" xr:uid="{9A0C1816-03B7-4DF1-AAE8-312C1FDF902C}"/>
    <cellStyle name="Column Heading 8 2" xfId="10711" xr:uid="{C7922D23-0E2B-4631-9A89-64564257AD98}"/>
    <cellStyle name="Column Heading 8 2 2" xfId="19531" xr:uid="{6BC07631-F2CD-4E20-85C3-64D9155D33E5}"/>
    <cellStyle name="Column Heading 8 2 3" xfId="19532" xr:uid="{E836A05C-851C-4DEE-8A0A-7F62E6F875E6}"/>
    <cellStyle name="Column Heading 8 2 4" xfId="19533" xr:uid="{5B7E80C8-86E1-4375-8598-248E53D75F8A}"/>
    <cellStyle name="Column Heading 8 2 5" xfId="19534" xr:uid="{3B2158DE-5AAF-486F-AA2A-3D613FC220A7}"/>
    <cellStyle name="Column Heading 8 2 6" xfId="19535" xr:uid="{D445CE57-29C1-4F39-B4A1-0D26BA42E6C3}"/>
    <cellStyle name="Column Heading 8 3" xfId="19536" xr:uid="{327026A6-273F-418B-8155-BB2DCCDD3640}"/>
    <cellStyle name="Column Heading 8 4" xfId="19537" xr:uid="{E6F1510E-99B1-4702-8653-A0A3BAFE7E69}"/>
    <cellStyle name="Column Heading 8 5" xfId="19538" xr:uid="{0B907114-76C2-4889-B13C-E7BF080A6594}"/>
    <cellStyle name="Column Heading 8 6" xfId="19539" xr:uid="{C020AC04-9E86-4F1D-916C-977ED0D5A784}"/>
    <cellStyle name="Column Heading 8 7" xfId="19540" xr:uid="{9CD5FCEB-D6F9-4754-81BA-C7E45FAC42DA}"/>
    <cellStyle name="Column Heading 9" xfId="808" xr:uid="{9BC63BCA-EF8E-4476-81B2-721BDE7F3787}"/>
    <cellStyle name="Column Heading 9 2" xfId="10449" xr:uid="{26F7CD0F-8A18-49D9-8D33-F2845AC782AA}"/>
    <cellStyle name="Column Heading 9 2 2" xfId="19541" xr:uid="{B59241E8-E15A-4C75-9596-21CD185A9E19}"/>
    <cellStyle name="Column Heading 9 2 3" xfId="19542" xr:uid="{B5F3237F-E059-41C9-8C21-84FDE0D51655}"/>
    <cellStyle name="Column Heading 9 2 4" xfId="19543" xr:uid="{38A7593A-FAC1-4EDC-9322-A926CF536377}"/>
    <cellStyle name="Column Heading 9 2 5" xfId="19544" xr:uid="{54FBD8D4-BED9-4101-9E24-BC95BDAFF3A5}"/>
    <cellStyle name="Column Heading 9 2 6" xfId="19545" xr:uid="{0FF9DB04-30DC-44AE-BF57-752AEABBA110}"/>
    <cellStyle name="Column Heading 9 3" xfId="19546" xr:uid="{904F7E05-8C89-49A0-B284-5498E1FC91BF}"/>
    <cellStyle name="Column Heading 9 4" xfId="19547" xr:uid="{ED59BF09-F272-4532-8FE7-3BF47B363176}"/>
    <cellStyle name="Column Heading 9 5" xfId="19548" xr:uid="{0BFD810D-3AAF-460B-AE61-4FC4451364DA}"/>
    <cellStyle name="Column Heading 9 6" xfId="19549" xr:uid="{39593F6A-49B1-4B6F-88A6-78ECCE9B303E}"/>
    <cellStyle name="Column Heading 9 7" xfId="19550" xr:uid="{73F12D09-694A-4253-AF9F-BF28D1C0269F}"/>
    <cellStyle name="Comma" xfId="2" builtinId="3"/>
    <cellStyle name="Comma [0] 2" xfId="44774" xr:uid="{E072B9A5-D188-4014-B116-FEB58856EC67}"/>
    <cellStyle name="Comma 10" xfId="3840" xr:uid="{C0748373-6621-4648-B40D-8ABEC13C6970}"/>
    <cellStyle name="Comma 11" xfId="19551" xr:uid="{F55FA1B4-B157-446A-A18A-71B1A8E70EF4}"/>
    <cellStyle name="Comma 12" xfId="19552" xr:uid="{FFC75CD8-1393-4A37-BA48-5123E4E95106}"/>
    <cellStyle name="Comma 12 2" xfId="44251" xr:uid="{36ACA802-67BF-4F49-9301-99DA65A94438}"/>
    <cellStyle name="Comma 12 2 2" xfId="44735" xr:uid="{E2CD5C72-614F-48F1-929B-6C01E96F86D0}"/>
    <cellStyle name="Comma 13" xfId="44196" xr:uid="{52F2741B-2008-4E11-AA02-F12EDDB94903}"/>
    <cellStyle name="Comma 14" xfId="44243" xr:uid="{63ACB76E-B723-4EDB-8672-35A5CEB2001F}"/>
    <cellStyle name="Comma 14 2" xfId="44261" xr:uid="{CB098A5D-F567-483B-B80B-9BC64574EC71}"/>
    <cellStyle name="Comma 15" xfId="44250" xr:uid="{F3351D1E-A9B8-4EC9-8192-955BA07955E4}"/>
    <cellStyle name="Comma 16" xfId="44262" xr:uid="{00A60620-D071-416F-BDA5-E41A90BE6F7A}"/>
    <cellStyle name="Comma 17" xfId="44263" xr:uid="{605D8FD1-0F92-4288-8659-2C73F785BD33}"/>
    <cellStyle name="Comma 18" xfId="44301" xr:uid="{AC1CC14F-AB5E-45BF-BE01-BDD551A21A33}"/>
    <cellStyle name="Comma 19" xfId="44319" xr:uid="{D2962DC1-12A5-4160-934F-D878CB952942}"/>
    <cellStyle name="Comma 2" xfId="15" xr:uid="{3DE0B628-1A70-433F-BEBB-016E3FF57749}"/>
    <cellStyle name="Comma 2 10" xfId="3841" xr:uid="{7A543FA6-C9C6-4AFE-B97F-499D7C573EEC}"/>
    <cellStyle name="Comma 2 11" xfId="3842" xr:uid="{04E9C25D-164F-4279-A4EF-89C204746152}"/>
    <cellStyle name="Comma 2 12" xfId="3843" xr:uid="{C69A3C2F-667B-4ABD-A805-ECAE9FA9CB53}"/>
    <cellStyle name="Comma 2 13" xfId="3844" xr:uid="{B4F61816-D9D9-45D2-B2B2-25C1E23B5D88}"/>
    <cellStyle name="Comma 2 14" xfId="3845" xr:uid="{F996977F-2D22-4E7D-AEF7-C46C8149474E}"/>
    <cellStyle name="Comma 2 15" xfId="3846" xr:uid="{7E09BE06-5AF5-4BB0-B026-352D850601CF}"/>
    <cellStyle name="Comma 2 16" xfId="3847" xr:uid="{8A4BD2DD-6DF4-484F-9001-53DC676E6ED5}"/>
    <cellStyle name="Comma 2 17" xfId="3848" xr:uid="{47F20871-5D8D-4EE1-8536-235D235039DC}"/>
    <cellStyle name="Comma 2 18" xfId="3849" xr:uid="{8AEE9A6D-3675-4351-A26A-73118F5D3625}"/>
    <cellStyle name="Comma 2 19" xfId="3850" xr:uid="{30027CFB-10CA-4A3D-8F5D-0188F6186993}"/>
    <cellStyle name="Comma 2 2" xfId="40" xr:uid="{7C67B690-D418-4184-B0A3-9A162C05AEC4}"/>
    <cellStyle name="Comma 2 2 2" xfId="3851" xr:uid="{C73D73D8-8227-4C6E-A219-087E56C96C0E}"/>
    <cellStyle name="Comma 2 2 2 2" xfId="44320" xr:uid="{0478D0F6-4FC9-4A58-970E-595083E55337}"/>
    <cellStyle name="Comma 2 2 2 2 2" xfId="44321" xr:uid="{07103BEF-CA62-40CA-B718-0A558F0F1D4A}"/>
    <cellStyle name="Comma 2 2 2 3" xfId="44322" xr:uid="{633EFED6-AB64-4374-8B9B-A06DF01C89D4}"/>
    <cellStyle name="Comma 2 2 3" xfId="809" xr:uid="{D29DACDF-FFAC-4DC6-B1E1-7A2E03D3B7A0}"/>
    <cellStyle name="Comma 2 2 3 2" xfId="3852" xr:uid="{123894B0-0636-4B42-8004-A7BC4C155920}"/>
    <cellStyle name="Comma 2 2 4" xfId="44323" xr:uid="{30DF0AAE-84F4-49F1-B777-EB9D4C2C899C}"/>
    <cellStyle name="Comma 2 2 5" xfId="44324" xr:uid="{B8A8EB90-5161-4BE6-91BC-E37F8BA1F584}"/>
    <cellStyle name="Comma 2 2 6" xfId="44325" xr:uid="{42BD7B66-946C-4D5D-AF60-D1B00ABE98EA}"/>
    <cellStyle name="Comma 2 20" xfId="3853" xr:uid="{65C0632D-A096-4C83-B19F-DEA0589B3A8E}"/>
    <cellStyle name="Comma 2 21" xfId="3854" xr:uid="{0DA1A167-BAF4-4532-91A4-3064363ACB96}"/>
    <cellStyle name="Comma 2 22" xfId="3855" xr:uid="{2433F4FC-14A4-4BC8-B008-05951F8779C9}"/>
    <cellStyle name="Comma 2 23" xfId="3856" xr:uid="{EE66DD85-10D0-4870-925E-E673724F5071}"/>
    <cellStyle name="Comma 2 24" xfId="3857" xr:uid="{B1901F13-7B29-41F1-BD84-D88C79267D1A}"/>
    <cellStyle name="Comma 2 25" xfId="3858" xr:uid="{D3BE5B1B-296C-4C3D-81C6-392B9D8D4840}"/>
    <cellStyle name="Comma 2 26" xfId="3859" xr:uid="{64267DE4-517D-4543-9790-0AB3DBBFE864}"/>
    <cellStyle name="Comma 2 27" xfId="3860" xr:uid="{7983CFEB-6962-4457-B773-E825CF1315B2}"/>
    <cellStyle name="Comma 2 27 2" xfId="3861" xr:uid="{98844313-F56B-4737-86AD-442B009F38B4}"/>
    <cellStyle name="Comma 2 27 2 2" xfId="3862" xr:uid="{604D3A59-588F-4255-9569-790731BD4E1D}"/>
    <cellStyle name="Comma 2 27 3" xfId="3863" xr:uid="{84324182-A1C1-4893-9A05-2D214FFF9433}"/>
    <cellStyle name="Comma 2 28" xfId="3864" xr:uid="{B2442643-4EDC-49B3-8A68-D115957BBD0A}"/>
    <cellStyle name="Comma 2 28 2" xfId="3865" xr:uid="{6BDEBCD8-B51B-416A-AFCB-FA14F4A77E65}"/>
    <cellStyle name="Comma 2 28 2 2" xfId="3866" xr:uid="{95985687-1168-4DD0-8AA6-878C4F2000DC}"/>
    <cellStyle name="Comma 2 28 3" xfId="3867" xr:uid="{279F113F-3883-42AE-BAF4-6A2E8C296430}"/>
    <cellStyle name="Comma 2 29" xfId="3868" xr:uid="{EAEF2429-6A0D-49AF-AD40-F8F6C5FC9FF2}"/>
    <cellStyle name="Comma 2 29 2" xfId="3869" xr:uid="{62599529-3195-4C3B-BDFE-AABA1A6DEE5E}"/>
    <cellStyle name="Comma 2 29 2 2" xfId="3870" xr:uid="{92099E3A-BCB0-402E-9083-ABBFB10B9EA2}"/>
    <cellStyle name="Comma 2 29 3" xfId="3871" xr:uid="{D5EA9716-1FA0-44EC-9338-8B51218DA5F5}"/>
    <cellStyle name="Comma 2 3" xfId="810" xr:uid="{D275E91C-D219-4303-AC4B-F78D7B3A42C4}"/>
    <cellStyle name="Comma 2 3 2" xfId="3872" xr:uid="{BF0F7BB6-6244-4CDA-A539-299D7DEA76BB}"/>
    <cellStyle name="Comma 2 3 2 2" xfId="3873" xr:uid="{22FF2B76-AE8F-4D92-A7FC-E3B2AACB2C5C}"/>
    <cellStyle name="Comma 2 3 3" xfId="44169" xr:uid="{00C67310-E6BC-458E-92B4-EA5CA489D59B}"/>
    <cellStyle name="Comma 2 3 3 2" xfId="44326" xr:uid="{C0EA08AC-D09C-4DB5-98B9-860F0A8E3E2E}"/>
    <cellStyle name="Comma 2 3 4" xfId="44327" xr:uid="{B5E2CC3C-B192-42A3-98F8-89CB2B526ADA}"/>
    <cellStyle name="Comma 2 3 5" xfId="44788" xr:uid="{D6DE49DF-39E6-4A75-8896-9740776F1AF7}"/>
    <cellStyle name="Comma 2 30" xfId="44247" xr:uid="{52F2E333-B275-4FD3-80F7-921EDC23F40E}"/>
    <cellStyle name="Comma 2 31" xfId="44744" xr:uid="{91B0F77F-F571-4EA7-B07D-A5267BFBA6AD}"/>
    <cellStyle name="Comma 2 32" xfId="44765" xr:uid="{F4CF6EBD-1723-478A-BCD0-5156A22A25F4}"/>
    <cellStyle name="Comma 2 33" xfId="39" xr:uid="{759E5FD3-5FA5-4178-AE73-82D062679BFA}"/>
    <cellStyle name="Comma 2 4" xfId="3874" xr:uid="{850F97E5-25E4-46A9-94E1-39125CCA5B3E}"/>
    <cellStyle name="Comma 2 4 2" xfId="3875" xr:uid="{FA16244F-23A0-4198-9C9F-D74E6A118B85}"/>
    <cellStyle name="Comma 2 4 2 2" xfId="44328" xr:uid="{4EC5E4C5-85C2-4673-A8A5-5735EBCA8C6B}"/>
    <cellStyle name="Comma 2 4 3" xfId="3876" xr:uid="{D6342905-27AA-4780-97CA-73B90100AD52}"/>
    <cellStyle name="Comma 2 4 4" xfId="3877" xr:uid="{C78063C6-DF6D-4470-8445-0E1ED2F9CA5D}"/>
    <cellStyle name="Comma 2 5" xfId="3878" xr:uid="{F847DBED-D037-4B39-B382-DA90880FEF34}"/>
    <cellStyle name="Comma 2 5 10" xfId="3879" xr:uid="{EC8789CF-BE64-4319-93FC-E0B957D550FD}"/>
    <cellStyle name="Comma 2 5 11" xfId="3880" xr:uid="{2F3EF5EA-0165-46ED-9C9D-22B164B53596}"/>
    <cellStyle name="Comma 2 5 11 2" xfId="3881" xr:uid="{812E3736-26F1-4A84-A77A-8856C81E8D20}"/>
    <cellStyle name="Comma 2 5 11 2 2" xfId="3882" xr:uid="{1690C2A8-D7F1-4BA6-949E-ED4AF8C69DAE}"/>
    <cellStyle name="Comma 2 5 11 2 2 2" xfId="3883" xr:uid="{0D9D66E6-28E2-40A7-98A7-4F9B13565EDD}"/>
    <cellStyle name="Comma 2 5 11 2 2 2 2" xfId="3884" xr:uid="{FBF3FF83-033A-4CD2-BF0C-61A02FDE37AC}"/>
    <cellStyle name="Comma 2 5 11 2 2 3" xfId="3885" xr:uid="{CD92BA8D-5E51-4579-AFB8-FF9454412866}"/>
    <cellStyle name="Comma 2 5 11 2 2 4" xfId="3886" xr:uid="{9371DDC4-327A-48B7-81BD-1E2CBA70022F}"/>
    <cellStyle name="Comma 2 5 11 2 3" xfId="3887" xr:uid="{6AB032BA-E341-40F6-922D-E6367F236544}"/>
    <cellStyle name="Comma 2 5 11 2 3 2" xfId="3888" xr:uid="{9BEB7143-034A-48B8-A7F3-D67F117F4402}"/>
    <cellStyle name="Comma 2 5 11 2 4" xfId="3889" xr:uid="{8C68ABDD-9C16-4954-811B-3A74E4D43061}"/>
    <cellStyle name="Comma 2 5 11 2 5" xfId="3890" xr:uid="{7163241F-8956-4157-B82E-E08C8FA1DD08}"/>
    <cellStyle name="Comma 2 5 11 3" xfId="3891" xr:uid="{5064C6B7-40DB-4723-82BC-28BEE81FD418}"/>
    <cellStyle name="Comma 2 5 12" xfId="3892" xr:uid="{FFF24349-91C3-46E2-A329-95E03033EC75}"/>
    <cellStyle name="Comma 2 5 12 2" xfId="3893" xr:uid="{8BD37084-3F7C-4DA2-876E-29EFA05D03AC}"/>
    <cellStyle name="Comma 2 5 12 2 2" xfId="3894" xr:uid="{BA1312B5-614A-4009-9719-94C32F689209}"/>
    <cellStyle name="Comma 2 5 12 2 2 2" xfId="3895" xr:uid="{EED78B9B-8BE2-4FB5-AEF5-7260C05A0838}"/>
    <cellStyle name="Comma 2 5 12 2 3" xfId="3896" xr:uid="{CEE468A1-DCC6-413A-B17F-0082A7B3C9F9}"/>
    <cellStyle name="Comma 2 5 12 2 4" xfId="3897" xr:uid="{C59BB878-5046-41E9-BADE-33B9D38F25B7}"/>
    <cellStyle name="Comma 2 5 12 3" xfId="3898" xr:uid="{1928940C-CB4A-4290-9A9B-766057FB139B}"/>
    <cellStyle name="Comma 2 5 12 3 2" xfId="3899" xr:uid="{FA923EB0-7D02-41DD-AC05-B8650859443A}"/>
    <cellStyle name="Comma 2 5 12 4" xfId="3900" xr:uid="{5FCA781D-293A-44B8-B001-3E2AB69E7DE9}"/>
    <cellStyle name="Comma 2 5 12 5" xfId="3901" xr:uid="{BE172441-58EF-4957-A275-E0E3D06C91DC}"/>
    <cellStyle name="Comma 2 5 13" xfId="3902" xr:uid="{150A98BC-C6AF-432B-8DA3-748D5B75907C}"/>
    <cellStyle name="Comma 2 5 13 2" xfId="3903" xr:uid="{B6421DEE-890E-4BBE-BBEA-EEFDC6A69508}"/>
    <cellStyle name="Comma 2 5 13 2 2" xfId="3904" xr:uid="{518B1CAC-1F09-4AAD-9D2E-5AF124A265E4}"/>
    <cellStyle name="Comma 2 5 13 3" xfId="3905" xr:uid="{A4431144-31BC-4599-9578-3BB49489D17F}"/>
    <cellStyle name="Comma 2 5 14" xfId="3906" xr:uid="{FD0A38E1-EED8-4E7F-8ABD-9E17CA1B695C}"/>
    <cellStyle name="Comma 2 5 14 2" xfId="3907" xr:uid="{B31AD84D-947D-4326-A6BA-C1202A774F17}"/>
    <cellStyle name="Comma 2 5 14 2 2" xfId="3908" xr:uid="{94673942-74C5-418B-8550-3240A3388918}"/>
    <cellStyle name="Comma 2 5 14 3" xfId="3909" xr:uid="{AA1340B4-E71C-4D14-8284-B7AC75F91023}"/>
    <cellStyle name="Comma 2 5 15" xfId="3910" xr:uid="{F97574C9-E0B1-4403-991E-D61A4A9713BA}"/>
    <cellStyle name="Comma 2 5 15 2" xfId="3911" xr:uid="{5B332895-284B-46A1-A580-D43ACCB8BCFA}"/>
    <cellStyle name="Comma 2 5 15 2 2" xfId="3912" xr:uid="{85BC39A7-B3D6-4150-A062-914549BB52A5}"/>
    <cellStyle name="Comma 2 5 15 3" xfId="3913" xr:uid="{E38C7D15-08BE-4CE5-979C-4F05D3DC6FCD}"/>
    <cellStyle name="Comma 2 5 16" xfId="3914" xr:uid="{353F197B-0069-4043-A927-D7D7C8FD6FAD}"/>
    <cellStyle name="Comma 2 5 16 2" xfId="3915" xr:uid="{2A0F0B20-153C-46EC-8C28-A4F38A79A497}"/>
    <cellStyle name="Comma 2 5 16 2 2" xfId="3916" xr:uid="{0C4CDA06-4CD7-4619-BA2E-1464E6E0A45D}"/>
    <cellStyle name="Comma 2 5 16 3" xfId="3917" xr:uid="{FEBF10E1-ED52-4B68-AD96-939EE6C8CEA6}"/>
    <cellStyle name="Comma 2 5 17" xfId="3918" xr:uid="{E93F1818-4599-4A60-802E-7C2E3BB825B7}"/>
    <cellStyle name="Comma 2 5 17 2" xfId="3919" xr:uid="{AFC4D1BA-18A4-4398-81E9-74FCD92B3A8A}"/>
    <cellStyle name="Comma 2 5 17 2 2" xfId="3920" xr:uid="{C4971D18-5287-4CD4-AA0E-B903C1C4D2C4}"/>
    <cellStyle name="Comma 2 5 17 3" xfId="3921" xr:uid="{D5D7165A-7E98-4710-B7E3-7B4B50DC5F94}"/>
    <cellStyle name="Comma 2 5 18" xfId="3922" xr:uid="{9AC225CB-D5A2-4637-A839-33E31C2FFBE3}"/>
    <cellStyle name="Comma 2 5 18 2" xfId="3923" xr:uid="{1346AFB8-2955-4FF6-84E4-718DC3B6E9CB}"/>
    <cellStyle name="Comma 2 5 19" xfId="3924" xr:uid="{DE32E5BC-F2D7-4B56-88C2-142469C59DC0}"/>
    <cellStyle name="Comma 2 5 2" xfId="3925" xr:uid="{547D76C2-E109-4DAD-95F0-E0CBD7D55F0E}"/>
    <cellStyle name="Comma 2 5 2 10" xfId="3926" xr:uid="{DA7A309B-1EF5-4BEA-804E-91C1CDA5F618}"/>
    <cellStyle name="Comma 2 5 2 10 2" xfId="3927" xr:uid="{EED750EA-C67A-4970-9521-414C1D4D1272}"/>
    <cellStyle name="Comma 2 5 2 10 2 2" xfId="3928" xr:uid="{B16F0FBD-D27A-4275-8C52-40C9CCA21AA9}"/>
    <cellStyle name="Comma 2 5 2 10 2 2 2" xfId="3929" xr:uid="{BABBA42D-C111-42F7-9F0C-8C5735CF363C}"/>
    <cellStyle name="Comma 2 5 2 10 2 2 2 2" xfId="3930" xr:uid="{6C313B84-A9D8-4169-90EF-FA3B27BE4A9E}"/>
    <cellStyle name="Comma 2 5 2 10 2 2 3" xfId="3931" xr:uid="{CE0A5A12-9731-40D9-B394-1D319BEB0671}"/>
    <cellStyle name="Comma 2 5 2 10 2 2 4" xfId="3932" xr:uid="{BC9083C5-ECE7-4E5D-8F08-D8B132F856CD}"/>
    <cellStyle name="Comma 2 5 2 10 2 3" xfId="3933" xr:uid="{B13AB672-9814-4AC8-B7D3-4DC78231C2F6}"/>
    <cellStyle name="Comma 2 5 2 10 2 3 2" xfId="3934" xr:uid="{CE2F0381-DF59-486F-A365-56DACC661209}"/>
    <cellStyle name="Comma 2 5 2 10 2 4" xfId="3935" xr:uid="{A4D9C073-0C70-4A23-A324-94FDFE4BFAD4}"/>
    <cellStyle name="Comma 2 5 2 10 2 5" xfId="3936" xr:uid="{6C3BB51C-296F-47B9-B1EA-BF5403018820}"/>
    <cellStyle name="Comma 2 5 2 10 3" xfId="3937" xr:uid="{B1EF0A58-FCC6-4848-87A5-07270B7C6FA8}"/>
    <cellStyle name="Comma 2 5 2 11" xfId="3938" xr:uid="{39CF5A6D-4BAF-49A3-A691-CA175E689AAA}"/>
    <cellStyle name="Comma 2 5 2 11 2" xfId="3939" xr:uid="{EDBDEC12-600B-46B3-8590-D4BE3F1E8FAC}"/>
    <cellStyle name="Comma 2 5 2 11 2 2" xfId="3940" xr:uid="{C0994433-1639-461F-A20F-A066F87CB968}"/>
    <cellStyle name="Comma 2 5 2 11 2 2 2" xfId="3941" xr:uid="{46AE3453-0DAE-4E6A-A535-5E2A1B49B41F}"/>
    <cellStyle name="Comma 2 5 2 11 2 3" xfId="3942" xr:uid="{66BBE732-E17F-4FB2-9B60-4F4186081694}"/>
    <cellStyle name="Comma 2 5 2 11 2 4" xfId="3943" xr:uid="{26CBABA7-D654-43C1-81BD-2AD39ED55F69}"/>
    <cellStyle name="Comma 2 5 2 11 3" xfId="3944" xr:uid="{1F9D5FA3-DD09-496A-9D6B-13368B1F705D}"/>
    <cellStyle name="Comma 2 5 2 11 3 2" xfId="3945" xr:uid="{2DD943FB-B13B-4EC4-83EE-6603EAE7DB1A}"/>
    <cellStyle name="Comma 2 5 2 11 4" xfId="3946" xr:uid="{8785F083-7F1A-4ABE-9954-D1736B234ACC}"/>
    <cellStyle name="Comma 2 5 2 11 5" xfId="3947" xr:uid="{B12E0059-F370-4AE9-A649-77040CDCBBF5}"/>
    <cellStyle name="Comma 2 5 2 12" xfId="3948" xr:uid="{E08ADB8B-9BEB-4B7F-A3E8-D3FEF3989CC9}"/>
    <cellStyle name="Comma 2 5 2 12 2" xfId="3949" xr:uid="{A14A8336-DB10-4C45-90D3-6A0E5CDAFAE6}"/>
    <cellStyle name="Comma 2 5 2 12 2 2" xfId="3950" xr:uid="{B5364758-D0B2-45CC-B27A-418DA1C5802F}"/>
    <cellStyle name="Comma 2 5 2 12 3" xfId="3951" xr:uid="{31B8C4FF-EFC4-4369-9A98-72A8AC601B3C}"/>
    <cellStyle name="Comma 2 5 2 13" xfId="3952" xr:uid="{60E7247E-D64D-4019-B9E3-7DF804F5D90F}"/>
    <cellStyle name="Comma 2 5 2 13 2" xfId="3953" xr:uid="{6983A0BF-DA06-4007-9597-A5695C4A2C68}"/>
    <cellStyle name="Comma 2 5 2 13 2 2" xfId="3954" xr:uid="{D7C80BB6-0746-4B8D-9EBC-B82BE254F062}"/>
    <cellStyle name="Comma 2 5 2 13 3" xfId="3955" xr:uid="{A34BCC69-2E7B-4565-AC89-D5A5CC92D854}"/>
    <cellStyle name="Comma 2 5 2 14" xfId="3956" xr:uid="{D9F8CC42-C75A-4402-8C5B-6FAC971CC192}"/>
    <cellStyle name="Comma 2 5 2 14 2" xfId="3957" xr:uid="{DD267FE5-3B3E-41F9-96A0-4028AEB5EE2C}"/>
    <cellStyle name="Comma 2 5 2 14 2 2" xfId="3958" xr:uid="{EDA10E0B-74FE-4C8C-884F-FD2FF7028CAD}"/>
    <cellStyle name="Comma 2 5 2 14 3" xfId="3959" xr:uid="{3F502BF5-0A96-4C6D-BC11-CE4737D9367D}"/>
    <cellStyle name="Comma 2 5 2 15" xfId="3960" xr:uid="{3FC94C39-89C2-41E9-905A-00EF41204DA8}"/>
    <cellStyle name="Comma 2 5 2 15 2" xfId="3961" xr:uid="{48C0EA75-4B88-4EE4-AAAD-11297C717802}"/>
    <cellStyle name="Comma 2 5 2 15 2 2" xfId="3962" xr:uid="{A104CB94-3ED7-4828-AECF-436F8D0AB657}"/>
    <cellStyle name="Comma 2 5 2 15 3" xfId="3963" xr:uid="{70CF3086-61D2-47AE-98EA-F3F5F4204118}"/>
    <cellStyle name="Comma 2 5 2 16" xfId="3964" xr:uid="{DF0204F1-0879-4805-A50E-9C44FDC9539C}"/>
    <cellStyle name="Comma 2 5 2 16 2" xfId="3965" xr:uid="{D81F836F-F5AC-48B4-9E9F-D6D1F831BA92}"/>
    <cellStyle name="Comma 2 5 2 16 2 2" xfId="3966" xr:uid="{EE946A36-6E06-4BD1-AF16-7977220F1204}"/>
    <cellStyle name="Comma 2 5 2 16 3" xfId="3967" xr:uid="{30E2C50F-8DE6-4CA0-8B5F-8B1B28742B16}"/>
    <cellStyle name="Comma 2 5 2 17" xfId="3968" xr:uid="{A3F8878F-9AE5-4181-A62C-1562E6694C3F}"/>
    <cellStyle name="Comma 2 5 2 17 2" xfId="3969" xr:uid="{8A61CB55-ADAA-4BEA-8208-B75FA5E2C585}"/>
    <cellStyle name="Comma 2 5 2 18" xfId="3970" xr:uid="{0E2F45A1-F89B-4E06-834B-4511F3A26397}"/>
    <cellStyle name="Comma 2 5 2 19" xfId="3971" xr:uid="{1C3780FE-53EC-4655-905C-C6A4EA0AFCFB}"/>
    <cellStyle name="Comma 2 5 2 2" xfId="3972" xr:uid="{587C7BC6-56B7-41DB-8F22-15E48DFF4DF1}"/>
    <cellStyle name="Comma 2 5 2 3" xfId="3973" xr:uid="{A135BD47-2A57-4B35-A57A-ECA53141AD04}"/>
    <cellStyle name="Comma 2 5 2 4" xfId="3974" xr:uid="{06FC202B-B0C2-4FBE-B9B8-379582273DA2}"/>
    <cellStyle name="Comma 2 5 2 5" xfId="3975" xr:uid="{65AC17D3-F187-42D6-BF0C-34AF828FEB58}"/>
    <cellStyle name="Comma 2 5 2 6" xfId="3976" xr:uid="{1E9D0946-FECF-462B-BD6E-921750DFA732}"/>
    <cellStyle name="Comma 2 5 2 7" xfId="3977" xr:uid="{06ABADEC-9538-453D-B16C-64B808F45F21}"/>
    <cellStyle name="Comma 2 5 2 8" xfId="3978" xr:uid="{8FC07F4D-EAA4-4FF5-9510-6643FC06CCE9}"/>
    <cellStyle name="Comma 2 5 2 9" xfId="3979" xr:uid="{EC3A3C10-7DCA-4FE0-BBC5-B493513834F2}"/>
    <cellStyle name="Comma 2 5 20" xfId="3980" xr:uid="{4AF7E35B-6DC6-4F96-8835-BD09BF7EFE9A}"/>
    <cellStyle name="Comma 2 5 21" xfId="3981" xr:uid="{CCA0791C-5DDB-4AB2-A31D-D5D87D84614C}"/>
    <cellStyle name="Comma 2 5 22" xfId="3982" xr:uid="{179F7192-BFE8-4C95-940B-64A3FBD293A2}"/>
    <cellStyle name="Comma 2 5 23" xfId="3983" xr:uid="{ADDC17EB-676F-4800-8364-9BC25B775DBC}"/>
    <cellStyle name="Comma 2 5 3" xfId="3984" xr:uid="{4BE15D5B-7710-494E-988E-3C711388919D}"/>
    <cellStyle name="Comma 2 5 4" xfId="3985" xr:uid="{66B2922D-6206-4E04-9A49-833DA6570DF3}"/>
    <cellStyle name="Comma 2 5 5" xfId="3986" xr:uid="{F6101C6B-07FD-4F8B-A565-C5DD73AC2BEC}"/>
    <cellStyle name="Comma 2 5 6" xfId="3987" xr:uid="{8CDCC374-38A5-4F19-BCA2-385CD7FE8F9B}"/>
    <cellStyle name="Comma 2 5 7" xfId="3988" xr:uid="{84AEFE92-1A20-49E6-9C1B-92C5E169CE10}"/>
    <cellStyle name="Comma 2 5 8" xfId="3989" xr:uid="{CCC3BEEC-E4D0-4729-979C-1EFD4447E9BA}"/>
    <cellStyle name="Comma 2 5 9" xfId="3990" xr:uid="{29CC503D-6FFC-494B-8250-E4F568D17448}"/>
    <cellStyle name="Comma 2 6" xfId="3991" xr:uid="{6942F8CE-BAF3-4FFB-B7A0-45F4F6F7FCE0}"/>
    <cellStyle name="Comma 2 6 10" xfId="3992" xr:uid="{9E1FCCF3-E506-4A2F-94B9-E06701AC21BD}"/>
    <cellStyle name="Comma 2 6 10 2" xfId="3993" xr:uid="{3B32CF10-E152-4F00-AB5D-CC8E3CB7F9A6}"/>
    <cellStyle name="Comma 2 6 10 2 2" xfId="3994" xr:uid="{D8006149-E97E-4ED1-BF09-20FCA1B991F5}"/>
    <cellStyle name="Comma 2 6 10 2 2 2" xfId="3995" xr:uid="{762B43F0-89A4-4270-9BC0-4FE396604A3B}"/>
    <cellStyle name="Comma 2 6 10 2 2 2 2" xfId="3996" xr:uid="{F2F8A760-620A-42C7-8D36-A42390F04847}"/>
    <cellStyle name="Comma 2 6 10 2 2 3" xfId="3997" xr:uid="{C0B2A325-2376-4F4A-B26E-B43F59EBC878}"/>
    <cellStyle name="Comma 2 6 10 2 2 4" xfId="3998" xr:uid="{F8F9764A-328C-408C-9A4D-4885A061CB93}"/>
    <cellStyle name="Comma 2 6 10 2 3" xfId="3999" xr:uid="{83C692BD-FA04-4FCC-A213-B78095C8C9B9}"/>
    <cellStyle name="Comma 2 6 10 2 3 2" xfId="4000" xr:uid="{A71AA558-B04B-45C7-9DDB-436B96798352}"/>
    <cellStyle name="Comma 2 6 10 2 4" xfId="4001" xr:uid="{2A789AB8-81A7-4868-A717-D6927E3CE81F}"/>
    <cellStyle name="Comma 2 6 10 2 5" xfId="4002" xr:uid="{A693952B-E3FA-4EDC-991F-FBE14D94CE3E}"/>
    <cellStyle name="Comma 2 6 10 3" xfId="4003" xr:uid="{8BA8EEAD-5570-4818-8ADA-364FB390D1C2}"/>
    <cellStyle name="Comma 2 6 11" xfId="4004" xr:uid="{84285DAE-752D-4E76-AE17-DC031119BA52}"/>
    <cellStyle name="Comma 2 6 11 2" xfId="4005" xr:uid="{4241E955-1E07-4FB4-90C4-A001114A664C}"/>
    <cellStyle name="Comma 2 6 11 2 2" xfId="4006" xr:uid="{F3B4082F-B6A9-4C16-BF05-9C63EC0A8DC8}"/>
    <cellStyle name="Comma 2 6 11 2 2 2" xfId="4007" xr:uid="{6615DCEE-1B35-4E97-B927-7C7738E7F81B}"/>
    <cellStyle name="Comma 2 6 11 2 3" xfId="4008" xr:uid="{202AC385-F82F-4B49-94D7-4F9BF77DDCF7}"/>
    <cellStyle name="Comma 2 6 11 2 4" xfId="4009" xr:uid="{C5A9DFE6-CE36-4A2E-8450-00203157128D}"/>
    <cellStyle name="Comma 2 6 11 3" xfId="4010" xr:uid="{44891E76-D068-449F-8240-4B79752C3B9F}"/>
    <cellStyle name="Comma 2 6 11 3 2" xfId="4011" xr:uid="{C07A7AD9-CB67-4839-BB29-2DCCE6971690}"/>
    <cellStyle name="Comma 2 6 11 4" xfId="4012" xr:uid="{2B639660-6FA7-4724-90C6-1F00455417EA}"/>
    <cellStyle name="Comma 2 6 11 5" xfId="4013" xr:uid="{B964A121-5391-4746-8B4B-A28E0B1C928A}"/>
    <cellStyle name="Comma 2 6 12" xfId="4014" xr:uid="{97D65B8D-E3D0-4E20-8BD6-64342162DAD9}"/>
    <cellStyle name="Comma 2 6 12 2" xfId="4015" xr:uid="{950A57C8-3CFF-4FBE-BC4C-57745AFDB85A}"/>
    <cellStyle name="Comma 2 6 12 2 2" xfId="4016" xr:uid="{DA28EB20-DD8C-451D-9372-AC39FE8C6B23}"/>
    <cellStyle name="Comma 2 6 12 3" xfId="4017" xr:uid="{858FD5E5-8678-4C6F-8F71-E6D9F0937E8C}"/>
    <cellStyle name="Comma 2 6 13" xfId="4018" xr:uid="{4EAA86DC-FEEB-4481-8E9A-98F0B398C4CD}"/>
    <cellStyle name="Comma 2 6 13 2" xfId="4019" xr:uid="{F8645A48-8C26-4743-AD61-5F346B739EDD}"/>
    <cellStyle name="Comma 2 6 13 2 2" xfId="4020" xr:uid="{38CC0AD0-59D4-496F-B7DF-50D853695803}"/>
    <cellStyle name="Comma 2 6 13 3" xfId="4021" xr:uid="{D2BFDABE-E6EC-43AC-A4F8-0C7A9F0484C3}"/>
    <cellStyle name="Comma 2 6 14" xfId="4022" xr:uid="{6605290F-87F0-40AC-82EE-CEBDA6C05BED}"/>
    <cellStyle name="Comma 2 6 14 2" xfId="4023" xr:uid="{E065C95E-014F-49F7-9DE0-D8C914094F67}"/>
    <cellStyle name="Comma 2 6 14 2 2" xfId="4024" xr:uid="{7ED34897-2198-4D9D-B005-827097C4897B}"/>
    <cellStyle name="Comma 2 6 14 3" xfId="4025" xr:uid="{C75903B6-873A-4F4C-A2B6-233B92E265C9}"/>
    <cellStyle name="Comma 2 6 15" xfId="4026" xr:uid="{B766DE5E-7567-4469-B319-269FA6950490}"/>
    <cellStyle name="Comma 2 6 15 2" xfId="4027" xr:uid="{817C209F-32AB-436A-85A6-C5FFA2172E6B}"/>
    <cellStyle name="Comma 2 6 15 2 2" xfId="4028" xr:uid="{60D47FA7-5891-4475-B455-B8EB424215F3}"/>
    <cellStyle name="Comma 2 6 15 3" xfId="4029" xr:uid="{71D919E8-3873-401A-BBB9-4FCF83D3D6B0}"/>
    <cellStyle name="Comma 2 6 16" xfId="4030" xr:uid="{B8E06A44-5BD9-4BB6-ADCA-7AE5A631521B}"/>
    <cellStyle name="Comma 2 6 16 2" xfId="4031" xr:uid="{C7195CE8-7817-411E-9793-D88E2DF7CE53}"/>
    <cellStyle name="Comma 2 6 16 2 2" xfId="4032" xr:uid="{A77E921A-57F7-4EDE-85EB-B5CCD46F2E2D}"/>
    <cellStyle name="Comma 2 6 16 3" xfId="4033" xr:uid="{008FA5B6-18C1-4EFF-A07A-0EC6BA9185BE}"/>
    <cellStyle name="Comma 2 6 17" xfId="4034" xr:uid="{D8E06D76-652A-4A99-96B2-414BF91E4C7D}"/>
    <cellStyle name="Comma 2 6 17 2" xfId="4035" xr:uid="{8ABF334C-8BE1-4D54-9102-1113FEF2627F}"/>
    <cellStyle name="Comma 2 6 18" xfId="4036" xr:uid="{55E85DDE-713A-45A9-AD26-CC2CB89ABC6E}"/>
    <cellStyle name="Comma 2 6 19" xfId="4037" xr:uid="{EABD0CB8-9517-4E57-B02E-65568C131F60}"/>
    <cellStyle name="Comma 2 6 2" xfId="4038" xr:uid="{A1ABFC4B-9E06-4307-836C-C04A880EBF3D}"/>
    <cellStyle name="Comma 2 6 3" xfId="4039" xr:uid="{27ACC565-E80A-4251-9C03-6F02BE7EAB4F}"/>
    <cellStyle name="Comma 2 6 4" xfId="4040" xr:uid="{87A0714F-17BB-4A7C-895F-E13CBF664D5E}"/>
    <cellStyle name="Comma 2 6 5" xfId="4041" xr:uid="{B5BBB099-9BC9-4708-BF1D-4F0C9C02176C}"/>
    <cellStyle name="Comma 2 6 6" xfId="4042" xr:uid="{58A5C903-FE38-49DB-88AB-B6A53CFD355E}"/>
    <cellStyle name="Comma 2 6 7" xfId="4043" xr:uid="{FC43D5EC-66D2-41A5-878F-B9A035F24385}"/>
    <cellStyle name="Comma 2 6 8" xfId="4044" xr:uid="{C222A2DB-1336-42FA-A790-FBDD7D8051F1}"/>
    <cellStyle name="Comma 2 6 9" xfId="4045" xr:uid="{4A791961-9EBF-4A1C-AD62-A5B719A78B41}"/>
    <cellStyle name="Comma 2 7" xfId="4046" xr:uid="{E03B8012-C0F5-43BA-9A06-A464133BF9CD}"/>
    <cellStyle name="Comma 2 7 10" xfId="4047" xr:uid="{844FD2C2-8D20-4A2D-B028-06B7F8C034F5}"/>
    <cellStyle name="Comma 2 7 10 2" xfId="4048" xr:uid="{B065DA49-974F-4324-8904-8F14FB4C96B3}"/>
    <cellStyle name="Comma 2 7 10 2 2" xfId="4049" xr:uid="{35A34227-06E5-44BD-A319-4179E821B147}"/>
    <cellStyle name="Comma 2 7 10 2 2 2" xfId="4050" xr:uid="{4E483DCE-B9E8-4E10-9E8E-1B5D9BCAE9D7}"/>
    <cellStyle name="Comma 2 7 10 2 2 2 2" xfId="4051" xr:uid="{E6F2A1EB-20C3-43D7-859B-FD7B5894204C}"/>
    <cellStyle name="Comma 2 7 10 2 2 3" xfId="4052" xr:uid="{8A56D9C3-C61E-4FC9-8A54-E22B2951AC7F}"/>
    <cellStyle name="Comma 2 7 10 2 2 4" xfId="4053" xr:uid="{84829D01-3B75-460F-AF6A-FD3595A86C71}"/>
    <cellStyle name="Comma 2 7 10 2 3" xfId="4054" xr:uid="{5CC5BC6E-0A24-4D2D-8DE9-854C6479F5DA}"/>
    <cellStyle name="Comma 2 7 10 2 3 2" xfId="4055" xr:uid="{FBE881B9-5E72-4B34-AA9D-341678D25A5A}"/>
    <cellStyle name="Comma 2 7 10 2 4" xfId="4056" xr:uid="{6CE38542-9EFB-4638-BB69-A3C6BA533935}"/>
    <cellStyle name="Comma 2 7 10 2 5" xfId="4057" xr:uid="{38708072-5F43-4A4C-92B6-95EB00724622}"/>
    <cellStyle name="Comma 2 7 10 3" xfId="4058" xr:uid="{55140977-75CB-41A5-97F1-D72A719C62AB}"/>
    <cellStyle name="Comma 2 7 11" xfId="4059" xr:uid="{1152B911-F366-4574-94D8-DAB7CDCB723B}"/>
    <cellStyle name="Comma 2 7 11 2" xfId="4060" xr:uid="{431731C8-3929-437A-9E24-8A95180BBE6F}"/>
    <cellStyle name="Comma 2 7 11 2 2" xfId="4061" xr:uid="{55C9A2E7-FFD0-493D-8D93-69625836287C}"/>
    <cellStyle name="Comma 2 7 11 2 2 2" xfId="4062" xr:uid="{5E3B3BF3-43D7-4D33-AD7E-6AC9E8AD9A27}"/>
    <cellStyle name="Comma 2 7 11 2 3" xfId="4063" xr:uid="{30454836-9423-4773-918B-2C780554E2E5}"/>
    <cellStyle name="Comma 2 7 11 2 4" xfId="4064" xr:uid="{D9EBB585-57FC-4C90-84EB-98B50D5E50D9}"/>
    <cellStyle name="Comma 2 7 11 3" xfId="4065" xr:uid="{F741EE4F-9013-464A-9241-AA9FB6F5C526}"/>
    <cellStyle name="Comma 2 7 11 3 2" xfId="4066" xr:uid="{4CACA406-46CE-4280-8567-0498A12CCB3A}"/>
    <cellStyle name="Comma 2 7 11 4" xfId="4067" xr:uid="{740CD898-A368-49E2-83C8-8302199457A9}"/>
    <cellStyle name="Comma 2 7 11 5" xfId="4068" xr:uid="{5E26A8B9-9919-44CD-9C79-2A85B4A593DF}"/>
    <cellStyle name="Comma 2 7 12" xfId="4069" xr:uid="{A8965497-E00C-414D-98C8-F4F0BA2333A8}"/>
    <cellStyle name="Comma 2 7 12 2" xfId="4070" xr:uid="{6E664843-D016-4192-A360-8FBE59FDEAB7}"/>
    <cellStyle name="Comma 2 7 12 2 2" xfId="4071" xr:uid="{8CCB6948-69B0-4D27-B379-F392D87B2118}"/>
    <cellStyle name="Comma 2 7 12 3" xfId="4072" xr:uid="{5DC068C3-2675-4021-B945-492D8C72622B}"/>
    <cellStyle name="Comma 2 7 13" xfId="4073" xr:uid="{A5B24D4B-58DD-47B9-BEB1-7DC3B59DC53B}"/>
    <cellStyle name="Comma 2 7 13 2" xfId="4074" xr:uid="{DB71436E-3E78-48C1-B783-8C27A0088000}"/>
    <cellStyle name="Comma 2 7 13 2 2" xfId="4075" xr:uid="{43B637E8-CF0A-4433-9398-33892981EC37}"/>
    <cellStyle name="Comma 2 7 13 3" xfId="4076" xr:uid="{3EDAB96F-088C-4486-A005-F7B67A41F7BC}"/>
    <cellStyle name="Comma 2 7 14" xfId="4077" xr:uid="{CC66D794-80C7-4DD2-94E9-1FCFDB0ED44F}"/>
    <cellStyle name="Comma 2 7 14 2" xfId="4078" xr:uid="{6C9D6D7C-257F-47C8-BD83-D1865EF3E7D2}"/>
    <cellStyle name="Comma 2 7 14 2 2" xfId="4079" xr:uid="{B024ED82-2B17-48A5-A109-C6858D851C0D}"/>
    <cellStyle name="Comma 2 7 14 3" xfId="4080" xr:uid="{52385341-9577-4810-AA48-DD529B50C7AF}"/>
    <cellStyle name="Comma 2 7 15" xfId="4081" xr:uid="{68DB8110-1FCB-4325-9BA7-E72BFA005761}"/>
    <cellStyle name="Comma 2 7 15 2" xfId="4082" xr:uid="{8B5F9054-F081-4E75-BAA7-32E0BCEE272A}"/>
    <cellStyle name="Comma 2 7 15 2 2" xfId="4083" xr:uid="{D86EBEB9-E3DC-442B-83A1-FB5DF34438BD}"/>
    <cellStyle name="Comma 2 7 15 3" xfId="4084" xr:uid="{67CFAF0C-6137-4C0E-89C4-2A2F38BCFB5F}"/>
    <cellStyle name="Comma 2 7 16" xfId="4085" xr:uid="{3F4B6D59-6C3F-4CD3-8FEC-BE0BA67B0ADD}"/>
    <cellStyle name="Comma 2 7 16 2" xfId="4086" xr:uid="{5CADCC90-B51A-4062-9DD5-5E1ACFAEED1E}"/>
    <cellStyle name="Comma 2 7 16 2 2" xfId="4087" xr:uid="{5CE4C729-925B-4777-BF4A-2BED39D24F2A}"/>
    <cellStyle name="Comma 2 7 16 3" xfId="4088" xr:uid="{A7AA1D97-28B9-4727-9130-4E4DEE152CF4}"/>
    <cellStyle name="Comma 2 7 17" xfId="4089" xr:uid="{9D85A5B1-DB5B-431A-855D-34EB25D97244}"/>
    <cellStyle name="Comma 2 7 17 2" xfId="4090" xr:uid="{A4652DF3-FE1A-4D2E-BDC4-0E30FCE0A166}"/>
    <cellStyle name="Comma 2 7 18" xfId="4091" xr:uid="{0E8C216B-622C-445E-BB46-09099D47BA57}"/>
    <cellStyle name="Comma 2 7 19" xfId="4092" xr:uid="{586CF6FF-E74C-49A5-B7E8-87EF94859DB6}"/>
    <cellStyle name="Comma 2 7 2" xfId="4093" xr:uid="{6B459C9C-E908-4D55-890D-25FC5DC901C5}"/>
    <cellStyle name="Comma 2 7 3" xfId="4094" xr:uid="{BDDBBFE4-AB49-4621-9E50-C7E286023852}"/>
    <cellStyle name="Comma 2 7 4" xfId="4095" xr:uid="{AB048AE1-6DE6-46A8-855A-8975263B93B1}"/>
    <cellStyle name="Comma 2 7 5" xfId="4096" xr:uid="{F4563967-1DDF-4187-940B-665352D9BC4C}"/>
    <cellStyle name="Comma 2 7 6" xfId="4097" xr:uid="{7ED943FD-FA31-43E1-8ED7-BEEE1CE96316}"/>
    <cellStyle name="Comma 2 7 7" xfId="4098" xr:uid="{22A79891-D3FD-485A-8B3A-F2AE1D127B19}"/>
    <cellStyle name="Comma 2 7 8" xfId="4099" xr:uid="{A8454FBF-443A-46F5-BD18-47A6BB062A27}"/>
    <cellStyle name="Comma 2 7 9" xfId="4100" xr:uid="{E80A3081-BC20-4816-A5F4-996C133F03DD}"/>
    <cellStyle name="Comma 2 8" xfId="4101" xr:uid="{DCBACB99-8578-4F77-8C80-B67DA37D1362}"/>
    <cellStyle name="Comma 2 8 10" xfId="4102" xr:uid="{E6B1E431-7173-4EF6-9DFD-5EAFB0B806DD}"/>
    <cellStyle name="Comma 2 8 10 10" xfId="4103" xr:uid="{06A1D7E0-DED3-4A92-B65B-808781363D8A}"/>
    <cellStyle name="Comma 2 8 10 2" xfId="4104" xr:uid="{71CCBF2D-619F-4B95-958D-2CE6C91493F7}"/>
    <cellStyle name="Comma 2 8 10 2 2" xfId="4105" xr:uid="{B11EE690-7218-4973-90D8-3E2F84EB75DA}"/>
    <cellStyle name="Comma 2 8 10 2 2 2" xfId="4106" xr:uid="{51AEFC24-D68B-4167-89F4-240908BEA6D3}"/>
    <cellStyle name="Comma 2 8 10 2 2 2 2" xfId="4107" xr:uid="{F5388ABB-813A-458F-90E4-2D319156B8AA}"/>
    <cellStyle name="Comma 2 8 10 2 2 3" xfId="4108" xr:uid="{4D70F6F9-B99B-4798-ACC3-A30F9EF7EDA5}"/>
    <cellStyle name="Comma 2 8 10 2 2 4" xfId="4109" xr:uid="{D811230C-A67B-4887-A677-F06DF6F2C87C}"/>
    <cellStyle name="Comma 2 8 10 2 3" xfId="4110" xr:uid="{A832F9A8-781E-491B-B7DB-FF9D2B49ED4E}"/>
    <cellStyle name="Comma 2 8 10 2 3 2" xfId="4111" xr:uid="{7E405645-F5AC-4DA9-BAE7-6F1E5D5ED279}"/>
    <cellStyle name="Comma 2 8 10 2 4" xfId="4112" xr:uid="{A37E9427-9139-47F5-A7AC-C4D7CC49F824}"/>
    <cellStyle name="Comma 2 8 10 2 5" xfId="4113" xr:uid="{2DFC3657-1FE3-46BC-99AA-B2B7FF09C7E0}"/>
    <cellStyle name="Comma 2 8 10 3" xfId="4114" xr:uid="{1EDB2E35-CB4E-48D0-B138-01C51CF4D5EE}"/>
    <cellStyle name="Comma 2 8 10 4" xfId="4115" xr:uid="{4F34DE75-BFF8-4FCB-9969-CF101D7F14FF}"/>
    <cellStyle name="Comma 2 8 10 5" xfId="4116" xr:uid="{A5B9DE44-C5D5-4A16-86C3-1CC4E31D02B6}"/>
    <cellStyle name="Comma 2 8 10 6" xfId="4117" xr:uid="{04C4367E-C982-4C13-AD9D-A29BEBA587A4}"/>
    <cellStyle name="Comma 2 8 10 6 2" xfId="4118" xr:uid="{DAADE98E-8575-4B0E-AEF6-A59955A8DED4}"/>
    <cellStyle name="Comma 2 8 10 6 2 2" xfId="4119" xr:uid="{A2E18DC1-EF19-46DA-9C56-7A51947C1895}"/>
    <cellStyle name="Comma 2 8 10 6 3" xfId="4120" xr:uid="{5945FEAF-C973-499A-A56B-ADF5970F4B92}"/>
    <cellStyle name="Comma 2 8 10 7" xfId="4121" xr:uid="{AB3DDD13-3902-416A-B07C-C375950ADD4F}"/>
    <cellStyle name="Comma 2 8 10 7 2" xfId="4122" xr:uid="{553F67F2-EE88-4FCE-A292-1A6A937A23F7}"/>
    <cellStyle name="Comma 2 8 10 7 2 2" xfId="4123" xr:uid="{0626C74A-4BDE-4305-A228-0EFA6D4C51C3}"/>
    <cellStyle name="Comma 2 8 10 7 3" xfId="4124" xr:uid="{0CAA955E-1D94-4576-8680-69CEFB5405AF}"/>
    <cellStyle name="Comma 2 8 10 8" xfId="4125" xr:uid="{9FFB1D7C-DD28-487B-B8BE-10D43D3C4D0C}"/>
    <cellStyle name="Comma 2 8 10 8 2" xfId="4126" xr:uid="{92F07690-6F20-4CB4-B4F9-DC4565F0DDA4}"/>
    <cellStyle name="Comma 2 8 10 9" xfId="4127" xr:uid="{2978B9EC-84B2-4CB3-AC50-68D11A604F06}"/>
    <cellStyle name="Comma 2 8 11" xfId="4128" xr:uid="{09E08460-B8B1-4A7B-8864-F81469897B8E}"/>
    <cellStyle name="Comma 2 8 11 10" xfId="4129" xr:uid="{0413B0F2-699B-44EF-991F-8FFEEDAADBFC}"/>
    <cellStyle name="Comma 2 8 11 2" xfId="4130" xr:uid="{9D6EB4A1-E61D-4B9B-9EF7-F3D97DFAF5B0}"/>
    <cellStyle name="Comma 2 8 11 2 2" xfId="4131" xr:uid="{10C43A64-4452-4034-93B9-1B27BF42EFFE}"/>
    <cellStyle name="Comma 2 8 11 2 2 2" xfId="4132" xr:uid="{5B5FB247-C426-4B6C-9608-CE30930FCBC0}"/>
    <cellStyle name="Comma 2 8 11 2 2 2 2" xfId="4133" xr:uid="{2F3798E8-FEC8-4C15-9099-933D8C7D44AD}"/>
    <cellStyle name="Comma 2 8 11 2 2 3" xfId="4134" xr:uid="{CAFB85ED-BB51-4A54-BF66-50625E20EDB3}"/>
    <cellStyle name="Comma 2 8 11 2 2 4" xfId="4135" xr:uid="{5AAF88B7-A110-444B-B069-B05019762A7E}"/>
    <cellStyle name="Comma 2 8 11 2 3" xfId="4136" xr:uid="{2DE0AD61-0E2D-4169-8747-AFD36D468577}"/>
    <cellStyle name="Comma 2 8 11 2 3 2" xfId="4137" xr:uid="{AF7D16C1-43DC-4714-AE37-6852CAA72A49}"/>
    <cellStyle name="Comma 2 8 11 2 4" xfId="4138" xr:uid="{A7B8FEC1-BA2E-42B9-8F81-1DE3198ABA66}"/>
    <cellStyle name="Comma 2 8 11 2 5" xfId="4139" xr:uid="{356925B9-08E4-44E2-A8CC-2671BA598A28}"/>
    <cellStyle name="Comma 2 8 11 3" xfId="4140" xr:uid="{1361F09D-5FFB-46DE-BDC5-4C63C93AADDA}"/>
    <cellStyle name="Comma 2 8 11 4" xfId="4141" xr:uid="{83D452A7-EF93-48CA-A59E-3AFC2E179DA7}"/>
    <cellStyle name="Comma 2 8 11 5" xfId="4142" xr:uid="{D315A6AF-E2D7-4D88-BC03-C10AB0188F28}"/>
    <cellStyle name="Comma 2 8 11 6" xfId="4143" xr:uid="{B2C6DBCE-585D-47C5-ACAF-365FD9E9BA19}"/>
    <cellStyle name="Comma 2 8 11 6 2" xfId="4144" xr:uid="{6BA452E5-4F1A-40BE-A8D7-58B8A3743E62}"/>
    <cellStyle name="Comma 2 8 11 6 2 2" xfId="4145" xr:uid="{F2467690-8449-4499-82CE-B90484A60D87}"/>
    <cellStyle name="Comma 2 8 11 6 3" xfId="4146" xr:uid="{825569BB-69D0-42E1-8DFA-879FB2695114}"/>
    <cellStyle name="Comma 2 8 11 7" xfId="4147" xr:uid="{B8CC937D-671D-4F29-941B-C5B987C309EB}"/>
    <cellStyle name="Comma 2 8 11 7 2" xfId="4148" xr:uid="{7EE0BD9B-1ACB-4CD9-A19C-03F5DC897C27}"/>
    <cellStyle name="Comma 2 8 11 7 2 2" xfId="4149" xr:uid="{FF2FB21F-986C-4B6C-B56C-7B28116857BA}"/>
    <cellStyle name="Comma 2 8 11 7 3" xfId="4150" xr:uid="{85305298-576B-44B4-AD6B-E2B13B7C7A30}"/>
    <cellStyle name="Comma 2 8 11 8" xfId="4151" xr:uid="{D21723A3-0643-408C-AD36-67B229252D94}"/>
    <cellStyle name="Comma 2 8 11 8 2" xfId="4152" xr:uid="{8462372F-651D-44C9-8146-AF0CCFBF93B7}"/>
    <cellStyle name="Comma 2 8 11 9" xfId="4153" xr:uid="{D71EA784-CCC9-4BCC-B485-04307A794E2F}"/>
    <cellStyle name="Comma 2 8 12" xfId="4154" xr:uid="{31C33606-3C8A-4616-88DC-B3990183F88C}"/>
    <cellStyle name="Comma 2 8 12 10" xfId="4155" xr:uid="{1F01798B-AB67-4381-A569-4F9B74F4F629}"/>
    <cellStyle name="Comma 2 8 12 2" xfId="4156" xr:uid="{F67F948C-3E8D-4B3E-8FAD-046BB03BB67D}"/>
    <cellStyle name="Comma 2 8 12 2 2" xfId="4157" xr:uid="{E4D55FBC-3615-478F-B267-CAECF41F1051}"/>
    <cellStyle name="Comma 2 8 12 2 2 2" xfId="4158" xr:uid="{8ECCA33D-5EDD-4371-BF94-0B66C7D1AABC}"/>
    <cellStyle name="Comma 2 8 12 2 2 2 2" xfId="4159" xr:uid="{9DD792FE-4F28-4289-B431-5F60D068865F}"/>
    <cellStyle name="Comma 2 8 12 2 2 3" xfId="4160" xr:uid="{A2992CB6-1EE5-4B1F-AD03-319598C0F5CC}"/>
    <cellStyle name="Comma 2 8 12 2 2 4" xfId="4161" xr:uid="{CBD2848E-E66D-4048-8CAF-B97167AEC04A}"/>
    <cellStyle name="Comma 2 8 12 2 3" xfId="4162" xr:uid="{B36197C1-EA72-447E-B260-F1D6BB880C64}"/>
    <cellStyle name="Comma 2 8 12 2 3 2" xfId="4163" xr:uid="{EB5F6E18-2A49-4705-9819-4C8438264424}"/>
    <cellStyle name="Comma 2 8 12 2 4" xfId="4164" xr:uid="{6594F239-7EB9-4681-9D41-4EC0C8044FAF}"/>
    <cellStyle name="Comma 2 8 12 2 5" xfId="4165" xr:uid="{980FD766-5691-489B-8641-B1C3470BD5EF}"/>
    <cellStyle name="Comma 2 8 12 3" xfId="4166" xr:uid="{953BD0A5-BD18-48F2-82A1-A712EB6B13E2}"/>
    <cellStyle name="Comma 2 8 12 4" xfId="4167" xr:uid="{C635E41E-2BA8-490A-94A6-6BE6C44070DD}"/>
    <cellStyle name="Comma 2 8 12 5" xfId="4168" xr:uid="{CF992174-9053-4291-B225-5770D156DA7A}"/>
    <cellStyle name="Comma 2 8 12 6" xfId="4169" xr:uid="{B0CB3406-695D-40EE-8E61-FAB2C295FC42}"/>
    <cellStyle name="Comma 2 8 12 6 2" xfId="4170" xr:uid="{6AC714C6-597A-4864-9AE9-3A021A3707F5}"/>
    <cellStyle name="Comma 2 8 12 6 2 2" xfId="4171" xr:uid="{6D80FCE3-B002-46EA-9A13-7B0E655E280D}"/>
    <cellStyle name="Comma 2 8 12 6 3" xfId="4172" xr:uid="{110A386A-1ABB-4C61-9A99-1A9319985FF6}"/>
    <cellStyle name="Comma 2 8 12 7" xfId="4173" xr:uid="{ECC18DF3-0AA1-468D-AA06-EB2BB8909DE5}"/>
    <cellStyle name="Comma 2 8 12 7 2" xfId="4174" xr:uid="{CB97BEE8-1326-44AB-97B2-FE45FAE74705}"/>
    <cellStyle name="Comma 2 8 12 7 2 2" xfId="4175" xr:uid="{F385067A-C8DD-4E16-96B2-A8876E59E587}"/>
    <cellStyle name="Comma 2 8 12 7 3" xfId="4176" xr:uid="{D02931E3-039B-41B8-802C-4CA3DE16018F}"/>
    <cellStyle name="Comma 2 8 12 8" xfId="4177" xr:uid="{786F020A-E4D5-4B6D-B772-1B19C68789B1}"/>
    <cellStyle name="Comma 2 8 12 8 2" xfId="4178" xr:uid="{E38E1B7C-57C6-4839-A1FE-283AE2FF3682}"/>
    <cellStyle name="Comma 2 8 12 9" xfId="4179" xr:uid="{720E2554-FE21-46D4-A21F-003A278A6AB1}"/>
    <cellStyle name="Comma 2 8 13" xfId="4180" xr:uid="{A1371F5F-BD75-4BE9-92F5-8B53962938DB}"/>
    <cellStyle name="Comma 2 8 14" xfId="4181" xr:uid="{BBDA95B8-78D7-48E3-8828-AA6095B8260C}"/>
    <cellStyle name="Comma 2 8 14 2" xfId="4182" xr:uid="{5995BEF3-2E8B-4958-94C7-DA60055E38F3}"/>
    <cellStyle name="Comma 2 8 14 2 2" xfId="4183" xr:uid="{7681151E-6193-4EC1-BA90-EF89D992B462}"/>
    <cellStyle name="Comma 2 8 14 2 2 2" xfId="4184" xr:uid="{3D16D874-8A5A-4359-A578-A8B96C771AA9}"/>
    <cellStyle name="Comma 2 8 14 2 2 2 2" xfId="4185" xr:uid="{560CADEF-2928-42A6-9EE1-7744A015AA8C}"/>
    <cellStyle name="Comma 2 8 14 2 2 3" xfId="4186" xr:uid="{3B3C6FA4-5AC8-45AB-998A-D86AEBB97C10}"/>
    <cellStyle name="Comma 2 8 14 2 2 4" xfId="4187" xr:uid="{676FE16E-0215-4334-91EB-B16F7D8B4F95}"/>
    <cellStyle name="Comma 2 8 14 2 3" xfId="4188" xr:uid="{36429F0E-7B07-41E2-B1CB-EFD1E0396C9A}"/>
    <cellStyle name="Comma 2 8 14 2 3 2" xfId="4189" xr:uid="{B0DCFFDD-55EC-4BA6-A931-E2B8A1C32125}"/>
    <cellStyle name="Comma 2 8 14 2 4" xfId="4190" xr:uid="{1B836485-B20F-4516-9312-743684EE47C7}"/>
    <cellStyle name="Comma 2 8 14 2 5" xfId="4191" xr:uid="{06C4CB41-E912-452E-8865-644E22628E5C}"/>
    <cellStyle name="Comma 2 8 14 3" xfId="4192" xr:uid="{C54700C9-CC4B-4D28-A2D3-199AB19D61A5}"/>
    <cellStyle name="Comma 2 8 15" xfId="4193" xr:uid="{896A0DD9-F221-46A7-89DE-BF919BAF516E}"/>
    <cellStyle name="Comma 2 8 15 2" xfId="4194" xr:uid="{EBE7604A-2523-4D08-9231-31CDF1015C87}"/>
    <cellStyle name="Comma 2 8 15 2 2" xfId="4195" xr:uid="{35B32490-AC3C-4949-9378-C2249224B6FD}"/>
    <cellStyle name="Comma 2 8 15 2 2 2" xfId="4196" xr:uid="{C62573D4-F8B2-4FEB-974B-71442E79F4A7}"/>
    <cellStyle name="Comma 2 8 15 2 3" xfId="4197" xr:uid="{C060A452-C8A5-4AEB-883D-D341F59A8CE7}"/>
    <cellStyle name="Comma 2 8 15 2 4" xfId="4198" xr:uid="{62C15ECD-6F05-4916-BAE6-54D1510B8E32}"/>
    <cellStyle name="Comma 2 8 15 3" xfId="4199" xr:uid="{1EA0C471-71DA-420C-9825-E902BFC33D6D}"/>
    <cellStyle name="Comma 2 8 15 3 2" xfId="4200" xr:uid="{12A07DB8-9669-4C57-BAE7-6BAFA8575F2B}"/>
    <cellStyle name="Comma 2 8 15 4" xfId="4201" xr:uid="{148D1D8A-1EF6-41F6-B870-751A9D1B28B0}"/>
    <cellStyle name="Comma 2 8 15 5" xfId="4202" xr:uid="{F2C45F95-5728-4966-8CB7-1D76DE77F8B8}"/>
    <cellStyle name="Comma 2 8 16" xfId="4203" xr:uid="{FB7FEA64-DA19-458F-9F44-5353B2671D38}"/>
    <cellStyle name="Comma 2 8 16 2" xfId="4204" xr:uid="{64FFDA4E-A688-4324-9483-48182A357DB9}"/>
    <cellStyle name="Comma 2 8 16 2 2" xfId="4205" xr:uid="{3C4D4571-663C-46A7-A434-ED2C42C3BD17}"/>
    <cellStyle name="Comma 2 8 16 3" xfId="4206" xr:uid="{CFDB80B1-EC47-4000-8F83-E53850089509}"/>
    <cellStyle name="Comma 2 8 17" xfId="4207" xr:uid="{322947A1-C92B-41D1-BE0B-7887F1779968}"/>
    <cellStyle name="Comma 2 8 17 2" xfId="4208" xr:uid="{5F6CE0E1-8B03-4658-904D-C12D249EF47D}"/>
    <cellStyle name="Comma 2 8 17 2 2" xfId="4209" xr:uid="{7A92D457-6FBB-420B-809D-93E68D14FC73}"/>
    <cellStyle name="Comma 2 8 17 3" xfId="4210" xr:uid="{5D90D7B5-E531-4D7C-86BD-E6756D43DBC5}"/>
    <cellStyle name="Comma 2 8 18" xfId="4211" xr:uid="{B06FA23F-C8AE-4019-A107-D1FE361FC736}"/>
    <cellStyle name="Comma 2 8 18 2" xfId="4212" xr:uid="{882AE1BC-90BB-422A-9E16-3DFF4A9A99C4}"/>
    <cellStyle name="Comma 2 8 19" xfId="4213" xr:uid="{5FAF57F9-C72E-43AE-A983-F8689D2E0488}"/>
    <cellStyle name="Comma 2 8 2" xfId="4214" xr:uid="{48DEAD2C-2B83-49E9-8E96-DDDB0435069F}"/>
    <cellStyle name="Comma 2 8 2 10" xfId="4215" xr:uid="{BF67E729-7092-4A58-AC55-F0E704F2204E}"/>
    <cellStyle name="Comma 2 8 2 2" xfId="4216" xr:uid="{61EF5116-EB0F-4CA3-957E-B6B14872DBCF}"/>
    <cellStyle name="Comma 2 8 2 2 2" xfId="4217" xr:uid="{6EF9437A-6F2E-422D-BBC3-175E4F57E3E1}"/>
    <cellStyle name="Comma 2 8 2 2 2 2" xfId="4218" xr:uid="{9F51DAC9-F058-409C-B316-313A17A13D74}"/>
    <cellStyle name="Comma 2 8 2 2 2 2 2" xfId="4219" xr:uid="{8C68D1CF-BCFB-4C6A-9D2C-29C9AB7DEAD1}"/>
    <cellStyle name="Comma 2 8 2 2 2 3" xfId="4220" xr:uid="{65F4E9BC-A072-47DB-BCB8-E137D882A3BF}"/>
    <cellStyle name="Comma 2 8 2 2 2 4" xfId="4221" xr:uid="{3B7A2313-C5A1-4708-97F3-E3A99C05E302}"/>
    <cellStyle name="Comma 2 8 2 2 3" xfId="4222" xr:uid="{3C6AE456-D921-41F3-A7E3-C1D38329057F}"/>
    <cellStyle name="Comma 2 8 2 2 3 2" xfId="4223" xr:uid="{70A20894-D209-4E7B-8C26-6F77349CC6E4}"/>
    <cellStyle name="Comma 2 8 2 2 4" xfId="4224" xr:uid="{96B96392-5563-497D-8061-4F3A5E2F9E6A}"/>
    <cellStyle name="Comma 2 8 2 2 5" xfId="4225" xr:uid="{2854331F-F4B6-4F1E-A5CC-AF27DA91F23A}"/>
    <cellStyle name="Comma 2 8 2 3" xfId="4226" xr:uid="{8970EB68-FB16-4CBD-8038-1B39B571364F}"/>
    <cellStyle name="Comma 2 8 2 4" xfId="4227" xr:uid="{62A0BB7C-D7F9-4508-A1E1-AFB36A782E35}"/>
    <cellStyle name="Comma 2 8 2 5" xfId="4228" xr:uid="{DD3DCDD8-000E-4680-9EC4-B08DE0833D22}"/>
    <cellStyle name="Comma 2 8 2 6" xfId="4229" xr:uid="{59902C6F-C37D-47AC-97D4-80DEDDEBF2D0}"/>
    <cellStyle name="Comma 2 8 2 6 2" xfId="4230" xr:uid="{29AEFC67-B711-405A-8DA9-B795E292BDB2}"/>
    <cellStyle name="Comma 2 8 2 6 2 2" xfId="4231" xr:uid="{315C63D2-1CB8-49F3-BEFA-20CE0E40D4F7}"/>
    <cellStyle name="Comma 2 8 2 6 3" xfId="4232" xr:uid="{92CBA868-49A3-4204-A7D6-19888FB4386C}"/>
    <cellStyle name="Comma 2 8 2 7" xfId="4233" xr:uid="{C34426B7-F006-4582-A82F-B1AD3ECF1F06}"/>
    <cellStyle name="Comma 2 8 2 7 2" xfId="4234" xr:uid="{77785BDD-10F2-46AF-B5AB-C92BD34D8484}"/>
    <cellStyle name="Comma 2 8 2 7 2 2" xfId="4235" xr:uid="{1D59D3F8-A121-4F18-9DDE-ED1DE7195772}"/>
    <cellStyle name="Comma 2 8 2 7 3" xfId="4236" xr:uid="{81CCBE07-15CB-4B1C-9234-B5FC1035A090}"/>
    <cellStyle name="Comma 2 8 2 8" xfId="4237" xr:uid="{0F597689-73FE-41E4-A2CE-C24FA3CFE946}"/>
    <cellStyle name="Comma 2 8 2 8 2" xfId="4238" xr:uid="{5729AD1C-E99F-4D5F-8C03-654F5B124D6B}"/>
    <cellStyle name="Comma 2 8 2 9" xfId="4239" xr:uid="{E293B4BA-4A1A-4DEE-AD4D-DF5DE7BBEADA}"/>
    <cellStyle name="Comma 2 8 20" xfId="4240" xr:uid="{97C7BDCE-12C8-490A-9A03-95583A31C293}"/>
    <cellStyle name="Comma 2 8 3" xfId="4241" xr:uid="{100A35F2-BD51-4F90-A69F-7F18AC75CF3D}"/>
    <cellStyle name="Comma 2 8 3 10" xfId="4242" xr:uid="{A71A9334-ACE3-4129-83B0-5CD72621FD51}"/>
    <cellStyle name="Comma 2 8 3 2" xfId="4243" xr:uid="{4B8180AB-2D96-4EA2-9B31-346714755AC7}"/>
    <cellStyle name="Comma 2 8 3 2 2" xfId="4244" xr:uid="{4B162B34-582B-4A76-8838-2229B19BF56D}"/>
    <cellStyle name="Comma 2 8 3 2 2 2" xfId="4245" xr:uid="{8467B3F9-44F6-4C55-AF7D-5805311819E2}"/>
    <cellStyle name="Comma 2 8 3 2 2 2 2" xfId="4246" xr:uid="{A6DDF1A1-CA7E-4692-A4F9-C2A9324029A6}"/>
    <cellStyle name="Comma 2 8 3 2 2 3" xfId="4247" xr:uid="{A678C12A-C275-4305-B87F-3D8BDC9A68C6}"/>
    <cellStyle name="Comma 2 8 3 2 2 4" xfId="4248" xr:uid="{E6977026-054C-4078-A0F3-A5F44F439635}"/>
    <cellStyle name="Comma 2 8 3 2 3" xfId="4249" xr:uid="{14E12B98-D90A-471B-9F2C-E1AF0060B8FA}"/>
    <cellStyle name="Comma 2 8 3 2 3 2" xfId="4250" xr:uid="{B2B31FD1-9E77-47F5-8D29-127632AD0758}"/>
    <cellStyle name="Comma 2 8 3 2 4" xfId="4251" xr:uid="{5F1A9130-3E0A-4406-B3DB-B273B249E8C3}"/>
    <cellStyle name="Comma 2 8 3 2 5" xfId="4252" xr:uid="{8F3DE319-05AC-43D9-89AE-97FE34502478}"/>
    <cellStyle name="Comma 2 8 3 3" xfId="4253" xr:uid="{750115EB-C74E-4431-A61B-E8B70FE7A49E}"/>
    <cellStyle name="Comma 2 8 3 4" xfId="4254" xr:uid="{4D625941-16E3-4EB1-B912-E36D2746C6A7}"/>
    <cellStyle name="Comma 2 8 3 5" xfId="4255" xr:uid="{DA099EAA-AB6D-4BDB-8966-0C105C6E6F0F}"/>
    <cellStyle name="Comma 2 8 3 6" xfId="4256" xr:uid="{9B02E046-2032-48B7-8233-4085223F3006}"/>
    <cellStyle name="Comma 2 8 3 6 2" xfId="4257" xr:uid="{53B53F19-E344-4F27-BFC0-FD8A174A41A9}"/>
    <cellStyle name="Comma 2 8 3 6 2 2" xfId="4258" xr:uid="{96A474EC-8098-4D6A-A1B2-1E02A4E62C3B}"/>
    <cellStyle name="Comma 2 8 3 6 3" xfId="4259" xr:uid="{46FF7BB8-AFCC-4503-BB27-CA1102BB7AAD}"/>
    <cellStyle name="Comma 2 8 3 7" xfId="4260" xr:uid="{F74EAC3D-8D47-484F-9671-A7E94D66D185}"/>
    <cellStyle name="Comma 2 8 3 7 2" xfId="4261" xr:uid="{39A5FF3C-DECF-46CD-AB78-3054D77617D6}"/>
    <cellStyle name="Comma 2 8 3 7 2 2" xfId="4262" xr:uid="{00DE1771-79A6-4C18-A229-B2806BC13E68}"/>
    <cellStyle name="Comma 2 8 3 7 3" xfId="4263" xr:uid="{C4B03F1C-13EA-4F4C-B383-5D73C40DE91B}"/>
    <cellStyle name="Comma 2 8 3 8" xfId="4264" xr:uid="{CD8F6872-D4BA-4434-B710-60884EEAEEC8}"/>
    <cellStyle name="Comma 2 8 3 8 2" xfId="4265" xr:uid="{CF44304A-951D-40D6-B9C4-C32362F6FD72}"/>
    <cellStyle name="Comma 2 8 3 9" xfId="4266" xr:uid="{FC116EB8-8586-4547-84C4-D2BE70A5FE3C}"/>
    <cellStyle name="Comma 2 8 4" xfId="4267" xr:uid="{310F473B-DBD8-42A6-A7DB-2735FE402AC3}"/>
    <cellStyle name="Comma 2 8 4 10" xfId="4268" xr:uid="{2EFCFB26-75F9-41CF-BFBF-82ED1E5D3CDC}"/>
    <cellStyle name="Comma 2 8 4 2" xfId="4269" xr:uid="{BAA03D38-FADC-4FDE-A076-A0B7142DEA2A}"/>
    <cellStyle name="Comma 2 8 4 2 2" xfId="4270" xr:uid="{13DBAE36-A4D7-46E7-A676-AEAED1F6E93D}"/>
    <cellStyle name="Comma 2 8 4 2 2 2" xfId="4271" xr:uid="{086D9F49-33B8-4F6E-A980-A39EF5281E3E}"/>
    <cellStyle name="Comma 2 8 4 2 2 2 2" xfId="4272" xr:uid="{4ABD7030-D504-4B08-806C-87E09586E0C6}"/>
    <cellStyle name="Comma 2 8 4 2 2 3" xfId="4273" xr:uid="{99B971AA-CB2C-4BF9-B149-EE2CF81304B4}"/>
    <cellStyle name="Comma 2 8 4 2 2 4" xfId="4274" xr:uid="{98BBED87-3AC4-4216-8252-8DC6542C7DCE}"/>
    <cellStyle name="Comma 2 8 4 2 3" xfId="4275" xr:uid="{545C6989-EEBF-4F2B-B196-2F21CC861EC6}"/>
    <cellStyle name="Comma 2 8 4 2 3 2" xfId="4276" xr:uid="{6FD2BE71-FFFF-4EE5-ADC2-4845F287EE35}"/>
    <cellStyle name="Comma 2 8 4 2 4" xfId="4277" xr:uid="{28FCE7D7-69A5-41BC-9C32-83D5BF85FCFA}"/>
    <cellStyle name="Comma 2 8 4 2 5" xfId="4278" xr:uid="{21A1BE9B-3368-4719-9269-69B1C356BDF7}"/>
    <cellStyle name="Comma 2 8 4 3" xfId="4279" xr:uid="{186D302B-8232-492B-B131-F8BFFBEA1F0B}"/>
    <cellStyle name="Comma 2 8 4 4" xfId="4280" xr:uid="{1E780331-0666-4CC2-B61E-C42F40A63F92}"/>
    <cellStyle name="Comma 2 8 4 5" xfId="4281" xr:uid="{B603E734-9400-47C1-8920-E1350E2BBCA9}"/>
    <cellStyle name="Comma 2 8 4 6" xfId="4282" xr:uid="{75D40292-2EC7-494B-A89D-DC2B85B0347A}"/>
    <cellStyle name="Comma 2 8 4 6 2" xfId="4283" xr:uid="{E863E289-D816-4EFE-9931-066BCC5AF84E}"/>
    <cellStyle name="Comma 2 8 4 6 2 2" xfId="4284" xr:uid="{47F114AA-9EE7-42D3-80DD-B92F95A4953B}"/>
    <cellStyle name="Comma 2 8 4 6 3" xfId="4285" xr:uid="{C6354646-5129-458F-8DCA-0F4C77D399CA}"/>
    <cellStyle name="Comma 2 8 4 7" xfId="4286" xr:uid="{A5D03F92-1D85-4A2E-980F-6749AFE05E24}"/>
    <cellStyle name="Comma 2 8 4 7 2" xfId="4287" xr:uid="{4A2B15BB-38BD-4FA5-A344-B6CF25D695E5}"/>
    <cellStyle name="Comma 2 8 4 7 2 2" xfId="4288" xr:uid="{10A588B5-BCF8-4BEB-A6F3-238753CDE8CB}"/>
    <cellStyle name="Comma 2 8 4 7 3" xfId="4289" xr:uid="{E323985D-86DA-4D7E-9CD6-DFBBFBDD4E53}"/>
    <cellStyle name="Comma 2 8 4 8" xfId="4290" xr:uid="{BA13A84A-7EA6-4331-BF29-A23D582DC945}"/>
    <cellStyle name="Comma 2 8 4 8 2" xfId="4291" xr:uid="{649150AC-2ED2-4CA7-8BA6-B47879598B74}"/>
    <cellStyle name="Comma 2 8 4 9" xfId="4292" xr:uid="{08310DBE-FABE-4E09-9389-194B000A027C}"/>
    <cellStyle name="Comma 2 8 5" xfId="4293" xr:uid="{82CE73C1-50D0-49D8-9DD7-C0F5E2D785DC}"/>
    <cellStyle name="Comma 2 8 5 10" xfId="4294" xr:uid="{A2FD8111-8A1D-4795-A389-562DA8B23CBB}"/>
    <cellStyle name="Comma 2 8 5 2" xfId="4295" xr:uid="{91F1FFEF-D2BF-47E7-9E1C-81D5729D2EFC}"/>
    <cellStyle name="Comma 2 8 5 2 2" xfId="4296" xr:uid="{7E4C7DEE-E64B-448B-8E80-C2FE827747D9}"/>
    <cellStyle name="Comma 2 8 5 2 2 2" xfId="4297" xr:uid="{900EE690-2D86-489B-8911-E88FA521D5C2}"/>
    <cellStyle name="Comma 2 8 5 2 2 2 2" xfId="4298" xr:uid="{EAC5076D-FE5D-40D8-95A7-4671376CA028}"/>
    <cellStyle name="Comma 2 8 5 2 2 3" xfId="4299" xr:uid="{323A62BA-7707-4D0D-BA53-BD44AF392A5C}"/>
    <cellStyle name="Comma 2 8 5 2 2 4" xfId="4300" xr:uid="{2C3F08C4-C6E7-4E20-8B7E-FC1C1669AF89}"/>
    <cellStyle name="Comma 2 8 5 2 3" xfId="4301" xr:uid="{E9D0341F-08D0-4423-BCB3-9EB200674FBB}"/>
    <cellStyle name="Comma 2 8 5 2 3 2" xfId="4302" xr:uid="{955DA94C-A439-4142-B11B-C3D202D3A751}"/>
    <cellStyle name="Comma 2 8 5 2 4" xfId="4303" xr:uid="{9BAFA9AD-10D5-4D7D-B860-1362012CAE0C}"/>
    <cellStyle name="Comma 2 8 5 2 5" xfId="4304" xr:uid="{470FC8E4-2DC5-46F4-9B59-0C21EB74FD1C}"/>
    <cellStyle name="Comma 2 8 5 3" xfId="4305" xr:uid="{484831B4-21F1-40D1-949F-2F582A4FDEE6}"/>
    <cellStyle name="Comma 2 8 5 4" xfId="4306" xr:uid="{E25528F8-F251-4E1F-853A-D7771A40CAE3}"/>
    <cellStyle name="Comma 2 8 5 5" xfId="4307" xr:uid="{587F313B-BA35-4171-9431-407192C20610}"/>
    <cellStyle name="Comma 2 8 5 6" xfId="4308" xr:uid="{DEE18119-F599-42DC-94FE-B07B7EF63723}"/>
    <cellStyle name="Comma 2 8 5 6 2" xfId="4309" xr:uid="{0AE38C13-8519-4E93-834D-EB3F07959F98}"/>
    <cellStyle name="Comma 2 8 5 6 2 2" xfId="4310" xr:uid="{BB1B5A63-E6C5-4CBB-BDEC-C5ED08676C8A}"/>
    <cellStyle name="Comma 2 8 5 6 3" xfId="4311" xr:uid="{FF756803-AE2D-4D4A-AEA3-E1BF6533BDA0}"/>
    <cellStyle name="Comma 2 8 5 7" xfId="4312" xr:uid="{4E3F2D66-9CAB-4E9D-9D64-AF20CCF9D7CA}"/>
    <cellStyle name="Comma 2 8 5 7 2" xfId="4313" xr:uid="{F6A09DFE-7211-4BDF-BB7F-A4CA57D4BEA6}"/>
    <cellStyle name="Comma 2 8 5 7 2 2" xfId="4314" xr:uid="{749BA51E-6781-4CFB-B09B-DBE2AB640F8A}"/>
    <cellStyle name="Comma 2 8 5 7 3" xfId="4315" xr:uid="{8B5DD8D4-F3E2-4BA9-BA5D-45884AF3930A}"/>
    <cellStyle name="Comma 2 8 5 8" xfId="4316" xr:uid="{B4465083-87B7-4963-8B7E-37297E91A4F3}"/>
    <cellStyle name="Comma 2 8 5 8 2" xfId="4317" xr:uid="{CF8CB3F2-4CF7-428F-B7E1-BA941B87D246}"/>
    <cellStyle name="Comma 2 8 5 9" xfId="4318" xr:uid="{88434794-B2BD-4190-8ED5-B565E23C627E}"/>
    <cellStyle name="Comma 2 8 6" xfId="4319" xr:uid="{41E258F5-5870-4CF4-9EEE-2696D29F2C52}"/>
    <cellStyle name="Comma 2 8 6 10" xfId="4320" xr:uid="{CEB3691C-AFE4-4B37-A7DD-C698FB8B09F6}"/>
    <cellStyle name="Comma 2 8 6 2" xfId="4321" xr:uid="{60B6A5BC-A824-41E3-83D1-57DD8B11F605}"/>
    <cellStyle name="Comma 2 8 6 2 2" xfId="4322" xr:uid="{984BC82D-282A-4C7C-9ECE-D325BA995600}"/>
    <cellStyle name="Comma 2 8 6 2 2 2" xfId="4323" xr:uid="{3960D098-0049-4BBB-A267-48BFEDB1492F}"/>
    <cellStyle name="Comma 2 8 6 2 2 2 2" xfId="4324" xr:uid="{07182408-9CD0-4FA3-8FD4-F9CB793E9148}"/>
    <cellStyle name="Comma 2 8 6 2 2 3" xfId="4325" xr:uid="{DB24857E-3972-4A1E-AF93-0C8710413B09}"/>
    <cellStyle name="Comma 2 8 6 2 2 4" xfId="4326" xr:uid="{12A98EDC-CD2C-4E84-B0F6-3145D2CD7931}"/>
    <cellStyle name="Comma 2 8 6 2 3" xfId="4327" xr:uid="{C51FD9DC-F248-4E97-88A3-D69E1041B6A0}"/>
    <cellStyle name="Comma 2 8 6 2 3 2" xfId="4328" xr:uid="{F680B404-A537-43A6-81F6-C705A8E7CCFE}"/>
    <cellStyle name="Comma 2 8 6 2 4" xfId="4329" xr:uid="{AFD0E539-489F-4F9D-8D2C-4DE71DD1A4EF}"/>
    <cellStyle name="Comma 2 8 6 2 5" xfId="4330" xr:uid="{4FBA26F5-3F6C-4664-876C-DABF65286582}"/>
    <cellStyle name="Comma 2 8 6 3" xfId="4331" xr:uid="{9291CE02-BA7D-48B2-AC96-FA95D0FD53A5}"/>
    <cellStyle name="Comma 2 8 6 4" xfId="4332" xr:uid="{852B350C-6C70-46E2-A24B-EA0AD0C68873}"/>
    <cellStyle name="Comma 2 8 6 5" xfId="4333" xr:uid="{A52F8D06-46C2-4656-BD39-1684EA8C034B}"/>
    <cellStyle name="Comma 2 8 6 6" xfId="4334" xr:uid="{EB8785CE-EF2A-4AF5-8D4E-9EAC0DA67E9D}"/>
    <cellStyle name="Comma 2 8 6 6 2" xfId="4335" xr:uid="{6A5538C7-D9EF-47AE-BDDA-00030D9780D2}"/>
    <cellStyle name="Comma 2 8 6 6 2 2" xfId="4336" xr:uid="{6E62F467-B016-46E1-AC86-986949BDA8EC}"/>
    <cellStyle name="Comma 2 8 6 6 3" xfId="4337" xr:uid="{029238E7-FE72-4F51-94C5-09D64350E2C4}"/>
    <cellStyle name="Comma 2 8 6 7" xfId="4338" xr:uid="{6EEA08F9-FC20-468C-BC69-3F71183810A8}"/>
    <cellStyle name="Comma 2 8 6 7 2" xfId="4339" xr:uid="{14723FCB-08EE-4C21-A4C4-185EC3E70EB9}"/>
    <cellStyle name="Comma 2 8 6 7 2 2" xfId="4340" xr:uid="{0E659F1D-3549-496F-A6AA-DB6C5E752C60}"/>
    <cellStyle name="Comma 2 8 6 7 3" xfId="4341" xr:uid="{316823A5-AA0C-4340-998B-4D278513E2DF}"/>
    <cellStyle name="Comma 2 8 6 8" xfId="4342" xr:uid="{EBA51528-D7B5-4769-8B82-73C0F9A8D9F1}"/>
    <cellStyle name="Comma 2 8 6 8 2" xfId="4343" xr:uid="{EFE28A3A-8D70-4F62-BDEF-EC622DC716CE}"/>
    <cellStyle name="Comma 2 8 6 9" xfId="4344" xr:uid="{798290F9-0585-45F8-99AF-201428F46F95}"/>
    <cellStyle name="Comma 2 8 7" xfId="4345" xr:uid="{F2055602-A6D9-404C-BCA1-2466F614CAB7}"/>
    <cellStyle name="Comma 2 8 7 10" xfId="4346" xr:uid="{004D0E67-2B25-4823-901B-9CAB07ED3F04}"/>
    <cellStyle name="Comma 2 8 7 2" xfId="4347" xr:uid="{7EA092FA-58F0-4B4A-AE26-6339079BAD10}"/>
    <cellStyle name="Comma 2 8 7 2 2" xfId="4348" xr:uid="{5D2E06FB-E40A-4D91-946D-3071B2FB1104}"/>
    <cellStyle name="Comma 2 8 7 2 2 2" xfId="4349" xr:uid="{BB910561-5746-4C38-BDEE-8E3597684025}"/>
    <cellStyle name="Comma 2 8 7 2 2 2 2" xfId="4350" xr:uid="{85ECC0DC-C95A-4DE6-AE57-9893803CC853}"/>
    <cellStyle name="Comma 2 8 7 2 2 3" xfId="4351" xr:uid="{4EF34A2D-9DD3-4E7F-AA7E-7E17A91395C1}"/>
    <cellStyle name="Comma 2 8 7 2 2 4" xfId="4352" xr:uid="{633F61D3-EA5B-4A4C-AB89-46CD5E7556F2}"/>
    <cellStyle name="Comma 2 8 7 2 3" xfId="4353" xr:uid="{7884BC21-0394-40E2-9B46-6045798828E2}"/>
    <cellStyle name="Comma 2 8 7 2 3 2" xfId="4354" xr:uid="{6803EA40-2672-4786-9227-326209B6EF08}"/>
    <cellStyle name="Comma 2 8 7 2 4" xfId="4355" xr:uid="{172A4D65-1A19-4EE8-8031-3FA715746F87}"/>
    <cellStyle name="Comma 2 8 7 2 5" xfId="4356" xr:uid="{680A49F8-DE62-4F46-A4C5-22DB6CF29F29}"/>
    <cellStyle name="Comma 2 8 7 3" xfId="4357" xr:uid="{2A4AB544-7189-4DB4-B143-5869B369D596}"/>
    <cellStyle name="Comma 2 8 7 4" xfId="4358" xr:uid="{C0A35B9D-99BA-43F7-A9F4-332E10BFA54C}"/>
    <cellStyle name="Comma 2 8 7 5" xfId="4359" xr:uid="{417E5ED7-72DE-45C3-AB44-BC7065628AB5}"/>
    <cellStyle name="Comma 2 8 7 6" xfId="4360" xr:uid="{7B44B99A-E909-416A-BCF2-F47F1F4F7282}"/>
    <cellStyle name="Comma 2 8 7 6 2" xfId="4361" xr:uid="{2DCDB8D1-A156-4627-9B05-E9A433E40426}"/>
    <cellStyle name="Comma 2 8 7 6 2 2" xfId="4362" xr:uid="{106A6463-3838-4F81-BAB7-EC6EF2F1B7BB}"/>
    <cellStyle name="Comma 2 8 7 6 3" xfId="4363" xr:uid="{A453DF93-9D05-402D-881D-BF38069140D5}"/>
    <cellStyle name="Comma 2 8 7 7" xfId="4364" xr:uid="{5B7A512B-864C-4227-966C-5A402D1E6740}"/>
    <cellStyle name="Comma 2 8 7 7 2" xfId="4365" xr:uid="{31C52DF9-4E7F-4DFA-9691-121C1A3042EE}"/>
    <cellStyle name="Comma 2 8 7 7 2 2" xfId="4366" xr:uid="{13449382-3404-48D0-A202-6ABE2B95C84E}"/>
    <cellStyle name="Comma 2 8 7 7 3" xfId="4367" xr:uid="{9AD485F9-FD9C-4D14-B7B5-751DB7F0E075}"/>
    <cellStyle name="Comma 2 8 7 8" xfId="4368" xr:uid="{A033C4D6-0305-481E-B033-5EA91893DBCC}"/>
    <cellStyle name="Comma 2 8 7 8 2" xfId="4369" xr:uid="{DDA82D7F-5BD1-4509-90C9-D8AE9E9F88FB}"/>
    <cellStyle name="Comma 2 8 7 9" xfId="4370" xr:uid="{52DA02D4-3B04-45BA-80DA-C581920E1AC6}"/>
    <cellStyle name="Comma 2 8 8" xfId="4371" xr:uid="{DC19EBF3-3D0C-4172-B7DA-0D21184F2525}"/>
    <cellStyle name="Comma 2 8 8 10" xfId="4372" xr:uid="{3266EA9E-4AD7-4A71-AA35-F04DE289C228}"/>
    <cellStyle name="Comma 2 8 8 2" xfId="4373" xr:uid="{C59C7DDD-A53E-40ED-BD16-13597818E2A4}"/>
    <cellStyle name="Comma 2 8 8 2 2" xfId="4374" xr:uid="{18B38CC2-8DFF-441C-8E4C-3FBEF63E606B}"/>
    <cellStyle name="Comma 2 8 8 2 2 2" xfId="4375" xr:uid="{A5A77D7B-E2AD-4C48-B254-4C5BA4FDBD1F}"/>
    <cellStyle name="Comma 2 8 8 2 2 2 2" xfId="4376" xr:uid="{4BDFF644-C756-4ABD-93BF-66005F1632B0}"/>
    <cellStyle name="Comma 2 8 8 2 2 3" xfId="4377" xr:uid="{C092C539-B62E-413C-918E-FBA1B72948B8}"/>
    <cellStyle name="Comma 2 8 8 2 2 4" xfId="4378" xr:uid="{6D28A060-59DB-45C1-82BE-4E7EF469F3A0}"/>
    <cellStyle name="Comma 2 8 8 2 3" xfId="4379" xr:uid="{FAA43C9F-9A90-4F35-9C11-600AE3D1F4F3}"/>
    <cellStyle name="Comma 2 8 8 2 3 2" xfId="4380" xr:uid="{8EE6B971-273C-4A0D-9138-F9495B6F7201}"/>
    <cellStyle name="Comma 2 8 8 2 4" xfId="4381" xr:uid="{ABB8C49A-BF96-47E8-96FF-FA32D7DDD9AB}"/>
    <cellStyle name="Comma 2 8 8 2 5" xfId="4382" xr:uid="{97BC184E-37F1-460B-924D-DB5A5FC3B659}"/>
    <cellStyle name="Comma 2 8 8 3" xfId="4383" xr:uid="{3BF090F0-4D53-4D2C-BEC8-50496A702378}"/>
    <cellStyle name="Comma 2 8 8 4" xfId="4384" xr:uid="{72D0302F-96FD-4237-B041-0F6F1555CE51}"/>
    <cellStyle name="Comma 2 8 8 5" xfId="4385" xr:uid="{A2E97A8C-9627-472B-AA54-8EB13794E43E}"/>
    <cellStyle name="Comma 2 8 8 6" xfId="4386" xr:uid="{B2BE113F-555E-45A1-BDA7-06CC6B70DC54}"/>
    <cellStyle name="Comma 2 8 8 6 2" xfId="4387" xr:uid="{F3C13098-B684-4F6A-A844-9B1B105C93EE}"/>
    <cellStyle name="Comma 2 8 8 6 2 2" xfId="4388" xr:uid="{C39641A6-1BF3-4B78-B3C1-C48ADC912B2A}"/>
    <cellStyle name="Comma 2 8 8 6 3" xfId="4389" xr:uid="{22C62512-808B-4F5E-AB55-25809DD6FD29}"/>
    <cellStyle name="Comma 2 8 8 7" xfId="4390" xr:uid="{A9384716-1CC5-4491-A9AE-7A3B34575A56}"/>
    <cellStyle name="Comma 2 8 8 7 2" xfId="4391" xr:uid="{F0EB8433-77DB-408E-B75C-2D0B11BC99E2}"/>
    <cellStyle name="Comma 2 8 8 7 2 2" xfId="4392" xr:uid="{3F94183A-9C39-44B0-BABB-84665E640035}"/>
    <cellStyle name="Comma 2 8 8 7 3" xfId="4393" xr:uid="{61CB6CFD-BF41-4567-8EC0-CB9B67F50CFF}"/>
    <cellStyle name="Comma 2 8 8 8" xfId="4394" xr:uid="{836BA9E7-B4AD-401D-88C8-560C155A88BC}"/>
    <cellStyle name="Comma 2 8 8 8 2" xfId="4395" xr:uid="{45104337-1962-4350-9C55-EB76790AB454}"/>
    <cellStyle name="Comma 2 8 8 9" xfId="4396" xr:uid="{1AF79197-CF37-42D9-9B9B-6F8B232D5FB1}"/>
    <cellStyle name="Comma 2 8 9" xfId="4397" xr:uid="{C9E1DBF1-D1E8-4FAF-8F56-B2C099B9C745}"/>
    <cellStyle name="Comma 2 8 9 10" xfId="4398" xr:uid="{71985E63-D602-4DA4-808D-7304A14AAA77}"/>
    <cellStyle name="Comma 2 8 9 2" xfId="4399" xr:uid="{E6D6E17D-FF5C-4D16-B7F1-CD9A241DF3E2}"/>
    <cellStyle name="Comma 2 8 9 2 2" xfId="4400" xr:uid="{C30ABD98-CFD8-46E1-BB07-09CA3EA53A25}"/>
    <cellStyle name="Comma 2 8 9 2 2 2" xfId="4401" xr:uid="{BE5C4D22-7FFA-4852-A1D2-D4B2F18BB103}"/>
    <cellStyle name="Comma 2 8 9 2 2 2 2" xfId="4402" xr:uid="{CA0AB8CA-7757-4FC8-9B95-3536B77925FA}"/>
    <cellStyle name="Comma 2 8 9 2 2 3" xfId="4403" xr:uid="{4B8D3CE4-36B8-403E-8697-2B616662FF09}"/>
    <cellStyle name="Comma 2 8 9 2 2 4" xfId="4404" xr:uid="{59308CDF-75A0-491F-BC87-1FC673F56CA4}"/>
    <cellStyle name="Comma 2 8 9 2 3" xfId="4405" xr:uid="{1015F683-7BA3-4B2C-A3E9-71508EF1442F}"/>
    <cellStyle name="Comma 2 8 9 2 3 2" xfId="4406" xr:uid="{AFFD5B6D-2326-45EB-9B27-5176C64094FC}"/>
    <cellStyle name="Comma 2 8 9 2 4" xfId="4407" xr:uid="{D64843B2-B500-445C-A010-B67AB93D2A97}"/>
    <cellStyle name="Comma 2 8 9 2 5" xfId="4408" xr:uid="{B3B7A9A6-2531-4824-9934-D738FA2F46C5}"/>
    <cellStyle name="Comma 2 8 9 3" xfId="4409" xr:uid="{7FE0E6B0-BF4F-43F7-9A80-5FFF6E4F7F8B}"/>
    <cellStyle name="Comma 2 8 9 4" xfId="4410" xr:uid="{46E376F1-54BB-4956-99D1-56DE7E4D67D2}"/>
    <cellStyle name="Comma 2 8 9 5" xfId="4411" xr:uid="{D9972A6B-B1C6-4D70-A616-E493AB6744EB}"/>
    <cellStyle name="Comma 2 8 9 6" xfId="4412" xr:uid="{74D76E2D-5424-41F2-A344-54D75AD99D7F}"/>
    <cellStyle name="Comma 2 8 9 6 2" xfId="4413" xr:uid="{C84EBF84-C6E9-4AB6-A9D7-A9C1E52E04A5}"/>
    <cellStyle name="Comma 2 8 9 6 2 2" xfId="4414" xr:uid="{A01DE822-1F18-44DB-A44B-CE3FCBA3358A}"/>
    <cellStyle name="Comma 2 8 9 6 3" xfId="4415" xr:uid="{A06C1606-4A14-49B3-818D-A5A3E0D1D97D}"/>
    <cellStyle name="Comma 2 8 9 7" xfId="4416" xr:uid="{96282041-5C93-4B3B-98B0-64AEF8EA688A}"/>
    <cellStyle name="Comma 2 8 9 7 2" xfId="4417" xr:uid="{066D2B17-41DA-4C61-86A8-C2CDFA28C1D0}"/>
    <cellStyle name="Comma 2 8 9 7 2 2" xfId="4418" xr:uid="{72AF885F-EE14-4847-8A3A-039F531C5E57}"/>
    <cellStyle name="Comma 2 8 9 7 3" xfId="4419" xr:uid="{35F82912-2E36-4DD1-B702-8ABC25D7412B}"/>
    <cellStyle name="Comma 2 8 9 8" xfId="4420" xr:uid="{6CABFCDC-1044-47DE-96A7-167A1F8A50EA}"/>
    <cellStyle name="Comma 2 8 9 8 2" xfId="4421" xr:uid="{5D020B92-4DDF-42CE-BE7B-CABEFDD97C8B}"/>
    <cellStyle name="Comma 2 8 9 9" xfId="4422" xr:uid="{5B608D09-DFBD-4693-AE41-9868E96F559C}"/>
    <cellStyle name="Comma 2 9" xfId="4423" xr:uid="{535F5BBA-5600-41B3-9B9F-EADE88E1B6FB}"/>
    <cellStyle name="Comma 20" xfId="44713" xr:uid="{00F02B41-25D7-408D-990B-3A629EE2B112}"/>
    <cellStyle name="Comma 21" xfId="44750" xr:uid="{6C1270E7-A3F1-4BAB-8029-0001DC177FBB}"/>
    <cellStyle name="Comma 22" xfId="44808" xr:uid="{48BD8DBB-E08D-41B9-8D94-2604F02BB7B0}"/>
    <cellStyle name="Comma 23" xfId="44814" xr:uid="{8E71F805-36B8-463F-B719-DDD90A89E093}"/>
    <cellStyle name="Comma 24" xfId="44812" xr:uid="{3A3F8CCB-4DA0-4929-92CA-3DB7A3E7F925}"/>
    <cellStyle name="Comma 25" xfId="44816" xr:uid="{FE2C4D77-5244-41D3-A86C-3498F81B07BF}"/>
    <cellStyle name="Comma 26" xfId="44818" xr:uid="{815A4DA8-2D55-4E4D-AE6A-BC3DF557F290}"/>
    <cellStyle name="Comma 27" xfId="35" xr:uid="{1FCD9BF4-65C0-42D0-839C-27463FCD6797}"/>
    <cellStyle name="Comma 28" xfId="44823" xr:uid="{B669EA47-CB9B-4932-B9E7-7E6CA381A634}"/>
    <cellStyle name="Comma 3" xfId="20" xr:uid="{9BE34757-07F1-4440-810B-D3BA7CBCE43A}"/>
    <cellStyle name="Comma 3 10" xfId="4424" xr:uid="{365078BE-F73A-4AE8-A83D-E75D3C8AB5EC}"/>
    <cellStyle name="Comma 3 11" xfId="4425" xr:uid="{D2E8D7BB-6D87-4400-A2E6-0BCB210241F8}"/>
    <cellStyle name="Comma 3 12" xfId="4426" xr:uid="{F61A6737-8302-43B2-B0F4-9B1115C778EA}"/>
    <cellStyle name="Comma 3 13" xfId="4427" xr:uid="{2F9B6E93-19B8-41DC-A5AA-66750506BDAE}"/>
    <cellStyle name="Comma 3 14" xfId="4428" xr:uid="{958EBD49-63BF-442C-8951-7B7CF7319E0A}"/>
    <cellStyle name="Comma 3 14 2" xfId="4429" xr:uid="{E03BC94E-8FF2-4337-B11E-8BFACD847060}"/>
    <cellStyle name="Comma 3 14 2 2" xfId="4430" xr:uid="{8BB83A63-D965-46DA-84F9-FA2FB4F19405}"/>
    <cellStyle name="Comma 3 14 2 2 2" xfId="4431" xr:uid="{95704CEC-3FC3-45EC-99A9-74F723E26115}"/>
    <cellStyle name="Comma 3 14 2 2 2 2" xfId="4432" xr:uid="{2E8B6851-C951-4A50-B71C-C4981F5DFAF0}"/>
    <cellStyle name="Comma 3 14 2 2 3" xfId="4433" xr:uid="{F7586923-CCE8-4282-846E-0DCC63ABAA9C}"/>
    <cellStyle name="Comma 3 14 2 2 4" xfId="4434" xr:uid="{FF3E1989-3769-4F4B-A8D1-B3BE23D55487}"/>
    <cellStyle name="Comma 3 14 2 3" xfId="4435" xr:uid="{6EB08C1F-7DB4-43F8-A290-F277B8E0ECED}"/>
    <cellStyle name="Comma 3 14 2 3 2" xfId="4436" xr:uid="{73D67AFC-F628-49F1-A100-3F3B098841FE}"/>
    <cellStyle name="Comma 3 14 2 4" xfId="4437" xr:uid="{4F6FA74E-878E-473D-B234-B5650254CD90}"/>
    <cellStyle name="Comma 3 14 2 5" xfId="4438" xr:uid="{30EBB780-D0B1-4F64-9D7F-C28BDE82684D}"/>
    <cellStyle name="Comma 3 14 3" xfId="4439" xr:uid="{BE9B9513-CFD4-4B53-8CD9-090528F675F6}"/>
    <cellStyle name="Comma 3 15" xfId="4440" xr:uid="{90FA31D9-2191-48A3-899B-E48B7726F166}"/>
    <cellStyle name="Comma 3 15 2" xfId="4441" xr:uid="{B7BD721D-2198-4AFB-A173-CC19FC14EE75}"/>
    <cellStyle name="Comma 3 15 2 2" xfId="4442" xr:uid="{7A15F8E4-9B55-4214-BD7F-9CF4D1A541FB}"/>
    <cellStyle name="Comma 3 15 2 2 2" xfId="4443" xr:uid="{B694CCA2-8BDE-406A-9B9B-5E7A70EA5A26}"/>
    <cellStyle name="Comma 3 15 2 3" xfId="4444" xr:uid="{66872F6F-A3A9-43C4-9E7A-0A5FC1BA6E38}"/>
    <cellStyle name="Comma 3 15 2 4" xfId="4445" xr:uid="{89019B2B-4F7C-4D9D-825C-785AC2D7F6A2}"/>
    <cellStyle name="Comma 3 15 3" xfId="4446" xr:uid="{99AF687A-415B-42AD-BCAD-98C1C034CC9E}"/>
    <cellStyle name="Comma 3 15 3 2" xfId="4447" xr:uid="{63CBB4FC-F5BE-45E1-92B9-8704FFCB60F8}"/>
    <cellStyle name="Comma 3 15 4" xfId="4448" xr:uid="{71446B3A-CD69-4A7A-B599-841E1A02A9FA}"/>
    <cellStyle name="Comma 3 15 5" xfId="4449" xr:uid="{185DB4F4-542A-4624-BE92-C90EC70F910F}"/>
    <cellStyle name="Comma 3 16" xfId="4450" xr:uid="{2F5F174C-46EC-400E-BB17-72245D211E6A}"/>
    <cellStyle name="Comma 3 16 2" xfId="4451" xr:uid="{03F5673A-64AA-4724-979C-D75BDCED2A93}"/>
    <cellStyle name="Comma 3 16 2 2" xfId="4452" xr:uid="{65F3020A-34CA-482C-8C05-E8C20017076D}"/>
    <cellStyle name="Comma 3 16 3" xfId="4453" xr:uid="{EB2362BF-E43D-4008-9EDF-7322E13755AE}"/>
    <cellStyle name="Comma 3 17" xfId="4454" xr:uid="{E7874FB8-7D3E-4FD7-9A08-5CC3A440F5CB}"/>
    <cellStyle name="Comma 3 17 2" xfId="4455" xr:uid="{537AF200-01AF-4E2B-9B2E-6590C2ABD874}"/>
    <cellStyle name="Comma 3 17 2 2" xfId="4456" xr:uid="{6D84C7D3-C27B-409F-A95A-65F593961DA0}"/>
    <cellStyle name="Comma 3 17 3" xfId="4457" xr:uid="{F059733C-013C-41CC-80DC-71755F454324}"/>
    <cellStyle name="Comma 3 18" xfId="4458" xr:uid="{4BE9A877-59F9-42A7-B21A-05A057E976CD}"/>
    <cellStyle name="Comma 3 18 2" xfId="4459" xr:uid="{9640C8C0-23AA-4D16-9A1D-BBEB42D3A4A5}"/>
    <cellStyle name="Comma 3 18 2 2" xfId="4460" xr:uid="{C23DA5B8-36E6-46DD-90C1-84204AEA662E}"/>
    <cellStyle name="Comma 3 18 3" xfId="4461" xr:uid="{10D48AE3-DA68-434D-AF39-2937EFF9531B}"/>
    <cellStyle name="Comma 3 19" xfId="4462" xr:uid="{EC4F8804-DC66-4A37-8DAF-C96CA35A8980}"/>
    <cellStyle name="Comma 3 19 2" xfId="4463" xr:uid="{640E3A91-062A-40AC-A1C0-FA3A26BE9E3A}"/>
    <cellStyle name="Comma 3 19 2 2" xfId="4464" xr:uid="{7FFED81B-673E-4FAE-A99C-5D920E6CCDAA}"/>
    <cellStyle name="Comma 3 19 3" xfId="4465" xr:uid="{569EB703-E9A2-431C-8155-BEA2E5AAC860}"/>
    <cellStyle name="Comma 3 2" xfId="812" xr:uid="{8905E75E-59BC-491D-9517-DA70C07BCBCE}"/>
    <cellStyle name="Comma 3 2 2" xfId="813" xr:uid="{2215FBA1-6654-487D-A657-223CCAB1581E}"/>
    <cellStyle name="Comma 3 2 2 2" xfId="4466" xr:uid="{BE3738D3-62D0-43F8-9742-17C97003ED0C}"/>
    <cellStyle name="Comma 3 2 2 2 2" xfId="44329" xr:uid="{2552B69A-046C-4D73-BBD1-9C6770F6D30B}"/>
    <cellStyle name="Comma 3 2 2 3" xfId="44330" xr:uid="{490883EA-6C2F-458C-9169-606D8407BE19}"/>
    <cellStyle name="Comma 3 2 2 4" xfId="44798" xr:uid="{49F03429-21ED-48AF-9618-225F7CF56694}"/>
    <cellStyle name="Comma 3 2 3" xfId="4467" xr:uid="{4BE43D82-E84E-4111-96AC-CF1FD42F7C98}"/>
    <cellStyle name="Comma 3 2 3 2" xfId="4468" xr:uid="{0E0FE18A-CB43-4E81-BA6B-C3B390DC94CA}"/>
    <cellStyle name="Comma 3 2 3 2 2" xfId="19553" xr:uid="{A2DC4F17-C0D7-4F5D-9427-F57605EC033A}"/>
    <cellStyle name="Comma 3 2 4" xfId="4469" xr:uid="{0C1C98FC-09AE-49C5-BBE9-C6540C8C8E7C}"/>
    <cellStyle name="Comma 3 2 4 2" xfId="19554" xr:uid="{F94E07CA-5456-4873-A5B8-3F64040720C3}"/>
    <cellStyle name="Comma 3 2 5" xfId="44331" xr:uid="{BCC90375-5103-4681-A409-EE1268C81052}"/>
    <cellStyle name="Comma 3 2 6" xfId="44781" xr:uid="{502FE59F-5413-4541-BF43-46263584646F}"/>
    <cellStyle name="Comma 3 20" xfId="4470" xr:uid="{EACCA1C5-73A2-4BFC-94B9-FB791E6C7636}"/>
    <cellStyle name="Comma 3 20 2" xfId="4471" xr:uid="{3EA4FED1-1B64-4B3B-BF90-F23051903E45}"/>
    <cellStyle name="Comma 3 20 2 2" xfId="4472" xr:uid="{45D0C4D0-B500-478A-ABEC-DA50BD26096A}"/>
    <cellStyle name="Comma 3 20 3" xfId="4473" xr:uid="{C69BB6AE-64FF-4139-B6CA-771D61D8E19C}"/>
    <cellStyle name="Comma 3 21" xfId="4474" xr:uid="{07FD7AB3-96DC-4F5E-A28C-B0F5E874375C}"/>
    <cellStyle name="Comma 3 21 2" xfId="4475" xr:uid="{428E25BE-866B-4666-B2A0-4CC05DC0CE29}"/>
    <cellStyle name="Comma 3 22" xfId="4476" xr:uid="{4156C412-974E-4E50-86AE-79821F6552C5}"/>
    <cellStyle name="Comma 3 23" xfId="4477" xr:uid="{1A908754-848A-4048-ABD5-5F5004CCBA8C}"/>
    <cellStyle name="Comma 3 24" xfId="9705" xr:uid="{820F9715-FDB5-4C68-B84F-A70ED72695AA}"/>
    <cellStyle name="Comma 3 25" xfId="44715" xr:uid="{2C8B0ACB-239A-4B3F-8B65-091912F6413E}"/>
    <cellStyle name="Comma 3 26" xfId="44745" xr:uid="{20010CED-FE0B-4E3E-9B0F-C907FE2DBBD4}"/>
    <cellStyle name="Comma 3 27" xfId="44768" xr:uid="{9DE72729-AADD-46D9-B887-FAAE1463730B}"/>
    <cellStyle name="Comma 3 28" xfId="811" xr:uid="{6F82833A-9F71-4BEB-8274-BAB250F6167F}"/>
    <cellStyle name="Comma 3 3" xfId="814" xr:uid="{614C7FB4-CCEB-403B-9B83-62E9507C6950}"/>
    <cellStyle name="Comma 3 3 10" xfId="4478" xr:uid="{E44DDA89-4651-4C10-A92C-99BA434B0203}"/>
    <cellStyle name="Comma 3 3 11" xfId="4479" xr:uid="{08CB2F95-FF30-44A4-864C-2085E529FE5C}"/>
    <cellStyle name="Comma 3 3 11 2" xfId="4480" xr:uid="{4DE66B78-D58B-4E6B-85AA-3256339FD00E}"/>
    <cellStyle name="Comma 3 3 11 2 2" xfId="4481" xr:uid="{E7B18CE3-1657-42EB-8E90-7F0139BEF952}"/>
    <cellStyle name="Comma 3 3 11 2 2 2" xfId="4482" xr:uid="{79FA15EE-2BB5-4AB8-BE8C-D73D10DE2F8F}"/>
    <cellStyle name="Comma 3 3 11 2 2 2 2" xfId="4483" xr:uid="{D296B0F5-DEF1-49C5-9DA0-894CE040115D}"/>
    <cellStyle name="Comma 3 3 11 2 2 3" xfId="4484" xr:uid="{9661CD51-8D45-4363-9290-19AEC06F7E92}"/>
    <cellStyle name="Comma 3 3 11 2 2 4" xfId="4485" xr:uid="{F3D4D14B-3573-4BF8-A43F-C74E4CB13E7B}"/>
    <cellStyle name="Comma 3 3 11 2 3" xfId="4486" xr:uid="{A0AA4198-81DE-4051-9515-53797FFBFC66}"/>
    <cellStyle name="Comma 3 3 11 2 3 2" xfId="4487" xr:uid="{C9832DC1-A452-4437-814D-46E1284E7F01}"/>
    <cellStyle name="Comma 3 3 11 2 4" xfId="4488" xr:uid="{8B57E2FB-7CD3-4C73-9CC5-5DDD316AB04D}"/>
    <cellStyle name="Comma 3 3 11 2 5" xfId="4489" xr:uid="{AD18A2EB-BC92-40F0-BDCB-95B588010501}"/>
    <cellStyle name="Comma 3 3 11 3" xfId="4490" xr:uid="{B5EF2510-4F8C-4BE6-8877-841F44F0E6C0}"/>
    <cellStyle name="Comma 3 3 12" xfId="4491" xr:uid="{A1905DAA-7DD2-4639-B379-BC92F2821BB0}"/>
    <cellStyle name="Comma 3 3 12 2" xfId="4492" xr:uid="{496D35DA-D50C-4FBC-9D02-00742584B88D}"/>
    <cellStyle name="Comma 3 3 12 2 2" xfId="4493" xr:uid="{7DACFA57-D71A-48B3-8E2B-558542537166}"/>
    <cellStyle name="Comma 3 3 12 2 2 2" xfId="4494" xr:uid="{F6A2BD48-3E62-4B5C-A697-C839506B4BDF}"/>
    <cellStyle name="Comma 3 3 12 2 3" xfId="4495" xr:uid="{D587152D-46F5-4870-9621-3AC470F11363}"/>
    <cellStyle name="Comma 3 3 12 2 4" xfId="4496" xr:uid="{CA5BD02A-88F1-4E44-AB15-DB8D190462F0}"/>
    <cellStyle name="Comma 3 3 12 3" xfId="4497" xr:uid="{2E530B5A-10BF-4A57-AACC-45BC6C889F1E}"/>
    <cellStyle name="Comma 3 3 12 3 2" xfId="4498" xr:uid="{FA625DB5-8DF1-477B-8ACE-38A1125BA283}"/>
    <cellStyle name="Comma 3 3 12 4" xfId="4499" xr:uid="{71BB9D00-6FE8-4F2A-A7E3-BB4A38E17F93}"/>
    <cellStyle name="Comma 3 3 12 5" xfId="4500" xr:uid="{58EB598D-93C5-4315-8C58-5B4100C026CD}"/>
    <cellStyle name="Comma 3 3 13" xfId="4501" xr:uid="{8F2EED2E-C07C-42AC-8131-59EEAB911769}"/>
    <cellStyle name="Comma 3 3 13 2" xfId="4502" xr:uid="{663F9101-3644-4DD7-AB4E-966B5F5C8D95}"/>
    <cellStyle name="Comma 3 3 13 2 2" xfId="4503" xr:uid="{5D6799B5-C0BF-48CA-B38F-001CA48033EE}"/>
    <cellStyle name="Comma 3 3 13 3" xfId="4504" xr:uid="{DC2F0291-4D18-4612-9B52-4ECAD6530E92}"/>
    <cellStyle name="Comma 3 3 14" xfId="4505" xr:uid="{5B4D63AB-85C5-44EB-9E44-9C459D18DF8C}"/>
    <cellStyle name="Comma 3 3 14 2" xfId="4506" xr:uid="{C7C9A3F2-92EB-4F25-A139-6D5969F9E8E2}"/>
    <cellStyle name="Comma 3 3 14 2 2" xfId="4507" xr:uid="{5CFA9B2F-61C1-4B40-A5F9-CBCF44C8C1D4}"/>
    <cellStyle name="Comma 3 3 14 3" xfId="4508" xr:uid="{1D7951F0-D527-4C10-85F2-094D2D60A395}"/>
    <cellStyle name="Comma 3 3 15" xfId="4509" xr:uid="{F8149021-85F7-47E5-9328-A14C52815782}"/>
    <cellStyle name="Comma 3 3 15 2" xfId="4510" xr:uid="{A6511371-0F85-4FBA-B7B9-DDAE00D41F12}"/>
    <cellStyle name="Comma 3 3 15 2 2" xfId="4511" xr:uid="{B7A8138D-F33B-459D-AEFA-B7728CE99A3F}"/>
    <cellStyle name="Comma 3 3 15 3" xfId="4512" xr:uid="{7258F60C-9489-46E8-93E9-D9859482B34A}"/>
    <cellStyle name="Comma 3 3 16" xfId="4513" xr:uid="{877D2528-8516-4021-8159-26B5FC451D9A}"/>
    <cellStyle name="Comma 3 3 16 2" xfId="4514" xr:uid="{55E8CE73-91B5-49BB-A4AF-168CCCC8DC96}"/>
    <cellStyle name="Comma 3 3 16 2 2" xfId="4515" xr:uid="{B1D61665-3C23-489B-904F-FCE7FDCE006E}"/>
    <cellStyle name="Comma 3 3 16 3" xfId="4516" xr:uid="{B17B5861-807D-47B6-94D3-4B582ED49435}"/>
    <cellStyle name="Comma 3 3 17" xfId="4517" xr:uid="{D9681414-C8F6-42B7-BA98-82839BF29D41}"/>
    <cellStyle name="Comma 3 3 17 2" xfId="4518" xr:uid="{4BF93306-37A6-460C-ADE7-CBF2909AEBBB}"/>
    <cellStyle name="Comma 3 3 17 2 2" xfId="4519" xr:uid="{B3B987A2-1F67-43DF-ACCD-3D876EF4670F}"/>
    <cellStyle name="Comma 3 3 17 3" xfId="4520" xr:uid="{5D5F54F9-A398-44C6-9B12-156723843FE8}"/>
    <cellStyle name="Comma 3 3 18" xfId="4521" xr:uid="{2CA5BA41-6C8A-40C5-BD15-5E459B6EB0A7}"/>
    <cellStyle name="Comma 3 3 18 2" xfId="4522" xr:uid="{B524BE12-5602-4BE9-9789-E01E07B756F2}"/>
    <cellStyle name="Comma 3 3 19" xfId="4523" xr:uid="{36293999-DF97-46AE-A0D7-0E65348ACF2C}"/>
    <cellStyle name="Comma 3 3 2" xfId="4524" xr:uid="{00066F4A-0C4A-4DCF-B6DA-174E1494336B}"/>
    <cellStyle name="Comma 3 3 2 10" xfId="4525" xr:uid="{F618BA78-C9A5-4B4E-B7D3-E577CC933689}"/>
    <cellStyle name="Comma 3 3 2 10 2" xfId="4526" xr:uid="{E5FBF02B-4593-4F8D-9799-27EE80860190}"/>
    <cellStyle name="Comma 3 3 2 10 2 2" xfId="4527" xr:uid="{122C4DE3-6B82-4045-87FE-F954F47436EF}"/>
    <cellStyle name="Comma 3 3 2 10 2 2 2" xfId="4528" xr:uid="{F69621E2-E005-4CAC-95FA-683D05DD8BE9}"/>
    <cellStyle name="Comma 3 3 2 10 2 2 2 2" xfId="4529" xr:uid="{567CFDFD-F33C-4DA1-9633-2468F672F4F7}"/>
    <cellStyle name="Comma 3 3 2 10 2 2 3" xfId="4530" xr:uid="{0B3C5CB7-52C3-41C7-AA17-CCE4F2870BB7}"/>
    <cellStyle name="Comma 3 3 2 10 2 2 4" xfId="4531" xr:uid="{851E1BCB-B3C0-4769-A4F6-543A157CAD2C}"/>
    <cellStyle name="Comma 3 3 2 10 2 3" xfId="4532" xr:uid="{8C1ABA6B-2E18-4AFC-BCA6-749DAEA68E71}"/>
    <cellStyle name="Comma 3 3 2 10 2 3 2" xfId="4533" xr:uid="{A03D240E-1164-4E12-8119-29D25353BCEE}"/>
    <cellStyle name="Comma 3 3 2 10 2 4" xfId="4534" xr:uid="{74C5FED2-6AB3-4522-8E7E-600B91CD8504}"/>
    <cellStyle name="Comma 3 3 2 10 2 5" xfId="4535" xr:uid="{46D54D9A-7A72-49A9-B500-B69FF98492BF}"/>
    <cellStyle name="Comma 3 3 2 10 3" xfId="4536" xr:uid="{738EAB3F-F1FF-412A-B378-AB3AE904CCC0}"/>
    <cellStyle name="Comma 3 3 2 11" xfId="4537" xr:uid="{43647288-F31E-4A53-A2CE-105A4A1C0E5C}"/>
    <cellStyle name="Comma 3 3 2 11 2" xfId="4538" xr:uid="{71718246-5A5D-4913-8346-0A2B4B0A112A}"/>
    <cellStyle name="Comma 3 3 2 11 2 2" xfId="4539" xr:uid="{DF619A1A-7197-487F-9FD3-C33F30258D04}"/>
    <cellStyle name="Comma 3 3 2 11 2 2 2" xfId="4540" xr:uid="{2A3110D1-A596-40EA-9BF7-42A2A9F6BBD1}"/>
    <cellStyle name="Comma 3 3 2 11 2 3" xfId="4541" xr:uid="{115ADA95-5BF6-4580-B0D5-6E4C65083D3B}"/>
    <cellStyle name="Comma 3 3 2 11 2 4" xfId="4542" xr:uid="{C2600428-A881-4007-A24B-C7F3C9314A2B}"/>
    <cellStyle name="Comma 3 3 2 11 3" xfId="4543" xr:uid="{FC38C364-0E72-442F-A2C7-365926F9D3AA}"/>
    <cellStyle name="Comma 3 3 2 11 3 2" xfId="4544" xr:uid="{07C7208F-0EDF-4CE8-A84E-3D9A57BE8DFB}"/>
    <cellStyle name="Comma 3 3 2 11 4" xfId="4545" xr:uid="{931D328E-2A8E-42DD-B154-DA2CCB921ACF}"/>
    <cellStyle name="Comma 3 3 2 11 5" xfId="4546" xr:uid="{D643DC8F-A2EC-4C5A-ADBE-0BD4979EB24B}"/>
    <cellStyle name="Comma 3 3 2 12" xfId="4547" xr:uid="{C4607330-5C08-4F8A-B55E-B9E09E7A314D}"/>
    <cellStyle name="Comma 3 3 2 12 2" xfId="4548" xr:uid="{4F6E270A-9ECA-4564-8603-AAD0622E01D0}"/>
    <cellStyle name="Comma 3 3 2 12 2 2" xfId="4549" xr:uid="{AF5D125C-1583-40F6-A1E9-F52CE9D3A355}"/>
    <cellStyle name="Comma 3 3 2 12 3" xfId="4550" xr:uid="{EE853BA3-D983-4E0C-B073-5A627410CDA8}"/>
    <cellStyle name="Comma 3 3 2 13" xfId="4551" xr:uid="{6EBD378C-BEAE-4D61-931D-2C98A9801536}"/>
    <cellStyle name="Comma 3 3 2 13 2" xfId="4552" xr:uid="{59FD6786-FBBE-45CD-93CB-C216F3FFD0B1}"/>
    <cellStyle name="Comma 3 3 2 13 2 2" xfId="4553" xr:uid="{2F74A586-7825-492A-8B6C-C5C328269634}"/>
    <cellStyle name="Comma 3 3 2 13 3" xfId="4554" xr:uid="{6CE066DD-E359-41DA-AB5D-1E237A5D36D8}"/>
    <cellStyle name="Comma 3 3 2 14" xfId="4555" xr:uid="{3ACDBA7F-E730-4446-B4A9-C0882E471397}"/>
    <cellStyle name="Comma 3 3 2 14 2" xfId="4556" xr:uid="{D7FE65C5-7E28-4EB2-A5DD-4845C912EC8F}"/>
    <cellStyle name="Comma 3 3 2 14 2 2" xfId="4557" xr:uid="{767F4647-45F6-4829-8429-152814D3612A}"/>
    <cellStyle name="Comma 3 3 2 14 3" xfId="4558" xr:uid="{9AA8BDCC-4712-4B3E-AF12-5F43ED5CBA08}"/>
    <cellStyle name="Comma 3 3 2 15" xfId="4559" xr:uid="{1B309F09-1D4B-40C2-8B10-33144BC662EA}"/>
    <cellStyle name="Comma 3 3 2 15 2" xfId="4560" xr:uid="{B6E276B5-1D0C-4679-B92C-8EB2C6C6FCAE}"/>
    <cellStyle name="Comma 3 3 2 15 2 2" xfId="4561" xr:uid="{4C15A235-AFB5-42D2-B988-B2B5C3A7FC70}"/>
    <cellStyle name="Comma 3 3 2 15 3" xfId="4562" xr:uid="{1B4BD97A-793F-4086-BFF0-9B3791668080}"/>
    <cellStyle name="Comma 3 3 2 16" xfId="4563" xr:uid="{89C8F5B7-587A-4BB4-9E59-3F62113C9C16}"/>
    <cellStyle name="Comma 3 3 2 16 2" xfId="4564" xr:uid="{EDE9FDA7-9AD2-4B2A-8A49-0365681DFC4C}"/>
    <cellStyle name="Comma 3 3 2 16 2 2" xfId="4565" xr:uid="{C9B1862A-1D60-48D6-98B0-D829015CB5DB}"/>
    <cellStyle name="Comma 3 3 2 16 3" xfId="4566" xr:uid="{A99A8648-F66F-4AD3-9DF6-3D5D98827A95}"/>
    <cellStyle name="Comma 3 3 2 17" xfId="4567" xr:uid="{32F0425F-1AFE-4709-84EF-ECC64D14F5AA}"/>
    <cellStyle name="Comma 3 3 2 17 2" xfId="4568" xr:uid="{6A4D5189-E51B-47D3-830C-D299F318DFD4}"/>
    <cellStyle name="Comma 3 3 2 18" xfId="4569" xr:uid="{3BE7CE15-0E6C-424A-BD11-A9FB5DA37B93}"/>
    <cellStyle name="Comma 3 3 2 19" xfId="4570" xr:uid="{68940622-8026-42E4-A3FF-A94E4D1D9131}"/>
    <cellStyle name="Comma 3 3 2 2" xfId="4571" xr:uid="{372678E1-65F0-4081-A21D-A1D7F2421E04}"/>
    <cellStyle name="Comma 3 3 2 3" xfId="4572" xr:uid="{8E15DA19-526F-404D-9AD8-CC6DD26C7FC6}"/>
    <cellStyle name="Comma 3 3 2 4" xfId="4573" xr:uid="{842B7BA9-F166-4803-A7FB-90CD7DF2B701}"/>
    <cellStyle name="Comma 3 3 2 5" xfId="4574" xr:uid="{D98B767E-45CF-4499-B50E-D1C041F6C818}"/>
    <cellStyle name="Comma 3 3 2 6" xfId="4575" xr:uid="{77B15602-04BB-41D2-B20B-980331D5BADE}"/>
    <cellStyle name="Comma 3 3 2 7" xfId="4576" xr:uid="{A3BF707A-C44A-4D6B-ADE3-0AAF1C98471D}"/>
    <cellStyle name="Comma 3 3 2 8" xfId="4577" xr:uid="{FA75FB06-96D7-4F14-8E07-03F21F73DB7A}"/>
    <cellStyle name="Comma 3 3 2 9" xfId="4578" xr:uid="{1AFB3BEF-5EE1-45F9-90F9-73389F71D3F5}"/>
    <cellStyle name="Comma 3 3 20" xfId="4579" xr:uid="{D91D0C86-BAEB-4525-AA66-76B553D9434A}"/>
    <cellStyle name="Comma 3 3 21" xfId="4580" xr:uid="{F13B16A9-3753-41D2-9339-F62A16418DB9}"/>
    <cellStyle name="Comma 3 3 22" xfId="4581" xr:uid="{B08A046C-0B68-4B23-85BC-64D5CC99C407}"/>
    <cellStyle name="Comma 3 3 23" xfId="4582" xr:uid="{79F747C3-96C1-4E63-8162-940526CF2A13}"/>
    <cellStyle name="Comma 3 3 24" xfId="44791" xr:uid="{266D2050-BB61-4C69-8C38-E13937B41221}"/>
    <cellStyle name="Comma 3 3 3" xfId="4583" xr:uid="{D986E134-C399-4F90-9139-0CFC346D1F2D}"/>
    <cellStyle name="Comma 3 3 3 2" xfId="4584" xr:uid="{0A3FDB1E-E27C-467D-92CD-B3EF8AACCFBC}"/>
    <cellStyle name="Comma 3 3 4" xfId="4585" xr:uid="{B020541A-3EDD-4891-BA7E-2325F4D2AD31}"/>
    <cellStyle name="Comma 3 3 5" xfId="4586" xr:uid="{F65CC2FD-D88B-40EF-97A6-21C6FE77C3E5}"/>
    <cellStyle name="Comma 3 3 6" xfId="4587" xr:uid="{59207C44-F0C9-4242-8C53-A2790A3C1A3C}"/>
    <cellStyle name="Comma 3 3 7" xfId="4588" xr:uid="{9377AB40-A5B7-489C-ABD8-4C42D20AAEC3}"/>
    <cellStyle name="Comma 3 3 8" xfId="4589" xr:uid="{AE3132E5-4F9E-41B5-8886-1C331715F3CA}"/>
    <cellStyle name="Comma 3 3 9" xfId="4590" xr:uid="{407923C8-7050-438D-BF82-97BE43876022}"/>
    <cellStyle name="Comma 3 4" xfId="815" xr:uid="{9E7B0E4D-676D-42E1-9405-615C49DE43EE}"/>
    <cellStyle name="Comma 3 4 10" xfId="4591" xr:uid="{9C635533-7011-4D94-B86E-BB70751F0C68}"/>
    <cellStyle name="Comma 3 4 10 2" xfId="4592" xr:uid="{0E12EF7F-40A3-4DCE-BE65-0A862927E408}"/>
    <cellStyle name="Comma 3 4 10 2 2" xfId="4593" xr:uid="{9A056094-3A4F-4441-93F5-7960804FF0B5}"/>
    <cellStyle name="Comma 3 4 10 2 2 2" xfId="4594" xr:uid="{80B3C2E1-BCC8-4EBD-B3CE-80421BFAD127}"/>
    <cellStyle name="Comma 3 4 10 2 2 2 2" xfId="4595" xr:uid="{FC238229-75E3-4854-A4C4-48C1F1F8FBAC}"/>
    <cellStyle name="Comma 3 4 10 2 2 3" xfId="4596" xr:uid="{FF3F1518-9BCA-44BD-BD3D-9C3078941E57}"/>
    <cellStyle name="Comma 3 4 10 2 2 4" xfId="4597" xr:uid="{571897C8-0D5D-4706-8B98-DD007E848536}"/>
    <cellStyle name="Comma 3 4 10 2 3" xfId="4598" xr:uid="{FDB4CCB4-99F5-4988-BE09-3BA2B8FA72E0}"/>
    <cellStyle name="Comma 3 4 10 2 3 2" xfId="4599" xr:uid="{80487894-1733-417A-866B-DC24C2818EDD}"/>
    <cellStyle name="Comma 3 4 10 2 4" xfId="4600" xr:uid="{DC64802D-8EFA-4E59-90D2-12AB305283BD}"/>
    <cellStyle name="Comma 3 4 10 2 5" xfId="4601" xr:uid="{BDDE6C9F-0518-48F6-904F-3AFB9524AA35}"/>
    <cellStyle name="Comma 3 4 10 3" xfId="4602" xr:uid="{8BF52927-6831-42C1-9708-3CC5560AB967}"/>
    <cellStyle name="Comma 3 4 11" xfId="4603" xr:uid="{CBC76235-1D79-47FB-BD12-7D94E8DE1F65}"/>
    <cellStyle name="Comma 3 4 11 2" xfId="4604" xr:uid="{8AE650B5-BDB8-41CC-A27E-076E931D0436}"/>
    <cellStyle name="Comma 3 4 11 2 2" xfId="4605" xr:uid="{536B9B7D-279A-4CAA-A7E7-EFDBB5699ACA}"/>
    <cellStyle name="Comma 3 4 11 2 2 2" xfId="4606" xr:uid="{6C5F93A3-CA0E-4686-BC08-A76B83A2A40F}"/>
    <cellStyle name="Comma 3 4 11 2 3" xfId="4607" xr:uid="{F16F7B0D-9EDD-4736-B708-7FED37A2D962}"/>
    <cellStyle name="Comma 3 4 11 2 4" xfId="4608" xr:uid="{0E5AA393-D1BB-4DAA-9307-D252F2428F19}"/>
    <cellStyle name="Comma 3 4 11 3" xfId="4609" xr:uid="{3B0D759E-97D9-43D9-8171-E28D9F133D43}"/>
    <cellStyle name="Comma 3 4 11 3 2" xfId="4610" xr:uid="{755863FE-4E3F-4888-BFC0-7EB05A70132B}"/>
    <cellStyle name="Comma 3 4 11 4" xfId="4611" xr:uid="{3725D3AC-98E2-4D57-9672-D8C28161FE1F}"/>
    <cellStyle name="Comma 3 4 11 5" xfId="4612" xr:uid="{47F90573-844C-42B2-B109-D230932DE446}"/>
    <cellStyle name="Comma 3 4 12" xfId="4613" xr:uid="{4E90BD22-EA0F-4396-9DEB-A8626C7ADE3D}"/>
    <cellStyle name="Comma 3 4 12 2" xfId="4614" xr:uid="{1DD40522-C87E-499F-AF84-3EF64D716CBD}"/>
    <cellStyle name="Comma 3 4 12 2 2" xfId="4615" xr:uid="{DAA710F2-BFC9-4739-BF6F-8ABAD2D754E5}"/>
    <cellStyle name="Comma 3 4 12 3" xfId="4616" xr:uid="{3C288268-005A-4AAA-BF7F-A9BCF891A609}"/>
    <cellStyle name="Comma 3 4 13" xfId="4617" xr:uid="{5518A3BB-E2A7-4402-9511-8E9046C39A21}"/>
    <cellStyle name="Comma 3 4 13 2" xfId="4618" xr:uid="{53CFAAA7-E710-4721-B66A-23906BBECEC5}"/>
    <cellStyle name="Comma 3 4 13 2 2" xfId="4619" xr:uid="{64B0C876-FF5A-4F8F-B400-0A3C3437EE67}"/>
    <cellStyle name="Comma 3 4 13 3" xfId="4620" xr:uid="{AA2CBF1D-4F28-4E7F-A873-27FFF67DED25}"/>
    <cellStyle name="Comma 3 4 14" xfId="4621" xr:uid="{B571B3E7-0A81-442A-B8CA-0DDC201550EF}"/>
    <cellStyle name="Comma 3 4 14 2" xfId="4622" xr:uid="{D065D111-A5A1-49B1-B99E-44146F9EA61A}"/>
    <cellStyle name="Comma 3 4 14 2 2" xfId="4623" xr:uid="{33AAF747-DA6F-4A28-94F1-71889D539ABF}"/>
    <cellStyle name="Comma 3 4 14 3" xfId="4624" xr:uid="{6F33AF8D-A959-47ED-8CE2-F602CB873DE7}"/>
    <cellStyle name="Comma 3 4 15" xfId="4625" xr:uid="{F0C34AD2-D195-4AB1-A057-4A0C2733460E}"/>
    <cellStyle name="Comma 3 4 15 2" xfId="4626" xr:uid="{ABCC6ED2-4EE0-4E1B-9276-020DC5CA4938}"/>
    <cellStyle name="Comma 3 4 15 2 2" xfId="4627" xr:uid="{C6D94B23-C930-4332-A381-4C03C668854E}"/>
    <cellStyle name="Comma 3 4 15 3" xfId="4628" xr:uid="{14F676EF-8BF4-470C-B04E-A7357D7286B1}"/>
    <cellStyle name="Comma 3 4 16" xfId="4629" xr:uid="{71D4074E-2016-40A8-A518-90A7F9DCFC1A}"/>
    <cellStyle name="Comma 3 4 16 2" xfId="4630" xr:uid="{18D59061-39B0-476F-BF2D-7FCA911C6434}"/>
    <cellStyle name="Comma 3 4 16 2 2" xfId="4631" xr:uid="{16CB3ECC-F913-4C02-B565-7F0FBDB1F56F}"/>
    <cellStyle name="Comma 3 4 16 3" xfId="4632" xr:uid="{DE68F8AB-E77E-4377-86B9-1FDFEBEEE947}"/>
    <cellStyle name="Comma 3 4 17" xfId="4633" xr:uid="{25755915-EEAA-4023-85A4-381ACF16D599}"/>
    <cellStyle name="Comma 3 4 17 2" xfId="4634" xr:uid="{C9775EF4-D8EA-4262-8015-15F8B085E511}"/>
    <cellStyle name="Comma 3 4 18" xfId="4635" xr:uid="{DD3754EA-68DA-4566-A48F-1C68FC6F9F39}"/>
    <cellStyle name="Comma 3 4 19" xfId="4636" xr:uid="{62ABCD50-1D28-4640-8D35-40A5185B5185}"/>
    <cellStyle name="Comma 3 4 2" xfId="4637" xr:uid="{09917106-F946-4176-B692-08DB939EA128}"/>
    <cellStyle name="Comma 3 4 2 2" xfId="4638" xr:uid="{88280C99-03D0-4F8F-9BED-C4505CF06220}"/>
    <cellStyle name="Comma 3 4 3" xfId="4639" xr:uid="{E98ADB90-0763-4FDB-AE6A-A9B8D79DD995}"/>
    <cellStyle name="Comma 3 4 4" xfId="4640" xr:uid="{4619EDB1-928E-47B8-9305-B877CCD85625}"/>
    <cellStyle name="Comma 3 4 5" xfId="4641" xr:uid="{7CCFD32B-D7BA-47E7-A915-D5F603793936}"/>
    <cellStyle name="Comma 3 4 6" xfId="4642" xr:uid="{CA4FBF7E-72F5-482F-803C-1F4D5D19E79A}"/>
    <cellStyle name="Comma 3 4 7" xfId="4643" xr:uid="{C4154ED5-A2C0-4124-BE12-855ECA060D28}"/>
    <cellStyle name="Comma 3 4 8" xfId="4644" xr:uid="{4A98C45B-8B8B-45B9-AAD7-CE19AACE12F6}"/>
    <cellStyle name="Comma 3 4 9" xfId="4645" xr:uid="{0A9DB52B-1400-44BE-A155-6C04B5D8C591}"/>
    <cellStyle name="Comma 3 5" xfId="4646" xr:uid="{52E9B3EA-43C0-4F1C-BF34-27168CF3F4D5}"/>
    <cellStyle name="Comma 3 5 10" xfId="4647" xr:uid="{44732A53-DE38-4D2F-B822-AECA858D03B4}"/>
    <cellStyle name="Comma 3 5 10 2" xfId="4648" xr:uid="{BD21035B-63E3-403A-B7E4-59B40D8CB406}"/>
    <cellStyle name="Comma 3 5 10 2 2" xfId="4649" xr:uid="{55BF1E8C-458E-4E35-9EF3-888E8AA106DA}"/>
    <cellStyle name="Comma 3 5 10 2 2 2" xfId="4650" xr:uid="{C9A89C83-DBE7-4511-BDDE-5FF1F0D9D06B}"/>
    <cellStyle name="Comma 3 5 10 2 2 2 2" xfId="4651" xr:uid="{CBAF198A-AFAE-443E-97A0-F56A3DF59B43}"/>
    <cellStyle name="Comma 3 5 10 2 2 3" xfId="4652" xr:uid="{FD56E4B1-8020-435B-8C2C-FB849F3095DD}"/>
    <cellStyle name="Comma 3 5 10 2 2 4" xfId="4653" xr:uid="{0DBA1A06-D2AC-477B-A1D8-EA53C0C8BD97}"/>
    <cellStyle name="Comma 3 5 10 2 3" xfId="4654" xr:uid="{952F9328-C1D4-43AD-AF5B-7AA601498824}"/>
    <cellStyle name="Comma 3 5 10 2 3 2" xfId="4655" xr:uid="{BBD46ED8-AD0B-4317-8659-189B390BB3E6}"/>
    <cellStyle name="Comma 3 5 10 2 4" xfId="4656" xr:uid="{E8950C21-8746-4544-A0FD-CBCEFA0DD2FB}"/>
    <cellStyle name="Comma 3 5 10 2 5" xfId="4657" xr:uid="{C0C000D1-B3FD-4976-BDB0-8D33F2F673D1}"/>
    <cellStyle name="Comma 3 5 10 3" xfId="4658" xr:uid="{E67B273A-76F4-4480-82D6-44671013E423}"/>
    <cellStyle name="Comma 3 5 11" xfId="4659" xr:uid="{A219B112-4287-4CD6-A305-682BE76EE53C}"/>
    <cellStyle name="Comma 3 5 11 2" xfId="4660" xr:uid="{831F696E-221F-43B8-B9D2-E9FBBFE66861}"/>
    <cellStyle name="Comma 3 5 11 2 2" xfId="4661" xr:uid="{86BAA2EE-0D4C-44F9-8640-43731541E78E}"/>
    <cellStyle name="Comma 3 5 11 2 2 2" xfId="4662" xr:uid="{B660D0E7-3E06-431C-B7B7-DDA07D20167C}"/>
    <cellStyle name="Comma 3 5 11 2 3" xfId="4663" xr:uid="{A8478C47-3458-44B1-9F5F-CE004B3BF316}"/>
    <cellStyle name="Comma 3 5 11 2 4" xfId="4664" xr:uid="{E793AF57-0328-4554-9619-E859C614CC81}"/>
    <cellStyle name="Comma 3 5 11 3" xfId="4665" xr:uid="{61F71E46-B7E9-49EA-88C5-30D52BB68064}"/>
    <cellStyle name="Comma 3 5 11 3 2" xfId="4666" xr:uid="{EDB62DE7-2CA2-4436-BC0D-BC0BBF130936}"/>
    <cellStyle name="Comma 3 5 11 4" xfId="4667" xr:uid="{6D865245-0485-4194-8DE5-D94EBAD959E8}"/>
    <cellStyle name="Comma 3 5 11 5" xfId="4668" xr:uid="{3E650958-0B70-48C9-83F7-363871B63698}"/>
    <cellStyle name="Comma 3 5 12" xfId="4669" xr:uid="{64955505-4B26-4C0E-BB50-F58D6C8E7269}"/>
    <cellStyle name="Comma 3 5 12 2" xfId="4670" xr:uid="{EFB0BB15-3964-494A-871D-7E2002AE5873}"/>
    <cellStyle name="Comma 3 5 12 2 2" xfId="4671" xr:uid="{94B0856A-9B0C-4A9B-9914-E95A4C2382E2}"/>
    <cellStyle name="Comma 3 5 12 3" xfId="4672" xr:uid="{471F7E6B-ED74-4742-9C3F-F6236E4924D0}"/>
    <cellStyle name="Comma 3 5 13" xfId="4673" xr:uid="{FF1D8F8A-EA69-4ABA-9FF3-5BF78920D066}"/>
    <cellStyle name="Comma 3 5 13 2" xfId="4674" xr:uid="{3451A672-1BF5-4D9D-88CA-F680C53AEE52}"/>
    <cellStyle name="Comma 3 5 13 2 2" xfId="4675" xr:uid="{DB0519AC-71F9-4A79-B458-8BC535BDFE5A}"/>
    <cellStyle name="Comma 3 5 13 3" xfId="4676" xr:uid="{38C9C8E8-BA9A-47AC-AF84-F166A61EFDA9}"/>
    <cellStyle name="Comma 3 5 14" xfId="4677" xr:uid="{8776B476-716F-470F-9F42-6DACBFB6A800}"/>
    <cellStyle name="Comma 3 5 14 2" xfId="4678" xr:uid="{DA61489D-E6D6-4392-AB52-8B67EA8A1D99}"/>
    <cellStyle name="Comma 3 5 14 2 2" xfId="4679" xr:uid="{7BA124C2-A3C0-4979-B4AA-F3C9370C98D4}"/>
    <cellStyle name="Comma 3 5 14 3" xfId="4680" xr:uid="{F3D90862-31E6-4F83-B2EF-C34B4AB296FB}"/>
    <cellStyle name="Comma 3 5 15" xfId="4681" xr:uid="{E79952B2-F87B-4ABA-8670-9AE008BFD80A}"/>
    <cellStyle name="Comma 3 5 15 2" xfId="4682" xr:uid="{6C8B3174-8050-48A2-9BB2-5298BE49471B}"/>
    <cellStyle name="Comma 3 5 15 2 2" xfId="4683" xr:uid="{3DF18B41-AAB2-4ED7-9C67-E289DCE24FD8}"/>
    <cellStyle name="Comma 3 5 15 3" xfId="4684" xr:uid="{F5AE5BB3-0E15-4245-8A9D-EE1CF270C21A}"/>
    <cellStyle name="Comma 3 5 16" xfId="4685" xr:uid="{706D3790-0144-4208-8BD3-AC4A6B1ADA25}"/>
    <cellStyle name="Comma 3 5 16 2" xfId="4686" xr:uid="{59E285BB-EAEE-496C-9EAB-E0BBECA3EE4F}"/>
    <cellStyle name="Comma 3 5 16 2 2" xfId="4687" xr:uid="{006FF332-4228-4CD4-951E-F5BE795A09FF}"/>
    <cellStyle name="Comma 3 5 16 3" xfId="4688" xr:uid="{3EDC1B60-4202-40EE-8CC8-1B9DD21AEC11}"/>
    <cellStyle name="Comma 3 5 17" xfId="4689" xr:uid="{66B68831-8752-4622-8EBD-6CC2634FBC39}"/>
    <cellStyle name="Comma 3 5 17 2" xfId="4690" xr:uid="{00CC053F-F58F-4186-A738-DC4586B4CB93}"/>
    <cellStyle name="Comma 3 5 18" xfId="4691" xr:uid="{606757B7-0453-4589-AFD1-C1B54F6199B4}"/>
    <cellStyle name="Comma 3 5 19" xfId="4692" xr:uid="{BC3F4EB1-1B0E-4FDF-8D24-94CFCD7508FD}"/>
    <cellStyle name="Comma 3 5 2" xfId="4693" xr:uid="{BF4503C0-BAC3-4F8B-B659-520B7AE3F57B}"/>
    <cellStyle name="Comma 3 5 3" xfId="4694" xr:uid="{0AD05026-424C-448F-BF37-1249EB650D61}"/>
    <cellStyle name="Comma 3 5 4" xfId="4695" xr:uid="{6615709E-9226-4783-BA0E-87E1FEE93DF8}"/>
    <cellStyle name="Comma 3 5 5" xfId="4696" xr:uid="{D468550D-F65E-4B2A-8BE3-C89F2D719ADC}"/>
    <cellStyle name="Comma 3 5 6" xfId="4697" xr:uid="{2D22B34D-1A62-4137-9550-5E39F693FA75}"/>
    <cellStyle name="Comma 3 5 7" xfId="4698" xr:uid="{8F6B3BAC-9DEB-4257-984E-FCFAFA34DC69}"/>
    <cellStyle name="Comma 3 5 8" xfId="4699" xr:uid="{C36B1CE7-5B7E-49E1-BBB0-A9CA333520CD}"/>
    <cellStyle name="Comma 3 5 9" xfId="4700" xr:uid="{62567F83-1029-4CBC-A65A-91BEAD0EFC09}"/>
    <cellStyle name="Comma 3 6" xfId="4701" xr:uid="{A9E58240-73C9-421A-9EA6-D5DDDA187D3D}"/>
    <cellStyle name="Comma 3 6 2" xfId="4702" xr:uid="{91CFD6B1-6CB1-412D-865D-4BD82D6621A1}"/>
    <cellStyle name="Comma 3 7" xfId="4703" xr:uid="{7F4A52F8-9951-48AE-AC1E-98D40447CF4F}"/>
    <cellStyle name="Comma 3 8" xfId="4704" xr:uid="{F4DE84F1-FEC9-46F6-93E4-1AAC51229DC4}"/>
    <cellStyle name="Comma 3 9" xfId="4705" xr:uid="{B4562F46-5E70-4FD4-998D-C9B9EE8A46A4}"/>
    <cellStyle name="Comma 4" xfId="22" xr:uid="{38FC92BB-A5B1-42C7-9BB4-F466A2D607AB}"/>
    <cellStyle name="Comma 4 10" xfId="44716" xr:uid="{A5C1537D-AC1C-465C-8526-AE6E6466B735}"/>
    <cellStyle name="Comma 4 11" xfId="44784" xr:uid="{547EF6D4-2042-49AE-88F7-B69A7503E78F}"/>
    <cellStyle name="Comma 4 12" xfId="816" xr:uid="{5262A2B6-9E0E-4EE1-B67E-C487A7105B06}"/>
    <cellStyle name="Comma 4 2" xfId="66" xr:uid="{3874B7A0-7843-4D64-9A56-13F02643B722}"/>
    <cellStyle name="Comma 4 2 2" xfId="4706" xr:uid="{ECB4245D-7142-4285-B794-7187197A3609}"/>
    <cellStyle name="Comma 4 2 2 2" xfId="4707" xr:uid="{AE80763F-ADF9-4165-B6F4-A03951B59CAC}"/>
    <cellStyle name="Comma 4 2 2 2 2" xfId="44332" xr:uid="{38250A29-BAB7-4C7A-998E-C0EE237F7150}"/>
    <cellStyle name="Comma 4 2 2 3" xfId="44333" xr:uid="{C3324D6A-167F-451C-ADC4-1D2B240E82ED}"/>
    <cellStyle name="Comma 4 2 3" xfId="4708" xr:uid="{CAEEBFCA-4185-4A54-9169-5C99E0090D21}"/>
    <cellStyle name="Comma 4 2 3 2" xfId="44334" xr:uid="{019AB7D0-A4A6-47B1-9F3C-06060AFFF88C}"/>
    <cellStyle name="Comma 4 2 4" xfId="44335" xr:uid="{BA7D1187-EE16-4450-8773-A8DB58154C5A}"/>
    <cellStyle name="Comma 4 2 4 2" xfId="44336" xr:uid="{421E789D-DC64-445B-8FEF-172DC2CE9491}"/>
    <cellStyle name="Comma 4 2 5" xfId="44337" xr:uid="{343B2204-2682-4132-AFA2-1C18C069C2E8}"/>
    <cellStyle name="Comma 4 2 6" xfId="44801" xr:uid="{F6BB88BD-99D2-4B65-A5A8-A15483B80CD1}"/>
    <cellStyle name="Comma 4 3" xfId="4709" xr:uid="{A57BCC46-2969-43DC-8ECE-EBE3C16836E8}"/>
    <cellStyle name="Comma 4 3 2" xfId="4710" xr:uid="{4D74A0E7-D5AD-4EE3-A377-0AE596B595F9}"/>
    <cellStyle name="Comma 4 3 2 2" xfId="4711" xr:uid="{8F41DECA-87A2-4B92-BCFC-D8DB1A9DFEE9}"/>
    <cellStyle name="Comma 4 3 3" xfId="4712" xr:uid="{D9C5180F-CA65-4C5F-A645-503B423F015E}"/>
    <cellStyle name="Comma 4 3 3 2" xfId="44338" xr:uid="{8889892B-A42D-42E5-A770-1209BED2C3C9}"/>
    <cellStyle name="Comma 4 3 4" xfId="44339" xr:uid="{3D1FA128-538A-4B3A-9F7A-62E6C4F12EBA}"/>
    <cellStyle name="Comma 4 4" xfId="4713" xr:uid="{5F986EA4-6355-4C3E-9D35-438F85CA91C0}"/>
    <cellStyle name="Comma 4 4 2" xfId="4714" xr:uid="{DDBB58C0-4FAC-4F17-A00E-30BF3A96D024}"/>
    <cellStyle name="Comma 4 4 2 2" xfId="4715" xr:uid="{ED2CD0ED-047B-42E1-8D27-C9F3B56C1A0A}"/>
    <cellStyle name="Comma 4 4 3" xfId="4716" xr:uid="{38BE48C7-650F-4FE7-95B3-E6B4B466D689}"/>
    <cellStyle name="Comma 4 5" xfId="4717" xr:uid="{FFABA6A6-B9BA-4762-B51B-24CDE7D8E7E2}"/>
    <cellStyle name="Comma 4 5 2" xfId="4718" xr:uid="{42437640-6AA8-4530-8901-D7C31860847A}"/>
    <cellStyle name="Comma 4 6" xfId="4719" xr:uid="{EB170E0A-566B-4598-B0D5-AC8356311A25}"/>
    <cellStyle name="Comma 4 7" xfId="4720" xr:uid="{A2FAA5B4-9242-42D4-87C9-4D3473A12B19}"/>
    <cellStyle name="Comma 4 8" xfId="4721" xr:uid="{995BC072-05BE-42ED-A527-A09601215E48}"/>
    <cellStyle name="Comma 4 9" xfId="9707" xr:uid="{AE18E271-D596-4BC2-8C7B-C3B7B512321D}"/>
    <cellStyle name="Comma 5" xfId="817" xr:uid="{BD84E9E4-C93E-4244-AAC3-8773E9D53D7F}"/>
    <cellStyle name="Comma 5 10" xfId="44804" xr:uid="{935C3BB8-84CF-45DE-BB4A-EA7CA320DF0D}"/>
    <cellStyle name="Comma 5 2" xfId="4722" xr:uid="{0D0671FD-DEBF-4673-B190-CE045C4F179F}"/>
    <cellStyle name="Comma 5 2 2" xfId="4723" xr:uid="{6050F646-FFB2-48C0-8110-4C3DFD9966B0}"/>
    <cellStyle name="Comma 5 2 2 2" xfId="4724" xr:uid="{F11F5356-0796-4DB1-B658-41CFDF2BF6C0}"/>
    <cellStyle name="Comma 5 2 2 2 2" xfId="19555" xr:uid="{A13EC799-F33F-4162-A07F-BDF9D0F38DA9}"/>
    <cellStyle name="Comma 5 2 2 3" xfId="19556" xr:uid="{BB47C688-2B48-4D35-A1A9-CA9496072FA6}"/>
    <cellStyle name="Comma 5 2 3" xfId="4725" xr:uid="{B35F3A79-7013-4A16-9E4A-1CE4E6CE916E}"/>
    <cellStyle name="Comma 5 2 3 2" xfId="19557" xr:uid="{F3F52EAC-8913-4621-AF11-E226E1F5EF57}"/>
    <cellStyle name="Comma 5 2 4" xfId="4726" xr:uid="{874DECBF-96C1-4F8A-951C-41E848771A6B}"/>
    <cellStyle name="Comma 5 2 4 2" xfId="19558" xr:uid="{E83B0474-0617-4504-BF54-F5AAC472E714}"/>
    <cellStyle name="Comma 5 2 5" xfId="19559" xr:uid="{D087963B-5BB6-49C0-A723-28AC4E659DB6}"/>
    <cellStyle name="Comma 5 2 6" xfId="44811" xr:uid="{862FCC7F-811F-40AD-BD22-BD7950BDC90D}"/>
    <cellStyle name="Comma 5 3" xfId="4727" xr:uid="{76A24943-5E2C-4729-A32D-57F5F692ABCE}"/>
    <cellStyle name="Comma 5 3 2" xfId="4728" xr:uid="{EFF5532C-B3E6-4579-9000-37533FBD0938}"/>
    <cellStyle name="Comma 5 3 2 2" xfId="4729" xr:uid="{0FAD9BD4-129F-4516-A7B3-7DED0C5E7DC7}"/>
    <cellStyle name="Comma 5 3 2 2 2" xfId="19560" xr:uid="{EB7E0210-FA3E-42DF-89F1-A4A0FA1D9182}"/>
    <cellStyle name="Comma 5 3 2 3" xfId="19561" xr:uid="{0832395C-36DE-4329-BD7C-1908D9E4B400}"/>
    <cellStyle name="Comma 5 3 3" xfId="4730" xr:uid="{2AD0591F-B0CB-4B35-B469-9F9524A40465}"/>
    <cellStyle name="Comma 5 3 3 2" xfId="19562" xr:uid="{EF2FDE47-0AED-42CD-A1D5-C2C4662018E9}"/>
    <cellStyle name="Comma 5 3 4" xfId="4731" xr:uid="{23661A40-FB9C-423C-A94B-51A59CD58778}"/>
    <cellStyle name="Comma 5 3 4 2" xfId="19563" xr:uid="{31D90D8B-C347-4269-A2C7-7825BCD032C6}"/>
    <cellStyle name="Comma 5 3 5" xfId="19564" xr:uid="{03CB30ED-B28B-4309-BED5-1BB6DBF99678}"/>
    <cellStyle name="Comma 5 4" xfId="4732" xr:uid="{2D0E654D-4D55-41A5-B51A-D03654BC6824}"/>
    <cellStyle name="Comma 5 4 2" xfId="4733" xr:uid="{06EEA105-18C4-4649-A1C4-66377C91CB24}"/>
    <cellStyle name="Comma 5 4 2 2" xfId="19565" xr:uid="{CE42BCEB-F548-4010-9B3F-CCBBB0360A17}"/>
    <cellStyle name="Comma 5 4 3" xfId="4734" xr:uid="{483578D7-BC45-4167-A958-4798B68CFE20}"/>
    <cellStyle name="Comma 5 4 3 2" xfId="19566" xr:uid="{0A5E95BD-CDF7-434B-922B-2DA9A7342046}"/>
    <cellStyle name="Comma 5 4 4" xfId="19567" xr:uid="{3D99D3CD-1E19-4B44-8B09-7C7E2F607BD2}"/>
    <cellStyle name="Comma 5 5" xfId="4735" xr:uid="{1F6CCC89-83BE-411E-B5BE-6545381469EA}"/>
    <cellStyle name="Comma 5 5 2" xfId="4736" xr:uid="{27CE4616-27D6-4E89-B7A7-84204183E667}"/>
    <cellStyle name="Comma 5 5 2 2" xfId="19568" xr:uid="{0228F1AB-BC7E-462A-B3BE-2A38D3E77FE0}"/>
    <cellStyle name="Comma 5 5 3" xfId="4737" xr:uid="{7E4B4CAA-6187-43D4-9FAC-A140A8BA2E02}"/>
    <cellStyle name="Comma 5 5 4" xfId="19569" xr:uid="{A9B04834-5290-40F7-B390-2D3C96C6AD16}"/>
    <cellStyle name="Comma 5 6" xfId="4738" xr:uid="{ACBB9118-8697-4245-BFCF-4247E0FF564A}"/>
    <cellStyle name="Comma 5 6 2" xfId="19570" xr:uid="{E9311C1B-D016-4059-9D94-70655FD23092}"/>
    <cellStyle name="Comma 5 7" xfId="4739" xr:uid="{BD882247-9B0E-40CF-9769-82FAE54D8B65}"/>
    <cellStyle name="Comma 5 8" xfId="4740" xr:uid="{0E72F98C-FC95-41E8-91E7-6BFF5EC3D2E7}"/>
    <cellStyle name="Comma 5 8 2" xfId="19571" xr:uid="{72BEDA16-EB80-4677-9C9E-E49291E9836E}"/>
    <cellStyle name="Comma 5 9" xfId="44717" xr:uid="{86EBFE86-C337-43FA-8470-38B368D415F0}"/>
    <cellStyle name="Comma 6" xfId="818" xr:uid="{16073A39-6A63-473B-BBF0-0F5ED977656F}"/>
    <cellStyle name="Comma 6 2" xfId="819" xr:uid="{592C1FF4-01A1-4F43-B020-8785C55D68A8}"/>
    <cellStyle name="Comma 6 2 2" xfId="44340" xr:uid="{73D58931-62DD-487A-BEB5-93DC76BB245C}"/>
    <cellStyle name="Comma 6 2 2 2" xfId="44341" xr:uid="{DE209BDA-FB3C-41C7-B6DA-8425F540A67F}"/>
    <cellStyle name="Comma 6 2 2 2 2" xfId="44342" xr:uid="{178A60E3-8902-4166-9E78-618873264004}"/>
    <cellStyle name="Comma 6 2 2 3" xfId="44343" xr:uid="{643D2AE8-44F0-4581-90F3-6E79856DA16C}"/>
    <cellStyle name="Comma 6 2 3" xfId="44344" xr:uid="{DC2F172F-D0A8-4D24-8819-13D1F47C068E}"/>
    <cellStyle name="Comma 6 2 3 2" xfId="44345" xr:uid="{9FA28D6F-4002-433F-A2D9-A72F2F7F7607}"/>
    <cellStyle name="Comma 6 2 4" xfId="44346" xr:uid="{37376109-D07F-4B04-A7BF-294715D46684}"/>
    <cellStyle name="Comma 6 3" xfId="4741" xr:uid="{474EC09B-67C6-4C87-9830-A4B97ADEB2DC}"/>
    <cellStyle name="Comma 6 3 2" xfId="44347" xr:uid="{8ADC45BF-5EB9-4653-B3DB-CC5DF2094F44}"/>
    <cellStyle name="Comma 6 3 2 2" xfId="44348" xr:uid="{B26789C8-3CBF-4C35-91D7-B1C14E0BD71B}"/>
    <cellStyle name="Comma 6 3 3" xfId="44349" xr:uid="{C06CC88C-F289-4F5F-BB04-3153DD2CFC46}"/>
    <cellStyle name="Comma 6 4" xfId="9708" xr:uid="{CFF4786B-9B93-40A4-9A07-6640CD92DCC5}"/>
    <cellStyle name="Comma 6 4 2" xfId="44350" xr:uid="{C4B80B26-F451-416B-A424-2D940187A645}"/>
    <cellStyle name="Comma 6 5" xfId="44351" xr:uid="{B698AE04-1ED7-40DD-9131-04ED96A7CD58}"/>
    <cellStyle name="Comma 6 6" xfId="44352" xr:uid="{4BA5244C-E86D-4B3A-BD67-464A0E1BAC33}"/>
    <cellStyle name="Comma 7" xfId="63" xr:uid="{8E02EA34-0923-4E18-9700-DE20FC7800E0}"/>
    <cellStyle name="Comma 7 2" xfId="820" xr:uid="{EC723812-9CB1-429E-BE81-BA8C97AF35B0}"/>
    <cellStyle name="Comma 7 3" xfId="9709" xr:uid="{2B3C6F3D-C650-4BB7-A449-14B74620DE70}"/>
    <cellStyle name="Comma 7 4" xfId="44718" xr:uid="{E2746552-8B68-49C4-880D-5EF84328A1AE}"/>
    <cellStyle name="Comma 8" xfId="821" xr:uid="{4E468DFA-BA2A-4EBC-A835-04F64A17036C}"/>
    <cellStyle name="Comma 9" xfId="822" xr:uid="{CA819C6A-8969-4AA2-BF08-776F2D1A86D5}"/>
    <cellStyle name="Comma0" xfId="41" xr:uid="{A334FE4C-8C91-40D3-A116-87044C4CF962}"/>
    <cellStyle name="Corrected" xfId="44819" xr:uid="{6D0230A9-B1E6-4DD5-8ADA-C37E682E44E9}"/>
    <cellStyle name="Currency" xfId="44821" builtinId="4"/>
    <cellStyle name="Currency [0] 2" xfId="44773" xr:uid="{E107C687-C6AE-4A19-9C17-590D6F7E8795}"/>
    <cellStyle name="Currency 10" xfId="32" xr:uid="{2CCBE418-8003-4F6F-8D94-51BACA32408F}"/>
    <cellStyle name="Currency 10 10" xfId="4742" xr:uid="{7C90BDA3-CD36-41EE-A634-63D3B3C0DBA2}"/>
    <cellStyle name="Currency 10 10 2" xfId="4743" xr:uid="{61B5850B-92C4-4E6E-91E3-4BCDA9051C2C}"/>
    <cellStyle name="Currency 10 10 2 2" xfId="4744" xr:uid="{595C8B61-95BB-41CD-B71D-1A5D94261B65}"/>
    <cellStyle name="Currency 10 10 2 2 2" xfId="4745" xr:uid="{1332873A-6D17-469F-8AC6-9928505FD775}"/>
    <cellStyle name="Currency 10 10 2 2 2 2" xfId="4746" xr:uid="{C25FCA36-9500-4FFC-98F3-956A4E523443}"/>
    <cellStyle name="Currency 10 10 2 2 3" xfId="4747" xr:uid="{6CF99A4F-0DD3-4F4E-A8ED-20F25FE6C5D8}"/>
    <cellStyle name="Currency 10 10 2 2 4" xfId="4748" xr:uid="{47BF2357-BC4D-400D-95C8-43B9DF225E5C}"/>
    <cellStyle name="Currency 10 10 2 3" xfId="4749" xr:uid="{3DCE08DA-6DBF-4BEC-9242-946106017B55}"/>
    <cellStyle name="Currency 10 10 2 3 2" xfId="4750" xr:uid="{A9C5B843-451C-4E6B-A145-32DB5F7A06A3}"/>
    <cellStyle name="Currency 10 10 2 4" xfId="4751" xr:uid="{42B8B466-97E1-4A72-B7AA-5FED9F96062E}"/>
    <cellStyle name="Currency 10 10 2 5" xfId="4752" xr:uid="{93FF3A22-13C1-4195-99B1-76D50F2667A7}"/>
    <cellStyle name="Currency 10 10 3" xfId="4753" xr:uid="{33FDA52B-72F7-47C5-95F8-2C693964C606}"/>
    <cellStyle name="Currency 10 11" xfId="4754" xr:uid="{2D0D6A6E-D34A-4D22-8E66-BDC0DD91D5EA}"/>
    <cellStyle name="Currency 10 11 2" xfId="4755" xr:uid="{73CCBFAD-F334-419D-9B10-0678DF406CDA}"/>
    <cellStyle name="Currency 10 11 2 2" xfId="4756" xr:uid="{5465A881-E2B7-431A-ABFC-CD2C116A34C0}"/>
    <cellStyle name="Currency 10 11 2 2 2" xfId="4757" xr:uid="{D54DA319-213A-4187-9B15-F6226BAE9541}"/>
    <cellStyle name="Currency 10 11 2 3" xfId="4758" xr:uid="{5F26B2E4-7A32-401C-AB33-69F8AE7F11E3}"/>
    <cellStyle name="Currency 10 11 2 4" xfId="4759" xr:uid="{543C9313-12F9-4658-AF2F-A3B7A9837763}"/>
    <cellStyle name="Currency 10 11 3" xfId="4760" xr:uid="{81F58079-197D-4549-AF31-35209D5EA42F}"/>
    <cellStyle name="Currency 10 11 3 2" xfId="4761" xr:uid="{ADBD13DD-5C89-4986-BA29-9583FD696896}"/>
    <cellStyle name="Currency 10 11 4" xfId="4762" xr:uid="{AAFE9C90-D5BF-4508-9689-446947A8AC34}"/>
    <cellStyle name="Currency 10 11 5" xfId="4763" xr:uid="{4371085D-E80D-4DB2-833B-EFFA86846A8F}"/>
    <cellStyle name="Currency 10 12" xfId="4764" xr:uid="{7B013991-801C-4458-A9FF-4027EAAF0F02}"/>
    <cellStyle name="Currency 10 12 2" xfId="4765" xr:uid="{9F250277-2B9F-406E-BEED-CEB588DEBCB7}"/>
    <cellStyle name="Currency 10 12 2 2" xfId="4766" xr:uid="{C410D115-2EAE-4C88-BF85-166A81365F3B}"/>
    <cellStyle name="Currency 10 12 3" xfId="4767" xr:uid="{0AB5FDE2-A1F8-435E-972C-019DB4466F5B}"/>
    <cellStyle name="Currency 10 13" xfId="4768" xr:uid="{C4F0BE2D-C0FC-44FD-80A5-790D545D7B43}"/>
    <cellStyle name="Currency 10 13 2" xfId="4769" xr:uid="{1116359C-B603-4230-9A4B-B1C196A0AFD1}"/>
    <cellStyle name="Currency 10 13 2 2" xfId="4770" xr:uid="{937102E7-60F1-43C6-8E1A-C04B3B5ED93F}"/>
    <cellStyle name="Currency 10 13 3" xfId="4771" xr:uid="{F6B2A706-7F31-4C95-8217-1330276A464A}"/>
    <cellStyle name="Currency 10 14" xfId="4772" xr:uid="{A21F3295-6643-4DC7-824E-481B1C78E8C8}"/>
    <cellStyle name="Currency 10 14 2" xfId="4773" xr:uid="{2B88104D-4152-4964-A64E-2BE2444E8CE7}"/>
    <cellStyle name="Currency 10 14 2 2" xfId="4774" xr:uid="{6B61F60D-BFF6-40DF-A421-BA46D839930B}"/>
    <cellStyle name="Currency 10 14 3" xfId="4775" xr:uid="{13033BD0-713D-4E37-8A89-DFD1F2F8EC98}"/>
    <cellStyle name="Currency 10 15" xfId="4776" xr:uid="{42934CAD-C8F9-4E9E-BBC5-3BA06C25E6E1}"/>
    <cellStyle name="Currency 10 15 2" xfId="4777" xr:uid="{1485A2BA-C80F-4FC2-9C82-958DFE4F0763}"/>
    <cellStyle name="Currency 10 15 2 2" xfId="4778" xr:uid="{B59EEB5D-17AC-4600-8877-6FD8EB1993B8}"/>
    <cellStyle name="Currency 10 15 3" xfId="4779" xr:uid="{8A4CE5B2-946B-49BD-AD7F-CDB302C7E4B3}"/>
    <cellStyle name="Currency 10 16" xfId="4780" xr:uid="{D1574F88-BE60-42DC-B391-8863359D0273}"/>
    <cellStyle name="Currency 10 16 2" xfId="4781" xr:uid="{6A7FADDA-DBE5-4C90-88AC-328C61A3FB90}"/>
    <cellStyle name="Currency 10 16 2 2" xfId="4782" xr:uid="{17E885CE-683F-4391-B2CB-BE34DE3F9BA5}"/>
    <cellStyle name="Currency 10 16 3" xfId="4783" xr:uid="{091ADD30-28C7-4EAD-BDE5-719F31D129EB}"/>
    <cellStyle name="Currency 10 17" xfId="4784" xr:uid="{1A16BB7E-DDF3-46F8-B2E2-067026DB9BF8}"/>
    <cellStyle name="Currency 10 17 2" xfId="4785" xr:uid="{0736616A-87A0-4429-A407-C12FA1C3E811}"/>
    <cellStyle name="Currency 10 17 2 2" xfId="4786" xr:uid="{A2BDB57D-47F4-4E74-8C8C-BBCF9372592B}"/>
    <cellStyle name="Currency 10 17 3" xfId="4787" xr:uid="{EB28619A-810B-4DD6-9038-F7CA0F9D0211}"/>
    <cellStyle name="Currency 10 18" xfId="4788" xr:uid="{0AE28C69-9498-43EE-9877-DCD24D1F520F}"/>
    <cellStyle name="Currency 10 18 2" xfId="4789" xr:uid="{9122B9CA-13C6-4F62-ACA1-5F03464E03A5}"/>
    <cellStyle name="Currency 10 19" xfId="4790" xr:uid="{928490F4-0C3D-4D53-8DB9-B97C9710BB25}"/>
    <cellStyle name="Currency 10 2" xfId="4791" xr:uid="{E9D3C0D1-BF29-4A50-92F2-E2D2F6D0A26F}"/>
    <cellStyle name="Currency 10 20" xfId="4792" xr:uid="{72D72ABA-D141-4F21-8159-9EF0AFCE5CF1}"/>
    <cellStyle name="Currency 10 3" xfId="4793" xr:uid="{5D6EDAFB-94E3-499A-9315-AB1828ED9E55}"/>
    <cellStyle name="Currency 10 4" xfId="4794" xr:uid="{9DA20BFE-39C2-4D42-9DE3-86C1D16A35B6}"/>
    <cellStyle name="Currency 10 5" xfId="4795" xr:uid="{6C4B7F8B-6187-4A4A-A230-4D459861EA28}"/>
    <cellStyle name="Currency 10 6" xfId="4796" xr:uid="{3A426E17-127E-4370-ADC4-84455364A67C}"/>
    <cellStyle name="Currency 10 7" xfId="4797" xr:uid="{1997D91B-1077-47C7-BD6F-DCFA21D4C550}"/>
    <cellStyle name="Currency 10 8" xfId="4798" xr:uid="{15EB30B4-00D7-4A14-A750-120E9121B783}"/>
    <cellStyle name="Currency 10 9" xfId="4799" xr:uid="{8288E02C-EAB5-426A-821D-EBD12758027A}"/>
    <cellStyle name="Currency 11" xfId="4800" xr:uid="{5775F1A3-8541-4C27-A8F9-C38CB575F5BF}"/>
    <cellStyle name="Currency 11 10" xfId="4801" xr:uid="{47DB6D8D-3235-4E93-8686-9CBFE2019177}"/>
    <cellStyle name="Currency 11 10 2" xfId="4802" xr:uid="{03B6545C-DDCC-4968-93EB-3234F39F21F6}"/>
    <cellStyle name="Currency 11 10 2 2" xfId="19572" xr:uid="{BF7AB7C4-302D-4828-9EBC-F219C60EAAE6}"/>
    <cellStyle name="Currency 11 10 3" xfId="19573" xr:uid="{125EB717-DFEC-4757-8081-9245A4A175F8}"/>
    <cellStyle name="Currency 11 11" xfId="4803" xr:uid="{5CFA186A-CB1E-4C4D-86C7-3F18E2FAD531}"/>
    <cellStyle name="Currency 11 11 2" xfId="4804" xr:uid="{535661C8-80AF-46FB-99DA-D5251C34D42F}"/>
    <cellStyle name="Currency 11 11 2 2" xfId="19574" xr:uid="{B374E0AF-E361-4E61-AE27-9ECCE30FE2B7}"/>
    <cellStyle name="Currency 11 11 3" xfId="19575" xr:uid="{65B771DF-D8C6-46D6-9A59-2C1A44CB9DD9}"/>
    <cellStyle name="Currency 11 12" xfId="4805" xr:uid="{78A7F1F9-CD0E-43EB-A200-0F0DB36C5268}"/>
    <cellStyle name="Currency 11 12 2" xfId="19576" xr:uid="{8900ED30-0550-4B6A-AD3C-763B72B94518}"/>
    <cellStyle name="Currency 11 13" xfId="4806" xr:uid="{9D614FA5-6FF0-49E4-9005-77CFB5397DC5}"/>
    <cellStyle name="Currency 11 13 2" xfId="19577" xr:uid="{C1DF53A2-9607-4F8A-A127-370D2E812EC8}"/>
    <cellStyle name="Currency 11 14" xfId="4807" xr:uid="{28EE86F1-47B9-4657-AEEA-CF71A406CF98}"/>
    <cellStyle name="Currency 11 14 2" xfId="19578" xr:uid="{0BD8C1A5-9FB5-4CC2-9999-D8967A344FB7}"/>
    <cellStyle name="Currency 11 2" xfId="4808" xr:uid="{7C70DFFE-9D31-4C58-8488-022A64E462E4}"/>
    <cellStyle name="Currency 11 2 2" xfId="4809" xr:uid="{5ADB1D33-5F72-4B78-865A-77FB56504D63}"/>
    <cellStyle name="Currency 11 2 2 2" xfId="4810" xr:uid="{737F5636-4640-4753-8044-559062E7CF51}"/>
    <cellStyle name="Currency 11 2 2 2 2" xfId="4811" xr:uid="{209BE294-8A0C-4673-B6D5-11CA0D742B0D}"/>
    <cellStyle name="Currency 11 2 2 2 2 2" xfId="4812" xr:uid="{226A7671-57E7-423F-A6A5-6CCBE1168E44}"/>
    <cellStyle name="Currency 11 2 2 2 2 2 2" xfId="19579" xr:uid="{A657FC08-B0A3-4763-84F7-2B2EADCC6C24}"/>
    <cellStyle name="Currency 11 2 2 2 2 3" xfId="19580" xr:uid="{824E3988-6A90-483E-9C70-B9C7126F27AA}"/>
    <cellStyle name="Currency 11 2 2 2 3" xfId="4813" xr:uid="{8852B8A6-8D2D-4CF5-BF25-D0EC33F6D0E6}"/>
    <cellStyle name="Currency 11 2 2 2 3 2" xfId="19581" xr:uid="{39817B93-A31D-4ACF-9E71-F4108745F406}"/>
    <cellStyle name="Currency 11 2 2 2 4" xfId="4814" xr:uid="{DB2CD1A7-DF58-45CA-9741-E9A66AD2BD8E}"/>
    <cellStyle name="Currency 11 2 2 2 4 2" xfId="19582" xr:uid="{E2BE2945-F6B7-4E41-83A4-935F42D5A27B}"/>
    <cellStyle name="Currency 11 2 2 2 5" xfId="19583" xr:uid="{2EBA6699-331E-4E32-A485-0608700DAA09}"/>
    <cellStyle name="Currency 11 2 2 3" xfId="4815" xr:uid="{FF8A3B2F-02A7-42F5-B958-6D7256770294}"/>
    <cellStyle name="Currency 11 2 2 3 2" xfId="4816" xr:uid="{B6EF9569-34C9-4E74-884D-E668324B6433}"/>
    <cellStyle name="Currency 11 2 2 3 2 2" xfId="4817" xr:uid="{5EA83BF7-E025-4928-A22E-DE11017C893F}"/>
    <cellStyle name="Currency 11 2 2 3 2 2 2" xfId="19584" xr:uid="{DAF654CE-8DC7-45C6-B9EE-A3035358CC06}"/>
    <cellStyle name="Currency 11 2 2 3 2 3" xfId="19585" xr:uid="{1D7AAB69-8AEF-430C-A88F-B49EF9AA43B0}"/>
    <cellStyle name="Currency 11 2 2 3 3" xfId="4818" xr:uid="{781E318B-0815-4447-B9F9-35F9968F4DC4}"/>
    <cellStyle name="Currency 11 2 2 3 3 2" xfId="19586" xr:uid="{BABC90DE-8C0B-4618-9DF1-A625D7529495}"/>
    <cellStyle name="Currency 11 2 2 3 4" xfId="4819" xr:uid="{A0D02C4A-93BD-4BAF-9A8B-3C97B5272200}"/>
    <cellStyle name="Currency 11 2 2 3 4 2" xfId="19587" xr:uid="{29666084-FA2C-4161-AA45-5C7DD222FDEA}"/>
    <cellStyle name="Currency 11 2 2 3 5" xfId="19588" xr:uid="{C71EFECD-4E9C-4747-8A60-4EB03AD7A8D3}"/>
    <cellStyle name="Currency 11 2 2 4" xfId="4820" xr:uid="{0D7044ED-AC92-46B3-AD74-7E2755A6E959}"/>
    <cellStyle name="Currency 11 2 2 4 2" xfId="4821" xr:uid="{73F7013E-FA64-4D33-9728-847E73906846}"/>
    <cellStyle name="Currency 11 2 2 4 2 2" xfId="19589" xr:uid="{924F4097-3279-4C38-81C4-E3206A7B4C46}"/>
    <cellStyle name="Currency 11 2 2 4 3" xfId="19590" xr:uid="{B1BF148F-9793-43FC-8CE8-BE8AD571BF71}"/>
    <cellStyle name="Currency 11 2 2 5" xfId="4822" xr:uid="{BB0BA882-1B88-4E60-B792-AE5AB9F20DD2}"/>
    <cellStyle name="Currency 11 2 2 5 2" xfId="4823" xr:uid="{F8CBA159-BDEF-4E9C-A319-D06C7593E5ED}"/>
    <cellStyle name="Currency 11 2 2 5 2 2" xfId="19591" xr:uid="{D7BC61BF-E24D-4850-A767-2BC444BF4D9E}"/>
    <cellStyle name="Currency 11 2 2 5 3" xfId="19592" xr:uid="{7ED4F2DB-08AB-417A-AE37-628C1F976C72}"/>
    <cellStyle name="Currency 11 2 2 6" xfId="4824" xr:uid="{8B8CF071-5D4B-4B23-85A9-80ECD52B2593}"/>
    <cellStyle name="Currency 11 2 2 6 2" xfId="19593" xr:uid="{6CA8509A-E6DF-49CE-B9D6-AA42D52DFA86}"/>
    <cellStyle name="Currency 11 2 2 7" xfId="4825" xr:uid="{241C9D78-8001-4C14-8EA8-B2FADF907000}"/>
    <cellStyle name="Currency 11 2 2 7 2" xfId="19594" xr:uid="{5F605883-9DFB-4416-9933-499ABDD6E7EB}"/>
    <cellStyle name="Currency 11 2 2 8" xfId="19595" xr:uid="{0809CC13-3F56-4C37-9E4D-38B45BB382C2}"/>
    <cellStyle name="Currency 11 2 3" xfId="4826" xr:uid="{A9908E47-16FB-4B24-B3B5-455263EE5DB2}"/>
    <cellStyle name="Currency 11 2 4" xfId="4827" xr:uid="{415046BF-8937-4ADD-93E4-849653AE8747}"/>
    <cellStyle name="Currency 11 2 5" xfId="4828" xr:uid="{6F249B7C-E730-4376-A7D8-7BB4D6636C91}"/>
    <cellStyle name="Currency 11 2 5 2" xfId="4829" xr:uid="{2663F7F9-1AB6-4070-B191-0CB61FACA71C}"/>
    <cellStyle name="Currency 11 2 6" xfId="4830" xr:uid="{A24D86AD-AD4C-47C6-98E6-BA9967AA134D}"/>
    <cellStyle name="Currency 11 2 7" xfId="4831" xr:uid="{20755747-A50A-4CA3-A5B2-D8EADD855149}"/>
    <cellStyle name="Currency 11 3" xfId="4832" xr:uid="{1AD2353A-FC69-47DA-B31D-9959444F6225}"/>
    <cellStyle name="Currency 11 3 2" xfId="4833" xr:uid="{B2BA528B-6E43-489B-8903-881FE21AA251}"/>
    <cellStyle name="Currency 11 3 3" xfId="4834" xr:uid="{CE03D7BE-F385-446F-802E-F9F147CC32C1}"/>
    <cellStyle name="Currency 11 3 3 2" xfId="4835" xr:uid="{A830C4A7-04BC-412B-84EB-D0F4BEE55115}"/>
    <cellStyle name="Currency 11 3 3 2 2" xfId="4836" xr:uid="{D036FC00-E532-47FC-BFE8-E2E0DA49B976}"/>
    <cellStyle name="Currency 11 3 3 2 2 2" xfId="19596" xr:uid="{708B319A-48D9-45F3-98A0-3DBCC9ED24BE}"/>
    <cellStyle name="Currency 11 3 3 2 3" xfId="19597" xr:uid="{DC9D4907-91E9-4A05-B6CB-89C842BDCE68}"/>
    <cellStyle name="Currency 11 3 3 3" xfId="4837" xr:uid="{8112E5B6-01D7-49C8-9A49-4DA402FCF03F}"/>
    <cellStyle name="Currency 11 3 3 3 2" xfId="19598" xr:uid="{6B8F0BD3-AFFD-44ED-8B46-0B44CBC40DBC}"/>
    <cellStyle name="Currency 11 3 3 4" xfId="4838" xr:uid="{83FFF87E-3A6A-43BC-9B83-CE45EC1011A5}"/>
    <cellStyle name="Currency 11 3 3 4 2" xfId="19599" xr:uid="{711F499C-A118-4D95-8570-0F8DC6E43BAD}"/>
    <cellStyle name="Currency 11 3 3 5" xfId="19600" xr:uid="{FE262D0E-E781-42A9-99A6-1451733B285F}"/>
    <cellStyle name="Currency 11 3 4" xfId="4839" xr:uid="{5066D7C5-A92B-40AE-9831-C1EDB4BACFEB}"/>
    <cellStyle name="Currency 11 3 4 2" xfId="4840" xr:uid="{4C6B5189-CA81-43EF-9106-8D8BE3668278}"/>
    <cellStyle name="Currency 11 3 4 2 2" xfId="4841" xr:uid="{9BD3EB78-0ABF-47E4-89DD-7A9704421257}"/>
    <cellStyle name="Currency 11 3 4 2 2 2" xfId="19601" xr:uid="{C76E0CF0-1CCE-4D17-BED8-B0EB0A099DC1}"/>
    <cellStyle name="Currency 11 3 4 2 3" xfId="19602" xr:uid="{C36C95D2-C032-48BE-9428-3B9C6D20F7FA}"/>
    <cellStyle name="Currency 11 3 4 3" xfId="4842" xr:uid="{42F7EEC9-6462-47AD-9428-F6F95F4EF0D6}"/>
    <cellStyle name="Currency 11 3 4 3 2" xfId="19603" xr:uid="{138F6FB3-1C08-49F3-84F9-D4EB3434ECEE}"/>
    <cellStyle name="Currency 11 3 4 4" xfId="4843" xr:uid="{86B06C62-5AC2-4F8A-8778-603A456060A5}"/>
    <cellStyle name="Currency 11 3 4 4 2" xfId="19604" xr:uid="{1351286D-D9D3-459F-9648-D293F0499481}"/>
    <cellStyle name="Currency 11 3 4 5" xfId="19605" xr:uid="{5BC6B909-D661-41FA-B669-93280820C13E}"/>
    <cellStyle name="Currency 11 3 5" xfId="4844" xr:uid="{96ED68DC-3695-4BDC-8030-91712B922868}"/>
    <cellStyle name="Currency 11 3 5 2" xfId="4845" xr:uid="{894082C8-836D-429B-8157-2DE049AE8DFD}"/>
    <cellStyle name="Currency 11 3 5 2 2" xfId="19606" xr:uid="{DD107399-F4E4-4F31-AAC4-9B9569C3B1EC}"/>
    <cellStyle name="Currency 11 3 5 3" xfId="19607" xr:uid="{6C24471B-8CC2-42EC-9AAD-9823C22E1F2F}"/>
    <cellStyle name="Currency 11 3 6" xfId="4846" xr:uid="{D9B0A37F-6637-4F1A-B0BB-5ED03D322B99}"/>
    <cellStyle name="Currency 11 3 6 2" xfId="4847" xr:uid="{07125F3C-274B-40C1-8DBE-3B19C9C973D8}"/>
    <cellStyle name="Currency 11 3 6 2 2" xfId="19608" xr:uid="{0134451B-3A48-4E7D-A77A-ADB0F86B0E46}"/>
    <cellStyle name="Currency 11 3 6 3" xfId="19609" xr:uid="{23C8ABA2-B9B8-472D-8857-5D5B6525B53A}"/>
    <cellStyle name="Currency 11 3 7" xfId="4848" xr:uid="{2C148FDB-EDC8-4B9E-B469-3F9B602AA76F}"/>
    <cellStyle name="Currency 11 3 7 2" xfId="19610" xr:uid="{55BC8B12-9B24-413F-BD23-E79FE1DB0C13}"/>
    <cellStyle name="Currency 11 3 8" xfId="4849" xr:uid="{6E484047-566E-4766-BA68-2035BABCDC1F}"/>
    <cellStyle name="Currency 11 3 8 2" xfId="19611" xr:uid="{E952CBA6-7A6A-4FC0-BDE6-1E9C1B70F97A}"/>
    <cellStyle name="Currency 11 3 9" xfId="19612" xr:uid="{7DEAAD1A-AC32-489B-BC6C-634332F45978}"/>
    <cellStyle name="Currency 11 4" xfId="4850" xr:uid="{B839401B-C4A5-4720-8F51-46DADF2D3A0A}"/>
    <cellStyle name="Currency 11 4 2" xfId="4851" xr:uid="{2694A4E1-AE6A-4985-B6E4-DCB51A2842DD}"/>
    <cellStyle name="Currency 11 4 3" xfId="4852" xr:uid="{317FE885-3741-4F17-AD22-4ECC63B58665}"/>
    <cellStyle name="Currency 11 4 3 2" xfId="4853" xr:uid="{16426478-4AF2-4524-94D1-C770329F0A18}"/>
    <cellStyle name="Currency 11 4 3 2 2" xfId="4854" xr:uid="{EA6D51EB-47BF-4E3F-8739-4C9CB352B37A}"/>
    <cellStyle name="Currency 11 4 3 2 2 2" xfId="19613" xr:uid="{09AE7330-00C7-44B7-9DC9-1C2DCB1F65FA}"/>
    <cellStyle name="Currency 11 4 3 2 3" xfId="19614" xr:uid="{755278BE-D24C-49AD-A429-8BBB523DBAB4}"/>
    <cellStyle name="Currency 11 4 3 3" xfId="4855" xr:uid="{12D18BBD-BE9A-44B0-8DB2-6FF791504A7B}"/>
    <cellStyle name="Currency 11 4 3 3 2" xfId="19615" xr:uid="{83232028-2F4A-4681-AE8D-8DD92620C029}"/>
    <cellStyle name="Currency 11 4 3 4" xfId="4856" xr:uid="{03475D0C-0A82-440A-9C2F-AE7C137E6F11}"/>
    <cellStyle name="Currency 11 4 3 4 2" xfId="19616" xr:uid="{5B8A1617-A504-4793-B3D9-2E82FD9AD1DE}"/>
    <cellStyle name="Currency 11 4 3 5" xfId="19617" xr:uid="{9714E92B-910C-4465-B12C-BC37DEDFB9F5}"/>
    <cellStyle name="Currency 11 4 4" xfId="4857" xr:uid="{E00BBC05-9FAE-4B41-A593-09CBF3F90206}"/>
    <cellStyle name="Currency 11 4 4 2" xfId="4858" xr:uid="{C7D7D762-8C6C-4ACF-9EED-258136E40211}"/>
    <cellStyle name="Currency 11 4 4 2 2" xfId="4859" xr:uid="{C100AC39-5FB1-4883-B74D-ED3F60CD6978}"/>
    <cellStyle name="Currency 11 4 4 2 2 2" xfId="19618" xr:uid="{32634841-29C6-4911-AD95-BA6484080D38}"/>
    <cellStyle name="Currency 11 4 4 2 3" xfId="19619" xr:uid="{51D4F3F1-5F62-4220-B4C4-4D9896B96305}"/>
    <cellStyle name="Currency 11 4 4 3" xfId="4860" xr:uid="{F1F5FBE9-D137-4319-A5AE-D20B53BD00E8}"/>
    <cellStyle name="Currency 11 4 4 3 2" xfId="19620" xr:uid="{2BE405B2-B6D8-420B-B885-DE302AAE2139}"/>
    <cellStyle name="Currency 11 4 4 4" xfId="4861" xr:uid="{FA94BECC-496E-4D63-8B39-6D4DC41634D7}"/>
    <cellStyle name="Currency 11 4 4 4 2" xfId="19621" xr:uid="{7137FC00-C2D0-4B3F-97A6-A0AEB33D46B7}"/>
    <cellStyle name="Currency 11 4 4 5" xfId="19622" xr:uid="{137EA182-D788-4F7F-96ED-CA157E89918C}"/>
    <cellStyle name="Currency 11 4 5" xfId="4862" xr:uid="{5631A632-6193-47D2-BDF6-F19BF28123F6}"/>
    <cellStyle name="Currency 11 4 5 2" xfId="4863" xr:uid="{D9A7C84F-DE21-428E-9A9E-DB8F21EDDD4E}"/>
    <cellStyle name="Currency 11 4 5 2 2" xfId="19623" xr:uid="{DD9F7F6D-206B-4CED-B607-0624A673DF5D}"/>
    <cellStyle name="Currency 11 4 5 3" xfId="19624" xr:uid="{673654CF-A7F6-467F-A6BA-DAF7D9E02CDB}"/>
    <cellStyle name="Currency 11 4 6" xfId="4864" xr:uid="{E867C543-A22C-4E3C-8605-82990D82D26B}"/>
    <cellStyle name="Currency 11 4 6 2" xfId="4865" xr:uid="{CFAEA110-49DD-4B90-8FF3-6FA16D31B7FA}"/>
    <cellStyle name="Currency 11 4 6 2 2" xfId="19625" xr:uid="{0CE33AA1-95CA-4909-A796-1A0AD639DA6E}"/>
    <cellStyle name="Currency 11 4 6 3" xfId="19626" xr:uid="{DF3259C4-566E-4DA0-BC79-4872603F08E4}"/>
    <cellStyle name="Currency 11 4 7" xfId="4866" xr:uid="{97746843-6CDC-4B81-8162-C6DC831272CC}"/>
    <cellStyle name="Currency 11 4 7 2" xfId="19627" xr:uid="{310256CC-28F8-4271-B0DE-29D9D955F580}"/>
    <cellStyle name="Currency 11 4 8" xfId="4867" xr:uid="{819B3D4F-F6E5-4F4D-8196-CFF94855718A}"/>
    <cellStyle name="Currency 11 4 8 2" xfId="19628" xr:uid="{3A04A731-0170-42E0-AEAA-2669B0383A79}"/>
    <cellStyle name="Currency 11 4 9" xfId="19629" xr:uid="{DD2A0805-8FC2-40AD-9295-4475B7B5D707}"/>
    <cellStyle name="Currency 11 5" xfId="4868" xr:uid="{E93E60F7-A55E-4959-ADAE-FB90F1CD8E9C}"/>
    <cellStyle name="Currency 11 5 2" xfId="4869" xr:uid="{7F93368F-B145-40AD-B115-130F579C3276}"/>
    <cellStyle name="Currency 11 5 2 2" xfId="4870" xr:uid="{626910A4-A616-464F-A099-3A5B3F4019F4}"/>
    <cellStyle name="Currency 11 5 2 2 2" xfId="4871" xr:uid="{41220243-A25D-4DE9-86D1-C9E5F9208808}"/>
    <cellStyle name="Currency 11 5 2 2 2 2" xfId="19630" xr:uid="{9B168E1B-91DC-4B24-BB18-E302AF36DA92}"/>
    <cellStyle name="Currency 11 5 2 2 3" xfId="19631" xr:uid="{AC002645-56D6-4223-A9BE-69585D2A739C}"/>
    <cellStyle name="Currency 11 5 2 3" xfId="4872" xr:uid="{D804B19E-D0AA-4F61-85C6-D09EB86510D6}"/>
    <cellStyle name="Currency 11 5 2 3 2" xfId="19632" xr:uid="{A2000621-F9B3-4330-9853-6DBFD4F212E4}"/>
    <cellStyle name="Currency 11 5 2 4" xfId="4873" xr:uid="{4F6315CF-19E3-4CD6-A47B-3FBFAF8FE0C3}"/>
    <cellStyle name="Currency 11 5 2 4 2" xfId="19633" xr:uid="{BD8F5B60-109C-4FF3-AF51-AB7BE62F258C}"/>
    <cellStyle name="Currency 11 5 2 5" xfId="19634" xr:uid="{0142EAFE-190A-4938-8468-0E2FDB625C60}"/>
    <cellStyle name="Currency 11 5 3" xfId="4874" xr:uid="{E7332A72-F341-45B7-AA79-E74F1E646E3F}"/>
    <cellStyle name="Currency 11 5 3 2" xfId="4875" xr:uid="{64C5B86C-8734-4C4E-8DB5-3422BC2229E7}"/>
    <cellStyle name="Currency 11 5 3 2 2" xfId="4876" xr:uid="{593012B3-EA7E-4AB4-BD83-BF037A1DBDE0}"/>
    <cellStyle name="Currency 11 5 3 2 2 2" xfId="19635" xr:uid="{F6539B91-1251-4155-9B74-1F1BFD12D7F7}"/>
    <cellStyle name="Currency 11 5 3 2 3" xfId="19636" xr:uid="{5098C40E-ABCA-46EE-A1ED-B9D5E916DA17}"/>
    <cellStyle name="Currency 11 5 3 3" xfId="4877" xr:uid="{47A8D9A5-C699-4F4E-B16B-3576B3EEFC36}"/>
    <cellStyle name="Currency 11 5 3 3 2" xfId="19637" xr:uid="{51C2DA83-2364-4DA8-95A9-FFFABDA327AA}"/>
    <cellStyle name="Currency 11 5 3 4" xfId="4878" xr:uid="{3E3E14AE-42F5-4B54-8E9D-2E5772D634B6}"/>
    <cellStyle name="Currency 11 5 3 4 2" xfId="19638" xr:uid="{E74A7A00-45A5-411A-9449-BB13F5B24D67}"/>
    <cellStyle name="Currency 11 5 3 5" xfId="19639" xr:uid="{F5394C4E-3B22-44B9-88AC-A73B11D6C4B0}"/>
    <cellStyle name="Currency 11 5 4" xfId="4879" xr:uid="{FDB44D30-55E2-4FD2-8F8B-D3CA172C0FC2}"/>
    <cellStyle name="Currency 11 5 4 2" xfId="4880" xr:uid="{85F96479-B00C-4EE0-B05C-004E057AD058}"/>
    <cellStyle name="Currency 11 5 4 2 2" xfId="19640" xr:uid="{EBE2AA2C-1FB8-4BF3-B197-86FDF6B727B2}"/>
    <cellStyle name="Currency 11 5 4 3" xfId="19641" xr:uid="{CE6C11AE-73C2-4965-A3BD-9F17FA154C51}"/>
    <cellStyle name="Currency 11 5 5" xfId="4881" xr:uid="{83B908A6-5080-4BF5-88B2-A1BD700E7D04}"/>
    <cellStyle name="Currency 11 5 5 2" xfId="4882" xr:uid="{29C8F6B0-3E8F-46CE-8C82-256FABFDFAAF}"/>
    <cellStyle name="Currency 11 5 5 2 2" xfId="19642" xr:uid="{8819DA55-DD73-4563-A94B-674896618EF2}"/>
    <cellStyle name="Currency 11 5 5 3" xfId="19643" xr:uid="{F5CC129D-AC1E-49EF-923D-3C35A4FB60CC}"/>
    <cellStyle name="Currency 11 5 6" xfId="4883" xr:uid="{56EADB10-A214-47A7-9CB1-FF2DD7FC1B63}"/>
    <cellStyle name="Currency 11 5 6 2" xfId="19644" xr:uid="{CF0A5FD9-51D1-444F-BBF8-4C4B401BCC02}"/>
    <cellStyle name="Currency 11 5 7" xfId="4884" xr:uid="{DFBDCC51-9C32-48F7-9336-81C6510FC0D8}"/>
    <cellStyle name="Currency 11 5 7 2" xfId="19645" xr:uid="{0053C5B9-2CDF-4100-A486-E62B3A116F20}"/>
    <cellStyle name="Currency 11 5 8" xfId="19646" xr:uid="{34D0EFFB-EF67-4EB2-829A-A558D9F51129}"/>
    <cellStyle name="Currency 11 6" xfId="4885" xr:uid="{BCCC5ED1-B3C7-4098-AB88-758B459FCAE7}"/>
    <cellStyle name="Currency 11 7" xfId="4886" xr:uid="{B7430B44-7D10-4E61-8789-76039808BE51}"/>
    <cellStyle name="Currency 11 8" xfId="4887" xr:uid="{C395215D-B857-4A44-BD46-8C1989140652}"/>
    <cellStyle name="Currency 11 8 2" xfId="4888" xr:uid="{0106C1C2-B36D-4AEF-B9CF-EE536712CB0C}"/>
    <cellStyle name="Currency 11 8 2 2" xfId="4889" xr:uid="{4E5B9458-B1D2-4E64-AC57-9206C3722A7A}"/>
    <cellStyle name="Currency 11 8 2 2 2" xfId="19647" xr:uid="{02033AEB-5D55-416E-A63F-84E124D58C1E}"/>
    <cellStyle name="Currency 11 8 2 3" xfId="19648" xr:uid="{C8A80F19-6A42-49D8-9593-152F13A7F2D8}"/>
    <cellStyle name="Currency 11 8 3" xfId="4890" xr:uid="{50DFA538-3581-4B2E-89D6-1F1F035F175E}"/>
    <cellStyle name="Currency 11 8 3 2" xfId="19649" xr:uid="{FA017C63-A67B-4454-A8B7-359021001FAE}"/>
    <cellStyle name="Currency 11 8 4" xfId="4891" xr:uid="{4407FCA1-F6CA-4D40-B2DB-35F7557A284F}"/>
    <cellStyle name="Currency 11 8 4 2" xfId="19650" xr:uid="{A9C14BE7-DDC8-4D61-9CAB-76EC11172722}"/>
    <cellStyle name="Currency 11 8 5" xfId="19651" xr:uid="{817D732B-A467-48B3-A6FF-FE03220C7E05}"/>
    <cellStyle name="Currency 11 9" xfId="4892" xr:uid="{0273D893-33AF-48AC-857A-1864D5A52F7C}"/>
    <cellStyle name="Currency 11 9 2" xfId="4893" xr:uid="{321D67C2-3AE7-487D-89DD-555078C4D141}"/>
    <cellStyle name="Currency 11 9 2 2" xfId="4894" xr:uid="{EA25E1F8-4160-446B-A3A5-24DD69E4B77E}"/>
    <cellStyle name="Currency 11 9 2 2 2" xfId="19652" xr:uid="{AE4895B4-894E-497A-841B-DE9C66B38E7A}"/>
    <cellStyle name="Currency 11 9 2 3" xfId="19653" xr:uid="{B30A2841-895A-44FD-8C72-C1FF0E54F997}"/>
    <cellStyle name="Currency 11 9 3" xfId="4895" xr:uid="{5142869E-C898-4042-957D-0FA90169744C}"/>
    <cellStyle name="Currency 11 9 3 2" xfId="19654" xr:uid="{DEE3A139-EC0B-4B55-A2F8-E1AB630FF5BE}"/>
    <cellStyle name="Currency 11 9 4" xfId="4896" xr:uid="{42C9827F-E2CA-458F-97A2-4DB82A75DFD9}"/>
    <cellStyle name="Currency 11 9 4 2" xfId="19655" xr:uid="{308EC99C-3ADE-478F-B0C2-7EDA8BB925A6}"/>
    <cellStyle name="Currency 11 9 5" xfId="19656" xr:uid="{B2E73280-2DCD-4154-8E20-3E536AE86A73}"/>
    <cellStyle name="Currency 12" xfId="19657" xr:uid="{6C9DCD03-BD72-4900-99D2-4DD312B4E2A3}"/>
    <cellStyle name="Currency 12 2" xfId="44353" xr:uid="{7F50D49D-BF30-4919-9983-54E1CC6F5865}"/>
    <cellStyle name="Currency 13" xfId="19658" xr:uid="{3378578F-9EF6-4A87-9762-7B24221D725B}"/>
    <cellStyle name="Currency 14" xfId="44197" xr:uid="{D97A8A17-0024-495B-89C3-7E56D5DE381E}"/>
    <cellStyle name="Currency 15" xfId="44252" xr:uid="{24635AC9-B897-41A9-9E8E-C2A7DA37F34E}"/>
    <cellStyle name="Currency 15 2" xfId="44736" xr:uid="{E0D19BD8-1E1C-4736-824D-A560DA90235A}"/>
    <cellStyle name="Currency 16" xfId="44264" xr:uid="{7B4C6F19-3806-46EC-AD7C-8C5BFF36C12A}"/>
    <cellStyle name="Currency 17" xfId="44270" xr:uid="{84020A95-5CA1-4F11-BE90-5096ECC80876}"/>
    <cellStyle name="Currency 18" xfId="44302" xr:uid="{2C2E91BA-71FF-4481-93ED-D18815F4C58A}"/>
    <cellStyle name="Currency 19" xfId="44714" xr:uid="{C040EE78-1971-4AB4-ACEC-3493E29E8F2A}"/>
    <cellStyle name="Currency 2" xfId="9" xr:uid="{7080E910-C2EA-4F43-8B34-7A2D7BB75A15}"/>
    <cellStyle name="Currency 2 10" xfId="4897" xr:uid="{E04BEA4C-FEC2-44EC-B7D8-6E424138D254}"/>
    <cellStyle name="Currency 2 11" xfId="4898" xr:uid="{7325146C-B425-458C-A69E-84FDEF0A8F9F}"/>
    <cellStyle name="Currency 2 12" xfId="4899" xr:uid="{0C549A07-61D3-48E3-9B4D-C6F6E05029E9}"/>
    <cellStyle name="Currency 2 13" xfId="4900" xr:uid="{4110A7A2-2338-4A8B-8FAE-FFEE7205D32B}"/>
    <cellStyle name="Currency 2 14" xfId="4901" xr:uid="{16ECCC11-53CD-42FC-B1D3-E451D915BF3D}"/>
    <cellStyle name="Currency 2 15" xfId="4902" xr:uid="{7AF76977-1363-4627-B33D-BFD134AAC14F}"/>
    <cellStyle name="Currency 2 16" xfId="4903" xr:uid="{78B3B913-96CB-4B13-B5AF-0F29069D85E7}"/>
    <cellStyle name="Currency 2 17" xfId="4904" xr:uid="{3C4FBDB0-9CBC-48F3-85A4-4DC37CDFD1EB}"/>
    <cellStyle name="Currency 2 18" xfId="4905" xr:uid="{0D27FB7B-FBF9-4549-B923-EA4CB49C6A3E}"/>
    <cellStyle name="Currency 2 19" xfId="4906" xr:uid="{74E044ED-4C86-4EAF-9D11-99CFA2DC5649}"/>
    <cellStyle name="Currency 2 2" xfId="26" xr:uid="{8DF41B80-B4F2-444A-A727-4BFA83C7D853}"/>
    <cellStyle name="Currency 2 2 2" xfId="4907" xr:uid="{9C436CC8-80B8-430D-8C42-A4872CA2F092}"/>
    <cellStyle name="Currency 2 2 3" xfId="44802" xr:uid="{D8AED448-1C57-4DF9-90F7-F5FE7FD97E27}"/>
    <cellStyle name="Currency 2 2 4" xfId="42" xr:uid="{4A3C1566-F476-4902-9084-8C60C571015F}"/>
    <cellStyle name="Currency 2 20" xfId="4908" xr:uid="{DC0EB3D1-7A91-45D5-8795-8F6DE5E0C555}"/>
    <cellStyle name="Currency 2 21" xfId="4909" xr:uid="{3AB5E7DC-47DA-4D51-9E99-3A92C087E249}"/>
    <cellStyle name="Currency 2 22" xfId="4910" xr:uid="{6E7C35A1-5BC5-429D-A826-9DDFC37B8897}"/>
    <cellStyle name="Currency 2 23" xfId="4911" xr:uid="{4E1C4255-849C-4CF0-A2C5-431A3D60921A}"/>
    <cellStyle name="Currency 2 24" xfId="4912" xr:uid="{55FD448E-5E5B-4D37-9BD0-C266B9B11EF5}"/>
    <cellStyle name="Currency 2 25" xfId="4913" xr:uid="{9282C0E2-353F-4B2D-A9BA-F5A455C132D8}"/>
    <cellStyle name="Currency 2 26" xfId="4914" xr:uid="{A2413B87-A688-47B2-A4F9-484EE7372982}"/>
    <cellStyle name="Currency 2 27" xfId="4915" xr:uid="{C8E65706-7465-46B4-84F4-726DFE8C1FFE}"/>
    <cellStyle name="Currency 2 27 2" xfId="4916" xr:uid="{C4D0ECEC-80A2-419C-A097-D0950A1B7EF8}"/>
    <cellStyle name="Currency 2 27 2 2" xfId="4917" xr:uid="{3CF70A3E-E1E2-4625-8BD3-7832CFC6AC24}"/>
    <cellStyle name="Currency 2 27 3" xfId="4918" xr:uid="{6CF99DC1-0C20-478C-8FD7-696ADB1DEB1F}"/>
    <cellStyle name="Currency 2 28" xfId="4919" xr:uid="{C5D0E742-9F26-4181-95DC-EBF6B1BC6A8E}"/>
    <cellStyle name="Currency 2 28 2" xfId="4920" xr:uid="{88DC2E0B-214D-4024-80DC-E7C1E5FBECE7}"/>
    <cellStyle name="Currency 2 28 2 2" xfId="4921" xr:uid="{88245BFD-2FB6-4C13-8034-2D27A894ADFB}"/>
    <cellStyle name="Currency 2 28 3" xfId="4922" xr:uid="{B1176864-2219-4A90-81E2-F7CE474D4BE4}"/>
    <cellStyle name="Currency 2 29" xfId="4923" xr:uid="{D0B21FAF-05D6-443A-95CC-08BEA2FFC004}"/>
    <cellStyle name="Currency 2 29 2" xfId="4924" xr:uid="{33F6A21C-FF87-483B-8939-D70C3A791E3D}"/>
    <cellStyle name="Currency 2 29 2 2" xfId="4925" xr:uid="{C2EF401D-F6F3-4ABC-BC47-09A337276369}"/>
    <cellStyle name="Currency 2 29 3" xfId="4926" xr:uid="{E6D5CE24-3DDD-4439-B79B-1451E0AA28A4}"/>
    <cellStyle name="Currency 2 3" xfId="823" xr:uid="{5FCA7BFC-049C-4D96-9069-832E882836CA}"/>
    <cellStyle name="Currency 2 3 2" xfId="4927" xr:uid="{D0409271-FCAF-49D7-9BA5-A7322A5D5626}"/>
    <cellStyle name="Currency 2 3 2 2" xfId="4928" xr:uid="{D21E79E4-408C-401B-B678-314E7F178435}"/>
    <cellStyle name="Currency 2 3 3" xfId="4929" xr:uid="{C33AD1C9-1788-4DBA-9168-AB3ACAB231AD}"/>
    <cellStyle name="Currency 2 3 4" xfId="4930" xr:uid="{2FEAB460-7A67-4B36-AB7F-28670AF81CC1}"/>
    <cellStyle name="Currency 2 30" xfId="44748" xr:uid="{D21FE5BB-C67A-4A51-88FC-D8C85FB09277}"/>
    <cellStyle name="Currency 2 31" xfId="44756" xr:uid="{690C47C5-161E-4006-BBA3-1ADA08522F1B}"/>
    <cellStyle name="Currency 2 4" xfId="4931" xr:uid="{3F9518E2-26C3-46D4-B2EF-5F34A6677C3A}"/>
    <cellStyle name="Currency 2 4 2" xfId="4932" xr:uid="{EFC045D2-4D93-4DDA-AD3A-A540AF58D68B}"/>
    <cellStyle name="Currency 2 4 2 2" xfId="4933" xr:uid="{4A130B03-39A4-4D85-8EAB-6945207C6847}"/>
    <cellStyle name="Currency 2 4 3" xfId="4934" xr:uid="{65271CD1-2B4C-4283-9D38-F3B78703324A}"/>
    <cellStyle name="Currency 2 5" xfId="4935" xr:uid="{53BDB28C-445C-4E7E-8411-BBC32CC6813D}"/>
    <cellStyle name="Currency 2 5 10" xfId="4936" xr:uid="{C4853894-A051-4883-81D4-6227407FCD3E}"/>
    <cellStyle name="Currency 2 5 11" xfId="4937" xr:uid="{9AF9396F-5F2F-41FF-A6ED-911B44499D2D}"/>
    <cellStyle name="Currency 2 5 11 2" xfId="4938" xr:uid="{DBA63B67-5FC4-4E4B-B9D3-EF850EB43E38}"/>
    <cellStyle name="Currency 2 5 11 2 2" xfId="4939" xr:uid="{B16D633C-A813-417D-B045-384FFAA9767B}"/>
    <cellStyle name="Currency 2 5 11 2 2 2" xfId="4940" xr:uid="{AE463FD7-B102-4B50-86C2-83B17873120C}"/>
    <cellStyle name="Currency 2 5 11 2 2 2 2" xfId="4941" xr:uid="{0C7DE6D4-76CC-47C7-87D9-4D3007FE39DC}"/>
    <cellStyle name="Currency 2 5 11 2 2 3" xfId="4942" xr:uid="{9961C0E5-97F2-45B8-B76D-EA46DAD8F6AD}"/>
    <cellStyle name="Currency 2 5 11 2 2 4" xfId="4943" xr:uid="{A9CA16AD-169D-4702-BDD7-6A8F627AB391}"/>
    <cellStyle name="Currency 2 5 11 2 3" xfId="4944" xr:uid="{89D2D63D-C939-42B6-A063-09EF64AE6452}"/>
    <cellStyle name="Currency 2 5 11 2 3 2" xfId="4945" xr:uid="{5AB55E25-A488-4D9E-A32B-4A8CF851A3E1}"/>
    <cellStyle name="Currency 2 5 11 2 4" xfId="4946" xr:uid="{F68400D4-5138-4361-832E-334038E599E9}"/>
    <cellStyle name="Currency 2 5 11 2 5" xfId="4947" xr:uid="{207581BA-A5E2-48B6-97D7-69BD313C8129}"/>
    <cellStyle name="Currency 2 5 11 3" xfId="4948" xr:uid="{2CD23858-4736-4976-9114-6228D8FF622D}"/>
    <cellStyle name="Currency 2 5 12" xfId="4949" xr:uid="{6D74EFBF-FB24-4586-90F8-E1D22A1DBA72}"/>
    <cellStyle name="Currency 2 5 12 2" xfId="4950" xr:uid="{60A1815D-8E93-42A8-9DE5-2B73537C7782}"/>
    <cellStyle name="Currency 2 5 12 2 2" xfId="4951" xr:uid="{03F506AF-5128-4FFB-ABC0-1C5136E24E29}"/>
    <cellStyle name="Currency 2 5 12 2 2 2" xfId="4952" xr:uid="{096C9FB9-F603-4B21-86DF-57E192E3DFA7}"/>
    <cellStyle name="Currency 2 5 12 2 3" xfId="4953" xr:uid="{5445E0FA-9115-467B-8E48-D0ABFE847D2B}"/>
    <cellStyle name="Currency 2 5 12 2 4" xfId="4954" xr:uid="{532AEBA4-543A-4213-83F3-E8928EBFC892}"/>
    <cellStyle name="Currency 2 5 12 3" xfId="4955" xr:uid="{C9483395-5F8F-4FB2-B378-C97DE42DFCCF}"/>
    <cellStyle name="Currency 2 5 12 3 2" xfId="4956" xr:uid="{3081E8FB-7BD6-4A3E-97B5-86B0E046F9C6}"/>
    <cellStyle name="Currency 2 5 12 4" xfId="4957" xr:uid="{707668C3-9C75-4FDC-90CA-CE96D42631C6}"/>
    <cellStyle name="Currency 2 5 12 5" xfId="4958" xr:uid="{332A47BA-C676-4B97-A378-56E6D9A1D1B3}"/>
    <cellStyle name="Currency 2 5 13" xfId="4959" xr:uid="{47D1EBE6-C190-4F46-957C-A3FAAFECFECD}"/>
    <cellStyle name="Currency 2 5 13 2" xfId="4960" xr:uid="{06454F22-B93A-4793-AD53-EE78C1A8DC4C}"/>
    <cellStyle name="Currency 2 5 13 2 2" xfId="4961" xr:uid="{5EB65794-EA50-49A8-BB81-4CE1070CED11}"/>
    <cellStyle name="Currency 2 5 13 3" xfId="4962" xr:uid="{9C1ED55B-58F4-4E51-8B49-443347699591}"/>
    <cellStyle name="Currency 2 5 14" xfId="4963" xr:uid="{2BB1AB8C-0571-413F-823F-3C4E27650A27}"/>
    <cellStyle name="Currency 2 5 14 2" xfId="4964" xr:uid="{B00A26D1-15B2-405A-B30E-6250CF41EF7F}"/>
    <cellStyle name="Currency 2 5 14 2 2" xfId="4965" xr:uid="{EE2ED6BD-062C-4EBD-BBAA-ECCBA031F2B8}"/>
    <cellStyle name="Currency 2 5 14 3" xfId="4966" xr:uid="{C5A89698-40F2-4E53-9102-27A62CD53773}"/>
    <cellStyle name="Currency 2 5 15" xfId="4967" xr:uid="{9430780A-F6AD-44BD-B47D-18262EC787A3}"/>
    <cellStyle name="Currency 2 5 15 2" xfId="4968" xr:uid="{6C38BF01-424A-4647-B3CF-AC95B8F0BE59}"/>
    <cellStyle name="Currency 2 5 15 2 2" xfId="4969" xr:uid="{BAAA557F-26FE-4CF5-AFB1-ABDE24B606D1}"/>
    <cellStyle name="Currency 2 5 15 3" xfId="4970" xr:uid="{893659F8-5ADF-4A7F-9D78-F4BB4E4B3773}"/>
    <cellStyle name="Currency 2 5 16" xfId="4971" xr:uid="{B37FEAB5-F00E-485E-94F0-32070B62B43B}"/>
    <cellStyle name="Currency 2 5 16 2" xfId="4972" xr:uid="{5A666F43-8FFC-41F3-91A2-0B5CD901687B}"/>
    <cellStyle name="Currency 2 5 16 2 2" xfId="4973" xr:uid="{BC689ED7-A306-4F4A-8A6C-2C4D0A6BFD8E}"/>
    <cellStyle name="Currency 2 5 16 3" xfId="4974" xr:uid="{A55822A0-49A4-4194-A10E-8588C425A627}"/>
    <cellStyle name="Currency 2 5 17" xfId="4975" xr:uid="{331F5032-5FA4-419D-BA20-75875D2203C5}"/>
    <cellStyle name="Currency 2 5 17 2" xfId="4976" xr:uid="{8763276B-B1E8-4CBE-A162-F474FC751B8E}"/>
    <cellStyle name="Currency 2 5 17 2 2" xfId="4977" xr:uid="{1C736CBA-0296-41D4-961B-14F3D8D228DE}"/>
    <cellStyle name="Currency 2 5 17 3" xfId="4978" xr:uid="{52A293D1-F722-482B-95B2-6C2B8A8A023C}"/>
    <cellStyle name="Currency 2 5 18" xfId="4979" xr:uid="{A5C47062-FB7B-48DD-B628-FCB32A868898}"/>
    <cellStyle name="Currency 2 5 18 2" xfId="4980" xr:uid="{C3B3333D-DBDF-43BB-A6DA-9D4E91429E5E}"/>
    <cellStyle name="Currency 2 5 19" xfId="4981" xr:uid="{23E7B3B6-8F88-4A9E-8335-98F7068E5327}"/>
    <cellStyle name="Currency 2 5 2" xfId="4982" xr:uid="{D7990DFC-7091-4B3A-AEE3-C372E0E98228}"/>
    <cellStyle name="Currency 2 5 2 10" xfId="4983" xr:uid="{04DC2CAD-79B2-461E-99BA-652A18DD04A4}"/>
    <cellStyle name="Currency 2 5 2 10 2" xfId="4984" xr:uid="{7F93957D-D2D5-4919-879F-007F6CA83AAE}"/>
    <cellStyle name="Currency 2 5 2 10 2 2" xfId="4985" xr:uid="{C31B9568-CEEF-4D14-9073-D9FF0AC8B5F3}"/>
    <cellStyle name="Currency 2 5 2 10 2 2 2" xfId="4986" xr:uid="{0FD60F48-5BF3-4007-A6DE-F89463EE954F}"/>
    <cellStyle name="Currency 2 5 2 10 2 2 2 2" xfId="4987" xr:uid="{9EA74372-2B3A-4D1C-86D6-6249F13FBE10}"/>
    <cellStyle name="Currency 2 5 2 10 2 2 3" xfId="4988" xr:uid="{CEEA2C28-647C-4481-A74B-7E79948B9ECC}"/>
    <cellStyle name="Currency 2 5 2 10 2 2 4" xfId="4989" xr:uid="{069E51E9-169F-4C0A-A142-22A0AE0A8614}"/>
    <cellStyle name="Currency 2 5 2 10 2 3" xfId="4990" xr:uid="{9F8FE80E-55B3-4414-BCF4-0B8038F8551F}"/>
    <cellStyle name="Currency 2 5 2 10 2 3 2" xfId="4991" xr:uid="{BE365668-34DE-48D5-B8B9-0575094BB218}"/>
    <cellStyle name="Currency 2 5 2 10 2 4" xfId="4992" xr:uid="{AC086977-D6AB-45C7-8FDD-C574BF370371}"/>
    <cellStyle name="Currency 2 5 2 10 2 5" xfId="4993" xr:uid="{85C04BCA-5F97-497A-A1F5-5E88AB0F9AF5}"/>
    <cellStyle name="Currency 2 5 2 10 3" xfId="4994" xr:uid="{2B39D279-F230-4CCB-B3D9-1E8765FF636E}"/>
    <cellStyle name="Currency 2 5 2 11" xfId="4995" xr:uid="{8E469DCA-9A16-4305-942D-50A933F0C483}"/>
    <cellStyle name="Currency 2 5 2 11 2" xfId="4996" xr:uid="{EE29F6D1-8BBF-4BD9-BB9B-BF56BF8F820B}"/>
    <cellStyle name="Currency 2 5 2 11 2 2" xfId="4997" xr:uid="{14A9E277-FDC2-42E2-9A76-7D8167F246C3}"/>
    <cellStyle name="Currency 2 5 2 11 2 2 2" xfId="4998" xr:uid="{658F8C3F-5898-4225-B7C8-B51941DFF8E8}"/>
    <cellStyle name="Currency 2 5 2 11 2 3" xfId="4999" xr:uid="{57CBFBA7-0C7F-41FC-BB36-935616CE46E0}"/>
    <cellStyle name="Currency 2 5 2 11 2 4" xfId="5000" xr:uid="{8E4F7CE0-BBAE-48D7-BE5D-3D83C628C12C}"/>
    <cellStyle name="Currency 2 5 2 11 3" xfId="5001" xr:uid="{ABB61537-CE4B-49B1-B6D6-69ABFF9725AA}"/>
    <cellStyle name="Currency 2 5 2 11 3 2" xfId="5002" xr:uid="{EE4D4447-BA7A-48A3-86C9-BFDB58C6161A}"/>
    <cellStyle name="Currency 2 5 2 11 4" xfId="5003" xr:uid="{06A212AA-19D7-4E75-804A-C7FFBF7A4E74}"/>
    <cellStyle name="Currency 2 5 2 11 5" xfId="5004" xr:uid="{333D328C-3FF5-4AA7-BF5D-F15984863F0E}"/>
    <cellStyle name="Currency 2 5 2 12" xfId="5005" xr:uid="{8355A284-1489-4D8E-975A-320CD3BCBAB5}"/>
    <cellStyle name="Currency 2 5 2 12 2" xfId="5006" xr:uid="{740399C9-F1D8-402C-8F59-3801C36845C2}"/>
    <cellStyle name="Currency 2 5 2 12 2 2" xfId="5007" xr:uid="{07B2649A-216B-4AD9-B4DB-8EE261EE0B49}"/>
    <cellStyle name="Currency 2 5 2 12 3" xfId="5008" xr:uid="{5DE683F8-08C8-4F44-81D1-CDA27507EF16}"/>
    <cellStyle name="Currency 2 5 2 13" xfId="5009" xr:uid="{7A5C493D-4373-4E10-80B7-06CFE25685A2}"/>
    <cellStyle name="Currency 2 5 2 13 2" xfId="5010" xr:uid="{538DF898-4332-4D78-91EA-D09F4AE1B96F}"/>
    <cellStyle name="Currency 2 5 2 13 2 2" xfId="5011" xr:uid="{3CF37ABC-5729-4433-84FD-3665359EA2E9}"/>
    <cellStyle name="Currency 2 5 2 13 3" xfId="5012" xr:uid="{40683F7D-D587-4CC8-B1A5-D22CC3C26AEA}"/>
    <cellStyle name="Currency 2 5 2 14" xfId="5013" xr:uid="{CCFFFD84-553C-49BA-9CC4-2EFF7D08FAB9}"/>
    <cellStyle name="Currency 2 5 2 14 2" xfId="5014" xr:uid="{46A5C158-00C8-42CA-82C5-CB15466A70E3}"/>
    <cellStyle name="Currency 2 5 2 14 2 2" xfId="5015" xr:uid="{5F8FE26C-EAB7-40A0-8523-B1A06F11B305}"/>
    <cellStyle name="Currency 2 5 2 14 3" xfId="5016" xr:uid="{CC31A63A-527D-48D8-97EF-5F4795E978FD}"/>
    <cellStyle name="Currency 2 5 2 15" xfId="5017" xr:uid="{04F0A7E1-7151-4339-875A-16001DB37722}"/>
    <cellStyle name="Currency 2 5 2 15 2" xfId="5018" xr:uid="{1A524C67-F003-4E10-828F-BF7DD3BC46E0}"/>
    <cellStyle name="Currency 2 5 2 15 2 2" xfId="5019" xr:uid="{6FCDE6F5-75B8-470D-BDD1-CFEA524F857D}"/>
    <cellStyle name="Currency 2 5 2 15 3" xfId="5020" xr:uid="{ED8DD823-F0B2-4777-BE6E-27B16AFA620E}"/>
    <cellStyle name="Currency 2 5 2 16" xfId="5021" xr:uid="{43A18CE9-B8C6-49FE-BFED-2A5C3D784DB4}"/>
    <cellStyle name="Currency 2 5 2 16 2" xfId="5022" xr:uid="{E13AAFC4-B71B-47A2-B829-49A1DF2C518D}"/>
    <cellStyle name="Currency 2 5 2 16 2 2" xfId="5023" xr:uid="{AFB1046E-3560-4D8E-A137-E030BC5C607D}"/>
    <cellStyle name="Currency 2 5 2 16 3" xfId="5024" xr:uid="{B4114469-612F-4270-B389-AB6E3B93CA20}"/>
    <cellStyle name="Currency 2 5 2 17" xfId="5025" xr:uid="{4817E413-00FC-4036-95F1-1328D8218A34}"/>
    <cellStyle name="Currency 2 5 2 17 2" xfId="5026" xr:uid="{EDFA0109-77D0-4DFB-967C-1CB1566E6786}"/>
    <cellStyle name="Currency 2 5 2 18" xfId="5027" xr:uid="{93C01924-F2D7-46D3-95F7-480F6F2B5DBE}"/>
    <cellStyle name="Currency 2 5 2 19" xfId="5028" xr:uid="{D44DEF66-C9C9-494D-9F65-2E865E564601}"/>
    <cellStyle name="Currency 2 5 2 2" xfId="5029" xr:uid="{5493070F-2FA0-4D7A-B297-DFE3D2B7E8DB}"/>
    <cellStyle name="Currency 2 5 2 3" xfId="5030" xr:uid="{678A53DF-6906-449A-88A0-CEBDD16F0E7A}"/>
    <cellStyle name="Currency 2 5 2 4" xfId="5031" xr:uid="{B2563322-BCF5-4081-A1D0-2CD73A67F387}"/>
    <cellStyle name="Currency 2 5 2 5" xfId="5032" xr:uid="{8A535E7C-9495-4C4E-88FC-73CE9846B690}"/>
    <cellStyle name="Currency 2 5 2 6" xfId="5033" xr:uid="{E96DF61E-4901-43E0-B9A3-E67873DB1CA2}"/>
    <cellStyle name="Currency 2 5 2 7" xfId="5034" xr:uid="{FE47DAFB-5F32-48A0-9378-7AB40EE21E68}"/>
    <cellStyle name="Currency 2 5 2 8" xfId="5035" xr:uid="{A43F49CE-24B5-49ED-96BD-957A758886DE}"/>
    <cellStyle name="Currency 2 5 2 9" xfId="5036" xr:uid="{B760B1A8-D8A5-4854-9DD6-607EA665BCA8}"/>
    <cellStyle name="Currency 2 5 20" xfId="5037" xr:uid="{DBD2BDDB-1D68-41D5-B2E6-638F1C68152E}"/>
    <cellStyle name="Currency 2 5 3" xfId="5038" xr:uid="{DDD6F6B6-44C5-4C11-814D-201CC70AA2D7}"/>
    <cellStyle name="Currency 2 5 4" xfId="5039" xr:uid="{9044ABA4-AF51-47FF-8251-48122BE3B4F5}"/>
    <cellStyle name="Currency 2 5 5" xfId="5040" xr:uid="{7A9FAAE5-9312-4FE0-9E4C-3B7D9101DBEE}"/>
    <cellStyle name="Currency 2 5 6" xfId="5041" xr:uid="{563B12EC-18B0-4950-A617-D5818D49DB81}"/>
    <cellStyle name="Currency 2 5 7" xfId="5042" xr:uid="{4BFA3336-A978-4B46-87DA-00B41BC35FEF}"/>
    <cellStyle name="Currency 2 5 8" xfId="5043" xr:uid="{14F0A125-0FF7-42D8-A424-4970158F6755}"/>
    <cellStyle name="Currency 2 5 9" xfId="5044" xr:uid="{7A82E816-470D-4888-B40C-D88D7BE479E8}"/>
    <cellStyle name="Currency 2 6" xfId="5045" xr:uid="{8CECA443-0633-4D11-B244-85D0F85B9B44}"/>
    <cellStyle name="Currency 2 6 10" xfId="5046" xr:uid="{3285F03E-C41B-4A34-BCD5-5F15918BAF1F}"/>
    <cellStyle name="Currency 2 6 10 2" xfId="5047" xr:uid="{0A54F372-B2B5-4E4F-ADAB-175CFCCC26A2}"/>
    <cellStyle name="Currency 2 6 10 2 2" xfId="5048" xr:uid="{2B071300-F346-4E2F-B417-EB1DE70141B9}"/>
    <cellStyle name="Currency 2 6 10 2 2 2" xfId="5049" xr:uid="{58DE540C-639E-4E44-8A8F-7FA5C8DD4100}"/>
    <cellStyle name="Currency 2 6 10 2 2 2 2" xfId="5050" xr:uid="{3668B27A-0E64-4B47-9B16-7B87734C6B65}"/>
    <cellStyle name="Currency 2 6 10 2 2 3" xfId="5051" xr:uid="{C131FCD3-9232-4D55-991F-80A887889D87}"/>
    <cellStyle name="Currency 2 6 10 2 2 4" xfId="5052" xr:uid="{1B06550F-D690-4B7E-91FB-5AB58D4E9F8B}"/>
    <cellStyle name="Currency 2 6 10 2 3" xfId="5053" xr:uid="{A28E4ED1-7943-44B5-8D6A-E8678F0810E5}"/>
    <cellStyle name="Currency 2 6 10 2 3 2" xfId="5054" xr:uid="{C14958CF-1F68-473E-AEB0-B7081DCD3087}"/>
    <cellStyle name="Currency 2 6 10 2 4" xfId="5055" xr:uid="{42D60C27-1983-4D70-8203-0323F10BBEEE}"/>
    <cellStyle name="Currency 2 6 10 2 5" xfId="5056" xr:uid="{93F549E7-1D51-4800-81B0-CFAA0E92491C}"/>
    <cellStyle name="Currency 2 6 10 3" xfId="5057" xr:uid="{32DA3134-D9E6-4962-9B81-037DE4278DF2}"/>
    <cellStyle name="Currency 2 6 11" xfId="5058" xr:uid="{16D5D0BF-1B65-4EB0-B3CC-3C291B07CB5D}"/>
    <cellStyle name="Currency 2 6 11 2" xfId="5059" xr:uid="{1058DC2B-E502-443D-9EB6-5FE6CD6DB05A}"/>
    <cellStyle name="Currency 2 6 11 2 2" xfId="5060" xr:uid="{395ED1E9-5891-4DD3-B58F-FB3BBBBF7F18}"/>
    <cellStyle name="Currency 2 6 11 2 2 2" xfId="5061" xr:uid="{A9F0CB0E-69E9-48CE-B20E-901B7D4418BA}"/>
    <cellStyle name="Currency 2 6 11 2 3" xfId="5062" xr:uid="{90FB758B-E0A0-4A1B-B8DB-6A37D6DE59F4}"/>
    <cellStyle name="Currency 2 6 11 2 4" xfId="5063" xr:uid="{F1C6BAE5-7F01-427F-A4D9-6F219FBB24A0}"/>
    <cellStyle name="Currency 2 6 11 3" xfId="5064" xr:uid="{30183E91-B0A4-4F9C-875C-9A638B0CE68C}"/>
    <cellStyle name="Currency 2 6 11 3 2" xfId="5065" xr:uid="{8179D96E-BBF5-4984-83D2-19BF0FA3511B}"/>
    <cellStyle name="Currency 2 6 11 4" xfId="5066" xr:uid="{3964E2FD-2E9B-4B60-87CB-DBFDB9FFD90B}"/>
    <cellStyle name="Currency 2 6 11 5" xfId="5067" xr:uid="{555B0677-3C4F-4365-8DB6-A89B62E8D651}"/>
    <cellStyle name="Currency 2 6 12" xfId="5068" xr:uid="{D168E66B-EE76-46C2-A587-58ED240FEE65}"/>
    <cellStyle name="Currency 2 6 12 2" xfId="5069" xr:uid="{F0AF7ADE-9AD4-41A8-BF7A-B0AA5FDBDAE4}"/>
    <cellStyle name="Currency 2 6 12 2 2" xfId="5070" xr:uid="{73B5E64F-62F0-484A-AE5F-C5C9FF2F6978}"/>
    <cellStyle name="Currency 2 6 12 3" xfId="5071" xr:uid="{1091E2BC-0852-4D08-AB38-8106E22C906A}"/>
    <cellStyle name="Currency 2 6 13" xfId="5072" xr:uid="{33AAA376-D1E3-44DB-8ED9-512CBB7A4AF9}"/>
    <cellStyle name="Currency 2 6 13 2" xfId="5073" xr:uid="{555E116F-307D-4B06-A13C-E9C9F9557FD3}"/>
    <cellStyle name="Currency 2 6 13 2 2" xfId="5074" xr:uid="{F1E2B904-CE57-4F38-A2F4-1B8E0A178687}"/>
    <cellStyle name="Currency 2 6 13 3" xfId="5075" xr:uid="{CF84DAA0-13CC-4A52-B432-99B574E5601A}"/>
    <cellStyle name="Currency 2 6 14" xfId="5076" xr:uid="{E1B7CFA7-A3C4-4C66-91D5-539976EA5C58}"/>
    <cellStyle name="Currency 2 6 14 2" xfId="5077" xr:uid="{D932CC53-4D56-47E7-9C3A-6562ADB933FD}"/>
    <cellStyle name="Currency 2 6 14 2 2" xfId="5078" xr:uid="{72FE03BB-CBF0-4C6F-AAC7-C9D2C813044B}"/>
    <cellStyle name="Currency 2 6 14 3" xfId="5079" xr:uid="{785DD08F-452C-4519-B5D7-F1B738D096DE}"/>
    <cellStyle name="Currency 2 6 15" xfId="5080" xr:uid="{9BE928E7-8451-4F21-B96E-4EA352B4ADEE}"/>
    <cellStyle name="Currency 2 6 15 2" xfId="5081" xr:uid="{A5D1EF89-FED9-4A5E-A7F7-AEB344014429}"/>
    <cellStyle name="Currency 2 6 15 2 2" xfId="5082" xr:uid="{A734421A-1B15-4E96-89D4-64FA40885CDE}"/>
    <cellStyle name="Currency 2 6 15 3" xfId="5083" xr:uid="{F5BF08B7-0433-4163-811D-D4C9FED2A641}"/>
    <cellStyle name="Currency 2 6 16" xfId="5084" xr:uid="{20DCFD55-A8CC-4725-821D-27AAD637C15D}"/>
    <cellStyle name="Currency 2 6 16 2" xfId="5085" xr:uid="{DAF5870C-B1B5-42FC-9DFF-64C19F768C77}"/>
    <cellStyle name="Currency 2 6 16 2 2" xfId="5086" xr:uid="{76098348-F6C0-4FDF-9D89-56DD1B91CBD4}"/>
    <cellStyle name="Currency 2 6 16 3" xfId="5087" xr:uid="{504B8906-EFA6-4530-9F3C-597E3B67F6E8}"/>
    <cellStyle name="Currency 2 6 17" xfId="5088" xr:uid="{017FB0AA-74B3-4BCC-8609-0682B6343EE2}"/>
    <cellStyle name="Currency 2 6 17 2" xfId="5089" xr:uid="{FD0987B8-01F9-4998-8364-1ACF8AA63EB8}"/>
    <cellStyle name="Currency 2 6 18" xfId="5090" xr:uid="{19B66778-F090-4A2A-B332-6B341795E7F8}"/>
    <cellStyle name="Currency 2 6 19" xfId="5091" xr:uid="{B92565DF-6B79-48D1-86AF-BA01A4DAD140}"/>
    <cellStyle name="Currency 2 6 2" xfId="5092" xr:uid="{9CC4BD49-CF4C-4AEB-8E16-99C350FEA02A}"/>
    <cellStyle name="Currency 2 6 3" xfId="5093" xr:uid="{CF0B98FA-B4A1-45BE-9A9E-C6C6B66B947F}"/>
    <cellStyle name="Currency 2 6 4" xfId="5094" xr:uid="{10CD8EBD-CD8B-4303-8569-570F9AA4106E}"/>
    <cellStyle name="Currency 2 6 5" xfId="5095" xr:uid="{AAE2937F-B0F5-4E9D-8B36-E0E9D07F5A95}"/>
    <cellStyle name="Currency 2 6 6" xfId="5096" xr:uid="{2B79EC4E-57CA-4F75-994A-EDFDE7CF5A3A}"/>
    <cellStyle name="Currency 2 6 7" xfId="5097" xr:uid="{40CA7B54-0E4B-4C93-86A3-C6B1E561D14C}"/>
    <cellStyle name="Currency 2 6 8" xfId="5098" xr:uid="{EE14A9D1-8BF8-4DA8-AF8C-BBD155A12CE4}"/>
    <cellStyle name="Currency 2 6 9" xfId="5099" xr:uid="{F9B6AFD5-A4DD-4C6A-8D46-528232875707}"/>
    <cellStyle name="Currency 2 7" xfId="5100" xr:uid="{D5B3D689-D151-4223-AFFB-C2311B5BB450}"/>
    <cellStyle name="Currency 2 7 10" xfId="5101" xr:uid="{58F043C6-E907-4C12-B92E-354DF47265FE}"/>
    <cellStyle name="Currency 2 7 10 2" xfId="5102" xr:uid="{8050503A-DA13-4B71-ADE6-DA4D8C7625F7}"/>
    <cellStyle name="Currency 2 7 10 2 2" xfId="5103" xr:uid="{7A186E2C-D024-474F-A5F4-094B6A69E940}"/>
    <cellStyle name="Currency 2 7 10 2 2 2" xfId="5104" xr:uid="{558ADDDA-CD36-4B43-A7E6-88BF6685F853}"/>
    <cellStyle name="Currency 2 7 10 2 2 2 2" xfId="5105" xr:uid="{D2616E1C-F287-4706-91F4-6E34351DFBF4}"/>
    <cellStyle name="Currency 2 7 10 2 2 3" xfId="5106" xr:uid="{0679EE0F-15D1-462D-A254-8A27C0478445}"/>
    <cellStyle name="Currency 2 7 10 2 2 4" xfId="5107" xr:uid="{A2B2E498-D80B-4153-9E38-B6AD7BF4729F}"/>
    <cellStyle name="Currency 2 7 10 2 3" xfId="5108" xr:uid="{694AA2DF-0C95-46C7-B156-0B7FB2034D88}"/>
    <cellStyle name="Currency 2 7 10 2 3 2" xfId="5109" xr:uid="{6A355683-85AA-4411-A68C-040DF52889E4}"/>
    <cellStyle name="Currency 2 7 10 2 4" xfId="5110" xr:uid="{91389D2D-A912-4E6F-A792-140A9CA363B0}"/>
    <cellStyle name="Currency 2 7 10 2 5" xfId="5111" xr:uid="{7DF215D7-459E-4441-8BE8-05A42E9E4D24}"/>
    <cellStyle name="Currency 2 7 10 3" xfId="5112" xr:uid="{B584D8ED-35CC-4823-85EE-EFA84BE33205}"/>
    <cellStyle name="Currency 2 7 11" xfId="5113" xr:uid="{3EFCECDE-684C-4FD3-8397-485E98406A19}"/>
    <cellStyle name="Currency 2 7 11 2" xfId="5114" xr:uid="{7CADF98C-BD47-4998-AB67-989C0D386680}"/>
    <cellStyle name="Currency 2 7 11 2 2" xfId="5115" xr:uid="{4B867EA3-4C0B-4D0F-832D-536B114655FB}"/>
    <cellStyle name="Currency 2 7 11 2 2 2" xfId="5116" xr:uid="{93B2DD86-30A5-43EC-A224-AA7CED56B460}"/>
    <cellStyle name="Currency 2 7 11 2 3" xfId="5117" xr:uid="{D74AE653-C4FE-4BCB-BBF0-3F924FC8AFFA}"/>
    <cellStyle name="Currency 2 7 11 2 4" xfId="5118" xr:uid="{3E665A6D-9C40-4758-BF22-E344E801C0A4}"/>
    <cellStyle name="Currency 2 7 11 3" xfId="5119" xr:uid="{69EC3693-3554-4E1D-8BD0-10F40EAEE098}"/>
    <cellStyle name="Currency 2 7 11 3 2" xfId="5120" xr:uid="{91B970C8-E1F5-4C9F-B635-CDD900D54A5E}"/>
    <cellStyle name="Currency 2 7 11 4" xfId="5121" xr:uid="{142045E2-BD73-47EF-A4A0-7F5A83FE4BD4}"/>
    <cellStyle name="Currency 2 7 11 5" xfId="5122" xr:uid="{3A27F7FD-EF23-4867-AEB1-4693FF501D49}"/>
    <cellStyle name="Currency 2 7 12" xfId="5123" xr:uid="{42834BF6-3E22-494C-B910-97D1B60ADCD1}"/>
    <cellStyle name="Currency 2 7 12 2" xfId="5124" xr:uid="{3236418E-BAB8-4064-A0B8-8FA2BFD75E45}"/>
    <cellStyle name="Currency 2 7 12 2 2" xfId="5125" xr:uid="{77082036-BE56-4D65-A760-D27886561659}"/>
    <cellStyle name="Currency 2 7 12 3" xfId="5126" xr:uid="{0D5FCF25-5F21-45FD-9831-B9B3DC65F1C9}"/>
    <cellStyle name="Currency 2 7 13" xfId="5127" xr:uid="{EB7A045E-D30B-4831-8B2F-23C5DD29A00F}"/>
    <cellStyle name="Currency 2 7 13 2" xfId="5128" xr:uid="{3B11038F-B3D4-4FAB-B705-51C79FAE1BB1}"/>
    <cellStyle name="Currency 2 7 13 2 2" xfId="5129" xr:uid="{98BEAEDE-D209-4A6B-93C3-CF597E77D7AC}"/>
    <cellStyle name="Currency 2 7 13 3" xfId="5130" xr:uid="{3A3EE3F6-7E80-4FE6-83CF-CBC13B80FF1F}"/>
    <cellStyle name="Currency 2 7 14" xfId="5131" xr:uid="{B27D9F3F-C34F-450C-9554-46A66C400ADB}"/>
    <cellStyle name="Currency 2 7 14 2" xfId="5132" xr:uid="{6EB314BB-136C-4E36-9E3D-7ED968503AA3}"/>
    <cellStyle name="Currency 2 7 14 2 2" xfId="5133" xr:uid="{DE107BA9-DBD2-411D-A448-C60723A2775C}"/>
    <cellStyle name="Currency 2 7 14 3" xfId="5134" xr:uid="{C69381E9-B243-4E81-A509-D1167D4A8CA9}"/>
    <cellStyle name="Currency 2 7 15" xfId="5135" xr:uid="{168DD77B-950A-470F-8FD8-4F6DE3200829}"/>
    <cellStyle name="Currency 2 7 15 2" xfId="5136" xr:uid="{C4CBB3CA-7BB0-4080-BB7D-EE821518321D}"/>
    <cellStyle name="Currency 2 7 15 2 2" xfId="5137" xr:uid="{DF607B21-2553-49D5-B869-3DD3822116F5}"/>
    <cellStyle name="Currency 2 7 15 3" xfId="5138" xr:uid="{8597CC67-4FFD-4F60-AE90-657A2DFE5BD7}"/>
    <cellStyle name="Currency 2 7 16" xfId="5139" xr:uid="{E65B56F2-8D15-42F1-B022-D5527EE979C7}"/>
    <cellStyle name="Currency 2 7 16 2" xfId="5140" xr:uid="{AC8FB489-40EA-41AA-8FBB-9A1F04923570}"/>
    <cellStyle name="Currency 2 7 16 2 2" xfId="5141" xr:uid="{D8D5B474-6934-4E79-90CD-406CA427C55E}"/>
    <cellStyle name="Currency 2 7 16 3" xfId="5142" xr:uid="{03B89D86-841A-44B7-833C-C81519CFF879}"/>
    <cellStyle name="Currency 2 7 17" xfId="5143" xr:uid="{26E704CE-4924-4F7B-BF0C-879E9E212BED}"/>
    <cellStyle name="Currency 2 7 17 2" xfId="5144" xr:uid="{A953896E-9313-4CDF-9E97-2E5F19AA571E}"/>
    <cellStyle name="Currency 2 7 18" xfId="5145" xr:uid="{9B415529-7127-449C-B8B1-759B5F30A901}"/>
    <cellStyle name="Currency 2 7 19" xfId="5146" xr:uid="{14250A44-52E7-474D-8C39-6CBD73A2E5BC}"/>
    <cellStyle name="Currency 2 7 2" xfId="5147" xr:uid="{FE06A021-F55A-4EB5-B681-F16460A44F93}"/>
    <cellStyle name="Currency 2 7 3" xfId="5148" xr:uid="{8CF2E391-FCA0-45C5-B379-5F43B1A89827}"/>
    <cellStyle name="Currency 2 7 4" xfId="5149" xr:uid="{E3185A4D-5F72-4FAB-B114-7C49319239BF}"/>
    <cellStyle name="Currency 2 7 5" xfId="5150" xr:uid="{3EBF5C6E-A2A0-45F6-97EF-6095E69EE0FB}"/>
    <cellStyle name="Currency 2 7 6" xfId="5151" xr:uid="{9DB8D920-D5EB-42E6-BDDB-D7F9DD1D8F97}"/>
    <cellStyle name="Currency 2 7 7" xfId="5152" xr:uid="{E8F5D7AF-EB34-4B15-933E-44DCDD4B6161}"/>
    <cellStyle name="Currency 2 7 8" xfId="5153" xr:uid="{0CD0612A-7881-42B5-B3A0-545F7BFA0516}"/>
    <cellStyle name="Currency 2 7 9" xfId="5154" xr:uid="{DCC79E82-6AC1-46CA-B391-D6AC96AA79BF}"/>
    <cellStyle name="Currency 2 8" xfId="5155" xr:uid="{494201EE-FDD1-4473-8693-5C66EFDC4210}"/>
    <cellStyle name="Currency 2 8 10" xfId="5156" xr:uid="{C2F60217-2A63-4A64-9405-96559C226587}"/>
    <cellStyle name="Currency 2 8 10 10" xfId="5157" xr:uid="{1B2EDF7D-813D-4FA3-BC35-89F18CFC94FC}"/>
    <cellStyle name="Currency 2 8 10 2" xfId="5158" xr:uid="{DB76E825-110E-4268-BE75-63B23AF25893}"/>
    <cellStyle name="Currency 2 8 10 2 2" xfId="5159" xr:uid="{4250F45F-8CAE-47BD-AD52-C737CA2E59C2}"/>
    <cellStyle name="Currency 2 8 10 2 2 2" xfId="5160" xr:uid="{9BCED962-2ACE-4F0D-89A6-8945A4C4FC8B}"/>
    <cellStyle name="Currency 2 8 10 2 2 2 2" xfId="5161" xr:uid="{EDCCFFA3-DD65-468E-9A86-CC9E203F6081}"/>
    <cellStyle name="Currency 2 8 10 2 2 3" xfId="5162" xr:uid="{C8D47766-1A95-439D-A092-42263983C55C}"/>
    <cellStyle name="Currency 2 8 10 2 2 4" xfId="5163" xr:uid="{498F8B4F-E3D4-41D9-9D1C-5ABFD57327AB}"/>
    <cellStyle name="Currency 2 8 10 2 3" xfId="5164" xr:uid="{5403E06B-A249-4301-9E0F-F1E3AE51F6BB}"/>
    <cellStyle name="Currency 2 8 10 2 3 2" xfId="5165" xr:uid="{22E91AB3-B2BC-4298-86DA-9263B1D81D31}"/>
    <cellStyle name="Currency 2 8 10 2 4" xfId="5166" xr:uid="{6DF19FF9-1474-4119-918E-34AA982F65C9}"/>
    <cellStyle name="Currency 2 8 10 2 5" xfId="5167" xr:uid="{81C4D261-58A2-440F-9E18-43DDBE2C48D7}"/>
    <cellStyle name="Currency 2 8 10 3" xfId="5168" xr:uid="{9D4D22D1-38C9-4566-BD7F-FFE3D80723CD}"/>
    <cellStyle name="Currency 2 8 10 4" xfId="5169" xr:uid="{B73F8558-C46E-4DB2-877B-F50BB52EAFD6}"/>
    <cellStyle name="Currency 2 8 10 5" xfId="5170" xr:uid="{C8C0BF24-0F3B-4D29-8E6D-A2F5F86E5E35}"/>
    <cellStyle name="Currency 2 8 10 6" xfId="5171" xr:uid="{C8F1F88B-FDE4-4445-9857-5D97B68B0A9D}"/>
    <cellStyle name="Currency 2 8 10 6 2" xfId="5172" xr:uid="{229D548B-0C79-41A7-B5FA-474B5C8231AC}"/>
    <cellStyle name="Currency 2 8 10 6 2 2" xfId="5173" xr:uid="{214C75EF-3267-40A2-B4AB-D66E4BD9FBCD}"/>
    <cellStyle name="Currency 2 8 10 6 3" xfId="5174" xr:uid="{20A9C06D-43F5-4FB5-9E5F-A5C3A579061D}"/>
    <cellStyle name="Currency 2 8 10 7" xfId="5175" xr:uid="{480A6492-1BEF-400A-862C-4E967E73CE1B}"/>
    <cellStyle name="Currency 2 8 10 7 2" xfId="5176" xr:uid="{61BF3ABA-8B09-4997-AD3B-D1DACEFC2E35}"/>
    <cellStyle name="Currency 2 8 10 7 2 2" xfId="5177" xr:uid="{4D123A3E-83B6-4C2C-A234-06E5FD76F205}"/>
    <cellStyle name="Currency 2 8 10 7 3" xfId="5178" xr:uid="{68545774-3B6B-486C-9340-F6D4244DF023}"/>
    <cellStyle name="Currency 2 8 10 8" xfId="5179" xr:uid="{E931D407-A3FE-407A-9714-DB1EC16E6177}"/>
    <cellStyle name="Currency 2 8 10 8 2" xfId="5180" xr:uid="{DA281FEE-5649-4BED-AB6E-73F9BB2640CA}"/>
    <cellStyle name="Currency 2 8 10 9" xfId="5181" xr:uid="{CCF3CB70-C2B9-4567-B40D-041744B578A3}"/>
    <cellStyle name="Currency 2 8 11" xfId="5182" xr:uid="{F5966E9B-9076-4B29-AE0C-D1FDCF2C762D}"/>
    <cellStyle name="Currency 2 8 11 10" xfId="5183" xr:uid="{B94DD242-04E8-4014-A3DF-D5DF5589AF94}"/>
    <cellStyle name="Currency 2 8 11 2" xfId="5184" xr:uid="{736AE424-476E-408A-A2A8-A8931486D174}"/>
    <cellStyle name="Currency 2 8 11 2 2" xfId="5185" xr:uid="{67AF84E9-808A-4FC7-A9D2-18089BCDFE7D}"/>
    <cellStyle name="Currency 2 8 11 2 2 2" xfId="5186" xr:uid="{DC09EAAE-EB91-442F-8387-8B11CE3231BB}"/>
    <cellStyle name="Currency 2 8 11 2 2 2 2" xfId="5187" xr:uid="{EAFAC002-9504-4F29-85B2-9F7E09A75081}"/>
    <cellStyle name="Currency 2 8 11 2 2 3" xfId="5188" xr:uid="{A9C97331-C09C-453A-B625-ED3D520B7F9F}"/>
    <cellStyle name="Currency 2 8 11 2 2 4" xfId="5189" xr:uid="{04B05573-CE66-42BD-9C4F-C184470841E2}"/>
    <cellStyle name="Currency 2 8 11 2 3" xfId="5190" xr:uid="{DF932472-9405-40D6-A46C-4BB9C4F57619}"/>
    <cellStyle name="Currency 2 8 11 2 3 2" xfId="5191" xr:uid="{4DFF9DF6-F897-44C6-974D-5856B4B6591E}"/>
    <cellStyle name="Currency 2 8 11 2 4" xfId="5192" xr:uid="{6E08678F-68E3-484C-B0BC-D26A8549415E}"/>
    <cellStyle name="Currency 2 8 11 2 5" xfId="5193" xr:uid="{B2E65FC5-DD66-4BFB-A043-3AD7F6D7491E}"/>
    <cellStyle name="Currency 2 8 11 3" xfId="5194" xr:uid="{26B05BC1-DD04-43F6-ABA0-AB8B60AA6937}"/>
    <cellStyle name="Currency 2 8 11 4" xfId="5195" xr:uid="{A00FAE79-2A69-49D1-A4B8-76498B6F82AC}"/>
    <cellStyle name="Currency 2 8 11 5" xfId="5196" xr:uid="{4CA5574D-05E9-4505-8525-ADD5E2494C1A}"/>
    <cellStyle name="Currency 2 8 11 6" xfId="5197" xr:uid="{4B9EB3F4-DFF1-4645-8DD4-8F91BC036EA5}"/>
    <cellStyle name="Currency 2 8 11 6 2" xfId="5198" xr:uid="{76DE85C9-E07A-4284-B679-1EE9290A26E1}"/>
    <cellStyle name="Currency 2 8 11 6 2 2" xfId="5199" xr:uid="{532D9F42-5E84-45AF-B191-45F6C7FEE2AB}"/>
    <cellStyle name="Currency 2 8 11 6 3" xfId="5200" xr:uid="{AAAF2095-9C58-43BE-9582-F99E8F0075D2}"/>
    <cellStyle name="Currency 2 8 11 7" xfId="5201" xr:uid="{8AEF8079-ECF1-4237-AF4F-D17C3B7F6944}"/>
    <cellStyle name="Currency 2 8 11 7 2" xfId="5202" xr:uid="{35FFA202-4C6C-41E1-9EC3-867DB7B50FDB}"/>
    <cellStyle name="Currency 2 8 11 7 2 2" xfId="5203" xr:uid="{802CD04C-AEA0-4D69-9FF0-F33951BAA38E}"/>
    <cellStyle name="Currency 2 8 11 7 3" xfId="5204" xr:uid="{ACAE1D0E-DA2A-4D1A-8E68-04D989C06EA6}"/>
    <cellStyle name="Currency 2 8 11 8" xfId="5205" xr:uid="{18F1F852-E553-4460-B2E0-7A43BB44F858}"/>
    <cellStyle name="Currency 2 8 11 8 2" xfId="5206" xr:uid="{2D76264E-3E5E-4909-8190-2AE549622675}"/>
    <cellStyle name="Currency 2 8 11 9" xfId="5207" xr:uid="{512033DB-4365-471D-98D8-31F64E9BF459}"/>
    <cellStyle name="Currency 2 8 12" xfId="5208" xr:uid="{F333D828-E057-4B74-A375-5692BAC2D565}"/>
    <cellStyle name="Currency 2 8 12 10" xfId="5209" xr:uid="{47F7C7C4-A48C-46CC-B09F-5C37FB4BC5F9}"/>
    <cellStyle name="Currency 2 8 12 2" xfId="5210" xr:uid="{78FE518D-A857-4871-9B7F-423C99C77668}"/>
    <cellStyle name="Currency 2 8 12 2 2" xfId="5211" xr:uid="{C658732C-A261-4BD8-9B04-8EBE1F3B682C}"/>
    <cellStyle name="Currency 2 8 12 2 2 2" xfId="5212" xr:uid="{455B7466-7772-4C6D-8662-1221CFFC2CE9}"/>
    <cellStyle name="Currency 2 8 12 2 2 2 2" xfId="5213" xr:uid="{75E70F11-B512-43CD-9E3F-D659956C4A45}"/>
    <cellStyle name="Currency 2 8 12 2 2 3" xfId="5214" xr:uid="{62A1304F-6013-4575-BF63-4D62A5975A6E}"/>
    <cellStyle name="Currency 2 8 12 2 2 4" xfId="5215" xr:uid="{DDE6B83C-08EB-48F0-90FE-8C8CB10BE4AA}"/>
    <cellStyle name="Currency 2 8 12 2 3" xfId="5216" xr:uid="{6A22CBAC-C78E-458E-85DE-804F743F7D7F}"/>
    <cellStyle name="Currency 2 8 12 2 3 2" xfId="5217" xr:uid="{76D13BFD-7342-4FBA-944C-9D17BFFA5023}"/>
    <cellStyle name="Currency 2 8 12 2 4" xfId="5218" xr:uid="{E6AA4BB7-A31B-4486-97CE-8D777ABA8C13}"/>
    <cellStyle name="Currency 2 8 12 2 5" xfId="5219" xr:uid="{89E49192-CF4D-412F-ACBF-E1AA9D625BD3}"/>
    <cellStyle name="Currency 2 8 12 3" xfId="5220" xr:uid="{22D87FDA-D282-4A29-BC5B-534AD65DD1B4}"/>
    <cellStyle name="Currency 2 8 12 4" xfId="5221" xr:uid="{BC0FEAD2-1617-4FAA-80A9-7658DAA5AD28}"/>
    <cellStyle name="Currency 2 8 12 5" xfId="5222" xr:uid="{016BD7FA-F5D7-4435-A750-E6EBE8B4AA6A}"/>
    <cellStyle name="Currency 2 8 12 6" xfId="5223" xr:uid="{DF955808-DA91-42C9-87A4-7913CE5B8EBD}"/>
    <cellStyle name="Currency 2 8 12 6 2" xfId="5224" xr:uid="{E4884223-8A54-4174-AAF0-21DA0F6555B8}"/>
    <cellStyle name="Currency 2 8 12 6 2 2" xfId="5225" xr:uid="{32FEB7E3-8627-42EE-809B-71BC7BA95F0E}"/>
    <cellStyle name="Currency 2 8 12 6 3" xfId="5226" xr:uid="{08E0F7AD-AA03-4359-91B4-C470DAFB82E8}"/>
    <cellStyle name="Currency 2 8 12 7" xfId="5227" xr:uid="{84EB7FBD-B973-4B70-9D2F-1B57BAB12E6C}"/>
    <cellStyle name="Currency 2 8 12 7 2" xfId="5228" xr:uid="{5091853D-3623-4316-89C4-5C0DF1151D88}"/>
    <cellStyle name="Currency 2 8 12 7 2 2" xfId="5229" xr:uid="{35E6995F-D2D1-4CF9-BCA1-88AF3A84817A}"/>
    <cellStyle name="Currency 2 8 12 7 3" xfId="5230" xr:uid="{8555BE9B-21ED-41D2-A118-4272AAEE306B}"/>
    <cellStyle name="Currency 2 8 12 8" xfId="5231" xr:uid="{DBE6FB0E-C335-4910-AE9C-FF8EFC86A826}"/>
    <cellStyle name="Currency 2 8 12 8 2" xfId="5232" xr:uid="{38C5D4D1-AD91-4761-A620-68F31E300451}"/>
    <cellStyle name="Currency 2 8 12 9" xfId="5233" xr:uid="{E83FA0FD-0DDA-4E99-A3F0-7E6B5B577DD9}"/>
    <cellStyle name="Currency 2 8 13" xfId="5234" xr:uid="{03E0F3A7-B82B-4F74-843F-7C8232DF2058}"/>
    <cellStyle name="Currency 2 8 14" xfId="5235" xr:uid="{F9AD9166-D4BF-4E72-B978-4BB1C8942138}"/>
    <cellStyle name="Currency 2 8 14 2" xfId="5236" xr:uid="{8BDEC8F7-28B5-41F4-967E-DEBFFA7F8D21}"/>
    <cellStyle name="Currency 2 8 14 2 2" xfId="5237" xr:uid="{5324FEC2-983E-4B76-ADED-815D1C199623}"/>
    <cellStyle name="Currency 2 8 14 2 2 2" xfId="5238" xr:uid="{ADF5FFA9-A999-4B5B-8870-7C075AA0617B}"/>
    <cellStyle name="Currency 2 8 14 2 2 2 2" xfId="5239" xr:uid="{D81675BF-55BD-480A-B400-7DDD08614CF0}"/>
    <cellStyle name="Currency 2 8 14 2 2 3" xfId="5240" xr:uid="{BBE740D1-CB41-4ABF-BF4D-DE7EB04730AD}"/>
    <cellStyle name="Currency 2 8 14 2 2 4" xfId="5241" xr:uid="{9D2ED0A9-849B-4524-B7F8-82B3B98F3D6F}"/>
    <cellStyle name="Currency 2 8 14 2 3" xfId="5242" xr:uid="{13C81FD4-7B1A-424E-8F37-C90D10C4C894}"/>
    <cellStyle name="Currency 2 8 14 2 3 2" xfId="5243" xr:uid="{4FD0C8BC-0411-4F31-9CA6-C4CCC0F71B86}"/>
    <cellStyle name="Currency 2 8 14 2 4" xfId="5244" xr:uid="{9F8D9F93-0785-4DA9-B8A7-DB149A00968A}"/>
    <cellStyle name="Currency 2 8 14 2 5" xfId="5245" xr:uid="{7B6CDE48-2F39-4811-A0F4-C9A0CBC09B59}"/>
    <cellStyle name="Currency 2 8 14 3" xfId="5246" xr:uid="{534D42B8-69A0-40D0-9D2B-4D5E0D2171E5}"/>
    <cellStyle name="Currency 2 8 15" xfId="5247" xr:uid="{8C5D005C-3B66-42BA-A67A-A043F098E853}"/>
    <cellStyle name="Currency 2 8 15 2" xfId="5248" xr:uid="{E30CADFE-1A2F-47C4-8229-ADE5980881CB}"/>
    <cellStyle name="Currency 2 8 15 2 2" xfId="5249" xr:uid="{7209DDD3-508C-49D2-A51C-282D0515E72F}"/>
    <cellStyle name="Currency 2 8 15 2 2 2" xfId="5250" xr:uid="{8CF12747-03A6-4D71-B6CF-7AAC345EA199}"/>
    <cellStyle name="Currency 2 8 15 2 3" xfId="5251" xr:uid="{7530F59C-1FD6-4A85-A943-9F382022B62E}"/>
    <cellStyle name="Currency 2 8 15 2 4" xfId="5252" xr:uid="{73450DC8-2F23-4904-8389-D2724A60B7A4}"/>
    <cellStyle name="Currency 2 8 15 3" xfId="5253" xr:uid="{335FB391-D635-4E1E-A418-956345E6E4C0}"/>
    <cellStyle name="Currency 2 8 15 3 2" xfId="5254" xr:uid="{FF700804-4CD6-4B1B-8262-FE7ABEF83D23}"/>
    <cellStyle name="Currency 2 8 15 4" xfId="5255" xr:uid="{5983A868-D3DF-423A-BE47-A258CD746340}"/>
    <cellStyle name="Currency 2 8 15 5" xfId="5256" xr:uid="{0D2E5F41-B67A-4A83-AEFC-C1A69DE0EE04}"/>
    <cellStyle name="Currency 2 8 16" xfId="5257" xr:uid="{C9FE5489-4158-477C-A45B-10167CF76992}"/>
    <cellStyle name="Currency 2 8 16 2" xfId="5258" xr:uid="{CF49A55D-51A4-47D7-953C-62A826695EC9}"/>
    <cellStyle name="Currency 2 8 16 2 2" xfId="5259" xr:uid="{9D68F893-5D17-4777-A77A-B54DCBDEE079}"/>
    <cellStyle name="Currency 2 8 16 3" xfId="5260" xr:uid="{C16910C4-CEA8-4A57-8296-132E4B0321DF}"/>
    <cellStyle name="Currency 2 8 17" xfId="5261" xr:uid="{906E921E-E3D2-4F9A-916C-AD503BFE72DF}"/>
    <cellStyle name="Currency 2 8 17 2" xfId="5262" xr:uid="{6C5E159C-0941-4576-8CCF-7CAFE38011DE}"/>
    <cellStyle name="Currency 2 8 17 2 2" xfId="5263" xr:uid="{C3112B92-493A-4553-90E5-E05A5222C073}"/>
    <cellStyle name="Currency 2 8 17 3" xfId="5264" xr:uid="{5B7CB52A-CB70-44B6-BBD3-C591B57F6C04}"/>
    <cellStyle name="Currency 2 8 18" xfId="5265" xr:uid="{7B7BAD78-9663-41D1-B761-756412C1F2B0}"/>
    <cellStyle name="Currency 2 8 18 2" xfId="5266" xr:uid="{246B59F8-C376-44FD-A603-E4710DB98142}"/>
    <cellStyle name="Currency 2 8 19" xfId="5267" xr:uid="{B9DAFA53-AAD7-4792-BDC6-41E39E0B5E0E}"/>
    <cellStyle name="Currency 2 8 2" xfId="5268" xr:uid="{E8B4D90A-AF96-42AE-ACCB-28E4BD57D9DF}"/>
    <cellStyle name="Currency 2 8 2 10" xfId="5269" xr:uid="{5638EC52-2055-45E3-9500-06C63457241E}"/>
    <cellStyle name="Currency 2 8 2 2" xfId="5270" xr:uid="{45EFEE83-130D-4771-AD30-72467BA076E9}"/>
    <cellStyle name="Currency 2 8 2 2 2" xfId="5271" xr:uid="{5D4D8338-82FB-422A-8A0F-59A65FC6541F}"/>
    <cellStyle name="Currency 2 8 2 2 2 2" xfId="5272" xr:uid="{067205B1-B682-44F3-AAD3-94F7E38498E2}"/>
    <cellStyle name="Currency 2 8 2 2 2 2 2" xfId="5273" xr:uid="{F0B87BDC-596C-452B-9699-8740F5429282}"/>
    <cellStyle name="Currency 2 8 2 2 2 3" xfId="5274" xr:uid="{962D0072-4615-456E-A006-281D61B8BE14}"/>
    <cellStyle name="Currency 2 8 2 2 2 4" xfId="5275" xr:uid="{8ED18595-E4D1-483F-8630-B547043A6DA5}"/>
    <cellStyle name="Currency 2 8 2 2 3" xfId="5276" xr:uid="{25E9DFCF-FBF0-4148-8273-968A2F187DEE}"/>
    <cellStyle name="Currency 2 8 2 2 3 2" xfId="5277" xr:uid="{74C60C65-8287-4225-A3A7-CE87EC67FF7C}"/>
    <cellStyle name="Currency 2 8 2 2 4" xfId="5278" xr:uid="{A432E024-58EF-452D-B1A7-DAE0E0EB3F06}"/>
    <cellStyle name="Currency 2 8 2 2 5" xfId="5279" xr:uid="{8C788744-65D4-4D29-A1F7-E195F72084DD}"/>
    <cellStyle name="Currency 2 8 2 3" xfId="5280" xr:uid="{0FD20755-1656-4FC5-BA7B-98B7F748C91A}"/>
    <cellStyle name="Currency 2 8 2 4" xfId="5281" xr:uid="{A9690B46-A38E-46D1-A66A-A653B2C9F010}"/>
    <cellStyle name="Currency 2 8 2 5" xfId="5282" xr:uid="{38958443-E069-4A9F-A3A3-766DCBE743A8}"/>
    <cellStyle name="Currency 2 8 2 6" xfId="5283" xr:uid="{690FDE32-7621-45C5-B07A-1556FF104B89}"/>
    <cellStyle name="Currency 2 8 2 6 2" xfId="5284" xr:uid="{E75738CC-077F-41A9-B3FB-A5090686D21D}"/>
    <cellStyle name="Currency 2 8 2 6 2 2" xfId="5285" xr:uid="{1EA8F24D-E04A-49C9-BC7B-BAFC60141717}"/>
    <cellStyle name="Currency 2 8 2 6 3" xfId="5286" xr:uid="{5B56B172-DF7A-43A3-B42E-76F702243AE9}"/>
    <cellStyle name="Currency 2 8 2 7" xfId="5287" xr:uid="{4BBEFA6E-B335-4AAB-9DD6-F99CC4847D1B}"/>
    <cellStyle name="Currency 2 8 2 7 2" xfId="5288" xr:uid="{8A6F7F26-6E7A-4222-8B06-4EF87395DD5B}"/>
    <cellStyle name="Currency 2 8 2 7 2 2" xfId="5289" xr:uid="{16C75727-DB0B-4F09-BAC4-0385BC96384B}"/>
    <cellStyle name="Currency 2 8 2 7 3" xfId="5290" xr:uid="{4433AFCE-D986-402C-85F9-A75882717A7D}"/>
    <cellStyle name="Currency 2 8 2 8" xfId="5291" xr:uid="{A7DBFC3C-5919-455B-9881-49ECF261F370}"/>
    <cellStyle name="Currency 2 8 2 8 2" xfId="5292" xr:uid="{D6B5A44A-73FA-43BD-93C5-D3EB49859D74}"/>
    <cellStyle name="Currency 2 8 2 9" xfId="5293" xr:uid="{789BCFF8-6498-4102-A4EE-A282E50D525A}"/>
    <cellStyle name="Currency 2 8 20" xfId="5294" xr:uid="{481CE37C-A876-4AE9-A326-90BBCABAF620}"/>
    <cellStyle name="Currency 2 8 3" xfId="5295" xr:uid="{B394FB43-04FA-4207-8615-284773B0B7FE}"/>
    <cellStyle name="Currency 2 8 3 10" xfId="5296" xr:uid="{CD269728-E412-4D56-A4F7-69708D21B2D5}"/>
    <cellStyle name="Currency 2 8 3 2" xfId="5297" xr:uid="{FFA68863-1F85-410F-BC9A-17283C893732}"/>
    <cellStyle name="Currency 2 8 3 2 2" xfId="5298" xr:uid="{76436348-7D78-4760-9032-8E70D993D394}"/>
    <cellStyle name="Currency 2 8 3 2 2 2" xfId="5299" xr:uid="{920E4F86-AA05-4D6E-939D-BC2099CD43B5}"/>
    <cellStyle name="Currency 2 8 3 2 2 2 2" xfId="5300" xr:uid="{F15BA69E-FAED-4688-9419-EDBBF87AB7D0}"/>
    <cellStyle name="Currency 2 8 3 2 2 3" xfId="5301" xr:uid="{64FACA89-B404-43AD-AE88-610BEB3D36AC}"/>
    <cellStyle name="Currency 2 8 3 2 2 4" xfId="5302" xr:uid="{3DD8B007-86E6-4414-BE54-2B2EB7DCBADA}"/>
    <cellStyle name="Currency 2 8 3 2 3" xfId="5303" xr:uid="{6EA4A470-F2EB-46DB-9409-1C3E8A4A5804}"/>
    <cellStyle name="Currency 2 8 3 2 3 2" xfId="5304" xr:uid="{37C16EA6-1915-46D2-BFE8-D50697726BD9}"/>
    <cellStyle name="Currency 2 8 3 2 4" xfId="5305" xr:uid="{612225D9-2899-4106-98A3-0F8FA7578D09}"/>
    <cellStyle name="Currency 2 8 3 2 5" xfId="5306" xr:uid="{7DCE8CFC-1556-4459-9204-38A034620283}"/>
    <cellStyle name="Currency 2 8 3 3" xfId="5307" xr:uid="{0054E2A6-6EF9-4C8B-A707-43E5DD752CB4}"/>
    <cellStyle name="Currency 2 8 3 4" xfId="5308" xr:uid="{BB6E5071-E5BD-4EF5-8EB1-C2BCAF4409DC}"/>
    <cellStyle name="Currency 2 8 3 5" xfId="5309" xr:uid="{FCAC9A10-1622-4547-9246-88ED113C1303}"/>
    <cellStyle name="Currency 2 8 3 6" xfId="5310" xr:uid="{23DFE1E9-7F40-464F-A339-AC6BF10BC210}"/>
    <cellStyle name="Currency 2 8 3 6 2" xfId="5311" xr:uid="{E1506077-2F16-44AC-9FC3-4DE099A5DFA1}"/>
    <cellStyle name="Currency 2 8 3 6 2 2" xfId="5312" xr:uid="{9C77D4AC-3438-47E7-BE1B-DB10CB11BA3D}"/>
    <cellStyle name="Currency 2 8 3 6 3" xfId="5313" xr:uid="{3B7443E9-9B8F-40B5-81FC-FFAA34B0636F}"/>
    <cellStyle name="Currency 2 8 3 7" xfId="5314" xr:uid="{B6686A96-3B91-495B-BC98-CF464F6BC741}"/>
    <cellStyle name="Currency 2 8 3 7 2" xfId="5315" xr:uid="{B5876792-C666-4D23-BD27-E4EB3EC2753A}"/>
    <cellStyle name="Currency 2 8 3 7 2 2" xfId="5316" xr:uid="{B5D0C195-95C3-403C-8A59-797FCDF4AA95}"/>
    <cellStyle name="Currency 2 8 3 7 3" xfId="5317" xr:uid="{68FB2F49-C09A-495C-A463-C058F55EB77D}"/>
    <cellStyle name="Currency 2 8 3 8" xfId="5318" xr:uid="{74A7D6CD-6EB7-4945-8806-6CC805162EB5}"/>
    <cellStyle name="Currency 2 8 3 8 2" xfId="5319" xr:uid="{FE2A476D-48A8-4EC0-A645-C5C4621DC8C8}"/>
    <cellStyle name="Currency 2 8 3 9" xfId="5320" xr:uid="{561A095B-C105-4654-975D-9CD2E9B7C2D9}"/>
    <cellStyle name="Currency 2 8 4" xfId="5321" xr:uid="{51A01F3C-FB3F-4AE5-994B-098FB16872B3}"/>
    <cellStyle name="Currency 2 8 4 10" xfId="5322" xr:uid="{CEEAE75D-3CE8-4528-A133-9BE2964738CF}"/>
    <cellStyle name="Currency 2 8 4 2" xfId="5323" xr:uid="{EAB07E5B-3073-4AFA-A8E2-3BE3A6A3FA5D}"/>
    <cellStyle name="Currency 2 8 4 2 2" xfId="5324" xr:uid="{91C17D17-BAC9-4921-AAA5-832CF7890999}"/>
    <cellStyle name="Currency 2 8 4 2 2 2" xfId="5325" xr:uid="{342F250A-6A37-4389-9685-D8D7FF680110}"/>
    <cellStyle name="Currency 2 8 4 2 2 2 2" xfId="5326" xr:uid="{5DD6F8B7-DED6-4186-AF30-EC841C50DE3D}"/>
    <cellStyle name="Currency 2 8 4 2 2 3" xfId="5327" xr:uid="{CBACF7F6-7143-4C95-833C-E4455BE9B66A}"/>
    <cellStyle name="Currency 2 8 4 2 2 4" xfId="5328" xr:uid="{2B2CFCB3-0B37-495C-81CB-36739A617CD7}"/>
    <cellStyle name="Currency 2 8 4 2 3" xfId="5329" xr:uid="{63454A8E-973A-4960-9D5F-0F5E08F883F1}"/>
    <cellStyle name="Currency 2 8 4 2 3 2" xfId="5330" xr:uid="{1D806BBB-3207-4C1E-B4B9-23732D1FED39}"/>
    <cellStyle name="Currency 2 8 4 2 4" xfId="5331" xr:uid="{49AA7664-2464-4E30-80D1-93AEEABD49D0}"/>
    <cellStyle name="Currency 2 8 4 2 5" xfId="5332" xr:uid="{4E3874DA-0568-45BC-A439-696A0D16ED92}"/>
    <cellStyle name="Currency 2 8 4 3" xfId="5333" xr:uid="{FE8CB4E6-F0AD-436D-B899-D5C31585DBD4}"/>
    <cellStyle name="Currency 2 8 4 4" xfId="5334" xr:uid="{3F7FC95D-34C6-4566-9D9F-E288C9DB8CEB}"/>
    <cellStyle name="Currency 2 8 4 5" xfId="5335" xr:uid="{DD84A09B-A21D-47C9-8E2F-56B2D60413CB}"/>
    <cellStyle name="Currency 2 8 4 6" xfId="5336" xr:uid="{465E42BC-A0EA-46DA-9AE5-99506A49B4F1}"/>
    <cellStyle name="Currency 2 8 4 6 2" xfId="5337" xr:uid="{9BF4A6A6-EBD6-41B5-9246-86362555580D}"/>
    <cellStyle name="Currency 2 8 4 6 2 2" xfId="5338" xr:uid="{429EBA09-603D-4F1A-BCFB-EB95AAE84B36}"/>
    <cellStyle name="Currency 2 8 4 6 3" xfId="5339" xr:uid="{ED82B97D-527B-4097-95A7-E1EEACDEB52C}"/>
    <cellStyle name="Currency 2 8 4 7" xfId="5340" xr:uid="{CEA73C4C-F0B4-4CBC-A33C-A64E2D003C4D}"/>
    <cellStyle name="Currency 2 8 4 7 2" xfId="5341" xr:uid="{2563720D-4BF7-4677-B629-91F10249C41F}"/>
    <cellStyle name="Currency 2 8 4 7 2 2" xfId="5342" xr:uid="{9D4C5BCC-2C06-4C78-9EE5-5CB6C0B25932}"/>
    <cellStyle name="Currency 2 8 4 7 3" xfId="5343" xr:uid="{D73D4114-AE44-467D-BECB-9B71508587B9}"/>
    <cellStyle name="Currency 2 8 4 8" xfId="5344" xr:uid="{9B0012F0-DF50-431B-ADC7-D36F506DD27F}"/>
    <cellStyle name="Currency 2 8 4 8 2" xfId="5345" xr:uid="{289EB5BF-4DCD-4357-840F-7245B46E3F2F}"/>
    <cellStyle name="Currency 2 8 4 9" xfId="5346" xr:uid="{599D3B74-E22A-4FDB-A278-CBE8AFD66270}"/>
    <cellStyle name="Currency 2 8 5" xfId="5347" xr:uid="{36701E27-EC2B-405E-BD99-81E851329D77}"/>
    <cellStyle name="Currency 2 8 5 10" xfId="5348" xr:uid="{E66A8C39-7CDF-4DEC-B41E-1A1EBCA89144}"/>
    <cellStyle name="Currency 2 8 5 2" xfId="5349" xr:uid="{D4C73B63-1081-4A86-BE58-C2E13DB71F14}"/>
    <cellStyle name="Currency 2 8 5 2 2" xfId="5350" xr:uid="{7A494A0C-DADF-438D-93B2-FC296527C175}"/>
    <cellStyle name="Currency 2 8 5 2 2 2" xfId="5351" xr:uid="{B091C7BD-51C7-4ABB-A8B0-18EC5A292CF5}"/>
    <cellStyle name="Currency 2 8 5 2 2 2 2" xfId="5352" xr:uid="{D1EB85A3-066D-4F67-9E77-926341411497}"/>
    <cellStyle name="Currency 2 8 5 2 2 3" xfId="5353" xr:uid="{E2CDE47F-1392-42D2-90D7-CDBB2E5F7C86}"/>
    <cellStyle name="Currency 2 8 5 2 2 4" xfId="5354" xr:uid="{8BB1CF19-AA20-46ED-B75C-9F4049EA94EB}"/>
    <cellStyle name="Currency 2 8 5 2 3" xfId="5355" xr:uid="{911D3BDB-8749-46F5-9160-D944F3E3F05A}"/>
    <cellStyle name="Currency 2 8 5 2 3 2" xfId="5356" xr:uid="{F5C2BBA9-0C1E-4652-B988-D8B526302FCD}"/>
    <cellStyle name="Currency 2 8 5 2 4" xfId="5357" xr:uid="{D2DE13DD-10E2-4A45-A9A5-0BABBBAEF4B9}"/>
    <cellStyle name="Currency 2 8 5 2 5" xfId="5358" xr:uid="{BFAA1740-7938-4726-8279-E0BAD4B94377}"/>
    <cellStyle name="Currency 2 8 5 3" xfId="5359" xr:uid="{6D67A331-A89C-48F6-90D0-3450001CF552}"/>
    <cellStyle name="Currency 2 8 5 4" xfId="5360" xr:uid="{6B59F72C-1C25-4235-A5A6-1405BD8E5C39}"/>
    <cellStyle name="Currency 2 8 5 5" xfId="5361" xr:uid="{26259E66-2732-4CA2-B1BC-B2F16E0ECE87}"/>
    <cellStyle name="Currency 2 8 5 6" xfId="5362" xr:uid="{35CF0C0F-8F8F-455C-9D9F-7F4BF6C7C787}"/>
    <cellStyle name="Currency 2 8 5 6 2" xfId="5363" xr:uid="{3920F098-338E-4F31-BEF3-6113A32842E3}"/>
    <cellStyle name="Currency 2 8 5 6 2 2" xfId="5364" xr:uid="{AF77AD28-DE7D-45E4-8E8B-80B43E661136}"/>
    <cellStyle name="Currency 2 8 5 6 3" xfId="5365" xr:uid="{46DD1DC3-9403-4C6A-9CA7-B2B9BED07B0E}"/>
    <cellStyle name="Currency 2 8 5 7" xfId="5366" xr:uid="{A29AB932-8E50-432D-AFB4-F96CCD23933F}"/>
    <cellStyle name="Currency 2 8 5 7 2" xfId="5367" xr:uid="{387F0EBA-7C04-4D4B-A49F-F9196E04C4CE}"/>
    <cellStyle name="Currency 2 8 5 7 2 2" xfId="5368" xr:uid="{D6B52106-4F83-4519-A6E9-E167B82E683D}"/>
    <cellStyle name="Currency 2 8 5 7 3" xfId="5369" xr:uid="{A2E02E43-08B2-46DA-8952-722081C8BFFB}"/>
    <cellStyle name="Currency 2 8 5 8" xfId="5370" xr:uid="{74CEC2DF-CFC1-439E-88F0-841C4CE43249}"/>
    <cellStyle name="Currency 2 8 5 8 2" xfId="5371" xr:uid="{97AFED36-9AEC-4F44-B051-F27678FEBA66}"/>
    <cellStyle name="Currency 2 8 5 9" xfId="5372" xr:uid="{BD20330D-AB87-4F55-84B2-3BE097DE0262}"/>
    <cellStyle name="Currency 2 8 6" xfId="5373" xr:uid="{A2976A37-397D-4335-812E-27653E145110}"/>
    <cellStyle name="Currency 2 8 6 10" xfId="5374" xr:uid="{8361C3B9-0F69-44F2-8D61-E4CC7082B97C}"/>
    <cellStyle name="Currency 2 8 6 2" xfId="5375" xr:uid="{AB7DCA77-5441-4CC6-8D0B-660E4AB881A6}"/>
    <cellStyle name="Currency 2 8 6 2 2" xfId="5376" xr:uid="{D9E5356E-82B9-4A5A-B6CD-4EDAA3AAE061}"/>
    <cellStyle name="Currency 2 8 6 2 2 2" xfId="5377" xr:uid="{62B68E98-E0FE-4514-9256-A7254A39A5FB}"/>
    <cellStyle name="Currency 2 8 6 2 2 2 2" xfId="5378" xr:uid="{605794D8-2827-4937-8DFA-CFA5E6E30596}"/>
    <cellStyle name="Currency 2 8 6 2 2 3" xfId="5379" xr:uid="{85290025-4391-4C7C-B62E-94FF94489D41}"/>
    <cellStyle name="Currency 2 8 6 2 2 4" xfId="5380" xr:uid="{249393EE-45DA-434D-BBC1-7E3B9EBA92ED}"/>
    <cellStyle name="Currency 2 8 6 2 3" xfId="5381" xr:uid="{5E0B7F01-D6A9-4A25-A169-0FB93F58DF62}"/>
    <cellStyle name="Currency 2 8 6 2 3 2" xfId="5382" xr:uid="{03E5B3C1-4A52-44E2-91DB-6979D9CED8EC}"/>
    <cellStyle name="Currency 2 8 6 2 4" xfId="5383" xr:uid="{A0EE9E53-CB18-42F7-9BB5-987B1137E87E}"/>
    <cellStyle name="Currency 2 8 6 2 5" xfId="5384" xr:uid="{7142C2A5-41A7-4245-A493-748C3684323A}"/>
    <cellStyle name="Currency 2 8 6 3" xfId="5385" xr:uid="{C4FACD2C-8781-4902-8145-B8F039A179DE}"/>
    <cellStyle name="Currency 2 8 6 4" xfId="5386" xr:uid="{748B0AE0-238D-49F2-94FA-FE4F23ADFC2A}"/>
    <cellStyle name="Currency 2 8 6 5" xfId="5387" xr:uid="{64E06E87-2BF0-4BCD-B002-73A3B87F15C5}"/>
    <cellStyle name="Currency 2 8 6 6" xfId="5388" xr:uid="{D22DA9AF-5708-48A8-A583-F722B1E63271}"/>
    <cellStyle name="Currency 2 8 6 6 2" xfId="5389" xr:uid="{8CBF41ED-0508-4007-BA17-31E12DE8D828}"/>
    <cellStyle name="Currency 2 8 6 6 2 2" xfId="5390" xr:uid="{EF3822DB-0D44-4F13-8F3C-EB29FDA302EA}"/>
    <cellStyle name="Currency 2 8 6 6 3" xfId="5391" xr:uid="{37E5CE01-8561-44FB-BB70-D62D34B98EAF}"/>
    <cellStyle name="Currency 2 8 6 7" xfId="5392" xr:uid="{BF625C8E-9CD1-419C-9F16-6F1EE5C46890}"/>
    <cellStyle name="Currency 2 8 6 7 2" xfId="5393" xr:uid="{1F2D55CC-643C-470F-9230-7634BE82C9F9}"/>
    <cellStyle name="Currency 2 8 6 7 2 2" xfId="5394" xr:uid="{630BD53C-5652-42F0-8780-8E008AAE66E0}"/>
    <cellStyle name="Currency 2 8 6 7 3" xfId="5395" xr:uid="{CAC0C85E-65CD-487D-96A5-DE69F2E09D94}"/>
    <cellStyle name="Currency 2 8 6 8" xfId="5396" xr:uid="{D2DEADCA-CDB6-4934-9194-E3FB25D7DF2F}"/>
    <cellStyle name="Currency 2 8 6 8 2" xfId="5397" xr:uid="{6323C38F-43B4-4136-BD1C-F2953AA79003}"/>
    <cellStyle name="Currency 2 8 6 9" xfId="5398" xr:uid="{5A52B243-C9D1-4B4B-AB56-6C2B167C5095}"/>
    <cellStyle name="Currency 2 8 7" xfId="5399" xr:uid="{4D31AA19-05EC-4199-8F2F-D09B597D79F2}"/>
    <cellStyle name="Currency 2 8 7 10" xfId="5400" xr:uid="{F8F35B70-4EE0-4DB1-BAA0-A2F13AFF7B3F}"/>
    <cellStyle name="Currency 2 8 7 2" xfId="5401" xr:uid="{FB0F6742-8A18-40D8-96D1-113F55174922}"/>
    <cellStyle name="Currency 2 8 7 2 2" xfId="5402" xr:uid="{C46560C3-40F6-48C9-9A34-E17AAB37F209}"/>
    <cellStyle name="Currency 2 8 7 2 2 2" xfId="5403" xr:uid="{4D0981C7-4427-4E52-BD2C-94849C2FF118}"/>
    <cellStyle name="Currency 2 8 7 2 2 2 2" xfId="5404" xr:uid="{956EE34B-9F53-4683-9D45-D7DC378CCFCE}"/>
    <cellStyle name="Currency 2 8 7 2 2 3" xfId="5405" xr:uid="{1DA4EA59-090E-44B1-A747-2A1DEAEC2510}"/>
    <cellStyle name="Currency 2 8 7 2 2 4" xfId="5406" xr:uid="{9D4F1D44-4D94-45C8-8249-F15A6F4249EB}"/>
    <cellStyle name="Currency 2 8 7 2 3" xfId="5407" xr:uid="{749A63D8-B278-4D50-A5EB-81FBF4614B8C}"/>
    <cellStyle name="Currency 2 8 7 2 3 2" xfId="5408" xr:uid="{1ABD70F3-7F6D-493D-9F00-0DD6B25F6AA8}"/>
    <cellStyle name="Currency 2 8 7 2 4" xfId="5409" xr:uid="{2D94C1BD-78FD-42FE-9451-0D4960AE4C80}"/>
    <cellStyle name="Currency 2 8 7 2 5" xfId="5410" xr:uid="{A224BDAE-BA9C-4FFD-9FE7-E5B1721B6F70}"/>
    <cellStyle name="Currency 2 8 7 3" xfId="5411" xr:uid="{7ED98B25-85D3-431F-877C-D99334C3DEF3}"/>
    <cellStyle name="Currency 2 8 7 4" xfId="5412" xr:uid="{3F63E5EF-A0A0-4876-AD36-EBCFEA40D9F1}"/>
    <cellStyle name="Currency 2 8 7 5" xfId="5413" xr:uid="{6221345D-2916-43A8-92E4-DB14DACDB9FA}"/>
    <cellStyle name="Currency 2 8 7 6" xfId="5414" xr:uid="{C543BE68-F2DB-472E-A1E4-77ADBBA85801}"/>
    <cellStyle name="Currency 2 8 7 6 2" xfId="5415" xr:uid="{78A2A9F2-A5BE-46FC-A506-3D12E3432D45}"/>
    <cellStyle name="Currency 2 8 7 6 2 2" xfId="5416" xr:uid="{B34C5238-D2CA-4CB8-851D-959CC46AF282}"/>
    <cellStyle name="Currency 2 8 7 6 3" xfId="5417" xr:uid="{0D84D199-6688-4493-BB0B-DF56CF1AE45D}"/>
    <cellStyle name="Currency 2 8 7 7" xfId="5418" xr:uid="{BF1E5FC7-5C49-45EF-8DB0-07614D5B3411}"/>
    <cellStyle name="Currency 2 8 7 7 2" xfId="5419" xr:uid="{4401883A-9075-401C-9327-BFB30DD04DC4}"/>
    <cellStyle name="Currency 2 8 7 7 2 2" xfId="5420" xr:uid="{69FDCB40-D78E-4B2D-98AA-6553E2660F00}"/>
    <cellStyle name="Currency 2 8 7 7 3" xfId="5421" xr:uid="{51D28578-FC21-452A-914A-63202A8D0B84}"/>
    <cellStyle name="Currency 2 8 7 8" xfId="5422" xr:uid="{3CC659CA-8F3C-4B42-BC78-79BECA66327E}"/>
    <cellStyle name="Currency 2 8 7 8 2" xfId="5423" xr:uid="{336D9210-50C8-4BE5-859F-F7235191E206}"/>
    <cellStyle name="Currency 2 8 7 9" xfId="5424" xr:uid="{486D9BC0-DB82-4D18-8E6C-D7330FF64A00}"/>
    <cellStyle name="Currency 2 8 8" xfId="5425" xr:uid="{CD261605-EF26-4881-B4B9-68378B57ABC2}"/>
    <cellStyle name="Currency 2 8 8 10" xfId="5426" xr:uid="{4A5CFE1F-6991-4193-AB51-C19F6FFD3672}"/>
    <cellStyle name="Currency 2 8 8 2" xfId="5427" xr:uid="{EB5CA132-60EA-491B-B3A8-DD3B6EBA4754}"/>
    <cellStyle name="Currency 2 8 8 2 2" xfId="5428" xr:uid="{DE2B17A9-B91A-4581-B556-CB03F61D3926}"/>
    <cellStyle name="Currency 2 8 8 2 2 2" xfId="5429" xr:uid="{8048BB4D-C3AB-4CB0-9911-1598E76E33FB}"/>
    <cellStyle name="Currency 2 8 8 2 2 2 2" xfId="5430" xr:uid="{C2B2F1CD-DC3D-4313-A036-48E9DDF6A30D}"/>
    <cellStyle name="Currency 2 8 8 2 2 3" xfId="5431" xr:uid="{241A14BC-224D-4145-9072-146F63E7C7BA}"/>
    <cellStyle name="Currency 2 8 8 2 2 4" xfId="5432" xr:uid="{6F666D93-93E9-4071-8990-EFACCA1CFE31}"/>
    <cellStyle name="Currency 2 8 8 2 3" xfId="5433" xr:uid="{8832AA90-D194-4A30-BF68-27234AEB7716}"/>
    <cellStyle name="Currency 2 8 8 2 3 2" xfId="5434" xr:uid="{A9B8850F-CEF8-47CF-886F-F7AD21F2840E}"/>
    <cellStyle name="Currency 2 8 8 2 4" xfId="5435" xr:uid="{1BCC0F5E-2D80-497A-AB63-7FC6AF2A810D}"/>
    <cellStyle name="Currency 2 8 8 2 5" xfId="5436" xr:uid="{FED24065-59E5-49F8-897F-33EF1E569489}"/>
    <cellStyle name="Currency 2 8 8 3" xfId="5437" xr:uid="{32A7F2AD-3E52-47E9-AF5D-FC0EA3CC4846}"/>
    <cellStyle name="Currency 2 8 8 4" xfId="5438" xr:uid="{B1B168D1-AB89-465A-9E59-ECBA282D5FAC}"/>
    <cellStyle name="Currency 2 8 8 5" xfId="5439" xr:uid="{BAC1634C-917A-42D0-A350-E5A44DDC85D4}"/>
    <cellStyle name="Currency 2 8 8 6" xfId="5440" xr:uid="{7D4B4540-098E-4586-9C86-034FCDA7B5CE}"/>
    <cellStyle name="Currency 2 8 8 6 2" xfId="5441" xr:uid="{CFC883BE-2159-4EA0-A4B0-EDC5289B760C}"/>
    <cellStyle name="Currency 2 8 8 6 2 2" xfId="5442" xr:uid="{961F8C3F-85AC-4292-8DB9-E96B6A233AAD}"/>
    <cellStyle name="Currency 2 8 8 6 3" xfId="5443" xr:uid="{F175B585-B9D4-4F85-BB20-22C6C224A9A1}"/>
    <cellStyle name="Currency 2 8 8 7" xfId="5444" xr:uid="{8C41ECFD-04AE-4810-A654-32E3D8236B0E}"/>
    <cellStyle name="Currency 2 8 8 7 2" xfId="5445" xr:uid="{E1E2839A-05E9-4957-AFEF-4BF253FB4E06}"/>
    <cellStyle name="Currency 2 8 8 7 2 2" xfId="5446" xr:uid="{CCEB48E2-3798-4334-88A7-2EAF3EAAC793}"/>
    <cellStyle name="Currency 2 8 8 7 3" xfId="5447" xr:uid="{C443590C-DCCD-4FB9-A162-29B504DE3226}"/>
    <cellStyle name="Currency 2 8 8 8" xfId="5448" xr:uid="{899A56EA-B61D-4BF3-A3FD-B44FB3F0CFCB}"/>
    <cellStyle name="Currency 2 8 8 8 2" xfId="5449" xr:uid="{CE790D4A-18C8-4145-9D78-1752C4136E22}"/>
    <cellStyle name="Currency 2 8 8 9" xfId="5450" xr:uid="{BE80CA06-9CDB-434A-8145-87082F6B17E0}"/>
    <cellStyle name="Currency 2 8 9" xfId="5451" xr:uid="{E104D7E8-CC0D-4546-9DEA-6B90E4CA9CEB}"/>
    <cellStyle name="Currency 2 8 9 10" xfId="5452" xr:uid="{24613B28-2E54-423B-947D-6E223EC13E79}"/>
    <cellStyle name="Currency 2 8 9 2" xfId="5453" xr:uid="{1401D47C-E480-41C0-A8AA-47C14B52AF5C}"/>
    <cellStyle name="Currency 2 8 9 2 2" xfId="5454" xr:uid="{8C2588E4-2AB8-4310-BA9A-DCFFACEC120D}"/>
    <cellStyle name="Currency 2 8 9 2 2 2" xfId="5455" xr:uid="{24403FE6-199E-4364-A50B-65C42AB3622F}"/>
    <cellStyle name="Currency 2 8 9 2 2 2 2" xfId="5456" xr:uid="{CA42B29A-B386-4435-ADAE-D85293EA608F}"/>
    <cellStyle name="Currency 2 8 9 2 2 3" xfId="5457" xr:uid="{158C192D-D3DC-4C2D-B1EE-3461B75091F8}"/>
    <cellStyle name="Currency 2 8 9 2 2 4" xfId="5458" xr:uid="{D7D494FE-7615-4C9C-B375-0B36040749D3}"/>
    <cellStyle name="Currency 2 8 9 2 3" xfId="5459" xr:uid="{D58A1DA3-1D80-4B71-B2B2-425C528974A1}"/>
    <cellStyle name="Currency 2 8 9 2 3 2" xfId="5460" xr:uid="{F2E0BF32-E79F-45F3-AD8B-89D5EF7D60D4}"/>
    <cellStyle name="Currency 2 8 9 2 4" xfId="5461" xr:uid="{00E7DABE-1A63-445A-9E04-2142B60BA506}"/>
    <cellStyle name="Currency 2 8 9 2 5" xfId="5462" xr:uid="{36BD9758-08CD-4E89-98B0-55DCAD6D0C64}"/>
    <cellStyle name="Currency 2 8 9 3" xfId="5463" xr:uid="{216FA8BF-525B-4CD8-A657-8DA54921D93D}"/>
    <cellStyle name="Currency 2 8 9 4" xfId="5464" xr:uid="{2CC1C1A5-8E03-4A60-A34D-DDC679337414}"/>
    <cellStyle name="Currency 2 8 9 5" xfId="5465" xr:uid="{1A9D3259-F0F7-4F12-A93C-F27A5AE50E16}"/>
    <cellStyle name="Currency 2 8 9 6" xfId="5466" xr:uid="{89A90900-3244-42E3-BD3F-6ACCC11B4A73}"/>
    <cellStyle name="Currency 2 8 9 6 2" xfId="5467" xr:uid="{8BA53DB6-73B8-4004-B0B6-8C1ABB730EAC}"/>
    <cellStyle name="Currency 2 8 9 6 2 2" xfId="5468" xr:uid="{DCAA5868-2641-4290-B686-FE55A98BF459}"/>
    <cellStyle name="Currency 2 8 9 6 3" xfId="5469" xr:uid="{25BA09EC-D9E6-4EAE-B782-05BB81DC3E5E}"/>
    <cellStyle name="Currency 2 8 9 7" xfId="5470" xr:uid="{466D96CF-4F34-4527-AD49-ECA9AAEF5401}"/>
    <cellStyle name="Currency 2 8 9 7 2" xfId="5471" xr:uid="{F9841EEE-6302-45B2-840E-194D62371141}"/>
    <cellStyle name="Currency 2 8 9 7 2 2" xfId="5472" xr:uid="{BCFF19B3-607C-4789-8581-E33AE63EC3CB}"/>
    <cellStyle name="Currency 2 8 9 7 3" xfId="5473" xr:uid="{6F486387-CFBD-4793-9EDC-C52502580132}"/>
    <cellStyle name="Currency 2 8 9 8" xfId="5474" xr:uid="{4B8435F7-58F2-4EAF-94A4-9AF3A9F1E101}"/>
    <cellStyle name="Currency 2 8 9 8 2" xfId="5475" xr:uid="{B67E3ABE-E8E6-4662-AE5D-C64648B4ECB4}"/>
    <cellStyle name="Currency 2 8 9 9" xfId="5476" xr:uid="{32B3709D-407A-4184-96E8-D991E9511C80}"/>
    <cellStyle name="Currency 2 9" xfId="5477" xr:uid="{5B5B7587-0264-432A-9EC8-08770CE724E4}"/>
    <cellStyle name="Currency 20" xfId="44729" xr:uid="{05EBC756-F744-4F12-8362-CC665200BFE5}"/>
    <cellStyle name="Currency 21" xfId="44733" xr:uid="{1387C8AB-2C9E-4303-92C3-42E654F531B6}"/>
    <cellStyle name="Currency 21 2" xfId="44740" xr:uid="{E6DAAD79-B4B3-4A51-8048-6D9FAB5914F7}"/>
    <cellStyle name="Currency 22" xfId="44759" xr:uid="{CA2DC6D9-9C45-4C70-A0AD-AC1F87569FAA}"/>
    <cellStyle name="Currency 3" xfId="13" xr:uid="{C0942D61-971B-4423-AD7C-7C71F2F05C65}"/>
    <cellStyle name="Currency 3 10" xfId="5478" xr:uid="{B580AAFA-0998-43C6-851A-C57D9C140D87}"/>
    <cellStyle name="Currency 3 11" xfId="5479" xr:uid="{4D2A057F-58F0-48F8-98FF-26626A2BCC9F}"/>
    <cellStyle name="Currency 3 12" xfId="5480" xr:uid="{52316497-6721-4F30-9EE5-57840FB32907}"/>
    <cellStyle name="Currency 3 13" xfId="5481" xr:uid="{0113E6CF-9761-4AEF-A84F-C7256E6E578C}"/>
    <cellStyle name="Currency 3 14" xfId="5482" xr:uid="{B7E192BA-A7C2-4A57-8AB0-5173D354AF4F}"/>
    <cellStyle name="Currency 3 14 2" xfId="5483" xr:uid="{FDF0F7E3-386E-4CAC-9601-4AB50186D949}"/>
    <cellStyle name="Currency 3 14 2 2" xfId="5484" xr:uid="{9FDF0B8A-947D-4760-847A-B9F3E89207C8}"/>
    <cellStyle name="Currency 3 14 2 2 2" xfId="5485" xr:uid="{50858244-3080-4B1D-8F91-E3DCEF764CB9}"/>
    <cellStyle name="Currency 3 14 2 2 2 2" xfId="5486" xr:uid="{9743F441-8EE1-4D69-AB57-682DE275CFBF}"/>
    <cellStyle name="Currency 3 14 2 2 3" xfId="5487" xr:uid="{958377FB-5BEE-4043-BDA8-6ABF2A2FE8F3}"/>
    <cellStyle name="Currency 3 14 2 2 4" xfId="5488" xr:uid="{3B73B662-6203-4E05-8261-65C6B75D10F5}"/>
    <cellStyle name="Currency 3 14 2 3" xfId="5489" xr:uid="{30D48889-2C2C-43B1-9AF8-7677E3C1E028}"/>
    <cellStyle name="Currency 3 14 2 3 2" xfId="5490" xr:uid="{03971FBF-3F48-45A9-96A8-C88AA74EEC3E}"/>
    <cellStyle name="Currency 3 14 2 4" xfId="5491" xr:uid="{D6609CB7-6B4D-4E85-A4F2-13ED1D329A0F}"/>
    <cellStyle name="Currency 3 14 2 5" xfId="5492" xr:uid="{1BFB7382-0B23-4991-8379-2275A324DE5C}"/>
    <cellStyle name="Currency 3 14 3" xfId="5493" xr:uid="{53DD3913-39AA-4375-8430-6E0755F74C1F}"/>
    <cellStyle name="Currency 3 15" xfId="5494" xr:uid="{21B459D9-AC5B-4D63-A818-699706EF41F0}"/>
    <cellStyle name="Currency 3 15 2" xfId="5495" xr:uid="{C4A84AE1-4F4D-4FBC-9BDB-479DA3C7D875}"/>
    <cellStyle name="Currency 3 15 2 2" xfId="5496" xr:uid="{F9FE6C43-8195-40EB-8F07-CAFE2B84B8A5}"/>
    <cellStyle name="Currency 3 15 2 2 2" xfId="5497" xr:uid="{4F17FE27-F2A0-4269-A711-002CA1B101B7}"/>
    <cellStyle name="Currency 3 15 2 3" xfId="5498" xr:uid="{6238D50F-1D6F-46E7-82F1-94F3DC7B9A9C}"/>
    <cellStyle name="Currency 3 15 2 4" xfId="5499" xr:uid="{22A4C122-FB29-4931-ABD7-CE7A3F628121}"/>
    <cellStyle name="Currency 3 15 3" xfId="5500" xr:uid="{EACF31A8-0421-4259-9160-CCA5C60F6C12}"/>
    <cellStyle name="Currency 3 15 3 2" xfId="5501" xr:uid="{F8893A1C-9B4D-4706-9122-CCC7DBF2E753}"/>
    <cellStyle name="Currency 3 15 4" xfId="5502" xr:uid="{763CC768-F38D-4C5B-A872-4621699111F1}"/>
    <cellStyle name="Currency 3 15 5" xfId="5503" xr:uid="{DD1A4C4A-5200-42B4-B71E-77D62019331A}"/>
    <cellStyle name="Currency 3 16" xfId="5504" xr:uid="{87309D2C-D0C2-4B27-8BD1-04DCA5B47C04}"/>
    <cellStyle name="Currency 3 16 2" xfId="5505" xr:uid="{21F70FF5-A194-4E76-BC0C-BA36B490F8CA}"/>
    <cellStyle name="Currency 3 16 2 2" xfId="5506" xr:uid="{955B633A-B667-4F49-A3CA-C8ACE80DEA21}"/>
    <cellStyle name="Currency 3 16 3" xfId="5507" xr:uid="{39704967-FE84-4994-8CA0-05D3D73E4F56}"/>
    <cellStyle name="Currency 3 17" xfId="5508" xr:uid="{E1A9A1A2-7F8A-4BF7-8BBA-B179CD35144F}"/>
    <cellStyle name="Currency 3 17 2" xfId="5509" xr:uid="{FE357043-D405-45D4-9F3E-6F2AD25523E4}"/>
    <cellStyle name="Currency 3 17 2 2" xfId="5510" xr:uid="{B50FA2F6-7CB5-4440-89BE-B00FBA87BE83}"/>
    <cellStyle name="Currency 3 17 3" xfId="5511" xr:uid="{A05FB589-0A76-450A-92B4-805956891F03}"/>
    <cellStyle name="Currency 3 18" xfId="5512" xr:uid="{C2EDE50A-48D7-41AC-ADF1-18CFA369A3AE}"/>
    <cellStyle name="Currency 3 18 2" xfId="5513" xr:uid="{9B9AD80F-E606-4279-8C48-6D7935125379}"/>
    <cellStyle name="Currency 3 18 2 2" xfId="5514" xr:uid="{E6AAF5E7-3427-4EEB-AC25-B81D29885A20}"/>
    <cellStyle name="Currency 3 18 3" xfId="5515" xr:uid="{70C4858D-037D-4A4B-ADAC-B6302586D985}"/>
    <cellStyle name="Currency 3 19" xfId="5516" xr:uid="{2BCBD119-F014-4F4C-837B-029364948A2A}"/>
    <cellStyle name="Currency 3 19 2" xfId="5517" xr:uid="{B854E8D1-5C84-4105-A7F5-2183B4064FE5}"/>
    <cellStyle name="Currency 3 19 2 2" xfId="5518" xr:uid="{A9873C8D-2988-46CC-9F2E-F8B110D4A575}"/>
    <cellStyle name="Currency 3 19 3" xfId="5519" xr:uid="{5A1EEECE-A89A-44BD-84B6-8F95712E6D3C}"/>
    <cellStyle name="Currency 3 2" xfId="824" xr:uid="{FF10B740-9CF6-4733-8E8C-180935BA872B}"/>
    <cellStyle name="Currency 3 2 2" xfId="5520" xr:uid="{FC60EB0C-4FEA-4613-876E-88510B2D8028}"/>
    <cellStyle name="Currency 3 2 2 2" xfId="5521" xr:uid="{678EAEBA-5E00-45D5-BF2F-0CD8A123EDDD}"/>
    <cellStyle name="Currency 3 2 3" xfId="5522" xr:uid="{62CCE374-7C0D-4640-A5F1-574EA6F105C7}"/>
    <cellStyle name="Currency 3 2 4" xfId="5523" xr:uid="{987A7BAE-99A6-43F7-BE17-127BD54AA240}"/>
    <cellStyle name="Currency 3 2 5" xfId="44810" xr:uid="{3A4EE4AC-3F11-4795-8CAD-50DD39F60B62}"/>
    <cellStyle name="Currency 3 20" xfId="5524" xr:uid="{BAD05BBA-FA4A-46A0-9B69-15F1CD3B8EA2}"/>
    <cellStyle name="Currency 3 20 2" xfId="5525" xr:uid="{2E3E44C9-5D28-4418-AE99-928CAD054575}"/>
    <cellStyle name="Currency 3 20 2 2" xfId="5526" xr:uid="{83C10FCB-2507-40A2-960D-D1760EF50366}"/>
    <cellStyle name="Currency 3 20 3" xfId="5527" xr:uid="{A40A8156-5C70-4D32-97E9-CE409BEC608C}"/>
    <cellStyle name="Currency 3 21" xfId="5528" xr:uid="{2EC4C024-6A3C-4A36-9B64-A44BA51D98D9}"/>
    <cellStyle name="Currency 3 21 2" xfId="5529" xr:uid="{AF8F38F7-1F94-413E-B35F-4F82A0EE8508}"/>
    <cellStyle name="Currency 3 22" xfId="5530" xr:uid="{58556414-5C75-442A-8EC5-7B88834FA924}"/>
    <cellStyle name="Currency 3 23" xfId="5531" xr:uid="{EF4E41B0-3563-477E-BDB8-5CA6E4A3FA92}"/>
    <cellStyle name="Currency 3 24" xfId="5532" xr:uid="{1FC687BD-EC67-4882-96B9-587E9E2C7E22}"/>
    <cellStyle name="Currency 3 25" xfId="44719" xr:uid="{77C57A0D-70B6-4E6F-ACD0-9A558E30D040}"/>
    <cellStyle name="Currency 3 25 2" xfId="44757" xr:uid="{0BEF4E22-2832-4E6B-B329-11F6D0C2748E}"/>
    <cellStyle name="Currency 3 26" xfId="44803" xr:uid="{3C73E3B9-2A70-4DC1-A93A-940DF79600FC}"/>
    <cellStyle name="Currency 3 27" xfId="43" xr:uid="{F8EB3F2D-EDE1-4D1C-B279-63583DD5E4B9}"/>
    <cellStyle name="Currency 3 3" xfId="5533" xr:uid="{10277C73-76D4-4733-AC6C-F00E8855166F}"/>
    <cellStyle name="Currency 3 3 10" xfId="5534" xr:uid="{A694E0C6-1178-48A6-80EC-1CCBB2446884}"/>
    <cellStyle name="Currency 3 3 11" xfId="5535" xr:uid="{182F96B7-A48D-45EC-B05E-C1D13C9A9B95}"/>
    <cellStyle name="Currency 3 3 11 2" xfId="5536" xr:uid="{0AAE536E-F3BD-49C7-BE1E-DC4388C9F2AD}"/>
    <cellStyle name="Currency 3 3 11 2 2" xfId="5537" xr:uid="{5CC3D687-3AA2-4DAF-8A21-387EC2E46327}"/>
    <cellStyle name="Currency 3 3 11 2 2 2" xfId="5538" xr:uid="{4C0DE3C7-545A-47E2-A13C-77168BA255BA}"/>
    <cellStyle name="Currency 3 3 11 2 2 2 2" xfId="5539" xr:uid="{A3932A0F-CEEC-40B9-8530-46292B8C6AD4}"/>
    <cellStyle name="Currency 3 3 11 2 2 3" xfId="5540" xr:uid="{D9C31299-A594-4242-9C6B-EDABAC1328B1}"/>
    <cellStyle name="Currency 3 3 11 2 2 4" xfId="5541" xr:uid="{383AAF48-2249-41B2-9F99-B401871952F8}"/>
    <cellStyle name="Currency 3 3 11 2 3" xfId="5542" xr:uid="{107DC903-893B-41E0-A6FD-1F09AF823823}"/>
    <cellStyle name="Currency 3 3 11 2 3 2" xfId="5543" xr:uid="{59545938-A3A9-425D-A9FE-7708EC7D8174}"/>
    <cellStyle name="Currency 3 3 11 2 4" xfId="5544" xr:uid="{929CE150-366A-4B19-9A4C-058D1BB14B12}"/>
    <cellStyle name="Currency 3 3 11 2 5" xfId="5545" xr:uid="{38DC8CB2-1FD1-46EC-98EA-D740960458E0}"/>
    <cellStyle name="Currency 3 3 11 3" xfId="5546" xr:uid="{2D92B95A-D1A6-41F2-BB5E-049523B58D42}"/>
    <cellStyle name="Currency 3 3 12" xfId="5547" xr:uid="{06A43227-0390-4F5E-9025-CD63CA12DA1E}"/>
    <cellStyle name="Currency 3 3 12 2" xfId="5548" xr:uid="{A1A955F4-78BA-4121-8E0C-D2485803B0C7}"/>
    <cellStyle name="Currency 3 3 12 2 2" xfId="5549" xr:uid="{1D2BA545-4ACC-4217-A38D-6B14E13CF1C1}"/>
    <cellStyle name="Currency 3 3 12 2 2 2" xfId="5550" xr:uid="{135FD937-5A4F-4B6F-AFEC-46161D5BF007}"/>
    <cellStyle name="Currency 3 3 12 2 3" xfId="5551" xr:uid="{4AC41CAF-9C04-4272-94CF-A0FB4EEA9CA4}"/>
    <cellStyle name="Currency 3 3 12 2 4" xfId="5552" xr:uid="{A5648CC3-10F3-4275-BE36-2CAFDEFD2701}"/>
    <cellStyle name="Currency 3 3 12 3" xfId="5553" xr:uid="{45A0606F-DC4F-4695-92BD-F7899E5C56B0}"/>
    <cellStyle name="Currency 3 3 12 3 2" xfId="5554" xr:uid="{CAFE39B9-AB5C-4124-B023-46255C134400}"/>
    <cellStyle name="Currency 3 3 12 4" xfId="5555" xr:uid="{F2618FDD-00A7-4C4D-BF88-BE45AC9621EC}"/>
    <cellStyle name="Currency 3 3 12 5" xfId="5556" xr:uid="{30D33BAB-3B68-4548-9507-E16DBC5A13A3}"/>
    <cellStyle name="Currency 3 3 13" xfId="5557" xr:uid="{160F7BC0-D2E7-4B13-8427-E4F101387433}"/>
    <cellStyle name="Currency 3 3 13 2" xfId="5558" xr:uid="{B4314A31-CAAB-48B5-8833-49CE90073F48}"/>
    <cellStyle name="Currency 3 3 13 2 2" xfId="5559" xr:uid="{6B628333-DD63-48D1-A6E3-FC157D97ED5D}"/>
    <cellStyle name="Currency 3 3 13 3" xfId="5560" xr:uid="{B5CF29A5-407E-4A78-AF26-AD20582B9A30}"/>
    <cellStyle name="Currency 3 3 14" xfId="5561" xr:uid="{C0ED95B0-D262-4756-BCC9-445663B2559E}"/>
    <cellStyle name="Currency 3 3 14 2" xfId="5562" xr:uid="{E4F2ACB0-F921-4309-85FE-C36582472625}"/>
    <cellStyle name="Currency 3 3 14 2 2" xfId="5563" xr:uid="{4537C010-B4F0-4D24-B981-0DE406337342}"/>
    <cellStyle name="Currency 3 3 14 3" xfId="5564" xr:uid="{33F5D885-368B-4EE0-8EE3-859E2A22A1C6}"/>
    <cellStyle name="Currency 3 3 15" xfId="5565" xr:uid="{A2DC2464-DE47-4689-9ACA-64FD9EC16331}"/>
    <cellStyle name="Currency 3 3 15 2" xfId="5566" xr:uid="{86B4333F-28C0-4C0D-B519-5E7669713C90}"/>
    <cellStyle name="Currency 3 3 15 2 2" xfId="5567" xr:uid="{7E5F15D1-6EF7-4FEB-A815-9B193BF9BCDD}"/>
    <cellStyle name="Currency 3 3 15 3" xfId="5568" xr:uid="{0EB2D778-CA1C-4050-830E-EBEB8D808F03}"/>
    <cellStyle name="Currency 3 3 16" xfId="5569" xr:uid="{0C3D453F-DB10-4793-9719-39B39B793FD4}"/>
    <cellStyle name="Currency 3 3 16 2" xfId="5570" xr:uid="{A7E49077-AB91-402C-950D-8B78BBCC3578}"/>
    <cellStyle name="Currency 3 3 16 2 2" xfId="5571" xr:uid="{A046A11D-9F3B-49E8-BA0F-3360ABEC1D4A}"/>
    <cellStyle name="Currency 3 3 16 3" xfId="5572" xr:uid="{4BE16607-1765-42F1-B0FC-3A1DD200CD05}"/>
    <cellStyle name="Currency 3 3 17" xfId="5573" xr:uid="{7AE037BE-D1C8-498E-8E62-9CDB23BB31A2}"/>
    <cellStyle name="Currency 3 3 17 2" xfId="5574" xr:uid="{321A85CC-DF43-4B6B-816A-75BC0EFC8110}"/>
    <cellStyle name="Currency 3 3 17 2 2" xfId="5575" xr:uid="{3A1CE9A4-F881-4CF2-B3A7-6689C877CB66}"/>
    <cellStyle name="Currency 3 3 17 3" xfId="5576" xr:uid="{54D719D0-D0D7-43A0-8AD1-52420667A93E}"/>
    <cellStyle name="Currency 3 3 18" xfId="5577" xr:uid="{ACF715BD-37E6-4822-9102-2F4794B892C7}"/>
    <cellStyle name="Currency 3 3 18 2" xfId="5578" xr:uid="{E0A3D005-2BEF-438E-B819-536C85727180}"/>
    <cellStyle name="Currency 3 3 19" xfId="5579" xr:uid="{DF890E1C-92FC-47B3-B292-AF1AC0F61E98}"/>
    <cellStyle name="Currency 3 3 2" xfId="5580" xr:uid="{26E25A0D-D4A1-4990-8499-F01904ACCD20}"/>
    <cellStyle name="Currency 3 3 2 10" xfId="5581" xr:uid="{1060F6A2-C899-4BE4-913F-3637453FEA30}"/>
    <cellStyle name="Currency 3 3 2 10 2" xfId="5582" xr:uid="{5B7E56DA-6062-49D3-AA56-86C53D3D8943}"/>
    <cellStyle name="Currency 3 3 2 10 2 2" xfId="5583" xr:uid="{EC8C57DF-CEAA-4024-B0A3-C4AF1F8E4AA6}"/>
    <cellStyle name="Currency 3 3 2 10 2 2 2" xfId="5584" xr:uid="{1FBA6717-A44B-4E16-99E2-3ED4DF8BDB2C}"/>
    <cellStyle name="Currency 3 3 2 10 2 2 2 2" xfId="5585" xr:uid="{CA68FD1F-71DA-4A11-884F-1AEE80CDA728}"/>
    <cellStyle name="Currency 3 3 2 10 2 2 3" xfId="5586" xr:uid="{40CCDBE7-6016-4D58-A4A8-D5F799323D60}"/>
    <cellStyle name="Currency 3 3 2 10 2 2 4" xfId="5587" xr:uid="{853BCCFB-EDBD-4AC0-9781-D7E487F09B21}"/>
    <cellStyle name="Currency 3 3 2 10 2 3" xfId="5588" xr:uid="{81E7E2E5-A6D8-4576-AE19-4CC7B5249DED}"/>
    <cellStyle name="Currency 3 3 2 10 2 3 2" xfId="5589" xr:uid="{3F418ECA-C34C-4DB6-A3F0-9B60D2A66294}"/>
    <cellStyle name="Currency 3 3 2 10 2 4" xfId="5590" xr:uid="{84403672-D6EA-4815-9FB6-320B3357AB31}"/>
    <cellStyle name="Currency 3 3 2 10 2 5" xfId="5591" xr:uid="{9DBD65E9-D1BC-446F-9F05-1E354AD69C77}"/>
    <cellStyle name="Currency 3 3 2 10 3" xfId="5592" xr:uid="{0FFAD708-36FC-475E-A39B-B548EFACD1A7}"/>
    <cellStyle name="Currency 3 3 2 11" xfId="5593" xr:uid="{E9A4EF76-9D07-4433-917A-5CE8FE103881}"/>
    <cellStyle name="Currency 3 3 2 11 2" xfId="5594" xr:uid="{8BCD48FC-F25A-4A73-B41F-AEAF82872B09}"/>
    <cellStyle name="Currency 3 3 2 11 2 2" xfId="5595" xr:uid="{CA593933-9C3D-4A30-AE55-45F115BE1CE8}"/>
    <cellStyle name="Currency 3 3 2 11 2 2 2" xfId="5596" xr:uid="{7CBFC1FD-B5B6-4A79-BDC1-1C6203D22EF7}"/>
    <cellStyle name="Currency 3 3 2 11 2 3" xfId="5597" xr:uid="{3E4347F6-7DDE-49C7-8FA2-DC3B4175B88C}"/>
    <cellStyle name="Currency 3 3 2 11 2 4" xfId="5598" xr:uid="{A5026A90-AA63-4128-8E99-929606FE32CB}"/>
    <cellStyle name="Currency 3 3 2 11 3" xfId="5599" xr:uid="{9F71D2FF-D213-46F5-9BDC-F151CB611954}"/>
    <cellStyle name="Currency 3 3 2 11 3 2" xfId="5600" xr:uid="{B0EA6E5D-C5E8-4520-927E-1EB1BDF6A004}"/>
    <cellStyle name="Currency 3 3 2 11 4" xfId="5601" xr:uid="{20990D2A-34BD-490D-9C0F-52B8D8EA73C4}"/>
    <cellStyle name="Currency 3 3 2 11 5" xfId="5602" xr:uid="{1A3C8FC2-0CFB-482E-B0D8-D71DBDCE980D}"/>
    <cellStyle name="Currency 3 3 2 12" xfId="5603" xr:uid="{BC0CDE99-0BE6-4B75-BA3A-D980F4FC8E88}"/>
    <cellStyle name="Currency 3 3 2 12 2" xfId="5604" xr:uid="{7DD41A33-99CD-4DA0-94F7-2B43390DD6F0}"/>
    <cellStyle name="Currency 3 3 2 12 2 2" xfId="5605" xr:uid="{B23F949A-1C0A-4F0D-80E5-660E0AC861CD}"/>
    <cellStyle name="Currency 3 3 2 12 3" xfId="5606" xr:uid="{5832F181-5489-4BBD-A39B-381D58D413A3}"/>
    <cellStyle name="Currency 3 3 2 13" xfId="5607" xr:uid="{6385AD4F-F5C5-40A2-812C-E7EC22E9DED6}"/>
    <cellStyle name="Currency 3 3 2 13 2" xfId="5608" xr:uid="{CC0DA19F-0130-443C-A710-0C10044CC1CE}"/>
    <cellStyle name="Currency 3 3 2 13 2 2" xfId="5609" xr:uid="{CF5E4C57-79C8-4C64-A30A-EB090C3BFED4}"/>
    <cellStyle name="Currency 3 3 2 13 3" xfId="5610" xr:uid="{56EE1508-B6A7-4B68-A72C-A008C93B0956}"/>
    <cellStyle name="Currency 3 3 2 14" xfId="5611" xr:uid="{F62861BC-B16F-44B4-A45C-852D4D2A999F}"/>
    <cellStyle name="Currency 3 3 2 14 2" xfId="5612" xr:uid="{B30DD7D2-40EE-4C02-A951-7E79FEA4158E}"/>
    <cellStyle name="Currency 3 3 2 14 2 2" xfId="5613" xr:uid="{18EF5474-DABC-4EA4-A00A-8123AC15C8F4}"/>
    <cellStyle name="Currency 3 3 2 14 3" xfId="5614" xr:uid="{F90ECD17-9B16-4CAC-9470-4203CD8A9221}"/>
    <cellStyle name="Currency 3 3 2 15" xfId="5615" xr:uid="{670445DA-D1DE-425F-BC99-EBE1B548876D}"/>
    <cellStyle name="Currency 3 3 2 15 2" xfId="5616" xr:uid="{AF11A1D5-4762-47BF-91A1-A2414F1AD8BE}"/>
    <cellStyle name="Currency 3 3 2 15 2 2" xfId="5617" xr:uid="{B014F55F-7A64-4551-A254-C159E89DD94A}"/>
    <cellStyle name="Currency 3 3 2 15 3" xfId="5618" xr:uid="{2B483B4E-8726-4FE5-9C84-11DC4BAB8555}"/>
    <cellStyle name="Currency 3 3 2 16" xfId="5619" xr:uid="{3851D7CE-9DC7-465A-A875-E8A711D048C5}"/>
    <cellStyle name="Currency 3 3 2 16 2" xfId="5620" xr:uid="{66CE32FA-0E30-429D-9CA5-F4E47D51EB66}"/>
    <cellStyle name="Currency 3 3 2 16 2 2" xfId="5621" xr:uid="{1804879D-6B60-4BAD-A456-EC2FB682035E}"/>
    <cellStyle name="Currency 3 3 2 16 3" xfId="5622" xr:uid="{6A490E6F-46F6-450D-9042-CC01B5C425FE}"/>
    <cellStyle name="Currency 3 3 2 17" xfId="5623" xr:uid="{D8793EB0-6A7A-48E9-B17A-2C51EAFB634A}"/>
    <cellStyle name="Currency 3 3 2 17 2" xfId="5624" xr:uid="{A6A19D8C-517A-4E07-B331-BB191EEA645E}"/>
    <cellStyle name="Currency 3 3 2 18" xfId="5625" xr:uid="{F6A3C7C1-AA03-47D7-A33A-00FFE076D849}"/>
    <cellStyle name="Currency 3 3 2 19" xfId="5626" xr:uid="{8FB04551-E0A0-461D-9F4F-DAC3C7395B6C}"/>
    <cellStyle name="Currency 3 3 2 2" xfId="5627" xr:uid="{0EAA2364-EC55-45EA-B64D-3E7E1D5C9540}"/>
    <cellStyle name="Currency 3 3 2 3" xfId="5628" xr:uid="{F3167F1A-0521-47C9-B44A-A0CD361F63A3}"/>
    <cellStyle name="Currency 3 3 2 4" xfId="5629" xr:uid="{7648B2C8-8EED-4F0A-B65E-4B492AC38F66}"/>
    <cellStyle name="Currency 3 3 2 5" xfId="5630" xr:uid="{1431BBCA-CC0A-4479-A73B-FE688FF1F06A}"/>
    <cellStyle name="Currency 3 3 2 6" xfId="5631" xr:uid="{33EFF537-7956-4A18-A990-F6A18A3DA3C3}"/>
    <cellStyle name="Currency 3 3 2 7" xfId="5632" xr:uid="{006C7767-8A5D-41DD-8054-47AA205333B9}"/>
    <cellStyle name="Currency 3 3 2 8" xfId="5633" xr:uid="{D9B14636-9B64-4CE0-9C68-C1AA700227BF}"/>
    <cellStyle name="Currency 3 3 2 9" xfId="5634" xr:uid="{8F06758E-A969-41F4-B366-89672DA3EB4A}"/>
    <cellStyle name="Currency 3 3 20" xfId="5635" xr:uid="{53F794B3-F278-4578-8584-0B08C46CAD8F}"/>
    <cellStyle name="Currency 3 3 3" xfId="5636" xr:uid="{DCA23CBF-11FB-40A4-8564-7F598CD5655C}"/>
    <cellStyle name="Currency 3 3 4" xfId="5637" xr:uid="{0517AF51-8667-466A-B1EE-7653070FD8A2}"/>
    <cellStyle name="Currency 3 3 5" xfId="5638" xr:uid="{BD1FB675-E7BA-4768-ABFC-59C241371FFD}"/>
    <cellStyle name="Currency 3 3 6" xfId="5639" xr:uid="{3004F526-A15A-4ECF-9817-54D9267DB258}"/>
    <cellStyle name="Currency 3 3 7" xfId="5640" xr:uid="{5111982F-559B-44C5-949C-790A0EBF9C2F}"/>
    <cellStyle name="Currency 3 3 8" xfId="5641" xr:uid="{BB4C6E66-36E5-4DED-AEB5-ACAC7235EB40}"/>
    <cellStyle name="Currency 3 3 9" xfId="5642" xr:uid="{60C1CDE6-97A3-41BF-AA4C-DAD5394E8525}"/>
    <cellStyle name="Currency 3 4" xfId="5643" xr:uid="{F98BB53F-AF2E-45D3-9934-76D58F882DD1}"/>
    <cellStyle name="Currency 3 4 10" xfId="5644" xr:uid="{4C28A2A8-0316-46A6-A0D1-6171C5800483}"/>
    <cellStyle name="Currency 3 4 10 2" xfId="5645" xr:uid="{BD17743F-DF29-4F08-AFDC-E65B11525469}"/>
    <cellStyle name="Currency 3 4 10 2 2" xfId="5646" xr:uid="{3958CAD9-5C2A-408D-AFFC-960D44E86C75}"/>
    <cellStyle name="Currency 3 4 10 2 2 2" xfId="5647" xr:uid="{FE3ABCDB-B7EB-4119-AA7B-74FEA85C2446}"/>
    <cellStyle name="Currency 3 4 10 2 2 2 2" xfId="5648" xr:uid="{FFA9FDAD-293C-4FFF-8CB3-69A5F1F95985}"/>
    <cellStyle name="Currency 3 4 10 2 2 3" xfId="5649" xr:uid="{8C7F4434-6DB7-4D55-9F99-80A7DF5B9A51}"/>
    <cellStyle name="Currency 3 4 10 2 2 4" xfId="5650" xr:uid="{E38CB2F7-659A-4674-AF26-AE803C513CDC}"/>
    <cellStyle name="Currency 3 4 10 2 3" xfId="5651" xr:uid="{419F2F00-8A08-4A74-913D-04F0F546880E}"/>
    <cellStyle name="Currency 3 4 10 2 3 2" xfId="5652" xr:uid="{4ACCE20A-BD91-430F-BC64-3C58265664CB}"/>
    <cellStyle name="Currency 3 4 10 2 4" xfId="5653" xr:uid="{7208256F-3D14-438A-AEF0-7DE50723950A}"/>
    <cellStyle name="Currency 3 4 10 2 5" xfId="5654" xr:uid="{C3FA665A-89AF-4317-985F-229AC03EBCAC}"/>
    <cellStyle name="Currency 3 4 10 3" xfId="5655" xr:uid="{01AC3DE6-7315-4138-9CED-40AF84BEF752}"/>
    <cellStyle name="Currency 3 4 11" xfId="5656" xr:uid="{42E2510B-476B-483C-8F86-BFDDB84463FD}"/>
    <cellStyle name="Currency 3 4 11 2" xfId="5657" xr:uid="{F26F8C30-745D-4569-8123-8F106F0978CB}"/>
    <cellStyle name="Currency 3 4 11 2 2" xfId="5658" xr:uid="{6C7F0338-458F-4A98-B301-B4C9D5690A0C}"/>
    <cellStyle name="Currency 3 4 11 2 2 2" xfId="5659" xr:uid="{5B3F9457-60DF-46A3-81B3-25A0FB2A59BF}"/>
    <cellStyle name="Currency 3 4 11 2 3" xfId="5660" xr:uid="{62DE986B-F14B-432C-8A65-7307B70FAEB2}"/>
    <cellStyle name="Currency 3 4 11 2 4" xfId="5661" xr:uid="{8BD4E30B-45F9-4D4C-8C42-DB2C2D739BAC}"/>
    <cellStyle name="Currency 3 4 11 3" xfId="5662" xr:uid="{85648807-B05C-4BF5-BF42-507094B6E3BF}"/>
    <cellStyle name="Currency 3 4 11 3 2" xfId="5663" xr:uid="{88A7DDF5-004E-4F59-9977-9312687394EE}"/>
    <cellStyle name="Currency 3 4 11 4" xfId="5664" xr:uid="{B368A37A-61D6-454A-B0D6-AD9268C8BC70}"/>
    <cellStyle name="Currency 3 4 11 5" xfId="5665" xr:uid="{316F3F21-E604-431E-B5A2-1B3B35B80EEA}"/>
    <cellStyle name="Currency 3 4 12" xfId="5666" xr:uid="{00D53976-3EB2-4F57-8B97-85D377FC4CA3}"/>
    <cellStyle name="Currency 3 4 12 2" xfId="5667" xr:uid="{77B6DDCF-4EF1-464D-B946-692DABC2528A}"/>
    <cellStyle name="Currency 3 4 12 2 2" xfId="5668" xr:uid="{0503C489-BB5A-433B-BFA6-C5D5A577F087}"/>
    <cellStyle name="Currency 3 4 12 3" xfId="5669" xr:uid="{053CC5E3-57C2-4C79-A565-90C5053C910E}"/>
    <cellStyle name="Currency 3 4 13" xfId="5670" xr:uid="{E819BD85-FB35-4E38-8880-629B1DB12E7B}"/>
    <cellStyle name="Currency 3 4 13 2" xfId="5671" xr:uid="{66466E06-4171-4279-A959-9E5E39F1F247}"/>
    <cellStyle name="Currency 3 4 13 2 2" xfId="5672" xr:uid="{51D1199D-DB1F-439A-B89E-7C2245C1C525}"/>
    <cellStyle name="Currency 3 4 13 3" xfId="5673" xr:uid="{3D5D8CB9-B160-4B0E-9326-D04CD2A38B97}"/>
    <cellStyle name="Currency 3 4 14" xfId="5674" xr:uid="{FF959D2E-E281-43FD-98CC-B7B336FAB683}"/>
    <cellStyle name="Currency 3 4 14 2" xfId="5675" xr:uid="{7AEAC991-DFA9-4862-8487-D56FFAA54DF4}"/>
    <cellStyle name="Currency 3 4 14 2 2" xfId="5676" xr:uid="{1A743890-1EDB-4801-A240-27728F0C785A}"/>
    <cellStyle name="Currency 3 4 14 3" xfId="5677" xr:uid="{3ACE6DAA-582C-433C-8A89-17378B181068}"/>
    <cellStyle name="Currency 3 4 15" xfId="5678" xr:uid="{11F5247E-1601-46D2-B1A7-AFD2B3A4A2B4}"/>
    <cellStyle name="Currency 3 4 15 2" xfId="5679" xr:uid="{EF867F13-E5FD-4A22-8058-BF2C247B74AB}"/>
    <cellStyle name="Currency 3 4 15 2 2" xfId="5680" xr:uid="{50865004-C4B8-40D8-89A6-1486B386F58D}"/>
    <cellStyle name="Currency 3 4 15 3" xfId="5681" xr:uid="{17821A3B-D8CC-4463-92E3-5F204186C029}"/>
    <cellStyle name="Currency 3 4 16" xfId="5682" xr:uid="{AAC8B116-97B4-4222-9794-2A7730692604}"/>
    <cellStyle name="Currency 3 4 16 2" xfId="5683" xr:uid="{DCC4AA97-7DD8-4FA5-B57D-6481D153EAE4}"/>
    <cellStyle name="Currency 3 4 16 2 2" xfId="5684" xr:uid="{699657B8-7EF7-46E2-9CD2-72BCE2151A58}"/>
    <cellStyle name="Currency 3 4 16 3" xfId="5685" xr:uid="{5E262242-4A03-4EB0-8E08-FA6A174F00AE}"/>
    <cellStyle name="Currency 3 4 17" xfId="5686" xr:uid="{66E5FDAA-A987-425E-883A-AB57AF29354F}"/>
    <cellStyle name="Currency 3 4 17 2" xfId="5687" xr:uid="{F4DCF1B8-D36B-4C37-AABD-50C46D772BAC}"/>
    <cellStyle name="Currency 3 4 18" xfId="5688" xr:uid="{BAED72D0-1CCF-4962-8FBA-48275BA8663A}"/>
    <cellStyle name="Currency 3 4 19" xfId="5689" xr:uid="{F36A39EE-EABA-45E7-8D71-CE2477597066}"/>
    <cellStyle name="Currency 3 4 2" xfId="5690" xr:uid="{1DA16896-D0C6-44B1-9984-421392F37540}"/>
    <cellStyle name="Currency 3 4 3" xfId="5691" xr:uid="{6E18E386-4755-4636-927B-C8B13570E638}"/>
    <cellStyle name="Currency 3 4 4" xfId="5692" xr:uid="{F8FC5CA5-E7C7-4482-8E66-7698B2298744}"/>
    <cellStyle name="Currency 3 4 5" xfId="5693" xr:uid="{D34CC881-1FC4-47F8-A207-F02A31E2668B}"/>
    <cellStyle name="Currency 3 4 6" xfId="5694" xr:uid="{EA524569-DCAD-4E84-A6F0-E491A0E6FEE7}"/>
    <cellStyle name="Currency 3 4 7" xfId="5695" xr:uid="{83D9C399-907C-4642-AD65-8DD01B26247E}"/>
    <cellStyle name="Currency 3 4 8" xfId="5696" xr:uid="{C95DCAFA-A11E-4D90-9BA0-8F31B539C03B}"/>
    <cellStyle name="Currency 3 4 9" xfId="5697" xr:uid="{FD990CD2-FEEB-4FD0-A1A0-B75EED940ED4}"/>
    <cellStyle name="Currency 3 5" xfId="5698" xr:uid="{041B8FD1-9162-46B4-8EF6-E1E11DA74AC8}"/>
    <cellStyle name="Currency 3 5 10" xfId="5699" xr:uid="{942FC32E-E6B7-4003-A53C-A553EB843E34}"/>
    <cellStyle name="Currency 3 5 10 2" xfId="5700" xr:uid="{6503DEC4-EECE-4BD1-8587-8362FC2C58B5}"/>
    <cellStyle name="Currency 3 5 10 2 2" xfId="5701" xr:uid="{7E8E17A8-0162-4246-A03A-055967E66FC8}"/>
    <cellStyle name="Currency 3 5 10 2 2 2" xfId="5702" xr:uid="{12A3581B-B542-47FB-ACC6-F61C4F1ADC0D}"/>
    <cellStyle name="Currency 3 5 10 2 2 2 2" xfId="5703" xr:uid="{FC464019-64E5-448F-92DB-17CC786276A9}"/>
    <cellStyle name="Currency 3 5 10 2 2 3" xfId="5704" xr:uid="{1528B7B2-9919-47B5-AC1E-712149F5483B}"/>
    <cellStyle name="Currency 3 5 10 2 2 4" xfId="5705" xr:uid="{EAFAC6B6-2F92-464F-A3D0-142FD2D164C5}"/>
    <cellStyle name="Currency 3 5 10 2 3" xfId="5706" xr:uid="{032E3BEA-D6EF-4345-BF1C-2AA88C36298D}"/>
    <cellStyle name="Currency 3 5 10 2 3 2" xfId="5707" xr:uid="{21F8544A-7F73-4530-BDD5-3301DFECC1B3}"/>
    <cellStyle name="Currency 3 5 10 2 4" xfId="5708" xr:uid="{4C84A4CA-B110-4391-B9C0-C1E5F8152466}"/>
    <cellStyle name="Currency 3 5 10 2 5" xfId="5709" xr:uid="{4902DA56-CB9A-4110-A200-D365B4C8BDB7}"/>
    <cellStyle name="Currency 3 5 10 3" xfId="5710" xr:uid="{9B972056-9DF3-4E8D-B456-864177690870}"/>
    <cellStyle name="Currency 3 5 11" xfId="5711" xr:uid="{8C1325D0-8FB6-4B7D-B443-0C03F5638E9A}"/>
    <cellStyle name="Currency 3 5 11 2" xfId="5712" xr:uid="{1E73E6CB-57E6-404D-97F9-3572FF1871CB}"/>
    <cellStyle name="Currency 3 5 11 2 2" xfId="5713" xr:uid="{C46ABB80-E6E3-4B39-AD52-99FB234C1924}"/>
    <cellStyle name="Currency 3 5 11 2 2 2" xfId="5714" xr:uid="{976F894F-689C-4B2D-85EF-8B6147595C97}"/>
    <cellStyle name="Currency 3 5 11 2 3" xfId="5715" xr:uid="{506BF327-F34F-42FC-A1A4-C10E777ECED7}"/>
    <cellStyle name="Currency 3 5 11 2 4" xfId="5716" xr:uid="{FCD0C4E2-E938-4DC4-B0B2-8CDA9547BCAC}"/>
    <cellStyle name="Currency 3 5 11 3" xfId="5717" xr:uid="{2A2E5E3B-FF10-4C90-AAF1-E074C61AC645}"/>
    <cellStyle name="Currency 3 5 11 3 2" xfId="5718" xr:uid="{C681508F-F393-4681-8D8C-B2CD3A3FA843}"/>
    <cellStyle name="Currency 3 5 11 4" xfId="5719" xr:uid="{C27283B4-1DD2-4E7C-BCD4-04EB2A930A00}"/>
    <cellStyle name="Currency 3 5 11 5" xfId="5720" xr:uid="{DE755972-65D8-4438-AE5E-30B67C34311D}"/>
    <cellStyle name="Currency 3 5 12" xfId="5721" xr:uid="{6A17AA4D-B136-4EB7-96B9-8834EEAD1355}"/>
    <cellStyle name="Currency 3 5 12 2" xfId="5722" xr:uid="{D71C0F27-8FFD-46B7-8A69-896373F9026D}"/>
    <cellStyle name="Currency 3 5 12 2 2" xfId="5723" xr:uid="{6E2171BF-C19F-4F46-91B3-EE0AA23F6425}"/>
    <cellStyle name="Currency 3 5 12 3" xfId="5724" xr:uid="{EF598834-89E4-4939-9C57-39B0AA6BA163}"/>
    <cellStyle name="Currency 3 5 13" xfId="5725" xr:uid="{14308F0F-1766-4FB6-8865-46D8A9FE8948}"/>
    <cellStyle name="Currency 3 5 13 2" xfId="5726" xr:uid="{104CA6E4-B388-48AB-9CCE-DD1FC548954C}"/>
    <cellStyle name="Currency 3 5 13 2 2" xfId="5727" xr:uid="{3E15944C-C3B0-47ED-BD45-CBE5BD293775}"/>
    <cellStyle name="Currency 3 5 13 3" xfId="5728" xr:uid="{160738B0-C527-4200-8E33-77570D38FCCC}"/>
    <cellStyle name="Currency 3 5 14" xfId="5729" xr:uid="{31493EC7-70F6-4311-B6E6-2EEB8B8A9D03}"/>
    <cellStyle name="Currency 3 5 14 2" xfId="5730" xr:uid="{9D50A7F7-0F36-4346-8ECC-A562730907DE}"/>
    <cellStyle name="Currency 3 5 14 2 2" xfId="5731" xr:uid="{1CADD88A-91B1-4112-958F-9A61843BFF58}"/>
    <cellStyle name="Currency 3 5 14 3" xfId="5732" xr:uid="{866CA180-4E20-4B74-961B-F5171DF76FEC}"/>
    <cellStyle name="Currency 3 5 15" xfId="5733" xr:uid="{24B0D406-0597-4464-8B39-3A9AB5CC62AE}"/>
    <cellStyle name="Currency 3 5 15 2" xfId="5734" xr:uid="{AB75A86B-1DE2-403F-A958-8267694EF6D8}"/>
    <cellStyle name="Currency 3 5 15 2 2" xfId="5735" xr:uid="{3E368C02-3BC2-42DE-893F-7A04EC673EF4}"/>
    <cellStyle name="Currency 3 5 15 3" xfId="5736" xr:uid="{0B079D42-A188-4423-8050-B58F592F26F4}"/>
    <cellStyle name="Currency 3 5 16" xfId="5737" xr:uid="{5F2D77F4-3C82-4DE4-AD68-3716EAA3EACE}"/>
    <cellStyle name="Currency 3 5 16 2" xfId="5738" xr:uid="{345377EE-FC86-4A2F-98B5-AF24CDE802B4}"/>
    <cellStyle name="Currency 3 5 16 2 2" xfId="5739" xr:uid="{C353B19D-A1F5-43CC-AEEA-4841D928A03C}"/>
    <cellStyle name="Currency 3 5 16 3" xfId="5740" xr:uid="{7C5C1330-2113-40B4-B20C-5143B9F1D872}"/>
    <cellStyle name="Currency 3 5 17" xfId="5741" xr:uid="{3A45B540-7932-464E-B7DB-A1A165A4E21F}"/>
    <cellStyle name="Currency 3 5 17 2" xfId="5742" xr:uid="{DB97A716-B059-4EF0-B636-37291FAFD6D4}"/>
    <cellStyle name="Currency 3 5 18" xfId="5743" xr:uid="{22067FD1-D1FA-469F-850B-8D12F6C02917}"/>
    <cellStyle name="Currency 3 5 19" xfId="5744" xr:uid="{D251B242-E3B7-4824-A68D-CA89BC762A0B}"/>
    <cellStyle name="Currency 3 5 2" xfId="5745" xr:uid="{07163F37-A2F2-4A12-ADE6-23CFE04A09EA}"/>
    <cellStyle name="Currency 3 5 3" xfId="5746" xr:uid="{51182D95-B6A7-45E7-9832-C4778E54AF3D}"/>
    <cellStyle name="Currency 3 5 4" xfId="5747" xr:uid="{E70385E3-1948-4B72-B42E-12767FC84253}"/>
    <cellStyle name="Currency 3 5 5" xfId="5748" xr:uid="{499DA694-F3A5-4850-BD0B-08C64CEFE8B3}"/>
    <cellStyle name="Currency 3 5 6" xfId="5749" xr:uid="{CA25BF63-BB2A-427C-A9E7-5A5D2069690F}"/>
    <cellStyle name="Currency 3 5 7" xfId="5750" xr:uid="{F031E80E-619A-43F9-8A5D-E31B2F7C0BCC}"/>
    <cellStyle name="Currency 3 5 8" xfId="5751" xr:uid="{3AC1948A-779E-4FEA-82F5-A353672A6281}"/>
    <cellStyle name="Currency 3 5 9" xfId="5752" xr:uid="{CFE4FF05-869E-422F-991B-1B8528B837FC}"/>
    <cellStyle name="Currency 3 6" xfId="5753" xr:uid="{746B21CE-7D21-44E1-BB42-F39E51405145}"/>
    <cellStyle name="Currency 3 7" xfId="5754" xr:uid="{A1EA3265-0752-4EFE-B683-B938D00F5B39}"/>
    <cellStyle name="Currency 3 8" xfId="5755" xr:uid="{569EDD44-706B-4814-BE04-D8AC6D0DB973}"/>
    <cellStyle name="Currency 3 9" xfId="5756" xr:uid="{C487B0FC-CC7F-4769-B791-46C0431F4F09}"/>
    <cellStyle name="Currency 4" xfId="23" xr:uid="{5EBF890D-2F08-47A9-9947-09CCB0936D23}"/>
    <cellStyle name="Currency 4 10" xfId="5757" xr:uid="{56DB6257-8ABA-4865-9349-EDE982BAA5D7}"/>
    <cellStyle name="Currency 4 11" xfId="5758" xr:uid="{862098BC-90A5-43AD-8510-88B095AE7578}"/>
    <cellStyle name="Currency 4 12" xfId="5759" xr:uid="{01B1A054-3B3E-4448-9EC2-EEE86BC4D238}"/>
    <cellStyle name="Currency 4 13" xfId="5760" xr:uid="{E9CAAAA4-16DC-4259-A219-990F468F3580}"/>
    <cellStyle name="Currency 4 14" xfId="5761" xr:uid="{86C0B751-8A0A-4E52-A24E-01C89D726EEA}"/>
    <cellStyle name="Currency 4 14 10" xfId="5762" xr:uid="{0727C6DB-1960-43C9-A8D7-50B6E2A9E431}"/>
    <cellStyle name="Currency 4 14 2" xfId="5763" xr:uid="{5151D120-18EF-464C-8042-F31C3E5648E8}"/>
    <cellStyle name="Currency 4 14 2 2" xfId="5764" xr:uid="{AC57EF4F-84D6-451D-9EBC-9768AC4EAF1C}"/>
    <cellStyle name="Currency 4 14 2 2 2" xfId="5765" xr:uid="{DCDC849C-6D89-4069-A418-4DF1E4FCD2CD}"/>
    <cellStyle name="Currency 4 14 2 2 2 2" xfId="5766" xr:uid="{FA87CB01-4ACF-4F61-9349-FFD90DE8D754}"/>
    <cellStyle name="Currency 4 14 2 2 3" xfId="5767" xr:uid="{D0B8F58F-1D6D-4FDE-86F4-5E2972865EA1}"/>
    <cellStyle name="Currency 4 14 2 2 4" xfId="5768" xr:uid="{4AA400E6-AD6D-4DAE-8CE7-82DDD919BE00}"/>
    <cellStyle name="Currency 4 14 2 3" xfId="5769" xr:uid="{65E6DAA6-0296-453B-969A-E88919506ADD}"/>
    <cellStyle name="Currency 4 14 2 3 2" xfId="5770" xr:uid="{CC59A46E-0750-4340-A103-D26D65E30B89}"/>
    <cellStyle name="Currency 4 14 2 4" xfId="5771" xr:uid="{F838358E-8AB9-44C7-92C5-33E3800C833E}"/>
    <cellStyle name="Currency 4 14 2 5" xfId="5772" xr:uid="{2D747C09-C4D3-4947-888D-D5B6CFE2B06B}"/>
    <cellStyle name="Currency 4 14 3" xfId="5773" xr:uid="{D8209EA5-8F0B-447B-A0E8-99D0CEF4A33C}"/>
    <cellStyle name="Currency 4 14 4" xfId="5774" xr:uid="{BCB04542-6189-4C6C-AFA1-4C3F910E2784}"/>
    <cellStyle name="Currency 4 14 5" xfId="5775" xr:uid="{38F56620-C05D-4B7A-98C7-41CC30261411}"/>
    <cellStyle name="Currency 4 14 6" xfId="5776" xr:uid="{5C18FB0D-9DBF-489E-9176-C3FB3E249D31}"/>
    <cellStyle name="Currency 4 14 6 2" xfId="5777" xr:uid="{8EA6ED2B-5EAE-4A9B-B59D-EF8D02610F46}"/>
    <cellStyle name="Currency 4 14 6 2 2" xfId="5778" xr:uid="{4BC84CDB-BCEF-4033-B1BE-B3F2F42FE70E}"/>
    <cellStyle name="Currency 4 14 6 3" xfId="5779" xr:uid="{71B46543-7A26-48F1-988B-D4D77105DC30}"/>
    <cellStyle name="Currency 4 14 7" xfId="5780" xr:uid="{8F1164C0-E55E-4E72-9303-ABD1503CA2D6}"/>
    <cellStyle name="Currency 4 14 7 2" xfId="5781" xr:uid="{A4AB0CE7-4433-40A5-9357-00435CF58C71}"/>
    <cellStyle name="Currency 4 14 7 2 2" xfId="5782" xr:uid="{B479C1EB-4230-4ECC-AACF-117B08A80507}"/>
    <cellStyle name="Currency 4 14 7 3" xfId="5783" xr:uid="{7B683B0A-2741-4806-B65A-3CB16CA6C894}"/>
    <cellStyle name="Currency 4 14 8" xfId="5784" xr:uid="{0B1203E4-DD02-4271-9772-414E3E956D81}"/>
    <cellStyle name="Currency 4 14 8 2" xfId="5785" xr:uid="{90585A95-CACA-4D87-9EAD-57606C84F0ED}"/>
    <cellStyle name="Currency 4 14 9" xfId="5786" xr:uid="{C9650E05-12FE-4088-ADF3-19C1D7D865DB}"/>
    <cellStyle name="Currency 4 15" xfId="5787" xr:uid="{74E1095C-A231-4E64-9300-24E0AE6EFFFC}"/>
    <cellStyle name="Currency 4 15 10" xfId="5788" xr:uid="{0EF2E7EC-AA30-4BFE-BB00-2016526BF8D7}"/>
    <cellStyle name="Currency 4 15 2" xfId="5789" xr:uid="{F8A7A4E4-0C52-4CF8-A688-29C80729E64B}"/>
    <cellStyle name="Currency 4 15 2 2" xfId="5790" xr:uid="{703C86B1-2492-4DD3-9ACC-282D51D2E881}"/>
    <cellStyle name="Currency 4 15 2 2 2" xfId="5791" xr:uid="{40AABFB7-835A-40AE-8005-11EA1D5BD030}"/>
    <cellStyle name="Currency 4 15 2 2 2 2" xfId="5792" xr:uid="{D0C532C4-5750-4A5C-BD8C-E2E557774B08}"/>
    <cellStyle name="Currency 4 15 2 2 3" xfId="5793" xr:uid="{7BD3D347-2A5C-44E6-9526-703B39A05C1A}"/>
    <cellStyle name="Currency 4 15 2 2 4" xfId="5794" xr:uid="{D9BA5F4E-0145-4C57-8116-C81DB4CFFAD2}"/>
    <cellStyle name="Currency 4 15 2 3" xfId="5795" xr:uid="{41D9600E-477D-42AA-B98A-C2B53ABEF981}"/>
    <cellStyle name="Currency 4 15 2 3 2" xfId="5796" xr:uid="{7A7A9DCE-07CA-4E60-878E-B14F4C8790B8}"/>
    <cellStyle name="Currency 4 15 2 4" xfId="5797" xr:uid="{AA260C2F-BC30-4753-A936-65CA824E2CC2}"/>
    <cellStyle name="Currency 4 15 2 5" xfId="5798" xr:uid="{0D117A01-6229-4692-A84E-73B730315266}"/>
    <cellStyle name="Currency 4 15 3" xfId="5799" xr:uid="{B6BD9280-C7CE-46BD-805D-38D8AA01B05C}"/>
    <cellStyle name="Currency 4 15 4" xfId="5800" xr:uid="{5BDFD065-6AF3-4D25-84B7-DEBEA0EB9BDF}"/>
    <cellStyle name="Currency 4 15 5" xfId="5801" xr:uid="{580F0393-A606-4827-8236-89B6A5F3B591}"/>
    <cellStyle name="Currency 4 15 6" xfId="5802" xr:uid="{59F6275B-2D62-406C-8159-49630A4F23D9}"/>
    <cellStyle name="Currency 4 15 6 2" xfId="5803" xr:uid="{20760AB3-A175-4D97-BBA9-195C284BFCFA}"/>
    <cellStyle name="Currency 4 15 6 2 2" xfId="5804" xr:uid="{1ED0A3B6-E00F-409A-9810-79CF53356EEC}"/>
    <cellStyle name="Currency 4 15 6 3" xfId="5805" xr:uid="{201F365D-F4F5-4C6D-B420-9E06135AABD7}"/>
    <cellStyle name="Currency 4 15 7" xfId="5806" xr:uid="{ECFE6B81-F5B2-4D3E-ABC8-BE3B99B9D281}"/>
    <cellStyle name="Currency 4 15 7 2" xfId="5807" xr:uid="{7DA4F0A9-04AD-4320-9AE8-6606867E96FB}"/>
    <cellStyle name="Currency 4 15 7 2 2" xfId="5808" xr:uid="{6323A67A-FFCE-4721-B16E-F5BBBA1D95DE}"/>
    <cellStyle name="Currency 4 15 7 3" xfId="5809" xr:uid="{A6A3BF06-3A81-49E3-BDF3-D620223813E1}"/>
    <cellStyle name="Currency 4 15 8" xfId="5810" xr:uid="{A0CB402C-C34E-4DA7-B24F-58539CE341EA}"/>
    <cellStyle name="Currency 4 15 8 2" xfId="5811" xr:uid="{39818694-2763-48B3-8E03-6620A7C7CFC8}"/>
    <cellStyle name="Currency 4 15 9" xfId="5812" xr:uid="{83322A68-0443-4D16-80E8-13A2B0B515B8}"/>
    <cellStyle name="Currency 4 16" xfId="5813" xr:uid="{1E9E709E-E95B-4150-BC6E-7D4D90C3724E}"/>
    <cellStyle name="Currency 4 16 10" xfId="5814" xr:uid="{49A479F1-1C9B-4E42-B5E9-01DEC8BE7116}"/>
    <cellStyle name="Currency 4 16 2" xfId="5815" xr:uid="{5F581FB2-73A5-48BC-9145-879D38C2DFED}"/>
    <cellStyle name="Currency 4 16 2 2" xfId="5816" xr:uid="{90B28688-B66B-43B9-B4CB-E41343B25081}"/>
    <cellStyle name="Currency 4 16 2 2 2" xfId="5817" xr:uid="{D761AD81-25BF-43C7-B891-E2119600C27B}"/>
    <cellStyle name="Currency 4 16 2 2 2 2" xfId="5818" xr:uid="{F70DAEE4-CE10-47F8-A462-4293A1B4DF80}"/>
    <cellStyle name="Currency 4 16 2 2 3" xfId="5819" xr:uid="{4ABF66B5-9813-4147-A4CE-02C15BDD9648}"/>
    <cellStyle name="Currency 4 16 2 2 4" xfId="5820" xr:uid="{11624E19-D4C8-4F6C-9AE4-75F2D2890683}"/>
    <cellStyle name="Currency 4 16 2 3" xfId="5821" xr:uid="{3CC93953-51A4-4A04-9F3C-AFDB617698B3}"/>
    <cellStyle name="Currency 4 16 2 3 2" xfId="5822" xr:uid="{AD6F2269-54F3-4689-8E80-0E8A799C7ED8}"/>
    <cellStyle name="Currency 4 16 2 4" xfId="5823" xr:uid="{F17F071C-03BC-4A36-A042-5D1C5EE6D403}"/>
    <cellStyle name="Currency 4 16 2 5" xfId="5824" xr:uid="{E4F5D9B6-F201-4843-9DCC-BE84B3DC5332}"/>
    <cellStyle name="Currency 4 16 3" xfId="5825" xr:uid="{BC0D28E2-5FE0-4209-B904-1557E38E9F78}"/>
    <cellStyle name="Currency 4 16 4" xfId="5826" xr:uid="{51B2D890-C9E6-4743-B62F-B7C225AB75AF}"/>
    <cellStyle name="Currency 4 16 5" xfId="5827" xr:uid="{7F5D3451-C902-4488-8DEE-A5A1471205D1}"/>
    <cellStyle name="Currency 4 16 6" xfId="5828" xr:uid="{3F53A016-24BF-4BC2-A7CA-03E70F7EDC0F}"/>
    <cellStyle name="Currency 4 16 6 2" xfId="5829" xr:uid="{A9708895-C9A1-4254-82C9-EC302694EA61}"/>
    <cellStyle name="Currency 4 16 6 2 2" xfId="5830" xr:uid="{5D53FE33-7543-4B7E-9AA5-E7A8574C0162}"/>
    <cellStyle name="Currency 4 16 6 3" xfId="5831" xr:uid="{214B7247-3DEB-4104-A4B5-2CE5B2947EFC}"/>
    <cellStyle name="Currency 4 16 7" xfId="5832" xr:uid="{C717A69E-64D9-4EA7-AE76-968E9BA03925}"/>
    <cellStyle name="Currency 4 16 7 2" xfId="5833" xr:uid="{4086B381-21EE-4DAD-9349-F71405579571}"/>
    <cellStyle name="Currency 4 16 7 2 2" xfId="5834" xr:uid="{CA202C09-13BD-421E-B713-3613FA093CFA}"/>
    <cellStyle name="Currency 4 16 7 3" xfId="5835" xr:uid="{0826BD11-1C2C-48CD-A60B-7986BBCE9E7B}"/>
    <cellStyle name="Currency 4 16 8" xfId="5836" xr:uid="{A4C3760E-24D8-4EB2-843B-1F6F4C5C7188}"/>
    <cellStyle name="Currency 4 16 8 2" xfId="5837" xr:uid="{535674B9-7E8C-48CE-90C6-018421EBF5C0}"/>
    <cellStyle name="Currency 4 16 9" xfId="5838" xr:uid="{0CAB8A72-0713-495D-9395-56A4E3AAC157}"/>
    <cellStyle name="Currency 4 17" xfId="5839" xr:uid="{969FC373-1175-4ACC-9947-2A043A507E48}"/>
    <cellStyle name="Currency 4 17 10" xfId="5840" xr:uid="{5C756466-7A7D-498C-9408-0D09D0866429}"/>
    <cellStyle name="Currency 4 17 2" xfId="5841" xr:uid="{6D828A02-3779-4EAE-BDF9-B3EC31B7F46E}"/>
    <cellStyle name="Currency 4 17 2 2" xfId="5842" xr:uid="{7660BF7A-22C9-4DE5-BCB0-2EF0CC37ABA2}"/>
    <cellStyle name="Currency 4 17 2 2 2" xfId="5843" xr:uid="{A02D890F-A695-44B4-8C04-01483F36991B}"/>
    <cellStyle name="Currency 4 17 2 2 2 2" xfId="5844" xr:uid="{C39A6364-82C9-4F46-994B-79778847A408}"/>
    <cellStyle name="Currency 4 17 2 2 3" xfId="5845" xr:uid="{26699CDA-1940-4B44-B1AE-E0BD6791580F}"/>
    <cellStyle name="Currency 4 17 2 2 4" xfId="5846" xr:uid="{14C5B2EC-52CE-4DAF-8053-8AA549728231}"/>
    <cellStyle name="Currency 4 17 2 3" xfId="5847" xr:uid="{181B50AB-302C-4BC5-88AF-596F9E31F2FD}"/>
    <cellStyle name="Currency 4 17 2 3 2" xfId="5848" xr:uid="{8A6E4A8A-B879-41ED-8E0B-E05C864AED6C}"/>
    <cellStyle name="Currency 4 17 2 4" xfId="5849" xr:uid="{CF45F3FE-0932-4BFB-AEB9-9C1F35F31180}"/>
    <cellStyle name="Currency 4 17 2 5" xfId="5850" xr:uid="{989950B8-B811-45D8-8F02-132E479A5970}"/>
    <cellStyle name="Currency 4 17 3" xfId="5851" xr:uid="{1345ABD9-75EF-4A34-834E-EBEE9A43330D}"/>
    <cellStyle name="Currency 4 17 4" xfId="5852" xr:uid="{89887A75-9E65-46E5-90D8-10353DB17908}"/>
    <cellStyle name="Currency 4 17 5" xfId="5853" xr:uid="{9E68466B-BC61-40F2-A5F7-FDC2624C8D27}"/>
    <cellStyle name="Currency 4 17 6" xfId="5854" xr:uid="{D1F5C574-F3BF-423E-8B6E-0C7A6B579BA9}"/>
    <cellStyle name="Currency 4 17 6 2" xfId="5855" xr:uid="{0CB712B0-68FA-4517-99F3-5A912DDA6E0B}"/>
    <cellStyle name="Currency 4 17 6 2 2" xfId="5856" xr:uid="{3B4872C5-017F-44C9-B9B2-E6C597DA4EFB}"/>
    <cellStyle name="Currency 4 17 6 3" xfId="5857" xr:uid="{0D53DB16-227C-409A-AC7E-8A345CAFCDAD}"/>
    <cellStyle name="Currency 4 17 7" xfId="5858" xr:uid="{FB27FB29-1BE5-4DD8-A4AA-88F3D75E59B4}"/>
    <cellStyle name="Currency 4 17 7 2" xfId="5859" xr:uid="{5F6C30BA-63BF-43C3-98E5-167CB639C7AD}"/>
    <cellStyle name="Currency 4 17 7 2 2" xfId="5860" xr:uid="{3C9C738F-AFFE-491E-8962-20FCF862B755}"/>
    <cellStyle name="Currency 4 17 7 3" xfId="5861" xr:uid="{D4BC3392-8BF7-4BF9-A4A0-5150D04EB8E5}"/>
    <cellStyle name="Currency 4 17 8" xfId="5862" xr:uid="{37AD8817-529A-4686-AFA9-65B50333CE31}"/>
    <cellStyle name="Currency 4 17 8 2" xfId="5863" xr:uid="{D74E2DD0-71B4-49FE-B3BE-95213F19D205}"/>
    <cellStyle name="Currency 4 17 9" xfId="5864" xr:uid="{7627F499-7E3A-4135-8D66-3C7793A794CA}"/>
    <cellStyle name="Currency 4 18" xfId="5865" xr:uid="{21CC6A17-FD9A-433D-82A4-286CFB00290B}"/>
    <cellStyle name="Currency 4 18 10" xfId="5866" xr:uid="{C921086E-2F29-4EC7-8F7E-65E11B37FE9F}"/>
    <cellStyle name="Currency 4 18 2" xfId="5867" xr:uid="{987BCF0C-BBC8-4A1E-BE0D-1E024419525A}"/>
    <cellStyle name="Currency 4 18 2 2" xfId="5868" xr:uid="{779261D9-A27A-4876-9986-B10D3CDD4126}"/>
    <cellStyle name="Currency 4 18 2 2 2" xfId="5869" xr:uid="{FF2D0FD1-97A3-4388-B194-3AA0E7FA27B0}"/>
    <cellStyle name="Currency 4 18 2 2 2 2" xfId="5870" xr:uid="{911D3A38-FCEC-4A20-9E6D-FC7AA88A2026}"/>
    <cellStyle name="Currency 4 18 2 2 3" xfId="5871" xr:uid="{5F7B3A94-DEC1-4398-A96C-EC4A6A14BB3E}"/>
    <cellStyle name="Currency 4 18 2 2 4" xfId="5872" xr:uid="{FDE29043-E293-4F3E-9AC2-6A50511B5CEF}"/>
    <cellStyle name="Currency 4 18 2 3" xfId="5873" xr:uid="{CF637673-C2F9-4C98-A4F7-5FDEEE37DEBE}"/>
    <cellStyle name="Currency 4 18 2 3 2" xfId="5874" xr:uid="{5C90A114-B030-4175-9EE9-087AB0D3E8CE}"/>
    <cellStyle name="Currency 4 18 2 4" xfId="5875" xr:uid="{A2E9D073-CB40-4979-A948-A1F2CE9081D2}"/>
    <cellStyle name="Currency 4 18 2 5" xfId="5876" xr:uid="{BB5BC9E2-93AA-40F3-A4EE-3AF06C29D305}"/>
    <cellStyle name="Currency 4 18 3" xfId="5877" xr:uid="{71A7D934-967B-495F-9B32-58AE704442DC}"/>
    <cellStyle name="Currency 4 18 4" xfId="5878" xr:uid="{8A41F1F0-537C-4037-8614-DFC26DB8F456}"/>
    <cellStyle name="Currency 4 18 5" xfId="5879" xr:uid="{E04C26BE-61B8-46C4-BC73-501083E0E153}"/>
    <cellStyle name="Currency 4 18 6" xfId="5880" xr:uid="{71C9E9CC-FABC-4C60-9937-31289B6520BD}"/>
    <cellStyle name="Currency 4 18 6 2" xfId="5881" xr:uid="{3E3D2303-CECC-4E10-96D1-9B7253AC2378}"/>
    <cellStyle name="Currency 4 18 6 2 2" xfId="5882" xr:uid="{97F2ACA8-3A68-4583-8219-D599DC45C069}"/>
    <cellStyle name="Currency 4 18 6 3" xfId="5883" xr:uid="{1174FC51-ABC9-4EEB-8269-4020657CC66E}"/>
    <cellStyle name="Currency 4 18 7" xfId="5884" xr:uid="{5281692D-53BD-458A-983A-4EE32DEF0B2D}"/>
    <cellStyle name="Currency 4 18 7 2" xfId="5885" xr:uid="{DD86721A-3BA4-4A94-ADDD-23E8BFED9BA5}"/>
    <cellStyle name="Currency 4 18 7 2 2" xfId="5886" xr:uid="{DEFA7FAE-961A-4B16-A53A-DE58E5E2935D}"/>
    <cellStyle name="Currency 4 18 7 3" xfId="5887" xr:uid="{11CC220D-476C-443F-895C-5163118A9F6C}"/>
    <cellStyle name="Currency 4 18 8" xfId="5888" xr:uid="{D2873535-7B72-4C63-BBBE-A2221B73DEE4}"/>
    <cellStyle name="Currency 4 18 8 2" xfId="5889" xr:uid="{7939B34B-0281-484C-BA81-388941F48A08}"/>
    <cellStyle name="Currency 4 18 9" xfId="5890" xr:uid="{94160DF2-25A0-437B-AB31-7E0B8B90CABF}"/>
    <cellStyle name="Currency 4 19" xfId="5891" xr:uid="{1CAC7886-797C-4B02-88A3-9FDBEE45E6ED}"/>
    <cellStyle name="Currency 4 19 10" xfId="5892" xr:uid="{76D53C4F-88C6-4459-BCE2-319B2077637C}"/>
    <cellStyle name="Currency 4 19 2" xfId="5893" xr:uid="{A11C2DF9-9A88-4597-88FD-3D67827EE737}"/>
    <cellStyle name="Currency 4 19 2 2" xfId="5894" xr:uid="{483885A9-82AC-4D26-A971-E78C08A9EB7C}"/>
    <cellStyle name="Currency 4 19 2 2 2" xfId="5895" xr:uid="{E52CC72A-EE4C-499F-9379-BBFB4966BAD1}"/>
    <cellStyle name="Currency 4 19 2 2 2 2" xfId="5896" xr:uid="{8E114159-E274-4306-AD34-EB4374359530}"/>
    <cellStyle name="Currency 4 19 2 2 3" xfId="5897" xr:uid="{4D08EB1E-7198-40EF-8D6F-72E8D73F993C}"/>
    <cellStyle name="Currency 4 19 2 2 4" xfId="5898" xr:uid="{F3AE73E2-2C01-4645-A6E3-049BE259423A}"/>
    <cellStyle name="Currency 4 19 2 3" xfId="5899" xr:uid="{3DCE155C-172D-463C-8273-E816F7956B1B}"/>
    <cellStyle name="Currency 4 19 2 3 2" xfId="5900" xr:uid="{31A1CCB7-90F2-4D35-8EEA-FD6825ED4230}"/>
    <cellStyle name="Currency 4 19 2 4" xfId="5901" xr:uid="{A01AE213-931F-4C2A-BBD0-DFAA69D5418B}"/>
    <cellStyle name="Currency 4 19 2 5" xfId="5902" xr:uid="{BBA852D3-A039-4F13-A9BB-EE8D43AA9F30}"/>
    <cellStyle name="Currency 4 19 3" xfId="5903" xr:uid="{4E585CC9-9121-40E8-8699-24E973FE867A}"/>
    <cellStyle name="Currency 4 19 4" xfId="5904" xr:uid="{F75B1CFF-7AFE-41AF-B674-1C97DE136595}"/>
    <cellStyle name="Currency 4 19 5" xfId="5905" xr:uid="{3976808D-6252-4B02-8FF7-2C61CAD6BDBA}"/>
    <cellStyle name="Currency 4 19 6" xfId="5906" xr:uid="{9CB7292F-D23D-4865-A7AB-6EEE5F0310DA}"/>
    <cellStyle name="Currency 4 19 6 2" xfId="5907" xr:uid="{FB19DE87-1317-4FDB-9CA3-44B9CCEB403B}"/>
    <cellStyle name="Currency 4 19 6 2 2" xfId="5908" xr:uid="{4CCABF06-6A2B-4D4C-9008-21F71A27621F}"/>
    <cellStyle name="Currency 4 19 6 3" xfId="5909" xr:uid="{7D31BD0F-07BB-4318-9627-4A0BD4495AE0}"/>
    <cellStyle name="Currency 4 19 7" xfId="5910" xr:uid="{75BC730F-63F2-4C72-8009-B4D9D99427F4}"/>
    <cellStyle name="Currency 4 19 7 2" xfId="5911" xr:uid="{98AD20F5-392A-4698-94EC-27390FE330A3}"/>
    <cellStyle name="Currency 4 19 7 2 2" xfId="5912" xr:uid="{0B5A9488-0773-4024-8B87-CBC6BF3AEC9A}"/>
    <cellStyle name="Currency 4 19 7 3" xfId="5913" xr:uid="{BBCAF6D3-813D-4406-BA27-28D862E17407}"/>
    <cellStyle name="Currency 4 19 8" xfId="5914" xr:uid="{4E6D4200-9F62-4400-B095-E3E333FD54D8}"/>
    <cellStyle name="Currency 4 19 8 2" xfId="5915" xr:uid="{2DF75990-22B1-4146-BF0B-BFF55CB48927}"/>
    <cellStyle name="Currency 4 19 9" xfId="5916" xr:uid="{55981626-AFE3-4F0C-BF91-504E7D65D5E3}"/>
    <cellStyle name="Currency 4 2" xfId="5917" xr:uid="{3446DC76-8D00-4DC5-A54A-A091D169B8F4}"/>
    <cellStyle name="Currency 4 2 10" xfId="5918" xr:uid="{F1504C29-DE0C-4428-A9B0-720D2450ABDA}"/>
    <cellStyle name="Currency 4 2 10 2" xfId="5919" xr:uid="{4BBFC079-7905-4802-98E7-17CEE90BE51C}"/>
    <cellStyle name="Currency 4 2 10 2 2" xfId="5920" xr:uid="{05540C02-CAF4-4BDC-AC5E-89CFBC2C31C0}"/>
    <cellStyle name="Currency 4 2 10 2 2 2" xfId="5921" xr:uid="{694C58F5-0882-43F2-A4D8-26BF9CEBF576}"/>
    <cellStyle name="Currency 4 2 10 2 2 2 2" xfId="5922" xr:uid="{8325E4D6-3D75-4412-B6C6-FE47C005A75B}"/>
    <cellStyle name="Currency 4 2 10 2 2 2 2 2" xfId="19659" xr:uid="{DAC654EC-59B5-4E78-A862-037D44F79339}"/>
    <cellStyle name="Currency 4 2 10 2 2 2 3" xfId="19660" xr:uid="{D6ADE0F1-7E91-4749-A447-EEE44A039C4A}"/>
    <cellStyle name="Currency 4 2 10 2 2 3" xfId="5923" xr:uid="{EE30B3B5-97C4-4DF8-BCF4-CACEF5CEE909}"/>
    <cellStyle name="Currency 4 2 10 2 2 3 2" xfId="19661" xr:uid="{7B05FCC9-BF57-47CF-AB16-521F5DE7AEA4}"/>
    <cellStyle name="Currency 4 2 10 2 2 4" xfId="5924" xr:uid="{E30854DF-35C5-4ED6-B32A-8FD48FDF8670}"/>
    <cellStyle name="Currency 4 2 10 2 2 4 2" xfId="19662" xr:uid="{AC0A8470-23E5-425F-A833-1003B0A43EF3}"/>
    <cellStyle name="Currency 4 2 10 2 2 5" xfId="19663" xr:uid="{ADFE6D9A-5D55-4DC6-96D6-244CFF5746BD}"/>
    <cellStyle name="Currency 4 2 10 2 3" xfId="5925" xr:uid="{B0F66A61-F8DD-4FAD-832A-F506580A58B2}"/>
    <cellStyle name="Currency 4 2 10 2 3 2" xfId="5926" xr:uid="{51ED8BAC-0C34-41A9-A329-A483F959979B}"/>
    <cellStyle name="Currency 4 2 10 2 3 2 2" xfId="5927" xr:uid="{C55CE4DE-C3A8-49D3-88E7-179264AD7C33}"/>
    <cellStyle name="Currency 4 2 10 2 3 2 2 2" xfId="19664" xr:uid="{106CA6AF-0D2C-4AB1-9D92-D285F742E492}"/>
    <cellStyle name="Currency 4 2 10 2 3 2 3" xfId="19665" xr:uid="{E116A1E0-43D9-4427-A8F6-8FD921AC9E3A}"/>
    <cellStyle name="Currency 4 2 10 2 3 3" xfId="5928" xr:uid="{BD54F2BF-1D9A-4DF0-B4EE-56F12657D4DC}"/>
    <cellStyle name="Currency 4 2 10 2 3 3 2" xfId="19666" xr:uid="{E7953182-5D33-49D8-AAB9-7E454E15E8AD}"/>
    <cellStyle name="Currency 4 2 10 2 3 4" xfId="5929" xr:uid="{C4DE0242-D56D-42CC-AB62-ED1D87241413}"/>
    <cellStyle name="Currency 4 2 10 2 3 4 2" xfId="19667" xr:uid="{E9D12377-3D45-4262-839D-C528AEBE69C0}"/>
    <cellStyle name="Currency 4 2 10 2 3 5" xfId="19668" xr:uid="{1E3DEC7B-F4C3-45F5-8E93-2E7C256F5820}"/>
    <cellStyle name="Currency 4 2 10 2 4" xfId="5930" xr:uid="{845F1CD7-C763-4132-A32A-A0CD7AFE9FC8}"/>
    <cellStyle name="Currency 4 2 10 2 4 2" xfId="5931" xr:uid="{20BF06F4-55FC-4D76-9A9C-BB2C4B9CEC48}"/>
    <cellStyle name="Currency 4 2 10 2 4 2 2" xfId="19669" xr:uid="{1F9833A1-AABB-472D-9C9B-906BF414FC7E}"/>
    <cellStyle name="Currency 4 2 10 2 4 3" xfId="19670" xr:uid="{B9ACC8E0-B657-4C35-AC21-F64EFC4CE8CB}"/>
    <cellStyle name="Currency 4 2 10 2 5" xfId="5932" xr:uid="{22F5D74A-1DC6-4D91-BF59-A696AF5158B8}"/>
    <cellStyle name="Currency 4 2 10 2 5 2" xfId="5933" xr:uid="{98164B18-F4B9-4226-A0BF-31074404C780}"/>
    <cellStyle name="Currency 4 2 10 2 5 2 2" xfId="19671" xr:uid="{D44038CA-A39F-499F-923E-BC4227C3D7E6}"/>
    <cellStyle name="Currency 4 2 10 2 5 3" xfId="19672" xr:uid="{77400804-42A6-48F0-ACD9-E25B99FF0737}"/>
    <cellStyle name="Currency 4 2 10 2 6" xfId="5934" xr:uid="{8DAEE44E-18B1-4CBC-BF91-A6864831B95B}"/>
    <cellStyle name="Currency 4 2 10 2 6 2" xfId="19673" xr:uid="{02C525B8-8B54-4E3F-BB0F-37665638C3B2}"/>
    <cellStyle name="Currency 4 2 10 2 7" xfId="5935" xr:uid="{3521599C-2C43-4C8D-93AD-0A4CCEE79761}"/>
    <cellStyle name="Currency 4 2 10 2 7 2" xfId="19674" xr:uid="{921BA2FA-3A5C-489D-9D44-B54327767AEF}"/>
    <cellStyle name="Currency 4 2 10 2 8" xfId="19675" xr:uid="{98FC051E-8446-4F04-8C21-0E9B9C9939E8}"/>
    <cellStyle name="Currency 4 2 10 3" xfId="5936" xr:uid="{175E6674-C01C-499B-93DB-DF85EDFB6A4D}"/>
    <cellStyle name="Currency 4 2 11" xfId="5937" xr:uid="{C82AA0D7-DE69-4746-A037-DCDF68930D5E}"/>
    <cellStyle name="Currency 4 2 11 2" xfId="5938" xr:uid="{5A813132-AB45-4371-A275-48A11A11C745}"/>
    <cellStyle name="Currency 4 2 11 2 2" xfId="5939" xr:uid="{0CE5A1E3-A95E-4E38-BE76-0F1C3F65362B}"/>
    <cellStyle name="Currency 4 2 11 2 2 2" xfId="5940" xr:uid="{25D212BD-BF39-4405-BAB1-5995845B9171}"/>
    <cellStyle name="Currency 4 2 11 2 2 2 2" xfId="19676" xr:uid="{F35FA9BA-D900-44C8-8A23-6CC93BFABD5D}"/>
    <cellStyle name="Currency 4 2 11 2 2 3" xfId="19677" xr:uid="{E55A1950-9C87-430D-82EF-0FF0E33184F4}"/>
    <cellStyle name="Currency 4 2 11 2 3" xfId="5941" xr:uid="{6544D425-A345-43FA-A3E9-1F7BD98FF8DC}"/>
    <cellStyle name="Currency 4 2 11 2 3 2" xfId="19678" xr:uid="{6479CF5A-D4B5-4EDD-ACF5-220DCBEF826A}"/>
    <cellStyle name="Currency 4 2 11 2 4" xfId="5942" xr:uid="{86425ED8-3EC2-4C33-9E8F-B183F9C37D9C}"/>
    <cellStyle name="Currency 4 2 11 2 4 2" xfId="19679" xr:uid="{F72F3DA7-4E7A-45FF-9A59-4E78B8EE05A0}"/>
    <cellStyle name="Currency 4 2 11 2 5" xfId="19680" xr:uid="{24CC10CE-349E-4A30-BDAD-51857AD09FE9}"/>
    <cellStyle name="Currency 4 2 11 3" xfId="5943" xr:uid="{695EF0A7-EE60-49A4-BACD-66CF39AF6918}"/>
    <cellStyle name="Currency 4 2 11 3 2" xfId="5944" xr:uid="{63D04A13-0692-4DBA-B97E-FF64048ADED3}"/>
    <cellStyle name="Currency 4 2 11 3 2 2" xfId="5945" xr:uid="{CBC31EEA-2292-404E-A132-CC81EDAC7597}"/>
    <cellStyle name="Currency 4 2 11 3 2 2 2" xfId="19681" xr:uid="{81288593-3AE5-4085-857C-50E94DDA60B0}"/>
    <cellStyle name="Currency 4 2 11 3 2 3" xfId="19682" xr:uid="{56803803-DA17-46B6-A9F5-42BE652E113A}"/>
    <cellStyle name="Currency 4 2 11 3 3" xfId="5946" xr:uid="{A13451F8-FB78-41B9-9F7E-6FB2B0E9EF6E}"/>
    <cellStyle name="Currency 4 2 11 3 3 2" xfId="19683" xr:uid="{038EB125-BA76-44FB-A5CF-700D7ACB9B64}"/>
    <cellStyle name="Currency 4 2 11 3 4" xfId="5947" xr:uid="{B0155380-C2E0-47F8-AEFF-5460E3A293EB}"/>
    <cellStyle name="Currency 4 2 11 3 4 2" xfId="19684" xr:uid="{F552BA12-4EF3-4AAE-B148-1BF70EA31679}"/>
    <cellStyle name="Currency 4 2 11 3 5" xfId="19685" xr:uid="{5D899A1D-35B7-4FF1-AF37-8814F758634C}"/>
    <cellStyle name="Currency 4 2 11 4" xfId="5948" xr:uid="{DABB0A20-E25F-4B27-9847-64B4325D8240}"/>
    <cellStyle name="Currency 4 2 11 4 2" xfId="5949" xr:uid="{A4059A06-27C6-49D9-8823-255210DBEFAB}"/>
    <cellStyle name="Currency 4 2 11 4 2 2" xfId="19686" xr:uid="{863909F8-8C41-44E9-B557-56FEA9E9E46D}"/>
    <cellStyle name="Currency 4 2 11 4 3" xfId="19687" xr:uid="{7C9B8548-AB7E-46FF-8055-B13F1BE4C63C}"/>
    <cellStyle name="Currency 4 2 11 5" xfId="5950" xr:uid="{7EE47F5F-B856-4845-B18F-296F1A9B97D3}"/>
    <cellStyle name="Currency 4 2 11 5 2" xfId="5951" xr:uid="{06CCC6FB-0F33-4693-9BEE-F17C5FA08F54}"/>
    <cellStyle name="Currency 4 2 11 5 2 2" xfId="19688" xr:uid="{B6DE0FE8-F39E-49B4-B080-53D3B31ABF00}"/>
    <cellStyle name="Currency 4 2 11 5 3" xfId="19689" xr:uid="{1FCF937E-3919-4345-82BD-B82FA89445B4}"/>
    <cellStyle name="Currency 4 2 11 6" xfId="5952" xr:uid="{5AA4BDD6-B7CD-4532-901C-EFD16DCB277E}"/>
    <cellStyle name="Currency 4 2 11 6 2" xfId="19690" xr:uid="{57D5EA31-458E-4407-ABF1-743BDAAD438A}"/>
    <cellStyle name="Currency 4 2 11 7" xfId="5953" xr:uid="{5326A20E-C5C5-4047-A2B6-E22A2B120F36}"/>
    <cellStyle name="Currency 4 2 11 7 2" xfId="19691" xr:uid="{8DFD9CD2-CD04-4B7B-BB45-9170CE9B962B}"/>
    <cellStyle name="Currency 4 2 11 8" xfId="19692" xr:uid="{645D727A-CFDF-482B-BBC2-AD02964E6810}"/>
    <cellStyle name="Currency 4 2 12" xfId="5954" xr:uid="{01F48F3C-C688-44ED-9F07-D54F53E51151}"/>
    <cellStyle name="Currency 4 2 12 2" xfId="5955" xr:uid="{A21EF774-91A8-4024-BD8D-5BBFD798B419}"/>
    <cellStyle name="Currency 4 2 12 2 2" xfId="5956" xr:uid="{AF1F4B5E-09F5-44D4-8219-09FC032D979D}"/>
    <cellStyle name="Currency 4 2 12 2 2 2" xfId="19693" xr:uid="{62E7E2BB-D43E-4380-B324-034E516B5EF5}"/>
    <cellStyle name="Currency 4 2 12 2 3" xfId="19694" xr:uid="{5A52B69F-D24A-46FB-AAE8-E797EC699DC9}"/>
    <cellStyle name="Currency 4 2 12 3" xfId="5957" xr:uid="{9B21944C-9E18-4B89-ADB9-DDD0C2AAD2D9}"/>
    <cellStyle name="Currency 4 2 12 3 2" xfId="19695" xr:uid="{E6811899-12D9-410F-B942-EC4A3E9D1FBF}"/>
    <cellStyle name="Currency 4 2 12 4" xfId="5958" xr:uid="{B91B373F-890E-495C-A459-DD6FA2D5CF99}"/>
    <cellStyle name="Currency 4 2 12 4 2" xfId="19696" xr:uid="{39B78773-F04C-4B6F-90A4-1B15BA963EFA}"/>
    <cellStyle name="Currency 4 2 12 5" xfId="19697" xr:uid="{AE85E4BB-6590-463D-8AA9-0B78824970E6}"/>
    <cellStyle name="Currency 4 2 13" xfId="5959" xr:uid="{B6B88033-10D2-4787-90E0-B4DB5F860B0C}"/>
    <cellStyle name="Currency 4 2 13 2" xfId="5960" xr:uid="{A96DAE44-5E06-45D0-9B23-90229FD3162A}"/>
    <cellStyle name="Currency 4 2 13 2 2" xfId="5961" xr:uid="{8D972704-6E45-4055-9B3A-F47478283D3A}"/>
    <cellStyle name="Currency 4 2 13 2 2 2" xfId="19698" xr:uid="{C3589759-DD18-4DB4-ABDE-9AA0C962E17D}"/>
    <cellStyle name="Currency 4 2 13 2 3" xfId="19699" xr:uid="{1CE5D57C-4C8D-4DDF-A699-C6119F41BED6}"/>
    <cellStyle name="Currency 4 2 13 3" xfId="5962" xr:uid="{BCEF074A-8D0C-4E51-9400-EBFDB5601CAD}"/>
    <cellStyle name="Currency 4 2 13 3 2" xfId="19700" xr:uid="{B69C84BF-6A1B-4106-BA07-40AE411D8574}"/>
    <cellStyle name="Currency 4 2 13 4" xfId="5963" xr:uid="{F5D3F64D-DE2D-46D6-AD3C-0D5BF40D835A}"/>
    <cellStyle name="Currency 4 2 13 4 2" xfId="19701" xr:uid="{CF6AD48A-0AFD-4077-8FF0-1CECA39A4D01}"/>
    <cellStyle name="Currency 4 2 13 5" xfId="19702" xr:uid="{057CE5DE-8BD4-4E67-AC00-B56B763FC18C}"/>
    <cellStyle name="Currency 4 2 14" xfId="5964" xr:uid="{A61CC20D-E531-43D6-B983-9DE3BD8FD27B}"/>
    <cellStyle name="Currency 4 2 14 2" xfId="5965" xr:uid="{8D136C4A-E208-4189-9332-FA2254FC33FE}"/>
    <cellStyle name="Currency 4 2 14 2 2" xfId="19703" xr:uid="{5CAB4F49-0E89-4786-94B7-FDFCA8DE8803}"/>
    <cellStyle name="Currency 4 2 14 3" xfId="5966" xr:uid="{B6765280-C31C-4AAE-8499-D62AEC998413}"/>
    <cellStyle name="Currency 4 2 14 3 2" xfId="19704" xr:uid="{7976965F-1C95-4391-80CB-BD8399AC7960}"/>
    <cellStyle name="Currency 4 2 14 4" xfId="19705" xr:uid="{CA35A792-DD0C-4319-AA3A-A1AF112F0B9D}"/>
    <cellStyle name="Currency 4 2 15" xfId="5967" xr:uid="{876D08A2-1103-4479-88F9-4B55DAD5B2FC}"/>
    <cellStyle name="Currency 4 2 15 2" xfId="5968" xr:uid="{9F2D7ADA-DB30-423C-AC1C-E1006AC929D0}"/>
    <cellStyle name="Currency 4 2 15 2 2" xfId="19706" xr:uid="{F8A8C1A1-AC29-4B15-8083-7BEA75A82FE8}"/>
    <cellStyle name="Currency 4 2 15 3" xfId="5969" xr:uid="{18284239-432F-4CA5-B316-8C8B114CC4F1}"/>
    <cellStyle name="Currency 4 2 15 4" xfId="19707" xr:uid="{AFDAC059-E257-4EF5-BAD4-0671B6CBAA8E}"/>
    <cellStyle name="Currency 4 2 16" xfId="5970" xr:uid="{04422CB6-C2FB-418D-B637-F2ECA5B65DAD}"/>
    <cellStyle name="Currency 4 2 16 2" xfId="19708" xr:uid="{07DCAB1D-9A98-4765-AACE-47178416C61E}"/>
    <cellStyle name="Currency 4 2 17" xfId="5971" xr:uid="{0F40A176-C25E-4F31-A446-AD73EF7432FF}"/>
    <cellStyle name="Currency 4 2 18" xfId="19709" xr:uid="{E1724931-89D0-483E-8E74-82FA170035C9}"/>
    <cellStyle name="Currency 4 2 19" xfId="44171" xr:uid="{A1F56B02-F7A9-4376-9970-2FA3F0C5602E}"/>
    <cellStyle name="Currency 4 2 2" xfId="5972" xr:uid="{0C631BB2-2874-4C33-8D95-4A4F1FD63406}"/>
    <cellStyle name="Currency 4 2 3" xfId="5973" xr:uid="{921E13B5-125F-437B-95A7-EF0672B98746}"/>
    <cellStyle name="Currency 4 2 4" xfId="5974" xr:uid="{71B10D00-DA59-4A9B-85CA-DDFE8F514572}"/>
    <cellStyle name="Currency 4 2 5" xfId="5975" xr:uid="{A11847E3-D83D-4898-941C-8A2C7392EEFC}"/>
    <cellStyle name="Currency 4 2 6" xfId="5976" xr:uid="{BA27AF38-A51D-42F5-AA74-D3EFA868E476}"/>
    <cellStyle name="Currency 4 2 7" xfId="5977" xr:uid="{B25C0E58-AFDB-493A-AFA3-98F99BABB74F}"/>
    <cellStyle name="Currency 4 2 8" xfId="5978" xr:uid="{223E254E-A8C6-499E-914B-C8B252209C34}"/>
    <cellStyle name="Currency 4 2 9" xfId="5979" xr:uid="{46335899-8C91-4355-8434-1BEE59667D68}"/>
    <cellStyle name="Currency 4 20" xfId="5980" xr:uid="{0F0F7705-7E15-4C39-977F-CF7EEE0E8A38}"/>
    <cellStyle name="Currency 4 20 10" xfId="5981" xr:uid="{EF96AE3B-00C3-47A5-81E4-73D613CC9CAC}"/>
    <cellStyle name="Currency 4 20 2" xfId="5982" xr:uid="{D060CC67-7100-4388-8B38-D1D02896A214}"/>
    <cellStyle name="Currency 4 20 2 2" xfId="5983" xr:uid="{5EB09146-7711-4BBE-B58C-6E3664724909}"/>
    <cellStyle name="Currency 4 20 2 2 2" xfId="5984" xr:uid="{BC2D4F1D-04C1-4BD3-B823-4F511BEF8DF2}"/>
    <cellStyle name="Currency 4 20 2 2 2 2" xfId="5985" xr:uid="{75C6499E-B367-4A8C-BBDA-69CE08882F08}"/>
    <cellStyle name="Currency 4 20 2 2 3" xfId="5986" xr:uid="{99D99C18-9596-4F82-8417-56673CFFB869}"/>
    <cellStyle name="Currency 4 20 2 2 4" xfId="5987" xr:uid="{3377312A-1C34-4A34-8512-B925770C5901}"/>
    <cellStyle name="Currency 4 20 2 3" xfId="5988" xr:uid="{8C4A8C17-9629-48A3-9747-750E67BC5D27}"/>
    <cellStyle name="Currency 4 20 2 3 2" xfId="5989" xr:uid="{80708BCF-D091-46F8-9B47-1FF8F8BBD7A6}"/>
    <cellStyle name="Currency 4 20 2 4" xfId="5990" xr:uid="{486DE907-DBCA-49E4-9EB8-AB3B38C0C1B5}"/>
    <cellStyle name="Currency 4 20 2 5" xfId="5991" xr:uid="{6CEF31C8-4060-4254-A6DB-7CB0188B7A46}"/>
    <cellStyle name="Currency 4 20 3" xfId="5992" xr:uid="{F9859EFA-7778-426E-860C-B82C1EB32088}"/>
    <cellStyle name="Currency 4 20 4" xfId="5993" xr:uid="{5C540718-9539-403D-B23E-3035689F0595}"/>
    <cellStyle name="Currency 4 20 5" xfId="5994" xr:uid="{C5717731-04E4-47B3-A24D-9BBAEF503E25}"/>
    <cellStyle name="Currency 4 20 6" xfId="5995" xr:uid="{568F8C54-B09C-481B-9E6B-BD57A99D879E}"/>
    <cellStyle name="Currency 4 20 6 2" xfId="5996" xr:uid="{3FD2514F-6302-423A-870A-C498312B3DB6}"/>
    <cellStyle name="Currency 4 20 6 2 2" xfId="5997" xr:uid="{3C3BA477-64F0-47C1-849E-05A78CAF88E5}"/>
    <cellStyle name="Currency 4 20 6 3" xfId="5998" xr:uid="{3BAF66AE-060C-4B5D-9760-19DFA414AC00}"/>
    <cellStyle name="Currency 4 20 7" xfId="5999" xr:uid="{AE00466F-1DE6-46E7-890C-BDB08A641E0A}"/>
    <cellStyle name="Currency 4 20 7 2" xfId="6000" xr:uid="{9F9D5E38-EE19-45AF-894A-40FC0A97F2FF}"/>
    <cellStyle name="Currency 4 20 7 2 2" xfId="6001" xr:uid="{B59BF3A9-B0FD-4837-9BB2-E291D47D989A}"/>
    <cellStyle name="Currency 4 20 7 3" xfId="6002" xr:uid="{FA6DEB04-455A-4DB4-8076-0376B4E7A2A5}"/>
    <cellStyle name="Currency 4 20 8" xfId="6003" xr:uid="{32146921-C832-4E03-B4F3-5FFAD45F604B}"/>
    <cellStyle name="Currency 4 20 8 2" xfId="6004" xr:uid="{BEF9C940-69A1-4017-93FC-559F3F3B2D3F}"/>
    <cellStyle name="Currency 4 20 9" xfId="6005" xr:uid="{09C8F50A-5B9F-4E85-A515-DE024FECBB4E}"/>
    <cellStyle name="Currency 4 21" xfId="6006" xr:uid="{0B9C61AC-6ADA-4EAA-9891-1DFD4A9CF6C5}"/>
    <cellStyle name="Currency 4 21 10" xfId="6007" xr:uid="{B305FC3A-FC6D-4339-8C31-ACEEC8071AE9}"/>
    <cellStyle name="Currency 4 21 2" xfId="6008" xr:uid="{FCD13A9E-08B1-4787-BC4D-87BBE2A68A7B}"/>
    <cellStyle name="Currency 4 21 2 2" xfId="6009" xr:uid="{864C6FD1-3714-4AD7-A430-5535FFBF78DB}"/>
    <cellStyle name="Currency 4 21 2 2 2" xfId="6010" xr:uid="{82FFDFBA-9E30-40D6-BD25-67830C69351C}"/>
    <cellStyle name="Currency 4 21 2 2 2 2" xfId="6011" xr:uid="{D434D112-A0C5-47A5-9D3D-298A99EC760C}"/>
    <cellStyle name="Currency 4 21 2 2 3" xfId="6012" xr:uid="{BBCA2EE7-804D-4564-A6FA-86462748B753}"/>
    <cellStyle name="Currency 4 21 2 2 4" xfId="6013" xr:uid="{FA8947C7-A112-4942-A03D-94022C76701D}"/>
    <cellStyle name="Currency 4 21 2 3" xfId="6014" xr:uid="{E70B9B64-6D54-47F5-95A5-A969B58030A8}"/>
    <cellStyle name="Currency 4 21 2 3 2" xfId="6015" xr:uid="{05BC43C4-D68E-42A0-9CB8-9103C962B459}"/>
    <cellStyle name="Currency 4 21 2 4" xfId="6016" xr:uid="{E5A74AD5-C41A-42A1-A4E0-7463682ACA13}"/>
    <cellStyle name="Currency 4 21 2 5" xfId="6017" xr:uid="{600E7C0A-84B8-48CE-9CCE-4F1C23DEEDBC}"/>
    <cellStyle name="Currency 4 21 3" xfId="6018" xr:uid="{D4D43FF9-0906-4082-B3DF-606A90113C70}"/>
    <cellStyle name="Currency 4 21 4" xfId="6019" xr:uid="{DAE4480A-6190-422D-BBB0-799FE38E5E31}"/>
    <cellStyle name="Currency 4 21 5" xfId="6020" xr:uid="{C1D2824C-7211-4D1A-B5C9-CA635E70DE53}"/>
    <cellStyle name="Currency 4 21 6" xfId="6021" xr:uid="{9AA9D72A-10E8-4BB5-ABF9-DF5A450C454B}"/>
    <cellStyle name="Currency 4 21 6 2" xfId="6022" xr:uid="{5808374E-FACD-497E-9D93-F85247241611}"/>
    <cellStyle name="Currency 4 21 6 2 2" xfId="6023" xr:uid="{A59C8B49-6C1B-4A7A-896D-D76F167B8386}"/>
    <cellStyle name="Currency 4 21 6 3" xfId="6024" xr:uid="{60000F31-BC9A-4780-BA2A-FF6AAD8D82BC}"/>
    <cellStyle name="Currency 4 21 7" xfId="6025" xr:uid="{5C963B2A-626A-4352-B678-9689BBFBA1A8}"/>
    <cellStyle name="Currency 4 21 7 2" xfId="6026" xr:uid="{92ADA1FA-A182-45C3-9D41-FDF702D51426}"/>
    <cellStyle name="Currency 4 21 7 2 2" xfId="6027" xr:uid="{BDBD05F9-D07C-4565-A2E5-DD8E89045956}"/>
    <cellStyle name="Currency 4 21 7 3" xfId="6028" xr:uid="{BDAEC010-B45D-4534-8060-1E5C944671FA}"/>
    <cellStyle name="Currency 4 21 8" xfId="6029" xr:uid="{8D9AD31E-2317-4662-8DB4-6332D57ABC7B}"/>
    <cellStyle name="Currency 4 21 8 2" xfId="6030" xr:uid="{7BB41F40-F2EB-4B78-8389-085FD998210D}"/>
    <cellStyle name="Currency 4 21 9" xfId="6031" xr:uid="{049B7F75-FB4D-4CC8-ACA5-8BE827D671F1}"/>
    <cellStyle name="Currency 4 22" xfId="6032" xr:uid="{8080CC20-AF7D-4305-A0C4-F833CFFE3A8D}"/>
    <cellStyle name="Currency 4 22 10" xfId="6033" xr:uid="{B6AC8612-1C2E-488E-B255-A365AC417BD7}"/>
    <cellStyle name="Currency 4 22 2" xfId="6034" xr:uid="{D3DCB97D-F920-44F4-AD4F-C95B7CA4E691}"/>
    <cellStyle name="Currency 4 22 2 2" xfId="6035" xr:uid="{9BF122E4-6C32-4BB5-9B00-0DB4900E64F6}"/>
    <cellStyle name="Currency 4 22 2 2 2" xfId="6036" xr:uid="{5EDA2A17-0252-48BB-8F0A-2F9A99217031}"/>
    <cellStyle name="Currency 4 22 2 2 2 2" xfId="6037" xr:uid="{DFFBFD24-3E95-4AD7-BC2D-726AE92BF644}"/>
    <cellStyle name="Currency 4 22 2 2 3" xfId="6038" xr:uid="{7E19AA88-9C38-4870-9E83-30B950FD1692}"/>
    <cellStyle name="Currency 4 22 2 2 4" xfId="6039" xr:uid="{0F32ED93-91F4-463A-81C4-0BC63E4C11C6}"/>
    <cellStyle name="Currency 4 22 2 3" xfId="6040" xr:uid="{AAF4A7CD-AB36-46F4-A132-0D69C3ADC936}"/>
    <cellStyle name="Currency 4 22 2 3 2" xfId="6041" xr:uid="{6B6EAFF9-3B5B-4818-91C4-0987E8915831}"/>
    <cellStyle name="Currency 4 22 2 4" xfId="6042" xr:uid="{77F87D21-383E-49ED-8228-92DB2459D471}"/>
    <cellStyle name="Currency 4 22 2 5" xfId="6043" xr:uid="{185B5A00-4E05-4CD7-A0E9-150FD81D2EE4}"/>
    <cellStyle name="Currency 4 22 3" xfId="6044" xr:uid="{B9DA4530-4993-4AF7-A880-6235CB858849}"/>
    <cellStyle name="Currency 4 22 4" xfId="6045" xr:uid="{DC78B64C-517A-493F-8436-F894858AEDA4}"/>
    <cellStyle name="Currency 4 22 5" xfId="6046" xr:uid="{27D5BDB2-7D8E-4E28-AEFA-7337CD5820B2}"/>
    <cellStyle name="Currency 4 22 6" xfId="6047" xr:uid="{A7EC9479-DA7A-4A5C-9430-4B444C8461EF}"/>
    <cellStyle name="Currency 4 22 6 2" xfId="6048" xr:uid="{5C008EDD-3C8F-4DEC-AC52-9638D5273A55}"/>
    <cellStyle name="Currency 4 22 6 2 2" xfId="6049" xr:uid="{29CC8E24-EB36-477C-8FCF-837B1C2B45FC}"/>
    <cellStyle name="Currency 4 22 6 3" xfId="6050" xr:uid="{6E51DA06-8490-44F5-9787-BC4C577D9D39}"/>
    <cellStyle name="Currency 4 22 7" xfId="6051" xr:uid="{2E33A740-81AB-49DE-8D86-B1F394B77AA3}"/>
    <cellStyle name="Currency 4 22 7 2" xfId="6052" xr:uid="{A007F038-430A-4730-BB44-B26951FCAEDC}"/>
    <cellStyle name="Currency 4 22 7 2 2" xfId="6053" xr:uid="{86C5906B-BB4E-4C0F-9C4C-244F1BDD29CA}"/>
    <cellStyle name="Currency 4 22 7 3" xfId="6054" xr:uid="{EF7B4563-B62D-41BD-9A2E-3B59FE5402C4}"/>
    <cellStyle name="Currency 4 22 8" xfId="6055" xr:uid="{FED54D31-5C00-44AD-B8E1-2706C4529D2E}"/>
    <cellStyle name="Currency 4 22 8 2" xfId="6056" xr:uid="{D1141AF1-2A2E-4255-99F6-6DDA48682BEF}"/>
    <cellStyle name="Currency 4 22 9" xfId="6057" xr:uid="{26445C14-2D75-4C9D-9AE1-0A7523A87DF2}"/>
    <cellStyle name="Currency 4 23" xfId="6058" xr:uid="{7DF8C3DE-AFF0-4F4C-B742-A8966D3E2C1D}"/>
    <cellStyle name="Currency 4 23 10" xfId="6059" xr:uid="{B048E922-77EE-47F3-9AC6-8925466F14F1}"/>
    <cellStyle name="Currency 4 23 2" xfId="6060" xr:uid="{2A96A4CC-D552-4C55-8668-3A179AD1B420}"/>
    <cellStyle name="Currency 4 23 2 2" xfId="6061" xr:uid="{2BC87233-841A-4204-9D43-C60F5145BC80}"/>
    <cellStyle name="Currency 4 23 2 2 2" xfId="6062" xr:uid="{226B03D1-154F-4ED5-B3B7-28E386870EC0}"/>
    <cellStyle name="Currency 4 23 2 2 2 2" xfId="6063" xr:uid="{2470133E-417D-4648-A199-D51195DC51F2}"/>
    <cellStyle name="Currency 4 23 2 2 3" xfId="6064" xr:uid="{1577C251-4F7C-4B41-9F78-5369F9A76F70}"/>
    <cellStyle name="Currency 4 23 2 2 4" xfId="6065" xr:uid="{20D66F3C-5204-4E46-9752-1C51802A1D00}"/>
    <cellStyle name="Currency 4 23 2 3" xfId="6066" xr:uid="{0CAFDA3B-AD6E-42E1-A18A-B14B10E527F2}"/>
    <cellStyle name="Currency 4 23 2 3 2" xfId="6067" xr:uid="{0F61B032-FC1E-4F44-B996-C27DA681A396}"/>
    <cellStyle name="Currency 4 23 2 4" xfId="6068" xr:uid="{C620152C-CD5C-4782-B03A-31371DF738A8}"/>
    <cellStyle name="Currency 4 23 2 5" xfId="6069" xr:uid="{E9366414-5756-4892-AF45-DACBC72BA318}"/>
    <cellStyle name="Currency 4 23 3" xfId="6070" xr:uid="{2600C3D6-4DF7-42E8-BC37-50F647673726}"/>
    <cellStyle name="Currency 4 23 4" xfId="6071" xr:uid="{09055174-57C8-46F4-91A4-5BCB15B093C6}"/>
    <cellStyle name="Currency 4 23 5" xfId="6072" xr:uid="{69662CDC-8650-4854-B748-D286ABE68B01}"/>
    <cellStyle name="Currency 4 23 6" xfId="6073" xr:uid="{04FDE7A4-BBD2-4058-92C9-CDF26CFB775E}"/>
    <cellStyle name="Currency 4 23 6 2" xfId="6074" xr:uid="{F4057AFF-E7B1-44AF-ABBC-E108C731E0D1}"/>
    <cellStyle name="Currency 4 23 6 2 2" xfId="6075" xr:uid="{F5440943-ADCB-434A-96B2-C6E189C5E43B}"/>
    <cellStyle name="Currency 4 23 6 3" xfId="6076" xr:uid="{E47FD886-1D00-487B-B064-6891557B883A}"/>
    <cellStyle name="Currency 4 23 7" xfId="6077" xr:uid="{0214A5B9-FF90-4C6A-A06B-52B0721BD19F}"/>
    <cellStyle name="Currency 4 23 7 2" xfId="6078" xr:uid="{D1B1B15C-D926-4CCA-A12E-E1FBC766158D}"/>
    <cellStyle name="Currency 4 23 7 2 2" xfId="6079" xr:uid="{46C1251C-10E4-4F5A-B42F-074545327A80}"/>
    <cellStyle name="Currency 4 23 7 3" xfId="6080" xr:uid="{EB94020B-9FE5-431B-9D92-505786414B18}"/>
    <cellStyle name="Currency 4 23 8" xfId="6081" xr:uid="{2CA43DCD-4EC8-4EBB-8A68-DA9FB71AF8A7}"/>
    <cellStyle name="Currency 4 23 8 2" xfId="6082" xr:uid="{CF3A4702-3DFD-4B93-848C-DC7EAEC103F9}"/>
    <cellStyle name="Currency 4 23 9" xfId="6083" xr:uid="{FA130109-268B-44C6-A953-65AE87CAC309}"/>
    <cellStyle name="Currency 4 24" xfId="6084" xr:uid="{C671BA1F-F666-4614-96F6-E98EAF510FB5}"/>
    <cellStyle name="Currency 4 24 10" xfId="6085" xr:uid="{3E09C573-2068-45A4-B74F-167689AEFB64}"/>
    <cellStyle name="Currency 4 24 2" xfId="6086" xr:uid="{8B4CED21-1011-495C-A856-451F0A020DFA}"/>
    <cellStyle name="Currency 4 24 2 2" xfId="6087" xr:uid="{B2593FCB-5661-4652-90E3-A85ADC42CDA1}"/>
    <cellStyle name="Currency 4 24 2 2 2" xfId="6088" xr:uid="{1C403DB5-9890-4472-9BF2-6D0CA5F66241}"/>
    <cellStyle name="Currency 4 24 2 2 2 2" xfId="6089" xr:uid="{1A586B6D-75F2-4787-923D-D2F0AD54116E}"/>
    <cellStyle name="Currency 4 24 2 2 3" xfId="6090" xr:uid="{94F4E5B2-CA40-486B-8E67-C78FAE1375ED}"/>
    <cellStyle name="Currency 4 24 2 2 4" xfId="6091" xr:uid="{2D8AD671-D97E-4D83-A2D9-3077F8A2289F}"/>
    <cellStyle name="Currency 4 24 2 3" xfId="6092" xr:uid="{9659BBEF-A3D3-41CA-AE90-608C6CC12F09}"/>
    <cellStyle name="Currency 4 24 2 3 2" xfId="6093" xr:uid="{16E8F534-B7B8-4B11-BEEB-1F9CD2040BC4}"/>
    <cellStyle name="Currency 4 24 2 4" xfId="6094" xr:uid="{93956C8B-395C-410D-895B-FACD56332375}"/>
    <cellStyle name="Currency 4 24 2 5" xfId="6095" xr:uid="{59DDD9E2-2058-443F-8F58-95A31EC89755}"/>
    <cellStyle name="Currency 4 24 3" xfId="6096" xr:uid="{51A4B3F3-1F9C-409E-81A2-B2DF883615A0}"/>
    <cellStyle name="Currency 4 24 4" xfId="6097" xr:uid="{7E5D0184-9988-4334-AA15-4FF539B9F951}"/>
    <cellStyle name="Currency 4 24 5" xfId="6098" xr:uid="{4F248F4A-F44E-4D79-AA57-C82E1314302D}"/>
    <cellStyle name="Currency 4 24 6" xfId="6099" xr:uid="{E8EF03CA-7815-4129-A8C2-A8C58188DFC5}"/>
    <cellStyle name="Currency 4 24 6 2" xfId="6100" xr:uid="{64D9FA0E-8957-4B08-86D2-C6DD799D0A30}"/>
    <cellStyle name="Currency 4 24 6 2 2" xfId="6101" xr:uid="{96AF2FF0-D702-44E9-85DF-78330AA7C2EB}"/>
    <cellStyle name="Currency 4 24 6 3" xfId="6102" xr:uid="{ACD6EBB2-9685-4BD0-A40E-8A5EC271E34C}"/>
    <cellStyle name="Currency 4 24 7" xfId="6103" xr:uid="{3D33C737-4B97-4D46-8B0D-68F1CBAFC8BF}"/>
    <cellStyle name="Currency 4 24 7 2" xfId="6104" xr:uid="{EB52700A-56E7-40A3-9823-2C1342DF71FC}"/>
    <cellStyle name="Currency 4 24 7 2 2" xfId="6105" xr:uid="{6FFF4479-381E-4B60-8E5B-A347734FD7A2}"/>
    <cellStyle name="Currency 4 24 7 3" xfId="6106" xr:uid="{8C63C3A9-74D5-44F1-9C00-C3F0EDE52A81}"/>
    <cellStyle name="Currency 4 24 8" xfId="6107" xr:uid="{CBACFE3E-2F46-4CDE-9315-9237DE15FB9F}"/>
    <cellStyle name="Currency 4 24 8 2" xfId="6108" xr:uid="{A950F307-E325-4A61-9AD4-F48FB681D071}"/>
    <cellStyle name="Currency 4 24 9" xfId="6109" xr:uid="{EF36EC4B-78B7-4D68-AEE1-708A101CE59B}"/>
    <cellStyle name="Currency 4 25" xfId="6110" xr:uid="{3FB26D06-441A-41AC-8953-0A46E713985A}"/>
    <cellStyle name="Currency 4 25 2" xfId="6111" xr:uid="{5FE3F5DA-B39F-4F2E-BB1A-888E735705AC}"/>
    <cellStyle name="Currency 4 25 2 2" xfId="6112" xr:uid="{528D1DA7-FBED-4ED8-B1AA-EA7C72EDD54E}"/>
    <cellStyle name="Currency 4 25 2 2 2" xfId="6113" xr:uid="{90F17DE4-4A91-4480-AD8C-989347DA5DE8}"/>
    <cellStyle name="Currency 4 25 2 2 2 2" xfId="6114" xr:uid="{75F8169C-B503-4791-9C68-CE5CCF5E36B8}"/>
    <cellStyle name="Currency 4 25 2 2 3" xfId="6115" xr:uid="{C6C8EA15-026D-4DCA-8751-963602D9FBCC}"/>
    <cellStyle name="Currency 4 25 2 2 4" xfId="6116" xr:uid="{B0E47CF7-A248-4AB0-8591-814E22864423}"/>
    <cellStyle name="Currency 4 25 2 3" xfId="6117" xr:uid="{41A26F0B-620C-4192-8523-30352CEE3396}"/>
    <cellStyle name="Currency 4 25 2 3 2" xfId="6118" xr:uid="{70D9295D-E4BF-4EBA-A1A4-E164FD3EB8EC}"/>
    <cellStyle name="Currency 4 25 2 4" xfId="6119" xr:uid="{86D59D9F-51F4-4772-9056-4718EE482918}"/>
    <cellStyle name="Currency 4 25 2 5" xfId="6120" xr:uid="{83B05A4B-4DE3-445C-9851-0C6CB1BB3E10}"/>
    <cellStyle name="Currency 4 25 3" xfId="6121" xr:uid="{80158ACC-AEC3-4CA9-BE83-9163C0CE4CB2}"/>
    <cellStyle name="Currency 4 26" xfId="6122" xr:uid="{536B61AE-0533-4889-9A43-B5BA6FC4F531}"/>
    <cellStyle name="Currency 4 26 2" xfId="6123" xr:uid="{9CB0134F-0F8B-413B-BBCE-969F259D42BB}"/>
    <cellStyle name="Currency 4 26 2 2" xfId="6124" xr:uid="{9579C50D-1365-4CA6-8D2F-20991FADC111}"/>
    <cellStyle name="Currency 4 26 2 2 2" xfId="6125" xr:uid="{B9198BA8-B82A-419C-BC07-6C0B08138D98}"/>
    <cellStyle name="Currency 4 26 2 3" xfId="6126" xr:uid="{C6C44BE7-42CA-4D44-AE86-D86D8FCE48DA}"/>
    <cellStyle name="Currency 4 26 2 4" xfId="6127" xr:uid="{D212DBE6-C944-40BD-B019-F5F16D3AEAB4}"/>
    <cellStyle name="Currency 4 26 3" xfId="6128" xr:uid="{FBEC0DD9-6607-4C0E-A6EB-88AA4988CA65}"/>
    <cellStyle name="Currency 4 26 3 2" xfId="6129" xr:uid="{E1819C18-2DA6-4741-A194-5C26C5E97931}"/>
    <cellStyle name="Currency 4 26 4" xfId="6130" xr:uid="{60726DDE-A211-4A4B-AA89-B76109A31AF7}"/>
    <cellStyle name="Currency 4 26 5" xfId="6131" xr:uid="{5E669DD4-365C-4491-A0DF-C3C933B0B9BC}"/>
    <cellStyle name="Currency 4 27" xfId="6132" xr:uid="{A0781496-479B-4620-A309-F111EB9EA626}"/>
    <cellStyle name="Currency 4 27 2" xfId="6133" xr:uid="{D7D55B48-28F2-481A-8B1D-2C108F800813}"/>
    <cellStyle name="Currency 4 27 2 2" xfId="6134" xr:uid="{7F902A3C-9A6C-4B57-B6CB-C04756963C7C}"/>
    <cellStyle name="Currency 4 27 3" xfId="6135" xr:uid="{F8514501-A63F-4058-AB4C-180BB14CC9D2}"/>
    <cellStyle name="Currency 4 28" xfId="6136" xr:uid="{CE453BD0-F517-4918-9331-9D0258C82967}"/>
    <cellStyle name="Currency 4 28 2" xfId="6137" xr:uid="{509C92F5-2745-4554-B7EE-41D786A9E42A}"/>
    <cellStyle name="Currency 4 28 2 2" xfId="6138" xr:uid="{8468E033-6D09-4CD3-8F48-C05620166179}"/>
    <cellStyle name="Currency 4 28 3" xfId="6139" xr:uid="{8AE4ACFA-AFC5-4FD3-BBA6-4270D6CBAD28}"/>
    <cellStyle name="Currency 4 29" xfId="6140" xr:uid="{EFC62ADA-313C-48AB-83AC-21F1FA843DE6}"/>
    <cellStyle name="Currency 4 29 2" xfId="6141" xr:uid="{C1FBEF27-C8F8-40EE-BAD8-27658D9DC745}"/>
    <cellStyle name="Currency 4 3" xfId="6142" xr:uid="{F596DE6B-800A-4C80-A15B-633264715CB7}"/>
    <cellStyle name="Currency 4 3 10" xfId="6143" xr:uid="{5CA8B66D-BAFF-4C41-912C-CA6B7106BA7B}"/>
    <cellStyle name="Currency 4 3 11" xfId="6144" xr:uid="{B86D1993-2B40-48B2-8A3A-C5EA32EEB620}"/>
    <cellStyle name="Currency 4 3 11 2" xfId="6145" xr:uid="{9A924F87-8161-4A9B-A61C-285A48CA8C15}"/>
    <cellStyle name="Currency 4 3 11 2 2" xfId="6146" xr:uid="{AAB7BED2-96F9-470D-92F1-B9B4B86BEF74}"/>
    <cellStyle name="Currency 4 3 11 2 2 2" xfId="6147" xr:uid="{D20058C9-90D6-4EA6-AF6E-F5E2EBBC617B}"/>
    <cellStyle name="Currency 4 3 11 2 2 2 2" xfId="6148" xr:uid="{1A39A92A-3C6A-4884-A899-4C4910849660}"/>
    <cellStyle name="Currency 4 3 11 2 2 3" xfId="6149" xr:uid="{683BBE3A-A060-4E56-8A04-F6965B981242}"/>
    <cellStyle name="Currency 4 3 11 2 2 4" xfId="6150" xr:uid="{823A02FB-1709-4EE0-BC89-EED4F9892F35}"/>
    <cellStyle name="Currency 4 3 11 2 3" xfId="6151" xr:uid="{54102A93-F032-400F-875D-7320DB2EAD59}"/>
    <cellStyle name="Currency 4 3 11 2 3 2" xfId="6152" xr:uid="{140CD260-9A24-4C9D-90CA-9A4A92153DD2}"/>
    <cellStyle name="Currency 4 3 11 2 4" xfId="6153" xr:uid="{C5D707FB-F169-4427-B81C-177B8B0ACB9D}"/>
    <cellStyle name="Currency 4 3 11 2 5" xfId="6154" xr:uid="{D11CF92B-5D1D-49C7-B4AC-FDF0B3C857C4}"/>
    <cellStyle name="Currency 4 3 11 3" xfId="6155" xr:uid="{5DC4848E-18EB-40A8-97F6-6656DEB30F38}"/>
    <cellStyle name="Currency 4 3 12" xfId="6156" xr:uid="{9B469E1E-A75E-487C-9E8E-229D98A6F170}"/>
    <cellStyle name="Currency 4 3 12 2" xfId="6157" xr:uid="{2F898606-5DCA-46B0-8D6F-D1B941DFD916}"/>
    <cellStyle name="Currency 4 3 12 2 2" xfId="6158" xr:uid="{86F9D080-E084-4080-AB2B-522E5670B4DE}"/>
    <cellStyle name="Currency 4 3 12 2 2 2" xfId="6159" xr:uid="{A1BAED3B-E534-4DB5-AE36-0395D0EC52F0}"/>
    <cellStyle name="Currency 4 3 12 2 3" xfId="6160" xr:uid="{07EBF73B-2BCF-4292-8434-DBF02500F8F1}"/>
    <cellStyle name="Currency 4 3 12 2 4" xfId="6161" xr:uid="{4A6F9188-3FD9-45D2-8FD1-069A345D1663}"/>
    <cellStyle name="Currency 4 3 12 3" xfId="6162" xr:uid="{C99A4D35-E7DB-4D2D-B30C-C657B605B5C5}"/>
    <cellStyle name="Currency 4 3 12 3 2" xfId="6163" xr:uid="{7C0C87C1-96B7-45F8-BFBD-2963F7893D2F}"/>
    <cellStyle name="Currency 4 3 12 4" xfId="6164" xr:uid="{73244E68-73A0-4786-9C03-DE10C6C7114E}"/>
    <cellStyle name="Currency 4 3 12 5" xfId="6165" xr:uid="{779554D5-F175-4599-BA4C-E509704FD730}"/>
    <cellStyle name="Currency 4 3 13" xfId="6166" xr:uid="{B715CB9B-BE56-4373-9D3D-A3709829B93E}"/>
    <cellStyle name="Currency 4 3 13 2" xfId="6167" xr:uid="{63F812A9-D467-43E3-ADA3-BBE6A540909E}"/>
    <cellStyle name="Currency 4 3 13 2 2" xfId="6168" xr:uid="{0180B74D-C354-4BFB-B4D4-5BC3BDAD3B55}"/>
    <cellStyle name="Currency 4 3 13 3" xfId="6169" xr:uid="{CEAB1E94-7D64-4BB8-93FF-C7A13300F7EC}"/>
    <cellStyle name="Currency 4 3 14" xfId="6170" xr:uid="{20387C67-D48C-4A42-805B-B777E01FF059}"/>
    <cellStyle name="Currency 4 3 14 2" xfId="6171" xr:uid="{4DF57250-6C7A-4483-9B03-22FB9FCE6797}"/>
    <cellStyle name="Currency 4 3 14 2 2" xfId="6172" xr:uid="{923BA043-9FD8-428B-8DA3-7CD9E22ED2BB}"/>
    <cellStyle name="Currency 4 3 14 3" xfId="6173" xr:uid="{6E0D44EA-24A5-4544-A2E8-40C388AE525C}"/>
    <cellStyle name="Currency 4 3 15" xfId="6174" xr:uid="{8DF8C268-C505-4D72-8F1E-9ABF774CFC9E}"/>
    <cellStyle name="Currency 4 3 15 2" xfId="6175" xr:uid="{98DC2E1C-97F7-434B-912C-548FF11E3C13}"/>
    <cellStyle name="Currency 4 3 15 2 2" xfId="6176" xr:uid="{D1AB2362-E06B-45EC-9EA0-870AC0D0B4B5}"/>
    <cellStyle name="Currency 4 3 15 3" xfId="6177" xr:uid="{C0CC78BA-CD39-41F3-9E5D-1C50B3D4141D}"/>
    <cellStyle name="Currency 4 3 16" xfId="6178" xr:uid="{84A36DC5-F11E-405B-BAFD-5F92509D23DE}"/>
    <cellStyle name="Currency 4 3 16 2" xfId="6179" xr:uid="{6F08F66C-EB73-4FA7-A975-BD73F7A30A02}"/>
    <cellStyle name="Currency 4 3 16 2 2" xfId="6180" xr:uid="{FA8D7E2E-FBFE-4195-A4F0-BD13F52CD2F5}"/>
    <cellStyle name="Currency 4 3 16 3" xfId="6181" xr:uid="{2B18EFE3-E6C3-444D-8E60-A594DC11D2EC}"/>
    <cellStyle name="Currency 4 3 17" xfId="6182" xr:uid="{DA1D90FE-D227-478B-8C10-16F69A7DBEB2}"/>
    <cellStyle name="Currency 4 3 17 2" xfId="6183" xr:uid="{D731C41C-3EF7-4D3F-B151-7EF3DD3C44F4}"/>
    <cellStyle name="Currency 4 3 17 2 2" xfId="6184" xr:uid="{4AB99C03-2AD5-4284-9F21-31E58FEEFB2C}"/>
    <cellStyle name="Currency 4 3 17 3" xfId="6185" xr:uid="{88D1F4AA-7BA4-414A-A68C-2A2ECD621613}"/>
    <cellStyle name="Currency 4 3 18" xfId="6186" xr:uid="{3F0DF624-DB6A-4F15-A1A2-236B4C10F62C}"/>
    <cellStyle name="Currency 4 3 18 2" xfId="6187" xr:uid="{27CD0A2B-5AFE-4F3B-B437-8281EDB332BE}"/>
    <cellStyle name="Currency 4 3 19" xfId="6188" xr:uid="{5CAF8472-ADA6-427C-BF7E-AEC383726CF1}"/>
    <cellStyle name="Currency 4 3 2" xfId="6189" xr:uid="{8829CD35-B25C-4E08-8C2C-B9001CA1EA2B}"/>
    <cellStyle name="Currency 4 3 2 10" xfId="6190" xr:uid="{C3C1C35B-114F-4552-9805-D4DB524D8E6C}"/>
    <cellStyle name="Currency 4 3 2 10 2" xfId="6191" xr:uid="{82209D07-78F1-4C19-A31B-D2C79F52C49B}"/>
    <cellStyle name="Currency 4 3 2 10 2 2" xfId="6192" xr:uid="{4EA88507-785E-4C0E-926A-569ED7922157}"/>
    <cellStyle name="Currency 4 3 2 10 2 2 2" xfId="6193" xr:uid="{00454FF7-119A-44E5-A1F6-F49FD1EE34C6}"/>
    <cellStyle name="Currency 4 3 2 10 2 2 2 2" xfId="6194" xr:uid="{1920DA1C-8B55-4EBC-B085-2119CB1F16AA}"/>
    <cellStyle name="Currency 4 3 2 10 2 2 3" xfId="6195" xr:uid="{1B839924-196D-4EF5-A5B1-2D57E94A6BD0}"/>
    <cellStyle name="Currency 4 3 2 10 2 2 4" xfId="6196" xr:uid="{EA8B8D56-39D7-408E-8BF9-095908D45501}"/>
    <cellStyle name="Currency 4 3 2 10 2 3" xfId="6197" xr:uid="{53556C69-B333-4111-8DDC-89838899DB89}"/>
    <cellStyle name="Currency 4 3 2 10 2 3 2" xfId="6198" xr:uid="{ECAE185A-D88A-4C86-B952-9F018AEF3A29}"/>
    <cellStyle name="Currency 4 3 2 10 2 4" xfId="6199" xr:uid="{933B6C27-C580-4BE7-8FF6-FB1B437E7CC2}"/>
    <cellStyle name="Currency 4 3 2 10 2 5" xfId="6200" xr:uid="{1A8ED29E-3C46-4ED7-BB5F-9A973C7C0183}"/>
    <cellStyle name="Currency 4 3 2 10 3" xfId="6201" xr:uid="{CB2699D7-707C-4601-A4C7-CFD31E540379}"/>
    <cellStyle name="Currency 4 3 2 11" xfId="6202" xr:uid="{EB557286-3538-4CBE-B360-FEF208306B1A}"/>
    <cellStyle name="Currency 4 3 2 11 2" xfId="6203" xr:uid="{C7CBC761-86BE-4AB0-A144-1CC572AAD108}"/>
    <cellStyle name="Currency 4 3 2 11 2 2" xfId="6204" xr:uid="{7E0D55A9-30D8-45D1-BEDA-A4818554F77B}"/>
    <cellStyle name="Currency 4 3 2 11 2 2 2" xfId="6205" xr:uid="{55794A2A-A20D-48DC-A214-7D77A6CF5407}"/>
    <cellStyle name="Currency 4 3 2 11 2 3" xfId="6206" xr:uid="{6C9AAF15-B2CB-4586-A60A-C87A87EEAE05}"/>
    <cellStyle name="Currency 4 3 2 11 2 4" xfId="6207" xr:uid="{DBA644F6-B4BD-40A9-B8D1-7B8AC2176B46}"/>
    <cellStyle name="Currency 4 3 2 11 3" xfId="6208" xr:uid="{2FBA20C7-B976-4415-9C59-B1D082225017}"/>
    <cellStyle name="Currency 4 3 2 11 3 2" xfId="6209" xr:uid="{C75A2369-817A-42D9-9CB3-EA4E0C659F1A}"/>
    <cellStyle name="Currency 4 3 2 11 4" xfId="6210" xr:uid="{3B60D6DF-6107-44F5-A367-7259DB052B46}"/>
    <cellStyle name="Currency 4 3 2 11 5" xfId="6211" xr:uid="{AF2D4BF3-3F44-4E76-8798-53E059E3548A}"/>
    <cellStyle name="Currency 4 3 2 12" xfId="6212" xr:uid="{733879EF-FF3B-48C3-A374-F26D73A77E17}"/>
    <cellStyle name="Currency 4 3 2 12 2" xfId="6213" xr:uid="{BC3FE2F8-1BC9-4B5E-89D5-3F5F81DB51DF}"/>
    <cellStyle name="Currency 4 3 2 12 2 2" xfId="6214" xr:uid="{9D7A0621-0B48-485A-A7BB-39C5BA88AD6E}"/>
    <cellStyle name="Currency 4 3 2 12 3" xfId="6215" xr:uid="{177368EF-1DCB-4E11-AEB3-B2A13D0FD2D6}"/>
    <cellStyle name="Currency 4 3 2 13" xfId="6216" xr:uid="{72701F1E-AA31-49DD-92BD-7F3777FC6FD7}"/>
    <cellStyle name="Currency 4 3 2 13 2" xfId="6217" xr:uid="{75C11D42-B805-4C4A-9EA4-C2809C59D5F3}"/>
    <cellStyle name="Currency 4 3 2 13 2 2" xfId="6218" xr:uid="{948907A3-6946-446F-A533-586C156D2689}"/>
    <cellStyle name="Currency 4 3 2 13 3" xfId="6219" xr:uid="{6F6FF3B2-D8FD-4A07-81C1-C7E5B520CA83}"/>
    <cellStyle name="Currency 4 3 2 14" xfId="6220" xr:uid="{FC7A1E44-4511-4CCC-934F-AADCA475AE37}"/>
    <cellStyle name="Currency 4 3 2 14 2" xfId="6221" xr:uid="{3F9F4A32-A96E-4341-B067-8A4E165EC25E}"/>
    <cellStyle name="Currency 4 3 2 14 2 2" xfId="6222" xr:uid="{6942FBFC-A9F4-4BA1-92C0-AF2322407A6B}"/>
    <cellStyle name="Currency 4 3 2 14 3" xfId="6223" xr:uid="{0C0940D5-B617-43DF-93F0-611EE8F7ED7D}"/>
    <cellStyle name="Currency 4 3 2 15" xfId="6224" xr:uid="{C805B73C-8612-46F4-A2A9-33E4A3E05A63}"/>
    <cellStyle name="Currency 4 3 2 15 2" xfId="6225" xr:uid="{03467DF7-120D-4888-A255-995939F68CF9}"/>
    <cellStyle name="Currency 4 3 2 15 2 2" xfId="6226" xr:uid="{673E48C9-3325-442A-BA38-9A8A602145DE}"/>
    <cellStyle name="Currency 4 3 2 15 3" xfId="6227" xr:uid="{02A67BFF-2116-4379-BC75-FDE9FBD19E77}"/>
    <cellStyle name="Currency 4 3 2 16" xfId="6228" xr:uid="{BFBAC337-20AB-4AB8-A7FF-A5CCFD5D6904}"/>
    <cellStyle name="Currency 4 3 2 16 2" xfId="6229" xr:uid="{D794D709-4566-4C7D-9DDE-9635D60B7C79}"/>
    <cellStyle name="Currency 4 3 2 16 2 2" xfId="6230" xr:uid="{B034D33C-67F2-483B-8D00-89686D7B3276}"/>
    <cellStyle name="Currency 4 3 2 16 3" xfId="6231" xr:uid="{781CD65C-53AD-468B-BE08-08A09A5AE164}"/>
    <cellStyle name="Currency 4 3 2 17" xfId="6232" xr:uid="{954E3B4E-954A-4EE7-8E38-110D3345D155}"/>
    <cellStyle name="Currency 4 3 2 17 2" xfId="6233" xr:uid="{02523E4B-1B97-4692-9BD0-64D5E731A245}"/>
    <cellStyle name="Currency 4 3 2 18" xfId="6234" xr:uid="{B8E7B5E1-A92D-47D5-BEA5-36390F251C4F}"/>
    <cellStyle name="Currency 4 3 2 19" xfId="6235" xr:uid="{4EA5C476-87A3-4B5A-898B-4CC41634DC33}"/>
    <cellStyle name="Currency 4 3 2 2" xfId="6236" xr:uid="{8F62409C-EEB0-4D47-9421-64CB9CEB8DFB}"/>
    <cellStyle name="Currency 4 3 2 3" xfId="6237" xr:uid="{08EBDCD9-1173-4A1D-829D-44591635810E}"/>
    <cellStyle name="Currency 4 3 2 4" xfId="6238" xr:uid="{9B966F68-1304-4639-A1DC-E0B62F59D54E}"/>
    <cellStyle name="Currency 4 3 2 5" xfId="6239" xr:uid="{1F13923D-8A1C-4487-8089-F139A3CEAD40}"/>
    <cellStyle name="Currency 4 3 2 6" xfId="6240" xr:uid="{41AE7193-B0DC-4ED4-8AAD-5DEB92CD796C}"/>
    <cellStyle name="Currency 4 3 2 7" xfId="6241" xr:uid="{47E62113-CC25-4319-A8E5-55508609D349}"/>
    <cellStyle name="Currency 4 3 2 8" xfId="6242" xr:uid="{803BF3D4-7050-4307-814F-AC20130D9F53}"/>
    <cellStyle name="Currency 4 3 2 9" xfId="6243" xr:uid="{9602E860-9029-44CD-9EE1-8E315595FE1B}"/>
    <cellStyle name="Currency 4 3 20" xfId="6244" xr:uid="{F875ED0B-8749-4E7F-BE5A-08816CCAEE5B}"/>
    <cellStyle name="Currency 4 3 21" xfId="6245" xr:uid="{B389A91B-5D8A-4B1B-9494-6722D87C0425}"/>
    <cellStyle name="Currency 4 3 22" xfId="6246" xr:uid="{47012F0D-AAEB-4823-9347-4F7AA98B2749}"/>
    <cellStyle name="Currency 4 3 22 2" xfId="19710" xr:uid="{BA8A05FA-272A-4BC6-B38B-E46C8FAF99ED}"/>
    <cellStyle name="Currency 4 3 23" xfId="6247" xr:uid="{5A87DD1B-293D-4B7F-BDD5-CE5EACD9D3DC}"/>
    <cellStyle name="Currency 4 3 23 2" xfId="19711" xr:uid="{09EE1E98-D458-4605-8D45-065BAE0622FA}"/>
    <cellStyle name="Currency 4 3 3" xfId="6248" xr:uid="{5DA085EE-0AD5-4E63-93FA-5A625931DF77}"/>
    <cellStyle name="Currency 4 3 4" xfId="6249" xr:uid="{B7E75CFA-D62B-4B44-8893-C218F252D7EC}"/>
    <cellStyle name="Currency 4 3 5" xfId="6250" xr:uid="{70EAA805-1068-482B-B864-D4C9DC38C7CB}"/>
    <cellStyle name="Currency 4 3 6" xfId="6251" xr:uid="{74EDC453-43A9-4158-ACEE-EFF648862A91}"/>
    <cellStyle name="Currency 4 3 7" xfId="6252" xr:uid="{DCAA82E8-9879-41A5-A374-49CB2F3E659C}"/>
    <cellStyle name="Currency 4 3 8" xfId="6253" xr:uid="{C8D08EF1-B4B6-4027-8276-C13797DCA1DA}"/>
    <cellStyle name="Currency 4 3 9" xfId="6254" xr:uid="{080D44F3-BF9E-42CF-8C0D-A622F2FD4F13}"/>
    <cellStyle name="Currency 4 30" xfId="6255" xr:uid="{29AC2C7B-F939-430A-888F-8AB8A385CC95}"/>
    <cellStyle name="Currency 4 31" xfId="6256" xr:uid="{82217DBC-6636-4D35-B789-E4105BF899FE}"/>
    <cellStyle name="Currency 4 32" xfId="6257" xr:uid="{960B6437-4133-457F-9BAB-17A06E69DB8C}"/>
    <cellStyle name="Currency 4 33" xfId="6258" xr:uid="{C195C20E-AA74-4FD6-A251-32686F03B6AD}"/>
    <cellStyle name="Currency 4 34" xfId="6259" xr:uid="{4A80BA9F-704F-414E-83A5-21B40A69D9D0}"/>
    <cellStyle name="Currency 4 35" xfId="9764" xr:uid="{951338BB-E233-4C1A-8FBA-455CECD4800B}"/>
    <cellStyle name="Currency 4 36" xfId="44170" xr:uid="{8F2E9E0F-8A1D-4954-A7FC-12E209D74C04}"/>
    <cellStyle name="Currency 4 37" xfId="44720" xr:uid="{95ECE5CD-963A-4A6A-BF3F-B04103A0AFBD}"/>
    <cellStyle name="Currency 4 38" xfId="44806" xr:uid="{93E037EA-0176-4C76-8F9D-133CA7656382}"/>
    <cellStyle name="Currency 4 39" xfId="44" xr:uid="{DE233FAB-51A8-4B83-AD44-0F460812F45B}"/>
    <cellStyle name="Currency 4 4" xfId="6260" xr:uid="{C3703B6F-6E25-4457-9D3A-D1BD270F4A3F}"/>
    <cellStyle name="Currency 4 4 10" xfId="6261" xr:uid="{1BC1A583-B22C-4CAA-88B0-8A9CFBC4B8F1}"/>
    <cellStyle name="Currency 4 4 10 2" xfId="6262" xr:uid="{20EE94F3-0534-4DDD-BF55-98C8084D37B9}"/>
    <cellStyle name="Currency 4 4 10 2 2" xfId="6263" xr:uid="{8FD5494C-7BC3-4E62-BB57-6DDC3F2FFF51}"/>
    <cellStyle name="Currency 4 4 10 2 2 2" xfId="6264" xr:uid="{C43E7923-7192-41D3-B3FA-08597F8846E6}"/>
    <cellStyle name="Currency 4 4 10 2 2 2 2" xfId="6265" xr:uid="{C1D4D469-8B43-4F64-BBDB-03432055A069}"/>
    <cellStyle name="Currency 4 4 10 2 2 3" xfId="6266" xr:uid="{5A012DD8-4A7F-4ED2-A6DE-381A0DEFC561}"/>
    <cellStyle name="Currency 4 4 10 2 2 4" xfId="6267" xr:uid="{68E20CD2-227C-4544-B9FE-CF397BA38355}"/>
    <cellStyle name="Currency 4 4 10 2 3" xfId="6268" xr:uid="{81976E69-9CCD-4C73-945C-E5E8414AB904}"/>
    <cellStyle name="Currency 4 4 10 2 3 2" xfId="6269" xr:uid="{9C482170-B497-4BE5-A43E-A157D7387666}"/>
    <cellStyle name="Currency 4 4 10 2 4" xfId="6270" xr:uid="{C493EAE1-AAF3-4278-9574-A244AC33001C}"/>
    <cellStyle name="Currency 4 4 10 2 5" xfId="6271" xr:uid="{3BE445C3-3E5A-44C8-B3FE-99A8A63D1306}"/>
    <cellStyle name="Currency 4 4 10 3" xfId="6272" xr:uid="{9406ED7D-12FF-4110-91E3-250CA9DA9853}"/>
    <cellStyle name="Currency 4 4 11" xfId="6273" xr:uid="{1DE68A52-4FEC-46D0-81DC-0456D2F2FB47}"/>
    <cellStyle name="Currency 4 4 11 2" xfId="6274" xr:uid="{F4021FCF-9D97-4509-89F3-2531A59F31C1}"/>
    <cellStyle name="Currency 4 4 11 2 2" xfId="6275" xr:uid="{70B0F4B4-3A8F-4EE5-86B0-D408767C6D8D}"/>
    <cellStyle name="Currency 4 4 11 2 2 2" xfId="6276" xr:uid="{591871E1-1A79-4FB7-B814-7B9348623357}"/>
    <cellStyle name="Currency 4 4 11 2 3" xfId="6277" xr:uid="{BA53B1E3-9A6B-44A3-9388-4291CFB12EE7}"/>
    <cellStyle name="Currency 4 4 11 2 4" xfId="6278" xr:uid="{E4EB644F-3987-4B2E-B6CE-F59A19F29047}"/>
    <cellStyle name="Currency 4 4 11 3" xfId="6279" xr:uid="{58190DEA-C0B3-4696-A06B-01E82CDC3974}"/>
    <cellStyle name="Currency 4 4 11 3 2" xfId="6280" xr:uid="{CB95533E-BE44-4FF5-ABEA-BB1D76A57C89}"/>
    <cellStyle name="Currency 4 4 11 4" xfId="6281" xr:uid="{A5449D1B-69F3-4D6C-ADE6-0A9364E38067}"/>
    <cellStyle name="Currency 4 4 11 5" xfId="6282" xr:uid="{2576242B-67F4-4557-8E92-04345A869279}"/>
    <cellStyle name="Currency 4 4 12" xfId="6283" xr:uid="{C6C92DFF-54DD-446D-9F04-B74B3FD0F63A}"/>
    <cellStyle name="Currency 4 4 12 2" xfId="6284" xr:uid="{54CDD134-D1FD-4CA8-8CFD-CCE8EA678B7D}"/>
    <cellStyle name="Currency 4 4 12 2 2" xfId="6285" xr:uid="{7C366A45-55F8-406A-B1CB-C0774E3BD9E7}"/>
    <cellStyle name="Currency 4 4 12 3" xfId="6286" xr:uid="{744D4A28-3238-4A4F-84A1-11A4A28009D3}"/>
    <cellStyle name="Currency 4 4 13" xfId="6287" xr:uid="{81874837-0150-43B9-BC87-9356601EC909}"/>
    <cellStyle name="Currency 4 4 13 2" xfId="6288" xr:uid="{100172C4-4AC7-486B-9FE5-4A55FFA7003C}"/>
    <cellStyle name="Currency 4 4 13 2 2" xfId="6289" xr:uid="{CE677B48-6F9E-4C63-B142-BFE4A7395FDB}"/>
    <cellStyle name="Currency 4 4 13 3" xfId="6290" xr:uid="{D107EBA9-C6EC-4147-BC5F-7AC3F70CFA44}"/>
    <cellStyle name="Currency 4 4 14" xfId="6291" xr:uid="{28EE9810-B705-48E9-8AAB-B873ADBC058A}"/>
    <cellStyle name="Currency 4 4 14 2" xfId="6292" xr:uid="{807BEB84-3200-4208-A135-1E9EC67FBCB5}"/>
    <cellStyle name="Currency 4 4 14 2 2" xfId="6293" xr:uid="{60C9570E-CF91-4102-BF6C-C4730720AC1C}"/>
    <cellStyle name="Currency 4 4 14 3" xfId="6294" xr:uid="{2B17B1B2-EF06-4310-92F0-C5DFA9E1DE4A}"/>
    <cellStyle name="Currency 4 4 15" xfId="6295" xr:uid="{54D18870-4B97-4221-B198-C9C4E41A9560}"/>
    <cellStyle name="Currency 4 4 15 2" xfId="6296" xr:uid="{811AB2C5-460B-4D1F-B8B8-EAE4210A670F}"/>
    <cellStyle name="Currency 4 4 15 2 2" xfId="6297" xr:uid="{93DF16BC-AF65-4D4B-B992-CE1EBAB77D48}"/>
    <cellStyle name="Currency 4 4 15 3" xfId="6298" xr:uid="{6F4CE53D-E3C8-4CF2-91E5-568E85551EF1}"/>
    <cellStyle name="Currency 4 4 16" xfId="6299" xr:uid="{F3FD5C10-CA15-4E92-8617-A272A0B75FD4}"/>
    <cellStyle name="Currency 4 4 16 2" xfId="6300" xr:uid="{0482DE2E-8F7A-4521-876D-36C722D7E943}"/>
    <cellStyle name="Currency 4 4 16 2 2" xfId="6301" xr:uid="{06553C5D-A86A-4EC2-A111-B7CD1480234C}"/>
    <cellStyle name="Currency 4 4 16 3" xfId="6302" xr:uid="{D1849E78-DFBE-4A60-B002-8C64FBE56C83}"/>
    <cellStyle name="Currency 4 4 17" xfId="6303" xr:uid="{0D8CDE86-9179-453A-B195-BD4A7B57F765}"/>
    <cellStyle name="Currency 4 4 17 2" xfId="6304" xr:uid="{910842CC-FE9A-49B5-9AF7-B9A88C07BE27}"/>
    <cellStyle name="Currency 4 4 18" xfId="6305" xr:uid="{BF80B4AE-598A-49F3-B991-FC541D7E9956}"/>
    <cellStyle name="Currency 4 4 19" xfId="6306" xr:uid="{E46F8EF4-341B-45C4-A5A9-4C38233116C3}"/>
    <cellStyle name="Currency 4 4 2" xfId="6307" xr:uid="{A6542115-287E-473D-B554-5814C859ACC1}"/>
    <cellStyle name="Currency 4 4 3" xfId="6308" xr:uid="{EADDB300-9A89-4897-9F6A-521DDD645F1E}"/>
    <cellStyle name="Currency 4 4 4" xfId="6309" xr:uid="{EDFBACA5-66CE-44DC-8CB7-1D13164720FE}"/>
    <cellStyle name="Currency 4 4 5" xfId="6310" xr:uid="{2594D62C-3965-4961-8E1E-89D48016E93B}"/>
    <cellStyle name="Currency 4 4 6" xfId="6311" xr:uid="{F94CC6F6-FE0F-4A0E-9603-ACA4C61DABB1}"/>
    <cellStyle name="Currency 4 4 7" xfId="6312" xr:uid="{00310F51-6734-406F-AB90-24D300FC1613}"/>
    <cellStyle name="Currency 4 4 8" xfId="6313" xr:uid="{A84EDDA8-D99A-49D2-8C40-B709F46EA882}"/>
    <cellStyle name="Currency 4 4 9" xfId="6314" xr:uid="{70C69DA8-51BC-4A43-BB51-0436142EA6F2}"/>
    <cellStyle name="Currency 4 5" xfId="6315" xr:uid="{025FB9FE-F6B5-4E50-B759-6D87AB80433C}"/>
    <cellStyle name="Currency 4 5 10" xfId="6316" xr:uid="{7F182C2F-2A98-4ECC-8439-E18919025E69}"/>
    <cellStyle name="Currency 4 5 10 2" xfId="6317" xr:uid="{3E60FBFD-FF8D-42B1-8D2D-6250542064FE}"/>
    <cellStyle name="Currency 4 5 10 2 2" xfId="6318" xr:uid="{D9EE3C99-94BF-4778-9D11-3499E881ED52}"/>
    <cellStyle name="Currency 4 5 10 2 2 2" xfId="6319" xr:uid="{24E5CA91-D51A-405B-84A6-4472B661A0C7}"/>
    <cellStyle name="Currency 4 5 10 2 2 2 2" xfId="6320" xr:uid="{42E7C9DE-0538-4ED6-9C55-E384FC439E32}"/>
    <cellStyle name="Currency 4 5 10 2 2 3" xfId="6321" xr:uid="{470EC582-7D02-4FFA-8F74-90EE7D95095F}"/>
    <cellStyle name="Currency 4 5 10 2 2 4" xfId="6322" xr:uid="{960E9890-92EF-4C6A-8D2B-4FFE139656DD}"/>
    <cellStyle name="Currency 4 5 10 2 3" xfId="6323" xr:uid="{11CF8241-3863-4DFD-BD35-BF1795751B98}"/>
    <cellStyle name="Currency 4 5 10 2 3 2" xfId="6324" xr:uid="{DA7DB265-0720-4F36-9D02-F6F57503119C}"/>
    <cellStyle name="Currency 4 5 10 2 4" xfId="6325" xr:uid="{9E2B9BAA-0031-4F13-A51C-3DC9A4691431}"/>
    <cellStyle name="Currency 4 5 10 2 5" xfId="6326" xr:uid="{871F3936-49F3-42E1-ABA0-839D7BC572CE}"/>
    <cellStyle name="Currency 4 5 10 3" xfId="6327" xr:uid="{79C0942E-C99C-4F37-AA87-68A014955DAD}"/>
    <cellStyle name="Currency 4 5 11" xfId="6328" xr:uid="{1DE33196-73CD-4617-836B-B854D3A0031B}"/>
    <cellStyle name="Currency 4 5 11 2" xfId="6329" xr:uid="{1E4E09DB-6B64-45C1-851F-F191296C74DE}"/>
    <cellStyle name="Currency 4 5 11 2 2" xfId="6330" xr:uid="{453ABD9C-728A-4241-84E1-AF29ACA36573}"/>
    <cellStyle name="Currency 4 5 11 2 2 2" xfId="6331" xr:uid="{1F6D9C38-32BF-4627-94D2-0034AF54E784}"/>
    <cellStyle name="Currency 4 5 11 2 3" xfId="6332" xr:uid="{ABD6B18B-E154-4BEB-B1F1-C6D0639BA86B}"/>
    <cellStyle name="Currency 4 5 11 2 4" xfId="6333" xr:uid="{E118CA7A-C591-4072-97DE-0960ACB4905C}"/>
    <cellStyle name="Currency 4 5 11 3" xfId="6334" xr:uid="{2EBDCF64-4CAB-4BA2-96E1-F06834C189F5}"/>
    <cellStyle name="Currency 4 5 11 3 2" xfId="6335" xr:uid="{1D058A47-F353-4762-B4AC-66471848D225}"/>
    <cellStyle name="Currency 4 5 11 4" xfId="6336" xr:uid="{21A97F13-7871-4CFD-9461-9DC76FECEA70}"/>
    <cellStyle name="Currency 4 5 11 5" xfId="6337" xr:uid="{9B421120-53A8-4B43-96A1-5FAB58C8E437}"/>
    <cellStyle name="Currency 4 5 12" xfId="6338" xr:uid="{49ADD5A9-E4E5-4ADF-A827-C070560D0E92}"/>
    <cellStyle name="Currency 4 5 12 2" xfId="6339" xr:uid="{295F3D8F-B70E-4375-AF32-666948800380}"/>
    <cellStyle name="Currency 4 5 12 2 2" xfId="6340" xr:uid="{C845B66B-3F2F-4586-BCDD-CFAB33076BB2}"/>
    <cellStyle name="Currency 4 5 12 3" xfId="6341" xr:uid="{D084F74B-1CE4-4AD2-B8A9-9F8B2175339A}"/>
    <cellStyle name="Currency 4 5 13" xfId="6342" xr:uid="{3B1C93A6-B3FE-4442-92E1-6C0BEAC7D6C4}"/>
    <cellStyle name="Currency 4 5 13 2" xfId="6343" xr:uid="{2BC6360B-8F00-4A01-95ED-6CC3B55A22F4}"/>
    <cellStyle name="Currency 4 5 13 2 2" xfId="6344" xr:uid="{4F87BA6C-43FD-4647-A2DC-13B1A208604E}"/>
    <cellStyle name="Currency 4 5 13 3" xfId="6345" xr:uid="{9DF5A3C1-6F00-4FF3-861A-9DCC9460D217}"/>
    <cellStyle name="Currency 4 5 14" xfId="6346" xr:uid="{13813291-CF79-4836-ACD4-603B9F304E26}"/>
    <cellStyle name="Currency 4 5 14 2" xfId="6347" xr:uid="{7CB49E33-B478-4EFC-84DF-95C4F8482395}"/>
    <cellStyle name="Currency 4 5 14 2 2" xfId="6348" xr:uid="{4C3BC3FE-963C-4FC7-8BBB-873EC751BF97}"/>
    <cellStyle name="Currency 4 5 14 3" xfId="6349" xr:uid="{5D8F9C86-9695-4E8C-9597-837433303B1B}"/>
    <cellStyle name="Currency 4 5 15" xfId="6350" xr:uid="{988FAC63-3910-4DD9-8DC5-58397BC150B6}"/>
    <cellStyle name="Currency 4 5 15 2" xfId="6351" xr:uid="{8812AE30-339E-40AC-AD6F-103668568065}"/>
    <cellStyle name="Currency 4 5 15 2 2" xfId="6352" xr:uid="{16DFBFEA-1E7D-4704-B3CD-37569B05489F}"/>
    <cellStyle name="Currency 4 5 15 3" xfId="6353" xr:uid="{AB21EFD6-9203-4001-82C1-9AB0A4369FF7}"/>
    <cellStyle name="Currency 4 5 16" xfId="6354" xr:uid="{CE5D5076-10A7-45C8-B50D-5632AFE4785E}"/>
    <cellStyle name="Currency 4 5 16 2" xfId="6355" xr:uid="{625A7B2F-C04A-4AB1-A0AA-2FFDF4705CC0}"/>
    <cellStyle name="Currency 4 5 16 2 2" xfId="6356" xr:uid="{C6138F90-8E7F-4FFD-AE48-F41CADC0FC3A}"/>
    <cellStyle name="Currency 4 5 16 3" xfId="6357" xr:uid="{98ECEE78-B7A6-4785-B308-3323CCFD5198}"/>
    <cellStyle name="Currency 4 5 17" xfId="6358" xr:uid="{14B44ED4-94D9-4846-849E-261B0624F75A}"/>
    <cellStyle name="Currency 4 5 17 2" xfId="6359" xr:uid="{402F0182-4195-4817-809A-CBE92B843F2F}"/>
    <cellStyle name="Currency 4 5 18" xfId="6360" xr:uid="{DC29EA6D-DB74-421D-80BC-BE0E9C7B366A}"/>
    <cellStyle name="Currency 4 5 19" xfId="6361" xr:uid="{A4C59378-9368-4F01-A0E4-3BD5F3FA9253}"/>
    <cellStyle name="Currency 4 5 2" xfId="6362" xr:uid="{CFC9C402-C742-41CE-BF0F-520A2E98CE3D}"/>
    <cellStyle name="Currency 4 5 3" xfId="6363" xr:uid="{A631AA7F-54A1-4D05-BAF4-193F72EF90CF}"/>
    <cellStyle name="Currency 4 5 4" xfId="6364" xr:uid="{6C27710F-E5E4-4D1F-ACED-B0B5A3F69AC6}"/>
    <cellStyle name="Currency 4 5 5" xfId="6365" xr:uid="{98E156BF-BD2D-4379-BBBD-C7DB6FEF7E48}"/>
    <cellStyle name="Currency 4 5 6" xfId="6366" xr:uid="{7797121C-7EA5-4916-914E-856778B16B6B}"/>
    <cellStyle name="Currency 4 5 7" xfId="6367" xr:uid="{6A0CAB95-A85A-4B7C-9A49-4A12FEB774C4}"/>
    <cellStyle name="Currency 4 5 8" xfId="6368" xr:uid="{5532796E-8ABB-496D-BF01-4E7CC6B5CE40}"/>
    <cellStyle name="Currency 4 5 9" xfId="6369" xr:uid="{F9ED2475-0910-43AC-BA53-DAE5CBDF4B1F}"/>
    <cellStyle name="Currency 4 6" xfId="6370" xr:uid="{6CF5CBFA-C700-4C4F-AF67-658F038FD115}"/>
    <cellStyle name="Currency 4 7" xfId="6371" xr:uid="{A29062C0-7839-4C50-A676-716A40C39BF2}"/>
    <cellStyle name="Currency 4 8" xfId="6372" xr:uid="{F2EE8721-9749-44D8-BA75-FE3D5EEF809B}"/>
    <cellStyle name="Currency 4 9" xfId="6373" xr:uid="{112ADB31-8166-4616-9430-6FAB1BB362B7}"/>
    <cellStyle name="Currency 5" xfId="31" xr:uid="{1C73A859-65CD-4EC7-9FED-92C2B25CAAEE}"/>
    <cellStyle name="Currency 5 10" xfId="6374" xr:uid="{38A4B501-0FDE-4BF6-AF92-573C05DEA0C1}"/>
    <cellStyle name="Currency 5 11" xfId="6375" xr:uid="{E18EEEF0-DFB5-4271-A666-F88FD8067C12}"/>
    <cellStyle name="Currency 5 12" xfId="6376" xr:uid="{A9805267-5208-4DA2-A878-B52DB998DA84}"/>
    <cellStyle name="Currency 5 13" xfId="6377" xr:uid="{28EAF65F-DA79-4B4A-BF44-10BDED9C2979}"/>
    <cellStyle name="Currency 5 13 2" xfId="6378" xr:uid="{27075A1C-7357-4A81-82B5-88B1121F326D}"/>
    <cellStyle name="Currency 5 13 2 2" xfId="6379" xr:uid="{72293D17-E395-4342-8E07-C5C5E7A1FAFF}"/>
    <cellStyle name="Currency 5 13 2 2 2" xfId="6380" xr:uid="{49468AA7-3EEF-4E22-9A60-A98DB56A1583}"/>
    <cellStyle name="Currency 5 13 2 2 2 2" xfId="6381" xr:uid="{D0AFDDA1-C054-4F51-A1E8-B9E02D34600E}"/>
    <cellStyle name="Currency 5 13 2 2 3" xfId="6382" xr:uid="{5963675E-5B9F-4705-B824-B39C5F49FDFD}"/>
    <cellStyle name="Currency 5 13 2 2 4" xfId="6383" xr:uid="{EC7A122A-90C9-49FC-8CD3-28CE219EF785}"/>
    <cellStyle name="Currency 5 13 2 3" xfId="6384" xr:uid="{BFB1B26C-C920-4EAB-9F28-C54AC562126A}"/>
    <cellStyle name="Currency 5 13 2 3 2" xfId="6385" xr:uid="{E2EF0E97-16E6-4745-B9D7-47A70A2F726B}"/>
    <cellStyle name="Currency 5 13 2 4" xfId="6386" xr:uid="{81D79EA1-324C-4F3E-8F9E-31473C604B8B}"/>
    <cellStyle name="Currency 5 13 2 5" xfId="6387" xr:uid="{5C724067-6A58-45BB-8052-45AD97CD54ED}"/>
    <cellStyle name="Currency 5 13 3" xfId="6388" xr:uid="{90A3F2C7-E0F6-4099-92FD-8209EE520D27}"/>
    <cellStyle name="Currency 5 14" xfId="6389" xr:uid="{F0872339-11B2-4941-99F4-E97FB421573B}"/>
    <cellStyle name="Currency 5 14 2" xfId="6390" xr:uid="{F5D39948-0BBE-47D6-B4FA-7C31AFE46162}"/>
    <cellStyle name="Currency 5 14 2 2" xfId="6391" xr:uid="{8F851FAF-9075-4E2C-BF7E-919BF4FC845C}"/>
    <cellStyle name="Currency 5 14 2 2 2" xfId="6392" xr:uid="{BB93DD31-2093-4214-92DB-55CA8C5A65D8}"/>
    <cellStyle name="Currency 5 14 2 3" xfId="6393" xr:uid="{60FA791A-0D8F-400A-9763-1010652BDF28}"/>
    <cellStyle name="Currency 5 14 2 4" xfId="6394" xr:uid="{4C9EB13B-578C-457A-8D32-91A8294F5DEB}"/>
    <cellStyle name="Currency 5 14 3" xfId="6395" xr:uid="{C941E464-D395-41B2-A266-86249DD5F5AC}"/>
    <cellStyle name="Currency 5 14 3 2" xfId="6396" xr:uid="{0F594451-B8A7-4893-BDFA-ECBB341BC0D2}"/>
    <cellStyle name="Currency 5 14 4" xfId="6397" xr:uid="{702B6FC7-B9BC-4C40-8D16-67F53E0BEBC8}"/>
    <cellStyle name="Currency 5 14 5" xfId="6398" xr:uid="{8C85DA26-1D1A-4FC5-B1B0-FF9AA7DD00FA}"/>
    <cellStyle name="Currency 5 15" xfId="6399" xr:uid="{503CD05B-8A55-4F9A-8D22-1BA56D74FF73}"/>
    <cellStyle name="Currency 5 15 2" xfId="6400" xr:uid="{5EF7B594-C4B0-488A-AA8B-FCBB786BC5AE}"/>
    <cellStyle name="Currency 5 15 2 2" xfId="6401" xr:uid="{3D068BEA-8524-4F72-A075-A3FDC7C131CB}"/>
    <cellStyle name="Currency 5 15 3" xfId="6402" xr:uid="{87E9B589-D405-47DE-890B-083F42C44594}"/>
    <cellStyle name="Currency 5 16" xfId="6403" xr:uid="{937982A4-96CF-4CC0-A2B5-5F0D5564B4A3}"/>
    <cellStyle name="Currency 5 16 2" xfId="6404" xr:uid="{4278CC1E-C3BD-4927-9276-8339E2A6F315}"/>
    <cellStyle name="Currency 5 16 2 2" xfId="6405" xr:uid="{5D9775D5-B518-4390-9C6E-80D6BE8E4C77}"/>
    <cellStyle name="Currency 5 16 3" xfId="6406" xr:uid="{BB0F4F72-51B5-4293-A2C7-54373922C71F}"/>
    <cellStyle name="Currency 5 17" xfId="6407" xr:uid="{ABB3DE54-0563-46F5-A1FD-66F1FA2E7AAE}"/>
    <cellStyle name="Currency 5 17 2" xfId="6408" xr:uid="{39E88A71-C65D-4D9E-9B4A-BCFC9CE675A4}"/>
    <cellStyle name="Currency 5 17 2 2" xfId="6409" xr:uid="{C5CE7249-030E-4186-94EE-044EDFDDCEF3}"/>
    <cellStyle name="Currency 5 17 3" xfId="6410" xr:uid="{AAC7C94D-0185-4ECC-AFAC-FB1421446BE1}"/>
    <cellStyle name="Currency 5 18" xfId="6411" xr:uid="{8DFE061D-7109-4ED6-938A-05E91C3E0E90}"/>
    <cellStyle name="Currency 5 18 2" xfId="6412" xr:uid="{FE242332-E639-480F-9917-3A401A91852F}"/>
    <cellStyle name="Currency 5 18 2 2" xfId="6413" xr:uid="{F09AD994-20C2-4FB4-A384-F5C798DA670D}"/>
    <cellStyle name="Currency 5 18 3" xfId="6414" xr:uid="{1FB736AF-BA6D-441F-95BE-9F2D748FA2C5}"/>
    <cellStyle name="Currency 5 19" xfId="6415" xr:uid="{C33D0743-F37E-4C0D-B701-AD15DF170A1A}"/>
    <cellStyle name="Currency 5 19 2" xfId="6416" xr:uid="{D65A5A4E-0F24-4909-A9A4-C03807C7EED3}"/>
    <cellStyle name="Currency 5 19 2 2" xfId="6417" xr:uid="{DA6BF838-5248-4B20-A939-E03F89CB1CB3}"/>
    <cellStyle name="Currency 5 19 3" xfId="6418" xr:uid="{76D3FEC9-8FA3-4172-A684-EE342F316EB0}"/>
    <cellStyle name="Currency 5 2" xfId="6419" xr:uid="{CCE3A94B-A2E0-43DC-BD55-934A2B5722B6}"/>
    <cellStyle name="Currency 5 2 10" xfId="6420" xr:uid="{0FB5C2D3-5F46-4878-96F7-5D2176B019D2}"/>
    <cellStyle name="Currency 5 2 11" xfId="6421" xr:uid="{D507ABD6-968D-4C06-BF6F-13898075B7B4}"/>
    <cellStyle name="Currency 5 2 11 2" xfId="6422" xr:uid="{EEB09FDA-6C8C-457B-94DD-1068BD34964F}"/>
    <cellStyle name="Currency 5 2 11 2 2" xfId="6423" xr:uid="{50C1DE3B-A458-4453-AAD4-FC1249CB3B0B}"/>
    <cellStyle name="Currency 5 2 11 2 2 2" xfId="6424" xr:uid="{22CBF696-F775-40A0-BD37-1E877C3388BF}"/>
    <cellStyle name="Currency 5 2 11 2 2 2 2" xfId="6425" xr:uid="{D5B8BB54-6CA7-4EA8-9CB6-6C300E91E9C0}"/>
    <cellStyle name="Currency 5 2 11 2 2 3" xfId="6426" xr:uid="{E647CD29-767B-4E31-820E-FB5BDC12133B}"/>
    <cellStyle name="Currency 5 2 11 2 2 4" xfId="6427" xr:uid="{4DD34366-5D49-49A8-BBC4-E46910E5B9AE}"/>
    <cellStyle name="Currency 5 2 11 2 3" xfId="6428" xr:uid="{67808157-49CB-49E0-B479-2FAE44A032DC}"/>
    <cellStyle name="Currency 5 2 11 2 3 2" xfId="6429" xr:uid="{4017FADA-5C97-4CE9-86FA-36CDAACFEA63}"/>
    <cellStyle name="Currency 5 2 11 2 4" xfId="6430" xr:uid="{196C37B8-E0DF-4969-BA52-7EEC0BFE891B}"/>
    <cellStyle name="Currency 5 2 11 2 5" xfId="6431" xr:uid="{52FB1000-C4DA-466B-93E2-FFDC3F8B7681}"/>
    <cellStyle name="Currency 5 2 11 3" xfId="6432" xr:uid="{8B608D22-A1E8-4797-AFCA-1AE36FCB0903}"/>
    <cellStyle name="Currency 5 2 12" xfId="6433" xr:uid="{8EBA615D-888A-47CC-BC85-CDCDC61E0000}"/>
    <cellStyle name="Currency 5 2 12 2" xfId="6434" xr:uid="{CD4D87FF-0B81-4123-A1AB-B5726E590804}"/>
    <cellStyle name="Currency 5 2 12 2 2" xfId="6435" xr:uid="{5D4D7319-F5B6-4F6B-AADB-0F30D252CAC3}"/>
    <cellStyle name="Currency 5 2 12 2 2 2" xfId="6436" xr:uid="{9D6D045C-B554-4E1A-91D0-8EED05CB0123}"/>
    <cellStyle name="Currency 5 2 12 2 3" xfId="6437" xr:uid="{B161C0D0-F876-48E7-A721-3B1BFCEF3045}"/>
    <cellStyle name="Currency 5 2 12 2 4" xfId="6438" xr:uid="{5BF8DB22-0889-4F50-92B9-25CB033B61C2}"/>
    <cellStyle name="Currency 5 2 12 3" xfId="6439" xr:uid="{968D43C8-1578-4F35-8E16-D92CBC125C81}"/>
    <cellStyle name="Currency 5 2 12 3 2" xfId="6440" xr:uid="{EE7A3FBD-4D3C-4ED1-81F3-438D483C0CEE}"/>
    <cellStyle name="Currency 5 2 12 4" xfId="6441" xr:uid="{0DD8BC68-DC91-4101-821C-373B464EDF08}"/>
    <cellStyle name="Currency 5 2 12 5" xfId="6442" xr:uid="{DE740A55-B70A-4DAB-9DBE-3ADFF7C924AC}"/>
    <cellStyle name="Currency 5 2 13" xfId="6443" xr:uid="{D1A016F1-3350-45D3-A7F0-A00134DFB07B}"/>
    <cellStyle name="Currency 5 2 13 2" xfId="6444" xr:uid="{08A4FF2B-4BF7-4B2E-8914-612219E0642F}"/>
    <cellStyle name="Currency 5 2 13 2 2" xfId="6445" xr:uid="{5710CE10-5BFA-4DB4-A280-82DB8BDDBEE5}"/>
    <cellStyle name="Currency 5 2 13 3" xfId="6446" xr:uid="{BF684949-4852-4835-B227-5207E581588F}"/>
    <cellStyle name="Currency 5 2 14" xfId="6447" xr:uid="{E2B93319-F7F3-4CCF-B3EE-27FB367E88A4}"/>
    <cellStyle name="Currency 5 2 14 2" xfId="6448" xr:uid="{F1CB38FE-64A4-4383-B119-F2C8705ADE55}"/>
    <cellStyle name="Currency 5 2 14 2 2" xfId="6449" xr:uid="{9DDB46E3-B6FF-4EE5-981C-1FBCFAF266E4}"/>
    <cellStyle name="Currency 5 2 14 3" xfId="6450" xr:uid="{CFEB8FEC-5173-4B9A-B295-64D7D04B4A8C}"/>
    <cellStyle name="Currency 5 2 15" xfId="6451" xr:uid="{603BDB39-C5A2-407B-99AE-5134718E6C66}"/>
    <cellStyle name="Currency 5 2 15 2" xfId="6452" xr:uid="{9A360E2C-08B4-4295-8A68-47E8631D532C}"/>
    <cellStyle name="Currency 5 2 15 2 2" xfId="6453" xr:uid="{023141FA-6EFD-4ED0-A65B-31D1634FCC39}"/>
    <cellStyle name="Currency 5 2 15 3" xfId="6454" xr:uid="{E8527935-A42D-4049-91B2-DAE43A87FF25}"/>
    <cellStyle name="Currency 5 2 16" xfId="6455" xr:uid="{BEF50620-4842-4A8C-90E8-A3B713F9D5A9}"/>
    <cellStyle name="Currency 5 2 16 2" xfId="6456" xr:uid="{5A515756-4C32-4BEA-BD8E-94E3648E1EB6}"/>
    <cellStyle name="Currency 5 2 16 2 2" xfId="6457" xr:uid="{3B352934-1E85-4704-8D34-C4A51E200CB0}"/>
    <cellStyle name="Currency 5 2 16 3" xfId="6458" xr:uid="{CF34951C-9324-46D6-9F9D-140245E244C5}"/>
    <cellStyle name="Currency 5 2 17" xfId="6459" xr:uid="{837AE071-8C56-4BA9-A277-0229756D7881}"/>
    <cellStyle name="Currency 5 2 17 2" xfId="6460" xr:uid="{EC8083AE-1151-463B-9E20-5424470F351A}"/>
    <cellStyle name="Currency 5 2 17 2 2" xfId="6461" xr:uid="{E41AE05C-61A3-4F37-8259-7611D1D992AB}"/>
    <cellStyle name="Currency 5 2 17 3" xfId="6462" xr:uid="{A9381E17-047B-4D00-9921-7268A8959365}"/>
    <cellStyle name="Currency 5 2 18" xfId="6463" xr:uid="{4A4ACF8E-5F08-45F7-8276-54324DE03913}"/>
    <cellStyle name="Currency 5 2 18 2" xfId="6464" xr:uid="{7A646394-830D-412C-B397-36289099D562}"/>
    <cellStyle name="Currency 5 2 19" xfId="6465" xr:uid="{ECE033B0-423C-45C0-98A0-FEC87ADDF839}"/>
    <cellStyle name="Currency 5 2 2" xfId="6466" xr:uid="{84346C40-6DE9-473D-8B01-4543FABA3111}"/>
    <cellStyle name="Currency 5 2 2 10" xfId="6467" xr:uid="{E727FE8B-988C-49C5-A226-719F10253465}"/>
    <cellStyle name="Currency 5 2 2 10 2" xfId="6468" xr:uid="{66EBF5A1-9379-42E1-9B09-E06191B9E3DD}"/>
    <cellStyle name="Currency 5 2 2 10 2 2" xfId="6469" xr:uid="{88449390-BB6A-4FC2-8BF1-9614502F09E8}"/>
    <cellStyle name="Currency 5 2 2 10 2 2 2" xfId="6470" xr:uid="{5F5148E7-3C5B-4E08-83D9-2B298C9E0161}"/>
    <cellStyle name="Currency 5 2 2 10 2 2 2 2" xfId="6471" xr:uid="{C2731235-EA64-456B-AA80-484A69C70060}"/>
    <cellStyle name="Currency 5 2 2 10 2 2 3" xfId="6472" xr:uid="{AF6DDD39-EACB-4C64-ACFF-5CF9D43A82A0}"/>
    <cellStyle name="Currency 5 2 2 10 2 2 4" xfId="6473" xr:uid="{993CF61D-867E-47F3-B7B5-5234E75BC4E6}"/>
    <cellStyle name="Currency 5 2 2 10 2 3" xfId="6474" xr:uid="{FCA6FFE7-ADAD-44F6-8CE3-5BCBBD014A8C}"/>
    <cellStyle name="Currency 5 2 2 10 2 3 2" xfId="6475" xr:uid="{90E00524-EB14-4870-99BC-4BD4810CAE13}"/>
    <cellStyle name="Currency 5 2 2 10 2 4" xfId="6476" xr:uid="{32E5FAAE-E95E-4EBC-800C-DD36E125BD67}"/>
    <cellStyle name="Currency 5 2 2 10 2 5" xfId="6477" xr:uid="{3A20B7AB-4579-4807-981F-5ADD6311D1B8}"/>
    <cellStyle name="Currency 5 2 2 10 3" xfId="6478" xr:uid="{11CD18B4-F362-4EA4-A182-565AB193FB94}"/>
    <cellStyle name="Currency 5 2 2 11" xfId="6479" xr:uid="{3FD168EC-6D44-4771-AF1C-0F4939BA96EF}"/>
    <cellStyle name="Currency 5 2 2 11 2" xfId="6480" xr:uid="{9344383E-D34A-4D3C-9B5B-C6A1BBFC49A0}"/>
    <cellStyle name="Currency 5 2 2 11 2 2" xfId="6481" xr:uid="{0CF94397-B41A-49D9-B6C3-AD40A5BF6EC4}"/>
    <cellStyle name="Currency 5 2 2 11 2 2 2" xfId="6482" xr:uid="{CB183EBF-7080-44D8-9FF4-152BF56B2F93}"/>
    <cellStyle name="Currency 5 2 2 11 2 3" xfId="6483" xr:uid="{BBB88CB5-3BDD-4871-BC87-12B476C14C0B}"/>
    <cellStyle name="Currency 5 2 2 11 2 4" xfId="6484" xr:uid="{20C6B7CE-606A-42F3-8A01-DC674F5F0332}"/>
    <cellStyle name="Currency 5 2 2 11 3" xfId="6485" xr:uid="{6FBE3A22-E8A8-491D-B02E-E58D74A0DBD2}"/>
    <cellStyle name="Currency 5 2 2 11 3 2" xfId="6486" xr:uid="{195A3629-711A-40B4-93D7-BC51568133ED}"/>
    <cellStyle name="Currency 5 2 2 11 4" xfId="6487" xr:uid="{5C10D515-E2DC-4DA2-910B-A35B7B638CAE}"/>
    <cellStyle name="Currency 5 2 2 11 5" xfId="6488" xr:uid="{C01CC8F7-B8AE-4B87-8CEA-6C7F0C224195}"/>
    <cellStyle name="Currency 5 2 2 12" xfId="6489" xr:uid="{446BEE0E-AEA6-4FEE-BCEB-30B12F4B6E95}"/>
    <cellStyle name="Currency 5 2 2 12 2" xfId="6490" xr:uid="{B015ABCF-DCA3-4EFB-8097-299FEF757A81}"/>
    <cellStyle name="Currency 5 2 2 12 2 2" xfId="6491" xr:uid="{1CEB9427-AA14-4006-8C45-6747E6AD6E43}"/>
    <cellStyle name="Currency 5 2 2 12 3" xfId="6492" xr:uid="{915E8591-81A6-403D-A4B6-664051105F17}"/>
    <cellStyle name="Currency 5 2 2 13" xfId="6493" xr:uid="{E55BF6BE-B54F-4739-B9D5-90BE30E343A0}"/>
    <cellStyle name="Currency 5 2 2 13 2" xfId="6494" xr:uid="{82C15BF2-AB4C-4949-A822-E428BF6EEB4B}"/>
    <cellStyle name="Currency 5 2 2 13 2 2" xfId="6495" xr:uid="{1F327D27-451D-488A-849C-8DBF3498C7E1}"/>
    <cellStyle name="Currency 5 2 2 13 3" xfId="6496" xr:uid="{C63B464D-7B69-4DE0-BFF8-113016FE20C2}"/>
    <cellStyle name="Currency 5 2 2 14" xfId="6497" xr:uid="{81BDD48C-F199-4EC5-9CEE-271DEFE1F6ED}"/>
    <cellStyle name="Currency 5 2 2 14 2" xfId="6498" xr:uid="{7F8A0C59-81F9-46CD-B4D2-C2337DE01363}"/>
    <cellStyle name="Currency 5 2 2 14 2 2" xfId="6499" xr:uid="{7AE7C47C-A2A3-4C79-8BB2-70302BFAAEC7}"/>
    <cellStyle name="Currency 5 2 2 14 3" xfId="6500" xr:uid="{5A8ADF5A-67A1-4002-A1D9-75588D118EA7}"/>
    <cellStyle name="Currency 5 2 2 15" xfId="6501" xr:uid="{94F791D7-E39C-4C1C-B3D0-2A432BE5C871}"/>
    <cellStyle name="Currency 5 2 2 15 2" xfId="6502" xr:uid="{2FFC1B6D-D13D-4358-BB29-5A74DEA5B57D}"/>
    <cellStyle name="Currency 5 2 2 15 2 2" xfId="6503" xr:uid="{8134AC02-F14D-4215-9B40-1C7DDE228AF5}"/>
    <cellStyle name="Currency 5 2 2 15 3" xfId="6504" xr:uid="{87728D1F-15C3-4A55-BF49-79A3E4A5B36E}"/>
    <cellStyle name="Currency 5 2 2 16" xfId="6505" xr:uid="{0299BBE6-1710-4782-9927-03DE307AE893}"/>
    <cellStyle name="Currency 5 2 2 16 2" xfId="6506" xr:uid="{34665586-54D2-49EF-B2C2-9AF97215A2BC}"/>
    <cellStyle name="Currency 5 2 2 16 2 2" xfId="6507" xr:uid="{089CAEF3-4034-486C-A177-FD1E38184DE0}"/>
    <cellStyle name="Currency 5 2 2 16 3" xfId="6508" xr:uid="{D086FB03-C28F-4B6A-9FC1-46AF984622EB}"/>
    <cellStyle name="Currency 5 2 2 17" xfId="6509" xr:uid="{A77138C5-923E-4A6D-BBED-B5ABB6C85941}"/>
    <cellStyle name="Currency 5 2 2 17 2" xfId="6510" xr:uid="{C1D10B86-9718-4A2C-8781-50A3768CEF54}"/>
    <cellStyle name="Currency 5 2 2 18" xfId="6511" xr:uid="{D91072EF-43CC-4B46-97D4-6B73701A0A6E}"/>
    <cellStyle name="Currency 5 2 2 19" xfId="6512" xr:uid="{57C2533C-1F7E-48FF-99D0-A706B6C26E6C}"/>
    <cellStyle name="Currency 5 2 2 2" xfId="6513" xr:uid="{C059D06E-3116-4918-B8E2-01BFB1B1F076}"/>
    <cellStyle name="Currency 5 2 2 3" xfId="6514" xr:uid="{94425C8D-A44B-4F18-8CFB-17E62D927B26}"/>
    <cellStyle name="Currency 5 2 2 4" xfId="6515" xr:uid="{F68D235B-49A9-482A-B5C8-F19E4CACE703}"/>
    <cellStyle name="Currency 5 2 2 5" xfId="6516" xr:uid="{0EAE379B-9451-469E-808E-12BC8FB94F8F}"/>
    <cellStyle name="Currency 5 2 2 6" xfId="6517" xr:uid="{CEBC3574-3EEA-4CF5-988E-C82DCE9640AA}"/>
    <cellStyle name="Currency 5 2 2 7" xfId="6518" xr:uid="{5259BDE1-9884-4D5C-9012-FF53FDF6E4E4}"/>
    <cellStyle name="Currency 5 2 2 8" xfId="6519" xr:uid="{7B4AEDFB-31C5-4826-BBCE-4238F9C68667}"/>
    <cellStyle name="Currency 5 2 2 9" xfId="6520" xr:uid="{983ABAB5-E760-4DC3-AF41-2CE455F11B7A}"/>
    <cellStyle name="Currency 5 2 20" xfId="6521" xr:uid="{F8B2A100-2B87-4540-B64A-487F1C3383E8}"/>
    <cellStyle name="Currency 5 2 3" xfId="6522" xr:uid="{C95039EF-7187-4EFC-B52E-8F9EC0E19EE2}"/>
    <cellStyle name="Currency 5 2 4" xfId="6523" xr:uid="{6751D6A8-CECE-49C3-94A8-71AB44CB3DD3}"/>
    <cellStyle name="Currency 5 2 5" xfId="6524" xr:uid="{58C90626-3F6F-4462-AB55-B040E9C98F5C}"/>
    <cellStyle name="Currency 5 2 6" xfId="6525" xr:uid="{B6FB9E53-EC7B-4B67-BFE9-5D94971A334D}"/>
    <cellStyle name="Currency 5 2 7" xfId="6526" xr:uid="{841474F0-B982-4615-8689-1FCB1E28C016}"/>
    <cellStyle name="Currency 5 2 8" xfId="6527" xr:uid="{76CEDEEB-5466-4751-ADC3-EF94D7D4A5A0}"/>
    <cellStyle name="Currency 5 2 9" xfId="6528" xr:uid="{4E035189-ED0C-4B40-BBB3-3B9BA95E1FA1}"/>
    <cellStyle name="Currency 5 20" xfId="6529" xr:uid="{A36D7B7F-6D89-4138-83BB-2D0C7FCCF3AF}"/>
    <cellStyle name="Currency 5 20 2" xfId="6530" xr:uid="{F355FA4C-2470-4FEA-87A1-8A9D64BCA52B}"/>
    <cellStyle name="Currency 5 21" xfId="6531" xr:uid="{0E081EEC-5C1F-49F5-A195-856801255EDC}"/>
    <cellStyle name="Currency 5 22" xfId="6532" xr:uid="{F800DB4F-463F-4BA7-8B77-1D399A9462D3}"/>
    <cellStyle name="Currency 5 23" xfId="61" xr:uid="{44861CE7-3F16-4294-AA54-9582A2876A98}"/>
    <cellStyle name="Currency 5 3" xfId="6533" xr:uid="{E5710EC5-BFD9-4C16-BC42-758C83928612}"/>
    <cellStyle name="Currency 5 3 10" xfId="6534" xr:uid="{7C6C939A-393F-462D-8CB3-A569A9066A44}"/>
    <cellStyle name="Currency 5 3 10 2" xfId="6535" xr:uid="{A786780B-ABCA-4F59-8E57-0851CA3F188A}"/>
    <cellStyle name="Currency 5 3 10 2 2" xfId="6536" xr:uid="{3A4B2F49-6AAB-4933-AA47-8EEC1D6AE326}"/>
    <cellStyle name="Currency 5 3 10 2 2 2" xfId="6537" xr:uid="{65053198-BDE3-4B2B-A68A-4A7DC9E7B4F4}"/>
    <cellStyle name="Currency 5 3 10 2 2 2 2" xfId="6538" xr:uid="{82ACD57A-2C66-4E2F-8D1D-0EE501BFB410}"/>
    <cellStyle name="Currency 5 3 10 2 2 3" xfId="6539" xr:uid="{CB261038-25B5-49A3-9786-7614D409EB82}"/>
    <cellStyle name="Currency 5 3 10 2 2 4" xfId="6540" xr:uid="{D96D8FE9-6085-442E-A4C5-0A45B484A106}"/>
    <cellStyle name="Currency 5 3 10 2 3" xfId="6541" xr:uid="{7D922F47-CB46-4793-B784-EFA2AD5C77FD}"/>
    <cellStyle name="Currency 5 3 10 2 3 2" xfId="6542" xr:uid="{92D2DAEE-27F6-46B2-8DF0-F4EC2BC509DB}"/>
    <cellStyle name="Currency 5 3 10 2 4" xfId="6543" xr:uid="{7D316382-4C39-487B-BF0C-5C8EB6B5AD19}"/>
    <cellStyle name="Currency 5 3 10 2 5" xfId="6544" xr:uid="{EA2AB069-F914-4A7C-B370-817BCF1143DC}"/>
    <cellStyle name="Currency 5 3 10 3" xfId="6545" xr:uid="{2E9B8F4D-8C22-448E-8B4E-4F921145D6F2}"/>
    <cellStyle name="Currency 5 3 11" xfId="6546" xr:uid="{6DDD19E5-7149-428E-A806-8530D219C450}"/>
    <cellStyle name="Currency 5 3 11 2" xfId="6547" xr:uid="{D3B4F4BB-0FEE-4400-867A-B1B00C8FE8D4}"/>
    <cellStyle name="Currency 5 3 11 2 2" xfId="6548" xr:uid="{3E9EB2A9-2BAB-402B-B193-82D920DBB22A}"/>
    <cellStyle name="Currency 5 3 11 2 2 2" xfId="6549" xr:uid="{927E4068-A41B-4231-ADB5-F3645DF23209}"/>
    <cellStyle name="Currency 5 3 11 2 3" xfId="6550" xr:uid="{18393737-01CA-4411-88A2-18394BAB02BB}"/>
    <cellStyle name="Currency 5 3 11 2 4" xfId="6551" xr:uid="{E1C8261B-4036-4C81-987A-1B6E35291268}"/>
    <cellStyle name="Currency 5 3 11 3" xfId="6552" xr:uid="{D565FD9B-CDEA-41EA-A156-66B94443E10F}"/>
    <cellStyle name="Currency 5 3 11 3 2" xfId="6553" xr:uid="{FF1EDB44-C944-41E6-BCF6-C2FAD4FDDCCB}"/>
    <cellStyle name="Currency 5 3 11 4" xfId="6554" xr:uid="{327A78F8-DD42-4415-97AB-A24CD2F8B178}"/>
    <cellStyle name="Currency 5 3 11 5" xfId="6555" xr:uid="{FB984789-F167-4C41-B540-1F6F0C3C38C0}"/>
    <cellStyle name="Currency 5 3 12" xfId="6556" xr:uid="{B14AFD55-F05E-4ADB-A901-D40386437F79}"/>
    <cellStyle name="Currency 5 3 12 2" xfId="6557" xr:uid="{CF652CF3-308B-432F-85D1-BC51AF48465C}"/>
    <cellStyle name="Currency 5 3 12 2 2" xfId="6558" xr:uid="{85052341-451F-429B-B0B4-302ECCE8FE23}"/>
    <cellStyle name="Currency 5 3 12 3" xfId="6559" xr:uid="{BAB7C9CB-AAE0-491B-AED9-8A2032B8EEE3}"/>
    <cellStyle name="Currency 5 3 13" xfId="6560" xr:uid="{32CAB7B7-F491-4CCB-9AF1-7CC200B832E4}"/>
    <cellStyle name="Currency 5 3 13 2" xfId="6561" xr:uid="{D128A065-3CFF-4936-8AF9-0C9911B0B15C}"/>
    <cellStyle name="Currency 5 3 13 2 2" xfId="6562" xr:uid="{4DE227A7-C097-4052-BD0F-66AAEA6EDCC4}"/>
    <cellStyle name="Currency 5 3 13 3" xfId="6563" xr:uid="{8E18D69A-0EF0-43A5-934F-1A23B593D580}"/>
    <cellStyle name="Currency 5 3 14" xfId="6564" xr:uid="{074947E0-18ED-42FB-8D0C-14C9B96A19CE}"/>
    <cellStyle name="Currency 5 3 14 2" xfId="6565" xr:uid="{BCF808D9-DBB0-4E4B-BA66-10D365EF6833}"/>
    <cellStyle name="Currency 5 3 14 2 2" xfId="6566" xr:uid="{E07CD698-CBA7-43B7-849F-BBBB76944290}"/>
    <cellStyle name="Currency 5 3 14 3" xfId="6567" xr:uid="{4A3DDAA3-5439-4353-AC80-D04962722CA5}"/>
    <cellStyle name="Currency 5 3 15" xfId="6568" xr:uid="{A1AA9864-D328-422D-8631-F17BC2DE7D70}"/>
    <cellStyle name="Currency 5 3 15 2" xfId="6569" xr:uid="{2DCD8A7A-0719-4677-A60C-11493F692B8E}"/>
    <cellStyle name="Currency 5 3 15 2 2" xfId="6570" xr:uid="{CE5FEF2A-53FB-40A5-B8B4-EA1E1EE436FA}"/>
    <cellStyle name="Currency 5 3 15 3" xfId="6571" xr:uid="{92396591-14ED-46DE-8D08-FDC220920E0D}"/>
    <cellStyle name="Currency 5 3 16" xfId="6572" xr:uid="{1C3EB04F-1D66-4811-85BD-7CF107DF02CF}"/>
    <cellStyle name="Currency 5 3 16 2" xfId="6573" xr:uid="{76F7E921-F37F-45F7-9E32-B5552B818BCB}"/>
    <cellStyle name="Currency 5 3 16 2 2" xfId="6574" xr:uid="{23E887BA-5547-417F-90EF-CC9C737AA183}"/>
    <cellStyle name="Currency 5 3 16 3" xfId="6575" xr:uid="{376847CF-7376-4752-ACAE-ED3203B328BA}"/>
    <cellStyle name="Currency 5 3 17" xfId="6576" xr:uid="{2E6CB83B-F95B-4D67-B9F0-68B1A02D9936}"/>
    <cellStyle name="Currency 5 3 17 2" xfId="6577" xr:uid="{6013CCB9-EB07-4873-B2F5-DD2C1642BA40}"/>
    <cellStyle name="Currency 5 3 18" xfId="6578" xr:uid="{F8C040B8-D9C3-4437-A505-4C27FEF4D97D}"/>
    <cellStyle name="Currency 5 3 19" xfId="6579" xr:uid="{29560A50-C133-411A-BDEC-CAAE9FB1D281}"/>
    <cellStyle name="Currency 5 3 2" xfId="6580" xr:uid="{0737BEC4-3EBD-4958-97B3-638827663CCB}"/>
    <cellStyle name="Currency 5 3 20" xfId="6581" xr:uid="{A9B45E60-1C66-4FF5-94C9-5F0B04D6E13B}"/>
    <cellStyle name="Currency 5 3 21" xfId="6582" xr:uid="{05360AD2-E1BB-4D9D-800C-2C62EE82F4A7}"/>
    <cellStyle name="Currency 5 3 22" xfId="6583" xr:uid="{5D651CE8-DBB5-43FD-8202-33BE67AB9A1F}"/>
    <cellStyle name="Currency 5 3 3" xfId="6584" xr:uid="{FD8069D7-4081-431C-B28F-CEE5F29523F2}"/>
    <cellStyle name="Currency 5 3 4" xfId="6585" xr:uid="{54A6E7A2-3918-49C0-83A0-138AD5AD67DC}"/>
    <cellStyle name="Currency 5 3 5" xfId="6586" xr:uid="{F436D9AA-811A-49A1-B485-B06E86B6A7B7}"/>
    <cellStyle name="Currency 5 3 6" xfId="6587" xr:uid="{30F7599F-347E-454C-BDF8-5BAF877779F9}"/>
    <cellStyle name="Currency 5 3 7" xfId="6588" xr:uid="{B6B672A3-3369-401A-91BC-15F181A1F7AC}"/>
    <cellStyle name="Currency 5 3 8" xfId="6589" xr:uid="{9F6CF7FA-D80D-4CED-8812-995FF8500339}"/>
    <cellStyle name="Currency 5 3 9" xfId="6590" xr:uid="{6E53C622-432A-475C-9DE0-3502705EB000}"/>
    <cellStyle name="Currency 5 4" xfId="6591" xr:uid="{C5747EA1-585C-4146-8E0C-0FDA5EAB445A}"/>
    <cellStyle name="Currency 5 4 10" xfId="6592" xr:uid="{E6282551-FEC6-48E5-B496-66F446E99B90}"/>
    <cellStyle name="Currency 5 4 10 2" xfId="6593" xr:uid="{AA65A1E0-4379-4903-BCC9-FCDC2FBF67BA}"/>
    <cellStyle name="Currency 5 4 10 2 2" xfId="6594" xr:uid="{5971585F-DBC2-44BE-8E6C-CC547F1C6138}"/>
    <cellStyle name="Currency 5 4 10 2 2 2" xfId="6595" xr:uid="{3E6E3D59-DAF5-4B3D-96CD-0EB81B1E2EB7}"/>
    <cellStyle name="Currency 5 4 10 2 2 2 2" xfId="6596" xr:uid="{64316960-9674-4F39-9C6F-295BB0D704D0}"/>
    <cellStyle name="Currency 5 4 10 2 2 3" xfId="6597" xr:uid="{C652C80D-F512-4214-AC79-8F12F21CD916}"/>
    <cellStyle name="Currency 5 4 10 2 2 4" xfId="6598" xr:uid="{A4136ABC-4146-4EC6-BF21-C1481F0B8DAA}"/>
    <cellStyle name="Currency 5 4 10 2 3" xfId="6599" xr:uid="{98894AD1-AC37-4E5D-9A00-E0487614E222}"/>
    <cellStyle name="Currency 5 4 10 2 3 2" xfId="6600" xr:uid="{AC8E0C8D-26BB-4373-BA8D-33FA6B2227EA}"/>
    <cellStyle name="Currency 5 4 10 2 4" xfId="6601" xr:uid="{99E78ACB-86E3-407F-AE0A-C27E6894BECB}"/>
    <cellStyle name="Currency 5 4 10 2 5" xfId="6602" xr:uid="{7343DE0C-E08F-4217-9DCE-1B43A14EF9CA}"/>
    <cellStyle name="Currency 5 4 10 3" xfId="6603" xr:uid="{E6D66DB1-0336-4702-BE3F-B6EDAA57D959}"/>
    <cellStyle name="Currency 5 4 11" xfId="6604" xr:uid="{93433E98-7FD9-421A-B99C-37B0DB7C17A7}"/>
    <cellStyle name="Currency 5 4 11 2" xfId="6605" xr:uid="{12C9D18E-DC0C-4C1F-A746-86830E991975}"/>
    <cellStyle name="Currency 5 4 11 2 2" xfId="6606" xr:uid="{442E0255-79FA-4078-B926-15CAE98F93B6}"/>
    <cellStyle name="Currency 5 4 11 2 2 2" xfId="6607" xr:uid="{2DB48448-A986-4606-B05B-16EA8AF08AD4}"/>
    <cellStyle name="Currency 5 4 11 2 3" xfId="6608" xr:uid="{B34DEEE5-6682-4CDE-8D15-7F3DE340E3A3}"/>
    <cellStyle name="Currency 5 4 11 2 4" xfId="6609" xr:uid="{1E68445C-7FC5-4ED1-B397-F067D1C55029}"/>
    <cellStyle name="Currency 5 4 11 3" xfId="6610" xr:uid="{9AD4280C-4CB4-4526-B5C4-003C8230AF17}"/>
    <cellStyle name="Currency 5 4 11 3 2" xfId="6611" xr:uid="{F1163DF2-87A5-4E9E-A907-862441D8D9A0}"/>
    <cellStyle name="Currency 5 4 11 4" xfId="6612" xr:uid="{706AED4E-FE9C-448A-8EBF-C267DAB2AD8A}"/>
    <cellStyle name="Currency 5 4 11 5" xfId="6613" xr:uid="{1259787E-26F5-4B09-8887-4736848A8BD4}"/>
    <cellStyle name="Currency 5 4 12" xfId="6614" xr:uid="{A35453E4-2075-44CB-89A4-BC38D179644D}"/>
    <cellStyle name="Currency 5 4 12 2" xfId="6615" xr:uid="{51E015F8-9B97-4AC7-A8CF-9DE13BC3C858}"/>
    <cellStyle name="Currency 5 4 12 2 2" xfId="6616" xr:uid="{B6F035DE-E6D9-4AA8-ADA9-5C4D27D0C35B}"/>
    <cellStyle name="Currency 5 4 12 3" xfId="6617" xr:uid="{30E20873-9305-4E17-944D-6A72FA67E968}"/>
    <cellStyle name="Currency 5 4 13" xfId="6618" xr:uid="{27370F0A-E282-4EFA-BBFC-74EF8A218161}"/>
    <cellStyle name="Currency 5 4 13 2" xfId="6619" xr:uid="{E6912A64-0D21-472F-B445-B20E363C56F0}"/>
    <cellStyle name="Currency 5 4 13 2 2" xfId="6620" xr:uid="{00EA679B-F2C6-402E-8EC1-A575A084E9F5}"/>
    <cellStyle name="Currency 5 4 13 3" xfId="6621" xr:uid="{2CBDE929-A9ED-44EA-AC35-4365CEE1010C}"/>
    <cellStyle name="Currency 5 4 14" xfId="6622" xr:uid="{5F3A251B-1C87-49EF-87A9-13B489CADF8E}"/>
    <cellStyle name="Currency 5 4 14 2" xfId="6623" xr:uid="{5445ABC1-CDCD-4AB9-8F31-4D45A13E8C55}"/>
    <cellStyle name="Currency 5 4 14 2 2" xfId="6624" xr:uid="{4DFB8EA5-8C82-4341-8F82-1680DF9EF7E5}"/>
    <cellStyle name="Currency 5 4 14 3" xfId="6625" xr:uid="{0EDCA08A-3180-44F7-B28D-DD884354B69C}"/>
    <cellStyle name="Currency 5 4 15" xfId="6626" xr:uid="{48339E46-FD49-44D5-BB61-238C88FD689C}"/>
    <cellStyle name="Currency 5 4 15 2" xfId="6627" xr:uid="{1461D2FF-15BE-4905-BDCC-01E0962E10F4}"/>
    <cellStyle name="Currency 5 4 15 2 2" xfId="6628" xr:uid="{256AC196-4EEE-42E6-9F15-16F249415972}"/>
    <cellStyle name="Currency 5 4 15 3" xfId="6629" xr:uid="{C3BBEC40-87E1-4740-A9C6-156BA082A65A}"/>
    <cellStyle name="Currency 5 4 16" xfId="6630" xr:uid="{2604333E-2087-4147-9D44-C4427523821B}"/>
    <cellStyle name="Currency 5 4 16 2" xfId="6631" xr:uid="{4CCC67E1-2E02-428C-9883-EFC2E3AC6D82}"/>
    <cellStyle name="Currency 5 4 16 2 2" xfId="6632" xr:uid="{0110BDD4-C2EB-4EF8-B2A8-102E48F69734}"/>
    <cellStyle name="Currency 5 4 16 3" xfId="6633" xr:uid="{E36D901D-0519-4DD7-8DEC-1413FB07C1C6}"/>
    <cellStyle name="Currency 5 4 17" xfId="6634" xr:uid="{C2D093E4-A701-4C5D-9246-D760D34FE235}"/>
    <cellStyle name="Currency 5 4 17 2" xfId="6635" xr:uid="{7D60F593-4951-4581-B14C-E98AA76FE8FC}"/>
    <cellStyle name="Currency 5 4 18" xfId="6636" xr:uid="{1C3C4F61-E1BE-4D09-9C0F-AFE341A515CC}"/>
    <cellStyle name="Currency 5 4 19" xfId="6637" xr:uid="{5C680A67-1AD8-4D9B-9B85-CE3CABBB3295}"/>
    <cellStyle name="Currency 5 4 2" xfId="6638" xr:uid="{CB681D64-C056-4E33-8326-410B3DBBD256}"/>
    <cellStyle name="Currency 5 4 3" xfId="6639" xr:uid="{9D12041E-687A-46AD-8A98-3FD5A16055E9}"/>
    <cellStyle name="Currency 5 4 4" xfId="6640" xr:uid="{C5AFF209-1E22-4B6C-9D2B-19888F8D6600}"/>
    <cellStyle name="Currency 5 4 5" xfId="6641" xr:uid="{C03DCC19-3E9B-4244-AC25-A4235B57201A}"/>
    <cellStyle name="Currency 5 4 6" xfId="6642" xr:uid="{AFE833A1-1FF4-49C4-9405-B1C09154404E}"/>
    <cellStyle name="Currency 5 4 7" xfId="6643" xr:uid="{B327ED63-957A-4866-B412-C356A4BE5F2D}"/>
    <cellStyle name="Currency 5 4 8" xfId="6644" xr:uid="{3693B4DF-D6CB-4019-B1D2-36F7F468CE82}"/>
    <cellStyle name="Currency 5 4 9" xfId="6645" xr:uid="{EE8215A9-254F-43E4-BD12-9655CE01AD6D}"/>
    <cellStyle name="Currency 5 5" xfId="6646" xr:uid="{E8542134-FC76-46ED-8037-79CEE263FC22}"/>
    <cellStyle name="Currency 5 6" xfId="6647" xr:uid="{D61F3285-E147-417B-BFDC-320AD1488154}"/>
    <cellStyle name="Currency 5 7" xfId="6648" xr:uid="{B2BF50C0-97D5-430F-B866-2697094EC287}"/>
    <cellStyle name="Currency 5 8" xfId="6649" xr:uid="{DE402CD9-C688-4CF7-83F6-600C7BF9675C}"/>
    <cellStyle name="Currency 5 9" xfId="6650" xr:uid="{601921F5-3211-42D7-8E90-104FAC91DE67}"/>
    <cellStyle name="Currency 6" xfId="825" xr:uid="{FD8E0A1C-45C6-4357-B8E1-8982B5B28C45}"/>
    <cellStyle name="Currency 6 2" xfId="6651" xr:uid="{6DBD8F99-DBF8-49DA-8779-FEA6FD2A58E7}"/>
    <cellStyle name="Currency 6 3" xfId="6652" xr:uid="{B1F154BF-A5C6-4084-AB84-771D8F98EDC6}"/>
    <cellStyle name="Currency 6 3 2" xfId="6653" xr:uid="{84C60C11-3F7D-44CC-B063-6A96E55F33CC}"/>
    <cellStyle name="Currency 6 4" xfId="6654" xr:uid="{DF7EFB99-1A5B-4FCA-B727-9434150E5885}"/>
    <cellStyle name="Currency 6 5" xfId="6655" xr:uid="{91FC48BA-DFBE-4A52-8627-A91F165C71F1}"/>
    <cellStyle name="Currency 7" xfId="826" xr:uid="{8A00015E-B7F3-4919-9102-C0A3652E7C5F}"/>
    <cellStyle name="Currency 7 10" xfId="6656" xr:uid="{2D56E7FC-7179-47DD-A459-EB46EAA9ABD9}"/>
    <cellStyle name="Currency 7 11" xfId="6657" xr:uid="{6DDF602B-33AE-4745-B7A8-1B1C3A338779}"/>
    <cellStyle name="Currency 7 12" xfId="6658" xr:uid="{5FDE9FC9-A8CA-465F-B88E-E188CC71CF6C}"/>
    <cellStyle name="Currency 7 12 2" xfId="6659" xr:uid="{9F45F251-C5C1-4ED1-984E-CCCB09BDFB25}"/>
    <cellStyle name="Currency 7 12 2 2" xfId="6660" xr:uid="{F4A721E6-B293-4816-956D-84724AFEDC4E}"/>
    <cellStyle name="Currency 7 12 2 2 2" xfId="6661" xr:uid="{CF35ED0D-01BF-461E-84AF-1D16E6B72428}"/>
    <cellStyle name="Currency 7 12 2 2 2 2" xfId="6662" xr:uid="{C3F82093-11CD-4012-B3D7-0479AF4ED8F0}"/>
    <cellStyle name="Currency 7 12 2 2 3" xfId="6663" xr:uid="{4DE0368C-7EAC-4311-90FA-9A0BE866EFC3}"/>
    <cellStyle name="Currency 7 12 2 2 4" xfId="6664" xr:uid="{155CD058-E01C-4DF6-B0CD-63D4CCF35BDE}"/>
    <cellStyle name="Currency 7 12 2 3" xfId="6665" xr:uid="{E215D3C8-2F22-42FE-A7BE-7503D500C238}"/>
    <cellStyle name="Currency 7 12 2 3 2" xfId="6666" xr:uid="{4B6BAC03-E4AB-449C-AEEB-3709639FDAB4}"/>
    <cellStyle name="Currency 7 12 2 4" xfId="6667" xr:uid="{C92A841C-1B22-46E4-B971-E9A8842A25FB}"/>
    <cellStyle name="Currency 7 12 2 5" xfId="6668" xr:uid="{E1291D25-236A-49E8-A20F-AB79C1BAC2EB}"/>
    <cellStyle name="Currency 7 12 3" xfId="6669" xr:uid="{09AC7C3A-7F22-4FEC-98B1-249F66161348}"/>
    <cellStyle name="Currency 7 13" xfId="6670" xr:uid="{43988FA6-6EE9-4DAE-8EE4-7BB1DDC6EB2B}"/>
    <cellStyle name="Currency 7 13 2" xfId="6671" xr:uid="{BFDF4868-73D7-43CD-96CF-B9BA0049EF0A}"/>
    <cellStyle name="Currency 7 13 2 2" xfId="6672" xr:uid="{2BCD3656-1EFE-4EFD-B8E1-97F9F7432EB7}"/>
    <cellStyle name="Currency 7 13 2 2 2" xfId="6673" xr:uid="{4C0CC903-CB16-44C2-8764-A54E66BF55E6}"/>
    <cellStyle name="Currency 7 13 2 3" xfId="6674" xr:uid="{16D739E9-273F-4D99-8000-E43184CC5068}"/>
    <cellStyle name="Currency 7 13 2 4" xfId="6675" xr:uid="{49C051EA-B4DA-48EF-98BA-C8A8283FBF55}"/>
    <cellStyle name="Currency 7 13 3" xfId="6676" xr:uid="{B94CFF7B-2FB8-4EA1-B269-46706CF51CF3}"/>
    <cellStyle name="Currency 7 13 3 2" xfId="6677" xr:uid="{4E45EF65-7848-4CC4-9170-868AED81037D}"/>
    <cellStyle name="Currency 7 13 4" xfId="6678" xr:uid="{CC53A9A7-EDDC-4422-9E88-E405BCBDD5B6}"/>
    <cellStyle name="Currency 7 13 5" xfId="6679" xr:uid="{9E524BD0-0E57-44AD-8440-420E6445CAAB}"/>
    <cellStyle name="Currency 7 14" xfId="6680" xr:uid="{FE6933A4-5807-49ED-91A7-184CCE839E0D}"/>
    <cellStyle name="Currency 7 14 2" xfId="6681" xr:uid="{DC7B6F03-6B62-493E-A943-245574BCD84B}"/>
    <cellStyle name="Currency 7 14 2 2" xfId="6682" xr:uid="{A13EB68B-F3F0-422D-8774-16BC25595AB0}"/>
    <cellStyle name="Currency 7 14 3" xfId="6683" xr:uid="{368B6015-08BF-426A-9686-5C6B3B9F2FFF}"/>
    <cellStyle name="Currency 7 15" xfId="6684" xr:uid="{B5902713-7BDB-4890-B2E4-2DF70850E66E}"/>
    <cellStyle name="Currency 7 15 2" xfId="6685" xr:uid="{938B4A23-E277-4F9F-8740-7C8463ED74FD}"/>
    <cellStyle name="Currency 7 15 2 2" xfId="6686" xr:uid="{A4197411-8DDF-41CB-8478-2CD6065782F8}"/>
    <cellStyle name="Currency 7 15 3" xfId="6687" xr:uid="{63713CEA-74D8-4679-B880-CA5618E37B90}"/>
    <cellStyle name="Currency 7 16" xfId="6688" xr:uid="{1061284B-1D25-4095-A4EB-5224C554D54A}"/>
    <cellStyle name="Currency 7 16 2" xfId="6689" xr:uid="{7DFCA693-748E-4459-9364-92586A1221D9}"/>
    <cellStyle name="Currency 7 16 2 2" xfId="6690" xr:uid="{6BB3D4D1-0048-4AC1-BA2D-6724364EDD30}"/>
    <cellStyle name="Currency 7 16 3" xfId="6691" xr:uid="{DB8BFADE-F3C4-44F0-8A5A-6936555F01B5}"/>
    <cellStyle name="Currency 7 17" xfId="6692" xr:uid="{9C5383B9-4AF9-4BFC-8A23-0A60F0DDA8FD}"/>
    <cellStyle name="Currency 7 17 2" xfId="6693" xr:uid="{8E03EB83-F17A-447B-9477-3CC48C52435D}"/>
    <cellStyle name="Currency 7 17 2 2" xfId="6694" xr:uid="{F7AB3DE1-0F99-44C4-B643-E1FFA3E819F8}"/>
    <cellStyle name="Currency 7 17 3" xfId="6695" xr:uid="{BB65948C-E6AE-4F4C-8FAD-9112DB7D2D2B}"/>
    <cellStyle name="Currency 7 18" xfId="6696" xr:uid="{E405BABB-4C8F-4E87-AA2A-12529F6868FC}"/>
    <cellStyle name="Currency 7 18 2" xfId="6697" xr:uid="{61B02A41-8EA2-44F0-9C3C-37D33C0D668B}"/>
    <cellStyle name="Currency 7 18 2 2" xfId="6698" xr:uid="{EC26DCAF-223A-4783-928B-B98FD811CB8C}"/>
    <cellStyle name="Currency 7 18 3" xfId="6699" xr:uid="{899865FF-336A-4496-8EF5-E965643F5364}"/>
    <cellStyle name="Currency 7 19" xfId="6700" xr:uid="{B49BFF83-D978-4CEF-939F-22AF68347272}"/>
    <cellStyle name="Currency 7 19 2" xfId="6701" xr:uid="{BEBCC285-3CFC-4A5F-96C5-CA918D9D752A}"/>
    <cellStyle name="Currency 7 2" xfId="6702" xr:uid="{B14A772F-D588-4C6C-B465-8222373FC44C}"/>
    <cellStyle name="Currency 7 20" xfId="6703" xr:uid="{26BA577E-D3CE-4F1E-AC28-62ACA5426520}"/>
    <cellStyle name="Currency 7 21" xfId="6704" xr:uid="{0EB2F394-D60D-47E3-AFB6-86816BC53F10}"/>
    <cellStyle name="Currency 7 3" xfId="6705" xr:uid="{2B4FCA18-9B6A-4937-9FA5-33B85EA764A2}"/>
    <cellStyle name="Currency 7 3 10" xfId="6706" xr:uid="{D2677359-AACF-4EDA-92B6-D8A270F67D71}"/>
    <cellStyle name="Currency 7 3 10 2" xfId="6707" xr:uid="{8EC838ED-FD9D-4093-8077-68B91CD7E9A0}"/>
    <cellStyle name="Currency 7 3 10 2 2" xfId="6708" xr:uid="{52E47CCD-2306-4994-A576-AAC250A9CA6B}"/>
    <cellStyle name="Currency 7 3 10 2 2 2" xfId="6709" xr:uid="{05678926-5372-4FFE-8D51-503D89BCCF1F}"/>
    <cellStyle name="Currency 7 3 10 2 2 2 2" xfId="6710" xr:uid="{028591E8-0373-4A6E-A44B-77C1E315BA38}"/>
    <cellStyle name="Currency 7 3 10 2 2 3" xfId="6711" xr:uid="{A8FC2EF1-2A18-460D-9FFF-0083BA5D8E97}"/>
    <cellStyle name="Currency 7 3 10 2 2 4" xfId="6712" xr:uid="{CA7BFB30-F720-4D4F-942D-1FB0CDB7FD45}"/>
    <cellStyle name="Currency 7 3 10 2 3" xfId="6713" xr:uid="{B8732EF9-F340-4445-AD9F-7BEDF27F75A9}"/>
    <cellStyle name="Currency 7 3 10 2 3 2" xfId="6714" xr:uid="{F015715E-CC28-4F70-92C5-0864DBA340B3}"/>
    <cellStyle name="Currency 7 3 10 2 4" xfId="6715" xr:uid="{7ED034D4-42C3-4338-AAD5-F24D5B9BBC61}"/>
    <cellStyle name="Currency 7 3 10 2 5" xfId="6716" xr:uid="{C450B47A-088F-4D0E-B744-6F7200DB9907}"/>
    <cellStyle name="Currency 7 3 10 3" xfId="6717" xr:uid="{562008CE-3FE0-41B7-986D-83E9634691EC}"/>
    <cellStyle name="Currency 7 3 11" xfId="6718" xr:uid="{558F855A-FA4A-4603-A710-87586FE51311}"/>
    <cellStyle name="Currency 7 3 11 2" xfId="6719" xr:uid="{858714B2-88BA-40F1-884C-88A7036F4725}"/>
    <cellStyle name="Currency 7 3 11 2 2" xfId="6720" xr:uid="{09BD3104-77ED-4E2F-A6D4-CC4A6568BB04}"/>
    <cellStyle name="Currency 7 3 11 2 2 2" xfId="6721" xr:uid="{D7BE8BC5-879B-46B7-9649-BE5811C32DFF}"/>
    <cellStyle name="Currency 7 3 11 2 3" xfId="6722" xr:uid="{9437B4B6-55FC-4A1C-8B81-3BD65CD3774C}"/>
    <cellStyle name="Currency 7 3 11 2 4" xfId="6723" xr:uid="{92963C18-9FCA-4F7F-A559-A01E5A38D595}"/>
    <cellStyle name="Currency 7 3 11 3" xfId="6724" xr:uid="{611AC6D3-7BBC-4598-8EAD-D100DDD2C2FD}"/>
    <cellStyle name="Currency 7 3 11 3 2" xfId="6725" xr:uid="{2957DD9B-629E-483E-9F53-1A02636F8CCC}"/>
    <cellStyle name="Currency 7 3 11 4" xfId="6726" xr:uid="{0A006AB8-0F85-4CB6-8902-13748D8F5CFF}"/>
    <cellStyle name="Currency 7 3 11 5" xfId="6727" xr:uid="{7EFDDEF6-5E60-42CF-BF21-08273406ADBA}"/>
    <cellStyle name="Currency 7 3 12" xfId="6728" xr:uid="{383017E6-C56C-4887-9A23-D26E424FC7CE}"/>
    <cellStyle name="Currency 7 3 12 2" xfId="6729" xr:uid="{61149C53-4E68-4B78-988B-69B547E466E7}"/>
    <cellStyle name="Currency 7 3 12 2 2" xfId="6730" xr:uid="{E385E6E2-EE9A-4664-ABD1-AC01486C5972}"/>
    <cellStyle name="Currency 7 3 12 3" xfId="6731" xr:uid="{35124F87-7E24-4081-9775-03044FA6D0CC}"/>
    <cellStyle name="Currency 7 3 13" xfId="6732" xr:uid="{9E2214F4-6497-4556-A3D1-457CF7D243D4}"/>
    <cellStyle name="Currency 7 3 13 2" xfId="6733" xr:uid="{D07223D7-4CEB-4571-BACA-BEE01D2EC2FF}"/>
    <cellStyle name="Currency 7 3 13 2 2" xfId="6734" xr:uid="{59EE77E4-A074-40AE-890D-3642EB30DE7D}"/>
    <cellStyle name="Currency 7 3 13 3" xfId="6735" xr:uid="{1859ADD9-FBC1-44EC-82A5-79DB6442150E}"/>
    <cellStyle name="Currency 7 3 14" xfId="6736" xr:uid="{C62482A1-4818-4B43-90E0-0169165D0CCE}"/>
    <cellStyle name="Currency 7 3 14 2" xfId="6737" xr:uid="{0B13DC41-7180-4B1F-82EF-7F3FD84C2FAF}"/>
    <cellStyle name="Currency 7 3 14 2 2" xfId="6738" xr:uid="{15D56E37-5878-43C1-A618-F485DE8783C9}"/>
    <cellStyle name="Currency 7 3 14 3" xfId="6739" xr:uid="{2F23507E-17CB-4836-BEB4-BAF1088C772F}"/>
    <cellStyle name="Currency 7 3 15" xfId="6740" xr:uid="{20A46BF9-CFC1-41B9-AC52-7C0577F4F53C}"/>
    <cellStyle name="Currency 7 3 15 2" xfId="6741" xr:uid="{076313DF-69F0-4CDA-8759-3E6B066F73BE}"/>
    <cellStyle name="Currency 7 3 15 2 2" xfId="6742" xr:uid="{EBAE194E-FE7C-4211-8C86-1C054DC522D1}"/>
    <cellStyle name="Currency 7 3 15 3" xfId="6743" xr:uid="{EAFCCDF2-C2FE-43F6-9F47-781F6B237F88}"/>
    <cellStyle name="Currency 7 3 16" xfId="6744" xr:uid="{470E003A-17AE-4644-905C-7066324C2EC5}"/>
    <cellStyle name="Currency 7 3 16 2" xfId="6745" xr:uid="{EA2A80CE-0E94-4793-B9C6-9C7FE9C44387}"/>
    <cellStyle name="Currency 7 3 16 2 2" xfId="6746" xr:uid="{B6D2FDE0-8D01-46C5-BC54-B5CA37A4E99A}"/>
    <cellStyle name="Currency 7 3 16 3" xfId="6747" xr:uid="{5A08FF94-F879-4498-9DD4-007BDBEE31F1}"/>
    <cellStyle name="Currency 7 3 17" xfId="6748" xr:uid="{33FD09A3-7E85-4D24-8FB2-9B138EB67D63}"/>
    <cellStyle name="Currency 7 3 17 2" xfId="6749" xr:uid="{EC094A50-CC10-41C5-A4CF-2C0E93EB381F}"/>
    <cellStyle name="Currency 7 3 18" xfId="6750" xr:uid="{B8B162FC-837E-40CF-917F-43F8A441B7FE}"/>
    <cellStyle name="Currency 7 3 19" xfId="6751" xr:uid="{640D55C9-9251-4C72-898B-2EB2C351914D}"/>
    <cellStyle name="Currency 7 3 2" xfId="6752" xr:uid="{85DB8EFC-9889-404D-97B7-AC4BA9A58579}"/>
    <cellStyle name="Currency 7 3 3" xfId="6753" xr:uid="{27217A75-077B-47B8-85DB-4B6BF54104AF}"/>
    <cellStyle name="Currency 7 3 4" xfId="6754" xr:uid="{1338F453-71D3-443E-BF2D-18E6716FF910}"/>
    <cellStyle name="Currency 7 3 5" xfId="6755" xr:uid="{D7EC5D44-3EA4-4159-9833-3D7180920C18}"/>
    <cellStyle name="Currency 7 3 6" xfId="6756" xr:uid="{AB1BD7E8-AF3C-4FC5-9AA3-73814382EE1D}"/>
    <cellStyle name="Currency 7 3 7" xfId="6757" xr:uid="{0BFB9616-8284-458C-9FFC-D616F778DCFA}"/>
    <cellStyle name="Currency 7 3 8" xfId="6758" xr:uid="{128BCD3D-8F7D-4524-86AF-255C6A5FD3F9}"/>
    <cellStyle name="Currency 7 3 9" xfId="6759" xr:uid="{9A0011A2-F5AA-4B5E-AAD6-7EC329DC2AD0}"/>
    <cellStyle name="Currency 7 4" xfId="6760" xr:uid="{F2C70A62-D65A-47BB-BBC7-ECF68175126E}"/>
    <cellStyle name="Currency 7 4 2" xfId="6761" xr:uid="{A8B61DD1-66AD-4403-8098-612D162808FB}"/>
    <cellStyle name="Currency 7 5" xfId="6762" xr:uid="{FEF4E22E-861F-49DB-B8F7-C709AE3D74D9}"/>
    <cellStyle name="Currency 7 6" xfId="6763" xr:uid="{9B3B8559-106B-4694-ADCE-B47ECD3869B3}"/>
    <cellStyle name="Currency 7 7" xfId="6764" xr:uid="{6CC1A3A3-3E56-4668-8348-B4C2E54EB8CB}"/>
    <cellStyle name="Currency 7 8" xfId="6765" xr:uid="{5FABB29B-6CDD-446B-997F-E0D62CBE6F2C}"/>
    <cellStyle name="Currency 7 9" xfId="6766" xr:uid="{100C403C-6D79-46BB-ABED-845B4530546F}"/>
    <cellStyle name="Currency 8" xfId="827" xr:uid="{B06E027D-FAF1-4592-ABCA-EAD313603CC1}"/>
    <cellStyle name="Currency 8 10" xfId="6767" xr:uid="{2F2390CE-9745-453C-B314-B629E16D6F9E}"/>
    <cellStyle name="Currency 8 10 2" xfId="6768" xr:uid="{8320B231-5185-4C5E-B62C-38F8DA19BBA6}"/>
    <cellStyle name="Currency 8 10 2 2" xfId="6769" xr:uid="{371A4457-F823-473F-ABA5-B9D5BF3DB739}"/>
    <cellStyle name="Currency 8 10 2 2 2" xfId="6770" xr:uid="{74B501C6-681E-4DBC-B1E0-98A157911DF8}"/>
    <cellStyle name="Currency 8 10 2 2 2 2" xfId="6771" xr:uid="{3E257D77-F902-4137-847B-5EE6F76A3758}"/>
    <cellStyle name="Currency 8 10 2 2 3" xfId="6772" xr:uid="{D9BF18E9-2FD1-4A9A-A0F3-51D205ADB342}"/>
    <cellStyle name="Currency 8 10 2 2 4" xfId="6773" xr:uid="{3483AE5D-C0DB-4F87-843B-D197DBC210B7}"/>
    <cellStyle name="Currency 8 10 2 3" xfId="6774" xr:uid="{FA70CD31-49C2-4937-8F3C-D7BF53381EB7}"/>
    <cellStyle name="Currency 8 10 2 3 2" xfId="6775" xr:uid="{09ECFA2C-7390-4EDF-A512-6FF422D33373}"/>
    <cellStyle name="Currency 8 10 2 4" xfId="6776" xr:uid="{B2CE9C9B-BC0E-46D9-9004-07ED957BB4F2}"/>
    <cellStyle name="Currency 8 10 2 5" xfId="6777" xr:uid="{90CB7CDC-3EC8-446A-A52B-297E716FDC1B}"/>
    <cellStyle name="Currency 8 10 3" xfId="6778" xr:uid="{F640F71C-423A-409D-9FBF-38F0601E70A3}"/>
    <cellStyle name="Currency 8 11" xfId="6779" xr:uid="{6C489B75-474B-4CCB-BA92-84A7FA2610F8}"/>
    <cellStyle name="Currency 8 11 2" xfId="6780" xr:uid="{7DD7D8CC-8270-45A7-9D04-85A200829CC1}"/>
    <cellStyle name="Currency 8 11 2 2" xfId="6781" xr:uid="{076768E5-D675-4F09-9DF3-CA2E75E89F31}"/>
    <cellStyle name="Currency 8 11 2 2 2" xfId="6782" xr:uid="{6990409D-323B-4D75-B204-FD73C56F2FD1}"/>
    <cellStyle name="Currency 8 11 2 3" xfId="6783" xr:uid="{7FFEBAB2-1B7B-4166-976A-74925A9572C1}"/>
    <cellStyle name="Currency 8 11 2 4" xfId="6784" xr:uid="{368C961C-D2AB-4C85-92BC-477F5F9F963C}"/>
    <cellStyle name="Currency 8 11 3" xfId="6785" xr:uid="{113F7604-71D5-4766-A7CF-B743C833AEC2}"/>
    <cellStyle name="Currency 8 11 3 2" xfId="6786" xr:uid="{D55EAFF8-BBB5-47C1-BBCC-F5E3C6690395}"/>
    <cellStyle name="Currency 8 11 4" xfId="6787" xr:uid="{9EE14AC8-829C-49AD-8FB9-60D7E297BFCF}"/>
    <cellStyle name="Currency 8 11 5" xfId="6788" xr:uid="{531BADC9-D20C-40B5-B8FC-FDE7E4843A1A}"/>
    <cellStyle name="Currency 8 12" xfId="6789" xr:uid="{E71A22F6-0E10-48A9-B9ED-A93B5F4E0EC6}"/>
    <cellStyle name="Currency 8 12 2" xfId="6790" xr:uid="{99FF9EA6-FE8F-4531-8F7D-AB81F75AFB69}"/>
    <cellStyle name="Currency 8 12 2 2" xfId="6791" xr:uid="{CC68D783-F3EA-42EA-ABA7-EE8BD9164A15}"/>
    <cellStyle name="Currency 8 12 3" xfId="6792" xr:uid="{5A0DC98D-C69F-43D9-9297-42FD22FC805A}"/>
    <cellStyle name="Currency 8 13" xfId="6793" xr:uid="{4A72CB3D-70C5-421B-9ED8-5F44A617F912}"/>
    <cellStyle name="Currency 8 13 2" xfId="6794" xr:uid="{6B6617DB-3CF8-434E-87A9-C6CF4D72C17C}"/>
    <cellStyle name="Currency 8 13 2 2" xfId="6795" xr:uid="{9001309D-1097-4F3A-80CA-476597D84E2A}"/>
    <cellStyle name="Currency 8 13 3" xfId="6796" xr:uid="{90894E48-932A-46ED-90EC-3DDD7163C30D}"/>
    <cellStyle name="Currency 8 14" xfId="6797" xr:uid="{8210AD90-32B6-455A-A3FB-AF9EABF02879}"/>
    <cellStyle name="Currency 8 14 2" xfId="6798" xr:uid="{EDD03328-B812-40A0-9E18-328023E3F866}"/>
    <cellStyle name="Currency 8 14 2 2" xfId="6799" xr:uid="{151E72FF-13FE-4516-9AEE-2F7273BD6271}"/>
    <cellStyle name="Currency 8 14 3" xfId="6800" xr:uid="{119F9B19-18CF-481A-AC1C-2D03952A1F89}"/>
    <cellStyle name="Currency 8 15" xfId="6801" xr:uid="{EF36F8F8-582A-4CF3-B517-44F005EF0DBE}"/>
    <cellStyle name="Currency 8 15 2" xfId="6802" xr:uid="{C2EAAAC4-34E4-43B1-BC55-91C59C07B5CE}"/>
    <cellStyle name="Currency 8 15 2 2" xfId="6803" xr:uid="{05ADD9A8-4F5F-461A-B199-577D9971704F}"/>
    <cellStyle name="Currency 8 15 3" xfId="6804" xr:uid="{CEF9F608-83B9-49C8-9A11-F7DD276BE116}"/>
    <cellStyle name="Currency 8 16" xfId="6805" xr:uid="{2F956353-B16E-4B7D-B6A2-7C7A005EC79B}"/>
    <cellStyle name="Currency 8 16 2" xfId="6806" xr:uid="{EA0144AD-D170-468D-81D2-8099A0BD47AF}"/>
    <cellStyle name="Currency 8 16 2 2" xfId="6807" xr:uid="{FDA0EC65-3FED-4F5F-BC32-24DA803675AF}"/>
    <cellStyle name="Currency 8 16 3" xfId="6808" xr:uid="{F88CA237-5EFB-4C59-B150-4362E3C57B88}"/>
    <cellStyle name="Currency 8 17" xfId="6809" xr:uid="{C03F110E-1493-4923-B6C0-FBD0E2805F1C}"/>
    <cellStyle name="Currency 8 17 2" xfId="6810" xr:uid="{E2E16C6B-C62C-4856-A449-5DEDB438310C}"/>
    <cellStyle name="Currency 8 18" xfId="6811" xr:uid="{6125D1F0-F357-45EF-9301-1C4F35F7E3E7}"/>
    <cellStyle name="Currency 8 19" xfId="6812" xr:uid="{9E8DBCB1-300D-4BFE-BA78-8C9722C205A8}"/>
    <cellStyle name="Currency 8 2" xfId="6813" xr:uid="{DD7D25FE-1605-4BF8-BB09-68487CCC57D4}"/>
    <cellStyle name="Currency 8 2 2" xfId="6814" xr:uid="{A55107CB-2E82-4F06-BB2E-596AC9F059BD}"/>
    <cellStyle name="Currency 8 3" xfId="6815" xr:uid="{B0DD1702-0CA8-4735-8F49-DFC80EB443E0}"/>
    <cellStyle name="Currency 8 4" xfId="6816" xr:uid="{F7856FFD-62ED-4DAF-B259-2E667ACA0689}"/>
    <cellStyle name="Currency 8 5" xfId="6817" xr:uid="{D03B6076-F00B-4FB5-9314-BD7B9710409B}"/>
    <cellStyle name="Currency 8 6" xfId="6818" xr:uid="{A117A646-2E36-4C67-ADAB-F44E5FF234CC}"/>
    <cellStyle name="Currency 8 7" xfId="6819" xr:uid="{6FB95DC6-0D37-44E1-8C32-0CB8459DFAF7}"/>
    <cellStyle name="Currency 8 8" xfId="6820" xr:uid="{5EA4D55C-1975-49C4-8C67-3D5D25086BB3}"/>
    <cellStyle name="Currency 8 9" xfId="6821" xr:uid="{5222947D-1ABD-42C3-9AE1-8ABC8E0C7B74}"/>
    <cellStyle name="Currency 9" xfId="828" xr:uid="{651E35DC-1F8B-4068-A350-801510B73FD9}"/>
    <cellStyle name="Currency 9 10" xfId="6822" xr:uid="{D0865C59-B088-4C9A-8FE3-0906A2EC7341}"/>
    <cellStyle name="Currency 9 10 2" xfId="6823" xr:uid="{3BCCB87E-5CFD-4014-908C-1E934AA937B7}"/>
    <cellStyle name="Currency 9 10 2 2" xfId="6824" xr:uid="{0B837786-C482-4443-BFAD-4DF2B2324CCE}"/>
    <cellStyle name="Currency 9 10 2 2 2" xfId="6825" xr:uid="{DCA12E8F-6400-4208-9D6F-B7ACE752F769}"/>
    <cellStyle name="Currency 9 10 2 2 2 2" xfId="6826" xr:uid="{82E19CED-CF8A-4E78-B18F-B7CF79DC06C7}"/>
    <cellStyle name="Currency 9 10 2 2 3" xfId="6827" xr:uid="{719294B3-03E8-444B-A333-354F9A99DA0E}"/>
    <cellStyle name="Currency 9 10 2 2 4" xfId="6828" xr:uid="{FE97FBC2-5D51-4F56-A3D5-02B687B0576C}"/>
    <cellStyle name="Currency 9 10 2 3" xfId="6829" xr:uid="{A04C1E87-431F-413A-AA9C-54D90EF2C772}"/>
    <cellStyle name="Currency 9 10 2 3 2" xfId="6830" xr:uid="{473C7C9B-0629-4B45-B993-C288A22FC625}"/>
    <cellStyle name="Currency 9 10 2 4" xfId="6831" xr:uid="{B93B11FD-D04A-4C52-AAD1-B10BF6D837CB}"/>
    <cellStyle name="Currency 9 10 2 5" xfId="6832" xr:uid="{BCAA7736-2E87-4BCE-98E0-52D2AFBE2D93}"/>
    <cellStyle name="Currency 9 10 3" xfId="6833" xr:uid="{6CAF6757-AA43-47F6-89BD-B5950534B57D}"/>
    <cellStyle name="Currency 9 11" xfId="6834" xr:uid="{D16F1EB3-4C66-4F54-A68C-C898256B6978}"/>
    <cellStyle name="Currency 9 11 2" xfId="6835" xr:uid="{9734E0EF-A925-41A5-B5E7-DE6047673844}"/>
    <cellStyle name="Currency 9 11 2 2" xfId="6836" xr:uid="{C0DB9111-90E2-420C-873C-C593407168A6}"/>
    <cellStyle name="Currency 9 11 2 2 2" xfId="6837" xr:uid="{2F7508D5-A4E9-4121-AA48-7DC9CCB744C7}"/>
    <cellStyle name="Currency 9 11 2 3" xfId="6838" xr:uid="{5CD28B69-7BB8-4723-A36A-31651EA3534D}"/>
    <cellStyle name="Currency 9 11 2 4" xfId="6839" xr:uid="{CBD32FCD-3345-4CCE-8CAD-75C7E7DD270C}"/>
    <cellStyle name="Currency 9 11 3" xfId="6840" xr:uid="{23B9AFE2-A6A5-400A-8F49-135157827A7F}"/>
    <cellStyle name="Currency 9 11 3 2" xfId="6841" xr:uid="{1A5065D6-9F36-4604-8971-F034FE1BAEFB}"/>
    <cellStyle name="Currency 9 11 4" xfId="6842" xr:uid="{371077C2-8782-466D-8C56-AAAAAC0D265D}"/>
    <cellStyle name="Currency 9 11 5" xfId="6843" xr:uid="{0A92F474-E2EF-47E9-B7D2-11A3184DB697}"/>
    <cellStyle name="Currency 9 12" xfId="6844" xr:uid="{3B7435E3-775A-438F-AD01-F813CC458E84}"/>
    <cellStyle name="Currency 9 12 2" xfId="6845" xr:uid="{E9172660-D8BB-405B-B016-F9F9F0D390F9}"/>
    <cellStyle name="Currency 9 12 2 2" xfId="6846" xr:uid="{2F2F9711-54AD-4420-83C8-D2D8A9FFEFB5}"/>
    <cellStyle name="Currency 9 12 3" xfId="6847" xr:uid="{806B4985-446C-4795-A68A-7E2D1DFFD72E}"/>
    <cellStyle name="Currency 9 13" xfId="6848" xr:uid="{BAF5E9E0-DEEF-4933-9B8E-8A31076B972D}"/>
    <cellStyle name="Currency 9 13 2" xfId="6849" xr:uid="{E60337B3-98C6-48BA-A2AA-F999FBE0408D}"/>
    <cellStyle name="Currency 9 13 2 2" xfId="6850" xr:uid="{A04F4657-1E7B-4CDA-8FFF-C65BB7C267BB}"/>
    <cellStyle name="Currency 9 13 3" xfId="6851" xr:uid="{41EA384F-BE50-4F6E-A317-DC97AD347217}"/>
    <cellStyle name="Currency 9 14" xfId="6852" xr:uid="{2760F881-3548-4753-A971-2EE81060FAFA}"/>
    <cellStyle name="Currency 9 14 2" xfId="6853" xr:uid="{D4E9358C-8395-47A8-80A1-573CF147ED87}"/>
    <cellStyle name="Currency 9 14 2 2" xfId="6854" xr:uid="{CC88EC69-26C2-41CC-A0C7-4DE33954EB1D}"/>
    <cellStyle name="Currency 9 14 3" xfId="6855" xr:uid="{90F23267-B287-46D5-BB36-D1E287120540}"/>
    <cellStyle name="Currency 9 15" xfId="6856" xr:uid="{06ED9BE4-1E4F-4D1B-A6BC-126D4A4C6CC3}"/>
    <cellStyle name="Currency 9 15 2" xfId="6857" xr:uid="{C7CB17EB-210F-4D7D-8B3D-92DC9522C371}"/>
    <cellStyle name="Currency 9 15 2 2" xfId="6858" xr:uid="{EC69C714-402C-4C26-BC68-2420E40B6519}"/>
    <cellStyle name="Currency 9 15 3" xfId="6859" xr:uid="{C6C0558A-B73E-49D9-B71D-7752BB058EF3}"/>
    <cellStyle name="Currency 9 16" xfId="6860" xr:uid="{40F87958-0EE4-4F82-8D81-614D043B022D}"/>
    <cellStyle name="Currency 9 16 2" xfId="6861" xr:uid="{79FF5B05-B2A9-490B-B683-1AB81EF5FA3C}"/>
    <cellStyle name="Currency 9 16 2 2" xfId="6862" xr:uid="{54D5D261-651D-4B3C-9AA8-30FFB1D50D41}"/>
    <cellStyle name="Currency 9 16 3" xfId="6863" xr:uid="{99FD9A00-7E64-4A76-8BBD-0C3B11786467}"/>
    <cellStyle name="Currency 9 17" xfId="6864" xr:uid="{A28F5B0D-08B9-40C1-B1AD-F79DD836FD15}"/>
    <cellStyle name="Currency 9 17 2" xfId="6865" xr:uid="{9F461793-1138-4783-9E81-FEDDD55A05BF}"/>
    <cellStyle name="Currency 9 18" xfId="6866" xr:uid="{1BBC2C24-ADA1-4EFB-8CD8-3D40F4A020E5}"/>
    <cellStyle name="Currency 9 19" xfId="6867" xr:uid="{DC434AC7-CBE8-400C-AC62-C543479C70E7}"/>
    <cellStyle name="Currency 9 2" xfId="6868" xr:uid="{397059FB-4F53-47D2-892B-D7FC0B582DEC}"/>
    <cellStyle name="Currency 9 3" xfId="6869" xr:uid="{6C14B26E-A41F-4AEF-9C95-B4D431C94EE1}"/>
    <cellStyle name="Currency 9 4" xfId="6870" xr:uid="{E4857BC8-CDF5-4C23-B497-83A224236454}"/>
    <cellStyle name="Currency 9 5" xfId="6871" xr:uid="{65808910-5ED0-4CB1-94F3-0EAD6F849B44}"/>
    <cellStyle name="Currency 9 6" xfId="6872" xr:uid="{3A0DC3E0-C2F3-429D-8082-C36610C4AE9E}"/>
    <cellStyle name="Currency 9 7" xfId="6873" xr:uid="{85E50F67-CAD3-4CD9-8F31-5E1AC632FC41}"/>
    <cellStyle name="Currency 9 8" xfId="6874" xr:uid="{6A901F39-0B0C-40D1-8996-4522EE508025}"/>
    <cellStyle name="Currency 9 9" xfId="6875" xr:uid="{AD9E1A02-2714-4C3C-B9F6-B16425BC123C}"/>
    <cellStyle name="Currency0" xfId="45" xr:uid="{D320E3EF-B326-4517-805B-808B13B588A1}"/>
    <cellStyle name="Date" xfId="46" xr:uid="{FEC5F3DE-4E7C-498E-B415-5206CF5AE012}"/>
    <cellStyle name="Emphasis 1" xfId="829" xr:uid="{56874FA9-BB9B-4FB6-92C2-3229626BCC38}"/>
    <cellStyle name="Emphasis 2" xfId="830" xr:uid="{FE050A21-E08D-493D-A116-2663C9B35AAA}"/>
    <cellStyle name="Emphasis 3" xfId="831" xr:uid="{4911DCC6-A347-4B40-A035-9C3D1D3F80DC}"/>
    <cellStyle name="Explanatory Text 2" xfId="832" xr:uid="{7D718508-A125-43D4-86B4-F986E3D9FDB4}"/>
    <cellStyle name="Explanatory Text 2 2" xfId="6876" xr:uid="{CAD759E0-11C2-4B62-855D-C8239CCC9D45}"/>
    <cellStyle name="Explanatory Text 2 3" xfId="6877" xr:uid="{B7E4FABA-4024-45F3-A9B4-45A3F5FB484F}"/>
    <cellStyle name="Explanatory Text 2 4" xfId="6878" xr:uid="{59D324CB-B9FC-4794-A9A3-43C938EACCD0}"/>
    <cellStyle name="Explanatory Text 3" xfId="6879" xr:uid="{5E4CA471-0DA8-4007-8D4E-164960F67CE2}"/>
    <cellStyle name="Explanatory Text 3 2" xfId="6880" xr:uid="{DC664931-658F-49FE-854D-FFB6CC428EB1}"/>
    <cellStyle name="Explanatory Text 3 3" xfId="6881" xr:uid="{83E79D2E-DC6A-4E6C-9CE0-51A1087F960C}"/>
    <cellStyle name="Explanatory Text 3 4" xfId="6882" xr:uid="{90A5D883-EE77-498A-ACD1-A67C2FF9A82F}"/>
    <cellStyle name="Explanatory Text 4" xfId="44213" xr:uid="{D9898BB4-2149-4C64-A17A-AAABBBD998F7}"/>
    <cellStyle name="Fixed" xfId="47" xr:uid="{950359D3-F395-4930-920B-65E3B9A43B71}"/>
    <cellStyle name="Good 2" xfId="833" xr:uid="{6B5A50AD-1C3D-4B98-9790-61BEBBBFB027}"/>
    <cellStyle name="Good 2 2" xfId="6883" xr:uid="{C106151E-BB86-449E-BD11-FA86B766AD97}"/>
    <cellStyle name="Good 2 2 2" xfId="6884" xr:uid="{AEA396EE-E266-4E2B-866D-45123FD99546}"/>
    <cellStyle name="Good 2 3" xfId="6885" xr:uid="{C8B8F473-BAE9-48C4-9D12-BDAE0C41E769}"/>
    <cellStyle name="Good 2 4" xfId="6886" xr:uid="{F603F266-1E68-4308-9E97-7D2A686D1423}"/>
    <cellStyle name="Good 3" xfId="834" xr:uid="{6867FA86-1FF7-4149-B5CC-CC3C9335FD8A}"/>
    <cellStyle name="Good 3 2" xfId="6887" xr:uid="{76BD9BDE-DDF9-4675-8769-0743664F3BC4}"/>
    <cellStyle name="Good 3 3" xfId="6888" xr:uid="{5D0D1480-448F-4A01-A024-680192933A43}"/>
    <cellStyle name="Good 3 4" xfId="6889" xr:uid="{48D07FA4-2282-479F-9245-4EA35BAE86A9}"/>
    <cellStyle name="Good 3 5" xfId="6890" xr:uid="{04315F67-EDAF-4FCD-8316-A6DD6AEBDF67}"/>
    <cellStyle name="Good 4" xfId="19712" xr:uid="{2690F62E-97D5-449A-A907-FDAFCEE2D55F}"/>
    <cellStyle name="Good 5" xfId="44204" xr:uid="{4C2015F3-6C7C-4ADE-A049-D160831DB8ED}"/>
    <cellStyle name="Grey" xfId="835" xr:uid="{A10C49EA-00E5-4820-9D76-0DD0DBC9CEB7}"/>
    <cellStyle name="Header1" xfId="836" xr:uid="{77188DE3-13C4-4A5A-B381-5985FEDF4B15}"/>
    <cellStyle name="Header2" xfId="837" xr:uid="{A26BA422-6D1B-4F33-878D-8AF327F5B200}"/>
    <cellStyle name="Header2 10" xfId="838" xr:uid="{433600E7-B570-4A90-9751-B4A9D71792EC}"/>
    <cellStyle name="Header2 10 2" xfId="9864" xr:uid="{ED468F28-B488-46F5-85F0-168C1A77371D}"/>
    <cellStyle name="Header2 10 2 2" xfId="19713" xr:uid="{63C6665B-451A-4EEF-915E-2EEF4290B076}"/>
    <cellStyle name="Header2 10 2 3" xfId="19714" xr:uid="{E6DB7797-2626-4E47-BFB8-B7B156F9EB55}"/>
    <cellStyle name="Header2 10 2 4" xfId="19715" xr:uid="{41834515-53F1-4DF9-915F-2293C429CAE2}"/>
    <cellStyle name="Header2 10 2 5" xfId="19716" xr:uid="{E9EDCC02-5FCA-471D-AA86-F97F1D5BA042}"/>
    <cellStyle name="Header2 10 2 6" xfId="19717" xr:uid="{8D3D8653-E3CC-43A6-A90F-D65584482BBC}"/>
    <cellStyle name="Header2 10 3" xfId="19718" xr:uid="{D66E9472-1000-4CBC-BFB0-B742B2B0A4E7}"/>
    <cellStyle name="Header2 10 4" xfId="19719" xr:uid="{B2EDCC75-F48C-4DE1-BA55-F08905F3591B}"/>
    <cellStyle name="Header2 10 5" xfId="19720" xr:uid="{6317496B-140D-4839-B255-E649C9254F2D}"/>
    <cellStyle name="Header2 10 6" xfId="19721" xr:uid="{9F2F2DC8-26C5-4612-BA74-32C177DA5E57}"/>
    <cellStyle name="Header2 10 7" xfId="19722" xr:uid="{9456EAAF-A9FC-47E4-A9DF-F27AB8146DAA}"/>
    <cellStyle name="Header2 11" xfId="839" xr:uid="{933B05BE-CC08-4835-B900-D8EAA02C9800}"/>
    <cellStyle name="Header2 11 2" xfId="10073" xr:uid="{06C888F6-1EB2-4495-BA9C-67E1A6E8C5A5}"/>
    <cellStyle name="Header2 11 2 2" xfId="19723" xr:uid="{51A2C3AD-8A58-4497-99B3-7C30875C4285}"/>
    <cellStyle name="Header2 11 2 3" xfId="19724" xr:uid="{924FFB04-845F-4C50-8215-20F3EBD36178}"/>
    <cellStyle name="Header2 11 2 4" xfId="19725" xr:uid="{54E89CBD-453D-44E0-8553-20841B07BEA0}"/>
    <cellStyle name="Header2 11 2 5" xfId="19726" xr:uid="{BCBFFBA3-E40D-49C8-B155-E3F27CA81474}"/>
    <cellStyle name="Header2 11 2 6" xfId="19727" xr:uid="{BC5EDD52-E16D-4CDB-B0F3-1BDCF39283CB}"/>
    <cellStyle name="Header2 11 3" xfId="19728" xr:uid="{FD53040F-181F-42BA-9325-849F7174538A}"/>
    <cellStyle name="Header2 11 4" xfId="19729" xr:uid="{619EB229-EE49-4B8B-B9FF-7821576B2FA6}"/>
    <cellStyle name="Header2 11 5" xfId="19730" xr:uid="{78A5C76E-33BA-43FA-9BE0-9A7EE025A13B}"/>
    <cellStyle name="Header2 11 6" xfId="19731" xr:uid="{6C0F5D34-8F72-40D5-9113-D5527F5F73F3}"/>
    <cellStyle name="Header2 11 7" xfId="19732" xr:uid="{77A0B987-A5F7-4241-9FBD-9F97C4167629}"/>
    <cellStyle name="Header2 12" xfId="840" xr:uid="{D178C236-3B8C-470C-AA8B-9982A32C2B2C}"/>
    <cellStyle name="Header2 12 2" xfId="9733" xr:uid="{2DA10E71-1B4F-4AF7-99A1-21CB262AC4FB}"/>
    <cellStyle name="Header2 12 2 2" xfId="19733" xr:uid="{73619EC4-732E-46B7-87C8-208BE0369FB4}"/>
    <cellStyle name="Header2 12 2 3" xfId="19734" xr:uid="{C7E954EF-EFA0-4241-9822-99C37E11EFE1}"/>
    <cellStyle name="Header2 12 2 4" xfId="19735" xr:uid="{61E89255-2237-4EB7-9F2A-B855B0789894}"/>
    <cellStyle name="Header2 12 2 5" xfId="19736" xr:uid="{E3C2F14B-50BD-45CA-8B03-65C6050BCB90}"/>
    <cellStyle name="Header2 12 2 6" xfId="19737" xr:uid="{A7C5F464-0491-4939-A9C7-25E095B8FEB7}"/>
    <cellStyle name="Header2 12 3" xfId="19738" xr:uid="{8367BD1D-447B-4DD9-8CF4-E4892556B4B4}"/>
    <cellStyle name="Header2 12 4" xfId="19739" xr:uid="{C873E66A-0342-4696-9E6E-A4BA524DA055}"/>
    <cellStyle name="Header2 12 5" xfId="19740" xr:uid="{B1CDEC07-D925-48C8-B847-04D83CD6590F}"/>
    <cellStyle name="Header2 12 6" xfId="19741" xr:uid="{8F9AACCB-0AC4-4338-8D86-50A44521947A}"/>
    <cellStyle name="Header2 12 7" xfId="19742" xr:uid="{439896B9-5C4C-4932-847F-3FFC351C57D0}"/>
    <cellStyle name="Header2 13" xfId="841" xr:uid="{D214B0E0-315D-4ABE-AA0A-1CB42A8F6E5F}"/>
    <cellStyle name="Header2 13 2" xfId="9745" xr:uid="{997CE63C-299C-49AA-9EAB-0C384AE167C0}"/>
    <cellStyle name="Header2 13 2 2" xfId="19743" xr:uid="{B5BB3C77-B04C-4D56-AE7E-F91C20CBA52B}"/>
    <cellStyle name="Header2 13 2 3" xfId="19744" xr:uid="{14A561F9-0E7A-47B3-B435-5E62500E3EEE}"/>
    <cellStyle name="Header2 13 2 4" xfId="19745" xr:uid="{2FBD642F-10FF-482A-91F8-6AD4D40E7B9A}"/>
    <cellStyle name="Header2 13 2 5" xfId="19746" xr:uid="{A4F3CC41-3CD8-40F4-857F-7C07F7EBFAB6}"/>
    <cellStyle name="Header2 13 2 6" xfId="19747" xr:uid="{6CD42F32-4239-45C4-A752-4CD51A2F61B9}"/>
    <cellStyle name="Header2 13 3" xfId="19748" xr:uid="{1B0A4ABA-6787-417D-8CC9-EF788EE42A3D}"/>
    <cellStyle name="Header2 13 4" xfId="19749" xr:uid="{93F062A2-882B-410A-8901-D1189707F68E}"/>
    <cellStyle name="Header2 13 5" xfId="19750" xr:uid="{0A3DB1A5-6965-4CEB-810F-20AC0E74B8B4}"/>
    <cellStyle name="Header2 13 6" xfId="19751" xr:uid="{90B1358D-E7CC-4C11-BBF9-997DFB7FED09}"/>
    <cellStyle name="Header2 13 7" xfId="19752" xr:uid="{6621647D-71C7-4F83-A760-78ED7D67AECA}"/>
    <cellStyle name="Header2 14" xfId="842" xr:uid="{4063CA8E-CFC5-40C8-B046-D1FE65961251}"/>
    <cellStyle name="Header2 14 2" xfId="10518" xr:uid="{31556AB6-2E2D-44D3-A2D8-2DAC3E43B151}"/>
    <cellStyle name="Header2 14 2 2" xfId="19753" xr:uid="{1337D538-E380-419C-BAF4-49D4EE5C1A76}"/>
    <cellStyle name="Header2 14 2 3" xfId="19754" xr:uid="{94AFF190-E1EA-46DC-9166-D4873695F06B}"/>
    <cellStyle name="Header2 14 2 4" xfId="19755" xr:uid="{2B533635-B79A-4A98-9F0E-66F9FDB5462B}"/>
    <cellStyle name="Header2 14 2 5" xfId="19756" xr:uid="{453352DC-7F40-4591-A525-29495914D228}"/>
    <cellStyle name="Header2 14 2 6" xfId="19757" xr:uid="{9712ADF5-D3FD-4D9E-BE11-2B2DC47076B4}"/>
    <cellStyle name="Header2 14 3" xfId="19758" xr:uid="{DB76866A-4B07-455F-ABB3-653F141F325B}"/>
    <cellStyle name="Header2 14 4" xfId="19759" xr:uid="{F8D0431B-89EB-441E-B86A-5D62BD8F9996}"/>
    <cellStyle name="Header2 14 5" xfId="19760" xr:uid="{1FA7084B-5187-42A2-85BB-7DAF8AEB38E7}"/>
    <cellStyle name="Header2 14 6" xfId="19761" xr:uid="{1B384E1F-DBC9-4F23-823E-D8A3FE20FA3F}"/>
    <cellStyle name="Header2 14 7" xfId="19762" xr:uid="{666118DE-14E8-4A43-902F-D6EE8B1F2F28}"/>
    <cellStyle name="Header2 15" xfId="843" xr:uid="{09FC6404-DE32-4988-ADA4-B47CDA0CE599}"/>
    <cellStyle name="Header2 15 2" xfId="10363" xr:uid="{EC3F124D-D233-4A8F-841A-303B84449E4B}"/>
    <cellStyle name="Header2 15 2 2" xfId="19763" xr:uid="{CEA70866-E202-4A41-9164-16E62D2D9AE7}"/>
    <cellStyle name="Header2 15 2 3" xfId="19764" xr:uid="{440C466B-5D4F-495F-B59F-C44A2F79632F}"/>
    <cellStyle name="Header2 15 2 4" xfId="19765" xr:uid="{A34C33EB-909D-4494-9F23-95ACA5A225D1}"/>
    <cellStyle name="Header2 15 2 5" xfId="19766" xr:uid="{5E0FB4A3-0C73-4814-A564-E8D22D8CD66E}"/>
    <cellStyle name="Header2 15 2 6" xfId="19767" xr:uid="{219A4649-5238-476B-AAD2-371BB3ECD724}"/>
    <cellStyle name="Header2 15 3" xfId="19768" xr:uid="{4F3720A7-490A-44A3-A617-CC2013D8EB91}"/>
    <cellStyle name="Header2 15 4" xfId="19769" xr:uid="{63758958-EE64-494C-AB7B-D43148087D80}"/>
    <cellStyle name="Header2 15 5" xfId="19770" xr:uid="{EA290DD3-5110-45E6-AAC6-76B38F2D5C5F}"/>
    <cellStyle name="Header2 15 6" xfId="19771" xr:uid="{734388A4-DC51-45CA-A2BE-5DE56C72A05D}"/>
    <cellStyle name="Header2 15 7" xfId="19772" xr:uid="{6BA1F301-3A2B-4067-9711-ED4983956A46}"/>
    <cellStyle name="Header2 16" xfId="844" xr:uid="{92543916-9A8E-4B1E-8336-BDD9942A7FAF}"/>
    <cellStyle name="Header2 16 2" xfId="9944" xr:uid="{802C7394-C2EE-48B2-A349-9601775475CD}"/>
    <cellStyle name="Header2 16 2 2" xfId="19773" xr:uid="{CB2DAA5C-44B5-4F7E-9FB0-A273EAAD681E}"/>
    <cellStyle name="Header2 16 2 3" xfId="19774" xr:uid="{543F28C6-BFCF-4CDF-B0D4-86ABBC09DA4B}"/>
    <cellStyle name="Header2 16 2 4" xfId="19775" xr:uid="{9C988291-D43A-44C6-91EE-488087A7F77B}"/>
    <cellStyle name="Header2 16 2 5" xfId="19776" xr:uid="{A9754206-8920-4B61-A12B-023CA958C56E}"/>
    <cellStyle name="Header2 16 2 6" xfId="19777" xr:uid="{EEE9AFBB-C28E-4722-9270-C8C748A4F8C8}"/>
    <cellStyle name="Header2 16 3" xfId="19778" xr:uid="{4C385545-EF53-41BF-B248-8BDB2D3C566B}"/>
    <cellStyle name="Header2 16 4" xfId="19779" xr:uid="{0D25C23C-B7EC-4A4A-A48C-2983513CA262}"/>
    <cellStyle name="Header2 16 5" xfId="19780" xr:uid="{094544EA-76FB-4488-8FB0-C2717EF4D16D}"/>
    <cellStyle name="Header2 16 6" xfId="19781" xr:uid="{EDE1F15E-AA8B-4BAC-9824-9D12EBF447FE}"/>
    <cellStyle name="Header2 16 7" xfId="19782" xr:uid="{EB2C5137-6585-49BB-B148-5940BEF5EE7D}"/>
    <cellStyle name="Header2 17" xfId="845" xr:uid="{9802179C-2C0B-456D-AA2A-4117125AA18B}"/>
    <cellStyle name="Header2 17 2" xfId="9903" xr:uid="{F5E02086-8ADA-4D7A-AE81-A6DA12B33095}"/>
    <cellStyle name="Header2 17 2 2" xfId="19783" xr:uid="{B9576BEB-E79D-4BF5-B233-153719281A52}"/>
    <cellStyle name="Header2 17 2 3" xfId="19784" xr:uid="{8EBEB08A-8682-4706-ADC8-FB14A3B47E6F}"/>
    <cellStyle name="Header2 17 2 4" xfId="19785" xr:uid="{E6133EEF-3FD1-4618-999B-0E0FDA2D18DB}"/>
    <cellStyle name="Header2 17 2 5" xfId="19786" xr:uid="{A542FA27-FB2B-42C9-BECE-DBD118549010}"/>
    <cellStyle name="Header2 17 2 6" xfId="19787" xr:uid="{8A344A75-EC1A-469E-A7F4-862012BB93F3}"/>
    <cellStyle name="Header2 17 3" xfId="19788" xr:uid="{70EFF77A-CE34-48D0-9B3D-741D6702D2BC}"/>
    <cellStyle name="Header2 17 4" xfId="19789" xr:uid="{73530B04-68FA-4E00-8039-0D214B656D17}"/>
    <cellStyle name="Header2 17 5" xfId="19790" xr:uid="{D3ACE432-B655-4DB0-B808-D3BC8A1F4FEC}"/>
    <cellStyle name="Header2 17 6" xfId="19791" xr:uid="{081E198A-D164-422C-8D8C-9C4B6182DE9B}"/>
    <cellStyle name="Header2 17 7" xfId="19792" xr:uid="{08D0DD5D-4837-4032-AB5A-B784EDF86EB7}"/>
    <cellStyle name="Header2 18" xfId="846" xr:uid="{E04DE35B-BC3E-42FC-AC84-072EBF9E05C7}"/>
    <cellStyle name="Header2 18 2" xfId="10815" xr:uid="{28B597FF-C0E0-41D7-BE68-17C0C4BD4E2F}"/>
    <cellStyle name="Header2 18 2 2" xfId="19793" xr:uid="{223363CA-F029-41C4-9C69-847C1EAD60A9}"/>
    <cellStyle name="Header2 18 2 3" xfId="19794" xr:uid="{E93785E3-915B-4CD1-92C2-37FD5A3A1E83}"/>
    <cellStyle name="Header2 18 2 4" xfId="19795" xr:uid="{AD6ED169-98BD-4DB8-BC14-63B4DB84EA98}"/>
    <cellStyle name="Header2 18 2 5" xfId="19796" xr:uid="{C70B9845-AE35-4846-881D-F774793E6D5A}"/>
    <cellStyle name="Header2 18 2 6" xfId="19797" xr:uid="{73210FC6-14FA-493F-B46C-EF57ADC45DDE}"/>
    <cellStyle name="Header2 18 3" xfId="19798" xr:uid="{5CCAA319-51E1-46C9-BF4D-D18267086173}"/>
    <cellStyle name="Header2 18 4" xfId="19799" xr:uid="{02DE7717-062F-482B-A4E5-72F725A2ECC3}"/>
    <cellStyle name="Header2 18 5" xfId="19800" xr:uid="{8BCBC3D8-FF9A-4A76-8EC6-53CBDC6E67F4}"/>
    <cellStyle name="Header2 18 6" xfId="19801" xr:uid="{AC84FE1B-6B0D-40C1-A004-A1E5AF9B6380}"/>
    <cellStyle name="Header2 18 7" xfId="19802" xr:uid="{8A9FB98A-B361-4FF5-9AA0-DA9E61500B96}"/>
    <cellStyle name="Header2 19" xfId="847" xr:uid="{93C8D1E4-5808-4189-895B-68C537AC7BA2}"/>
    <cellStyle name="Header2 19 2" xfId="10864" xr:uid="{8E31574E-7B00-4ED3-A319-817454FF143C}"/>
    <cellStyle name="Header2 19 2 2" xfId="19803" xr:uid="{ADCEA314-4F81-41B9-BB6B-7E5B93E93C71}"/>
    <cellStyle name="Header2 19 2 3" xfId="19804" xr:uid="{D7758D71-0B15-4E78-8134-2BE92D1AAFED}"/>
    <cellStyle name="Header2 19 2 4" xfId="19805" xr:uid="{00BEC301-93A9-4DD2-9F99-EEE8B4CBF48B}"/>
    <cellStyle name="Header2 19 2 5" xfId="19806" xr:uid="{8F3AB560-01AF-4765-BAC3-12615D4CF4F9}"/>
    <cellStyle name="Header2 19 2 6" xfId="19807" xr:uid="{331E4CD2-92AE-4231-86D0-4AA3050176CA}"/>
    <cellStyle name="Header2 19 3" xfId="19808" xr:uid="{D5570E85-CEB2-44FD-9AB8-BFBDDA62EDA8}"/>
    <cellStyle name="Header2 19 4" xfId="19809" xr:uid="{525F5B4E-D610-45E2-B52C-929F17760886}"/>
    <cellStyle name="Header2 19 5" xfId="19810" xr:uid="{6A1B11C0-A0E1-4334-A94E-479DB7930787}"/>
    <cellStyle name="Header2 19 6" xfId="19811" xr:uid="{9DB434E2-D951-43CE-A0FB-E485D21E3B1A}"/>
    <cellStyle name="Header2 19 7" xfId="19812" xr:uid="{5B9D39D9-0D26-4D74-9841-395B8206DA3E}"/>
    <cellStyle name="Header2 2" xfId="848" xr:uid="{99EB01F4-8081-4114-B771-C2ADA2FAE7DE}"/>
    <cellStyle name="Header2 2 10" xfId="849" xr:uid="{0789696A-A68A-44BB-838A-5A3507317C7F}"/>
    <cellStyle name="Header2 2 10 2" xfId="10640" xr:uid="{21342CB2-3D02-4E7F-ABD7-4B5ED0E87E25}"/>
    <cellStyle name="Header2 2 10 2 2" xfId="19813" xr:uid="{3893E65B-96E8-4216-BF3B-9465232C478A}"/>
    <cellStyle name="Header2 2 10 2 3" xfId="19814" xr:uid="{B2EC0222-8DD6-44CD-92EC-CE0E8889A77F}"/>
    <cellStyle name="Header2 2 10 2 4" xfId="19815" xr:uid="{5AF6BF67-5E0A-4129-B1F7-A462717C6F5D}"/>
    <cellStyle name="Header2 2 10 2 5" xfId="19816" xr:uid="{9CA3670C-4DF4-496D-B0F5-BB62C3D22BF9}"/>
    <cellStyle name="Header2 2 10 2 6" xfId="19817" xr:uid="{B62D9F7F-E01E-4BEA-805E-0D6205082F80}"/>
    <cellStyle name="Header2 2 10 3" xfId="19818" xr:uid="{546FE168-0B12-4FB0-B987-B39F0EB5C96F}"/>
    <cellStyle name="Header2 2 10 4" xfId="19819" xr:uid="{C724872B-34E5-48D1-B3B4-EDCBF14B550D}"/>
    <cellStyle name="Header2 2 10 5" xfId="19820" xr:uid="{8FD65F35-87DD-484F-A5E8-091A7CA2386E}"/>
    <cellStyle name="Header2 2 10 6" xfId="19821" xr:uid="{4EBF07BA-80AB-4EC0-8826-CAE605E87D74}"/>
    <cellStyle name="Header2 2 10 7" xfId="19822" xr:uid="{43ED7230-EFD6-4AE9-B337-1A984BB3104C}"/>
    <cellStyle name="Header2 2 11" xfId="850" xr:uid="{92297BC7-F765-4C8F-AC93-06E0FDF53C99}"/>
    <cellStyle name="Header2 2 11 2" xfId="10731" xr:uid="{418474F1-F81F-47A7-A757-3E7A2671199F}"/>
    <cellStyle name="Header2 2 11 2 2" xfId="19823" xr:uid="{CA03DDB0-71CF-45B8-B93A-33BC05C71282}"/>
    <cellStyle name="Header2 2 11 2 3" xfId="19824" xr:uid="{AE640632-39E1-4742-93EC-34932B180260}"/>
    <cellStyle name="Header2 2 11 2 4" xfId="19825" xr:uid="{B815D159-6AB1-4DF5-96CC-BDD9E0D28D5E}"/>
    <cellStyle name="Header2 2 11 2 5" xfId="19826" xr:uid="{D2BD413A-66B6-49E8-9CFF-F2BCF94F9094}"/>
    <cellStyle name="Header2 2 11 2 6" xfId="19827" xr:uid="{37966D12-965E-4C6F-AFD2-F7C51BC85382}"/>
    <cellStyle name="Header2 2 11 3" xfId="19828" xr:uid="{93D46DFB-9432-43AC-A287-5A053A58814F}"/>
    <cellStyle name="Header2 2 11 4" xfId="19829" xr:uid="{201E04DB-7AC2-4251-B940-A9730A2A626F}"/>
    <cellStyle name="Header2 2 11 5" xfId="19830" xr:uid="{FAE22D91-EFE3-4FE1-9DCC-78376F538CF5}"/>
    <cellStyle name="Header2 2 11 6" xfId="19831" xr:uid="{B80EA9B5-8592-472B-8BD5-6476FB5C69EA}"/>
    <cellStyle name="Header2 2 11 7" xfId="19832" xr:uid="{9040E93E-8030-45EB-9471-8E6A00367040}"/>
    <cellStyle name="Header2 2 12" xfId="851" xr:uid="{845B11E7-A76B-4346-8232-0CC4D1373B0B}"/>
    <cellStyle name="Header2 2 12 2" xfId="10819" xr:uid="{E73967D1-23DD-4079-A5BB-D7CC8A2438A6}"/>
    <cellStyle name="Header2 2 12 2 2" xfId="19833" xr:uid="{6A9DC6A2-4410-43A5-96BC-2AEA51450EDC}"/>
    <cellStyle name="Header2 2 12 2 3" xfId="19834" xr:uid="{DD61F28A-3D85-47FD-89CF-40D4A38BE39F}"/>
    <cellStyle name="Header2 2 12 2 4" xfId="19835" xr:uid="{B790017D-A714-4A33-9246-0304BC87791D}"/>
    <cellStyle name="Header2 2 12 2 5" xfId="19836" xr:uid="{361FF059-C5CE-4958-8B8B-1EDBC72BFE34}"/>
    <cellStyle name="Header2 2 12 2 6" xfId="19837" xr:uid="{480FF183-6FF6-4B70-A50E-4603AA844FAB}"/>
    <cellStyle name="Header2 2 12 3" xfId="19838" xr:uid="{6F1C17AA-FD9D-4B80-AF49-DE0707693598}"/>
    <cellStyle name="Header2 2 12 4" xfId="19839" xr:uid="{2828EBD1-CD48-4C1C-BEDB-E6789B4D50F4}"/>
    <cellStyle name="Header2 2 12 5" xfId="19840" xr:uid="{3EA0E26A-AA7E-46B5-A476-34F588B31862}"/>
    <cellStyle name="Header2 2 12 6" xfId="19841" xr:uid="{5AB0E95F-529A-49DE-88EC-D3CC7D429232}"/>
    <cellStyle name="Header2 2 12 7" xfId="19842" xr:uid="{46BBE8BA-ACEF-4D7F-9D80-41ED60C4171A}"/>
    <cellStyle name="Header2 2 13" xfId="852" xr:uid="{6AAA3465-C786-47B0-A812-2EBE4D44B3A4}"/>
    <cellStyle name="Header2 2 13 2" xfId="10908" xr:uid="{8A9A836F-DB6F-4682-8A30-966E7FEAC023}"/>
    <cellStyle name="Header2 2 13 2 2" xfId="19843" xr:uid="{980B3388-0E02-4879-8DC5-12834DB9FEF4}"/>
    <cellStyle name="Header2 2 13 2 3" xfId="19844" xr:uid="{04A36F7E-20C7-4864-93F8-49BFB04E531B}"/>
    <cellStyle name="Header2 2 13 2 4" xfId="19845" xr:uid="{E71B9A29-05CB-4FBC-BAFD-65DFF923E581}"/>
    <cellStyle name="Header2 2 13 2 5" xfId="19846" xr:uid="{38F6F9CA-6A79-470F-BCF3-C77241FFA831}"/>
    <cellStyle name="Header2 2 13 2 6" xfId="19847" xr:uid="{9C5694A2-73B7-40CB-BE59-064596C40D8D}"/>
    <cellStyle name="Header2 2 13 3" xfId="19848" xr:uid="{81636392-8213-4880-ACDF-4EB3C185D06B}"/>
    <cellStyle name="Header2 2 13 4" xfId="19849" xr:uid="{67A7AEF8-4ED2-4189-B3CC-AC5187C1C4EB}"/>
    <cellStyle name="Header2 2 13 5" xfId="19850" xr:uid="{FD50C2E1-237A-415D-A37C-62CFBB652E6D}"/>
    <cellStyle name="Header2 2 13 6" xfId="19851" xr:uid="{9AD5A2C0-92AA-425F-84C4-3A4571395AA4}"/>
    <cellStyle name="Header2 2 13 7" xfId="19852" xr:uid="{68807260-8238-4F43-826A-35EEEA368644}"/>
    <cellStyle name="Header2 2 14" xfId="853" xr:uid="{623380A7-64C2-45D8-B840-F4B5AF719D8E}"/>
    <cellStyle name="Header2 2 14 2" xfId="10998" xr:uid="{DB0AB6B6-F688-4F4E-A548-ECDF768CDF76}"/>
    <cellStyle name="Header2 2 14 2 2" xfId="19853" xr:uid="{6B259C71-4C03-4B43-A97D-4C2C37F2CD50}"/>
    <cellStyle name="Header2 2 14 2 3" xfId="19854" xr:uid="{34F6E588-B013-4E52-8CB9-529DBDC07C8A}"/>
    <cellStyle name="Header2 2 14 2 4" xfId="19855" xr:uid="{E0F484C4-1616-45BF-A2E2-0B37A1B7843A}"/>
    <cellStyle name="Header2 2 14 2 5" xfId="19856" xr:uid="{B1EFA039-7B90-49E0-91E3-5077E70E48DB}"/>
    <cellStyle name="Header2 2 14 2 6" xfId="19857" xr:uid="{A09A6FC7-9CB0-4758-BF53-C686113A1579}"/>
    <cellStyle name="Header2 2 14 3" xfId="19858" xr:uid="{19892BF2-DE1F-4A53-BD6A-15FACA5CC4FA}"/>
    <cellStyle name="Header2 2 14 4" xfId="19859" xr:uid="{C31345F9-8764-47FF-B2A0-1D78A25B8BB8}"/>
    <cellStyle name="Header2 2 14 5" xfId="19860" xr:uid="{3AD56766-AD7D-4577-9066-4624427324FF}"/>
    <cellStyle name="Header2 2 14 6" xfId="19861" xr:uid="{7E67267C-2896-4090-86E0-8EDA0F682D52}"/>
    <cellStyle name="Header2 2 14 7" xfId="19862" xr:uid="{37EC787A-7C6B-47A1-A073-4E933A049CF5}"/>
    <cellStyle name="Header2 2 15" xfId="854" xr:uid="{19E6B150-4D92-4BB6-8FE5-AC31169027C0}"/>
    <cellStyle name="Header2 2 15 2" xfId="11088" xr:uid="{0B1E4650-BD21-473A-B160-AB6ADBF0439B}"/>
    <cellStyle name="Header2 2 15 2 2" xfId="19863" xr:uid="{A575F554-FBD8-4A1B-8E1F-23C329A566FA}"/>
    <cellStyle name="Header2 2 15 2 3" xfId="19864" xr:uid="{B77C4991-37C9-417B-B020-2A451DF7CD16}"/>
    <cellStyle name="Header2 2 15 2 4" xfId="19865" xr:uid="{4995CA3E-2120-47A3-8BD7-B21EE224014C}"/>
    <cellStyle name="Header2 2 15 2 5" xfId="19866" xr:uid="{24A272AE-4026-4B67-A623-24FAD014737E}"/>
    <cellStyle name="Header2 2 15 2 6" xfId="19867" xr:uid="{DF375DE0-F5C8-44E5-AAE1-361397005F5D}"/>
    <cellStyle name="Header2 2 15 3" xfId="19868" xr:uid="{789A9A73-0048-4C6F-A874-4B1A7324B670}"/>
    <cellStyle name="Header2 2 15 4" xfId="19869" xr:uid="{EB33DF2A-0191-40E3-B1E5-F2262D8BB5B7}"/>
    <cellStyle name="Header2 2 15 5" xfId="19870" xr:uid="{70174919-1C73-46F1-8E35-6BC0E223C53B}"/>
    <cellStyle name="Header2 2 15 6" xfId="19871" xr:uid="{CF4F2FB0-F1E7-4851-806A-C26DB6EA3EF8}"/>
    <cellStyle name="Header2 2 15 7" xfId="19872" xr:uid="{78D27890-5E44-4010-A71F-2CA20B295C99}"/>
    <cellStyle name="Header2 2 16" xfId="855" xr:uid="{80D04310-659F-49F2-8F5A-9DCBF266A1D5}"/>
    <cellStyle name="Header2 2 16 2" xfId="11171" xr:uid="{2FFC0B46-3A56-4EF9-8071-D9183776AC54}"/>
    <cellStyle name="Header2 2 16 2 2" xfId="19873" xr:uid="{4F1DE837-A29D-4896-8F0E-FEF04981E1D8}"/>
    <cellStyle name="Header2 2 16 2 3" xfId="19874" xr:uid="{56F7D77F-8AD9-4D35-867C-DB54F13E2F42}"/>
    <cellStyle name="Header2 2 16 2 4" xfId="19875" xr:uid="{2F826829-242D-40DE-A09E-A3F0A6CDDFB0}"/>
    <cellStyle name="Header2 2 16 2 5" xfId="19876" xr:uid="{2E7FBCC9-958E-43E4-8144-E2C4C3CD3E37}"/>
    <cellStyle name="Header2 2 16 2 6" xfId="19877" xr:uid="{82FC67C7-0768-4094-8260-9A5DD286FC43}"/>
    <cellStyle name="Header2 2 16 3" xfId="19878" xr:uid="{8E9426E3-79A5-4960-BBB1-9BA62F18788E}"/>
    <cellStyle name="Header2 2 16 4" xfId="19879" xr:uid="{2815324C-D5C9-4DE9-A6DC-53667F7885FA}"/>
    <cellStyle name="Header2 2 16 5" xfId="19880" xr:uid="{4F434C22-8042-4735-B574-BE3FE0B4937F}"/>
    <cellStyle name="Header2 2 16 6" xfId="19881" xr:uid="{3162DA80-C374-4E1E-961F-55C7DFA73114}"/>
    <cellStyle name="Header2 2 16 7" xfId="19882" xr:uid="{A83FCEE9-12D9-41C2-BBB6-24F9EB2E02E3}"/>
    <cellStyle name="Header2 2 17" xfId="856" xr:uid="{DF51BBEA-BBA9-4AE0-B405-E51F05AAA0A7}"/>
    <cellStyle name="Header2 2 17 2" xfId="11261" xr:uid="{598A43EC-E507-4650-8879-C0B1F87BF908}"/>
    <cellStyle name="Header2 2 17 2 2" xfId="19883" xr:uid="{650D2CAC-9A20-4B53-ADF4-28A64332AF64}"/>
    <cellStyle name="Header2 2 17 2 3" xfId="19884" xr:uid="{9C116276-321F-477F-A47E-FEFAE8E02A5F}"/>
    <cellStyle name="Header2 2 17 2 4" xfId="19885" xr:uid="{C2920A66-D35F-4163-9F2E-C2124199FA30}"/>
    <cellStyle name="Header2 2 17 2 5" xfId="19886" xr:uid="{CBD23024-AEEE-4E75-A18B-D70515C6E680}"/>
    <cellStyle name="Header2 2 17 2 6" xfId="19887" xr:uid="{5A174F76-9478-4706-9784-3AA5A5E37576}"/>
    <cellStyle name="Header2 2 17 3" xfId="19888" xr:uid="{6CC41417-E3EA-4154-8D71-C7CC1BDD4DC5}"/>
    <cellStyle name="Header2 2 17 4" xfId="19889" xr:uid="{9595A656-9075-4C2C-9213-2F75D38BDD44}"/>
    <cellStyle name="Header2 2 17 5" xfId="19890" xr:uid="{BB030830-F59F-4139-8994-2AF0288DE789}"/>
    <cellStyle name="Header2 2 17 6" xfId="19891" xr:uid="{3C696122-A717-470F-8E61-0D3F7D621D94}"/>
    <cellStyle name="Header2 2 17 7" xfId="19892" xr:uid="{7FAD4AE3-EA3F-4CF4-9380-94018F4F4C0E}"/>
    <cellStyle name="Header2 2 18" xfId="857" xr:uid="{E6160843-C84C-4ADF-98D3-488520F974B0}"/>
    <cellStyle name="Header2 2 18 2" xfId="11347" xr:uid="{79283EAE-F006-4676-882F-1DCB9B86CBA6}"/>
    <cellStyle name="Header2 2 18 2 2" xfId="19893" xr:uid="{42B42B3A-BFA2-456A-AC57-2FBD301130DA}"/>
    <cellStyle name="Header2 2 18 2 3" xfId="19894" xr:uid="{5A75D38F-7FB0-46F9-BB59-1BF4432C3FC6}"/>
    <cellStyle name="Header2 2 18 2 4" xfId="19895" xr:uid="{B8C4891C-02DA-494D-BA94-D350D2258FFE}"/>
    <cellStyle name="Header2 2 18 2 5" xfId="19896" xr:uid="{D23D833D-E6C9-4F98-8C95-090DBE5F0F94}"/>
    <cellStyle name="Header2 2 18 2 6" xfId="19897" xr:uid="{B57A8F39-7EF5-466C-BF08-0615BFA8E5BF}"/>
    <cellStyle name="Header2 2 18 3" xfId="19898" xr:uid="{33D7F7EE-5239-49AF-B0E8-16E9C010C78C}"/>
    <cellStyle name="Header2 2 18 4" xfId="19899" xr:uid="{06695023-0A08-491D-84A0-709AC9DCF4C0}"/>
    <cellStyle name="Header2 2 18 5" xfId="19900" xr:uid="{FF517FCC-3EC2-47B7-83C5-468BDE16214D}"/>
    <cellStyle name="Header2 2 18 6" xfId="19901" xr:uid="{2121C018-94E2-401E-BFF6-05C516E1C3FE}"/>
    <cellStyle name="Header2 2 18 7" xfId="19902" xr:uid="{8D7706EC-4E22-4963-BD52-AEB5202874DA}"/>
    <cellStyle name="Header2 2 19" xfId="858" xr:uid="{F59B2B6B-9030-4D7E-B90F-EE7B249FF6D8}"/>
    <cellStyle name="Header2 2 19 2" xfId="11434" xr:uid="{AD294036-2F5B-4F23-BA87-A42768685633}"/>
    <cellStyle name="Header2 2 19 2 2" xfId="19903" xr:uid="{86291F5E-09A7-4124-8F47-06CCB7A0CCA3}"/>
    <cellStyle name="Header2 2 19 2 3" xfId="19904" xr:uid="{7C5E8598-912B-416F-A622-74B1C00AAF1B}"/>
    <cellStyle name="Header2 2 19 2 4" xfId="19905" xr:uid="{6C183D00-4959-4000-8E2B-F7BE6953B3A4}"/>
    <cellStyle name="Header2 2 19 2 5" xfId="19906" xr:uid="{08627FF4-FCC3-4CC1-9B3A-A68876D3803E}"/>
    <cellStyle name="Header2 2 19 2 6" xfId="19907" xr:uid="{5D416E44-6107-49AF-A2A6-7DFEA86CC4D1}"/>
    <cellStyle name="Header2 2 19 3" xfId="19908" xr:uid="{E88AE551-5421-4682-940E-4BEA41462038}"/>
    <cellStyle name="Header2 2 19 4" xfId="19909" xr:uid="{908079F6-38E1-41E1-B243-DC79FEA9A626}"/>
    <cellStyle name="Header2 2 19 5" xfId="19910" xr:uid="{B85A1382-C721-4C15-B1E5-00E9E78D6FBE}"/>
    <cellStyle name="Header2 2 19 6" xfId="19911" xr:uid="{7A0EFB43-81D4-487E-A367-B0158DB0C32F}"/>
    <cellStyle name="Header2 2 19 7" xfId="19912" xr:uid="{2E7BE7DE-28BB-4109-AA00-3C13CD011089}"/>
    <cellStyle name="Header2 2 2" xfId="859" xr:uid="{62D33B4C-67E1-4753-8058-85F2F88F236C}"/>
    <cellStyle name="Header2 2 2 10" xfId="860" xr:uid="{B068B9B8-80DF-4EC8-9BF1-39F54C00422C}"/>
    <cellStyle name="Header2 2 2 10 2" xfId="10764" xr:uid="{3C50727E-AB46-412A-9976-F5E7696EF101}"/>
    <cellStyle name="Header2 2 2 10 2 2" xfId="19913" xr:uid="{59E6F5D4-98FC-4143-A402-C0CA3DD29AD6}"/>
    <cellStyle name="Header2 2 2 10 2 3" xfId="19914" xr:uid="{BFD7F0FB-464E-44AA-A99D-764032B6CDFB}"/>
    <cellStyle name="Header2 2 2 10 2 4" xfId="19915" xr:uid="{AB613545-9F90-4499-B681-2E8F6297766C}"/>
    <cellStyle name="Header2 2 2 10 2 5" xfId="19916" xr:uid="{C092D5CB-BE07-4D80-B310-6C09D42F00E4}"/>
    <cellStyle name="Header2 2 2 10 2 6" xfId="19917" xr:uid="{6309BA98-A68B-47B6-8440-099B124A6961}"/>
    <cellStyle name="Header2 2 2 10 3" xfId="19918" xr:uid="{9D72A31D-65AB-4A49-87EE-60BF399F9966}"/>
    <cellStyle name="Header2 2 2 10 4" xfId="19919" xr:uid="{E0C7A5D1-CBA5-4210-ABC3-BCD56C02A6AF}"/>
    <cellStyle name="Header2 2 2 10 5" xfId="19920" xr:uid="{D96049D6-14FD-43B7-944C-512C92559234}"/>
    <cellStyle name="Header2 2 2 10 6" xfId="19921" xr:uid="{D4D9C1BD-9714-47E3-B1A3-B94DD6548E8D}"/>
    <cellStyle name="Header2 2 2 10 7" xfId="19922" xr:uid="{4981FC23-AA4E-472D-A9FC-402C8A5EDEC9}"/>
    <cellStyle name="Header2 2 2 11" xfId="861" xr:uid="{F6F00E2B-77C7-49E8-BF4A-DD032C00D38B}"/>
    <cellStyle name="Header2 2 2 11 2" xfId="10852" xr:uid="{0D8AAFEF-4310-4D66-BC2C-B16F53528BCE}"/>
    <cellStyle name="Header2 2 2 11 2 2" xfId="19923" xr:uid="{F343FA86-7771-4137-8404-BB91EB8745B6}"/>
    <cellStyle name="Header2 2 2 11 2 3" xfId="19924" xr:uid="{19B4A26D-FF59-4B03-B83E-29C87035B448}"/>
    <cellStyle name="Header2 2 2 11 2 4" xfId="19925" xr:uid="{63FA6CAA-26BE-4A3D-987E-FE83361F4737}"/>
    <cellStyle name="Header2 2 2 11 2 5" xfId="19926" xr:uid="{C319394F-A101-4294-9953-640A998285BE}"/>
    <cellStyle name="Header2 2 2 11 2 6" xfId="19927" xr:uid="{0A9A910D-FD0C-4BDF-B1BD-7DFC99FFB8D4}"/>
    <cellStyle name="Header2 2 2 11 3" xfId="19928" xr:uid="{0FA8D9D2-1B4B-42FE-B472-4018BCF584C5}"/>
    <cellStyle name="Header2 2 2 11 4" xfId="19929" xr:uid="{414C7088-3871-48F7-88A3-6FB04305028D}"/>
    <cellStyle name="Header2 2 2 11 5" xfId="19930" xr:uid="{61BFF31F-25DC-4A1A-B39B-CB0870320413}"/>
    <cellStyle name="Header2 2 2 11 6" xfId="19931" xr:uid="{475CD3DA-DB47-455A-BFCE-5408A8C8F2FA}"/>
    <cellStyle name="Header2 2 2 11 7" xfId="19932" xr:uid="{91FA566F-3523-4E5F-93C0-32ED78E97CC9}"/>
    <cellStyle name="Header2 2 2 12" xfId="862" xr:uid="{E3CEEF8E-DD01-43E7-A929-C1FE1C7C0CDF}"/>
    <cellStyle name="Header2 2 2 12 2" xfId="10941" xr:uid="{A360DD72-810C-4BB0-9270-C55B0E75E728}"/>
    <cellStyle name="Header2 2 2 12 2 2" xfId="19933" xr:uid="{36CCD513-E400-46AF-94A6-D81D6B126B73}"/>
    <cellStyle name="Header2 2 2 12 2 3" xfId="19934" xr:uid="{363BD353-0764-42E7-9F62-78FBCD60FA4D}"/>
    <cellStyle name="Header2 2 2 12 2 4" xfId="19935" xr:uid="{7B54AAA3-21E8-40DA-98B5-E38563324F2B}"/>
    <cellStyle name="Header2 2 2 12 2 5" xfId="19936" xr:uid="{337C1F20-9080-4885-982E-1F18F3910B38}"/>
    <cellStyle name="Header2 2 2 12 2 6" xfId="19937" xr:uid="{24A832F7-2F89-411E-BEFB-172D64B9EBA7}"/>
    <cellStyle name="Header2 2 2 12 3" xfId="19938" xr:uid="{83F8E4BA-AA3C-49BC-9D1B-C3ABC17DD996}"/>
    <cellStyle name="Header2 2 2 12 4" xfId="19939" xr:uid="{BC793F93-BA8B-4470-80CF-09D6FB9F2E54}"/>
    <cellStyle name="Header2 2 2 12 5" xfId="19940" xr:uid="{FCA71A3B-8DA9-4D32-B65F-6EBCBBA56186}"/>
    <cellStyle name="Header2 2 2 12 6" xfId="19941" xr:uid="{135D0243-F358-4208-A341-4ECE309BB044}"/>
    <cellStyle name="Header2 2 2 12 7" xfId="19942" xr:uid="{7A700888-0165-451C-A117-F0834623F58B}"/>
    <cellStyle name="Header2 2 2 13" xfId="863" xr:uid="{C8FC9C43-B8D3-4576-86D0-D5DE9CAD8702}"/>
    <cellStyle name="Header2 2 2 13 2" xfId="11031" xr:uid="{030E42E9-6581-415C-B9F1-81BCCBF8DC59}"/>
    <cellStyle name="Header2 2 2 13 2 2" xfId="19943" xr:uid="{85180E92-797E-4B67-8A11-95F458555441}"/>
    <cellStyle name="Header2 2 2 13 2 3" xfId="19944" xr:uid="{E2DCE326-A0DA-4FD6-87A4-6DCBE86CD4A1}"/>
    <cellStyle name="Header2 2 2 13 2 4" xfId="19945" xr:uid="{0151C6F4-6276-4B7F-ACAF-84E3A42CFD95}"/>
    <cellStyle name="Header2 2 2 13 2 5" xfId="19946" xr:uid="{54C9FD8E-3B8C-493A-8C8F-38B0DAA9B606}"/>
    <cellStyle name="Header2 2 2 13 2 6" xfId="19947" xr:uid="{8B999CCD-376B-415D-B5D6-38A146891895}"/>
    <cellStyle name="Header2 2 2 13 3" xfId="19948" xr:uid="{95D68C40-6FCF-4B64-9F2F-1FDEA7DF4E7D}"/>
    <cellStyle name="Header2 2 2 13 4" xfId="19949" xr:uid="{7F47C240-8F23-4B43-96F8-568B1AB312E2}"/>
    <cellStyle name="Header2 2 2 13 5" xfId="19950" xr:uid="{D0C6A6CE-3D5F-4CC8-BA56-36C0F7AB3556}"/>
    <cellStyle name="Header2 2 2 13 6" xfId="19951" xr:uid="{0102C514-34B7-463D-9889-EE4F0CF69943}"/>
    <cellStyle name="Header2 2 2 13 7" xfId="19952" xr:uid="{2EDF8019-B84A-4190-AFB0-D29C4AFD39C9}"/>
    <cellStyle name="Header2 2 2 14" xfId="864" xr:uid="{6B2D8718-AAEE-4B8C-8412-A559F5C901F0}"/>
    <cellStyle name="Header2 2 2 14 2" xfId="11121" xr:uid="{345D37F8-CF33-48AD-ADBE-657E09E3A1CE}"/>
    <cellStyle name="Header2 2 2 14 2 2" xfId="19953" xr:uid="{24265588-D359-40CE-97AE-7EC5A27DC04F}"/>
    <cellStyle name="Header2 2 2 14 2 3" xfId="19954" xr:uid="{5A2E0175-26C0-4861-BF66-C8A00C7849EC}"/>
    <cellStyle name="Header2 2 2 14 2 4" xfId="19955" xr:uid="{E4B4A97B-042A-4592-9CDA-45317CA180BE}"/>
    <cellStyle name="Header2 2 2 14 2 5" xfId="19956" xr:uid="{6E1CB4D5-1F83-4E6C-A43C-137C3D4568C7}"/>
    <cellStyle name="Header2 2 2 14 2 6" xfId="19957" xr:uid="{7DA43174-6346-4226-8800-BD502C5045B8}"/>
    <cellStyle name="Header2 2 2 14 3" xfId="19958" xr:uid="{DF257C33-A93D-46BA-9435-2F3C455DC416}"/>
    <cellStyle name="Header2 2 2 14 4" xfId="19959" xr:uid="{37302079-5380-4766-9DB9-C26D0BDD6BCE}"/>
    <cellStyle name="Header2 2 2 14 5" xfId="19960" xr:uid="{63902AEF-71D3-4EB6-AD45-FD6980FBBCC2}"/>
    <cellStyle name="Header2 2 2 14 6" xfId="19961" xr:uid="{23E70A11-D32E-4F99-A1A3-C3F2485EB695}"/>
    <cellStyle name="Header2 2 2 14 7" xfId="19962" xr:uid="{B7D139D2-BC4A-4AB7-BC89-18C782A9DFB7}"/>
    <cellStyle name="Header2 2 2 15" xfId="865" xr:uid="{865759C4-75D8-449B-8220-9BF09C6392A1}"/>
    <cellStyle name="Header2 2 2 15 2" xfId="11204" xr:uid="{75C14E21-D5A4-4B7C-A97A-BEE07C0FF53E}"/>
    <cellStyle name="Header2 2 2 15 2 2" xfId="19963" xr:uid="{672CE6BF-C73D-40B9-BF23-B1B94D204194}"/>
    <cellStyle name="Header2 2 2 15 2 3" xfId="19964" xr:uid="{26285839-9C02-48B7-8F8B-F40A8510FC89}"/>
    <cellStyle name="Header2 2 2 15 2 4" xfId="19965" xr:uid="{A50717E6-C920-49A5-AA70-86916022E0F4}"/>
    <cellStyle name="Header2 2 2 15 2 5" xfId="19966" xr:uid="{877641F6-A98C-43E6-9D71-41BD9A1318A1}"/>
    <cellStyle name="Header2 2 2 15 2 6" xfId="19967" xr:uid="{6475810B-6BEB-45FA-BF4F-C7E11ED83CD8}"/>
    <cellStyle name="Header2 2 2 15 3" xfId="19968" xr:uid="{46FFB7FB-EA8D-4F11-AFDF-29EDA258DAA3}"/>
    <cellStyle name="Header2 2 2 15 4" xfId="19969" xr:uid="{026B0432-10CC-42FD-BA8D-F869CB962F25}"/>
    <cellStyle name="Header2 2 2 15 5" xfId="19970" xr:uid="{BDEFE4A1-96A3-4599-B4CA-723E1E0F19F7}"/>
    <cellStyle name="Header2 2 2 15 6" xfId="19971" xr:uid="{9743B6FA-48B5-408C-A5AC-1EB559CD8928}"/>
    <cellStyle name="Header2 2 2 15 7" xfId="19972" xr:uid="{E21128B0-CDC1-467D-A82D-8CA12B072F26}"/>
    <cellStyle name="Header2 2 2 16" xfId="866" xr:uid="{7970BF44-1B2A-4334-8EEA-88F8223BFD8F}"/>
    <cellStyle name="Header2 2 2 16 2" xfId="11294" xr:uid="{8A005900-D675-4C09-B77C-55EFC78ED402}"/>
    <cellStyle name="Header2 2 2 16 2 2" xfId="19973" xr:uid="{3328F3D8-E1E0-4A18-8824-D6B85798940D}"/>
    <cellStyle name="Header2 2 2 16 2 3" xfId="19974" xr:uid="{63044E9E-3F51-48C5-BF1B-1D5B99B22DC9}"/>
    <cellStyle name="Header2 2 2 16 2 4" xfId="19975" xr:uid="{22146023-E959-4018-B620-7782D39FA8CF}"/>
    <cellStyle name="Header2 2 2 16 2 5" xfId="19976" xr:uid="{17D86559-02C2-4C96-A5AE-F37E5FFAE6EB}"/>
    <cellStyle name="Header2 2 2 16 2 6" xfId="19977" xr:uid="{E64AA2F6-15C0-4A92-A645-7AA418E9F527}"/>
    <cellStyle name="Header2 2 2 16 3" xfId="19978" xr:uid="{2744BA2D-BB7B-4F58-B54F-CFC9E7214FBD}"/>
    <cellStyle name="Header2 2 2 16 4" xfId="19979" xr:uid="{840F9BBC-870D-4A67-89A8-4689063DDACB}"/>
    <cellStyle name="Header2 2 2 16 5" xfId="19980" xr:uid="{83EBFAD5-73EF-401D-BEC5-A004533B53F4}"/>
    <cellStyle name="Header2 2 2 16 6" xfId="19981" xr:uid="{C46942B5-5C56-4DAB-9C47-054F36AD5D49}"/>
    <cellStyle name="Header2 2 2 16 7" xfId="19982" xr:uid="{C79A9E01-A868-4AF2-93F8-ABD20EF5EB27}"/>
    <cellStyle name="Header2 2 2 17" xfId="867" xr:uid="{02014F70-A0E5-4791-BA9E-BA23FA346B55}"/>
    <cellStyle name="Header2 2 2 17 2" xfId="11380" xr:uid="{3197DABE-B4FD-4570-B8F5-9E03271928ED}"/>
    <cellStyle name="Header2 2 2 17 2 2" xfId="19983" xr:uid="{996C6350-DF98-421A-AC6C-D663DA389CA4}"/>
    <cellStyle name="Header2 2 2 17 2 3" xfId="19984" xr:uid="{F55D1AD0-EB1A-4414-93E0-E055B035D366}"/>
    <cellStyle name="Header2 2 2 17 2 4" xfId="19985" xr:uid="{85B551D1-89DD-4606-A947-68FA5994101A}"/>
    <cellStyle name="Header2 2 2 17 2 5" xfId="19986" xr:uid="{14BA45A1-3490-4575-ACFD-6A879DA8D30B}"/>
    <cellStyle name="Header2 2 2 17 2 6" xfId="19987" xr:uid="{317D93B3-560F-4D53-A397-D689DA20D40D}"/>
    <cellStyle name="Header2 2 2 17 3" xfId="19988" xr:uid="{37B0D47B-CD9E-4899-99C1-0CDCE687505A}"/>
    <cellStyle name="Header2 2 2 17 4" xfId="19989" xr:uid="{18A0149D-4069-430C-BE64-7D0F290B7540}"/>
    <cellStyle name="Header2 2 2 17 5" xfId="19990" xr:uid="{21D56FBC-7D33-4443-BEC8-C02896BE628D}"/>
    <cellStyle name="Header2 2 2 17 6" xfId="19991" xr:uid="{80F6EF1A-8104-49AB-A1BB-D1E4D4CFEB14}"/>
    <cellStyle name="Header2 2 2 17 7" xfId="19992" xr:uid="{C6730E50-24A5-44DA-9AD0-528B745DE729}"/>
    <cellStyle name="Header2 2 2 18" xfId="868" xr:uid="{86BC5D57-BE76-49B5-B630-596272690771}"/>
    <cellStyle name="Header2 2 2 18 2" xfId="11467" xr:uid="{98B194AC-74A9-4A97-AAE7-AF12BC6A35D6}"/>
    <cellStyle name="Header2 2 2 18 2 2" xfId="19993" xr:uid="{48419344-B197-4434-A0FA-1B8B9202A607}"/>
    <cellStyle name="Header2 2 2 18 2 3" xfId="19994" xr:uid="{1765C6DC-27B9-48B0-98FF-A24559764634}"/>
    <cellStyle name="Header2 2 2 18 2 4" xfId="19995" xr:uid="{6DA9D596-DD3D-4C84-BA65-6DE1867F59ED}"/>
    <cellStyle name="Header2 2 2 18 2 5" xfId="19996" xr:uid="{FAC4297C-9B00-4DD3-AFD4-5E64D21726D0}"/>
    <cellStyle name="Header2 2 2 18 2 6" xfId="19997" xr:uid="{51902004-9F75-44F1-8164-18C71FA4E08D}"/>
    <cellStyle name="Header2 2 2 18 3" xfId="19998" xr:uid="{B8E2FD8B-FC37-4D28-BC41-1B1C9217ADCE}"/>
    <cellStyle name="Header2 2 2 18 4" xfId="19999" xr:uid="{ED42CBFF-BCA1-4A5D-8225-DFE79215D7C1}"/>
    <cellStyle name="Header2 2 2 18 5" xfId="20000" xr:uid="{9B05532C-C4CF-40DC-BF56-3146DC564E88}"/>
    <cellStyle name="Header2 2 2 18 6" xfId="20001" xr:uid="{BBEE18D5-A72D-4699-AC76-A4B6DBBD3FEA}"/>
    <cellStyle name="Header2 2 2 18 7" xfId="20002" xr:uid="{B198E920-732E-4942-8A33-A8AECB384117}"/>
    <cellStyle name="Header2 2 2 19" xfId="869" xr:uid="{AA4663D1-E7AA-4381-AFF5-71E060B0BEB0}"/>
    <cellStyle name="Header2 2 2 19 2" xfId="11554" xr:uid="{809D07D8-3890-443C-B855-C35B7CD61E98}"/>
    <cellStyle name="Header2 2 2 19 2 2" xfId="20003" xr:uid="{10748879-D388-4540-AD4C-65A860CA1E02}"/>
    <cellStyle name="Header2 2 2 19 2 3" xfId="20004" xr:uid="{1F744710-F5C1-4AB5-B0F4-C743FB3F07C9}"/>
    <cellStyle name="Header2 2 2 19 2 4" xfId="20005" xr:uid="{4E9A429A-AC39-4E9B-9B9E-7D20ACB25EC1}"/>
    <cellStyle name="Header2 2 2 19 2 5" xfId="20006" xr:uid="{3EEA32B8-4890-464F-A943-F45C23922D7E}"/>
    <cellStyle name="Header2 2 2 19 2 6" xfId="20007" xr:uid="{7710EC18-27BA-409C-868F-9856ED2597D3}"/>
    <cellStyle name="Header2 2 2 19 3" xfId="20008" xr:uid="{EBE60F3B-6BE0-49FD-ABBC-56DA5F2B8361}"/>
    <cellStyle name="Header2 2 2 19 4" xfId="20009" xr:uid="{FD494593-C627-44D4-A635-C0DAA0AFF038}"/>
    <cellStyle name="Header2 2 2 19 5" xfId="20010" xr:uid="{8664B3E2-A8E0-4805-AAC2-0F79AEF7091B}"/>
    <cellStyle name="Header2 2 2 19 6" xfId="20011" xr:uid="{DD50D6DD-C7C8-441B-94B6-D292AFD22ED7}"/>
    <cellStyle name="Header2 2 2 19 7" xfId="20012" xr:uid="{1CBA2F09-019A-4F61-9943-5B207C62D7A1}"/>
    <cellStyle name="Header2 2 2 2" xfId="870" xr:uid="{F2CA6431-3672-4F93-ABC4-02E48EC1D29C}"/>
    <cellStyle name="Header2 2 2 2 2" xfId="10061" xr:uid="{90AD6ACA-E832-457B-884E-B43FDBF1597F}"/>
    <cellStyle name="Header2 2 2 2 2 2" xfId="20013" xr:uid="{03CF5492-28FC-4923-BA8C-3B3A67E6FE10}"/>
    <cellStyle name="Header2 2 2 2 2 3" xfId="20014" xr:uid="{DFF73A4B-B17A-4C15-99FA-F3587C1A0E35}"/>
    <cellStyle name="Header2 2 2 2 2 4" xfId="20015" xr:uid="{18A33A6D-526E-4B9E-B98A-4941515761A0}"/>
    <cellStyle name="Header2 2 2 2 2 5" xfId="20016" xr:uid="{BA6D0A29-BDF7-424B-AAF5-15A02975375F}"/>
    <cellStyle name="Header2 2 2 2 2 6" xfId="20017" xr:uid="{275CC89B-EBDA-4953-862C-F7A52F87E98E}"/>
    <cellStyle name="Header2 2 2 2 3" xfId="20018" xr:uid="{E924D3F9-2108-4B7E-B73A-4DFB2B5A732D}"/>
    <cellStyle name="Header2 2 2 2 4" xfId="20019" xr:uid="{827481ED-678F-4B04-A015-A3513925604D}"/>
    <cellStyle name="Header2 2 2 2 5" xfId="20020" xr:uid="{5C5C53D7-77B4-4D82-BFE8-279D9AC3DB5D}"/>
    <cellStyle name="Header2 2 2 2 6" xfId="20021" xr:uid="{CD887554-CE91-434D-A270-1538D25A4DC7}"/>
    <cellStyle name="Header2 2 2 2 7" xfId="20022" xr:uid="{3E045D45-C8FB-4093-BB00-B7603582A224}"/>
    <cellStyle name="Header2 2 2 20" xfId="871" xr:uid="{00A1B580-1CD9-44B3-BD52-584659706998}"/>
    <cellStyle name="Header2 2 2 20 2" xfId="11642" xr:uid="{50647E87-6F1B-49A4-A976-67CBA48A2E3D}"/>
    <cellStyle name="Header2 2 2 20 2 2" xfId="20023" xr:uid="{6CFB919B-04E8-4259-9ACD-9970F399BF03}"/>
    <cellStyle name="Header2 2 2 20 2 3" xfId="20024" xr:uid="{07E84919-F42B-4441-A095-E32227C95052}"/>
    <cellStyle name="Header2 2 2 20 2 4" xfId="20025" xr:uid="{8910528C-6051-4EDD-A1B8-FA395F25903F}"/>
    <cellStyle name="Header2 2 2 20 2 5" xfId="20026" xr:uid="{B9D5DB69-3D46-47C7-9EA6-972FF6C95DB7}"/>
    <cellStyle name="Header2 2 2 20 2 6" xfId="20027" xr:uid="{83E4DBF0-1BE3-4765-9C7A-9F2A7937B02E}"/>
    <cellStyle name="Header2 2 2 20 3" xfId="20028" xr:uid="{448CE7EB-83F0-4106-9F4D-A337E09B3A47}"/>
    <cellStyle name="Header2 2 2 20 4" xfId="20029" xr:uid="{5067224C-9F98-4A7B-853F-32D2F529B71F}"/>
    <cellStyle name="Header2 2 2 20 5" xfId="20030" xr:uid="{37F758FF-0DD9-4B4D-BCC3-D1F03A4794CC}"/>
    <cellStyle name="Header2 2 2 20 6" xfId="20031" xr:uid="{D8573F80-1998-4C79-B1CA-B909B170E0C2}"/>
    <cellStyle name="Header2 2 2 20 7" xfId="20032" xr:uid="{C9307021-2391-4BF4-B801-DF108D44099E}"/>
    <cellStyle name="Header2 2 2 21" xfId="872" xr:uid="{19149695-1527-41F7-9326-B1228D28DB72}"/>
    <cellStyle name="Header2 2 2 21 2" xfId="11726" xr:uid="{61E866DD-6B70-43BD-8FDD-0173717577D2}"/>
    <cellStyle name="Header2 2 2 21 2 2" xfId="20033" xr:uid="{119BEE5F-F08B-471A-B526-64DCFB59663E}"/>
    <cellStyle name="Header2 2 2 21 2 3" xfId="20034" xr:uid="{A92CC674-9825-46E3-883A-CAE7DADF5C77}"/>
    <cellStyle name="Header2 2 2 21 2 4" xfId="20035" xr:uid="{0EFF5AB5-5B2F-4EAF-A359-5F3210B9DB61}"/>
    <cellStyle name="Header2 2 2 21 2 5" xfId="20036" xr:uid="{0990A38C-4A01-4E4C-B957-80ECB12A420C}"/>
    <cellStyle name="Header2 2 2 21 2 6" xfId="20037" xr:uid="{2933E384-74F9-45CC-8901-C3D7E799BBDD}"/>
    <cellStyle name="Header2 2 2 21 3" xfId="20038" xr:uid="{24C00470-0DCC-4CA9-8C20-ADB06879B3E7}"/>
    <cellStyle name="Header2 2 2 21 4" xfId="20039" xr:uid="{4FC6FCA3-CBE9-4E6C-9247-E97CD560B3E0}"/>
    <cellStyle name="Header2 2 2 21 5" xfId="20040" xr:uid="{7DC920C9-9179-460E-A2AA-74BC58CA69E9}"/>
    <cellStyle name="Header2 2 2 21 6" xfId="20041" xr:uid="{14FC7FEE-65AE-4F18-88CF-AE3F2D0386EE}"/>
    <cellStyle name="Header2 2 2 21 7" xfId="20042" xr:uid="{3001364B-CB05-4CDA-996B-5441DB4A7909}"/>
    <cellStyle name="Header2 2 2 22" xfId="873" xr:uid="{C5B84389-0CF5-4F02-9F03-64420E11B2D3}"/>
    <cellStyle name="Header2 2 2 22 2" xfId="11809" xr:uid="{654DA110-CD0C-4C38-ADA4-C997334D0845}"/>
    <cellStyle name="Header2 2 2 22 2 2" xfId="20043" xr:uid="{F2A0C462-BC74-416B-9CC6-14C7AD6FF69D}"/>
    <cellStyle name="Header2 2 2 22 2 3" xfId="20044" xr:uid="{F1E35BA9-B488-49BD-9FD9-FA516522CBA7}"/>
    <cellStyle name="Header2 2 2 22 2 4" xfId="20045" xr:uid="{2F9D435B-A4F7-40E7-9746-3CA23CF4EC07}"/>
    <cellStyle name="Header2 2 2 22 2 5" xfId="20046" xr:uid="{FACA1622-7FF5-41D3-9F98-A69C958B51C9}"/>
    <cellStyle name="Header2 2 2 22 2 6" xfId="20047" xr:uid="{21651D6D-AC39-46C2-B20C-213CB7C036DA}"/>
    <cellStyle name="Header2 2 2 22 3" xfId="20048" xr:uid="{F9A6D130-0515-4B23-AB1A-674D65BB03A2}"/>
    <cellStyle name="Header2 2 2 22 4" xfId="20049" xr:uid="{7128A0C7-F8DC-4E8D-9B2F-08D09B1984AA}"/>
    <cellStyle name="Header2 2 2 22 5" xfId="20050" xr:uid="{B758B526-F88E-4059-B48E-052D49E63CB8}"/>
    <cellStyle name="Header2 2 2 22 6" xfId="20051" xr:uid="{41A0A0AE-17BE-4479-8C16-CC5C46690B10}"/>
    <cellStyle name="Header2 2 2 22 7" xfId="20052" xr:uid="{E604D587-A577-4E5B-96BB-37D5890B8D8B}"/>
    <cellStyle name="Header2 2 2 23" xfId="874" xr:uid="{CAEA75F2-39B3-46AC-8D4D-A091A53F160B}"/>
    <cellStyle name="Header2 2 2 23 2" xfId="11892" xr:uid="{8FF84E47-936B-48FB-AD3E-9AC122CC469B}"/>
    <cellStyle name="Header2 2 2 23 2 2" xfId="20053" xr:uid="{18A204CB-EA79-461C-B22B-9C00E47CB577}"/>
    <cellStyle name="Header2 2 2 23 2 3" xfId="20054" xr:uid="{40719097-EC79-4060-BD7A-418A5B3C500B}"/>
    <cellStyle name="Header2 2 2 23 2 4" xfId="20055" xr:uid="{7CAB9014-E3E5-43A6-9F22-D1F8D3520FAA}"/>
    <cellStyle name="Header2 2 2 23 2 5" xfId="20056" xr:uid="{5DD0A4E8-5805-4416-B2AC-E4F3594CE55B}"/>
    <cellStyle name="Header2 2 2 23 2 6" xfId="20057" xr:uid="{20E3028C-DC5C-4B3F-AFEA-08ECA7544E31}"/>
    <cellStyle name="Header2 2 2 23 3" xfId="20058" xr:uid="{534D5F4B-B4C4-46FC-8BFD-FD44FC13EC38}"/>
    <cellStyle name="Header2 2 2 23 4" xfId="20059" xr:uid="{293BB811-CE28-4297-B86C-86DF6776E115}"/>
    <cellStyle name="Header2 2 2 23 5" xfId="20060" xr:uid="{65F31FA7-F865-4262-8795-34131FBE1AF5}"/>
    <cellStyle name="Header2 2 2 23 6" xfId="20061" xr:uid="{222D02AB-12FA-4F7B-BD4B-135A415608A2}"/>
    <cellStyle name="Header2 2 2 23 7" xfId="20062" xr:uid="{4DDCC035-A455-42F9-BCB8-6C5C24D87B83}"/>
    <cellStyle name="Header2 2 2 24" xfId="875" xr:uid="{6F700B2B-5FEE-49E6-8C94-C5B2A3B43ACE}"/>
    <cellStyle name="Header2 2 2 24 2" xfId="11976" xr:uid="{D2908C35-80EC-44B3-8CE0-3DA9A3D4A654}"/>
    <cellStyle name="Header2 2 2 24 2 2" xfId="20063" xr:uid="{E70FD668-F347-4A28-83B3-BDD6B404B2CB}"/>
    <cellStyle name="Header2 2 2 24 2 3" xfId="20064" xr:uid="{EBAE0FC0-8B39-46C4-A68E-2CD2A7FC4E78}"/>
    <cellStyle name="Header2 2 2 24 2 4" xfId="20065" xr:uid="{A0A1E685-076A-419A-BC5E-95BE6C0C6411}"/>
    <cellStyle name="Header2 2 2 24 2 5" xfId="20066" xr:uid="{B2EE2A41-0729-4926-B131-0E3E6FB80090}"/>
    <cellStyle name="Header2 2 2 24 2 6" xfId="20067" xr:uid="{D851C913-95E5-4A74-8B05-A6204C676353}"/>
    <cellStyle name="Header2 2 2 24 3" xfId="20068" xr:uid="{9404979E-54AD-4197-A1E5-BE30BECF1834}"/>
    <cellStyle name="Header2 2 2 24 4" xfId="20069" xr:uid="{BFDCF2F7-657F-40F2-93A1-B388B3E48114}"/>
    <cellStyle name="Header2 2 2 24 5" xfId="20070" xr:uid="{FAF2D07A-8D37-4FA2-A9C4-C81434BB6EA3}"/>
    <cellStyle name="Header2 2 2 24 6" xfId="20071" xr:uid="{4E1826FF-98DE-49D7-BCB7-4AFDD91A1144}"/>
    <cellStyle name="Header2 2 2 24 7" xfId="20072" xr:uid="{51362BF2-08E9-44ED-86B9-6DB02F271CF5}"/>
    <cellStyle name="Header2 2 2 25" xfId="876" xr:uid="{4BFA302F-C9DA-4B14-BF46-0BCD6E083127}"/>
    <cellStyle name="Header2 2 2 25 2" xfId="12059" xr:uid="{E5A7BB6B-73E1-4F01-88E2-A9D4A69269C2}"/>
    <cellStyle name="Header2 2 2 25 2 2" xfId="20073" xr:uid="{8F064FCD-AC19-4E73-80AD-7A0402AE484A}"/>
    <cellStyle name="Header2 2 2 25 2 3" xfId="20074" xr:uid="{B2B07C90-3C81-4BE7-81EF-12FA6369BCC7}"/>
    <cellStyle name="Header2 2 2 25 2 4" xfId="20075" xr:uid="{3E960AFD-1A24-434D-993C-6956E5AF6620}"/>
    <cellStyle name="Header2 2 2 25 2 5" xfId="20076" xr:uid="{662EB211-3C2E-40FE-84FE-BA0A9F915F00}"/>
    <cellStyle name="Header2 2 2 25 2 6" xfId="20077" xr:uid="{01B8335E-3E71-4F04-9D1A-43243E59209B}"/>
    <cellStyle name="Header2 2 2 25 3" xfId="20078" xr:uid="{16A1FA59-DE04-4885-9E32-6D6B23C93788}"/>
    <cellStyle name="Header2 2 2 25 4" xfId="20079" xr:uid="{EE2DDDED-A3FE-4B7B-B652-AC29703AC600}"/>
    <cellStyle name="Header2 2 2 25 5" xfId="20080" xr:uid="{F534AA46-64CC-4284-9F8E-999268EEC624}"/>
    <cellStyle name="Header2 2 2 25 6" xfId="20081" xr:uid="{652980C0-07EC-44C9-AF72-B33D888E98E2}"/>
    <cellStyle name="Header2 2 2 25 7" xfId="20082" xr:uid="{95E0D49C-D909-4293-BA23-54F7B915DFBC}"/>
    <cellStyle name="Header2 2 2 26" xfId="877" xr:uid="{EDA3476D-4C34-4A07-9530-94582FC57A38}"/>
    <cellStyle name="Header2 2 2 26 2" xfId="12142" xr:uid="{C8BCCF03-E743-4DBF-AFFB-8FB45265D304}"/>
    <cellStyle name="Header2 2 2 26 2 2" xfId="20083" xr:uid="{4A08760A-7D83-4816-AB8E-D5EB1BA440B2}"/>
    <cellStyle name="Header2 2 2 26 2 3" xfId="20084" xr:uid="{17510522-B294-4126-9328-7EDA375563B7}"/>
    <cellStyle name="Header2 2 2 26 2 4" xfId="20085" xr:uid="{1789DF8D-9635-49BD-8C4E-5D6C094095E0}"/>
    <cellStyle name="Header2 2 2 26 2 5" xfId="20086" xr:uid="{00DB799B-F7B5-43D2-9C83-4023FF4B53E7}"/>
    <cellStyle name="Header2 2 2 26 2 6" xfId="20087" xr:uid="{494DCAD5-F112-45F4-992E-4C0F35E875A8}"/>
    <cellStyle name="Header2 2 2 26 3" xfId="20088" xr:uid="{2BD7041E-BD7D-423C-9AA1-4111EE839D58}"/>
    <cellStyle name="Header2 2 2 26 4" xfId="20089" xr:uid="{BD6ED5A7-9CDE-44BA-BC9A-62AD2489B7F6}"/>
    <cellStyle name="Header2 2 2 26 5" xfId="20090" xr:uid="{2861A2D5-5130-48B3-873E-33C41F03A754}"/>
    <cellStyle name="Header2 2 2 26 6" xfId="20091" xr:uid="{5597D648-CAE0-40BD-BF8C-660B6CB9FB63}"/>
    <cellStyle name="Header2 2 2 26 7" xfId="20092" xr:uid="{4AD4C9F7-1068-471D-BDC1-E2CC944BBD6B}"/>
    <cellStyle name="Header2 2 2 27" xfId="878" xr:uid="{EF78E586-5956-4384-8627-B191B695F6CF}"/>
    <cellStyle name="Header2 2 2 27 2" xfId="12224" xr:uid="{304AD6D4-0975-47F9-B283-19D8FC0A78C5}"/>
    <cellStyle name="Header2 2 2 27 2 2" xfId="20093" xr:uid="{601B6349-89E9-4EDC-ADA1-63F7FE56BF0D}"/>
    <cellStyle name="Header2 2 2 27 2 3" xfId="20094" xr:uid="{C6000A7D-512E-401D-902F-A818F0D47C1C}"/>
    <cellStyle name="Header2 2 2 27 2 4" xfId="20095" xr:uid="{1637D86B-DF9E-45B8-BE4F-BA03B0A9E197}"/>
    <cellStyle name="Header2 2 2 27 2 5" xfId="20096" xr:uid="{88F671A5-15CB-40BB-8450-D20E44B5E489}"/>
    <cellStyle name="Header2 2 2 27 2 6" xfId="20097" xr:uid="{CA576DCB-99B7-4657-83A3-74B0FF07C4D0}"/>
    <cellStyle name="Header2 2 2 27 3" xfId="20098" xr:uid="{8AE4ABDD-14AB-402A-809C-9FF2A04BAE63}"/>
    <cellStyle name="Header2 2 2 27 4" xfId="20099" xr:uid="{5631AF77-B122-42CB-97AB-3EE62B45C61D}"/>
    <cellStyle name="Header2 2 2 27 5" xfId="20100" xr:uid="{4A39B427-E97C-47FA-9B80-B9CC3D4C19D8}"/>
    <cellStyle name="Header2 2 2 27 6" xfId="20101" xr:uid="{BF902DEE-C79D-4A6E-8020-BAEDB739A918}"/>
    <cellStyle name="Header2 2 2 27 7" xfId="20102" xr:uid="{925605A1-A95E-4E61-80BD-7FBF7B165ACB}"/>
    <cellStyle name="Header2 2 2 28" xfId="879" xr:uid="{38AF07FB-8E1D-45D0-8B2C-6843165A5779}"/>
    <cellStyle name="Header2 2 2 28 2" xfId="12304" xr:uid="{8242E3F4-57A6-4124-9307-79570159C831}"/>
    <cellStyle name="Header2 2 2 28 2 2" xfId="20103" xr:uid="{1E8EC3FA-645E-470C-BBEE-BE0CA1BC0BA3}"/>
    <cellStyle name="Header2 2 2 28 2 3" xfId="20104" xr:uid="{07A3C3FF-6699-43F9-BE6A-EC5367570ABB}"/>
    <cellStyle name="Header2 2 2 28 2 4" xfId="20105" xr:uid="{C7D03720-9560-4D46-A5E1-1DCFE8EDE12C}"/>
    <cellStyle name="Header2 2 2 28 2 5" xfId="20106" xr:uid="{47E77062-9A0B-4A9F-AA63-EA2F797520B3}"/>
    <cellStyle name="Header2 2 2 28 2 6" xfId="20107" xr:uid="{5DC4CA3D-4AE0-43A0-8130-80AE93104B8F}"/>
    <cellStyle name="Header2 2 2 28 3" xfId="20108" xr:uid="{12D8B7CA-0178-4ADC-8505-CE8CD3938E14}"/>
    <cellStyle name="Header2 2 2 28 4" xfId="20109" xr:uid="{1EB4BE05-4EC5-4C27-B5C1-DC31D2AB3B08}"/>
    <cellStyle name="Header2 2 2 28 5" xfId="20110" xr:uid="{E7AF248D-9694-48AD-AA57-17D299854694}"/>
    <cellStyle name="Header2 2 2 28 6" xfId="20111" xr:uid="{44550B6E-F34A-467F-8869-8A2DCD100AFA}"/>
    <cellStyle name="Header2 2 2 28 7" xfId="20112" xr:uid="{E5AEB0C2-534D-4DC0-B342-E26451A00D84}"/>
    <cellStyle name="Header2 2 2 29" xfId="880" xr:uid="{22654BCF-6E03-4846-AA3A-B2473A816F18}"/>
    <cellStyle name="Header2 2 2 29 2" xfId="12382" xr:uid="{4354B416-92F0-4CF1-92F2-644472B32ADE}"/>
    <cellStyle name="Header2 2 2 29 2 2" xfId="20113" xr:uid="{C790A54F-412E-4479-9E64-4382671CFB11}"/>
    <cellStyle name="Header2 2 2 29 2 3" xfId="20114" xr:uid="{F3958E11-E032-4B2B-9E14-8F14158A3AFF}"/>
    <cellStyle name="Header2 2 2 29 2 4" xfId="20115" xr:uid="{4A314776-8E4E-4985-ABDE-B7ED51A8B098}"/>
    <cellStyle name="Header2 2 2 29 2 5" xfId="20116" xr:uid="{FEE8CBF2-9FF4-4447-9BF7-135226255D2F}"/>
    <cellStyle name="Header2 2 2 29 2 6" xfId="20117" xr:uid="{24AAA872-2C78-4841-828E-0B0FE1DA6B71}"/>
    <cellStyle name="Header2 2 2 29 3" xfId="20118" xr:uid="{3B20E8FF-2EE7-458F-A5E8-E8DA01ADC103}"/>
    <cellStyle name="Header2 2 2 29 4" xfId="20119" xr:uid="{D3E5EBF3-2FD4-493E-A42F-17E736E29CB8}"/>
    <cellStyle name="Header2 2 2 29 5" xfId="20120" xr:uid="{DD8974CE-891A-4B59-BC75-F496B4E9C61F}"/>
    <cellStyle name="Header2 2 2 29 6" xfId="20121" xr:uid="{85547100-78B7-47D5-A67E-11C05ABD233E}"/>
    <cellStyle name="Header2 2 2 29 7" xfId="20122" xr:uid="{B62D6EB4-D3F9-4BCF-A854-366E8FE226FF}"/>
    <cellStyle name="Header2 2 2 3" xfId="881" xr:uid="{A9425FBD-2295-4547-8A71-8AE87923D5D5}"/>
    <cellStyle name="Header2 2 2 3 2" xfId="10152" xr:uid="{A59672CF-D65E-4234-8629-739F40E8D9AD}"/>
    <cellStyle name="Header2 2 2 3 2 2" xfId="20123" xr:uid="{7CB85039-AFE9-441F-BB57-78F0ACAD2934}"/>
    <cellStyle name="Header2 2 2 3 2 3" xfId="20124" xr:uid="{098C780B-7722-425A-97C4-66AF0BA10346}"/>
    <cellStyle name="Header2 2 2 3 2 4" xfId="20125" xr:uid="{EEAA13D7-D20C-4296-8660-26159F399DAB}"/>
    <cellStyle name="Header2 2 2 3 2 5" xfId="20126" xr:uid="{48CF6D53-F100-4953-9386-2C2328332602}"/>
    <cellStyle name="Header2 2 2 3 2 6" xfId="20127" xr:uid="{20026079-6CE2-45BB-8B28-8B5FB0A2F06D}"/>
    <cellStyle name="Header2 2 2 3 3" xfId="20128" xr:uid="{ABADE2FC-DDF1-462C-B3C7-1BD383E1732B}"/>
    <cellStyle name="Header2 2 2 3 4" xfId="20129" xr:uid="{F563045A-17E2-4929-9CB6-64459D0E319F}"/>
    <cellStyle name="Header2 2 2 3 5" xfId="20130" xr:uid="{6157F24E-63A5-4BE0-A80B-8292FDD4F700}"/>
    <cellStyle name="Header2 2 2 3 6" xfId="20131" xr:uid="{73EB53A0-C4AE-45CC-9CBA-2F8B8FFF0029}"/>
    <cellStyle name="Header2 2 2 3 7" xfId="20132" xr:uid="{89637839-6C22-4209-84E8-A0A53B38C8D5}"/>
    <cellStyle name="Header2 2 2 30" xfId="882" xr:uid="{79B47870-9E2F-46F7-ADD6-541EE18E6619}"/>
    <cellStyle name="Header2 2 2 30 2" xfId="12461" xr:uid="{4AB8D762-CDD9-41F4-9FCB-D1D2AA7AB62F}"/>
    <cellStyle name="Header2 2 2 30 2 2" xfId="20133" xr:uid="{F606E230-7C26-4E0B-9FBC-D154CCEB3399}"/>
    <cellStyle name="Header2 2 2 30 2 3" xfId="20134" xr:uid="{7E8B3DDD-0219-434A-893C-D8E10EE3A1C9}"/>
    <cellStyle name="Header2 2 2 30 2 4" xfId="20135" xr:uid="{E5322307-F6B2-42A9-99F9-56580D6DABF7}"/>
    <cellStyle name="Header2 2 2 30 2 5" xfId="20136" xr:uid="{198B932D-48C0-4286-B4B6-7D9D68D47650}"/>
    <cellStyle name="Header2 2 2 30 2 6" xfId="20137" xr:uid="{C9444E71-FD89-4846-8FA4-B7350A106D07}"/>
    <cellStyle name="Header2 2 2 30 3" xfId="20138" xr:uid="{625F0779-B1F1-481E-AE02-2EC354C06B71}"/>
    <cellStyle name="Header2 2 2 30 4" xfId="20139" xr:uid="{17E64653-299A-4C61-9781-9FFAA8FF542D}"/>
    <cellStyle name="Header2 2 2 30 5" xfId="20140" xr:uid="{E99F2DCC-1BB8-46BC-B784-BF0A7A99469F}"/>
    <cellStyle name="Header2 2 2 30 6" xfId="20141" xr:uid="{1A8C00C3-B888-4A03-B1AA-44BA00E0CCEE}"/>
    <cellStyle name="Header2 2 2 30 7" xfId="20142" xr:uid="{F626EF2C-76AC-4B0A-BD4F-D6830A690320}"/>
    <cellStyle name="Header2 2 2 31" xfId="883" xr:uid="{A484E23F-522C-48FD-8182-D8D25D0077CA}"/>
    <cellStyle name="Header2 2 2 31 2" xfId="12540" xr:uid="{4E52300B-D658-4CE8-9F9F-03228269AD4E}"/>
    <cellStyle name="Header2 2 2 31 2 2" xfId="20143" xr:uid="{02C68DE4-FAF4-4430-AA01-B89ECEDEFEC0}"/>
    <cellStyle name="Header2 2 2 31 2 3" xfId="20144" xr:uid="{38805730-066F-4AA5-9348-CF9B64700111}"/>
    <cellStyle name="Header2 2 2 31 2 4" xfId="20145" xr:uid="{26BC0175-0367-46C6-9077-763EF69BF3DE}"/>
    <cellStyle name="Header2 2 2 31 2 5" xfId="20146" xr:uid="{4DC4EDF4-05F9-4C92-A8E8-D56FDFC857E7}"/>
    <cellStyle name="Header2 2 2 31 2 6" xfId="20147" xr:uid="{35BBE19C-0732-489A-A9EC-017F55BA3124}"/>
    <cellStyle name="Header2 2 2 31 3" xfId="20148" xr:uid="{90CB87BE-524E-4496-9CEA-E4FF7DECF647}"/>
    <cellStyle name="Header2 2 2 31 4" xfId="20149" xr:uid="{728DDBFE-70F0-41EB-B689-B6CAECB0EB89}"/>
    <cellStyle name="Header2 2 2 31 5" xfId="20150" xr:uid="{716E313D-97DB-43BD-88CA-32EED0EF125B}"/>
    <cellStyle name="Header2 2 2 31 6" xfId="20151" xr:uid="{026C5E32-382C-4B20-AB9C-F7C1EA8C948E}"/>
    <cellStyle name="Header2 2 2 31 7" xfId="20152" xr:uid="{94BA96C2-1F85-40B4-8062-A72985DE93D8}"/>
    <cellStyle name="Header2 2 2 32" xfId="884" xr:uid="{76591BA9-9AF4-4812-A170-30F127E510E3}"/>
    <cellStyle name="Header2 2 2 32 2" xfId="12619" xr:uid="{CB06304D-1FA1-4EE9-A6A9-0CF4CA077AB7}"/>
    <cellStyle name="Header2 2 2 32 2 2" xfId="20153" xr:uid="{7C327B72-34CD-4BAC-856D-923B32A7B6C2}"/>
    <cellStyle name="Header2 2 2 32 2 3" xfId="20154" xr:uid="{AD4747B0-BF24-42FD-830F-A4A04BDCB4D7}"/>
    <cellStyle name="Header2 2 2 32 2 4" xfId="20155" xr:uid="{34177473-73B3-404E-9A84-BD7C63BC233A}"/>
    <cellStyle name="Header2 2 2 32 2 5" xfId="20156" xr:uid="{B2831982-1D0D-4F08-84A6-7E8376CEAD30}"/>
    <cellStyle name="Header2 2 2 32 2 6" xfId="20157" xr:uid="{CA24BC01-64F8-411B-BDB0-24E25D914C6D}"/>
    <cellStyle name="Header2 2 2 32 3" xfId="20158" xr:uid="{0487F5E9-CC14-4226-9294-6CE294B5968B}"/>
    <cellStyle name="Header2 2 2 32 4" xfId="20159" xr:uid="{03C407EE-FC2E-45B2-8B47-7D578DC1C298}"/>
    <cellStyle name="Header2 2 2 32 5" xfId="20160" xr:uid="{28FE94E2-3414-43FB-BCE6-9A5A57A3E1E9}"/>
    <cellStyle name="Header2 2 2 32 6" xfId="20161" xr:uid="{6BD94935-36BB-43A2-9D8F-4BF45B225BE2}"/>
    <cellStyle name="Header2 2 2 32 7" xfId="20162" xr:uid="{220C95B4-8A4E-4108-A8D5-192D3F55E3A4}"/>
    <cellStyle name="Header2 2 2 33" xfId="885" xr:uid="{3E8E4C05-40E9-4574-88C9-9B3E02FBA315}"/>
    <cellStyle name="Header2 2 2 33 2" xfId="12698" xr:uid="{350EA022-052F-49D8-9A0F-F7DC6C7577B3}"/>
    <cellStyle name="Header2 2 2 33 2 2" xfId="20163" xr:uid="{ED2EC8A4-EA6F-4766-8EED-258A3B469DEA}"/>
    <cellStyle name="Header2 2 2 33 2 3" xfId="20164" xr:uid="{450B31F4-690D-4B55-A783-A063CA6D162C}"/>
    <cellStyle name="Header2 2 2 33 2 4" xfId="20165" xr:uid="{01FDABAA-46D2-432A-BC5D-C3B9371950FB}"/>
    <cellStyle name="Header2 2 2 33 2 5" xfId="20166" xr:uid="{C93618BE-3F31-4FB5-A466-9531306E903F}"/>
    <cellStyle name="Header2 2 2 33 2 6" xfId="20167" xr:uid="{DF024FA7-9E10-40C4-A026-C6BC1C0FE9EB}"/>
    <cellStyle name="Header2 2 2 33 3" xfId="20168" xr:uid="{CE8F847E-A27F-40B9-8DC2-BB9BB47BA8FA}"/>
    <cellStyle name="Header2 2 2 33 4" xfId="20169" xr:uid="{6D581EE7-438B-4AA3-BB5A-E16ADAA4587A}"/>
    <cellStyle name="Header2 2 2 33 5" xfId="20170" xr:uid="{53665F1B-B13D-479A-AD7C-833745FF8BAA}"/>
    <cellStyle name="Header2 2 2 33 6" xfId="20171" xr:uid="{7FEA3B62-685B-49BF-838C-4837947CB5B7}"/>
    <cellStyle name="Header2 2 2 33 7" xfId="20172" xr:uid="{7CA242F9-319E-46E6-8245-AB5D8259FE88}"/>
    <cellStyle name="Header2 2 2 34" xfId="886" xr:uid="{84380486-DC07-4045-A2EE-1400C18F82F0}"/>
    <cellStyle name="Header2 2 2 34 2" xfId="12782" xr:uid="{3A2B72C1-112D-4CF3-901F-6206C3871F14}"/>
    <cellStyle name="Header2 2 2 34 2 2" xfId="20173" xr:uid="{62D8AC71-CBEA-4F30-8298-C1A7DAF57F2A}"/>
    <cellStyle name="Header2 2 2 34 2 3" xfId="20174" xr:uid="{2F2EDD8F-8879-412F-AC1B-1B0B1B545B09}"/>
    <cellStyle name="Header2 2 2 34 2 4" xfId="20175" xr:uid="{6F76310F-886A-49A0-B72E-0E689A920030}"/>
    <cellStyle name="Header2 2 2 34 2 5" xfId="20176" xr:uid="{B3FF0A06-EE03-4DE1-B7DC-4D8295AE5E75}"/>
    <cellStyle name="Header2 2 2 34 2 6" xfId="20177" xr:uid="{3073E19D-4AA4-440C-ABDF-214EF65AB721}"/>
    <cellStyle name="Header2 2 2 34 3" xfId="20178" xr:uid="{EF87F139-2467-43E4-A8CB-3FEA3CABB39A}"/>
    <cellStyle name="Header2 2 2 34 4" xfId="20179" xr:uid="{087B90E2-13FA-423C-806B-29D651D1AB12}"/>
    <cellStyle name="Header2 2 2 34 5" xfId="20180" xr:uid="{AA04ACDB-7AD3-4A08-9FD3-795D461E096B}"/>
    <cellStyle name="Header2 2 2 34 6" xfId="20181" xr:uid="{EA6FDCC2-87B8-4A32-B623-F9149CD66843}"/>
    <cellStyle name="Header2 2 2 34 7" xfId="20182" xr:uid="{BD7A42F9-521A-404F-9AAE-5600817F3761}"/>
    <cellStyle name="Header2 2 2 35" xfId="9848" xr:uid="{3B747A46-9C11-4DD0-80E8-82A4651A0042}"/>
    <cellStyle name="Header2 2 2 35 2" xfId="20183" xr:uid="{10D620F3-F72D-4128-906C-AAC50A701778}"/>
    <cellStyle name="Header2 2 2 35 3" xfId="20184" xr:uid="{0DFBBBED-D089-4AE1-BE09-83F30AA161D5}"/>
    <cellStyle name="Header2 2 2 35 4" xfId="20185" xr:uid="{344EC14E-EF56-46DC-AF0A-54CA6565429B}"/>
    <cellStyle name="Header2 2 2 35 5" xfId="20186" xr:uid="{D17CDBE1-FE75-4D8D-A655-CEAD06310311}"/>
    <cellStyle name="Header2 2 2 35 6" xfId="20187" xr:uid="{71359C89-3755-4BCA-A27D-467232E9C691}"/>
    <cellStyle name="Header2 2 2 36" xfId="20188" xr:uid="{E262740B-2F89-4541-AC5C-737D597DF8D9}"/>
    <cellStyle name="Header2 2 2 37" xfId="20189" xr:uid="{858A725B-49A7-47FD-B125-85267650A177}"/>
    <cellStyle name="Header2 2 2 38" xfId="20190" xr:uid="{5606EE38-16C2-44D5-B9CF-DF9D860D4700}"/>
    <cellStyle name="Header2 2 2 39" xfId="20191" xr:uid="{1DB52EA1-2546-4ECD-B978-881802C43B9A}"/>
    <cellStyle name="Header2 2 2 4" xfId="887" xr:uid="{EA3D152C-EA3C-4C81-8D96-4C713F1E4BF6}"/>
    <cellStyle name="Header2 2 2 4 2" xfId="10242" xr:uid="{C8E9814A-7D9F-4E5F-A740-66439F775613}"/>
    <cellStyle name="Header2 2 2 4 2 2" xfId="20192" xr:uid="{2E318CFE-AB4A-444F-ADA4-277B8F73B557}"/>
    <cellStyle name="Header2 2 2 4 2 3" xfId="20193" xr:uid="{1BA3BCF6-295F-4684-9A53-6DF324302B86}"/>
    <cellStyle name="Header2 2 2 4 2 4" xfId="20194" xr:uid="{1D9E2F68-C4AD-437E-88D6-1318A18B4242}"/>
    <cellStyle name="Header2 2 2 4 2 5" xfId="20195" xr:uid="{0450D5FE-9964-4FD5-9843-5F66F8BAABEC}"/>
    <cellStyle name="Header2 2 2 4 2 6" xfId="20196" xr:uid="{714B7BD3-5774-4E60-AA83-7F59214E5179}"/>
    <cellStyle name="Header2 2 2 4 3" xfId="20197" xr:uid="{FE6103DD-2BE6-49AF-B7CE-3BB5AA09E604}"/>
    <cellStyle name="Header2 2 2 4 4" xfId="20198" xr:uid="{83692DB5-5669-4AC5-83F5-D065E4BCF05F}"/>
    <cellStyle name="Header2 2 2 4 5" xfId="20199" xr:uid="{06400FAD-304F-4079-AAD8-78D65B263316}"/>
    <cellStyle name="Header2 2 2 4 6" xfId="20200" xr:uid="{4FFB9E4D-0338-476B-B715-6C389D9AE9BA}"/>
    <cellStyle name="Header2 2 2 4 7" xfId="20201" xr:uid="{7E553379-15FC-44ED-A8B6-96EB09CBF24A}"/>
    <cellStyle name="Header2 2 2 40" xfId="20202" xr:uid="{38092882-B915-47BD-83E0-6BCC1EFF4116}"/>
    <cellStyle name="Header2 2 2 5" xfId="888" xr:uid="{CE12FFA1-4D43-4FE1-8BC9-F1CB77812FE7}"/>
    <cellStyle name="Header2 2 2 5 2" xfId="10328" xr:uid="{B99CFD93-FC13-421D-ACB9-37A4C634E952}"/>
    <cellStyle name="Header2 2 2 5 2 2" xfId="20203" xr:uid="{D7CBD172-0790-4998-A731-370CA6358FFA}"/>
    <cellStyle name="Header2 2 2 5 2 3" xfId="20204" xr:uid="{B6500987-AFE2-4896-824F-B44172B001D0}"/>
    <cellStyle name="Header2 2 2 5 2 4" xfId="20205" xr:uid="{6FAC937C-74DC-4B21-93F1-9F7F32BB2C0C}"/>
    <cellStyle name="Header2 2 2 5 2 5" xfId="20206" xr:uid="{1229CDAE-36A3-453E-B5E5-615643766E66}"/>
    <cellStyle name="Header2 2 2 5 2 6" xfId="20207" xr:uid="{43B552CE-86C9-46DF-A146-0E567A677FFC}"/>
    <cellStyle name="Header2 2 2 5 3" xfId="20208" xr:uid="{CE963C96-BB7E-4B53-811E-0D19526461E6}"/>
    <cellStyle name="Header2 2 2 5 4" xfId="20209" xr:uid="{055A4547-4B87-4EDA-95E8-F8C58C26B1F5}"/>
    <cellStyle name="Header2 2 2 5 5" xfId="20210" xr:uid="{08E747E5-EA24-469C-A874-3C126045CBB9}"/>
    <cellStyle name="Header2 2 2 5 6" xfId="20211" xr:uid="{998E580D-CF5F-4E84-90E8-49C1781CF640}"/>
    <cellStyle name="Header2 2 2 5 7" xfId="20212" xr:uid="{C567A20B-5D30-4C0D-9C23-E1646C90C646}"/>
    <cellStyle name="Header2 2 2 6" xfId="889" xr:uid="{3660ACB2-153F-4297-A674-022A17A3195A}"/>
    <cellStyle name="Header2 2 2 6 2" xfId="10416" xr:uid="{5B9DE001-1FB7-4293-B0CB-4C981010EECD}"/>
    <cellStyle name="Header2 2 2 6 2 2" xfId="20213" xr:uid="{6BF19D9D-D70A-40A6-A52B-674DDE343EE3}"/>
    <cellStyle name="Header2 2 2 6 2 3" xfId="20214" xr:uid="{20DD648B-D539-4514-B09C-0BFB9B99E736}"/>
    <cellStyle name="Header2 2 2 6 2 4" xfId="20215" xr:uid="{38134FC6-078B-4FE4-84A9-1F606BC27FD2}"/>
    <cellStyle name="Header2 2 2 6 2 5" xfId="20216" xr:uid="{A84BB35E-2A75-46A6-ABD9-8B52B6B5FE90}"/>
    <cellStyle name="Header2 2 2 6 2 6" xfId="20217" xr:uid="{F0036527-EA2C-4B1B-BEC7-83B708EC6E16}"/>
    <cellStyle name="Header2 2 2 6 3" xfId="20218" xr:uid="{05294C5F-BDB4-41ED-AF4C-47707D75FB9C}"/>
    <cellStyle name="Header2 2 2 6 4" xfId="20219" xr:uid="{F88BD48E-DD15-46E1-8E20-73BEDD8F2468}"/>
    <cellStyle name="Header2 2 2 6 5" xfId="20220" xr:uid="{A3C2AD64-C3FE-4F5B-8B56-7253460E237C}"/>
    <cellStyle name="Header2 2 2 6 6" xfId="20221" xr:uid="{3EAF0F91-4AB6-43C8-8730-E565C77394C8}"/>
    <cellStyle name="Header2 2 2 6 7" xfId="20222" xr:uid="{2181CD61-0CA6-4E84-9DB9-51C6D505D108}"/>
    <cellStyle name="Header2 2 2 7" xfId="890" xr:uid="{FF535EF2-AD38-4F02-8021-95F1B440D101}"/>
    <cellStyle name="Header2 2 2 7 2" xfId="10503" xr:uid="{10B5600A-1FA9-458A-99AC-B33B71AF20E8}"/>
    <cellStyle name="Header2 2 2 7 2 2" xfId="20223" xr:uid="{8CC93F1A-49C5-4060-A608-F8BAB2F6AECD}"/>
    <cellStyle name="Header2 2 2 7 2 3" xfId="20224" xr:uid="{8B7B7C22-85F9-4A87-AA4A-705D31AE30DF}"/>
    <cellStyle name="Header2 2 2 7 2 4" xfId="20225" xr:uid="{8C5113AF-0FF4-4A10-A8D8-33179ADE81DE}"/>
    <cellStyle name="Header2 2 2 7 2 5" xfId="20226" xr:uid="{5AAC2731-4FE1-4C0D-9B5F-6ED3E678F970}"/>
    <cellStyle name="Header2 2 2 7 2 6" xfId="20227" xr:uid="{F8DA09EA-EBFA-40F2-A21D-21B7D2F1CE03}"/>
    <cellStyle name="Header2 2 2 7 3" xfId="20228" xr:uid="{2768CCE5-7746-4344-AB2E-ACE63D6B2E5F}"/>
    <cellStyle name="Header2 2 2 7 4" xfId="20229" xr:uid="{41D9F923-2D76-430A-B8FC-051A1405D2AA}"/>
    <cellStyle name="Header2 2 2 7 5" xfId="20230" xr:uid="{E8C0BAE4-D8C5-468E-B122-7B196ECCC4A3}"/>
    <cellStyle name="Header2 2 2 7 6" xfId="20231" xr:uid="{91955321-A0B7-4D64-BADA-908F6713D7A4}"/>
    <cellStyle name="Header2 2 2 7 7" xfId="20232" xr:uid="{6CB12C8B-2446-4755-B0BC-5839F9990088}"/>
    <cellStyle name="Header2 2 2 8" xfId="891" xr:uid="{E47BCC6D-B4E6-44A2-854C-5B8B01C4211E}"/>
    <cellStyle name="Header2 2 2 8 2" xfId="10591" xr:uid="{A659141D-FBBC-4619-BFFB-8876DD98E159}"/>
    <cellStyle name="Header2 2 2 8 2 2" xfId="20233" xr:uid="{E87B43D0-C13A-4767-BE33-3EF1AAAE7F0E}"/>
    <cellStyle name="Header2 2 2 8 2 3" xfId="20234" xr:uid="{D3FDB384-C8FE-49C6-A5AC-616008777B54}"/>
    <cellStyle name="Header2 2 2 8 2 4" xfId="20235" xr:uid="{406EC8DF-0858-4926-9E2B-32B2192CDE09}"/>
    <cellStyle name="Header2 2 2 8 2 5" xfId="20236" xr:uid="{C677C02B-2943-4607-880A-FBF1B5BB544A}"/>
    <cellStyle name="Header2 2 2 8 2 6" xfId="20237" xr:uid="{11015BA8-9A3D-446A-A619-F68555EBE32D}"/>
    <cellStyle name="Header2 2 2 8 3" xfId="20238" xr:uid="{C2025F79-9FBC-4701-A1CE-94B6AED14AF4}"/>
    <cellStyle name="Header2 2 2 8 4" xfId="20239" xr:uid="{6D97C414-6270-429C-8AFD-31F2CEE04171}"/>
    <cellStyle name="Header2 2 2 8 5" xfId="20240" xr:uid="{1344D677-B980-4A0E-A550-3B761148422C}"/>
    <cellStyle name="Header2 2 2 8 6" xfId="20241" xr:uid="{FA8B9005-D9CD-43B9-AF98-7A7B1F4DD4FD}"/>
    <cellStyle name="Header2 2 2 8 7" xfId="20242" xr:uid="{B6B3D562-7790-4852-ACCE-63BA9B440265}"/>
    <cellStyle name="Header2 2 2 9" xfId="892" xr:uid="{6717ABC0-C4DE-4DCF-BBCC-1EAF7E425D64}"/>
    <cellStyle name="Header2 2 2 9 2" xfId="10673" xr:uid="{C5415C86-9242-4633-9EFF-6BF1F779F26D}"/>
    <cellStyle name="Header2 2 2 9 2 2" xfId="20243" xr:uid="{20CDE15F-77AE-4680-8062-E1C181EDF6B2}"/>
    <cellStyle name="Header2 2 2 9 2 3" xfId="20244" xr:uid="{8DA45EA5-ACAC-4F4E-98BE-EE20F2DE04DD}"/>
    <cellStyle name="Header2 2 2 9 2 4" xfId="20245" xr:uid="{5640B6E0-D24E-4DCE-AA72-4687DAD5F5A2}"/>
    <cellStyle name="Header2 2 2 9 2 5" xfId="20246" xr:uid="{EA1E74F1-A480-471D-8037-43A71E0699F6}"/>
    <cellStyle name="Header2 2 2 9 2 6" xfId="20247" xr:uid="{4D79EB00-73A1-47CA-BD7E-E6E28446BF3D}"/>
    <cellStyle name="Header2 2 2 9 3" xfId="20248" xr:uid="{7B42C976-A997-4C94-97FA-57B80FCEB1BC}"/>
    <cellStyle name="Header2 2 2 9 4" xfId="20249" xr:uid="{0522A3D8-CA2B-4F8E-A851-61A7DDAE47D2}"/>
    <cellStyle name="Header2 2 2 9 5" xfId="20250" xr:uid="{0E786559-752B-4829-81EB-FEF3061A8958}"/>
    <cellStyle name="Header2 2 2 9 6" xfId="20251" xr:uid="{A16E01F0-74C2-412B-B880-7EC2004D1AA2}"/>
    <cellStyle name="Header2 2 2 9 7" xfId="20252" xr:uid="{404D4922-91E9-490C-9A89-121907994148}"/>
    <cellStyle name="Header2 2 20" xfId="893" xr:uid="{AA9C171D-8995-462F-9C30-5FC2EDDBFE8C}"/>
    <cellStyle name="Header2 2 20 2" xfId="11521" xr:uid="{1828E75C-CA66-4678-9CC4-2CE777DCDB49}"/>
    <cellStyle name="Header2 2 20 2 2" xfId="20253" xr:uid="{2052DF35-DC8A-4DAC-9F64-D80513CEFBF2}"/>
    <cellStyle name="Header2 2 20 2 3" xfId="20254" xr:uid="{A995C466-7D20-4D2F-B0F9-C593E112D9FC}"/>
    <cellStyle name="Header2 2 20 2 4" xfId="20255" xr:uid="{659E17F1-6F7F-44E1-948E-ADF0DFC33D94}"/>
    <cellStyle name="Header2 2 20 2 5" xfId="20256" xr:uid="{77D86536-F760-462C-B581-706D5F65BEBA}"/>
    <cellStyle name="Header2 2 20 2 6" xfId="20257" xr:uid="{38A98975-3E4D-4E95-BCAE-B0EEA966519D}"/>
    <cellStyle name="Header2 2 20 3" xfId="20258" xr:uid="{7396E526-C636-444B-B2F2-A36A3BF524C5}"/>
    <cellStyle name="Header2 2 20 4" xfId="20259" xr:uid="{D0FB8E99-D202-420E-B22B-157503CEFDD3}"/>
    <cellStyle name="Header2 2 20 5" xfId="20260" xr:uid="{E49A6158-09C9-403E-9B77-56E8B9396AED}"/>
    <cellStyle name="Header2 2 20 6" xfId="20261" xr:uid="{41ACBF78-76F0-4F80-BAEA-A9FB121D15B9}"/>
    <cellStyle name="Header2 2 20 7" xfId="20262" xr:uid="{1F74B4E2-8142-4B74-B83C-20A8DE388DE1}"/>
    <cellStyle name="Header2 2 21" xfId="894" xr:uid="{FC44F143-8E08-4BA2-812A-610A9F8F5022}"/>
    <cellStyle name="Header2 2 21 2" xfId="11609" xr:uid="{B3D83A20-1C45-4D93-BE98-352A3891A86C}"/>
    <cellStyle name="Header2 2 21 2 2" xfId="20263" xr:uid="{01CED382-FFA8-49D8-8064-56A351A29E8F}"/>
    <cellStyle name="Header2 2 21 2 3" xfId="20264" xr:uid="{7E72D97A-86E2-432D-8E0F-DCEE8995E96A}"/>
    <cellStyle name="Header2 2 21 2 4" xfId="20265" xr:uid="{1E7D3088-B0EC-41C6-B566-B4007A2D4468}"/>
    <cellStyle name="Header2 2 21 2 5" xfId="20266" xr:uid="{03977569-9EC2-4544-9FBC-46283889BB27}"/>
    <cellStyle name="Header2 2 21 2 6" xfId="20267" xr:uid="{CE29D4A4-6A70-4DC8-A24C-0CAC7AF9780B}"/>
    <cellStyle name="Header2 2 21 3" xfId="20268" xr:uid="{58B1C1E1-C55F-44FD-837A-14BC96D61FC6}"/>
    <cellStyle name="Header2 2 21 4" xfId="20269" xr:uid="{8791C364-A958-4A32-9BC6-95D84B9F129E}"/>
    <cellStyle name="Header2 2 21 5" xfId="20270" xr:uid="{2732CA45-F803-40FA-A038-1C2A5EE89CA2}"/>
    <cellStyle name="Header2 2 21 6" xfId="20271" xr:uid="{5352AFED-9A0A-4168-8AC0-8FC288AFB689}"/>
    <cellStyle name="Header2 2 21 7" xfId="20272" xr:uid="{C3607AC4-29F5-4A33-BB67-A7F1BA5C1B56}"/>
    <cellStyle name="Header2 2 22" xfId="895" xr:uid="{267B3141-69F6-4A27-8D38-4695F2D83E52}"/>
    <cellStyle name="Header2 2 22 2" xfId="11693" xr:uid="{3734E29C-BB79-45B1-AFEB-68C54A3969DD}"/>
    <cellStyle name="Header2 2 22 2 2" xfId="20273" xr:uid="{090833A9-05AF-479F-A220-EF67271FC4F6}"/>
    <cellStyle name="Header2 2 22 2 3" xfId="20274" xr:uid="{227D1236-332D-47EF-95CE-D6CB5E7C0780}"/>
    <cellStyle name="Header2 2 22 2 4" xfId="20275" xr:uid="{A70063E8-31C0-455D-97F5-FF3C59CBAF19}"/>
    <cellStyle name="Header2 2 22 2 5" xfId="20276" xr:uid="{3F0435F6-7E68-4016-9DA9-5AC7AB5F4325}"/>
    <cellStyle name="Header2 2 22 2 6" xfId="20277" xr:uid="{190DEDED-38ED-4B63-9731-FDC54A96EE8A}"/>
    <cellStyle name="Header2 2 22 3" xfId="20278" xr:uid="{FC7BB2E8-4BF8-4072-ADC0-16DBA4FE71BC}"/>
    <cellStyle name="Header2 2 22 4" xfId="20279" xr:uid="{1EE8BC61-447F-4F72-98F2-42C889846976}"/>
    <cellStyle name="Header2 2 22 5" xfId="20280" xr:uid="{EF51E8AB-BE9A-4599-B330-A87BC9682180}"/>
    <cellStyle name="Header2 2 22 6" xfId="20281" xr:uid="{CDA219A1-4E49-4EE4-8C9F-2BB80E0F5EB5}"/>
    <cellStyle name="Header2 2 22 7" xfId="20282" xr:uid="{7EA85C76-0C48-4F37-B9A1-7157E36BFAB1}"/>
    <cellStyle name="Header2 2 23" xfId="896" xr:uid="{82CAFDDC-91AA-4968-A92E-3A276D7C616D}"/>
    <cellStyle name="Header2 2 23 2" xfId="11776" xr:uid="{E817E072-0651-40D3-B3B9-464836084D4E}"/>
    <cellStyle name="Header2 2 23 2 2" xfId="20283" xr:uid="{01400F7B-C6DB-4178-902C-3B4BD3FD94E4}"/>
    <cellStyle name="Header2 2 23 2 3" xfId="20284" xr:uid="{F20685ED-010D-478D-BFAE-654E20354A37}"/>
    <cellStyle name="Header2 2 23 2 4" xfId="20285" xr:uid="{8BB9E913-495F-4ADD-8881-81509767568E}"/>
    <cellStyle name="Header2 2 23 2 5" xfId="20286" xr:uid="{63C92AF3-9675-42CB-89F6-48C8CEB65693}"/>
    <cellStyle name="Header2 2 23 2 6" xfId="20287" xr:uid="{677C4C8C-D4E6-46BE-9844-7B0F7EADA1C7}"/>
    <cellStyle name="Header2 2 23 3" xfId="20288" xr:uid="{F451D4B6-9B90-4836-94D0-1CFEBF69EE3F}"/>
    <cellStyle name="Header2 2 23 4" xfId="20289" xr:uid="{EE3DA615-021F-4BBE-8B63-21F6F06B54E0}"/>
    <cellStyle name="Header2 2 23 5" xfId="20290" xr:uid="{72DF8E9B-DD18-4BE0-B3F5-59C296CEB107}"/>
    <cellStyle name="Header2 2 23 6" xfId="20291" xr:uid="{1E15C5F9-8ED7-483C-B0E1-C0C8CEB96963}"/>
    <cellStyle name="Header2 2 23 7" xfId="20292" xr:uid="{8DDD16A2-6D2C-4EC5-9268-1CC4EF6CB349}"/>
    <cellStyle name="Header2 2 24" xfId="897" xr:uid="{13E40D15-A603-4D7C-BDBC-C37F61366EF6}"/>
    <cellStyle name="Header2 2 24 2" xfId="11859" xr:uid="{B4140FDD-FCAF-4BA7-B377-78484B3815C5}"/>
    <cellStyle name="Header2 2 24 2 2" xfId="20293" xr:uid="{2B827B63-C738-4AFC-AEA4-D856948D90F2}"/>
    <cellStyle name="Header2 2 24 2 3" xfId="20294" xr:uid="{18C20F20-6EBD-428B-8623-A04CAD16F072}"/>
    <cellStyle name="Header2 2 24 2 4" xfId="20295" xr:uid="{6B57C1B0-4EDD-4217-BD32-359580BE9F18}"/>
    <cellStyle name="Header2 2 24 2 5" xfId="20296" xr:uid="{DADCA257-74A3-41CC-A3F2-B3274B5B225D}"/>
    <cellStyle name="Header2 2 24 2 6" xfId="20297" xr:uid="{330C66E0-A862-4566-BAAA-B7D514731A67}"/>
    <cellStyle name="Header2 2 24 3" xfId="20298" xr:uid="{9456B5C1-1AB7-41B2-BCA4-47B493FFDD8A}"/>
    <cellStyle name="Header2 2 24 4" xfId="20299" xr:uid="{A6F03627-58B0-4160-8F2E-93F1B652A8CF}"/>
    <cellStyle name="Header2 2 24 5" xfId="20300" xr:uid="{F5AFD96D-09F6-4EA4-8705-A4F417F0BA05}"/>
    <cellStyle name="Header2 2 24 6" xfId="20301" xr:uid="{C29F4CD8-7361-4321-8D10-18265E15FB24}"/>
    <cellStyle name="Header2 2 24 7" xfId="20302" xr:uid="{41DC61F6-F01A-401C-8FFA-D88081C72A4A}"/>
    <cellStyle name="Header2 2 25" xfId="898" xr:uid="{40897671-510F-4288-9BCB-3C2E18127681}"/>
    <cellStyle name="Header2 2 25 2" xfId="11943" xr:uid="{65DA1480-072F-4C55-8E3E-2189BA8422A3}"/>
    <cellStyle name="Header2 2 25 2 2" xfId="20303" xr:uid="{C9A55B49-ED95-49EB-A34D-CD7FC5863A97}"/>
    <cellStyle name="Header2 2 25 2 3" xfId="20304" xr:uid="{2220D6AD-6FA5-4733-936C-60B285B6B1FD}"/>
    <cellStyle name="Header2 2 25 2 4" xfId="20305" xr:uid="{E273645A-6ED3-4521-9A44-C23DA477F524}"/>
    <cellStyle name="Header2 2 25 2 5" xfId="20306" xr:uid="{ADF9CFC6-1E51-4F47-93D6-0924A186F8AD}"/>
    <cellStyle name="Header2 2 25 2 6" xfId="20307" xr:uid="{35911EB9-8BAB-4D18-B5FA-222CF95126C6}"/>
    <cellStyle name="Header2 2 25 3" xfId="20308" xr:uid="{DD0BFEDF-DD8F-417C-85BE-87B39B879A83}"/>
    <cellStyle name="Header2 2 25 4" xfId="20309" xr:uid="{5C3544A8-89A2-481E-970E-679A0C06CA2A}"/>
    <cellStyle name="Header2 2 25 5" xfId="20310" xr:uid="{8F733EE9-3E87-4A20-84B4-948F8C0BE55D}"/>
    <cellStyle name="Header2 2 25 6" xfId="20311" xr:uid="{AB72FB78-7D76-4E5D-833B-4DCA06301994}"/>
    <cellStyle name="Header2 2 25 7" xfId="20312" xr:uid="{AE4B0BCD-630A-4C8C-9C25-6EAAE5A05055}"/>
    <cellStyle name="Header2 2 26" xfId="899" xr:uid="{C4A2C827-8253-4A30-8E0E-739CCBB09957}"/>
    <cellStyle name="Header2 2 26 2" xfId="12026" xr:uid="{154EB69E-4822-474B-BFF4-8146216EB01B}"/>
    <cellStyle name="Header2 2 26 2 2" xfId="20313" xr:uid="{96F37DF7-165D-4859-A273-A4FD93BBC629}"/>
    <cellStyle name="Header2 2 26 2 3" xfId="20314" xr:uid="{DD5893BC-8CDC-4D03-8432-776A8CDEF44C}"/>
    <cellStyle name="Header2 2 26 2 4" xfId="20315" xr:uid="{E8AA77A2-854F-41D6-A322-DCCC1FF721D9}"/>
    <cellStyle name="Header2 2 26 2 5" xfId="20316" xr:uid="{AB92BB57-FC8D-4828-9F02-4DE553BCE042}"/>
    <cellStyle name="Header2 2 26 2 6" xfId="20317" xr:uid="{F17BB8C8-B923-4545-89F6-839B9D1EAB9B}"/>
    <cellStyle name="Header2 2 26 3" xfId="20318" xr:uid="{99505D55-A586-443E-853E-28407F678E07}"/>
    <cellStyle name="Header2 2 26 4" xfId="20319" xr:uid="{CE219669-A45E-4E62-A5F4-332FF555A8BA}"/>
    <cellStyle name="Header2 2 26 5" xfId="20320" xr:uid="{5DDB15D2-F05F-4D42-A95A-22B5155DFB21}"/>
    <cellStyle name="Header2 2 26 6" xfId="20321" xr:uid="{FC86912E-593C-446F-8C70-A13E5192B3EE}"/>
    <cellStyle name="Header2 2 26 7" xfId="20322" xr:uid="{A3BB50FD-FAF8-45A1-B7C0-3B398373AE4B}"/>
    <cellStyle name="Header2 2 27" xfId="900" xr:uid="{0657261C-9F9F-466E-A393-B91BC850BEE8}"/>
    <cellStyle name="Header2 2 27 2" xfId="12109" xr:uid="{FC395039-C631-406C-AFF4-FB419974F31B}"/>
    <cellStyle name="Header2 2 27 2 2" xfId="20323" xr:uid="{A50CE1EB-29D6-429A-8A21-A916311FFA45}"/>
    <cellStyle name="Header2 2 27 2 3" xfId="20324" xr:uid="{FFFFB199-E71B-4039-9A0E-E3F94B93AE39}"/>
    <cellStyle name="Header2 2 27 2 4" xfId="20325" xr:uid="{4677AC94-7C1C-4505-8DA8-56DB46B0623B}"/>
    <cellStyle name="Header2 2 27 2 5" xfId="20326" xr:uid="{82C60EA8-F33F-4333-875F-318DC4B438FD}"/>
    <cellStyle name="Header2 2 27 2 6" xfId="20327" xr:uid="{8F8D598F-385B-4081-89B0-F09F032F4C9D}"/>
    <cellStyle name="Header2 2 27 3" xfId="20328" xr:uid="{8B870D0D-F52D-4DB2-B10E-35746F4900D9}"/>
    <cellStyle name="Header2 2 27 4" xfId="20329" xr:uid="{97757353-1D60-4150-94DB-87E8F573B03F}"/>
    <cellStyle name="Header2 2 27 5" xfId="20330" xr:uid="{ECE2942D-7770-4AC9-8137-32151225F566}"/>
    <cellStyle name="Header2 2 27 6" xfId="20331" xr:uid="{1EBC6DBF-A0DD-4300-AC2B-4B74A9A25C56}"/>
    <cellStyle name="Header2 2 27 7" xfId="20332" xr:uid="{1DFC7351-9D3C-46B4-9223-9083FD702FB2}"/>
    <cellStyle name="Header2 2 28" xfId="901" xr:uid="{254826A1-B146-4372-AB97-935E4DFD1B40}"/>
    <cellStyle name="Header2 2 28 2" xfId="12191" xr:uid="{3A9B8DAC-2B7A-4315-B2B7-A1E5456D95C4}"/>
    <cellStyle name="Header2 2 28 2 2" xfId="20333" xr:uid="{2457EB9E-4DF9-40E9-A5A6-9A177EAC8465}"/>
    <cellStyle name="Header2 2 28 2 3" xfId="20334" xr:uid="{8D7F23FF-F8DA-4211-A9F5-899BC6DE7A17}"/>
    <cellStyle name="Header2 2 28 2 4" xfId="20335" xr:uid="{09ECF041-589F-4A8F-A37E-9969EC341D48}"/>
    <cellStyle name="Header2 2 28 2 5" xfId="20336" xr:uid="{DD0B5249-65D9-4F58-A228-0011464D5BA0}"/>
    <cellStyle name="Header2 2 28 2 6" xfId="20337" xr:uid="{8D658137-44F3-4B3A-8F11-81FB2BFF02F0}"/>
    <cellStyle name="Header2 2 28 3" xfId="20338" xr:uid="{F7366FD2-BDAC-4005-B584-BC8C46303E08}"/>
    <cellStyle name="Header2 2 28 4" xfId="20339" xr:uid="{E5299EB2-A1CA-4591-8F15-D01B5AF8F884}"/>
    <cellStyle name="Header2 2 28 5" xfId="20340" xr:uid="{38B90EA4-BC0F-4B4E-93A6-A7EAC5CDF95F}"/>
    <cellStyle name="Header2 2 28 6" xfId="20341" xr:uid="{F2D46458-4177-4E7C-A0BF-5B781DB7745A}"/>
    <cellStyle name="Header2 2 28 7" xfId="20342" xr:uid="{8F240F22-DB3E-43FD-B48A-2C5BEA0B83A7}"/>
    <cellStyle name="Header2 2 29" xfId="902" xr:uid="{6ED1B633-B9FA-4D14-8C5F-9B96B2A1C785}"/>
    <cellStyle name="Header2 2 29 2" xfId="12271" xr:uid="{376F12EE-561E-48E1-8C11-2349D74D315A}"/>
    <cellStyle name="Header2 2 29 2 2" xfId="20343" xr:uid="{CDEE10DA-195B-40BE-BFB0-688D81AD0CB2}"/>
    <cellStyle name="Header2 2 29 2 3" xfId="20344" xr:uid="{937354DC-EE91-43CD-B705-3019054A21E9}"/>
    <cellStyle name="Header2 2 29 2 4" xfId="20345" xr:uid="{14FAF010-7A27-41BF-BEFB-6C0A8CA48673}"/>
    <cellStyle name="Header2 2 29 2 5" xfId="20346" xr:uid="{D4B181B7-C2A4-4BE5-9968-22DC469F82A1}"/>
    <cellStyle name="Header2 2 29 2 6" xfId="20347" xr:uid="{6B4F8F09-F3F9-4BED-9B5A-8D1910F05E39}"/>
    <cellStyle name="Header2 2 29 3" xfId="20348" xr:uid="{656798B5-53BB-44BF-B070-0C4F436F230F}"/>
    <cellStyle name="Header2 2 29 4" xfId="20349" xr:uid="{D9D08228-2150-4715-A80C-9F991D11859B}"/>
    <cellStyle name="Header2 2 29 5" xfId="20350" xr:uid="{E775BDC2-AB5B-411E-B0C8-29B57ABB3EBD}"/>
    <cellStyle name="Header2 2 29 6" xfId="20351" xr:uid="{C5469BB3-5A09-44BD-8DDC-CDE8045FB82F}"/>
    <cellStyle name="Header2 2 29 7" xfId="20352" xr:uid="{61C9E5DE-08DE-436B-B3BD-D3C117E6F55E}"/>
    <cellStyle name="Header2 2 3" xfId="903" xr:uid="{398C6EDC-F872-44BB-A6A0-367AF056F258}"/>
    <cellStyle name="Header2 2 3 2" xfId="10028" xr:uid="{0860381F-A120-446C-8DBD-35DBA12A3E44}"/>
    <cellStyle name="Header2 2 3 2 2" xfId="20353" xr:uid="{A1A1CDDE-E5F5-4474-8DBA-89E3C7CEFF56}"/>
    <cellStyle name="Header2 2 3 2 3" xfId="20354" xr:uid="{8D6E3878-A865-427E-9B26-7748AF9ED8E5}"/>
    <cellStyle name="Header2 2 3 2 4" xfId="20355" xr:uid="{3F71F05A-4F81-4A35-9C06-9A6F567B7259}"/>
    <cellStyle name="Header2 2 3 2 5" xfId="20356" xr:uid="{F16814A2-2D3E-4A47-B18E-101159103056}"/>
    <cellStyle name="Header2 2 3 2 6" xfId="20357" xr:uid="{15F30FE3-A275-4EE7-B6CB-FF7A8E858F24}"/>
    <cellStyle name="Header2 2 3 3" xfId="20358" xr:uid="{0726649D-D97F-44B5-B01D-67F9A4F95152}"/>
    <cellStyle name="Header2 2 3 4" xfId="20359" xr:uid="{01AE322F-1142-4E44-96C5-96356E556111}"/>
    <cellStyle name="Header2 2 3 5" xfId="20360" xr:uid="{31A56BFE-A3F9-4D0C-8447-A20C98FA543E}"/>
    <cellStyle name="Header2 2 3 6" xfId="20361" xr:uid="{E3A7B62C-9DAF-401B-BF2E-309ABBC087FF}"/>
    <cellStyle name="Header2 2 3 7" xfId="20362" xr:uid="{DB7C6CA2-F4F5-4D38-83A9-E0FB481C79B5}"/>
    <cellStyle name="Header2 2 30" xfId="904" xr:uid="{2CB3D5AE-B623-4A9D-8DC5-0D77926B742C}"/>
    <cellStyle name="Header2 2 30 2" xfId="12349" xr:uid="{4ACEDBB9-68FD-4CAE-A55F-7A06311A6089}"/>
    <cellStyle name="Header2 2 30 2 2" xfId="20363" xr:uid="{BD412EB2-3443-4B41-9CE2-547C33D8AD22}"/>
    <cellStyle name="Header2 2 30 2 3" xfId="20364" xr:uid="{6B00F94B-02B7-49B7-B645-25709C6023D5}"/>
    <cellStyle name="Header2 2 30 2 4" xfId="20365" xr:uid="{DFC2892B-2603-42B1-8CFA-6A4E0064B166}"/>
    <cellStyle name="Header2 2 30 2 5" xfId="20366" xr:uid="{C005B682-4C86-41D3-9CCE-21EBF0EF05C5}"/>
    <cellStyle name="Header2 2 30 2 6" xfId="20367" xr:uid="{94213FAC-8D64-4CE4-927F-B59AEFFEA035}"/>
    <cellStyle name="Header2 2 30 3" xfId="20368" xr:uid="{8E6F283C-0F3B-4444-B622-7C323FAF31BB}"/>
    <cellStyle name="Header2 2 30 4" xfId="20369" xr:uid="{9736C8C7-E915-4049-9A2B-4DA31684CD5D}"/>
    <cellStyle name="Header2 2 30 5" xfId="20370" xr:uid="{C6EF50C3-012C-4789-BCD1-7BDBE07928CE}"/>
    <cellStyle name="Header2 2 30 6" xfId="20371" xr:uid="{77A0291E-F02D-44FE-A965-651C3EE9933F}"/>
    <cellStyle name="Header2 2 30 7" xfId="20372" xr:uid="{73677CD6-DE79-499E-B01B-34B0CD033AC4}"/>
    <cellStyle name="Header2 2 31" xfId="905" xr:uid="{5BDA4C01-0290-4F38-A9A1-65007C1D06C0}"/>
    <cellStyle name="Header2 2 31 2" xfId="12428" xr:uid="{47EB10BA-6364-427E-B3E0-B0F6C3666A6D}"/>
    <cellStyle name="Header2 2 31 2 2" xfId="20373" xr:uid="{FC942BE9-0C95-4649-A150-C06ED96F042C}"/>
    <cellStyle name="Header2 2 31 2 3" xfId="20374" xr:uid="{EF524A07-A713-4665-A3D0-378466B05BBC}"/>
    <cellStyle name="Header2 2 31 2 4" xfId="20375" xr:uid="{F40C5701-C799-4775-AFB1-9E84BAF77B09}"/>
    <cellStyle name="Header2 2 31 2 5" xfId="20376" xr:uid="{7247E59D-B8E1-4FCF-B015-C967A782C055}"/>
    <cellStyle name="Header2 2 31 2 6" xfId="20377" xr:uid="{EC904A62-18A8-44FC-B398-FFE4EE90341C}"/>
    <cellStyle name="Header2 2 31 3" xfId="20378" xr:uid="{1392D978-D8F9-4277-9C85-17B7BB792F5F}"/>
    <cellStyle name="Header2 2 31 4" xfId="20379" xr:uid="{0FD1AEC4-5DDC-47B9-8644-A7F15C79A0BC}"/>
    <cellStyle name="Header2 2 31 5" xfId="20380" xr:uid="{0CA84B1A-8451-4BB6-A7A2-BD51E752BE76}"/>
    <cellStyle name="Header2 2 31 6" xfId="20381" xr:uid="{9BDFA277-A053-4936-BDB9-0FAA4B9318E1}"/>
    <cellStyle name="Header2 2 31 7" xfId="20382" xr:uid="{B77D1FE7-18BA-4F7A-AF08-6BFE3F4D596D}"/>
    <cellStyle name="Header2 2 32" xfId="906" xr:uid="{72520765-B629-4380-B404-F73CB402F08D}"/>
    <cellStyle name="Header2 2 32 2" xfId="12507" xr:uid="{5F1135BF-AD18-4419-A7F1-B0CA2874FECE}"/>
    <cellStyle name="Header2 2 32 2 2" xfId="20383" xr:uid="{F8EFA17D-2879-4F79-8DCC-C74F46776299}"/>
    <cellStyle name="Header2 2 32 2 3" xfId="20384" xr:uid="{7E64F83C-2D3D-46A7-AF31-E121D585EADB}"/>
    <cellStyle name="Header2 2 32 2 4" xfId="20385" xr:uid="{5BC56557-838D-4CC2-BDE2-A5F598C4E350}"/>
    <cellStyle name="Header2 2 32 2 5" xfId="20386" xr:uid="{5F1D8960-08C6-4347-BDF8-B7547968B14E}"/>
    <cellStyle name="Header2 2 32 2 6" xfId="20387" xr:uid="{E23D9DFC-C638-46EF-9DD9-25E056111080}"/>
    <cellStyle name="Header2 2 32 3" xfId="20388" xr:uid="{637D0CC3-C105-490F-948B-E993907C5161}"/>
    <cellStyle name="Header2 2 32 4" xfId="20389" xr:uid="{0F7BFE77-BCE2-43DD-9BDC-5DE359F0E8D7}"/>
    <cellStyle name="Header2 2 32 5" xfId="20390" xr:uid="{9F0CB639-93CC-40F8-A40A-F06EF238241A}"/>
    <cellStyle name="Header2 2 32 6" xfId="20391" xr:uid="{6F7D1B20-8CCB-4601-A4EB-BE1C1776C2F4}"/>
    <cellStyle name="Header2 2 32 7" xfId="20392" xr:uid="{6C8823BC-F7DC-44A2-8E84-A5C6854A852A}"/>
    <cellStyle name="Header2 2 33" xfId="907" xr:uid="{BFC42641-6866-4F48-9343-00366D204EA7}"/>
    <cellStyle name="Header2 2 33 2" xfId="12586" xr:uid="{EF6BD812-F4C8-4D47-A924-FECA7F5CC91F}"/>
    <cellStyle name="Header2 2 33 2 2" xfId="20393" xr:uid="{7244052E-C27F-4A35-8516-0177672EF7B0}"/>
    <cellStyle name="Header2 2 33 2 3" xfId="20394" xr:uid="{8A94D521-46D4-4133-8022-B5E7459AF895}"/>
    <cellStyle name="Header2 2 33 2 4" xfId="20395" xr:uid="{CBF79EF6-BD37-47F0-A24C-C7AC214391C7}"/>
    <cellStyle name="Header2 2 33 2 5" xfId="20396" xr:uid="{F0CA2DC7-C489-4DA3-94EF-5CC287A4394E}"/>
    <cellStyle name="Header2 2 33 2 6" xfId="20397" xr:uid="{CF072C4E-F1FE-4F3B-8248-8BAE659E55E0}"/>
    <cellStyle name="Header2 2 33 3" xfId="20398" xr:uid="{16AE411A-094B-4B6D-9646-B05E68142032}"/>
    <cellStyle name="Header2 2 33 4" xfId="20399" xr:uid="{72A5B713-2985-4B6B-B4FA-F58C57694C29}"/>
    <cellStyle name="Header2 2 33 5" xfId="20400" xr:uid="{81A8774F-F81C-4875-B935-70BA0EEA1176}"/>
    <cellStyle name="Header2 2 33 6" xfId="20401" xr:uid="{ECE3F68A-6034-49E0-A0A5-3EE7BC62D911}"/>
    <cellStyle name="Header2 2 33 7" xfId="20402" xr:uid="{10071ADD-63F3-4A63-A2B2-8E3F190ACAC3}"/>
    <cellStyle name="Header2 2 34" xfId="908" xr:uid="{2F4D3879-60EF-4998-BC76-965EED8E2AC9}"/>
    <cellStyle name="Header2 2 34 2" xfId="12665" xr:uid="{E66724CB-90BB-4CF4-A0EF-D237F730AE4A}"/>
    <cellStyle name="Header2 2 34 2 2" xfId="20403" xr:uid="{F8BB094C-DC52-4501-A1D5-400D9588512C}"/>
    <cellStyle name="Header2 2 34 2 3" xfId="20404" xr:uid="{FF5877F1-072A-4B3D-987F-126C66E48C85}"/>
    <cellStyle name="Header2 2 34 2 4" xfId="20405" xr:uid="{B408CAEF-EE20-433E-9E65-5ADD2C85704E}"/>
    <cellStyle name="Header2 2 34 2 5" xfId="20406" xr:uid="{A49745E3-3844-4AA5-BC2E-01D4967CC8E4}"/>
    <cellStyle name="Header2 2 34 2 6" xfId="20407" xr:uid="{EF4465E5-090A-4C14-867A-DEFCCF65FC70}"/>
    <cellStyle name="Header2 2 34 3" xfId="20408" xr:uid="{71368204-B0AC-4B9C-BD05-A7ABC402A628}"/>
    <cellStyle name="Header2 2 34 4" xfId="20409" xr:uid="{3720317E-5BCC-43CD-96B2-297831DFA88E}"/>
    <cellStyle name="Header2 2 34 5" xfId="20410" xr:uid="{064662F1-4364-4E0B-9A6D-5F32D2EDC7D2}"/>
    <cellStyle name="Header2 2 34 6" xfId="20411" xr:uid="{FD906ADC-EA3B-4813-9565-56480EC3220B}"/>
    <cellStyle name="Header2 2 34 7" xfId="20412" xr:uid="{8FFFB753-D85F-4C79-A6E8-4D3DDC84DB16}"/>
    <cellStyle name="Header2 2 35" xfId="909" xr:uid="{F3B96820-1FCC-495F-B312-4087E71BC7A5}"/>
    <cellStyle name="Header2 2 35 2" xfId="12749" xr:uid="{2E16E9C3-D66E-4248-9FEF-F6D7EDFEA226}"/>
    <cellStyle name="Header2 2 35 2 2" xfId="20413" xr:uid="{C8A4C1C1-D0D3-489F-91B9-0E146CE2BCF9}"/>
    <cellStyle name="Header2 2 35 2 3" xfId="20414" xr:uid="{DD60AB4D-890D-41E0-B16C-E540238882E2}"/>
    <cellStyle name="Header2 2 35 2 4" xfId="20415" xr:uid="{1751BD92-1078-4FE7-BB22-A533BD1790A4}"/>
    <cellStyle name="Header2 2 35 2 5" xfId="20416" xr:uid="{2EFE7EE0-400D-4BF2-8FF3-096CCEB4BBB1}"/>
    <cellStyle name="Header2 2 35 2 6" xfId="20417" xr:uid="{21F5876A-6325-4A1A-9A8F-45F0822694AA}"/>
    <cellStyle name="Header2 2 35 3" xfId="20418" xr:uid="{5A034AA7-2DDF-4B55-BF22-CBDC9B0E748B}"/>
    <cellStyle name="Header2 2 35 4" xfId="20419" xr:uid="{D5E6F594-12BF-4643-8DDE-6A4D8E97B422}"/>
    <cellStyle name="Header2 2 35 5" xfId="20420" xr:uid="{1D8E0B42-8C44-4AB8-9E0C-A463E2E0802C}"/>
    <cellStyle name="Header2 2 35 6" xfId="20421" xr:uid="{EFD48C42-C7FE-4A14-A95C-E1E779DECBA7}"/>
    <cellStyle name="Header2 2 35 7" xfId="20422" xr:uid="{51FC18D2-B775-417A-A38C-D3FB58C9BD95}"/>
    <cellStyle name="Header2 2 36" xfId="9815" xr:uid="{E0296A46-09DF-45DC-A0AC-5D36F0F7744C}"/>
    <cellStyle name="Header2 2 36 2" xfId="20423" xr:uid="{13C2CC8A-DFD8-4CE8-AA36-70F350AE5717}"/>
    <cellStyle name="Header2 2 36 3" xfId="20424" xr:uid="{22B930F6-99D4-4B2E-B8B3-B3476F89FF0C}"/>
    <cellStyle name="Header2 2 36 4" xfId="20425" xr:uid="{ADF13276-5BA4-4AB8-99EF-27DBDD14BA58}"/>
    <cellStyle name="Header2 2 36 5" xfId="20426" xr:uid="{2D45B166-04A0-4918-AD10-2A4658FB6CB1}"/>
    <cellStyle name="Header2 2 36 6" xfId="20427" xr:uid="{E2158771-BCF1-45C7-9584-D1C9D0D583CE}"/>
    <cellStyle name="Header2 2 37" xfId="20428" xr:uid="{53568756-0381-4E64-B4FC-0AF13B8CEC9D}"/>
    <cellStyle name="Header2 2 38" xfId="20429" xr:uid="{2E6AE10A-EBCE-43BF-ACB8-3DD1B99EBCFE}"/>
    <cellStyle name="Header2 2 39" xfId="20430" xr:uid="{6C1FCCDE-49C0-426B-838D-55FEB26722F2}"/>
    <cellStyle name="Header2 2 4" xfId="910" xr:uid="{F657DCB0-8C63-4B18-A8A9-5E7DFDF8770D}"/>
    <cellStyle name="Header2 2 4 2" xfId="10119" xr:uid="{C2811699-E114-4586-98C3-12743B095CDF}"/>
    <cellStyle name="Header2 2 4 2 2" xfId="20431" xr:uid="{4C261078-46C1-4351-8E7D-C5CA823C8616}"/>
    <cellStyle name="Header2 2 4 2 3" xfId="20432" xr:uid="{B07CE2D8-46F9-488F-8C14-3ACAD28471BC}"/>
    <cellStyle name="Header2 2 4 2 4" xfId="20433" xr:uid="{CFA85A00-FE81-4160-A272-CE0E6228B1C1}"/>
    <cellStyle name="Header2 2 4 2 5" xfId="20434" xr:uid="{73FB7546-0C09-47FD-806C-E06B8EFCCF32}"/>
    <cellStyle name="Header2 2 4 2 6" xfId="20435" xr:uid="{D2074046-737E-4DCC-A3D8-D91F633D21EA}"/>
    <cellStyle name="Header2 2 4 3" xfId="20436" xr:uid="{3BCAF469-8EA1-4CD1-A80F-ABB74ED6A0BE}"/>
    <cellStyle name="Header2 2 4 4" xfId="20437" xr:uid="{036419C7-854D-41C1-A651-5CE780912C87}"/>
    <cellStyle name="Header2 2 4 5" xfId="20438" xr:uid="{1DDB2E17-CCA5-4338-AA02-D82CAD96FB29}"/>
    <cellStyle name="Header2 2 4 6" xfId="20439" xr:uid="{777C20DB-34C9-4636-9C66-E5D91C4383C5}"/>
    <cellStyle name="Header2 2 4 7" xfId="20440" xr:uid="{BEAD7B9A-8A04-44CD-861B-4A4C095A087C}"/>
    <cellStyle name="Header2 2 40" xfId="20441" xr:uid="{2BD1F3A4-03D0-4CEC-BC4A-8B3208C59CE2}"/>
    <cellStyle name="Header2 2 41" xfId="20442" xr:uid="{0826B44C-C8C8-4541-8C7F-C3F22B0C8FBD}"/>
    <cellStyle name="Header2 2 5" xfId="911" xr:uid="{92FF1893-E80F-46CF-85CE-51569962CEE9}"/>
    <cellStyle name="Header2 2 5 2" xfId="10209" xr:uid="{3656E175-8C6F-4C1F-9FB3-43CBD60D113A}"/>
    <cellStyle name="Header2 2 5 2 2" xfId="20443" xr:uid="{DBEC178D-C936-4E43-B0E7-2BBCB626380F}"/>
    <cellStyle name="Header2 2 5 2 3" xfId="20444" xr:uid="{1B36C267-E60E-4E46-8918-F1D79FC3400C}"/>
    <cellStyle name="Header2 2 5 2 4" xfId="20445" xr:uid="{279AD422-324C-4D52-96AF-F183E3840F61}"/>
    <cellStyle name="Header2 2 5 2 5" xfId="20446" xr:uid="{275F3ACC-91F4-4BC7-92FE-EB8D2AE98099}"/>
    <cellStyle name="Header2 2 5 2 6" xfId="20447" xr:uid="{C697DE9E-BFA9-4023-BBE0-657D8E066D67}"/>
    <cellStyle name="Header2 2 5 3" xfId="20448" xr:uid="{849CCD4D-C8AA-4716-90C1-04175AB3CDCA}"/>
    <cellStyle name="Header2 2 5 4" xfId="20449" xr:uid="{DC50E11D-7BFE-41C2-85A1-4AB2BFC391A2}"/>
    <cellStyle name="Header2 2 5 5" xfId="20450" xr:uid="{FFA4A822-0C40-41BA-B669-73FD6DAE2FC2}"/>
    <cellStyle name="Header2 2 5 6" xfId="20451" xr:uid="{343EFCB5-451C-49B9-B16C-7B175AA64391}"/>
    <cellStyle name="Header2 2 5 7" xfId="20452" xr:uid="{83AF406C-1D3E-4F0D-8331-FACECD450131}"/>
    <cellStyle name="Header2 2 6" xfId="912" xr:uid="{FD137836-0678-4F52-BBCB-FC5EE1157000}"/>
    <cellStyle name="Header2 2 6 2" xfId="10295" xr:uid="{DEFEFF56-53EF-4FF7-B584-10F0A32E3C1D}"/>
    <cellStyle name="Header2 2 6 2 2" xfId="20453" xr:uid="{1BE646EF-85ED-4C9D-968E-B14D9F2051BD}"/>
    <cellStyle name="Header2 2 6 2 3" xfId="20454" xr:uid="{A6B9E211-7718-4651-8CEC-8320D2E16705}"/>
    <cellStyle name="Header2 2 6 2 4" xfId="20455" xr:uid="{1EBC5381-1A11-40D2-883D-77766BAA920F}"/>
    <cellStyle name="Header2 2 6 2 5" xfId="20456" xr:uid="{893B8C36-B225-4570-A934-59F8B60BB00F}"/>
    <cellStyle name="Header2 2 6 2 6" xfId="20457" xr:uid="{B1A80A35-2E11-4C52-ACE3-CCC8F82A17D3}"/>
    <cellStyle name="Header2 2 6 3" xfId="20458" xr:uid="{28E66025-9277-4319-970C-2279074C93DD}"/>
    <cellStyle name="Header2 2 6 4" xfId="20459" xr:uid="{0A5DC055-BE51-425E-AFA2-B9B5A6D67697}"/>
    <cellStyle name="Header2 2 6 5" xfId="20460" xr:uid="{12B118D6-ECDD-4248-B408-8E225322CAD5}"/>
    <cellStyle name="Header2 2 6 6" xfId="20461" xr:uid="{5982D964-1351-4265-B9F9-DB9C7155DF14}"/>
    <cellStyle name="Header2 2 6 7" xfId="20462" xr:uid="{488DE87C-ABD9-4FCD-BF5E-89638B2F7C56}"/>
    <cellStyle name="Header2 2 7" xfId="913" xr:uid="{0A00090B-3E5D-4D1D-972B-044AFC8A5630}"/>
    <cellStyle name="Header2 2 7 2" xfId="10383" xr:uid="{393F936E-1B9E-4D52-A96F-2A5A99A94E53}"/>
    <cellStyle name="Header2 2 7 2 2" xfId="20463" xr:uid="{15D67872-7775-4AC5-851F-3EB94A08EE32}"/>
    <cellStyle name="Header2 2 7 2 3" xfId="20464" xr:uid="{61C1C875-E9FC-44F2-86AD-A7E9F146C131}"/>
    <cellStyle name="Header2 2 7 2 4" xfId="20465" xr:uid="{370FD257-AB9F-42DD-AA55-07E4402E5F84}"/>
    <cellStyle name="Header2 2 7 2 5" xfId="20466" xr:uid="{65FE18DE-5163-473F-9E55-82580D6FE992}"/>
    <cellStyle name="Header2 2 7 2 6" xfId="20467" xr:uid="{B4FD492A-6F7C-42D3-815D-376893766F33}"/>
    <cellStyle name="Header2 2 7 3" xfId="20468" xr:uid="{49AD8450-577F-4EAC-8DD2-00CC5350E5EC}"/>
    <cellStyle name="Header2 2 7 4" xfId="20469" xr:uid="{AEFCF403-ED70-4762-929A-B56FD4A5D5EE}"/>
    <cellStyle name="Header2 2 7 5" xfId="20470" xr:uid="{07039A95-366D-4131-8759-25777143ED97}"/>
    <cellStyle name="Header2 2 7 6" xfId="20471" xr:uid="{9BEBE5DC-3678-4BFD-ACC5-83C2230E92B9}"/>
    <cellStyle name="Header2 2 7 7" xfId="20472" xr:uid="{1E2EA91E-4DAC-4F0F-BA2D-8AED8B8D3EC2}"/>
    <cellStyle name="Header2 2 8" xfId="914" xr:uid="{969327C8-41DC-4E04-8715-67DB8194D298}"/>
    <cellStyle name="Header2 2 8 2" xfId="10470" xr:uid="{5B85500C-84B7-462E-91AB-A91D7C17D8BB}"/>
    <cellStyle name="Header2 2 8 2 2" xfId="20473" xr:uid="{38CE13FB-27CA-49F9-9880-A26AB451C3DF}"/>
    <cellStyle name="Header2 2 8 2 3" xfId="20474" xr:uid="{F24F0AD7-7067-49BF-BEB0-04F825827E6B}"/>
    <cellStyle name="Header2 2 8 2 4" xfId="20475" xr:uid="{0A95E23F-6608-4FCC-9328-CF09FFFAE959}"/>
    <cellStyle name="Header2 2 8 2 5" xfId="20476" xr:uid="{903D28DD-0D0D-449D-AA93-2E6D9CC3A868}"/>
    <cellStyle name="Header2 2 8 2 6" xfId="20477" xr:uid="{69D3FCE2-F077-40DF-AB7C-84784CC83AEA}"/>
    <cellStyle name="Header2 2 8 3" xfId="20478" xr:uid="{FC9FBA5B-B527-4A08-B2B3-BBE418E38573}"/>
    <cellStyle name="Header2 2 8 4" xfId="20479" xr:uid="{1CFE6945-92F3-4F38-A4A5-33AC0A048D5D}"/>
    <cellStyle name="Header2 2 8 5" xfId="20480" xr:uid="{A2D67658-BCB9-467B-B9C0-658D1735BC9C}"/>
    <cellStyle name="Header2 2 8 6" xfId="20481" xr:uid="{AD0AED3F-5EA4-4AB5-A00A-84F7EED2CA1B}"/>
    <cellStyle name="Header2 2 8 7" xfId="20482" xr:uid="{9C1DA2A1-9F53-4DF6-9C85-E042A698BDC6}"/>
    <cellStyle name="Header2 2 9" xfId="915" xr:uid="{CCEE0E42-DFBE-427C-B738-C29DC94EBC2F}"/>
    <cellStyle name="Header2 2 9 2" xfId="10558" xr:uid="{095C11F4-14CE-40D9-A94C-F09AC353AACA}"/>
    <cellStyle name="Header2 2 9 2 2" xfId="20483" xr:uid="{6F590F66-AC98-49BC-9B73-A7BAE53E913A}"/>
    <cellStyle name="Header2 2 9 2 3" xfId="20484" xr:uid="{B3D5CF1A-75FB-4966-B6B9-26B7C7BCBA73}"/>
    <cellStyle name="Header2 2 9 2 4" xfId="20485" xr:uid="{7DCD3CDA-7F10-4E96-BCB4-100E81761BDB}"/>
    <cellStyle name="Header2 2 9 2 5" xfId="20486" xr:uid="{71CD3727-D4AC-4DAE-91F1-86715A177C9E}"/>
    <cellStyle name="Header2 2 9 2 6" xfId="20487" xr:uid="{F2B22041-8366-451F-AF31-0A88ADF37105}"/>
    <cellStyle name="Header2 2 9 3" xfId="20488" xr:uid="{8FB49BA3-22B4-484D-B393-5E01FFF3951C}"/>
    <cellStyle name="Header2 2 9 4" xfId="20489" xr:uid="{9F0A5E41-1B1B-45FE-9213-23F79050B448}"/>
    <cellStyle name="Header2 2 9 5" xfId="20490" xr:uid="{C11B9C4E-B52E-4CF9-B1B3-0668B8B6C768}"/>
    <cellStyle name="Header2 2 9 6" xfId="20491" xr:uid="{2635E55E-F1A0-43EA-A577-9AB582821A98}"/>
    <cellStyle name="Header2 2 9 7" xfId="20492" xr:uid="{4D031828-1181-4B02-BF7D-8A00E4BF04FB}"/>
    <cellStyle name="Header2 20" xfId="916" xr:uid="{251EBDE8-F206-4F51-910C-4AD346475FF9}"/>
    <cellStyle name="Header2 20 2" xfId="9945" xr:uid="{44C9C6EB-5452-46FF-BC07-77C37D6B5A9F}"/>
    <cellStyle name="Header2 20 2 2" xfId="20493" xr:uid="{51CA373B-69D1-4284-9606-9400EA4CCB13}"/>
    <cellStyle name="Header2 20 2 3" xfId="20494" xr:uid="{50D8EEBD-5D5F-48C2-896F-167D78D942BD}"/>
    <cellStyle name="Header2 20 2 4" xfId="20495" xr:uid="{15434742-A8B2-4595-BD9A-7958020D9DCC}"/>
    <cellStyle name="Header2 20 2 5" xfId="20496" xr:uid="{A02ECC01-68DB-47DC-AC32-693C4FFC3597}"/>
    <cellStyle name="Header2 20 2 6" xfId="20497" xr:uid="{98A0ACF9-1B51-4850-82F9-80F9258AB6F6}"/>
    <cellStyle name="Header2 20 3" xfId="20498" xr:uid="{978E2B50-9AA4-44DE-B160-F58322C6E59A}"/>
    <cellStyle name="Header2 20 4" xfId="20499" xr:uid="{CE400635-0F94-44C6-82CC-D4F62940341E}"/>
    <cellStyle name="Header2 20 5" xfId="20500" xr:uid="{C5403C2E-19C4-4F5F-838D-CAD8ECD1CF9E}"/>
    <cellStyle name="Header2 20 6" xfId="20501" xr:uid="{494D7B4A-34FF-48CF-BF32-199CAF07B3F0}"/>
    <cellStyle name="Header2 20 7" xfId="20502" xr:uid="{C76A5032-60E8-44E4-B0DF-9CA41E3E3B12}"/>
    <cellStyle name="Header2 21" xfId="917" xr:uid="{E3C84D4D-0D7A-4CF4-88B1-EB73F67B11CD}"/>
    <cellStyle name="Header2 21 2" xfId="9867" xr:uid="{97F5AC0D-34DD-4F49-9A0E-75F159E8B1AF}"/>
    <cellStyle name="Header2 21 2 2" xfId="20503" xr:uid="{77D463C0-86AD-4F5B-8370-3F8CB1328BDC}"/>
    <cellStyle name="Header2 21 2 3" xfId="20504" xr:uid="{ADF02A27-4F3A-44EA-A2AB-8B6B7139F060}"/>
    <cellStyle name="Header2 21 2 4" xfId="20505" xr:uid="{F5FEDC5B-37BE-4736-B971-E6F4150F65D1}"/>
    <cellStyle name="Header2 21 2 5" xfId="20506" xr:uid="{71038150-5C7D-4DF0-B774-43225866DF5D}"/>
    <cellStyle name="Header2 21 2 6" xfId="20507" xr:uid="{CD03AE9A-E810-44FF-9980-60E698F52436}"/>
    <cellStyle name="Header2 21 3" xfId="20508" xr:uid="{E979DD3D-2692-4751-A364-B7771EAB03B5}"/>
    <cellStyle name="Header2 21 4" xfId="20509" xr:uid="{04F4AAC2-69E4-42A6-AF7E-2243D65D5586}"/>
    <cellStyle name="Header2 21 5" xfId="20510" xr:uid="{7B93601A-8DFD-451E-948B-6436729949FA}"/>
    <cellStyle name="Header2 21 6" xfId="20511" xr:uid="{24FE6680-4947-4C02-A272-3BDE08B93CC2}"/>
    <cellStyle name="Header2 21 7" xfId="20512" xr:uid="{144E354C-E3EB-445C-8358-67028E948D37}"/>
    <cellStyle name="Header2 22" xfId="918" xr:uid="{14FE6F6E-7656-4330-A6A6-94215681CE81}"/>
    <cellStyle name="Header2 22 2" xfId="11151" xr:uid="{024A022E-0D84-495D-BECE-7B66CC92233C}"/>
    <cellStyle name="Header2 22 2 2" xfId="20513" xr:uid="{8364C860-D4F1-46EF-8312-3C20CE9EA86D}"/>
    <cellStyle name="Header2 22 2 3" xfId="20514" xr:uid="{9BC4815D-3F73-417E-B482-00FCFFDDA172}"/>
    <cellStyle name="Header2 22 2 4" xfId="20515" xr:uid="{C8B5761D-DF57-43CD-982D-09AAC580BA71}"/>
    <cellStyle name="Header2 22 2 5" xfId="20516" xr:uid="{82D60A62-EB58-4915-86F3-077ECB3F414C}"/>
    <cellStyle name="Header2 22 2 6" xfId="20517" xr:uid="{D02C0A64-1D55-46E1-8EBB-9851F9FFCCEA}"/>
    <cellStyle name="Header2 22 3" xfId="20518" xr:uid="{75C75C27-D565-430D-9DC2-D8870A644C04}"/>
    <cellStyle name="Header2 22 4" xfId="20519" xr:uid="{7D3837B6-FF7A-44ED-A776-0A1418E58109}"/>
    <cellStyle name="Header2 22 5" xfId="20520" xr:uid="{C7956380-10FB-46A9-993F-AA3491ED3FD5}"/>
    <cellStyle name="Header2 22 6" xfId="20521" xr:uid="{3804C427-21F1-41EF-9523-EE5CCB4E6C12}"/>
    <cellStyle name="Header2 22 7" xfId="20522" xr:uid="{9ADB6998-777C-410B-A151-A7A602DE5C2E}"/>
    <cellStyle name="Header2 23" xfId="919" xr:uid="{49A98DD0-967C-4386-B65F-D6C63A72E8C9}"/>
    <cellStyle name="Header2 23 2" xfId="11306" xr:uid="{91B3AA6A-2AC2-455A-AC58-08397282AE6A}"/>
    <cellStyle name="Header2 23 2 2" xfId="20523" xr:uid="{3B63C250-C693-41D9-B2DF-03FF295BD2AB}"/>
    <cellStyle name="Header2 23 2 3" xfId="20524" xr:uid="{1F6756BD-D80B-4BEB-A76F-FDE1CC1B2181}"/>
    <cellStyle name="Header2 23 2 4" xfId="20525" xr:uid="{C14D942F-DFB6-4A2C-B766-6926FFC4D81D}"/>
    <cellStyle name="Header2 23 2 5" xfId="20526" xr:uid="{4923ECAD-F0D8-4F52-8752-87FC33E6CC15}"/>
    <cellStyle name="Header2 23 2 6" xfId="20527" xr:uid="{A3B76056-D73E-4B14-8A5C-E4A015278F95}"/>
    <cellStyle name="Header2 23 3" xfId="20528" xr:uid="{E7857861-EDE8-4A0B-BEF1-06CF8D6D45DF}"/>
    <cellStyle name="Header2 23 4" xfId="20529" xr:uid="{3FD375DD-0717-47E3-9D18-5111CC7E7B30}"/>
    <cellStyle name="Header2 23 5" xfId="20530" xr:uid="{25049F28-442A-471F-B2C3-D123E34AC270}"/>
    <cellStyle name="Header2 23 6" xfId="20531" xr:uid="{E4E92540-640A-4418-BC4D-F7AC9847EA9A}"/>
    <cellStyle name="Header2 23 7" xfId="20532" xr:uid="{7F1EF561-764A-4ADD-8AF3-35740CCFA09C}"/>
    <cellStyle name="Header2 24" xfId="920" xr:uid="{B14FD5BD-3DEB-4AA2-8877-2A1BB5691BFA}"/>
    <cellStyle name="Header2 24 2" xfId="10074" xr:uid="{2CFDD8C2-6AE5-48E8-83C2-312373E42619}"/>
    <cellStyle name="Header2 24 2 2" xfId="20533" xr:uid="{66404E1F-39EC-4BF8-99F3-AFD792A492A9}"/>
    <cellStyle name="Header2 24 2 3" xfId="20534" xr:uid="{1092E914-9587-4730-870D-BEC6BAE41313}"/>
    <cellStyle name="Header2 24 2 4" xfId="20535" xr:uid="{26A644FC-755C-4F97-9FA1-2C066A9B7463}"/>
    <cellStyle name="Header2 24 2 5" xfId="20536" xr:uid="{A0DB93F1-6271-4882-9683-0841E8640CEA}"/>
    <cellStyle name="Header2 24 2 6" xfId="20537" xr:uid="{34B71E46-F8C2-4529-A9C4-732DF7B4E0BF}"/>
    <cellStyle name="Header2 24 3" xfId="20538" xr:uid="{FEED3BC8-28B1-4CCC-8DD3-EA5D156B0DCF}"/>
    <cellStyle name="Header2 24 4" xfId="20539" xr:uid="{877B6FDF-1615-4532-83F4-5ECBBB04ECBE}"/>
    <cellStyle name="Header2 24 5" xfId="20540" xr:uid="{E701718D-D337-4A51-B1FB-9BE0C4A1D4BC}"/>
    <cellStyle name="Header2 24 6" xfId="20541" xr:uid="{2814B7B5-3AF7-4A89-AD6D-4B49BB4D0988}"/>
    <cellStyle name="Header2 24 7" xfId="20542" xr:uid="{CA25F2A8-871E-48A7-8F27-325CCEEF5776}"/>
    <cellStyle name="Header2 25" xfId="921" xr:uid="{0A239E16-AE2A-403C-A6E6-AA95ABEA8F4C}"/>
    <cellStyle name="Header2 25 2" xfId="11430" xr:uid="{0E695161-B7DA-4341-9A31-AB9D5F92DDDA}"/>
    <cellStyle name="Header2 25 2 2" xfId="20543" xr:uid="{C6B03227-C726-406A-A418-A4A8B098A595}"/>
    <cellStyle name="Header2 25 2 3" xfId="20544" xr:uid="{4B105842-043F-4FD7-95B7-91811DAE877D}"/>
    <cellStyle name="Header2 25 2 4" xfId="20545" xr:uid="{2841C6B5-070D-4D85-86CD-9EAECBC6EFC1}"/>
    <cellStyle name="Header2 25 2 5" xfId="20546" xr:uid="{8B36859F-5BE1-4985-83B6-C4B863870838}"/>
    <cellStyle name="Header2 25 2 6" xfId="20547" xr:uid="{66F61B97-A3D4-42E2-8424-6E33B7AB18B8}"/>
    <cellStyle name="Header2 25 3" xfId="20548" xr:uid="{B55E9AE4-A83B-47E5-B0E1-498E4F05BC91}"/>
    <cellStyle name="Header2 25 4" xfId="20549" xr:uid="{37404CED-53FB-4631-9836-683AB0FC10E6}"/>
    <cellStyle name="Header2 25 5" xfId="20550" xr:uid="{20C44C25-F3D3-44CC-9088-63A2605CB3C5}"/>
    <cellStyle name="Header2 25 6" xfId="20551" xr:uid="{99151AFA-652B-45FC-880F-0D8C08F8E7FC}"/>
    <cellStyle name="Header2 25 7" xfId="20552" xr:uid="{C88F6923-FF70-441B-AAC0-69DB25002E85}"/>
    <cellStyle name="Header2 26" xfId="922" xr:uid="{EF414334-A5C7-4302-A1CF-1BD5224C65F9}"/>
    <cellStyle name="Header2 26 2" xfId="11517" xr:uid="{9762B586-5260-43B0-AC7B-7F9F4D2C242D}"/>
    <cellStyle name="Header2 26 2 2" xfId="20553" xr:uid="{C7988D93-96EA-40AA-B565-1831952719DB}"/>
    <cellStyle name="Header2 26 2 3" xfId="20554" xr:uid="{F96D6A6F-CFF8-46C4-AB0A-0D13C951D314}"/>
    <cellStyle name="Header2 26 2 4" xfId="20555" xr:uid="{02E0B211-9B9C-4DE0-B5B3-6EFFD9E8A8FA}"/>
    <cellStyle name="Header2 26 2 5" xfId="20556" xr:uid="{8D6A8F47-BD31-4D73-AB9D-A7EE721DEE0F}"/>
    <cellStyle name="Header2 26 2 6" xfId="20557" xr:uid="{E2DD67A9-AD78-4266-9C04-A2C5419F157E}"/>
    <cellStyle name="Header2 26 3" xfId="20558" xr:uid="{1849047B-873A-4F37-95E3-601154C0A8D6}"/>
    <cellStyle name="Header2 26 4" xfId="20559" xr:uid="{182C4F59-56B0-4EEF-B47D-F7DA864D768D}"/>
    <cellStyle name="Header2 26 5" xfId="20560" xr:uid="{04EF4101-0A31-43C0-AC47-9D79D21F03B1}"/>
    <cellStyle name="Header2 26 6" xfId="20561" xr:uid="{44B4F8AA-CBA1-404F-918D-2F9DF20C7A18}"/>
    <cellStyle name="Header2 26 7" xfId="20562" xr:uid="{FE07062A-9232-4AD2-9FDA-C6032CA5BE00}"/>
    <cellStyle name="Header2 27" xfId="923" xr:uid="{1B430C5C-9145-4751-8BE3-A2855FD06D8A}"/>
    <cellStyle name="Header2 27 2" xfId="11566" xr:uid="{165587F8-946C-45DE-995F-20B6E0307134}"/>
    <cellStyle name="Header2 27 2 2" xfId="20563" xr:uid="{E7047E8C-8A69-4705-B896-DD4A6AC28019}"/>
    <cellStyle name="Header2 27 2 3" xfId="20564" xr:uid="{10657D2A-8681-4797-998C-AF2DE297ECBE}"/>
    <cellStyle name="Header2 27 2 4" xfId="20565" xr:uid="{E3DEB497-D939-4783-A311-19F319CB8079}"/>
    <cellStyle name="Header2 27 2 5" xfId="20566" xr:uid="{FE8CE308-18B6-41EE-A59B-7F66F2F69721}"/>
    <cellStyle name="Header2 27 2 6" xfId="20567" xr:uid="{A838CD59-BAE8-4EBE-B790-EC788454B2D6}"/>
    <cellStyle name="Header2 27 3" xfId="20568" xr:uid="{D9D915B2-4810-478C-840C-3F378D09C929}"/>
    <cellStyle name="Header2 27 4" xfId="20569" xr:uid="{B97B2203-C4CD-46C0-8CB8-5A3494D17E53}"/>
    <cellStyle name="Header2 27 5" xfId="20570" xr:uid="{6D27FDA9-F0CD-4621-9941-00452B002982}"/>
    <cellStyle name="Header2 27 6" xfId="20571" xr:uid="{9DC03790-68A9-433E-AA60-17A130B4F5C0}"/>
    <cellStyle name="Header2 27 7" xfId="20572" xr:uid="{5499EC30-A926-4543-86AC-8A57E02EF682}"/>
    <cellStyle name="Header2 28" xfId="924" xr:uid="{B70D0F8E-2C6E-4A31-9E94-757FA8DA8C46}"/>
    <cellStyle name="Header2 28 2" xfId="11737" xr:uid="{55524ECE-BDFC-4BA4-A51A-0807CE30F669}"/>
    <cellStyle name="Header2 28 2 2" xfId="20573" xr:uid="{53F1D395-8338-4A47-ADB2-64BC68C6F2F9}"/>
    <cellStyle name="Header2 28 2 3" xfId="20574" xr:uid="{B05054C3-4921-4905-AA06-64725230997D}"/>
    <cellStyle name="Header2 28 2 4" xfId="20575" xr:uid="{C0D99DA9-9FFC-490C-9BCA-7D31BD82A4B8}"/>
    <cellStyle name="Header2 28 2 5" xfId="20576" xr:uid="{0717FD39-0F25-4DEE-B82E-0BC55E370B6C}"/>
    <cellStyle name="Header2 28 2 6" xfId="20577" xr:uid="{C70315A2-F71C-493D-9A94-0AD719B57FE7}"/>
    <cellStyle name="Header2 28 3" xfId="20578" xr:uid="{B2483CB0-E49F-4F42-8DD4-9DD67127ACA7}"/>
    <cellStyle name="Header2 28 4" xfId="20579" xr:uid="{31001179-85D4-44EA-9732-04984A3AA696}"/>
    <cellStyle name="Header2 28 5" xfId="20580" xr:uid="{B80FFD8B-BE4C-4366-AE57-2750333B388B}"/>
    <cellStyle name="Header2 28 6" xfId="20581" xr:uid="{84412B6C-324B-4CD9-A6F7-8F3C1D8FFCBB}"/>
    <cellStyle name="Header2 28 7" xfId="20582" xr:uid="{CC0F4B9A-F400-4B4C-87E2-B2848087AAEB}"/>
    <cellStyle name="Header2 29" xfId="925" xr:uid="{0032F345-E1CF-4EF0-86C1-DB032E6DEDAB}"/>
    <cellStyle name="Header2 29 2" xfId="11212" xr:uid="{91D50602-2F2C-4EA8-9659-8F0CFE549BC1}"/>
    <cellStyle name="Header2 29 2 2" xfId="20583" xr:uid="{3059C62F-C470-48F4-95D2-445EC747F0B7}"/>
    <cellStyle name="Header2 29 2 3" xfId="20584" xr:uid="{B5A2F8EE-EF81-4F4B-B21A-36305E35C149}"/>
    <cellStyle name="Header2 29 2 4" xfId="20585" xr:uid="{29F64F71-2256-4667-86C0-9CF7A41153D1}"/>
    <cellStyle name="Header2 29 2 5" xfId="20586" xr:uid="{ED002961-1D6B-47A0-BFAE-028A9F8D4E01}"/>
    <cellStyle name="Header2 29 2 6" xfId="20587" xr:uid="{37EDBD6C-988A-421C-B094-C6A4FC5A51A3}"/>
    <cellStyle name="Header2 29 3" xfId="20588" xr:uid="{7BCD6024-4588-455E-A1B4-C454FEE86154}"/>
    <cellStyle name="Header2 29 4" xfId="20589" xr:uid="{772F88B3-B44C-463E-A3C4-9F74440E9DFD}"/>
    <cellStyle name="Header2 29 5" xfId="20590" xr:uid="{717CAE78-A117-4B9C-87B3-441DB11384CA}"/>
    <cellStyle name="Header2 29 6" xfId="20591" xr:uid="{44372CBA-A0AB-402F-BC27-4FC9194800E0}"/>
    <cellStyle name="Header2 29 7" xfId="20592" xr:uid="{4672335F-7FD7-4AC9-8A55-D00B44EC7F6E}"/>
    <cellStyle name="Header2 3" xfId="926" xr:uid="{FFF39B0F-95C2-4517-A4B2-78034FF46BF6}"/>
    <cellStyle name="Header2 3 10" xfId="927" xr:uid="{0A8BD8F6-DA34-4B2F-8275-64D6640E38FD}"/>
    <cellStyle name="Header2 3 10 2" xfId="10624" xr:uid="{577EAF86-E4E7-4550-8F3D-446478B26CAC}"/>
    <cellStyle name="Header2 3 10 2 2" xfId="20593" xr:uid="{420AA769-3AB1-4485-A6DC-8233DE86AB37}"/>
    <cellStyle name="Header2 3 10 2 3" xfId="20594" xr:uid="{6F00914D-B548-47BA-86D4-C9577B91468C}"/>
    <cellStyle name="Header2 3 10 2 4" xfId="20595" xr:uid="{191B9954-202A-4E12-941D-C9C7BBEEA6B3}"/>
    <cellStyle name="Header2 3 10 2 5" xfId="20596" xr:uid="{48D96DA5-47AD-4628-ADC1-595321D4ACC7}"/>
    <cellStyle name="Header2 3 10 2 6" xfId="20597" xr:uid="{EED61E3C-7E88-4B9E-A725-9DEE5B1231BE}"/>
    <cellStyle name="Header2 3 10 3" xfId="20598" xr:uid="{500426A5-4302-4A5D-9289-FA1A29127B7F}"/>
    <cellStyle name="Header2 3 10 4" xfId="20599" xr:uid="{2F84C4C1-633C-4AA6-9930-172E9CACE4B0}"/>
    <cellStyle name="Header2 3 10 5" xfId="20600" xr:uid="{90FBE98A-FA07-42D6-B838-8CBAA574C4F2}"/>
    <cellStyle name="Header2 3 10 6" xfId="20601" xr:uid="{7149F3C3-D96F-4112-91BF-B0CFC42A8C9F}"/>
    <cellStyle name="Header2 3 10 7" xfId="20602" xr:uid="{F82D9BAF-F809-41EF-BFDD-0A30A8F2C721}"/>
    <cellStyle name="Header2 3 11" xfId="928" xr:uid="{8D4C3857-D2A2-452B-B159-743FEC5B387F}"/>
    <cellStyle name="Header2 3 11 2" xfId="10715" xr:uid="{72B5CAA2-87AA-453A-BA9E-344494BBC94E}"/>
    <cellStyle name="Header2 3 11 2 2" xfId="20603" xr:uid="{E4E44865-D444-4CE0-8AA9-2607072E5A65}"/>
    <cellStyle name="Header2 3 11 2 3" xfId="20604" xr:uid="{9A196B12-F4C8-4D7D-A864-E13369F99EDB}"/>
    <cellStyle name="Header2 3 11 2 4" xfId="20605" xr:uid="{08A17FD9-2D9B-40BD-93E9-9A468CAFE2D5}"/>
    <cellStyle name="Header2 3 11 2 5" xfId="20606" xr:uid="{AA3808AC-81D8-484F-A335-7EB6E1320A16}"/>
    <cellStyle name="Header2 3 11 2 6" xfId="20607" xr:uid="{586DADBD-EE83-4CE0-8103-494B9BC16F66}"/>
    <cellStyle name="Header2 3 11 3" xfId="20608" xr:uid="{589AE82A-C7AE-4ACC-91DC-2E0E24767754}"/>
    <cellStyle name="Header2 3 11 4" xfId="20609" xr:uid="{E19C6876-B835-4C9D-B210-F61436564C27}"/>
    <cellStyle name="Header2 3 11 5" xfId="20610" xr:uid="{22CE24FB-015A-4D99-B1D7-ECA18642C87F}"/>
    <cellStyle name="Header2 3 11 6" xfId="20611" xr:uid="{930C2489-B2C8-427C-9A9E-9BB3CE8D8FF4}"/>
    <cellStyle name="Header2 3 11 7" xfId="20612" xr:uid="{E6410ACD-EC14-4201-9397-F94B488C46D8}"/>
    <cellStyle name="Header2 3 12" xfId="929" xr:uid="{6572A684-B0ED-44DC-B134-A7EA4E5C63EB}"/>
    <cellStyle name="Header2 3 12 2" xfId="10803" xr:uid="{5D992DD6-4583-4BCE-B444-8FAD9781146B}"/>
    <cellStyle name="Header2 3 12 2 2" xfId="20613" xr:uid="{8D7F5F4E-C2B6-440A-BF9F-3A456290D9F1}"/>
    <cellStyle name="Header2 3 12 2 3" xfId="20614" xr:uid="{A1121D9A-9758-416B-AF03-4BC50CE358AE}"/>
    <cellStyle name="Header2 3 12 2 4" xfId="20615" xr:uid="{2C681FDA-BF72-4E54-A321-749EF0BDE105}"/>
    <cellStyle name="Header2 3 12 2 5" xfId="20616" xr:uid="{4CAA7E74-0EF7-4E9B-8B07-9073887E64EA}"/>
    <cellStyle name="Header2 3 12 2 6" xfId="20617" xr:uid="{7ECF5AE0-B9B5-4877-9A8B-A928A4E5EC99}"/>
    <cellStyle name="Header2 3 12 3" xfId="20618" xr:uid="{D1799679-731C-4048-96F4-37554BA48FA9}"/>
    <cellStyle name="Header2 3 12 4" xfId="20619" xr:uid="{47936481-959D-4733-9851-BECCDB32CFA5}"/>
    <cellStyle name="Header2 3 12 5" xfId="20620" xr:uid="{FEDF12DF-9682-4C04-98CC-4F453B9A96B9}"/>
    <cellStyle name="Header2 3 12 6" xfId="20621" xr:uid="{F08012E8-FF8E-4BB0-BCE0-A973BCE24F79}"/>
    <cellStyle name="Header2 3 12 7" xfId="20622" xr:uid="{F0E475E4-275A-44D9-A0C7-BD406BECC40B}"/>
    <cellStyle name="Header2 3 13" xfId="930" xr:uid="{AF2593D5-95E2-4DF2-9B2F-4777CFF96C9F}"/>
    <cellStyle name="Header2 3 13 2" xfId="10892" xr:uid="{706944EB-5D83-4E69-B6B6-6FF8EFE6902E}"/>
    <cellStyle name="Header2 3 13 2 2" xfId="20623" xr:uid="{83F2ADAE-9775-450F-88DF-8096193DCB59}"/>
    <cellStyle name="Header2 3 13 2 3" xfId="20624" xr:uid="{B6462E4F-5959-4D80-9B00-A4D7A43AA26A}"/>
    <cellStyle name="Header2 3 13 2 4" xfId="20625" xr:uid="{348D6D01-B904-4CA4-92F7-1D5A769A0B13}"/>
    <cellStyle name="Header2 3 13 2 5" xfId="20626" xr:uid="{BDFED675-0CEB-4DA0-8067-242702EF37AF}"/>
    <cellStyle name="Header2 3 13 2 6" xfId="20627" xr:uid="{DAA63F44-74C0-4484-97AB-DFA4EB81375D}"/>
    <cellStyle name="Header2 3 13 3" xfId="20628" xr:uid="{80F13D45-4FBD-4507-B2D0-98372D6C69F4}"/>
    <cellStyle name="Header2 3 13 4" xfId="20629" xr:uid="{C6A15CD1-244D-48D0-9883-38DACCE19670}"/>
    <cellStyle name="Header2 3 13 5" xfId="20630" xr:uid="{49B317F2-121E-4D10-83A9-F7C2373DD2F8}"/>
    <cellStyle name="Header2 3 13 6" xfId="20631" xr:uid="{5CE8736F-61FF-4156-BA95-7C12259CE13B}"/>
    <cellStyle name="Header2 3 13 7" xfId="20632" xr:uid="{C2758B7E-13FF-447F-AF26-21BD8633AE03}"/>
    <cellStyle name="Header2 3 14" xfId="931" xr:uid="{8AFD41C6-2EB3-45F8-827C-2A27261408C5}"/>
    <cellStyle name="Header2 3 14 2" xfId="10982" xr:uid="{A4AF4EC5-5A2F-42AD-B967-F8BD8610E40F}"/>
    <cellStyle name="Header2 3 14 2 2" xfId="20633" xr:uid="{00610BA3-CCDF-4DDB-80D8-BF8D3DF7AB05}"/>
    <cellStyle name="Header2 3 14 2 3" xfId="20634" xr:uid="{3AA8A46D-A1F4-4321-8F4A-A703CE3881E0}"/>
    <cellStyle name="Header2 3 14 2 4" xfId="20635" xr:uid="{1A1C4EF9-669E-47FE-9C37-7EF3C8541B17}"/>
    <cellStyle name="Header2 3 14 2 5" xfId="20636" xr:uid="{D1979319-D552-4058-B631-D7E16685AEAE}"/>
    <cellStyle name="Header2 3 14 2 6" xfId="20637" xr:uid="{0E6813C6-4441-4BF0-901B-2B11AEA56EBF}"/>
    <cellStyle name="Header2 3 14 3" xfId="20638" xr:uid="{8162E6F7-C785-47B5-9D25-9070BF67546E}"/>
    <cellStyle name="Header2 3 14 4" xfId="20639" xr:uid="{FC5D197F-1BBF-423A-B8E3-D8EE4E61B2F3}"/>
    <cellStyle name="Header2 3 14 5" xfId="20640" xr:uid="{ABAFA246-6355-46A7-9987-88C997C75098}"/>
    <cellStyle name="Header2 3 14 6" xfId="20641" xr:uid="{154C84A3-3715-4D60-AE60-D5D8AD7380B4}"/>
    <cellStyle name="Header2 3 14 7" xfId="20642" xr:uid="{08124692-D777-470C-9CE3-E4C4CC3D42DF}"/>
    <cellStyle name="Header2 3 15" xfId="932" xr:uid="{EAB98E26-965E-452A-9E97-A6B406DA1768}"/>
    <cellStyle name="Header2 3 15 2" xfId="11073" xr:uid="{676B3E14-10E5-4817-97F4-27F1F4FDAE64}"/>
    <cellStyle name="Header2 3 15 2 2" xfId="20643" xr:uid="{D0BB2D8F-8A9F-4BB6-80BA-BE7E42A494C1}"/>
    <cellStyle name="Header2 3 15 2 3" xfId="20644" xr:uid="{86E7956B-FFA6-44B0-9376-E120885D2756}"/>
    <cellStyle name="Header2 3 15 2 4" xfId="20645" xr:uid="{C629966A-CCA4-4540-9ED4-592F8BFFED6D}"/>
    <cellStyle name="Header2 3 15 2 5" xfId="20646" xr:uid="{BA061CF4-036B-474D-A5C4-58294F8551CA}"/>
    <cellStyle name="Header2 3 15 2 6" xfId="20647" xr:uid="{CF3B1CB1-CDE8-4B51-AF3D-AE3E43CC9283}"/>
    <cellStyle name="Header2 3 15 3" xfId="20648" xr:uid="{E1005909-97D9-4A31-A7ED-24CAE594B2FF}"/>
    <cellStyle name="Header2 3 15 4" xfId="20649" xr:uid="{6B54AAFA-CA2B-400B-8840-4D7082B418A3}"/>
    <cellStyle name="Header2 3 15 5" xfId="20650" xr:uid="{6B46E293-1824-4D84-B530-5D94DE0B1AB6}"/>
    <cellStyle name="Header2 3 15 6" xfId="20651" xr:uid="{948A16B8-DA54-4600-AF79-CD42A5FD2723}"/>
    <cellStyle name="Header2 3 15 7" xfId="20652" xr:uid="{4ABEA78E-7398-4BCB-96CE-E07DFB474786}"/>
    <cellStyle name="Header2 3 16" xfId="933" xr:uid="{9A9708C8-2A48-4A72-A4C7-48F7FC5CA1F1}"/>
    <cellStyle name="Header2 3 16 2" xfId="11156" xr:uid="{AB5CC0D2-844F-45CF-A34D-D51CEE92FB1D}"/>
    <cellStyle name="Header2 3 16 2 2" xfId="20653" xr:uid="{3D75E81B-5309-4A5D-AD7B-673139623DF3}"/>
    <cellStyle name="Header2 3 16 2 3" xfId="20654" xr:uid="{CC428137-D748-463E-9B25-C007CDBE51E1}"/>
    <cellStyle name="Header2 3 16 2 4" xfId="20655" xr:uid="{39AF7FD1-0326-4EE0-8967-91CCF516BEDA}"/>
    <cellStyle name="Header2 3 16 2 5" xfId="20656" xr:uid="{C8DF4455-6B90-4C0A-8CDC-610420200138}"/>
    <cellStyle name="Header2 3 16 2 6" xfId="20657" xr:uid="{6E62E87A-A337-4EE5-AD5A-BC120C18D853}"/>
    <cellStyle name="Header2 3 16 3" xfId="20658" xr:uid="{43F472CF-5ADA-411B-95A3-630302C89CE5}"/>
    <cellStyle name="Header2 3 16 4" xfId="20659" xr:uid="{FFDD81F6-2EC7-4842-A738-06F15496DC0B}"/>
    <cellStyle name="Header2 3 16 5" xfId="20660" xr:uid="{AB6D1BBD-8CB7-4185-81AE-82E280FBD5D6}"/>
    <cellStyle name="Header2 3 16 6" xfId="20661" xr:uid="{4BD0B742-ED43-4B2A-B33C-A28620A1411E}"/>
    <cellStyle name="Header2 3 16 7" xfId="20662" xr:uid="{A292D162-40C2-4228-8DDA-3167EE20AECA}"/>
    <cellStyle name="Header2 3 17" xfId="934" xr:uid="{1F50BBD6-5FE6-4262-A720-5CAA5FE09EE4}"/>
    <cellStyle name="Header2 3 17 2" xfId="11246" xr:uid="{7EC37360-5DA9-4DE9-8759-662FF3654F52}"/>
    <cellStyle name="Header2 3 17 2 2" xfId="20663" xr:uid="{11557035-0089-4546-8DEA-BC6011EB9B9A}"/>
    <cellStyle name="Header2 3 17 2 3" xfId="20664" xr:uid="{7DA135F7-17A9-4E2D-8D4E-F0EBD7FEE8AE}"/>
    <cellStyle name="Header2 3 17 2 4" xfId="20665" xr:uid="{7DCC8FAD-729D-4F54-9B14-5120B49485AC}"/>
    <cellStyle name="Header2 3 17 2 5" xfId="20666" xr:uid="{2AED1614-4057-4D96-974B-E524FDA009B8}"/>
    <cellStyle name="Header2 3 17 2 6" xfId="20667" xr:uid="{98CE7314-DF0B-47E1-B6C3-CAB0F3B3E477}"/>
    <cellStyle name="Header2 3 17 3" xfId="20668" xr:uid="{FE95C2E3-6D14-4169-8047-DFDC0D2C6256}"/>
    <cellStyle name="Header2 3 17 4" xfId="20669" xr:uid="{E40AA599-03AE-40B0-ACA6-0937FC166FEE}"/>
    <cellStyle name="Header2 3 17 5" xfId="20670" xr:uid="{D3AAB5EF-8FCF-4D7C-B5F6-D8149173D088}"/>
    <cellStyle name="Header2 3 17 6" xfId="20671" xr:uid="{864CCF4A-E69A-49D0-9AF2-CAFC208E4A93}"/>
    <cellStyle name="Header2 3 17 7" xfId="20672" xr:uid="{6A8F3DCC-9C95-4E13-BDF2-7DFF1D79AC1E}"/>
    <cellStyle name="Header2 3 18" xfId="935" xr:uid="{D1D5F939-A8D7-4380-AC3E-4E63D747CABF}"/>
    <cellStyle name="Header2 3 18 2" xfId="11332" xr:uid="{1C6F900B-5727-4675-94E3-965C8FEB5AC3}"/>
    <cellStyle name="Header2 3 18 2 2" xfId="20673" xr:uid="{B7C03DB7-C71E-44AF-B44F-68717467DB3F}"/>
    <cellStyle name="Header2 3 18 2 3" xfId="20674" xr:uid="{A63E2CF8-9D9D-44E0-851D-8753B764C5BE}"/>
    <cellStyle name="Header2 3 18 2 4" xfId="20675" xr:uid="{5EB49CC8-6711-4E8B-B8E9-B1305D003524}"/>
    <cellStyle name="Header2 3 18 2 5" xfId="20676" xr:uid="{697E29F5-51F8-4C6C-B40E-A034E9440121}"/>
    <cellStyle name="Header2 3 18 2 6" xfId="20677" xr:uid="{2396C697-D4D5-4117-98E7-05A087B2E3BD}"/>
    <cellStyle name="Header2 3 18 3" xfId="20678" xr:uid="{CBF75C71-0D4A-42CF-AB42-21073FC6629C}"/>
    <cellStyle name="Header2 3 18 4" xfId="20679" xr:uid="{E2D1791E-31CB-44C9-98C7-AC33CD6D55E9}"/>
    <cellStyle name="Header2 3 18 5" xfId="20680" xr:uid="{D3A682B6-E2F3-45ED-AC64-1839DAC203A6}"/>
    <cellStyle name="Header2 3 18 6" xfId="20681" xr:uid="{7D4053CE-88D6-4328-8948-98767D1A4CE7}"/>
    <cellStyle name="Header2 3 18 7" xfId="20682" xr:uid="{B73C9E00-D4A4-436B-ACA0-AD6769247AC3}"/>
    <cellStyle name="Header2 3 19" xfId="936" xr:uid="{842306C7-DF0E-4942-B986-6BA13E185EBB}"/>
    <cellStyle name="Header2 3 19 2" xfId="11418" xr:uid="{3A97B746-CBBF-4997-90D5-8647A55B4893}"/>
    <cellStyle name="Header2 3 19 2 2" xfId="20683" xr:uid="{C4499F8F-3FB6-4BDE-98A6-473DD7C95E73}"/>
    <cellStyle name="Header2 3 19 2 3" xfId="20684" xr:uid="{195F35B9-3F3F-4573-BFF8-ECA48326303A}"/>
    <cellStyle name="Header2 3 19 2 4" xfId="20685" xr:uid="{3C3D0DBF-12CA-420B-8679-0050F9C4C9BD}"/>
    <cellStyle name="Header2 3 19 2 5" xfId="20686" xr:uid="{599286C2-2A3A-4919-A87F-42B77B100981}"/>
    <cellStyle name="Header2 3 19 2 6" xfId="20687" xr:uid="{42A837F3-D19A-46B2-A732-A7083CD23BA3}"/>
    <cellStyle name="Header2 3 19 3" xfId="20688" xr:uid="{8E01DDE8-6A81-45EC-A3C9-08E7A82A4B50}"/>
    <cellStyle name="Header2 3 19 4" xfId="20689" xr:uid="{AB5F763D-6EED-4547-ABC5-CF9D9201EEE8}"/>
    <cellStyle name="Header2 3 19 5" xfId="20690" xr:uid="{CFE19BDD-2A5C-46E2-A297-F60FB5D5150C}"/>
    <cellStyle name="Header2 3 19 6" xfId="20691" xr:uid="{05E5BBD9-BA5D-4BD2-9773-7DB8392ED056}"/>
    <cellStyle name="Header2 3 19 7" xfId="20692" xr:uid="{9EF7EEFF-85D5-4A90-A734-53663246D46D}"/>
    <cellStyle name="Header2 3 2" xfId="937" xr:uid="{A7D46AE3-DF69-4DA8-B743-2FD7C456FE70}"/>
    <cellStyle name="Header2 3 2 10" xfId="938" xr:uid="{6EE053BB-CABD-4480-9D5B-C43CBBADD35D}"/>
    <cellStyle name="Header2 3 2 10 2" xfId="10749" xr:uid="{AA6C7BF1-69ED-4AF1-8C38-8E336F25068C}"/>
    <cellStyle name="Header2 3 2 10 2 2" xfId="20693" xr:uid="{1C51EB5B-B18C-48D0-A493-F460BEFB43C3}"/>
    <cellStyle name="Header2 3 2 10 2 3" xfId="20694" xr:uid="{42AB4C83-2658-43EA-A8E1-7DF77A9365FA}"/>
    <cellStyle name="Header2 3 2 10 2 4" xfId="20695" xr:uid="{8123CB63-05D8-4590-B220-AEF97D95DF27}"/>
    <cellStyle name="Header2 3 2 10 2 5" xfId="20696" xr:uid="{2067031C-300E-4EB4-9017-D8E3C71DFEA5}"/>
    <cellStyle name="Header2 3 2 10 2 6" xfId="20697" xr:uid="{B08C25BA-7805-4123-86D1-B0C609A8DE82}"/>
    <cellStyle name="Header2 3 2 10 3" xfId="20698" xr:uid="{4AA4C6B5-8647-46F4-B140-CE46D496849B}"/>
    <cellStyle name="Header2 3 2 10 4" xfId="20699" xr:uid="{071E2C14-D26D-456C-9E86-953C9D14CC94}"/>
    <cellStyle name="Header2 3 2 10 5" xfId="20700" xr:uid="{73B34D19-8DF6-4F2A-9E33-AAAF8013D405}"/>
    <cellStyle name="Header2 3 2 10 6" xfId="20701" xr:uid="{06EA3D9F-4CAA-4315-BC89-3E11C8B2FB25}"/>
    <cellStyle name="Header2 3 2 10 7" xfId="20702" xr:uid="{216C0D80-919D-413B-BF68-36CB3E9F981D}"/>
    <cellStyle name="Header2 3 2 11" xfId="939" xr:uid="{44D5D860-1805-468E-A49C-930C7ACB05D9}"/>
    <cellStyle name="Header2 3 2 11 2" xfId="10837" xr:uid="{1E6CC033-46F8-40AA-90E4-0CE470FEBC61}"/>
    <cellStyle name="Header2 3 2 11 2 2" xfId="20703" xr:uid="{A9BC6230-0DDE-46D6-A888-EF5DD8BCDB45}"/>
    <cellStyle name="Header2 3 2 11 2 3" xfId="20704" xr:uid="{F3C4F632-3DBE-497C-83F4-422FFCE31C3A}"/>
    <cellStyle name="Header2 3 2 11 2 4" xfId="20705" xr:uid="{09D15CD1-5A2D-45AF-83E5-A88D40FACBFA}"/>
    <cellStyle name="Header2 3 2 11 2 5" xfId="20706" xr:uid="{580A2B52-DAB9-4805-AFBA-2CAD8B6E89ED}"/>
    <cellStyle name="Header2 3 2 11 2 6" xfId="20707" xr:uid="{7A46D37E-E10B-4517-8B1B-9CCC34464811}"/>
    <cellStyle name="Header2 3 2 11 3" xfId="20708" xr:uid="{3EECBDF6-41D4-49C6-8232-493607CC8764}"/>
    <cellStyle name="Header2 3 2 11 4" xfId="20709" xr:uid="{2EB9A8E3-28FD-4196-91D2-29AB94C5114E}"/>
    <cellStyle name="Header2 3 2 11 5" xfId="20710" xr:uid="{8382F77B-2F47-4864-B79A-FE8AF9B5C868}"/>
    <cellStyle name="Header2 3 2 11 6" xfId="20711" xr:uid="{68A14E99-6F27-476D-8635-1C9F1981CEC3}"/>
    <cellStyle name="Header2 3 2 11 7" xfId="20712" xr:uid="{D34F90AA-3274-4DC8-98C5-9F25C3695532}"/>
    <cellStyle name="Header2 3 2 12" xfId="940" xr:uid="{941635AA-DF3B-42B8-AA57-6D0E69B31A12}"/>
    <cellStyle name="Header2 3 2 12 2" xfId="10926" xr:uid="{31FB5898-334F-463A-B652-56C1B58C6AA8}"/>
    <cellStyle name="Header2 3 2 12 2 2" xfId="20713" xr:uid="{0CA7B864-454B-48BD-A875-BE4BDF588AF1}"/>
    <cellStyle name="Header2 3 2 12 2 3" xfId="20714" xr:uid="{99B59813-D859-4BE2-82AD-2F4A327B4817}"/>
    <cellStyle name="Header2 3 2 12 2 4" xfId="20715" xr:uid="{36A1F6B1-99DD-49C6-993C-68BF8B1CDF49}"/>
    <cellStyle name="Header2 3 2 12 2 5" xfId="20716" xr:uid="{E125B2A7-B642-4FC1-8B97-897EBBA4039E}"/>
    <cellStyle name="Header2 3 2 12 2 6" xfId="20717" xr:uid="{8DC24BCB-E8F3-475E-B49B-7A68EF3A8826}"/>
    <cellStyle name="Header2 3 2 12 3" xfId="20718" xr:uid="{1C117146-CE9F-48D5-8D04-67BF9EBE01B8}"/>
    <cellStyle name="Header2 3 2 12 4" xfId="20719" xr:uid="{2846A2B3-1E5F-4265-A327-1A2BF8AD4020}"/>
    <cellStyle name="Header2 3 2 12 5" xfId="20720" xr:uid="{96090AE7-A4FE-4610-85FB-CBFCFFB61439}"/>
    <cellStyle name="Header2 3 2 12 6" xfId="20721" xr:uid="{8B278FCA-8F9E-4379-BC0B-CE1EE92D7E9D}"/>
    <cellStyle name="Header2 3 2 12 7" xfId="20722" xr:uid="{5A3AD65A-2173-4D9A-9C47-7CBB3568AFE3}"/>
    <cellStyle name="Header2 3 2 13" xfId="941" xr:uid="{357B5C72-E885-46B1-8427-3F9C77252DDF}"/>
    <cellStyle name="Header2 3 2 13 2" xfId="11016" xr:uid="{86D26AD7-E06C-4CE1-99B8-9A794B934C72}"/>
    <cellStyle name="Header2 3 2 13 2 2" xfId="20723" xr:uid="{68ED40DB-B308-409B-83B8-382C0E0E5CC5}"/>
    <cellStyle name="Header2 3 2 13 2 3" xfId="20724" xr:uid="{387B0BE5-5999-4AA8-8353-5C30689BCDFA}"/>
    <cellStyle name="Header2 3 2 13 2 4" xfId="20725" xr:uid="{F6DCF5F5-DEA9-4F8D-BBDD-54309E41C054}"/>
    <cellStyle name="Header2 3 2 13 2 5" xfId="20726" xr:uid="{D52D69F4-258E-401A-9B78-624DE0DF6DD5}"/>
    <cellStyle name="Header2 3 2 13 2 6" xfId="20727" xr:uid="{C460138B-80CA-4B01-8977-985B77961BB0}"/>
    <cellStyle name="Header2 3 2 13 3" xfId="20728" xr:uid="{99D5D1A5-1E52-4338-A64B-CB3A42E996F1}"/>
    <cellStyle name="Header2 3 2 13 4" xfId="20729" xr:uid="{795707CB-48B0-42B8-8542-594F71B711DC}"/>
    <cellStyle name="Header2 3 2 13 5" xfId="20730" xr:uid="{7057B13D-1888-4788-8B27-B1AF5CA71D3E}"/>
    <cellStyle name="Header2 3 2 13 6" xfId="20731" xr:uid="{90D7C524-03E4-45F8-8651-DD4650F9E6FA}"/>
    <cellStyle name="Header2 3 2 13 7" xfId="20732" xr:uid="{C15C0D28-4586-4600-BC72-AFBE276ABA2B}"/>
    <cellStyle name="Header2 3 2 14" xfId="942" xr:uid="{C368A8F3-0DEA-42F8-A1D1-24DA6EAFD5AD}"/>
    <cellStyle name="Header2 3 2 14 2" xfId="11106" xr:uid="{6F7C76D2-BAB5-445D-AFF5-47EC4D1C9DB1}"/>
    <cellStyle name="Header2 3 2 14 2 2" xfId="20733" xr:uid="{A087668E-5719-41B9-B8BF-61D3BA640E02}"/>
    <cellStyle name="Header2 3 2 14 2 3" xfId="20734" xr:uid="{1B3ACEFC-1409-4A78-9F86-B61F4BBCF359}"/>
    <cellStyle name="Header2 3 2 14 2 4" xfId="20735" xr:uid="{4548565B-B431-49A9-8F41-BFFADC32B7A9}"/>
    <cellStyle name="Header2 3 2 14 2 5" xfId="20736" xr:uid="{613B37F3-39F7-47A5-9F1B-A9AE7CEAD493}"/>
    <cellStyle name="Header2 3 2 14 2 6" xfId="20737" xr:uid="{9FA2A974-3643-4384-9806-3004DABF336E}"/>
    <cellStyle name="Header2 3 2 14 3" xfId="20738" xr:uid="{D19A53DB-AA3E-4BDA-8F62-3E1F3203CDBB}"/>
    <cellStyle name="Header2 3 2 14 4" xfId="20739" xr:uid="{2E38E79F-E779-44C2-B571-919A77826438}"/>
    <cellStyle name="Header2 3 2 14 5" xfId="20740" xr:uid="{D5917FD0-8755-43B5-804E-6FC33BF0A239}"/>
    <cellStyle name="Header2 3 2 14 6" xfId="20741" xr:uid="{A13C3B3C-D341-4F61-B527-8002C41514F6}"/>
    <cellStyle name="Header2 3 2 14 7" xfId="20742" xr:uid="{CC67DABD-2254-4936-8142-96E44E638348}"/>
    <cellStyle name="Header2 3 2 15" xfId="943" xr:uid="{CE1000E3-AE58-4028-8EC8-4323DE92C641}"/>
    <cellStyle name="Header2 3 2 15 2" xfId="11189" xr:uid="{BFFE5804-77F6-47C4-A5DD-799ED7E0A259}"/>
    <cellStyle name="Header2 3 2 15 2 2" xfId="20743" xr:uid="{C6F1B8DE-0FBD-4DE6-AAFB-A384DE148630}"/>
    <cellStyle name="Header2 3 2 15 2 3" xfId="20744" xr:uid="{F8682622-D0AC-4836-9D49-C56BEB1773D1}"/>
    <cellStyle name="Header2 3 2 15 2 4" xfId="20745" xr:uid="{951E0B80-4394-47BF-8A92-9010DDB225AA}"/>
    <cellStyle name="Header2 3 2 15 2 5" xfId="20746" xr:uid="{0BCD7202-688F-42AC-A960-365E7D8501E7}"/>
    <cellStyle name="Header2 3 2 15 2 6" xfId="20747" xr:uid="{61569AC5-E414-4974-8C5B-31D755E55183}"/>
    <cellStyle name="Header2 3 2 15 3" xfId="20748" xr:uid="{5796EB5C-B242-4929-A3AB-057058507879}"/>
    <cellStyle name="Header2 3 2 15 4" xfId="20749" xr:uid="{7BEB17A6-4200-410F-BC13-AD1255791B9C}"/>
    <cellStyle name="Header2 3 2 15 5" xfId="20750" xr:uid="{294EC440-94DE-42EB-9908-7A3455CCF773}"/>
    <cellStyle name="Header2 3 2 15 6" xfId="20751" xr:uid="{564A738C-DADB-4735-A2F5-4EE30F5A1CD0}"/>
    <cellStyle name="Header2 3 2 15 7" xfId="20752" xr:uid="{04611BC3-56C5-4AEE-80A4-DCD4211DBE17}"/>
    <cellStyle name="Header2 3 2 16" xfId="944" xr:uid="{7F9D64B7-F962-4990-905B-D9C2F79089D8}"/>
    <cellStyle name="Header2 3 2 16 2" xfId="11279" xr:uid="{7FCE75ED-1F59-4CC3-BA0F-532B87A8D034}"/>
    <cellStyle name="Header2 3 2 16 2 2" xfId="20753" xr:uid="{14763860-F96F-4059-8915-F41D411A9B6F}"/>
    <cellStyle name="Header2 3 2 16 2 3" xfId="20754" xr:uid="{9CA7CE58-1815-4960-B6FB-B9E7178BDF8C}"/>
    <cellStyle name="Header2 3 2 16 2 4" xfId="20755" xr:uid="{2CD4E773-A5E9-4DCE-BBC1-47D3F4851B38}"/>
    <cellStyle name="Header2 3 2 16 2 5" xfId="20756" xr:uid="{4861B75A-0E65-42AD-9BDF-BE4BCFAA68CE}"/>
    <cellStyle name="Header2 3 2 16 2 6" xfId="20757" xr:uid="{4247986A-B5F8-4F16-BE58-ADA75162828B}"/>
    <cellStyle name="Header2 3 2 16 3" xfId="20758" xr:uid="{56B354E4-358A-495C-B993-1FCBA8BCD99E}"/>
    <cellStyle name="Header2 3 2 16 4" xfId="20759" xr:uid="{B4A793F0-F9EB-4E9C-8A89-3ACE92E78CB5}"/>
    <cellStyle name="Header2 3 2 16 5" xfId="20760" xr:uid="{ACF6FAB9-A050-411E-B60C-3065C2CD75E7}"/>
    <cellStyle name="Header2 3 2 16 6" xfId="20761" xr:uid="{022B544E-4B90-4085-A2C2-ACD66B8DBB1D}"/>
    <cellStyle name="Header2 3 2 16 7" xfId="20762" xr:uid="{D5E2212F-028A-44A7-AA3F-1D0BDC9C334A}"/>
    <cellStyle name="Header2 3 2 17" xfId="945" xr:uid="{71E3503D-1352-42DA-BD06-B3D3EB7D3F65}"/>
    <cellStyle name="Header2 3 2 17 2" xfId="11365" xr:uid="{BA26C426-8658-4D7E-AB5A-AB383F68701C}"/>
    <cellStyle name="Header2 3 2 17 2 2" xfId="20763" xr:uid="{BBC459A2-01F9-42B2-A137-ABA83B95E56B}"/>
    <cellStyle name="Header2 3 2 17 2 3" xfId="20764" xr:uid="{048A3EE8-0294-4404-84DA-4EFF1DD28CCF}"/>
    <cellStyle name="Header2 3 2 17 2 4" xfId="20765" xr:uid="{2FFB29D9-97AF-4397-A3F8-43DF6753E439}"/>
    <cellStyle name="Header2 3 2 17 2 5" xfId="20766" xr:uid="{1749D9E2-E12E-44F0-ADEC-6C0F742EDA39}"/>
    <cellStyle name="Header2 3 2 17 2 6" xfId="20767" xr:uid="{717AE714-813B-45FC-8CBA-CFFCF3C39D74}"/>
    <cellStyle name="Header2 3 2 17 3" xfId="20768" xr:uid="{6EE0EC89-7D60-407E-B422-5B713484E7C1}"/>
    <cellStyle name="Header2 3 2 17 4" xfId="20769" xr:uid="{02DF300D-3C3B-491E-A770-F30C6BFC0BAA}"/>
    <cellStyle name="Header2 3 2 17 5" xfId="20770" xr:uid="{F3F187FC-9414-4E6B-9C38-91D984D2D604}"/>
    <cellStyle name="Header2 3 2 17 6" xfId="20771" xr:uid="{1AE1F4A0-8440-4629-A81D-CAD336F1415C}"/>
    <cellStyle name="Header2 3 2 17 7" xfId="20772" xr:uid="{E9F4ED3D-E794-4389-90F0-58EABFEB669C}"/>
    <cellStyle name="Header2 3 2 18" xfId="946" xr:uid="{F6B3AD02-5C35-4162-9A03-6DD5FA0F3588}"/>
    <cellStyle name="Header2 3 2 18 2" xfId="11452" xr:uid="{8EB93C15-1C94-410C-ABB1-8E3C6EAA82D9}"/>
    <cellStyle name="Header2 3 2 18 2 2" xfId="20773" xr:uid="{A157A1CF-23B1-47CB-BE0B-5206FF01CCB8}"/>
    <cellStyle name="Header2 3 2 18 2 3" xfId="20774" xr:uid="{42C74F84-B939-4F84-A7A3-E72A68627F04}"/>
    <cellStyle name="Header2 3 2 18 2 4" xfId="20775" xr:uid="{1B4F3142-A19D-42EE-BC22-B46B7A5EB946}"/>
    <cellStyle name="Header2 3 2 18 2 5" xfId="20776" xr:uid="{2086134A-FBBD-4C54-A954-F1B24B73B952}"/>
    <cellStyle name="Header2 3 2 18 2 6" xfId="20777" xr:uid="{B475C4DB-44F3-4DD2-A805-F126F06814DF}"/>
    <cellStyle name="Header2 3 2 18 3" xfId="20778" xr:uid="{7F3789FA-A87D-4AB6-AE23-A48A799ADE66}"/>
    <cellStyle name="Header2 3 2 18 4" xfId="20779" xr:uid="{E0886BB7-C470-4098-A608-8EF02BEE30BD}"/>
    <cellStyle name="Header2 3 2 18 5" xfId="20780" xr:uid="{5BB28C07-817A-4026-BB37-BF29F4B0F002}"/>
    <cellStyle name="Header2 3 2 18 6" xfId="20781" xr:uid="{84FE1AD6-07F7-48FC-9420-6090511C7D93}"/>
    <cellStyle name="Header2 3 2 18 7" xfId="20782" xr:uid="{06741EC0-BB46-4F12-864E-B88BE7CD0119}"/>
    <cellStyle name="Header2 3 2 19" xfId="947" xr:uid="{A7F98FCF-459A-419B-A295-08F64D5F438E}"/>
    <cellStyle name="Header2 3 2 19 2" xfId="11539" xr:uid="{43F226A1-1086-452F-B014-180DB8E072B3}"/>
    <cellStyle name="Header2 3 2 19 2 2" xfId="20783" xr:uid="{7F74ACE4-1C9D-445A-AD6D-94A34CB2ABD2}"/>
    <cellStyle name="Header2 3 2 19 2 3" xfId="20784" xr:uid="{CF902B50-01ED-4B8D-9DBD-F67AEF86A26B}"/>
    <cellStyle name="Header2 3 2 19 2 4" xfId="20785" xr:uid="{849E62EE-E030-4B95-BE85-4BDDED7115B4}"/>
    <cellStyle name="Header2 3 2 19 2 5" xfId="20786" xr:uid="{25D8CA42-0D24-40E5-A6DF-18B415D0C7C8}"/>
    <cellStyle name="Header2 3 2 19 2 6" xfId="20787" xr:uid="{9897C808-A62A-4CBD-A9F8-DEFC2BF9EF36}"/>
    <cellStyle name="Header2 3 2 19 3" xfId="20788" xr:uid="{68A1CFE9-5F94-41E1-ADCD-68FD2E616748}"/>
    <cellStyle name="Header2 3 2 19 4" xfId="20789" xr:uid="{EA058667-84B9-4092-9BFB-BCEB274A9C8B}"/>
    <cellStyle name="Header2 3 2 19 5" xfId="20790" xr:uid="{1084B576-1183-404D-9647-B6E76B547F3D}"/>
    <cellStyle name="Header2 3 2 19 6" xfId="20791" xr:uid="{3DD8FE34-446A-412B-A26C-011B33A470F3}"/>
    <cellStyle name="Header2 3 2 19 7" xfId="20792" xr:uid="{46F3320B-49DA-4D6D-8B65-97AB3C764EF2}"/>
    <cellStyle name="Header2 3 2 2" xfId="948" xr:uid="{C486F5CF-D960-436D-A687-6C1FF14744B3}"/>
    <cellStyle name="Header2 3 2 2 2" xfId="10046" xr:uid="{9449515F-011C-46DB-A815-FA7E66BBC029}"/>
    <cellStyle name="Header2 3 2 2 2 2" xfId="20793" xr:uid="{AC671F0A-EDBF-478B-B37D-432B4443487F}"/>
    <cellStyle name="Header2 3 2 2 2 3" xfId="20794" xr:uid="{B201E9EF-AB52-402D-A6C1-03DEBA05B379}"/>
    <cellStyle name="Header2 3 2 2 2 4" xfId="20795" xr:uid="{5878492A-6540-412C-BBB6-585C53A70238}"/>
    <cellStyle name="Header2 3 2 2 2 5" xfId="20796" xr:uid="{434E5D2B-94B5-46F7-A9AA-E410434F8123}"/>
    <cellStyle name="Header2 3 2 2 2 6" xfId="20797" xr:uid="{A679D7FB-CFF0-4328-81B0-D36E0B0F818E}"/>
    <cellStyle name="Header2 3 2 2 3" xfId="20798" xr:uid="{B7C2529B-4561-42F1-A262-1880D6D59093}"/>
    <cellStyle name="Header2 3 2 2 4" xfId="20799" xr:uid="{0541F121-E5A6-4E13-B0F6-94350BED6A93}"/>
    <cellStyle name="Header2 3 2 2 5" xfId="20800" xr:uid="{E0B4E721-F362-4315-8F79-6F005C5113B4}"/>
    <cellStyle name="Header2 3 2 2 6" xfId="20801" xr:uid="{63A6289F-A35D-48E2-8536-AFCD606541A0}"/>
    <cellStyle name="Header2 3 2 2 7" xfId="20802" xr:uid="{4CE551DD-5B0D-4BC2-95C9-3481C4E4171D}"/>
    <cellStyle name="Header2 3 2 20" xfId="949" xr:uid="{9139FAED-A4B3-4BB6-B902-FF0EB09C7880}"/>
    <cellStyle name="Header2 3 2 20 2" xfId="11627" xr:uid="{F3D0AAC5-8F54-4BDD-AAEA-4120DF7799BA}"/>
    <cellStyle name="Header2 3 2 20 2 2" xfId="20803" xr:uid="{3715EA1A-2E84-41C1-A5E5-0ABD4B49D461}"/>
    <cellStyle name="Header2 3 2 20 2 3" xfId="20804" xr:uid="{7283FBE9-367E-422E-82FA-B68B31778DF0}"/>
    <cellStyle name="Header2 3 2 20 2 4" xfId="20805" xr:uid="{45A722C7-681E-498C-BA8B-AC9369EC6FEC}"/>
    <cellStyle name="Header2 3 2 20 2 5" xfId="20806" xr:uid="{8971DEC9-585F-456B-AE2C-01C67DAD6D7F}"/>
    <cellStyle name="Header2 3 2 20 2 6" xfId="20807" xr:uid="{BD54F09E-2906-4606-8C67-B890068777B9}"/>
    <cellStyle name="Header2 3 2 20 3" xfId="20808" xr:uid="{73F75E72-70A4-4C9B-BF2C-791655086E79}"/>
    <cellStyle name="Header2 3 2 20 4" xfId="20809" xr:uid="{195129B0-8D88-4871-8C92-D62FB127286E}"/>
    <cellStyle name="Header2 3 2 20 5" xfId="20810" xr:uid="{2E0511FF-CBED-4BB8-BDCC-7744AC9B13D1}"/>
    <cellStyle name="Header2 3 2 20 6" xfId="20811" xr:uid="{133F3701-EB8C-49D6-89C7-92A31549E0FA}"/>
    <cellStyle name="Header2 3 2 20 7" xfId="20812" xr:uid="{D484C505-249A-4195-9C07-DAC2C0D95D53}"/>
    <cellStyle name="Header2 3 2 21" xfId="950" xr:uid="{353D4F94-5FB9-44AF-8939-030FE684A41C}"/>
    <cellStyle name="Header2 3 2 21 2" xfId="11711" xr:uid="{1F894B59-06EE-4C21-A038-ED0C55FBD1C2}"/>
    <cellStyle name="Header2 3 2 21 2 2" xfId="20813" xr:uid="{5E1DA56D-9B73-4C90-A198-09E822AC6E64}"/>
    <cellStyle name="Header2 3 2 21 2 3" xfId="20814" xr:uid="{A6718CB0-2C7A-4864-9787-00047AC84FC9}"/>
    <cellStyle name="Header2 3 2 21 2 4" xfId="20815" xr:uid="{2A378870-765C-4D37-A12C-C219DC7D0B81}"/>
    <cellStyle name="Header2 3 2 21 2 5" xfId="20816" xr:uid="{2B9B643A-F97C-4ED0-9FB6-59B8498A9861}"/>
    <cellStyle name="Header2 3 2 21 2 6" xfId="20817" xr:uid="{E587891E-6155-4332-985A-AB9CDF536CE8}"/>
    <cellStyle name="Header2 3 2 21 3" xfId="20818" xr:uid="{F4753B9D-2981-45DA-8A23-DE9B9E785CB5}"/>
    <cellStyle name="Header2 3 2 21 4" xfId="20819" xr:uid="{DE2987FE-723C-48CA-9943-3011C0DF198D}"/>
    <cellStyle name="Header2 3 2 21 5" xfId="20820" xr:uid="{DAB63256-3922-4A5C-9554-93086C1B5554}"/>
    <cellStyle name="Header2 3 2 21 6" xfId="20821" xr:uid="{E1E38B58-1CF9-41EA-AF7E-5CCC75768FD8}"/>
    <cellStyle name="Header2 3 2 21 7" xfId="20822" xr:uid="{7D6FA28F-5BCD-4A5E-9DED-B4C6F0C000B3}"/>
    <cellStyle name="Header2 3 2 22" xfId="951" xr:uid="{6D6DA730-3960-4DA5-9DD3-3F4B9C337147}"/>
    <cellStyle name="Header2 3 2 22 2" xfId="11794" xr:uid="{515F7688-0827-4F3C-9ECF-61642B650117}"/>
    <cellStyle name="Header2 3 2 22 2 2" xfId="20823" xr:uid="{7EE2B2A5-1078-4C5D-83AA-FEE2F52CB509}"/>
    <cellStyle name="Header2 3 2 22 2 3" xfId="20824" xr:uid="{68BB7CB7-FF2E-42DD-8667-A27E891EB3BC}"/>
    <cellStyle name="Header2 3 2 22 2 4" xfId="20825" xr:uid="{817B12E3-E8CE-4D5A-A379-AC4E5743CAAF}"/>
    <cellStyle name="Header2 3 2 22 2 5" xfId="20826" xr:uid="{E7C7E9A5-3454-41EE-8EB5-2D456F78D85A}"/>
    <cellStyle name="Header2 3 2 22 2 6" xfId="20827" xr:uid="{34C5CF75-0CC2-4823-A4FA-35DAA2A782B4}"/>
    <cellStyle name="Header2 3 2 22 3" xfId="20828" xr:uid="{9AD9E440-DD92-4322-8454-16070484B3A3}"/>
    <cellStyle name="Header2 3 2 22 4" xfId="20829" xr:uid="{89579E4D-5E71-4F97-8F44-201404F015C0}"/>
    <cellStyle name="Header2 3 2 22 5" xfId="20830" xr:uid="{99627F65-9E97-4DEB-A223-A1FBCCA92C73}"/>
    <cellStyle name="Header2 3 2 22 6" xfId="20831" xr:uid="{E70F709F-1340-490C-BD5E-2F84D3E4EC22}"/>
    <cellStyle name="Header2 3 2 22 7" xfId="20832" xr:uid="{23DDC179-1179-4788-AC6D-82CF5C728A9E}"/>
    <cellStyle name="Header2 3 2 23" xfId="952" xr:uid="{A778D5C8-5A88-4791-B233-1600B1C0DE97}"/>
    <cellStyle name="Header2 3 2 23 2" xfId="11877" xr:uid="{3C3A41B8-5573-4FAA-AD3F-D16EE5C98DF9}"/>
    <cellStyle name="Header2 3 2 23 2 2" xfId="20833" xr:uid="{6B7E0D35-41F2-48D9-AC3A-CDA667EE29E4}"/>
    <cellStyle name="Header2 3 2 23 2 3" xfId="20834" xr:uid="{1689F7B5-87CC-40D7-825E-C976EDAD185B}"/>
    <cellStyle name="Header2 3 2 23 2 4" xfId="20835" xr:uid="{9F127D20-4776-40F5-9F60-7DADD13ED4F1}"/>
    <cellStyle name="Header2 3 2 23 2 5" xfId="20836" xr:uid="{E354F414-0A5C-4D51-87FD-2165363D2D22}"/>
    <cellStyle name="Header2 3 2 23 2 6" xfId="20837" xr:uid="{1F5201CB-3CC8-4C5D-A325-12CEAC3DBCB4}"/>
    <cellStyle name="Header2 3 2 23 3" xfId="20838" xr:uid="{3F325EDF-AFEA-428E-9666-5159D1024F6A}"/>
    <cellStyle name="Header2 3 2 23 4" xfId="20839" xr:uid="{45A5F409-CA51-4504-80A4-A789AFC0AB06}"/>
    <cellStyle name="Header2 3 2 23 5" xfId="20840" xr:uid="{B15D25D0-22AA-45CA-8063-1257E59F92C7}"/>
    <cellStyle name="Header2 3 2 23 6" xfId="20841" xr:uid="{308E8D8E-F303-4C7E-BC57-C3E3FB9E1398}"/>
    <cellStyle name="Header2 3 2 23 7" xfId="20842" xr:uid="{89219125-B843-4C56-B864-A9E79983F59D}"/>
    <cellStyle name="Header2 3 2 24" xfId="953" xr:uid="{4419D3D7-BEDE-4126-83F1-C7D853744931}"/>
    <cellStyle name="Header2 3 2 24 2" xfId="11961" xr:uid="{15BFF60D-71CA-4270-9B42-816572586A85}"/>
    <cellStyle name="Header2 3 2 24 2 2" xfId="20843" xr:uid="{B390BD3F-7C47-4543-B54B-73D4812B8A54}"/>
    <cellStyle name="Header2 3 2 24 2 3" xfId="20844" xr:uid="{AB23456D-2BF0-47B3-BAD9-BB518D2E12FC}"/>
    <cellStyle name="Header2 3 2 24 2 4" xfId="20845" xr:uid="{E1F9331E-E434-4393-9805-69429C2BF7B2}"/>
    <cellStyle name="Header2 3 2 24 2 5" xfId="20846" xr:uid="{B60174CA-D878-4288-9BEF-C1A0861C1025}"/>
    <cellStyle name="Header2 3 2 24 2 6" xfId="20847" xr:uid="{BFEF21E8-9EF6-462D-BC66-D5D96379DBB8}"/>
    <cellStyle name="Header2 3 2 24 3" xfId="20848" xr:uid="{5196AAB7-C0C0-4047-9850-AD7C0243A1E4}"/>
    <cellStyle name="Header2 3 2 24 4" xfId="20849" xr:uid="{7A5AAB97-6867-4DB9-BDF6-A3FB98F93D70}"/>
    <cellStyle name="Header2 3 2 24 5" xfId="20850" xr:uid="{0ADDAD14-6E3C-4D9C-BE43-CBE32E7E0826}"/>
    <cellStyle name="Header2 3 2 24 6" xfId="20851" xr:uid="{540FEE6A-9B83-41ED-9D83-B94BB63DDE99}"/>
    <cellStyle name="Header2 3 2 24 7" xfId="20852" xr:uid="{D5D639C7-457E-4333-9854-A7BF0B68D86C}"/>
    <cellStyle name="Header2 3 2 25" xfId="954" xr:uid="{D9DC6276-F8E8-48CD-98EB-45294E90C722}"/>
    <cellStyle name="Header2 3 2 25 2" xfId="12044" xr:uid="{7BEBA9C5-87EA-4D96-A98F-D176DEE1B2E3}"/>
    <cellStyle name="Header2 3 2 25 2 2" xfId="20853" xr:uid="{590D0E91-9053-472A-ABCD-F58E05E3ACAE}"/>
    <cellStyle name="Header2 3 2 25 2 3" xfId="20854" xr:uid="{E9FC3234-7EE3-40D8-AA4B-905A78CC3637}"/>
    <cellStyle name="Header2 3 2 25 2 4" xfId="20855" xr:uid="{92136AE8-E189-496E-ABBC-CCFE7B5DD580}"/>
    <cellStyle name="Header2 3 2 25 2 5" xfId="20856" xr:uid="{B09D18D8-213B-4B50-8AB3-BCB85750B3FA}"/>
    <cellStyle name="Header2 3 2 25 2 6" xfId="20857" xr:uid="{4ABA73B2-A290-4079-8228-AB3F7C049376}"/>
    <cellStyle name="Header2 3 2 25 3" xfId="20858" xr:uid="{6CD89C0F-FF0D-4DFD-99FD-0BE982A19EA6}"/>
    <cellStyle name="Header2 3 2 25 4" xfId="20859" xr:uid="{6E32D11E-E7A7-41C3-BCAF-2459D6CA0121}"/>
    <cellStyle name="Header2 3 2 25 5" xfId="20860" xr:uid="{76708F34-2E62-4F8D-86B4-825F731E5631}"/>
    <cellStyle name="Header2 3 2 25 6" xfId="20861" xr:uid="{0A043905-9021-4BA9-9854-E6A27835A5F1}"/>
    <cellStyle name="Header2 3 2 25 7" xfId="20862" xr:uid="{7F53E288-18F8-4174-BCEE-B3FB9C00878F}"/>
    <cellStyle name="Header2 3 2 26" xfId="955" xr:uid="{5B807AC1-087C-4B79-BA00-84FD0EB4ECC8}"/>
    <cellStyle name="Header2 3 2 26 2" xfId="12127" xr:uid="{9A6F652D-16FF-4C7D-A7A8-61A5C20A1802}"/>
    <cellStyle name="Header2 3 2 26 2 2" xfId="20863" xr:uid="{A1B31BCC-72A0-432C-B220-1E55B52229B5}"/>
    <cellStyle name="Header2 3 2 26 2 3" xfId="20864" xr:uid="{04AC2839-C910-4BE9-A1B7-56252FF21C19}"/>
    <cellStyle name="Header2 3 2 26 2 4" xfId="20865" xr:uid="{531B9C6D-4A33-4E52-8EA9-A380EB222BF8}"/>
    <cellStyle name="Header2 3 2 26 2 5" xfId="20866" xr:uid="{21B1D947-9644-4D0D-9B75-7B2ED819D7E3}"/>
    <cellStyle name="Header2 3 2 26 2 6" xfId="20867" xr:uid="{042EAC3E-4593-4B4B-BFAB-27B1E523C7E1}"/>
    <cellStyle name="Header2 3 2 26 3" xfId="20868" xr:uid="{5844C5B0-93A0-44D9-AFA2-F56BF374FADA}"/>
    <cellStyle name="Header2 3 2 26 4" xfId="20869" xr:uid="{4159EEFC-E805-420F-9152-471D63D29013}"/>
    <cellStyle name="Header2 3 2 26 5" xfId="20870" xr:uid="{AC4EB61A-14D8-4C45-BF30-BA166902BD47}"/>
    <cellStyle name="Header2 3 2 26 6" xfId="20871" xr:uid="{1B0A1E8F-3CF3-4931-A0A4-00D1EC1CAA0F}"/>
    <cellStyle name="Header2 3 2 26 7" xfId="20872" xr:uid="{3A1279F3-8409-49D3-A0B6-B8824AB54CBE}"/>
    <cellStyle name="Header2 3 2 27" xfId="956" xr:uid="{DF4A3C28-8B7C-43B5-9778-5611CF7DD748}"/>
    <cellStyle name="Header2 3 2 27 2" xfId="12209" xr:uid="{738B65CE-75F1-4C55-932F-415F9D72241D}"/>
    <cellStyle name="Header2 3 2 27 2 2" xfId="20873" xr:uid="{749FD10C-C56A-4FE5-8A98-A22D13CDC35E}"/>
    <cellStyle name="Header2 3 2 27 2 3" xfId="20874" xr:uid="{0AACD6E9-2A49-4C44-91EB-DFB536ABDF1B}"/>
    <cellStyle name="Header2 3 2 27 2 4" xfId="20875" xr:uid="{47F7C08C-7C97-4BA2-A0BF-7E79F52F6648}"/>
    <cellStyle name="Header2 3 2 27 2 5" xfId="20876" xr:uid="{0AAF14B8-999A-48CC-A87C-DD3D4FE91A5A}"/>
    <cellStyle name="Header2 3 2 27 2 6" xfId="20877" xr:uid="{46C6AC86-BBDF-47B9-8B7B-01E1ADFBB006}"/>
    <cellStyle name="Header2 3 2 27 3" xfId="20878" xr:uid="{9B563202-078C-4839-BE05-17933F0AFBF8}"/>
    <cellStyle name="Header2 3 2 27 4" xfId="20879" xr:uid="{541F36C5-9059-4CD9-952F-FF3595DF628F}"/>
    <cellStyle name="Header2 3 2 27 5" xfId="20880" xr:uid="{429D3A42-4EFE-49C2-A8E1-E3D53B154457}"/>
    <cellStyle name="Header2 3 2 27 6" xfId="20881" xr:uid="{F472BA1E-3324-464C-A8D4-C1CED391F70F}"/>
    <cellStyle name="Header2 3 2 27 7" xfId="20882" xr:uid="{69237BD5-7471-4F1B-A9B5-96C70EBAE4C6}"/>
    <cellStyle name="Header2 3 2 28" xfId="957" xr:uid="{922ED0AA-0E34-471C-BC40-A0832A6F8CD3}"/>
    <cellStyle name="Header2 3 2 28 2" xfId="12289" xr:uid="{BDC8341B-3299-421F-9AF1-72B63EA01AF2}"/>
    <cellStyle name="Header2 3 2 28 2 2" xfId="20883" xr:uid="{275F4271-6171-47AF-9674-38C3A80B39E3}"/>
    <cellStyle name="Header2 3 2 28 2 3" xfId="20884" xr:uid="{62376F8E-BE53-48C7-A57A-676582951229}"/>
    <cellStyle name="Header2 3 2 28 2 4" xfId="20885" xr:uid="{006B3965-99C3-409E-99F8-70EF8F0E1EBF}"/>
    <cellStyle name="Header2 3 2 28 2 5" xfId="20886" xr:uid="{32CE0873-62A8-42E7-B434-D7D3963F8EE6}"/>
    <cellStyle name="Header2 3 2 28 2 6" xfId="20887" xr:uid="{690D02BB-4DAB-4BD9-AB60-9FF32B8E277D}"/>
    <cellStyle name="Header2 3 2 28 3" xfId="20888" xr:uid="{7651B746-8986-4E29-A72A-E9A3752307AC}"/>
    <cellStyle name="Header2 3 2 28 4" xfId="20889" xr:uid="{C535C060-8A06-4AB2-9788-59B7298FD70D}"/>
    <cellStyle name="Header2 3 2 28 5" xfId="20890" xr:uid="{A36ECE9B-A0C7-4C73-9510-E8FEAF32D112}"/>
    <cellStyle name="Header2 3 2 28 6" xfId="20891" xr:uid="{863F1F61-8221-438C-A978-CA413870905D}"/>
    <cellStyle name="Header2 3 2 28 7" xfId="20892" xr:uid="{5C243078-3C58-478B-9A9F-391254DF3363}"/>
    <cellStyle name="Header2 3 2 29" xfId="958" xr:uid="{DCA7EC4E-DC59-4859-8288-BC6EA3C1E208}"/>
    <cellStyle name="Header2 3 2 29 2" xfId="12367" xr:uid="{413E9C40-DDC0-4961-AB2D-692AAC8960D1}"/>
    <cellStyle name="Header2 3 2 29 2 2" xfId="20893" xr:uid="{558C1136-8490-42B7-93A2-4AB6D932F52A}"/>
    <cellStyle name="Header2 3 2 29 2 3" xfId="20894" xr:uid="{CE8DA8F7-4E2A-4BA4-9223-2D27D4FB86A9}"/>
    <cellStyle name="Header2 3 2 29 2 4" xfId="20895" xr:uid="{31F57FDC-8514-4A92-B46C-E0D15B44E7BE}"/>
    <cellStyle name="Header2 3 2 29 2 5" xfId="20896" xr:uid="{EABE17F1-0860-4E91-9399-36B441B4487E}"/>
    <cellStyle name="Header2 3 2 29 2 6" xfId="20897" xr:uid="{76838FB9-E8AE-4080-9CF3-59E2C0564264}"/>
    <cellStyle name="Header2 3 2 29 3" xfId="20898" xr:uid="{CF18FB51-5869-4564-8D2D-C93138BDD8CA}"/>
    <cellStyle name="Header2 3 2 29 4" xfId="20899" xr:uid="{3C996059-30A0-4EF6-9154-0C7A8084F35A}"/>
    <cellStyle name="Header2 3 2 29 5" xfId="20900" xr:uid="{6F8AE9AA-C648-46CB-B536-6BE0B1580688}"/>
    <cellStyle name="Header2 3 2 29 6" xfId="20901" xr:uid="{E10C102F-CE09-4F1F-88AB-4464FB066DF3}"/>
    <cellStyle name="Header2 3 2 29 7" xfId="20902" xr:uid="{1CEA53C4-74FD-49CC-B4CF-8F89E990A32C}"/>
    <cellStyle name="Header2 3 2 3" xfId="959" xr:uid="{A537DC6A-DC67-40A4-B9F4-4441EABC61BF}"/>
    <cellStyle name="Header2 3 2 3 2" xfId="10137" xr:uid="{886E8CE8-3E0F-459B-BAAE-F60F9ADDDD9A}"/>
    <cellStyle name="Header2 3 2 3 2 2" xfId="20903" xr:uid="{90B2E678-2B12-4DA1-B27D-B6737D3DA9B7}"/>
    <cellStyle name="Header2 3 2 3 2 3" xfId="20904" xr:uid="{F6E8050D-573F-4549-A825-CA8E8F9D0A0F}"/>
    <cellStyle name="Header2 3 2 3 2 4" xfId="20905" xr:uid="{2D4BAF54-E4A7-4F78-983C-83B02A3E5564}"/>
    <cellStyle name="Header2 3 2 3 2 5" xfId="20906" xr:uid="{A5404739-E3F2-4C60-8B53-53C98F229701}"/>
    <cellStyle name="Header2 3 2 3 2 6" xfId="20907" xr:uid="{6CEA213D-03E4-49C8-9665-B57EE58206A7}"/>
    <cellStyle name="Header2 3 2 3 3" xfId="20908" xr:uid="{546BE08A-5466-4484-AB6D-9B29B72B2212}"/>
    <cellStyle name="Header2 3 2 3 4" xfId="20909" xr:uid="{B129A7E4-B7DF-4C9F-A9CB-F22B03E6042A}"/>
    <cellStyle name="Header2 3 2 3 5" xfId="20910" xr:uid="{875C7C37-9CF3-4711-B842-921F4C7EEEC7}"/>
    <cellStyle name="Header2 3 2 3 6" xfId="20911" xr:uid="{A3078FE4-31BF-42D5-B99C-4C586B0BB632}"/>
    <cellStyle name="Header2 3 2 3 7" xfId="20912" xr:uid="{777EE49C-0957-40D4-920C-C7CF6A411CBC}"/>
    <cellStyle name="Header2 3 2 30" xfId="960" xr:uid="{78D52A61-E49D-40DD-B1FC-D776FA1937C0}"/>
    <cellStyle name="Header2 3 2 30 2" xfId="12446" xr:uid="{A9849E9D-D7AE-42FD-A54A-E1B51D621DCD}"/>
    <cellStyle name="Header2 3 2 30 2 2" xfId="20913" xr:uid="{F110195A-428C-48E7-879C-02F3D040CACC}"/>
    <cellStyle name="Header2 3 2 30 2 3" xfId="20914" xr:uid="{4015F970-1A1C-4A25-BFB6-80127AF29003}"/>
    <cellStyle name="Header2 3 2 30 2 4" xfId="20915" xr:uid="{83DB6464-7D13-4D8D-9E27-D17C0C4CA154}"/>
    <cellStyle name="Header2 3 2 30 2 5" xfId="20916" xr:uid="{A2AB2D85-A404-4E35-8C54-892E456E7FF1}"/>
    <cellStyle name="Header2 3 2 30 2 6" xfId="20917" xr:uid="{AB23E79C-AE82-4450-A703-7EFE461D6CD3}"/>
    <cellStyle name="Header2 3 2 30 3" xfId="20918" xr:uid="{AFA8D703-F76C-4FE8-AE7E-1B9F5C126EAB}"/>
    <cellStyle name="Header2 3 2 30 4" xfId="20919" xr:uid="{443D3F25-82A2-40E2-ADF6-E255F4D708E1}"/>
    <cellStyle name="Header2 3 2 30 5" xfId="20920" xr:uid="{E2A33738-9261-497B-8887-01B5F406433A}"/>
    <cellStyle name="Header2 3 2 30 6" xfId="20921" xr:uid="{ABB841F2-7C8A-4DD7-9881-10B37BBA3469}"/>
    <cellStyle name="Header2 3 2 30 7" xfId="20922" xr:uid="{CBB80776-2DCA-4E1A-B745-4847E29AC270}"/>
    <cellStyle name="Header2 3 2 31" xfId="961" xr:uid="{D2BF3DDE-D689-41C2-A424-40554BC02E4C}"/>
    <cellStyle name="Header2 3 2 31 2" xfId="12525" xr:uid="{854A06B6-B6A0-4613-9A1B-261A39349788}"/>
    <cellStyle name="Header2 3 2 31 2 2" xfId="20923" xr:uid="{E455CDB6-2485-4C1C-9B99-287E671A090E}"/>
    <cellStyle name="Header2 3 2 31 2 3" xfId="20924" xr:uid="{1C8DF8CD-DD62-4C85-BEF5-C076414160CD}"/>
    <cellStyle name="Header2 3 2 31 2 4" xfId="20925" xr:uid="{AAFF50B4-9585-420F-B75D-B4AC28C1BE0A}"/>
    <cellStyle name="Header2 3 2 31 2 5" xfId="20926" xr:uid="{582889F6-EDA1-4E5F-BC15-BD42669529B0}"/>
    <cellStyle name="Header2 3 2 31 2 6" xfId="20927" xr:uid="{7913CA45-4FF5-4A8C-A3BA-EE9858A72B8D}"/>
    <cellStyle name="Header2 3 2 31 3" xfId="20928" xr:uid="{55C2CE8B-207F-4595-8AC0-694E7A8F8F2B}"/>
    <cellStyle name="Header2 3 2 31 4" xfId="20929" xr:uid="{80AF6898-34BD-41E6-86F1-3AD7D9D6D6DE}"/>
    <cellStyle name="Header2 3 2 31 5" xfId="20930" xr:uid="{F2C68232-EFA5-4509-9CAA-9A80A0A32D8C}"/>
    <cellStyle name="Header2 3 2 31 6" xfId="20931" xr:uid="{35332DA6-E593-45AB-85B2-0A958034C2DE}"/>
    <cellStyle name="Header2 3 2 31 7" xfId="20932" xr:uid="{CC1B810E-AE16-4C5A-9428-D7767BDE38F2}"/>
    <cellStyle name="Header2 3 2 32" xfId="962" xr:uid="{5C589B81-AF32-4642-A20E-CE7A7A7A0123}"/>
    <cellStyle name="Header2 3 2 32 2" xfId="12604" xr:uid="{4FAE4012-4D85-454D-9C47-AB4882188140}"/>
    <cellStyle name="Header2 3 2 32 2 2" xfId="20933" xr:uid="{7F70F5D3-2EF8-485F-B2D0-077CFC929244}"/>
    <cellStyle name="Header2 3 2 32 2 3" xfId="20934" xr:uid="{2F5E1AAE-7669-4F44-BDB3-2610CAC0AAB2}"/>
    <cellStyle name="Header2 3 2 32 2 4" xfId="20935" xr:uid="{8DD716E9-38B3-4DC2-926E-F9AD48AD0AB8}"/>
    <cellStyle name="Header2 3 2 32 2 5" xfId="20936" xr:uid="{7AE3B708-66BF-40C9-AE1B-F5D6AAB0B54E}"/>
    <cellStyle name="Header2 3 2 32 2 6" xfId="20937" xr:uid="{461A8CD9-E3D8-4001-9A00-B7824F1CDF52}"/>
    <cellStyle name="Header2 3 2 32 3" xfId="20938" xr:uid="{15711C3D-ADDB-4670-8AC9-3E06A15C0B77}"/>
    <cellStyle name="Header2 3 2 32 4" xfId="20939" xr:uid="{CDC20FF2-2D6D-4D9C-9A65-70E855538FCD}"/>
    <cellStyle name="Header2 3 2 32 5" xfId="20940" xr:uid="{4A252080-F750-4C0F-A446-EDC34BD6C82A}"/>
    <cellStyle name="Header2 3 2 32 6" xfId="20941" xr:uid="{6E46513E-0F9C-4655-A1B2-90550467CEEA}"/>
    <cellStyle name="Header2 3 2 32 7" xfId="20942" xr:uid="{F5B68AF8-765A-4848-BE23-CA48DB43D9B1}"/>
    <cellStyle name="Header2 3 2 33" xfId="963" xr:uid="{D959E136-7967-4CC6-93EF-D4B2BACDC195}"/>
    <cellStyle name="Header2 3 2 33 2" xfId="12683" xr:uid="{8EC93BA6-EC19-49DB-9EAC-D4D2F1E510C5}"/>
    <cellStyle name="Header2 3 2 33 2 2" xfId="20943" xr:uid="{FC6EF437-63F7-4F3B-93C8-E53D02D27DC9}"/>
    <cellStyle name="Header2 3 2 33 2 3" xfId="20944" xr:uid="{4E9ADEFA-3A69-4E59-9048-F28AB0F05AB6}"/>
    <cellStyle name="Header2 3 2 33 2 4" xfId="20945" xr:uid="{854E2F80-3B4A-4694-AEBE-B9E7575081CE}"/>
    <cellStyle name="Header2 3 2 33 2 5" xfId="20946" xr:uid="{C4D0EA0F-B941-421E-81D3-1405B3B0359D}"/>
    <cellStyle name="Header2 3 2 33 2 6" xfId="20947" xr:uid="{F5F7AD6F-4A77-4AEC-9B0B-6D1A31F53DF2}"/>
    <cellStyle name="Header2 3 2 33 3" xfId="20948" xr:uid="{1CB21BEA-CA52-43B4-BB48-5FECFC165349}"/>
    <cellStyle name="Header2 3 2 33 4" xfId="20949" xr:uid="{B129A143-7B78-44A0-BFA4-0E2B885F824A}"/>
    <cellStyle name="Header2 3 2 33 5" xfId="20950" xr:uid="{AC1E0EEE-D766-4866-9D64-8F09A42784BE}"/>
    <cellStyle name="Header2 3 2 33 6" xfId="20951" xr:uid="{ED0663E8-14E2-4C1A-9CF6-FCCAF28FF761}"/>
    <cellStyle name="Header2 3 2 33 7" xfId="20952" xr:uid="{C17234B4-26F2-4ED1-9861-934FBEC37503}"/>
    <cellStyle name="Header2 3 2 34" xfId="964" xr:uid="{75AAF39A-8696-423C-A302-2A7390A91B74}"/>
    <cellStyle name="Header2 3 2 34 2" xfId="12767" xr:uid="{90F7F79D-1BDB-4AF5-8B87-DEB2841C91AA}"/>
    <cellStyle name="Header2 3 2 34 2 2" xfId="20953" xr:uid="{6E09FF23-507A-4CFB-A93D-0A57843E0C01}"/>
    <cellStyle name="Header2 3 2 34 2 3" xfId="20954" xr:uid="{DB325282-47C4-40DD-8D1C-429A37E29142}"/>
    <cellStyle name="Header2 3 2 34 2 4" xfId="20955" xr:uid="{79FEEF55-FD7F-4F94-A4FB-6C8232AF8099}"/>
    <cellStyle name="Header2 3 2 34 2 5" xfId="20956" xr:uid="{27E7528E-8D10-4168-9F67-E00A3088517D}"/>
    <cellStyle name="Header2 3 2 34 2 6" xfId="20957" xr:uid="{76400562-C9D6-4DCC-8969-C9819FF127B0}"/>
    <cellStyle name="Header2 3 2 34 3" xfId="20958" xr:uid="{1CFA3A4D-15B1-4BAB-89BD-4688DCA6BDA5}"/>
    <cellStyle name="Header2 3 2 34 4" xfId="20959" xr:uid="{C89BC743-4E45-4AC8-90CF-39613D22407C}"/>
    <cellStyle name="Header2 3 2 34 5" xfId="20960" xr:uid="{201510A6-DF9C-4423-8673-B32E0D3AFB0B}"/>
    <cellStyle name="Header2 3 2 34 6" xfId="20961" xr:uid="{A2865772-7D04-4CE5-8347-5D57FC1D654C}"/>
    <cellStyle name="Header2 3 2 34 7" xfId="20962" xr:uid="{454EA0A9-1946-4B86-82F8-15F78E4D4D7D}"/>
    <cellStyle name="Header2 3 2 35" xfId="9833" xr:uid="{382D384F-48F5-4B65-8CF1-6A57252E8E73}"/>
    <cellStyle name="Header2 3 2 35 2" xfId="20963" xr:uid="{2CA67311-8CCF-45EA-B6C6-5289EFAD2F1E}"/>
    <cellStyle name="Header2 3 2 35 3" xfId="20964" xr:uid="{68C38751-D88D-45AF-9DD3-5E9ACBB0B3D9}"/>
    <cellStyle name="Header2 3 2 35 4" xfId="20965" xr:uid="{4B8BE914-4415-4BA2-A254-E548916D2494}"/>
    <cellStyle name="Header2 3 2 35 5" xfId="20966" xr:uid="{F11E7F08-2D0D-4BB4-99E8-5A7CF5764C65}"/>
    <cellStyle name="Header2 3 2 35 6" xfId="20967" xr:uid="{E92D35E0-64C5-4F06-A122-69925A125A09}"/>
    <cellStyle name="Header2 3 2 36" xfId="20968" xr:uid="{CCD11923-A4F2-4E70-BA92-5B8509C5AF39}"/>
    <cellStyle name="Header2 3 2 37" xfId="20969" xr:uid="{02FBAE86-A8E0-42CE-BAEB-4A30054C3828}"/>
    <cellStyle name="Header2 3 2 38" xfId="20970" xr:uid="{C0EAC15C-E682-4C04-AB3A-02AE7C81407C}"/>
    <cellStyle name="Header2 3 2 39" xfId="20971" xr:uid="{81AF920D-11FF-4FB5-BE57-D563BD401DAA}"/>
    <cellStyle name="Header2 3 2 4" xfId="965" xr:uid="{CD9E1FC7-40B8-4601-96BC-9BA2FF57EE5B}"/>
    <cellStyle name="Header2 3 2 4 2" xfId="10227" xr:uid="{E5B3D597-0BB8-4764-A677-228AD29559F5}"/>
    <cellStyle name="Header2 3 2 4 2 2" xfId="20972" xr:uid="{7462D02F-CF04-4D58-A8CA-C81805432F51}"/>
    <cellStyle name="Header2 3 2 4 2 3" xfId="20973" xr:uid="{8DA83E77-57D3-44C1-AAC7-4E4FA00071E3}"/>
    <cellStyle name="Header2 3 2 4 2 4" xfId="20974" xr:uid="{395F9FAF-595C-45FC-966E-08335A4B2F67}"/>
    <cellStyle name="Header2 3 2 4 2 5" xfId="20975" xr:uid="{E592FD3A-47F6-4258-9ECE-CCE599A2DE1E}"/>
    <cellStyle name="Header2 3 2 4 2 6" xfId="20976" xr:uid="{055A95EF-4988-48B7-86A4-A1975D9A7C4A}"/>
    <cellStyle name="Header2 3 2 4 3" xfId="20977" xr:uid="{2E0EB283-ABD0-4886-8927-A6E2234038C3}"/>
    <cellStyle name="Header2 3 2 4 4" xfId="20978" xr:uid="{9D1A7EE6-4964-444E-ACF7-3204225DCC79}"/>
    <cellStyle name="Header2 3 2 4 5" xfId="20979" xr:uid="{CBDD8370-52B2-49C5-AD1C-9DF6A60C4157}"/>
    <cellStyle name="Header2 3 2 4 6" xfId="20980" xr:uid="{65FC7DE7-10A6-4931-AAEB-1DD3BB385172}"/>
    <cellStyle name="Header2 3 2 4 7" xfId="20981" xr:uid="{C14FB612-FC5E-4ACA-BE0A-DB690D6FBE9C}"/>
    <cellStyle name="Header2 3 2 40" xfId="20982" xr:uid="{5BA21112-C76D-476A-A19A-2D0E3DC0B554}"/>
    <cellStyle name="Header2 3 2 5" xfId="966" xr:uid="{471D9333-A28B-4CC6-B2DF-BCCE6A4C95EB}"/>
    <cellStyle name="Header2 3 2 5 2" xfId="10313" xr:uid="{822CB4FC-7E87-43E2-A7D2-00D2D2C401AB}"/>
    <cellStyle name="Header2 3 2 5 2 2" xfId="20983" xr:uid="{27A04D8E-DFCC-4B8E-8EC2-7A9F42638A22}"/>
    <cellStyle name="Header2 3 2 5 2 3" xfId="20984" xr:uid="{44958438-10A1-4E6A-A7DA-481BA631F18C}"/>
    <cellStyle name="Header2 3 2 5 2 4" xfId="20985" xr:uid="{C8BC3094-E47C-4BAD-B1CD-A7A0D085A8FC}"/>
    <cellStyle name="Header2 3 2 5 2 5" xfId="20986" xr:uid="{3856315B-4ADA-4F70-A827-4568748EC47E}"/>
    <cellStyle name="Header2 3 2 5 2 6" xfId="20987" xr:uid="{E4B4291A-61DD-40AD-B900-880A73B6DD4E}"/>
    <cellStyle name="Header2 3 2 5 3" xfId="20988" xr:uid="{929D0C41-CD9F-4876-B9A8-46721DF10FA7}"/>
    <cellStyle name="Header2 3 2 5 4" xfId="20989" xr:uid="{49601E26-0B3E-4457-BE1B-B95135646559}"/>
    <cellStyle name="Header2 3 2 5 5" xfId="20990" xr:uid="{7E1B0E1B-2A37-4312-AA60-0114B954E28C}"/>
    <cellStyle name="Header2 3 2 5 6" xfId="20991" xr:uid="{B89F7D83-7285-457D-899B-41E8DF1BA880}"/>
    <cellStyle name="Header2 3 2 5 7" xfId="20992" xr:uid="{8597B995-0B5C-495F-AA10-4FD86E14F2D9}"/>
    <cellStyle name="Header2 3 2 6" xfId="967" xr:uid="{75B5E163-7762-44A9-95B3-4A852BC34F55}"/>
    <cellStyle name="Header2 3 2 6 2" xfId="10401" xr:uid="{174FEBF3-9EB3-44F4-8BE2-8774C9D5E56F}"/>
    <cellStyle name="Header2 3 2 6 2 2" xfId="20993" xr:uid="{9A610D59-F1B5-445E-A12A-A9EB19C53659}"/>
    <cellStyle name="Header2 3 2 6 2 3" xfId="20994" xr:uid="{12027D93-B87E-4173-8A0A-D4BE71C3C5C5}"/>
    <cellStyle name="Header2 3 2 6 2 4" xfId="20995" xr:uid="{4780BBF8-D472-4AE2-9315-42B293C79222}"/>
    <cellStyle name="Header2 3 2 6 2 5" xfId="20996" xr:uid="{88F54168-F8A7-474A-8F8C-BAF10B0E6084}"/>
    <cellStyle name="Header2 3 2 6 2 6" xfId="20997" xr:uid="{7299175A-C13D-4695-A819-BBD4317EE0F3}"/>
    <cellStyle name="Header2 3 2 6 3" xfId="20998" xr:uid="{E689BFBA-1914-4D25-BFC9-D29E771AFB2F}"/>
    <cellStyle name="Header2 3 2 6 4" xfId="20999" xr:uid="{8E248513-9932-44BB-95BF-11822753269E}"/>
    <cellStyle name="Header2 3 2 6 5" xfId="21000" xr:uid="{D5BAF9BE-F908-4932-9ACD-6076F3C75DC7}"/>
    <cellStyle name="Header2 3 2 6 6" xfId="21001" xr:uid="{D81F2B35-EC91-46C8-BA0F-8F3F2125D13D}"/>
    <cellStyle name="Header2 3 2 6 7" xfId="21002" xr:uid="{316A24D7-72F5-426E-AD76-C8224E0E8545}"/>
    <cellStyle name="Header2 3 2 7" xfId="968" xr:uid="{642A3911-B454-4536-983C-A68C4D44DA9C}"/>
    <cellStyle name="Header2 3 2 7 2" xfId="10488" xr:uid="{32B9ACF6-26F7-43CA-B7A8-523F6D42DA6E}"/>
    <cellStyle name="Header2 3 2 7 2 2" xfId="21003" xr:uid="{5684BC8A-86B2-4203-A819-96F994AFB8D9}"/>
    <cellStyle name="Header2 3 2 7 2 3" xfId="21004" xr:uid="{A96D0983-8DC6-434B-905C-DDC86B6FF5F5}"/>
    <cellStyle name="Header2 3 2 7 2 4" xfId="21005" xr:uid="{D83233E8-6B41-42F6-9688-BAACCCA8D5A5}"/>
    <cellStyle name="Header2 3 2 7 2 5" xfId="21006" xr:uid="{FF2564B1-A0A5-40A2-B7F4-42FC687D1788}"/>
    <cellStyle name="Header2 3 2 7 2 6" xfId="21007" xr:uid="{610D856D-5C63-478B-B106-8B46FEA73BC9}"/>
    <cellStyle name="Header2 3 2 7 3" xfId="21008" xr:uid="{9A5ACDED-4DCC-46E0-A11F-802AFD0DF060}"/>
    <cellStyle name="Header2 3 2 7 4" xfId="21009" xr:uid="{90B7FFCE-8B97-482C-8925-6A7A720A0529}"/>
    <cellStyle name="Header2 3 2 7 5" xfId="21010" xr:uid="{A8BD44A3-1185-4606-927B-291BAB619E2A}"/>
    <cellStyle name="Header2 3 2 7 6" xfId="21011" xr:uid="{E3F54BAF-78C7-4362-B58B-ABB5D0925450}"/>
    <cellStyle name="Header2 3 2 7 7" xfId="21012" xr:uid="{9CD40E15-EA1C-4850-98FA-CC763686AB76}"/>
    <cellStyle name="Header2 3 2 8" xfId="969" xr:uid="{0D6C3D14-CD20-4D6D-8FE7-20A692A667BD}"/>
    <cellStyle name="Header2 3 2 8 2" xfId="10576" xr:uid="{6C830A7B-83D4-454E-B06D-85C531432C2B}"/>
    <cellStyle name="Header2 3 2 8 2 2" xfId="21013" xr:uid="{716A5058-B913-4A12-A23C-77DA44CBB54C}"/>
    <cellStyle name="Header2 3 2 8 2 3" xfId="21014" xr:uid="{AC68DF86-C07E-48DA-BB0A-611B8B34F60C}"/>
    <cellStyle name="Header2 3 2 8 2 4" xfId="21015" xr:uid="{18C01DA5-0F06-47DD-8E24-83A2999D9B85}"/>
    <cellStyle name="Header2 3 2 8 2 5" xfId="21016" xr:uid="{BA8E6D56-2E8B-408B-A95F-7280E47FBE8C}"/>
    <cellStyle name="Header2 3 2 8 2 6" xfId="21017" xr:uid="{8A80FB1B-CA79-4C5C-B5DA-62AD0D2B9091}"/>
    <cellStyle name="Header2 3 2 8 3" xfId="21018" xr:uid="{ADA597DB-0A06-4C1A-97E5-209E31007ACE}"/>
    <cellStyle name="Header2 3 2 8 4" xfId="21019" xr:uid="{DCC94C99-8518-47B8-8001-D994F79D8786}"/>
    <cellStyle name="Header2 3 2 8 5" xfId="21020" xr:uid="{32FF70ED-1EA5-4588-BE84-A58831147E7A}"/>
    <cellStyle name="Header2 3 2 8 6" xfId="21021" xr:uid="{DD0E9AF0-718C-41DF-8A01-539AF98C3249}"/>
    <cellStyle name="Header2 3 2 8 7" xfId="21022" xr:uid="{15207B9A-9C00-47BE-9370-73A18A664923}"/>
    <cellStyle name="Header2 3 2 9" xfId="970" xr:uid="{5DF1A54A-9D66-435A-AE1C-9FA1A1ACB400}"/>
    <cellStyle name="Header2 3 2 9 2" xfId="10658" xr:uid="{CA294C42-CBA9-44B2-BA45-F1AF40F792B6}"/>
    <cellStyle name="Header2 3 2 9 2 2" xfId="21023" xr:uid="{41B2CF28-3CE5-4A4A-8810-5D9111D30A39}"/>
    <cellStyle name="Header2 3 2 9 2 3" xfId="21024" xr:uid="{80F8CC70-16FE-4E93-B096-18D2123AF8C3}"/>
    <cellStyle name="Header2 3 2 9 2 4" xfId="21025" xr:uid="{783F2879-D74B-47BC-809E-F3254293CDB3}"/>
    <cellStyle name="Header2 3 2 9 2 5" xfId="21026" xr:uid="{B5D2F9D2-4A65-43D3-84DF-9FC14285C30B}"/>
    <cellStyle name="Header2 3 2 9 2 6" xfId="21027" xr:uid="{01481B65-E184-4FDE-A774-7BA82DDA1FCE}"/>
    <cellStyle name="Header2 3 2 9 3" xfId="21028" xr:uid="{933A66BC-567E-4AC9-96D7-062423E4E9F9}"/>
    <cellStyle name="Header2 3 2 9 4" xfId="21029" xr:uid="{3803A55D-DC57-4484-8567-020AE4E852F9}"/>
    <cellStyle name="Header2 3 2 9 5" xfId="21030" xr:uid="{AFE4C296-1EF8-4F48-B0BE-E5A552A5313E}"/>
    <cellStyle name="Header2 3 2 9 6" xfId="21031" xr:uid="{953A59E4-8AB2-45F9-AC10-6E07ED095F64}"/>
    <cellStyle name="Header2 3 2 9 7" xfId="21032" xr:uid="{621F6879-5CE9-405A-9050-DFB6C993B4F9}"/>
    <cellStyle name="Header2 3 20" xfId="971" xr:uid="{89FDF9BD-0133-4D6D-8582-31F4D8859D57}"/>
    <cellStyle name="Header2 3 20 2" xfId="11505" xr:uid="{A8CA6AD5-7CB6-4716-8547-51016E72822C}"/>
    <cellStyle name="Header2 3 20 2 2" xfId="21033" xr:uid="{9D92D195-C4CD-4698-B54D-5118B2142E3F}"/>
    <cellStyle name="Header2 3 20 2 3" xfId="21034" xr:uid="{7A2E21D8-EA05-4F8B-990E-38A14597EDDA}"/>
    <cellStyle name="Header2 3 20 2 4" xfId="21035" xr:uid="{7FFCBC6B-6B28-466B-94CD-EB7CF779E23F}"/>
    <cellStyle name="Header2 3 20 2 5" xfId="21036" xr:uid="{2747946A-4FD3-4A34-A8E9-570F2F0A3823}"/>
    <cellStyle name="Header2 3 20 2 6" xfId="21037" xr:uid="{C5B11706-C183-4FE8-AF40-07045CC6F4DF}"/>
    <cellStyle name="Header2 3 20 3" xfId="21038" xr:uid="{A6645432-8455-4006-8794-9EBEEC29A528}"/>
    <cellStyle name="Header2 3 20 4" xfId="21039" xr:uid="{248FF1D9-5B47-4DEF-BD5C-E65D417178B0}"/>
    <cellStyle name="Header2 3 20 5" xfId="21040" xr:uid="{2CE41D97-B245-4534-A286-E50FF012D6D2}"/>
    <cellStyle name="Header2 3 20 6" xfId="21041" xr:uid="{94E14024-A10C-4602-A801-E9EF36117E92}"/>
    <cellStyle name="Header2 3 20 7" xfId="21042" xr:uid="{43B3877E-2A82-4E7F-950D-7597788BD23D}"/>
    <cellStyle name="Header2 3 21" xfId="972" xr:uid="{0F4EAE25-B493-4CF7-9496-A8FF58955E1F}"/>
    <cellStyle name="Header2 3 21 2" xfId="11593" xr:uid="{963D3807-D562-4E4B-ACCC-4D227C0A29E9}"/>
    <cellStyle name="Header2 3 21 2 2" xfId="21043" xr:uid="{412B4099-0F7F-4762-BBF4-D0D9C2A79D49}"/>
    <cellStyle name="Header2 3 21 2 3" xfId="21044" xr:uid="{82D77A51-9A9D-44CB-B7D1-25D494D20DA5}"/>
    <cellStyle name="Header2 3 21 2 4" xfId="21045" xr:uid="{808E8192-EF11-4B7D-AFA6-1949823AC17E}"/>
    <cellStyle name="Header2 3 21 2 5" xfId="21046" xr:uid="{80DB49DB-A439-4A54-9473-083245BF88DE}"/>
    <cellStyle name="Header2 3 21 2 6" xfId="21047" xr:uid="{C52C1E77-95BC-454C-9D13-531AF47C2B82}"/>
    <cellStyle name="Header2 3 21 3" xfId="21048" xr:uid="{8B26D600-212B-447F-BE21-B4444B111615}"/>
    <cellStyle name="Header2 3 21 4" xfId="21049" xr:uid="{70CDA4A9-34A7-4D5C-ADD3-1F9794381A6E}"/>
    <cellStyle name="Header2 3 21 5" xfId="21050" xr:uid="{2C3593D6-6E5E-4898-96D7-8282F49241A1}"/>
    <cellStyle name="Header2 3 21 6" xfId="21051" xr:uid="{18381B9F-C4EA-437B-A58D-3CE531A78E20}"/>
    <cellStyle name="Header2 3 21 7" xfId="21052" xr:uid="{60D6601C-5175-4F8F-80EB-4EF714B89DD8}"/>
    <cellStyle name="Header2 3 22" xfId="973" xr:uid="{5EC4E1FD-D5B5-4A07-B635-4C5521D96DFE}"/>
    <cellStyle name="Header2 3 22 2" xfId="11678" xr:uid="{2F9242FD-4278-4600-8A3C-1D05DBFF4253}"/>
    <cellStyle name="Header2 3 22 2 2" xfId="21053" xr:uid="{23DD09A5-D765-4157-BA58-737FA9650C91}"/>
    <cellStyle name="Header2 3 22 2 3" xfId="21054" xr:uid="{CE7E2C9B-701C-45BF-9DDF-D4A38EDC1019}"/>
    <cellStyle name="Header2 3 22 2 4" xfId="21055" xr:uid="{999EEF33-1956-419E-A725-FDCE811E2DB8}"/>
    <cellStyle name="Header2 3 22 2 5" xfId="21056" xr:uid="{08131064-999C-4F81-A886-E67074CBB741}"/>
    <cellStyle name="Header2 3 22 2 6" xfId="21057" xr:uid="{F2F7CB71-357F-407C-BF47-65CF01D07F19}"/>
    <cellStyle name="Header2 3 22 3" xfId="21058" xr:uid="{B54521C2-CBE8-4597-9975-CE93B87ECF16}"/>
    <cellStyle name="Header2 3 22 4" xfId="21059" xr:uid="{8631CB7A-E376-457F-9F87-462871F68905}"/>
    <cellStyle name="Header2 3 22 5" xfId="21060" xr:uid="{FB1EA01A-3AB4-47F0-94D2-065B56AAF153}"/>
    <cellStyle name="Header2 3 22 6" xfId="21061" xr:uid="{CC8450FD-07DE-424E-AA00-8C0A86A26492}"/>
    <cellStyle name="Header2 3 22 7" xfId="21062" xr:uid="{41EEC16C-6444-42E8-9692-F5760B3A00C0}"/>
    <cellStyle name="Header2 3 23" xfId="974" xr:uid="{4F9BAC30-C869-4023-8043-9EB8863B8A97}"/>
    <cellStyle name="Header2 3 23 2" xfId="11761" xr:uid="{4570E474-6AC8-449F-8526-A6FF289B345A}"/>
    <cellStyle name="Header2 3 23 2 2" xfId="21063" xr:uid="{D9086DD6-DD59-4D8C-B464-1914C63A3873}"/>
    <cellStyle name="Header2 3 23 2 3" xfId="21064" xr:uid="{B736D57F-17F3-466C-916A-85B66900ABB6}"/>
    <cellStyle name="Header2 3 23 2 4" xfId="21065" xr:uid="{C90B796B-A8EE-4766-823F-5CCBDED00C13}"/>
    <cellStyle name="Header2 3 23 2 5" xfId="21066" xr:uid="{1A2B072A-2F4A-43ED-A1AF-392635D85E15}"/>
    <cellStyle name="Header2 3 23 2 6" xfId="21067" xr:uid="{7082F395-0C37-410E-AAA5-A592D8513FEF}"/>
    <cellStyle name="Header2 3 23 3" xfId="21068" xr:uid="{9F8A4A95-DF6D-4195-ACB5-5845AD1FDA6C}"/>
    <cellStyle name="Header2 3 23 4" xfId="21069" xr:uid="{26DF11FA-3F2A-4C78-AFFE-8105416497AB}"/>
    <cellStyle name="Header2 3 23 5" xfId="21070" xr:uid="{40D760A9-C6FC-4936-BECD-34424ACD6E39}"/>
    <cellStyle name="Header2 3 23 6" xfId="21071" xr:uid="{0DDD8F0D-7FA9-49E6-AE83-16049C17B655}"/>
    <cellStyle name="Header2 3 23 7" xfId="21072" xr:uid="{3C774EE9-10CF-4279-8B59-1B906BA8D2BA}"/>
    <cellStyle name="Header2 3 24" xfId="975" xr:uid="{78D41A5E-AAE4-4108-AD95-01C787C83EC2}"/>
    <cellStyle name="Header2 3 24 2" xfId="11843" xr:uid="{C38C3301-ACDC-42EB-864A-4C2666A84418}"/>
    <cellStyle name="Header2 3 24 2 2" xfId="21073" xr:uid="{CA09D1CE-90C1-4BFE-92D5-B8CEE87DB5B4}"/>
    <cellStyle name="Header2 3 24 2 3" xfId="21074" xr:uid="{BE48F113-EF78-4A77-86A9-555E198BB8F1}"/>
    <cellStyle name="Header2 3 24 2 4" xfId="21075" xr:uid="{774BA051-9BB6-45ED-B26A-DF827FAF70E0}"/>
    <cellStyle name="Header2 3 24 2 5" xfId="21076" xr:uid="{D1E21A83-80C4-47F7-8303-BFD28E400A43}"/>
    <cellStyle name="Header2 3 24 2 6" xfId="21077" xr:uid="{4D40CCEE-08BF-462E-AF8A-C3493837B15C}"/>
    <cellStyle name="Header2 3 24 3" xfId="21078" xr:uid="{7D1C5D98-6B5A-4F62-B700-3B2916C1B74F}"/>
    <cellStyle name="Header2 3 24 4" xfId="21079" xr:uid="{3AD58B82-296F-4EB1-81BA-CB584DC871F6}"/>
    <cellStyle name="Header2 3 24 5" xfId="21080" xr:uid="{6875579B-B02F-4184-8576-2C279FFB6BD4}"/>
    <cellStyle name="Header2 3 24 6" xfId="21081" xr:uid="{4341D6B5-D044-477A-BB91-047CEAB58651}"/>
    <cellStyle name="Header2 3 24 7" xfId="21082" xr:uid="{2EA8E680-27E1-4FC5-B914-2366FA47B4AC}"/>
    <cellStyle name="Header2 3 25" xfId="976" xr:uid="{17DF1CC8-C61D-4C88-ACB0-BD69625F8906}"/>
    <cellStyle name="Header2 3 25 2" xfId="11927" xr:uid="{5D9D46E5-4328-4E2A-94D5-FBDEC05446BA}"/>
    <cellStyle name="Header2 3 25 2 2" xfId="21083" xr:uid="{382B9E8B-DA86-4E7B-B363-714E3959D64A}"/>
    <cellStyle name="Header2 3 25 2 3" xfId="21084" xr:uid="{1CC855C6-A8AF-4217-9903-E9A32F5C85B5}"/>
    <cellStyle name="Header2 3 25 2 4" xfId="21085" xr:uid="{1314B7ED-64CB-41EC-9EBE-9ECE067620B9}"/>
    <cellStyle name="Header2 3 25 2 5" xfId="21086" xr:uid="{C6A1C88B-347B-48E6-903B-D5D6923ECBCF}"/>
    <cellStyle name="Header2 3 25 2 6" xfId="21087" xr:uid="{6F7A20AC-C512-4477-B459-21DE013E797F}"/>
    <cellStyle name="Header2 3 25 3" xfId="21088" xr:uid="{09C9EE1B-FC79-4438-B540-FFE79D16DD7F}"/>
    <cellStyle name="Header2 3 25 4" xfId="21089" xr:uid="{DE658089-7EEF-493A-9EC8-7B2C2B9F5124}"/>
    <cellStyle name="Header2 3 25 5" xfId="21090" xr:uid="{57FF4018-544B-4F63-A5CF-7E33ACA8E720}"/>
    <cellStyle name="Header2 3 25 6" xfId="21091" xr:uid="{842DAA82-5D13-4714-8CC8-2F418031D07E}"/>
    <cellStyle name="Header2 3 25 7" xfId="21092" xr:uid="{A7E8BDBF-8809-458E-8057-B207E3343E78}"/>
    <cellStyle name="Header2 3 26" xfId="977" xr:uid="{3F32CD0D-9722-4DCF-B687-14DD6E731D18}"/>
    <cellStyle name="Header2 3 26 2" xfId="12011" xr:uid="{F6598D0B-31FF-435F-B2F0-0F1A3D794C47}"/>
    <cellStyle name="Header2 3 26 2 2" xfId="21093" xr:uid="{6FFBD9C3-F8A2-438B-A63D-E854ABD98750}"/>
    <cellStyle name="Header2 3 26 2 3" xfId="21094" xr:uid="{B2FB7B38-989D-46F2-9EB4-C03C7C90A950}"/>
    <cellStyle name="Header2 3 26 2 4" xfId="21095" xr:uid="{E40D692A-1DEB-4931-AEEC-940BF60D3A9E}"/>
    <cellStyle name="Header2 3 26 2 5" xfId="21096" xr:uid="{4DAA65F6-B919-4DA4-A3B8-3C4F1FF0C72B}"/>
    <cellStyle name="Header2 3 26 2 6" xfId="21097" xr:uid="{29848E5D-9D1C-4768-90D5-C92055304226}"/>
    <cellStyle name="Header2 3 26 3" xfId="21098" xr:uid="{25D20920-3D15-481E-9395-3A96001CD582}"/>
    <cellStyle name="Header2 3 26 4" xfId="21099" xr:uid="{DEBA3BF9-E5D6-45C0-97FD-2C7BEF591E49}"/>
    <cellStyle name="Header2 3 26 5" xfId="21100" xr:uid="{8468C3B0-7140-40FE-8A87-C08BD42E239D}"/>
    <cellStyle name="Header2 3 26 6" xfId="21101" xr:uid="{4FA73EE9-5CF2-427D-8588-B1AC011ACC20}"/>
    <cellStyle name="Header2 3 26 7" xfId="21102" xr:uid="{D04187FA-CAC6-4B2A-A7F6-F1635BDA8B0D}"/>
    <cellStyle name="Header2 3 27" xfId="978" xr:uid="{908352B3-DEC3-4B70-AACE-EDC638F64696}"/>
    <cellStyle name="Header2 3 27 2" xfId="12094" xr:uid="{275254A3-5C09-479E-BE44-BBD1A8C7A03A}"/>
    <cellStyle name="Header2 3 27 2 2" xfId="21103" xr:uid="{0D35F21B-BFF4-4070-AA51-DDD800F16DD7}"/>
    <cellStyle name="Header2 3 27 2 3" xfId="21104" xr:uid="{D6F8861B-9468-47CE-B737-A59DD7C0ABA1}"/>
    <cellStyle name="Header2 3 27 2 4" xfId="21105" xr:uid="{A4591063-DCBA-4AB0-ADC3-5BF9B36E5FFE}"/>
    <cellStyle name="Header2 3 27 2 5" xfId="21106" xr:uid="{806601C8-4CA1-4E60-A133-78391CAE2E95}"/>
    <cellStyle name="Header2 3 27 2 6" xfId="21107" xr:uid="{97806FD2-9CC9-4797-8A1B-74C8475708CD}"/>
    <cellStyle name="Header2 3 27 3" xfId="21108" xr:uid="{EDFF9EDD-706F-4D2F-9447-7EF30DEEF52E}"/>
    <cellStyle name="Header2 3 27 4" xfId="21109" xr:uid="{20D41FA4-9E08-4424-8820-722AAAC190A6}"/>
    <cellStyle name="Header2 3 27 5" xfId="21110" xr:uid="{2242AA32-2426-4CD8-8C30-49BBBE3D86F4}"/>
    <cellStyle name="Header2 3 27 6" xfId="21111" xr:uid="{207409DD-EE7A-4B6F-B125-887319DEAF12}"/>
    <cellStyle name="Header2 3 27 7" xfId="21112" xr:uid="{D6C3BF26-D059-40C1-BDC1-7D4791218335}"/>
    <cellStyle name="Header2 3 28" xfId="979" xr:uid="{D47058D9-FCF2-4A4B-B7E6-2FA630250472}"/>
    <cellStyle name="Header2 3 28 2" xfId="12176" xr:uid="{B7B68789-2CB9-47B5-A55D-03073045C941}"/>
    <cellStyle name="Header2 3 28 2 2" xfId="21113" xr:uid="{3115A2E2-5C0E-4538-87CE-8F026F5E2F30}"/>
    <cellStyle name="Header2 3 28 2 3" xfId="21114" xr:uid="{246CF08F-FFCA-44DA-ADE3-1037A4C9F33C}"/>
    <cellStyle name="Header2 3 28 2 4" xfId="21115" xr:uid="{E9F6FCE8-068E-453A-8DBB-859A6C45C3F6}"/>
    <cellStyle name="Header2 3 28 2 5" xfId="21116" xr:uid="{B2C22CD6-F56A-464E-96B6-F5692A435BCE}"/>
    <cellStyle name="Header2 3 28 2 6" xfId="21117" xr:uid="{6297A44F-89E1-41D8-AFF9-3A742775736A}"/>
    <cellStyle name="Header2 3 28 3" xfId="21118" xr:uid="{F1D7FE79-09E1-459F-9EEA-EA9F96796115}"/>
    <cellStyle name="Header2 3 28 4" xfId="21119" xr:uid="{AC3A5D72-6E15-4CEA-8E4C-41A6262E0E7A}"/>
    <cellStyle name="Header2 3 28 5" xfId="21120" xr:uid="{86FE643D-BDFD-4E4E-AF35-A30B2D287FF2}"/>
    <cellStyle name="Header2 3 28 6" xfId="21121" xr:uid="{D1BACD0A-C69E-49CA-A570-D2F1EFFEF270}"/>
    <cellStyle name="Header2 3 28 7" xfId="21122" xr:uid="{AA605F17-8E62-4CC8-93A8-DB7DD606476A}"/>
    <cellStyle name="Header2 3 29" xfId="980" xr:uid="{C338780E-D292-4DF0-BC4C-E54D1B090DD8}"/>
    <cellStyle name="Header2 3 29 2" xfId="12256" xr:uid="{FF5CD71A-AB11-4F76-9BD5-71626BBBE1AB}"/>
    <cellStyle name="Header2 3 29 2 2" xfId="21123" xr:uid="{9CCBC931-1A3F-4D9F-8A6C-420AC01DC9AF}"/>
    <cellStyle name="Header2 3 29 2 3" xfId="21124" xr:uid="{038B89AA-6927-4291-94A4-767BD278DD83}"/>
    <cellStyle name="Header2 3 29 2 4" xfId="21125" xr:uid="{8E916693-A7DA-48D8-AC7F-91D20343CCA0}"/>
    <cellStyle name="Header2 3 29 2 5" xfId="21126" xr:uid="{078560BB-7CD4-4C6C-B679-571686E2F337}"/>
    <cellStyle name="Header2 3 29 2 6" xfId="21127" xr:uid="{307D2712-7464-4627-A5EB-E00B20238FB3}"/>
    <cellStyle name="Header2 3 29 3" xfId="21128" xr:uid="{C5B35E14-1C66-40F3-B1B9-C836D54A568D}"/>
    <cellStyle name="Header2 3 29 4" xfId="21129" xr:uid="{72F84A16-13DF-4ABB-B8D9-7953CE248A58}"/>
    <cellStyle name="Header2 3 29 5" xfId="21130" xr:uid="{38E4A050-66BF-4BB8-A0B4-ADE19C91F52F}"/>
    <cellStyle name="Header2 3 29 6" xfId="21131" xr:uid="{06117601-CF97-4DB9-8964-8A185B400599}"/>
    <cellStyle name="Header2 3 29 7" xfId="21132" xr:uid="{E5BB5017-61CF-40AB-9D71-78064D8A1316}"/>
    <cellStyle name="Header2 3 3" xfId="981" xr:uid="{0719E3AF-B1D7-48CE-9D9D-E6D5AA57AE38}"/>
    <cellStyle name="Header2 3 3 2" xfId="10012" xr:uid="{5AB4A280-1C89-4E37-BC31-E3F0B7136908}"/>
    <cellStyle name="Header2 3 3 2 2" xfId="21133" xr:uid="{27F94DA0-FAED-4682-9C6B-267919049DE0}"/>
    <cellStyle name="Header2 3 3 2 3" xfId="21134" xr:uid="{153BA19E-4011-4D23-966D-9CD57BCE0BAB}"/>
    <cellStyle name="Header2 3 3 2 4" xfId="21135" xr:uid="{805BAC6C-33BD-4021-B0C8-687963C506DF}"/>
    <cellStyle name="Header2 3 3 2 5" xfId="21136" xr:uid="{801680AE-EE03-430E-BF7B-E68021458668}"/>
    <cellStyle name="Header2 3 3 2 6" xfId="21137" xr:uid="{2B7069E3-74F8-4C76-B7B7-67A9A4040EED}"/>
    <cellStyle name="Header2 3 3 3" xfId="21138" xr:uid="{264AD5C8-3EA7-44B2-B391-69C25CA208AB}"/>
    <cellStyle name="Header2 3 3 4" xfId="21139" xr:uid="{D7648D72-28A8-417B-B866-811BEAE3CEA6}"/>
    <cellStyle name="Header2 3 3 5" xfId="21140" xr:uid="{844EA669-9281-44D6-80F7-2BA259DADE6C}"/>
    <cellStyle name="Header2 3 3 6" xfId="21141" xr:uid="{1FC6017A-072A-4FB3-B85F-FA41F59CE24F}"/>
    <cellStyle name="Header2 3 3 7" xfId="21142" xr:uid="{1C8B8F03-7CB6-4CA9-A52F-9CB67C62D83A}"/>
    <cellStyle name="Header2 3 30" xfId="982" xr:uid="{ECDFA904-D4AA-444C-B96C-55401ED2F284}"/>
    <cellStyle name="Header2 3 30 2" xfId="12334" xr:uid="{393D3C21-25C2-475F-B15F-B275C859649A}"/>
    <cellStyle name="Header2 3 30 2 2" xfId="21143" xr:uid="{0246214E-C815-47A7-AC2F-636266A637B8}"/>
    <cellStyle name="Header2 3 30 2 3" xfId="21144" xr:uid="{25460A8A-9DCF-4439-B438-6BF0173EF849}"/>
    <cellStyle name="Header2 3 30 2 4" xfId="21145" xr:uid="{1EA077BF-3571-48CD-BBA7-491E21F74AE7}"/>
    <cellStyle name="Header2 3 30 2 5" xfId="21146" xr:uid="{A43FB58E-67D0-4770-A9A7-CCD974353683}"/>
    <cellStyle name="Header2 3 30 2 6" xfId="21147" xr:uid="{DEE75CF7-9C62-4C9A-BA25-59FA303EC041}"/>
    <cellStyle name="Header2 3 30 3" xfId="21148" xr:uid="{BCE78ECE-C640-4E3C-A9C7-F16E4B5D380D}"/>
    <cellStyle name="Header2 3 30 4" xfId="21149" xr:uid="{F4B297F0-BF30-4BC2-8E27-77B01B8D03FB}"/>
    <cellStyle name="Header2 3 30 5" xfId="21150" xr:uid="{1C231544-8A06-4BDC-89E3-6BF71904DD2E}"/>
    <cellStyle name="Header2 3 30 6" xfId="21151" xr:uid="{B7BA73D6-AD3B-4589-9C24-B1CE22B26BA3}"/>
    <cellStyle name="Header2 3 30 7" xfId="21152" xr:uid="{CDF63CD5-B694-4B04-8B02-51890E00717E}"/>
    <cellStyle name="Header2 3 31" xfId="983" xr:uid="{950BF05A-7154-4EF7-B654-BC3814D0C9A0}"/>
    <cellStyle name="Header2 3 31 2" xfId="12413" xr:uid="{AA021EAC-B6DC-4A8A-8104-EEB283787C56}"/>
    <cellStyle name="Header2 3 31 2 2" xfId="21153" xr:uid="{612C8BEF-B1CD-4C9A-BAE1-8FF7EAC00E77}"/>
    <cellStyle name="Header2 3 31 2 3" xfId="21154" xr:uid="{D6630CF5-8B43-4768-BFF5-42CAECDAED35}"/>
    <cellStyle name="Header2 3 31 2 4" xfId="21155" xr:uid="{406D6ED0-B4D9-4256-83E5-9EF155953A92}"/>
    <cellStyle name="Header2 3 31 2 5" xfId="21156" xr:uid="{6AB7C54A-5BD4-4DE3-A55D-33F6E65D0367}"/>
    <cellStyle name="Header2 3 31 2 6" xfId="21157" xr:uid="{1FF044AB-7AE4-4F80-AA7A-A10F6EF1B81C}"/>
    <cellStyle name="Header2 3 31 3" xfId="21158" xr:uid="{EA71EC85-982D-468D-8EB6-C0458153E450}"/>
    <cellStyle name="Header2 3 31 4" xfId="21159" xr:uid="{58644557-6DF0-48B5-BBF9-456F71B68829}"/>
    <cellStyle name="Header2 3 31 5" xfId="21160" xr:uid="{77F2A107-B67A-4AD1-9DA2-21120E59C5DF}"/>
    <cellStyle name="Header2 3 31 6" xfId="21161" xr:uid="{5A843623-4A7E-4B12-B032-2D4C63D5686F}"/>
    <cellStyle name="Header2 3 31 7" xfId="21162" xr:uid="{96ADE2D5-CC8A-4537-BBAC-835AA4D6253F}"/>
    <cellStyle name="Header2 3 32" xfId="984" xr:uid="{11B956E5-54E4-4230-9C0F-127A4D9752B8}"/>
    <cellStyle name="Header2 3 32 2" xfId="12492" xr:uid="{4259F9D0-6134-48A1-804C-1C06ADC7EB54}"/>
    <cellStyle name="Header2 3 32 2 2" xfId="21163" xr:uid="{FD8670E7-E2E8-4B63-9EA9-1645022E54DB}"/>
    <cellStyle name="Header2 3 32 2 3" xfId="21164" xr:uid="{EBEE529F-5699-4DCB-9A34-CC65894113AB}"/>
    <cellStyle name="Header2 3 32 2 4" xfId="21165" xr:uid="{16EB8A51-DBBB-4286-9227-E678E9FC8DAF}"/>
    <cellStyle name="Header2 3 32 2 5" xfId="21166" xr:uid="{65E8F5AA-0DF2-4514-B87C-4BF9763AB897}"/>
    <cellStyle name="Header2 3 32 2 6" xfId="21167" xr:uid="{EAB58B46-A14F-417F-A185-06778F8703D3}"/>
    <cellStyle name="Header2 3 32 3" xfId="21168" xr:uid="{26D04577-4500-4E7C-83DD-E7F321A27553}"/>
    <cellStyle name="Header2 3 32 4" xfId="21169" xr:uid="{27D3E530-0B1A-4887-9E27-18E4A8BFBA6B}"/>
    <cellStyle name="Header2 3 32 5" xfId="21170" xr:uid="{E5EEAE6B-AEDD-4389-9AFC-A9A91E3D505D}"/>
    <cellStyle name="Header2 3 32 6" xfId="21171" xr:uid="{89D84F33-4EA0-4320-AECE-8C7621FA21E0}"/>
    <cellStyle name="Header2 3 32 7" xfId="21172" xr:uid="{4AC4E9CB-69A4-4E9A-8D8E-BE6E01E9B24B}"/>
    <cellStyle name="Header2 3 33" xfId="985" xr:uid="{7C0FC92F-859C-4AFA-96B9-37A1E868321C}"/>
    <cellStyle name="Header2 3 33 2" xfId="12571" xr:uid="{A724F735-57AD-48D5-85C6-73E68509E1CB}"/>
    <cellStyle name="Header2 3 33 2 2" xfId="21173" xr:uid="{EB72CED0-18F0-4447-9AF9-F571A2CB27C2}"/>
    <cellStyle name="Header2 3 33 2 3" xfId="21174" xr:uid="{5B18D535-DF9E-4AFE-893C-85218D563A07}"/>
    <cellStyle name="Header2 3 33 2 4" xfId="21175" xr:uid="{C5FD1A51-CA58-401A-A962-F88CF93B7E81}"/>
    <cellStyle name="Header2 3 33 2 5" xfId="21176" xr:uid="{B1BEF116-A29F-4CA1-8F23-2C2FFE8D047B}"/>
    <cellStyle name="Header2 3 33 2 6" xfId="21177" xr:uid="{D7AB8723-5907-4E27-B463-C285BBD6E2EA}"/>
    <cellStyle name="Header2 3 33 3" xfId="21178" xr:uid="{CB5E8764-40FB-4FCA-82B9-EA29C3BAF443}"/>
    <cellStyle name="Header2 3 33 4" xfId="21179" xr:uid="{12E81F9C-14C2-472D-AF4D-41B026A8CB3E}"/>
    <cellStyle name="Header2 3 33 5" xfId="21180" xr:uid="{FFC6F9FE-6399-43A6-8C8B-A36DC3E9E296}"/>
    <cellStyle name="Header2 3 33 6" xfId="21181" xr:uid="{09279747-2C71-40FD-98EA-F3554274F6E0}"/>
    <cellStyle name="Header2 3 33 7" xfId="21182" xr:uid="{4A7AC50E-2B08-4CCC-B5B9-48467F670CAB}"/>
    <cellStyle name="Header2 3 34" xfId="986" xr:uid="{47633371-7434-406D-BC02-80FB8605013E}"/>
    <cellStyle name="Header2 3 34 2" xfId="12650" xr:uid="{DCDB1D16-39BC-4DB2-93A5-5E9729C37B6D}"/>
    <cellStyle name="Header2 3 34 2 2" xfId="21183" xr:uid="{0D2050F9-2561-4263-A175-70217D44BD21}"/>
    <cellStyle name="Header2 3 34 2 3" xfId="21184" xr:uid="{8886A7CD-191C-413B-9431-FA5A966C7ABC}"/>
    <cellStyle name="Header2 3 34 2 4" xfId="21185" xr:uid="{005327A1-60C1-4BBC-9F81-F3724A755CE9}"/>
    <cellStyle name="Header2 3 34 2 5" xfId="21186" xr:uid="{E7EF381E-06CA-41AC-8888-BBAB31ED98CA}"/>
    <cellStyle name="Header2 3 34 2 6" xfId="21187" xr:uid="{17C0C164-80BC-4380-B12C-4D2A81250274}"/>
    <cellStyle name="Header2 3 34 3" xfId="21188" xr:uid="{45CB06E6-3257-4810-BE6E-54172B8EEF15}"/>
    <cellStyle name="Header2 3 34 4" xfId="21189" xr:uid="{1C4AEE50-6400-490F-8807-290053742F0A}"/>
    <cellStyle name="Header2 3 34 5" xfId="21190" xr:uid="{1CF16023-22A8-4048-98B9-153EB4255752}"/>
    <cellStyle name="Header2 3 34 6" xfId="21191" xr:uid="{260D0D04-21A4-40F8-9C57-09D27A1DA099}"/>
    <cellStyle name="Header2 3 34 7" xfId="21192" xr:uid="{1346D639-F896-45C5-959F-DC360648D1BF}"/>
    <cellStyle name="Header2 3 35" xfId="987" xr:uid="{C53B2B89-FED1-45A1-A6E0-1A839886F848}"/>
    <cellStyle name="Header2 3 35 2" xfId="12734" xr:uid="{DAEB714F-8A0E-41B5-9268-EEF30B9C05A5}"/>
    <cellStyle name="Header2 3 35 2 2" xfId="21193" xr:uid="{D5431A61-46C0-4791-87C4-9C69A8BAE8CC}"/>
    <cellStyle name="Header2 3 35 2 3" xfId="21194" xr:uid="{B657DE41-9239-4C3C-9BA4-1B773136E18A}"/>
    <cellStyle name="Header2 3 35 2 4" xfId="21195" xr:uid="{D958A7D8-9BA1-4B56-9542-A2F335E35531}"/>
    <cellStyle name="Header2 3 35 2 5" xfId="21196" xr:uid="{046B0AA7-3A03-416F-BB26-54529F1A2985}"/>
    <cellStyle name="Header2 3 35 2 6" xfId="21197" xr:uid="{705F84F3-4B71-4057-9F0E-E3155EB0BA8D}"/>
    <cellStyle name="Header2 3 35 3" xfId="21198" xr:uid="{1D01D5D1-79AA-4CEE-8D86-13EC6C9AF089}"/>
    <cellStyle name="Header2 3 35 4" xfId="21199" xr:uid="{C1522D6D-182B-426D-9CDB-7359AA59D915}"/>
    <cellStyle name="Header2 3 35 5" xfId="21200" xr:uid="{7BD905B6-4061-4EBB-906B-956E28D20381}"/>
    <cellStyle name="Header2 3 35 6" xfId="21201" xr:uid="{D4EE5D57-891A-410A-A689-82D6CE87A0EA}"/>
    <cellStyle name="Header2 3 35 7" xfId="21202" xr:uid="{57956649-E073-45D0-96DE-E3D297103857}"/>
    <cellStyle name="Header2 3 36" xfId="9799" xr:uid="{F12870A2-24D4-4D7E-85F4-6F6F91C96497}"/>
    <cellStyle name="Header2 3 36 2" xfId="21203" xr:uid="{14B94A43-A431-4FC8-A2F5-650A8CDB83EE}"/>
    <cellStyle name="Header2 3 36 3" xfId="21204" xr:uid="{388BCBC9-58D3-4AFF-9BC4-D90187669B4A}"/>
    <cellStyle name="Header2 3 36 4" xfId="21205" xr:uid="{B43FDEC0-452C-453A-864A-C69107F37F61}"/>
    <cellStyle name="Header2 3 36 5" xfId="21206" xr:uid="{57FDCFA4-3E31-4B70-AD90-9D09FEE23176}"/>
    <cellStyle name="Header2 3 36 6" xfId="21207" xr:uid="{3D7533F3-2A4B-410E-8B28-58345D4BB1AB}"/>
    <cellStyle name="Header2 3 37" xfId="21208" xr:uid="{BAA1D4BC-4E17-4E6E-9272-8553ADE9195E}"/>
    <cellStyle name="Header2 3 38" xfId="21209" xr:uid="{33A5A553-F288-48DF-93B2-D17F2A80F658}"/>
    <cellStyle name="Header2 3 39" xfId="21210" xr:uid="{7FB98325-C82E-4D54-8159-160C00E27AAD}"/>
    <cellStyle name="Header2 3 4" xfId="988" xr:uid="{7A11000A-34A5-408B-A1C7-6FA97EA873B2}"/>
    <cellStyle name="Header2 3 4 2" xfId="10103" xr:uid="{0C3317B6-5573-41BA-86E0-BF038099C6E8}"/>
    <cellStyle name="Header2 3 4 2 2" xfId="21211" xr:uid="{474D322D-3EC0-446C-B0FD-A7CB9FE8B24E}"/>
    <cellStyle name="Header2 3 4 2 3" xfId="21212" xr:uid="{5917D57D-D8DC-4536-87AE-5496C38E6D46}"/>
    <cellStyle name="Header2 3 4 2 4" xfId="21213" xr:uid="{34BB9F25-80B7-46F4-AAAF-FEC5435AED2C}"/>
    <cellStyle name="Header2 3 4 2 5" xfId="21214" xr:uid="{295414A7-7BE2-41DF-BC6F-74BA793AAC86}"/>
    <cellStyle name="Header2 3 4 2 6" xfId="21215" xr:uid="{D8078AE8-7D01-4F88-BBF4-F4C7924D3988}"/>
    <cellStyle name="Header2 3 4 3" xfId="21216" xr:uid="{CFB92022-D23B-42D9-B545-96BB57856F93}"/>
    <cellStyle name="Header2 3 4 4" xfId="21217" xr:uid="{C5E32512-68A2-4266-ADC5-A11BB581D730}"/>
    <cellStyle name="Header2 3 4 5" xfId="21218" xr:uid="{941FA04F-3E11-4F36-93A0-7CA18B5223BD}"/>
    <cellStyle name="Header2 3 4 6" xfId="21219" xr:uid="{73634452-21A2-4DEE-8761-1CFD1AED5D25}"/>
    <cellStyle name="Header2 3 4 7" xfId="21220" xr:uid="{7093602A-6368-49BA-BA3F-2E92FEE5EDC8}"/>
    <cellStyle name="Header2 3 40" xfId="21221" xr:uid="{559B0FCD-19A3-482A-A91C-E51B70B74317}"/>
    <cellStyle name="Header2 3 41" xfId="21222" xr:uid="{C4C87375-3DC5-4412-BCBA-E786ADAB09F1}"/>
    <cellStyle name="Header2 3 5" xfId="989" xr:uid="{A2262123-2D23-4207-8990-496101ECCEE8}"/>
    <cellStyle name="Header2 3 5 2" xfId="10193" xr:uid="{6E3C6EE8-7A98-4F65-8CF1-99BBFD8DB97E}"/>
    <cellStyle name="Header2 3 5 2 2" xfId="21223" xr:uid="{A9704727-DDBB-40ED-8CCF-1BDA1AE3B213}"/>
    <cellStyle name="Header2 3 5 2 3" xfId="21224" xr:uid="{9F2122DC-55C6-47C1-9610-2245A90E16E6}"/>
    <cellStyle name="Header2 3 5 2 4" xfId="21225" xr:uid="{5BBB8509-8C7F-437D-89EE-BD28E50A0860}"/>
    <cellStyle name="Header2 3 5 2 5" xfId="21226" xr:uid="{11678083-34B6-4CB1-ACA4-D4B7BB0AC2B4}"/>
    <cellStyle name="Header2 3 5 2 6" xfId="21227" xr:uid="{6806ADE7-EB30-42D5-811E-539D6925BDAC}"/>
    <cellStyle name="Header2 3 5 3" xfId="21228" xr:uid="{DF79B440-1611-429A-B25B-2FB832D1D6D3}"/>
    <cellStyle name="Header2 3 5 4" xfId="21229" xr:uid="{A928595E-EAAB-4CBC-A22C-DB3E4C55D87B}"/>
    <cellStyle name="Header2 3 5 5" xfId="21230" xr:uid="{4D782C40-526F-4C88-9C7F-9A143A5C48CB}"/>
    <cellStyle name="Header2 3 5 6" xfId="21231" xr:uid="{AF93D7AC-43C2-4941-9FA9-DD2E310430BD}"/>
    <cellStyle name="Header2 3 5 7" xfId="21232" xr:uid="{2EF19892-67EE-4D0A-84A0-A7E4CD99DE3C}"/>
    <cellStyle name="Header2 3 6" xfId="990" xr:uid="{C443B7D4-F554-4C84-A2E2-62D710B71559}"/>
    <cellStyle name="Header2 3 6 2" xfId="10279" xr:uid="{B28763B6-0553-444C-9891-31BB7CE0BAB5}"/>
    <cellStyle name="Header2 3 6 2 2" xfId="21233" xr:uid="{D22D4E54-4068-46F6-90FE-363887217725}"/>
    <cellStyle name="Header2 3 6 2 3" xfId="21234" xr:uid="{362F3F15-7859-4DF5-AA2D-5340A694DFDA}"/>
    <cellStyle name="Header2 3 6 2 4" xfId="21235" xr:uid="{266836FC-7D15-466D-8859-CD168D10C130}"/>
    <cellStyle name="Header2 3 6 2 5" xfId="21236" xr:uid="{0EA42614-712A-4735-BBB0-855D4F63057B}"/>
    <cellStyle name="Header2 3 6 2 6" xfId="21237" xr:uid="{044375F1-DF49-4C41-A1CD-D10AA0C6FF5F}"/>
    <cellStyle name="Header2 3 6 3" xfId="21238" xr:uid="{5B599C0D-4CCA-45BB-9C02-C74CD1E876BA}"/>
    <cellStyle name="Header2 3 6 4" xfId="21239" xr:uid="{614E179A-0D57-4120-AE09-148532CBBF84}"/>
    <cellStyle name="Header2 3 6 5" xfId="21240" xr:uid="{F685BDEF-E6E4-45DA-8323-C7A87E4859A5}"/>
    <cellStyle name="Header2 3 6 6" xfId="21241" xr:uid="{B5801E8F-7347-4035-A2F5-02A135F70B0C}"/>
    <cellStyle name="Header2 3 6 7" xfId="21242" xr:uid="{7D1E06B1-0B0D-4C91-A4E0-96FA04935A06}"/>
    <cellStyle name="Header2 3 7" xfId="991" xr:uid="{2237666C-4C19-4B97-B408-8780793DC1FA}"/>
    <cellStyle name="Header2 3 7 2" xfId="10367" xr:uid="{8553263E-F70E-459C-8B0F-A34D16334F42}"/>
    <cellStyle name="Header2 3 7 2 2" xfId="21243" xr:uid="{762DC9D2-8764-48E6-8037-F2A4F4C44A2E}"/>
    <cellStyle name="Header2 3 7 2 3" xfId="21244" xr:uid="{3555A574-F7C1-4347-AFDE-0EA23AC059E1}"/>
    <cellStyle name="Header2 3 7 2 4" xfId="21245" xr:uid="{F4FD1FFA-2B0D-4561-8751-2042D84EB3E2}"/>
    <cellStyle name="Header2 3 7 2 5" xfId="21246" xr:uid="{0F4B2CCB-3766-4BE5-83E4-1815030E4C99}"/>
    <cellStyle name="Header2 3 7 2 6" xfId="21247" xr:uid="{A7393D06-037D-4594-B7F6-C10D143DAA07}"/>
    <cellStyle name="Header2 3 7 3" xfId="21248" xr:uid="{7A1FFCFD-0BAE-4D63-B8CF-319D9A0A7680}"/>
    <cellStyle name="Header2 3 7 4" xfId="21249" xr:uid="{1C78FE59-51F7-4DE8-97F5-4FE307FDB986}"/>
    <cellStyle name="Header2 3 7 5" xfId="21250" xr:uid="{F56629C4-5D79-4621-A533-E4822EDBAA44}"/>
    <cellStyle name="Header2 3 7 6" xfId="21251" xr:uid="{EE864C6F-8A36-44E2-87A1-5148227E4520}"/>
    <cellStyle name="Header2 3 7 7" xfId="21252" xr:uid="{666D09FD-BA0C-4D88-B00C-266DC02ABD1A}"/>
    <cellStyle name="Header2 3 8" xfId="992" xr:uid="{F9266105-BE61-44E0-8110-752F170DF968}"/>
    <cellStyle name="Header2 3 8 2" xfId="10454" xr:uid="{DD9A2702-5345-4AE0-904E-D785200D9F8E}"/>
    <cellStyle name="Header2 3 8 2 2" xfId="21253" xr:uid="{AF165BE0-5849-4048-8DA7-611A2E0083AD}"/>
    <cellStyle name="Header2 3 8 2 3" xfId="21254" xr:uid="{35359833-B3F4-42F3-AE5A-FC80581EA852}"/>
    <cellStyle name="Header2 3 8 2 4" xfId="21255" xr:uid="{DEED072E-61DF-4A89-9D33-E5E09D009BA6}"/>
    <cellStyle name="Header2 3 8 2 5" xfId="21256" xr:uid="{0D151D22-673B-449C-85AA-BEEFBCAC36E1}"/>
    <cellStyle name="Header2 3 8 2 6" xfId="21257" xr:uid="{C3E44A03-7BAC-484D-A91F-2E94B611022A}"/>
    <cellStyle name="Header2 3 8 3" xfId="21258" xr:uid="{45316056-8406-4276-A22C-9E8233586770}"/>
    <cellStyle name="Header2 3 8 4" xfId="21259" xr:uid="{A8A08EF9-2053-440F-A3BF-C8B80EFF6459}"/>
    <cellStyle name="Header2 3 8 5" xfId="21260" xr:uid="{B00648B4-D621-4300-8CE3-848D37FE4373}"/>
    <cellStyle name="Header2 3 8 6" xfId="21261" xr:uid="{8B59E64D-DF4D-461D-847C-CFCAD62E1B89}"/>
    <cellStyle name="Header2 3 8 7" xfId="21262" xr:uid="{A9026D72-D2BA-408A-9E17-E3C80EBC5E5F}"/>
    <cellStyle name="Header2 3 9" xfId="993" xr:uid="{DFA239B9-9363-4C50-BC37-D6B558D3F741}"/>
    <cellStyle name="Header2 3 9 2" xfId="10543" xr:uid="{FE3AED3E-C7FD-4D1B-8A28-20DB567798D5}"/>
    <cellStyle name="Header2 3 9 2 2" xfId="21263" xr:uid="{D3BAE778-A044-4F30-B38B-38A46A7749E1}"/>
    <cellStyle name="Header2 3 9 2 3" xfId="21264" xr:uid="{6880F8F7-FDE3-43B5-83E4-0C230A585C64}"/>
    <cellStyle name="Header2 3 9 2 4" xfId="21265" xr:uid="{4FE12360-0922-4920-9B12-3909A188F960}"/>
    <cellStyle name="Header2 3 9 2 5" xfId="21266" xr:uid="{75BB0788-95AE-4B61-8DC5-1843923B8127}"/>
    <cellStyle name="Header2 3 9 2 6" xfId="21267" xr:uid="{D5D32F22-0CEC-4089-BAA1-764E913DF55B}"/>
    <cellStyle name="Header2 3 9 3" xfId="21268" xr:uid="{65133A9E-6333-4CA3-B19D-C44ED4236CBB}"/>
    <cellStyle name="Header2 3 9 4" xfId="21269" xr:uid="{EC1A4567-E0EC-45B3-BB68-881A87BE97DC}"/>
    <cellStyle name="Header2 3 9 5" xfId="21270" xr:uid="{7BF0E97B-4944-4BAD-8B95-F774F08D8D7B}"/>
    <cellStyle name="Header2 3 9 6" xfId="21271" xr:uid="{C4C521A1-23E7-48C4-819E-E9A18593C972}"/>
    <cellStyle name="Header2 3 9 7" xfId="21272" xr:uid="{BCBCE38B-BA7E-46F6-92C8-FF3896320399}"/>
    <cellStyle name="Header2 30" xfId="994" xr:uid="{E9EEAF77-464B-4743-BE33-AF3EF2BCC11D}"/>
    <cellStyle name="Header2 30 2" xfId="11855" xr:uid="{773AC8A1-409F-4501-956C-1E8BBF9ECBC5}"/>
    <cellStyle name="Header2 30 2 2" xfId="21273" xr:uid="{92B39A92-2138-4085-9766-49BED4898944}"/>
    <cellStyle name="Header2 30 2 3" xfId="21274" xr:uid="{BE94B6ED-D276-4095-8C35-311B7C0543B2}"/>
    <cellStyle name="Header2 30 2 4" xfId="21275" xr:uid="{6C02B4FB-FEBF-48C0-9558-EBF7DAF0CEFB}"/>
    <cellStyle name="Header2 30 2 5" xfId="21276" xr:uid="{026354BD-4F74-446C-A5A7-C5DE664786F9}"/>
    <cellStyle name="Header2 30 2 6" xfId="21277" xr:uid="{C6B3E1E2-743D-4180-A643-E90E6E687CED}"/>
    <cellStyle name="Header2 30 3" xfId="21278" xr:uid="{3A952FD7-042C-457B-AC60-48FB15EC6CEF}"/>
    <cellStyle name="Header2 30 4" xfId="21279" xr:uid="{FE477F52-6B2D-420C-9F74-FADAC23E1333}"/>
    <cellStyle name="Header2 30 5" xfId="21280" xr:uid="{A6DEB4E2-B447-4605-8967-3FA98D57DD93}"/>
    <cellStyle name="Header2 30 6" xfId="21281" xr:uid="{57ADA7B5-8D35-444F-B6C6-1E12E36E304C}"/>
    <cellStyle name="Header2 30 7" xfId="21282" xr:uid="{C247F65D-C939-4C5F-9B84-54AAAE96D591}"/>
    <cellStyle name="Header2 31" xfId="995" xr:uid="{D2BD5357-D342-4CB1-B376-CB9344F9196F}"/>
    <cellStyle name="Header2 31 2" xfId="10866" xr:uid="{B6B03BBE-0DC4-407D-8E51-DF74129804DD}"/>
    <cellStyle name="Header2 31 2 2" xfId="21283" xr:uid="{E350521B-444E-4157-8CE8-6478D1144C99}"/>
    <cellStyle name="Header2 31 2 3" xfId="21284" xr:uid="{301988BD-6D75-4F4E-8055-C02DAA4354BF}"/>
    <cellStyle name="Header2 31 2 4" xfId="21285" xr:uid="{369255DA-27E8-4CCC-8B33-D055DBED6C6C}"/>
    <cellStyle name="Header2 31 2 5" xfId="21286" xr:uid="{6EDA24A6-EB21-465B-8369-C7D96E1392F0}"/>
    <cellStyle name="Header2 31 2 6" xfId="21287" xr:uid="{BF982B2E-F3E5-4841-B4A4-49EF7D4B3F6D}"/>
    <cellStyle name="Header2 31 3" xfId="21288" xr:uid="{46543C16-2509-406A-A105-2CCDFB4B4A58}"/>
    <cellStyle name="Header2 31 4" xfId="21289" xr:uid="{C03B7105-050A-4E63-AC7C-28B0432C0A04}"/>
    <cellStyle name="Header2 31 5" xfId="21290" xr:uid="{7FAA54A1-5DD5-4E71-8C48-AC9C9A909FF3}"/>
    <cellStyle name="Header2 31 6" xfId="21291" xr:uid="{E5F498AB-CCC4-44A4-AD55-DD1A4615EAB7}"/>
    <cellStyle name="Header2 31 7" xfId="21292" xr:uid="{7F616432-ED1E-4FED-AE47-FFFD4D592CDB}"/>
    <cellStyle name="Header2 32" xfId="996" xr:uid="{D932196D-BFC5-4CA7-AF7E-4AE9FFCB2C27}"/>
    <cellStyle name="Header2 32 2" xfId="11130" xr:uid="{51C3A000-3A2E-47F0-A55C-91CFD4002041}"/>
    <cellStyle name="Header2 32 2 2" xfId="21293" xr:uid="{027A041E-73CE-4F36-8146-134FA641D1E0}"/>
    <cellStyle name="Header2 32 2 3" xfId="21294" xr:uid="{6E15FEDC-B81D-48EB-8BDE-DA3108629121}"/>
    <cellStyle name="Header2 32 2 4" xfId="21295" xr:uid="{29387C07-2253-4CF8-9FCA-37197EDF0674}"/>
    <cellStyle name="Header2 32 2 5" xfId="21296" xr:uid="{7C39789C-DEA8-4167-B76D-0EB63BB4D0E1}"/>
    <cellStyle name="Header2 32 2 6" xfId="21297" xr:uid="{7243069E-CBF3-4C94-BC23-AC0A86CD8764}"/>
    <cellStyle name="Header2 32 3" xfId="21298" xr:uid="{4D523F93-35AF-4728-9AEA-4E9E7763C922}"/>
    <cellStyle name="Header2 32 4" xfId="21299" xr:uid="{A48766E8-DE26-4763-A777-E44F515E6F85}"/>
    <cellStyle name="Header2 32 5" xfId="21300" xr:uid="{EE9E61E3-3763-40FC-A238-E021FD45CD47}"/>
    <cellStyle name="Header2 32 6" xfId="21301" xr:uid="{214B66EF-17B9-4695-9870-F6D04426863E}"/>
    <cellStyle name="Header2 32 7" xfId="21302" xr:uid="{35D98D37-4DE8-4554-8507-4B394CCD708B}"/>
    <cellStyle name="Header2 33" xfId="997" xr:uid="{17FC1039-718F-4CA3-AD2D-9BF84ADF65E6}"/>
    <cellStyle name="Header2 33 2" xfId="11393" xr:uid="{27F1EFEC-E1A5-443C-AA5A-31D3B3DD79A9}"/>
    <cellStyle name="Header2 33 2 2" xfId="21303" xr:uid="{707488C0-5034-47AF-97B7-EE4B73C9EC31}"/>
    <cellStyle name="Header2 33 2 3" xfId="21304" xr:uid="{BB9A638C-E052-4E42-81AB-24032817C1E0}"/>
    <cellStyle name="Header2 33 2 4" xfId="21305" xr:uid="{6BB88D78-FF42-4F09-9D36-FECC1FEBF8E8}"/>
    <cellStyle name="Header2 33 2 5" xfId="21306" xr:uid="{3ED3FB39-4D0A-4396-A2BF-7F4622F5C16A}"/>
    <cellStyle name="Header2 33 2 6" xfId="21307" xr:uid="{026BEC7D-AB88-4685-8F2D-5ACA0D70C363}"/>
    <cellStyle name="Header2 33 3" xfId="21308" xr:uid="{E9A460FA-615F-4B50-8024-BB2C936F4783}"/>
    <cellStyle name="Header2 33 4" xfId="21309" xr:uid="{B11D4947-6C97-4392-AF61-2C65A4727759}"/>
    <cellStyle name="Header2 33 5" xfId="21310" xr:uid="{6B0B3E24-ED5C-4550-BD09-C868F8F79740}"/>
    <cellStyle name="Header2 33 6" xfId="21311" xr:uid="{DAEFC65A-ACE2-49D0-BB0D-D8F882232CF4}"/>
    <cellStyle name="Header2 33 7" xfId="21312" xr:uid="{20E88BBC-8CBA-437D-BEAD-B1C4466B4FFA}"/>
    <cellStyle name="Header2 34" xfId="998" xr:uid="{176A935A-9280-4EC7-8348-EC6FF9491988}"/>
    <cellStyle name="Header2 34 2" xfId="11650" xr:uid="{7E3ACFFD-DFF0-457D-B653-EB09568864CA}"/>
    <cellStyle name="Header2 34 2 2" xfId="21313" xr:uid="{BDB8FE92-EA38-4187-B392-F40329648D13}"/>
    <cellStyle name="Header2 34 2 3" xfId="21314" xr:uid="{368BFB8D-550D-4185-92E8-4F3BED588BC4}"/>
    <cellStyle name="Header2 34 2 4" xfId="21315" xr:uid="{70763F57-E72A-4B8B-964C-72825AA78812}"/>
    <cellStyle name="Header2 34 2 5" xfId="21316" xr:uid="{6A4ECAFA-5395-49F2-A8D1-D63498EF352C}"/>
    <cellStyle name="Header2 34 2 6" xfId="21317" xr:uid="{E3778FC9-F0A7-4D47-BB12-B0385BDBCFCC}"/>
    <cellStyle name="Header2 34 3" xfId="21318" xr:uid="{48C04DC3-A77C-4ADB-BC20-45D7BD329599}"/>
    <cellStyle name="Header2 34 4" xfId="21319" xr:uid="{4CA28196-ACAC-4280-9B61-AE8A2FB9F921}"/>
    <cellStyle name="Header2 34 5" xfId="21320" xr:uid="{3FF37DAF-0F84-4ECC-80EF-8EA6900868D7}"/>
    <cellStyle name="Header2 34 6" xfId="21321" xr:uid="{75A93C31-B1FA-4542-AAC1-EE6099259E46}"/>
    <cellStyle name="Header2 34 7" xfId="21322" xr:uid="{E529094E-7D82-4A67-8C32-06E5B322FC74}"/>
    <cellStyle name="Header2 35" xfId="999" xr:uid="{3368617A-F712-4835-B550-FC9DC2BF5322}"/>
    <cellStyle name="Header2 35 2" xfId="10777" xr:uid="{C3D1DAD5-4E86-4A89-B1AC-CD81BFC1D052}"/>
    <cellStyle name="Header2 35 2 2" xfId="21323" xr:uid="{87F2EC59-6041-4169-AE66-18E0EC1522E1}"/>
    <cellStyle name="Header2 35 2 3" xfId="21324" xr:uid="{B218D655-552E-4935-BC77-7C9442535E80}"/>
    <cellStyle name="Header2 35 2 4" xfId="21325" xr:uid="{319A5C5B-86E0-4215-B074-3D7AD936C135}"/>
    <cellStyle name="Header2 35 2 5" xfId="21326" xr:uid="{F8E278BF-04C5-476A-99B8-EF393FC0D847}"/>
    <cellStyle name="Header2 35 2 6" xfId="21327" xr:uid="{08CAFF87-2EC1-439D-8530-D890DC3D7E1B}"/>
    <cellStyle name="Header2 35 3" xfId="21328" xr:uid="{23324425-BB09-4C1B-B4C6-46D897423DF0}"/>
    <cellStyle name="Header2 35 4" xfId="21329" xr:uid="{8D3560F3-C0DE-48F5-8EF1-369B414C5E97}"/>
    <cellStyle name="Header2 35 5" xfId="21330" xr:uid="{2FC1D0C3-B255-46D0-A922-DE5B31516539}"/>
    <cellStyle name="Header2 35 6" xfId="21331" xr:uid="{BF311BD2-1450-4E1F-9FE6-7E9A04F4B554}"/>
    <cellStyle name="Header2 35 7" xfId="21332" xr:uid="{84DC8928-A283-4F45-851D-C9139AC3B5B0}"/>
    <cellStyle name="Header2 36" xfId="1000" xr:uid="{0AA94FE0-D595-478E-AB2B-90404A66988D}"/>
    <cellStyle name="Header2 36 2" xfId="10778" xr:uid="{EC6F5ED6-3236-4ECB-9752-61FDD32C2A11}"/>
    <cellStyle name="Header2 36 2 2" xfId="21333" xr:uid="{CC820E7D-18D9-41AF-B1EB-97CD3153AE3B}"/>
    <cellStyle name="Header2 36 2 3" xfId="21334" xr:uid="{182EDB04-06EE-47C8-AC83-4E86DA3737A9}"/>
    <cellStyle name="Header2 36 2 4" xfId="21335" xr:uid="{74F1E767-0DCA-46F8-9DDB-AA843F5CAE9C}"/>
    <cellStyle name="Header2 36 2 5" xfId="21336" xr:uid="{A616C70B-90D7-48CC-ABA0-AD05C56ABED5}"/>
    <cellStyle name="Header2 36 2 6" xfId="21337" xr:uid="{A7D27D53-9F35-4512-81BD-5D23C439363E}"/>
    <cellStyle name="Header2 36 3" xfId="21338" xr:uid="{F872890E-A276-4960-B9BA-259149B0CACE}"/>
    <cellStyle name="Header2 36 4" xfId="21339" xr:uid="{ACFEBC54-EF59-45D2-8A96-463F82BFEE3C}"/>
    <cellStyle name="Header2 36 5" xfId="21340" xr:uid="{470CE7D1-F3AA-45AB-8315-7602A0A234B2}"/>
    <cellStyle name="Header2 36 6" xfId="21341" xr:uid="{607BF943-B94D-4EE4-89EF-5A7BDB4B0552}"/>
    <cellStyle name="Header2 36 7" xfId="21342" xr:uid="{6BDAB1FD-67B5-4A2C-90E5-7CB1DBAD1671}"/>
    <cellStyle name="Header2 37" xfId="1001" xr:uid="{AC51E1E4-9D17-4A48-AB4C-E4B4A30E8728}"/>
    <cellStyle name="Header2 37 2" xfId="10164" xr:uid="{275F8062-AA7C-4958-B987-559CCAFDF5BB}"/>
    <cellStyle name="Header2 37 2 2" xfId="21343" xr:uid="{13D4F9C9-97D7-4AE1-A4CC-77A66343207A}"/>
    <cellStyle name="Header2 37 2 3" xfId="21344" xr:uid="{F76001D5-42C6-4D37-AA28-A84631E542A1}"/>
    <cellStyle name="Header2 37 2 4" xfId="21345" xr:uid="{A9077C50-CC0E-49C3-ADEE-F84E694BEB32}"/>
    <cellStyle name="Header2 37 2 5" xfId="21346" xr:uid="{D51430A1-E491-45D9-876B-5F961B336F2E}"/>
    <cellStyle name="Header2 37 2 6" xfId="21347" xr:uid="{FE893F23-642F-4E92-A7A8-ECD722E26AD9}"/>
    <cellStyle name="Header2 37 3" xfId="21348" xr:uid="{4C9F23D0-77EC-4039-B254-73B0F4CA5CC5}"/>
    <cellStyle name="Header2 37 4" xfId="21349" xr:uid="{1DD589CC-9E8E-4AC3-8DC3-B967F041EAA0}"/>
    <cellStyle name="Header2 37 5" xfId="21350" xr:uid="{CAAE6F75-9C37-440A-9B28-4D2101E5DCA2}"/>
    <cellStyle name="Header2 37 6" xfId="21351" xr:uid="{A39336F7-C8F3-422B-8975-64D3CF432A42}"/>
    <cellStyle name="Header2 37 7" xfId="21352" xr:uid="{5A1E1CAC-E4BF-444C-B6DE-206B0FB9327D}"/>
    <cellStyle name="Header2 38" xfId="1002" xr:uid="{D8DA2208-225C-4664-B038-63B172B3AACC}"/>
    <cellStyle name="Header2 38 2" xfId="11589" xr:uid="{428217C9-01E5-4D7D-9895-3317FF29590E}"/>
    <cellStyle name="Header2 38 2 2" xfId="21353" xr:uid="{20C7FF56-D676-40F6-B500-07D042FB3746}"/>
    <cellStyle name="Header2 38 2 3" xfId="21354" xr:uid="{96A75337-0B5A-46DA-B4DE-87C9C2DF81F6}"/>
    <cellStyle name="Header2 38 2 4" xfId="21355" xr:uid="{C21C16B0-25D3-481F-92F0-00AE9F92089F}"/>
    <cellStyle name="Header2 38 2 5" xfId="21356" xr:uid="{88FBED6E-71A0-4AF6-BBF4-ED61D90E1384}"/>
    <cellStyle name="Header2 38 2 6" xfId="21357" xr:uid="{69ED546A-D3B6-4447-BD2B-2B5E7BF45DDC}"/>
    <cellStyle name="Header2 38 3" xfId="21358" xr:uid="{12A85940-743E-43C7-83E7-829B85C2ADBD}"/>
    <cellStyle name="Header2 38 4" xfId="21359" xr:uid="{E33FFFDD-D070-4A3F-8548-66CAABEC9445}"/>
    <cellStyle name="Header2 39" xfId="9765" xr:uid="{29E7C911-A485-49BE-A79B-5A4AF01D1972}"/>
    <cellStyle name="Header2 39 2" xfId="21360" xr:uid="{BE2830E7-9955-49B8-8DC4-3AF2FBB906DA}"/>
    <cellStyle name="Header2 39 3" xfId="21361" xr:uid="{BF752079-0423-4926-990C-CAEB440624D1}"/>
    <cellStyle name="Header2 39 4" xfId="21362" xr:uid="{9C53C64A-85F7-4FEF-9DE6-9FE4310F6473}"/>
    <cellStyle name="Header2 39 5" xfId="21363" xr:uid="{083BEAC7-648E-4B33-985C-5274D015643D}"/>
    <cellStyle name="Header2 39 6" xfId="21364" xr:uid="{A6447CD6-F6C6-44F4-A1A2-0F3F552FDF7A}"/>
    <cellStyle name="Header2 4" xfId="1003" xr:uid="{38530E07-C18B-4481-AF0C-C8768A1176E2}"/>
    <cellStyle name="Header2 4 10" xfId="1004" xr:uid="{E39E35C7-9CE3-461E-8914-BE5B92DD2507}"/>
    <cellStyle name="Header2 4 10 2" xfId="10701" xr:uid="{4BF89513-77AB-4CDA-8F4F-03A808D928C2}"/>
    <cellStyle name="Header2 4 10 2 2" xfId="21365" xr:uid="{717F5F79-5867-4F72-9641-A6AA6CD595CE}"/>
    <cellStyle name="Header2 4 10 2 3" xfId="21366" xr:uid="{23C3CC59-E08C-41E1-8D00-7080F41E06F7}"/>
    <cellStyle name="Header2 4 10 2 4" xfId="21367" xr:uid="{BAE0A742-5DF1-4839-8550-29C46CC8ADD5}"/>
    <cellStyle name="Header2 4 10 2 5" xfId="21368" xr:uid="{E96913AB-F0ED-460F-9F1C-88FEBEB89734}"/>
    <cellStyle name="Header2 4 10 2 6" xfId="21369" xr:uid="{FE685646-CD08-4A69-AC3B-C79B9BAFC10B}"/>
    <cellStyle name="Header2 4 10 3" xfId="21370" xr:uid="{3C37ECD0-11BB-4499-A92D-C6D84F3FE484}"/>
    <cellStyle name="Header2 4 10 4" xfId="21371" xr:uid="{ADE7696D-C671-420D-A0CE-3A00EA668826}"/>
    <cellStyle name="Header2 4 10 5" xfId="21372" xr:uid="{410AAAF7-78F0-4F57-BD42-DB776F052C93}"/>
    <cellStyle name="Header2 4 10 6" xfId="21373" xr:uid="{98966A6A-1395-4D4A-8013-741F9E9B478B}"/>
    <cellStyle name="Header2 4 10 7" xfId="21374" xr:uid="{601C1C2E-0048-4C1A-BB9C-29065DCD3915}"/>
    <cellStyle name="Header2 4 11" xfId="1005" xr:uid="{D9DAE7AC-AAAA-4609-80B7-3C80C3CC53E3}"/>
    <cellStyle name="Header2 4 11 2" xfId="10792" xr:uid="{66766771-AF9D-4A05-9445-098956E385EC}"/>
    <cellStyle name="Header2 4 11 2 2" xfId="21375" xr:uid="{22C10924-3380-4ACA-ADBF-5199129878C6}"/>
    <cellStyle name="Header2 4 11 2 3" xfId="21376" xr:uid="{1AB78BB0-DEFF-45C4-94E0-E646EA0D4F26}"/>
    <cellStyle name="Header2 4 11 2 4" xfId="21377" xr:uid="{F287080B-1DAF-4A9F-9253-6AB97ACC5FDD}"/>
    <cellStyle name="Header2 4 11 2 5" xfId="21378" xr:uid="{6EF335BD-16A2-4DDE-B894-92C29351AF19}"/>
    <cellStyle name="Header2 4 11 2 6" xfId="21379" xr:uid="{CB71BD9E-D6E5-4592-90CF-361575984557}"/>
    <cellStyle name="Header2 4 11 3" xfId="21380" xr:uid="{C6D5DF40-FC25-4003-A0BF-7BD05A256AAA}"/>
    <cellStyle name="Header2 4 11 4" xfId="21381" xr:uid="{4AD10875-A716-4023-8AEF-B64DF8673BCC}"/>
    <cellStyle name="Header2 4 11 5" xfId="21382" xr:uid="{CA532134-2CBD-4A4A-83AC-848A1630AE32}"/>
    <cellStyle name="Header2 4 11 6" xfId="21383" xr:uid="{E1EE0349-E024-4F46-AE3C-7D3EEEDBC313}"/>
    <cellStyle name="Header2 4 11 7" xfId="21384" xr:uid="{26791435-FD0F-47B9-9ACA-0D620ECCF037}"/>
    <cellStyle name="Header2 4 12" xfId="1006" xr:uid="{C4D0AB79-B5E9-49C3-AFDC-B11D0D884B36}"/>
    <cellStyle name="Header2 4 12 2" xfId="10879" xr:uid="{BD9CBD60-41D4-4D76-9C61-29D4BB914D70}"/>
    <cellStyle name="Header2 4 12 2 2" xfId="21385" xr:uid="{0501483A-6629-449D-B432-55C3289B462D}"/>
    <cellStyle name="Header2 4 12 2 3" xfId="21386" xr:uid="{B1FA354D-57F5-4C5B-AB4F-50E92319E289}"/>
    <cellStyle name="Header2 4 12 2 4" xfId="21387" xr:uid="{7A28298B-C5A1-49E9-A2B3-FA2F01298AE8}"/>
    <cellStyle name="Header2 4 12 2 5" xfId="21388" xr:uid="{B6CB131D-5BD8-4054-B353-0B83AC308676}"/>
    <cellStyle name="Header2 4 12 2 6" xfId="21389" xr:uid="{F04AE422-4DA1-4F89-8350-7DA18A3ED578}"/>
    <cellStyle name="Header2 4 12 3" xfId="21390" xr:uid="{F4BFE14B-69BA-4EB7-9CE2-7E7D0A98FCD3}"/>
    <cellStyle name="Header2 4 12 4" xfId="21391" xr:uid="{62C8766A-FC57-42B1-A5B8-DCF00C3FCBDA}"/>
    <cellStyle name="Header2 4 12 5" xfId="21392" xr:uid="{6951B3B3-6855-4418-B53A-440DB9F88F91}"/>
    <cellStyle name="Header2 4 12 6" xfId="21393" xr:uid="{ADA7F9FD-5690-4C4C-B935-0D86836CE648}"/>
    <cellStyle name="Header2 4 12 7" xfId="21394" xr:uid="{EC22A3F1-18B4-4E57-A235-200BB5CBB460}"/>
    <cellStyle name="Header2 4 13" xfId="1007" xr:uid="{915BD80D-98BB-4F2A-B9E4-7D6F938DCFAF}"/>
    <cellStyle name="Header2 4 13 2" xfId="10968" xr:uid="{6530573D-CB16-4700-9B9F-8675E8A97C32}"/>
    <cellStyle name="Header2 4 13 2 2" xfId="21395" xr:uid="{D9B9D38E-DE97-49B2-B213-E291991000DE}"/>
    <cellStyle name="Header2 4 13 2 3" xfId="21396" xr:uid="{90A9D751-1F5B-4586-9BB1-B4575048DC68}"/>
    <cellStyle name="Header2 4 13 2 4" xfId="21397" xr:uid="{250D6E66-07E7-4297-B59E-4BF772FECC85}"/>
    <cellStyle name="Header2 4 13 2 5" xfId="21398" xr:uid="{F9D08159-B9C2-4DF0-B03E-EC889329CE9E}"/>
    <cellStyle name="Header2 4 13 2 6" xfId="21399" xr:uid="{83E639ED-F929-4A7E-A78D-5CD1E101FD6E}"/>
    <cellStyle name="Header2 4 13 3" xfId="21400" xr:uid="{2219CA12-B1A9-4147-8B23-E15DC63E7A89}"/>
    <cellStyle name="Header2 4 13 4" xfId="21401" xr:uid="{6308C454-B8A8-412F-976A-204AE9F69067}"/>
    <cellStyle name="Header2 4 13 5" xfId="21402" xr:uid="{98CEA93D-33BD-4D2D-9507-18E54E8DA271}"/>
    <cellStyle name="Header2 4 13 6" xfId="21403" xr:uid="{37E35B7E-1D14-4C16-B31B-EE7F21659178}"/>
    <cellStyle name="Header2 4 13 7" xfId="21404" xr:uid="{D29FEFF7-0B34-4509-AD51-117CA1A814C6}"/>
    <cellStyle name="Header2 4 14" xfId="1008" xr:uid="{98D4E398-00E3-49D6-AA75-BE2BEFEE4CED}"/>
    <cellStyle name="Header2 4 14 2" xfId="11060" xr:uid="{82ECC237-55D7-452A-B9A9-391451566BFF}"/>
    <cellStyle name="Header2 4 14 2 2" xfId="21405" xr:uid="{E4B4CBEF-37A0-4AFA-BED5-A9A85DDB8D5E}"/>
    <cellStyle name="Header2 4 14 2 3" xfId="21406" xr:uid="{CF6D5848-38C6-4E8C-9E39-09AE27C04BCC}"/>
    <cellStyle name="Header2 4 14 2 4" xfId="21407" xr:uid="{F0A66684-CA82-4640-A4C0-015773BF965D}"/>
    <cellStyle name="Header2 4 14 2 5" xfId="21408" xr:uid="{5C051F1C-C1D0-423D-A1DF-7A6DCEE6E1C2}"/>
    <cellStyle name="Header2 4 14 2 6" xfId="21409" xr:uid="{87563F79-0761-4D03-B65C-EC3A660F354B}"/>
    <cellStyle name="Header2 4 14 3" xfId="21410" xr:uid="{D0579E8A-66ED-4102-8126-B4E55C2A82BE}"/>
    <cellStyle name="Header2 4 14 4" xfId="21411" xr:uid="{0737206D-43E8-45E1-AFAB-190E3AA4C11F}"/>
    <cellStyle name="Header2 4 14 5" xfId="21412" xr:uid="{4BD802BA-2578-4BFC-9A10-EBE576542B03}"/>
    <cellStyle name="Header2 4 14 6" xfId="21413" xr:uid="{9A1CDDF7-6446-49C4-B733-602371D531CC}"/>
    <cellStyle name="Header2 4 14 7" xfId="21414" xr:uid="{F1DF26EA-D0A5-46F9-9B12-8B5516972F89}"/>
    <cellStyle name="Header2 4 15" xfId="1009" xr:uid="{CC0D8869-954A-4587-ADAC-CADD4EFDD1D8}"/>
    <cellStyle name="Header2 4 15 2" xfId="11143" xr:uid="{B456FA49-5373-4405-894E-38C52A6A5D7D}"/>
    <cellStyle name="Header2 4 15 2 2" xfId="21415" xr:uid="{ECF3A0A9-7030-4563-84E2-513470F15708}"/>
    <cellStyle name="Header2 4 15 2 3" xfId="21416" xr:uid="{7301FF75-BD57-4792-86A3-AB66E8595D5D}"/>
    <cellStyle name="Header2 4 15 2 4" xfId="21417" xr:uid="{7A545317-357A-47AA-9394-D18875F46576}"/>
    <cellStyle name="Header2 4 15 2 5" xfId="21418" xr:uid="{36A2A3C1-D620-47FA-ABDE-E277BB3D97C6}"/>
    <cellStyle name="Header2 4 15 2 6" xfId="21419" xr:uid="{69AF1FA0-43E2-49E8-B844-659F0FFA4024}"/>
    <cellStyle name="Header2 4 15 3" xfId="21420" xr:uid="{84332D1C-93A1-4C55-B1C4-7E2A9506C298}"/>
    <cellStyle name="Header2 4 15 4" xfId="21421" xr:uid="{69F379C1-0292-4DB2-B20D-33E02124D4B9}"/>
    <cellStyle name="Header2 4 15 5" xfId="21422" xr:uid="{CEFA276D-1BCF-48BF-9F64-346E405217C2}"/>
    <cellStyle name="Header2 4 15 6" xfId="21423" xr:uid="{C6CC29E7-AA82-4DE3-A9D9-041E571FF9AE}"/>
    <cellStyle name="Header2 4 15 7" xfId="21424" xr:uid="{4BED1D4D-9CAF-4577-9611-984CCFC00534}"/>
    <cellStyle name="Header2 4 16" xfId="1010" xr:uid="{BC175BFC-0D39-4D1C-A3C5-39C39C7984FE}"/>
    <cellStyle name="Header2 4 16 2" xfId="11232" xr:uid="{F2C90222-CA54-4042-8726-B14781B51B2B}"/>
    <cellStyle name="Header2 4 16 2 2" xfId="21425" xr:uid="{6AC1E1B4-31CD-4D0D-9B49-FFECFB7805C6}"/>
    <cellStyle name="Header2 4 16 2 3" xfId="21426" xr:uid="{A7705E45-F487-4FDC-93BB-A75929ECBBDB}"/>
    <cellStyle name="Header2 4 16 2 4" xfId="21427" xr:uid="{00699426-96BF-4E0C-9373-F9504ECE5E05}"/>
    <cellStyle name="Header2 4 16 2 5" xfId="21428" xr:uid="{A8EB746C-0228-49A2-929A-287F77BA67FA}"/>
    <cellStyle name="Header2 4 16 2 6" xfId="21429" xr:uid="{58243A45-5A66-438D-AD8B-EEEC770A6B03}"/>
    <cellStyle name="Header2 4 16 3" xfId="21430" xr:uid="{75C1F85A-045E-4794-B083-230EB7009876}"/>
    <cellStyle name="Header2 4 16 4" xfId="21431" xr:uid="{F7586F47-F6E5-4B55-AE76-04E3AC696B98}"/>
    <cellStyle name="Header2 4 16 5" xfId="21432" xr:uid="{FDF6C007-EB1F-49EC-B96A-F674DC029073}"/>
    <cellStyle name="Header2 4 16 6" xfId="21433" xr:uid="{986E352E-6536-46B6-B700-E1CF976332F5}"/>
    <cellStyle name="Header2 4 16 7" xfId="21434" xr:uid="{7E6B8B08-4ABE-4006-ABAB-EB45B7F47870}"/>
    <cellStyle name="Header2 4 17" xfId="1011" xr:uid="{D904A045-0BAE-4753-A53D-2E3B1588AF76}"/>
    <cellStyle name="Header2 4 17 2" xfId="11318" xr:uid="{A34FDCFD-DB6E-4756-924C-7CB328EFBF38}"/>
    <cellStyle name="Header2 4 17 2 2" xfId="21435" xr:uid="{66D99924-60E0-44AE-845B-CFA411B9C12D}"/>
    <cellStyle name="Header2 4 17 2 3" xfId="21436" xr:uid="{81A3AC9E-032D-4E28-B8AA-A0CBF54F62E7}"/>
    <cellStyle name="Header2 4 17 2 4" xfId="21437" xr:uid="{AC36C1D8-B483-423E-B364-0183C53D0EF2}"/>
    <cellStyle name="Header2 4 17 2 5" xfId="21438" xr:uid="{600D38C4-C37C-40E2-A2D5-AF9CE4254CF2}"/>
    <cellStyle name="Header2 4 17 2 6" xfId="21439" xr:uid="{5B5F7AB0-1F64-43F1-9929-245B3B36AA6E}"/>
    <cellStyle name="Header2 4 17 3" xfId="21440" xr:uid="{D3FF25BC-6DD1-43D9-8641-828FFAA3D851}"/>
    <cellStyle name="Header2 4 17 4" xfId="21441" xr:uid="{3DB8B61B-2E6E-4094-A08F-7D578306812C}"/>
    <cellStyle name="Header2 4 17 5" xfId="21442" xr:uid="{3270C8B5-1EFC-442C-9CCA-01FFA07B9C27}"/>
    <cellStyle name="Header2 4 17 6" xfId="21443" xr:uid="{1700DB60-3694-4BDD-9D56-EE9A3635025F}"/>
    <cellStyle name="Header2 4 17 7" xfId="21444" xr:uid="{5CD8483D-6372-4FB9-AFE1-389ADC5DD7F8}"/>
    <cellStyle name="Header2 4 18" xfId="1012" xr:uid="{7540116B-7EB2-4A67-A1F7-B192B74140DD}"/>
    <cellStyle name="Header2 4 18 2" xfId="11405" xr:uid="{E3260045-98EA-4121-88E8-03F16F9A1DE8}"/>
    <cellStyle name="Header2 4 18 2 2" xfId="21445" xr:uid="{B98AF95C-CE29-4179-80EE-BAC7C152B3A6}"/>
    <cellStyle name="Header2 4 18 2 3" xfId="21446" xr:uid="{4BACA9F0-6E22-4613-99D2-347D18681EB5}"/>
    <cellStyle name="Header2 4 18 2 4" xfId="21447" xr:uid="{05717386-5463-4A35-90DE-CBAA9A0F0A2C}"/>
    <cellStyle name="Header2 4 18 2 5" xfId="21448" xr:uid="{69BE2810-A658-40DA-B099-DF518797B96A}"/>
    <cellStyle name="Header2 4 18 2 6" xfId="21449" xr:uid="{03375F6F-5A5E-4DB5-B9C9-410685AF8B7B}"/>
    <cellStyle name="Header2 4 18 3" xfId="21450" xr:uid="{13C04341-81F0-4287-85A5-94CA83DC1D69}"/>
    <cellStyle name="Header2 4 18 4" xfId="21451" xr:uid="{1B846802-52AE-4C04-8AF9-0C37DA78DBD1}"/>
    <cellStyle name="Header2 4 18 5" xfId="21452" xr:uid="{17FC8322-832D-4A99-ACA2-FA66320BB139}"/>
    <cellStyle name="Header2 4 18 6" xfId="21453" xr:uid="{9EF268ED-F95E-4ED8-A4FF-0D6855A88D19}"/>
    <cellStyle name="Header2 4 18 7" xfId="21454" xr:uid="{C2165035-231C-4738-BD79-F253FC84916E}"/>
    <cellStyle name="Header2 4 19" xfId="1013" xr:uid="{1E172406-B8BB-454D-8F4F-A5DD2426BB7D}"/>
    <cellStyle name="Header2 4 19 2" xfId="11492" xr:uid="{9382B294-7305-4FFB-BD57-427DA7CA7582}"/>
    <cellStyle name="Header2 4 19 2 2" xfId="21455" xr:uid="{3C4E24DB-B46D-4EED-9C15-F0D5960A9E0C}"/>
    <cellStyle name="Header2 4 19 2 3" xfId="21456" xr:uid="{52B56BFE-0D0F-4F9F-9065-740ECE113512}"/>
    <cellStyle name="Header2 4 19 2 4" xfId="21457" xr:uid="{2B1770AC-B3DD-4E56-B59F-AE3DEC9047C5}"/>
    <cellStyle name="Header2 4 19 2 5" xfId="21458" xr:uid="{82EB20F1-E9DC-43B3-BD22-0710DA91B377}"/>
    <cellStyle name="Header2 4 19 2 6" xfId="21459" xr:uid="{917D2F9E-8465-4B31-BEB6-013205824304}"/>
    <cellStyle name="Header2 4 19 3" xfId="21460" xr:uid="{A3E5DDB7-B7F1-4C26-B5C9-6C6B0D33473B}"/>
    <cellStyle name="Header2 4 19 4" xfId="21461" xr:uid="{28F73103-CAAD-449B-A0A3-C449405B201B}"/>
    <cellStyle name="Header2 4 19 5" xfId="21462" xr:uid="{2AF8F094-F49E-475D-9B00-3F2DF289BD20}"/>
    <cellStyle name="Header2 4 19 6" xfId="21463" xr:uid="{0EAC06AD-0A58-4BDB-8BFB-EE0E5B06519D}"/>
    <cellStyle name="Header2 4 19 7" xfId="21464" xr:uid="{0A240C62-3891-4163-8FED-3CD04F8E4A4A}"/>
    <cellStyle name="Header2 4 2" xfId="1014" xr:uid="{7E014417-38DB-4AC6-BDD2-A2A92E094A56}"/>
    <cellStyle name="Header2 4 2 2" xfId="9998" xr:uid="{207F4613-8382-4DC7-A361-02646340E056}"/>
    <cellStyle name="Header2 4 2 2 2" xfId="21465" xr:uid="{EB7F0384-F1CD-4FF8-B615-422D7667E09C}"/>
    <cellStyle name="Header2 4 2 2 3" xfId="21466" xr:uid="{8797DB7F-7384-4D2E-BD20-EB8808F6948B}"/>
    <cellStyle name="Header2 4 2 2 4" xfId="21467" xr:uid="{9BDB69C7-38DE-4EBF-929E-09168EFC67DC}"/>
    <cellStyle name="Header2 4 2 2 5" xfId="21468" xr:uid="{44EC6CBD-39B1-486A-87F6-921E7F6D4039}"/>
    <cellStyle name="Header2 4 2 2 6" xfId="21469" xr:uid="{E8EC9756-29D9-49C4-9297-45CDE050EDB9}"/>
    <cellStyle name="Header2 4 2 3" xfId="21470" xr:uid="{28584492-64CC-4103-857F-A64578A0670B}"/>
    <cellStyle name="Header2 4 2 4" xfId="21471" xr:uid="{E512A12A-8B81-4602-A600-F2A512DD49C5}"/>
    <cellStyle name="Header2 4 2 5" xfId="21472" xr:uid="{6D44C15B-F32D-429A-A972-02A30AB5522C}"/>
    <cellStyle name="Header2 4 2 6" xfId="21473" xr:uid="{304B4D48-2C1F-405F-AFAE-B94A494F4D00}"/>
    <cellStyle name="Header2 4 2 7" xfId="21474" xr:uid="{202C4AF5-61A3-4CD9-A04A-B72C80FCE7DD}"/>
    <cellStyle name="Header2 4 20" xfId="1015" xr:uid="{49A17BE5-861D-49C1-B17F-9F099DC8D3BC}"/>
    <cellStyle name="Header2 4 20 2" xfId="11580" xr:uid="{AEC2F988-C95F-4439-AB16-801E43F1597B}"/>
    <cellStyle name="Header2 4 20 2 2" xfId="21475" xr:uid="{7728DE09-CB71-4E68-AD79-53DFCC130850}"/>
    <cellStyle name="Header2 4 20 2 3" xfId="21476" xr:uid="{112E0AEB-9E2A-4430-B283-C956C9EF9EC8}"/>
    <cellStyle name="Header2 4 20 2 4" xfId="21477" xr:uid="{5C9970DF-ED64-4868-A2B1-9861323F29F5}"/>
    <cellStyle name="Header2 4 20 2 5" xfId="21478" xr:uid="{3767AB49-599F-48CC-925D-670C7DD295AD}"/>
    <cellStyle name="Header2 4 20 2 6" xfId="21479" xr:uid="{BAF6F7C3-753A-4661-A50F-A48DC4763B66}"/>
    <cellStyle name="Header2 4 20 3" xfId="21480" xr:uid="{779120C8-05F7-406F-A381-218BCE81A64C}"/>
    <cellStyle name="Header2 4 20 4" xfId="21481" xr:uid="{71AB09F8-754D-40A4-A898-DAB529419453}"/>
    <cellStyle name="Header2 4 20 5" xfId="21482" xr:uid="{BFADA81C-4972-4073-A81B-62D8684565E6}"/>
    <cellStyle name="Header2 4 20 6" xfId="21483" xr:uid="{3E892D08-B1DF-43F3-86D6-19DF20BF02A8}"/>
    <cellStyle name="Header2 4 20 7" xfId="21484" xr:uid="{BAF096E8-BFD7-4DFB-8F0B-C8F1B1F13E01}"/>
    <cellStyle name="Header2 4 21" xfId="1016" xr:uid="{1F17D660-1DD5-4B27-9D05-F5B8A3D2B6D8}"/>
    <cellStyle name="Header2 4 21 2" xfId="11666" xr:uid="{E492D03B-0A53-4A80-8DB5-2994BBC8A6CC}"/>
    <cellStyle name="Header2 4 21 2 2" xfId="21485" xr:uid="{A6C680E5-C929-4BBB-9108-48EB149025F4}"/>
    <cellStyle name="Header2 4 21 2 3" xfId="21486" xr:uid="{B23CBC5C-7A99-4CDF-A3F9-6C519AD04A0D}"/>
    <cellStyle name="Header2 4 21 2 4" xfId="21487" xr:uid="{A2625AF7-74E2-4D5D-A8EF-10B93B432BED}"/>
    <cellStyle name="Header2 4 21 2 5" xfId="21488" xr:uid="{B4A0B186-36E7-486D-9E07-913858640538}"/>
    <cellStyle name="Header2 4 21 2 6" xfId="21489" xr:uid="{5B6FB4E0-32B4-405F-BFB8-9A9C5C389D97}"/>
    <cellStyle name="Header2 4 21 3" xfId="21490" xr:uid="{3DD10705-5B24-4812-919F-0EBA2266F4B3}"/>
    <cellStyle name="Header2 4 21 4" xfId="21491" xr:uid="{56D04CE5-1F0D-4C08-96D9-8548B50C9F0F}"/>
    <cellStyle name="Header2 4 21 5" xfId="21492" xr:uid="{644A3B4F-F094-463B-B5DE-4A0D4E373A77}"/>
    <cellStyle name="Header2 4 21 6" xfId="21493" xr:uid="{B5911F53-53AA-4C0D-9D8F-C706E5A4C6AD}"/>
    <cellStyle name="Header2 4 21 7" xfId="21494" xr:uid="{9AC1C782-C00C-4B51-A18F-E98D3067645D}"/>
    <cellStyle name="Header2 4 22" xfId="1017" xr:uid="{1A271197-BFBA-4F00-97AE-69B92368011D}"/>
    <cellStyle name="Header2 4 22 2" xfId="11749" xr:uid="{EED2037F-3B3B-4356-B9F0-CB822657594C}"/>
    <cellStyle name="Header2 4 22 2 2" xfId="21495" xr:uid="{5526F2BF-B64E-4B18-8501-D06677FABF93}"/>
    <cellStyle name="Header2 4 22 2 3" xfId="21496" xr:uid="{07418749-4ACB-4904-90A9-B853EBBE24CC}"/>
    <cellStyle name="Header2 4 22 2 4" xfId="21497" xr:uid="{CB0E0390-DB6B-4571-926D-E9B9FC8DB74B}"/>
    <cellStyle name="Header2 4 22 2 5" xfId="21498" xr:uid="{BFAA9A26-9542-4E30-93C8-8FE3D67EB370}"/>
    <cellStyle name="Header2 4 22 2 6" xfId="21499" xr:uid="{E41A769A-078F-4AEE-9808-41EE9B86B1C4}"/>
    <cellStyle name="Header2 4 22 3" xfId="21500" xr:uid="{0DC05D1B-BD33-4980-8160-D98E88292299}"/>
    <cellStyle name="Header2 4 22 4" xfId="21501" xr:uid="{C21EE22F-EF9A-4545-A030-A417664BEA32}"/>
    <cellStyle name="Header2 4 22 5" xfId="21502" xr:uid="{FCD83E56-5441-4C48-97C7-A97EFF14D9DB}"/>
    <cellStyle name="Header2 4 22 6" xfId="21503" xr:uid="{BA3E3EAE-3216-4288-A7AB-BDA1233AAE14}"/>
    <cellStyle name="Header2 4 22 7" xfId="21504" xr:uid="{F7E130D5-7D4E-4016-B186-79A87D898982}"/>
    <cellStyle name="Header2 4 23" xfId="1018" xr:uid="{FD44AFC9-CA88-427D-85F1-D1B00974AD83}"/>
    <cellStyle name="Header2 4 23 2" xfId="11831" xr:uid="{E3C4CDF1-B612-4D9E-AD5A-67CB911E6582}"/>
    <cellStyle name="Header2 4 23 2 2" xfId="21505" xr:uid="{AA29B156-9F7F-4C63-8C3C-AF86E44928F2}"/>
    <cellStyle name="Header2 4 23 2 3" xfId="21506" xr:uid="{3ADC84BF-198F-4803-AC44-D1A000BFEDE2}"/>
    <cellStyle name="Header2 4 23 2 4" xfId="21507" xr:uid="{1F824CD5-82A9-4B22-A38C-4EFE2ACA5597}"/>
    <cellStyle name="Header2 4 23 2 5" xfId="21508" xr:uid="{B9CD2D88-37DA-4EBE-B502-1093826415EB}"/>
    <cellStyle name="Header2 4 23 2 6" xfId="21509" xr:uid="{BD17CF14-89AB-45FB-A381-FBC106FC7FFB}"/>
    <cellStyle name="Header2 4 23 3" xfId="21510" xr:uid="{D61C810F-9A5D-44E3-8031-03353AD514BF}"/>
    <cellStyle name="Header2 4 23 4" xfId="21511" xr:uid="{DA2F08F0-1486-4F9E-BF83-99F2256E04DE}"/>
    <cellStyle name="Header2 4 23 5" xfId="21512" xr:uid="{68006A62-2723-4D90-8F91-76D061FB7226}"/>
    <cellStyle name="Header2 4 23 6" xfId="21513" xr:uid="{9DC92E76-7DA8-42BE-974B-101FFDD4BE09}"/>
    <cellStyle name="Header2 4 23 7" xfId="21514" xr:uid="{EEF6D60D-94C3-4BE9-9078-53221582A993}"/>
    <cellStyle name="Header2 4 24" xfId="1019" xr:uid="{F49BC3CE-EA0F-4C02-B592-F67016F15263}"/>
    <cellStyle name="Header2 4 24 2" xfId="11915" xr:uid="{62246E54-6F91-44DD-AC87-70CF1814D893}"/>
    <cellStyle name="Header2 4 24 2 2" xfId="21515" xr:uid="{D9C19467-F5BF-4FF5-B0EC-7768F812A8A2}"/>
    <cellStyle name="Header2 4 24 2 3" xfId="21516" xr:uid="{70D2E031-6D36-45DA-A049-3FCC2A2E9386}"/>
    <cellStyle name="Header2 4 24 2 4" xfId="21517" xr:uid="{9E9F1F02-F4C1-48A9-B4CD-767F9D31A466}"/>
    <cellStyle name="Header2 4 24 2 5" xfId="21518" xr:uid="{EEB68AAC-9570-45A9-BE8B-3E62FE8E2CBB}"/>
    <cellStyle name="Header2 4 24 2 6" xfId="21519" xr:uid="{7F3AFB15-C140-4AC4-96B7-26A32D49F746}"/>
    <cellStyle name="Header2 4 24 3" xfId="21520" xr:uid="{88424739-FA65-4A65-9B02-3257452339D6}"/>
    <cellStyle name="Header2 4 24 4" xfId="21521" xr:uid="{48A61BB0-EFF1-43B7-9925-9329337515B7}"/>
    <cellStyle name="Header2 4 24 5" xfId="21522" xr:uid="{65290121-31E1-479F-9F6E-38CF3E1E936D}"/>
    <cellStyle name="Header2 4 24 6" xfId="21523" xr:uid="{88D27D30-4FCD-491E-8670-6B1771FFA0F7}"/>
    <cellStyle name="Header2 4 24 7" xfId="21524" xr:uid="{C7F3CB3A-1D1A-4ECE-8B75-77EAFEDE2CE8}"/>
    <cellStyle name="Header2 4 25" xfId="1020" xr:uid="{39778C0B-7CA7-4B67-B42A-32D0CCB4721E}"/>
    <cellStyle name="Header2 4 25 2" xfId="11999" xr:uid="{134C43FB-17ED-4F1B-909B-EB790E642842}"/>
    <cellStyle name="Header2 4 25 2 2" xfId="21525" xr:uid="{1DCD5C6E-FE71-4DDD-AE94-48D53FC7F849}"/>
    <cellStyle name="Header2 4 25 2 3" xfId="21526" xr:uid="{106830D8-268F-40BF-9FB5-34D97E3F5EC3}"/>
    <cellStyle name="Header2 4 25 2 4" xfId="21527" xr:uid="{485217C3-F847-47F6-B0A1-CF926C492E1F}"/>
    <cellStyle name="Header2 4 25 2 5" xfId="21528" xr:uid="{359BB4E5-0279-4EE3-A2E5-8D41BBADED04}"/>
    <cellStyle name="Header2 4 25 2 6" xfId="21529" xr:uid="{550919F1-B520-418A-A649-0F5E57EF930F}"/>
    <cellStyle name="Header2 4 25 3" xfId="21530" xr:uid="{C5BC4D82-A1D9-4027-A1A1-E60B53A5F6DC}"/>
    <cellStyle name="Header2 4 25 4" xfId="21531" xr:uid="{18E018B1-DBBF-44B1-8755-C358A9228934}"/>
    <cellStyle name="Header2 4 25 5" xfId="21532" xr:uid="{1FA4F8F1-7AF5-4E74-950B-26A681630725}"/>
    <cellStyle name="Header2 4 25 6" xfId="21533" xr:uid="{697FA657-51AC-4FCF-B03A-46862AB8F9DD}"/>
    <cellStyle name="Header2 4 25 7" xfId="21534" xr:uid="{7D2AAC56-7A06-4649-9B08-7374D6C8A708}"/>
    <cellStyle name="Header2 4 26" xfId="1021" xr:uid="{A3F2F146-AC72-4EF3-A4BA-C75B60289AD4}"/>
    <cellStyle name="Header2 4 26 2" xfId="12082" xr:uid="{76C0548C-0DAD-4174-8EB2-B2F5C8E0B24B}"/>
    <cellStyle name="Header2 4 26 2 2" xfId="21535" xr:uid="{309E7C80-9E82-4826-9E53-A420BDC19066}"/>
    <cellStyle name="Header2 4 26 2 3" xfId="21536" xr:uid="{A62EF70D-34C7-44ED-8746-C6571CD99534}"/>
    <cellStyle name="Header2 4 26 2 4" xfId="21537" xr:uid="{7B2AF6B9-849E-40B1-8C00-B9794C411A42}"/>
    <cellStyle name="Header2 4 26 2 5" xfId="21538" xr:uid="{60462B08-C7E9-4C85-A91F-D64FBCC726AD}"/>
    <cellStyle name="Header2 4 26 2 6" xfId="21539" xr:uid="{455F8096-5C08-4E21-8F9D-7EBBBAF7DF99}"/>
    <cellStyle name="Header2 4 26 3" xfId="21540" xr:uid="{030FA812-DE22-4007-9CE7-3A06D4855B86}"/>
    <cellStyle name="Header2 4 26 4" xfId="21541" xr:uid="{D5604885-35ED-4913-89E8-8DCF6AFA52E7}"/>
    <cellStyle name="Header2 4 26 5" xfId="21542" xr:uid="{67812CE4-7724-46FE-AED8-6E685117D403}"/>
    <cellStyle name="Header2 4 26 6" xfId="21543" xr:uid="{5D8CBAD8-4A6B-4FCE-AF6C-8AF0A547FAD7}"/>
    <cellStyle name="Header2 4 26 7" xfId="21544" xr:uid="{8A317D42-9277-48FA-8F2E-80D6B2FB05EA}"/>
    <cellStyle name="Header2 4 27" xfId="1022" xr:uid="{1D925049-8CBD-43DB-A07D-EFB0155AC4AA}"/>
    <cellStyle name="Header2 4 27 2" xfId="12165" xr:uid="{0F63AEFE-AB5A-4E91-9CB0-1E6213EB013F}"/>
    <cellStyle name="Header2 4 27 2 2" xfId="21545" xr:uid="{483BB89D-A40A-4905-A81A-947A0028F437}"/>
    <cellStyle name="Header2 4 27 2 3" xfId="21546" xr:uid="{4E077534-3943-4EE7-985F-DD49ECA9D7AF}"/>
    <cellStyle name="Header2 4 27 2 4" xfId="21547" xr:uid="{596B0C04-817A-4387-B152-E6834F48CB53}"/>
    <cellStyle name="Header2 4 27 2 5" xfId="21548" xr:uid="{4F770B66-69E1-4E06-A79D-EE9EDF82A3BB}"/>
    <cellStyle name="Header2 4 27 2 6" xfId="21549" xr:uid="{B6F90217-6EB1-4938-8348-B3D71EF1DBBE}"/>
    <cellStyle name="Header2 4 27 3" xfId="21550" xr:uid="{34F15665-078D-4AD4-9D4E-38BD39BA099C}"/>
    <cellStyle name="Header2 4 27 4" xfId="21551" xr:uid="{CA74F557-54F7-4A1D-8218-0EA9CF61C877}"/>
    <cellStyle name="Header2 4 27 5" xfId="21552" xr:uid="{BC536441-93C7-431B-A449-A41CF8750001}"/>
    <cellStyle name="Header2 4 27 6" xfId="21553" xr:uid="{08072F95-9CB0-4B2C-BBEE-16FA02F39CFB}"/>
    <cellStyle name="Header2 4 27 7" xfId="21554" xr:uid="{28D84C70-D52D-487A-8B83-491E0472CEA8}"/>
    <cellStyle name="Header2 4 28" xfId="1023" xr:uid="{1BDCFB00-A559-478C-BA8B-D6A22231481B}"/>
    <cellStyle name="Header2 4 28 2" xfId="12244" xr:uid="{76C72C7D-3C39-4FF7-A11A-57B0E6AC2878}"/>
    <cellStyle name="Header2 4 28 2 2" xfId="21555" xr:uid="{323ABF6D-A14C-4BA5-86DE-A9EC5AE61B5C}"/>
    <cellStyle name="Header2 4 28 2 3" xfId="21556" xr:uid="{ABE62EEE-E50F-44DB-8AA4-362402F73FEE}"/>
    <cellStyle name="Header2 4 28 2 4" xfId="21557" xr:uid="{21056977-6CF2-4C35-B2B4-A8841FBEE28D}"/>
    <cellStyle name="Header2 4 28 2 5" xfId="21558" xr:uid="{64711C8F-A95D-447D-89F0-04581CBD542A}"/>
    <cellStyle name="Header2 4 28 2 6" xfId="21559" xr:uid="{688787E2-8E97-4D71-81E7-52ACB30BC4C1}"/>
    <cellStyle name="Header2 4 28 3" xfId="21560" xr:uid="{CE543647-4625-4461-B6F1-380DAF49228E}"/>
    <cellStyle name="Header2 4 28 4" xfId="21561" xr:uid="{A3104E03-36F3-4BE2-B3F6-66109FE9B9D8}"/>
    <cellStyle name="Header2 4 28 5" xfId="21562" xr:uid="{ECDD8677-C6EB-4C63-B21F-8E8A53DEFD6D}"/>
    <cellStyle name="Header2 4 28 6" xfId="21563" xr:uid="{0E48160F-BD78-49F0-B011-4362924390A9}"/>
    <cellStyle name="Header2 4 28 7" xfId="21564" xr:uid="{CED426A2-0F88-4083-A558-B83C754A7EF1}"/>
    <cellStyle name="Header2 4 29" xfId="1024" xr:uid="{6B723A89-395E-43EB-9C52-FE32115AFCA0}"/>
    <cellStyle name="Header2 4 29 2" xfId="12323" xr:uid="{62761941-DBC6-4F12-BE65-D6725793D400}"/>
    <cellStyle name="Header2 4 29 2 2" xfId="21565" xr:uid="{FE363F17-2722-47E7-B724-2493FFECD820}"/>
    <cellStyle name="Header2 4 29 2 3" xfId="21566" xr:uid="{3CE3DDA5-EDDD-45A6-8A62-A2D72B49880E}"/>
    <cellStyle name="Header2 4 29 2 4" xfId="21567" xr:uid="{FBFD8181-5A0D-4042-B756-9E224DC8E34D}"/>
    <cellStyle name="Header2 4 29 2 5" xfId="21568" xr:uid="{EA66FA0C-A202-4F3B-A328-5E89B4CA6ADE}"/>
    <cellStyle name="Header2 4 29 2 6" xfId="21569" xr:uid="{F7EB6FAF-9032-46A9-8B9B-E30C5CC5D388}"/>
    <cellStyle name="Header2 4 29 3" xfId="21570" xr:uid="{AEE2D892-AED3-49F4-9EAF-947412A2B611}"/>
    <cellStyle name="Header2 4 29 4" xfId="21571" xr:uid="{D9C37F06-95D4-475D-A691-A6C2E9FF10C7}"/>
    <cellStyle name="Header2 4 29 5" xfId="21572" xr:uid="{3EEB7BB5-F6AD-4C08-90A5-37D0D52CB177}"/>
    <cellStyle name="Header2 4 29 6" xfId="21573" xr:uid="{1B289596-C4E0-45D9-B37A-427FE985D95F}"/>
    <cellStyle name="Header2 4 29 7" xfId="21574" xr:uid="{6C0E3A30-DC3D-4EE9-9869-32BCDBFF9EB0}"/>
    <cellStyle name="Header2 4 3" xfId="1025" xr:uid="{E7518C40-7E4A-4C3E-9D88-A9314DC1E695}"/>
    <cellStyle name="Header2 4 3 2" xfId="10089" xr:uid="{16A65A3F-0644-4887-96FD-18ED05C4F2E1}"/>
    <cellStyle name="Header2 4 3 2 2" xfId="21575" xr:uid="{5DD10A7B-B101-496E-881C-DE91E1077F72}"/>
    <cellStyle name="Header2 4 3 2 3" xfId="21576" xr:uid="{505D9FDC-8A64-46A9-9F1E-69D284312497}"/>
    <cellStyle name="Header2 4 3 2 4" xfId="21577" xr:uid="{90618E07-1763-4B39-967C-40ED32A86B9F}"/>
    <cellStyle name="Header2 4 3 2 5" xfId="21578" xr:uid="{337F1CA1-5877-4A94-9486-7D8C5AF36F95}"/>
    <cellStyle name="Header2 4 3 2 6" xfId="21579" xr:uid="{53295A2D-4E10-496A-B8EF-70C43C567603}"/>
    <cellStyle name="Header2 4 3 3" xfId="21580" xr:uid="{4B188838-D296-4EF5-8464-C55B003DB0FC}"/>
    <cellStyle name="Header2 4 3 4" xfId="21581" xr:uid="{3B9F3ACA-8560-4A5E-BF86-CC07FDB4F96B}"/>
    <cellStyle name="Header2 4 3 5" xfId="21582" xr:uid="{907A88BD-0359-43D5-B86D-01CE41EB2B92}"/>
    <cellStyle name="Header2 4 3 6" xfId="21583" xr:uid="{41713D2A-D435-4540-AEA5-5F5FEF1C9D76}"/>
    <cellStyle name="Header2 4 3 7" xfId="21584" xr:uid="{464A7298-1C78-4EAB-B64D-6DED32FEE075}"/>
    <cellStyle name="Header2 4 30" xfId="1026" xr:uid="{7A3FD1A6-0AB2-4B5B-94A3-661EF1C489A7}"/>
    <cellStyle name="Header2 4 30 2" xfId="12402" xr:uid="{CE243DB7-8D8E-4FAA-8BC0-4F542F2FF284}"/>
    <cellStyle name="Header2 4 30 2 2" xfId="21585" xr:uid="{459B5ACD-1914-43A6-847E-B8C85E12BE39}"/>
    <cellStyle name="Header2 4 30 2 3" xfId="21586" xr:uid="{D766F823-8A82-434F-9DE2-D17C93D9DE33}"/>
    <cellStyle name="Header2 4 30 2 4" xfId="21587" xr:uid="{BCD168B7-F4D8-4512-8C61-416C3D014EA9}"/>
    <cellStyle name="Header2 4 30 2 5" xfId="21588" xr:uid="{604ED761-2B20-4255-9DC3-4A8B629B44AF}"/>
    <cellStyle name="Header2 4 30 2 6" xfId="21589" xr:uid="{056EF114-D493-4980-BD8A-757275360C7A}"/>
    <cellStyle name="Header2 4 30 3" xfId="21590" xr:uid="{F33951E3-F7E9-4646-8A4B-1D5B3DFD886D}"/>
    <cellStyle name="Header2 4 30 4" xfId="21591" xr:uid="{20C48B09-4B2B-4B6E-812C-EC1E722E1A85}"/>
    <cellStyle name="Header2 4 30 5" xfId="21592" xr:uid="{A2EE0706-ECAD-4010-978D-6D024104856F}"/>
    <cellStyle name="Header2 4 30 6" xfId="21593" xr:uid="{39CF5CD2-30A0-43B2-9695-F19FDB09F082}"/>
    <cellStyle name="Header2 4 30 7" xfId="21594" xr:uid="{71615701-04AE-48A9-8F80-0A5D751C17AA}"/>
    <cellStyle name="Header2 4 31" xfId="1027" xr:uid="{89C7D9DA-0775-4DA8-9B32-F19F48F0B005}"/>
    <cellStyle name="Header2 4 31 2" xfId="12481" xr:uid="{6A84DD7D-0F30-4FFE-B259-93A3A3929865}"/>
    <cellStyle name="Header2 4 31 2 2" xfId="21595" xr:uid="{C41A5D61-DBCE-47E9-83FB-EF68E0AFEE5B}"/>
    <cellStyle name="Header2 4 31 2 3" xfId="21596" xr:uid="{A6484799-A384-4CA7-B59D-9ADEBF1F973D}"/>
    <cellStyle name="Header2 4 31 2 4" xfId="21597" xr:uid="{A2A15B8E-C139-4968-BEE0-A026BD26D0C4}"/>
    <cellStyle name="Header2 4 31 2 5" xfId="21598" xr:uid="{62E38EBB-A627-478F-9C13-F99AC11ECD22}"/>
    <cellStyle name="Header2 4 31 2 6" xfId="21599" xr:uid="{92F38AF3-D7BF-4131-AB39-0CC63BE7E379}"/>
    <cellStyle name="Header2 4 31 3" xfId="21600" xr:uid="{13296716-55A7-4AF8-8464-96CE63A9C8BE}"/>
    <cellStyle name="Header2 4 31 4" xfId="21601" xr:uid="{781820E1-9809-4FE0-A352-F3B4F49A9732}"/>
    <cellStyle name="Header2 4 31 5" xfId="21602" xr:uid="{B48D568E-167E-4D23-BBBC-4686DBA593C4}"/>
    <cellStyle name="Header2 4 31 6" xfId="21603" xr:uid="{7166BA00-433A-4ADE-81B3-BCC6B918C7BB}"/>
    <cellStyle name="Header2 4 31 7" xfId="21604" xr:uid="{6532BEC4-1C0F-44DD-8BDE-F101A0DEB3DA}"/>
    <cellStyle name="Header2 4 32" xfId="1028" xr:uid="{A7D95358-8522-43D0-8DB2-83F2F7D56FEB}"/>
    <cellStyle name="Header2 4 32 2" xfId="12560" xr:uid="{0D589F69-57C8-44EB-B273-3E4592DB7176}"/>
    <cellStyle name="Header2 4 32 2 2" xfId="21605" xr:uid="{C80BE0FD-A54C-47D7-8501-54708ADCD635}"/>
    <cellStyle name="Header2 4 32 2 3" xfId="21606" xr:uid="{CA769C48-1730-4CC6-868C-812ADCE10E04}"/>
    <cellStyle name="Header2 4 32 2 4" xfId="21607" xr:uid="{93147771-191D-4EE8-9B1F-40448A47B673}"/>
    <cellStyle name="Header2 4 32 2 5" xfId="21608" xr:uid="{BD690479-B027-4A6E-B407-884CDE0976DD}"/>
    <cellStyle name="Header2 4 32 2 6" xfId="21609" xr:uid="{7EB82CB5-E3DC-4A6A-A73E-17F48B07915C}"/>
    <cellStyle name="Header2 4 32 3" xfId="21610" xr:uid="{F60F431A-AD2A-4D06-88AA-007396358C87}"/>
    <cellStyle name="Header2 4 32 4" xfId="21611" xr:uid="{E16DD599-FCC2-491C-9A5F-DE491B9C3367}"/>
    <cellStyle name="Header2 4 32 5" xfId="21612" xr:uid="{ED2024B3-6119-447D-9AFE-522027CEB135}"/>
    <cellStyle name="Header2 4 32 6" xfId="21613" xr:uid="{6239A564-3D5F-422B-83C4-3316744F346E}"/>
    <cellStyle name="Header2 4 32 7" xfId="21614" xr:uid="{B4AC229A-165C-4973-9740-F7AD62384C98}"/>
    <cellStyle name="Header2 4 33" xfId="1029" xr:uid="{06152193-E3AF-49A8-B5A6-A7F814989E96}"/>
    <cellStyle name="Header2 4 33 2" xfId="12639" xr:uid="{F4E45FA5-94D5-48D7-AFF2-3955446B2495}"/>
    <cellStyle name="Header2 4 33 2 2" xfId="21615" xr:uid="{83C43407-A01D-4685-9624-0F33D7E08B15}"/>
    <cellStyle name="Header2 4 33 2 3" xfId="21616" xr:uid="{FBB6BEE9-6336-46B9-8593-92C5609C36FB}"/>
    <cellStyle name="Header2 4 33 2 4" xfId="21617" xr:uid="{FD625552-FF8F-4C54-BC3D-D73A785E2FA1}"/>
    <cellStyle name="Header2 4 33 2 5" xfId="21618" xr:uid="{8952979E-8FA7-4C67-B985-ACCE9848187C}"/>
    <cellStyle name="Header2 4 33 2 6" xfId="21619" xr:uid="{E3D86519-FB2A-49A4-A801-C41927AF7E55}"/>
    <cellStyle name="Header2 4 33 3" xfId="21620" xr:uid="{F7A05C10-B3B7-433F-9EBD-79E4F6814BEA}"/>
    <cellStyle name="Header2 4 33 4" xfId="21621" xr:uid="{32879291-A54A-4A2B-B5F3-017B56151BAA}"/>
    <cellStyle name="Header2 4 33 5" xfId="21622" xr:uid="{C1F5DC93-2D9D-4345-9006-9800316049D6}"/>
    <cellStyle name="Header2 4 33 6" xfId="21623" xr:uid="{CF9C9D52-2019-4C59-812E-EC707AF388ED}"/>
    <cellStyle name="Header2 4 33 7" xfId="21624" xr:uid="{FB267C6A-0FDC-4579-B719-F8870974BA52}"/>
    <cellStyle name="Header2 4 34" xfId="1030" xr:uid="{6F6E61F3-BCAE-4E4E-AF86-F82BEC8AC683}"/>
    <cellStyle name="Header2 4 34 2" xfId="12723" xr:uid="{77E16014-00B2-426C-91A6-3DE71E763700}"/>
    <cellStyle name="Header2 4 34 2 2" xfId="21625" xr:uid="{0F78D261-1486-4170-8F8A-C8B84E7BD853}"/>
    <cellStyle name="Header2 4 34 2 3" xfId="21626" xr:uid="{A6CD08C3-A74E-4B96-8417-7C38EB429D35}"/>
    <cellStyle name="Header2 4 34 2 4" xfId="21627" xr:uid="{1067B800-E1EB-467D-8E01-66486F1AFB77}"/>
    <cellStyle name="Header2 4 34 2 5" xfId="21628" xr:uid="{E26D1EF0-F2FF-4F0F-80A7-B2F20B22B52B}"/>
    <cellStyle name="Header2 4 34 2 6" xfId="21629" xr:uid="{6FF41615-E81F-4069-BF26-CEA0ACB310C4}"/>
    <cellStyle name="Header2 4 34 3" xfId="21630" xr:uid="{6F50EA58-8810-44C2-BFED-BF5FEEBAD302}"/>
    <cellStyle name="Header2 4 34 4" xfId="21631" xr:uid="{7FB76E1D-6318-4D6C-9F2A-B24357E3987A}"/>
    <cellStyle name="Header2 4 34 5" xfId="21632" xr:uid="{1C9B7C18-2360-4A5B-A83A-149174455466}"/>
    <cellStyle name="Header2 4 34 6" xfId="21633" xr:uid="{6E53C599-E1B0-4F7F-BDBE-2E86DA2FA7D9}"/>
    <cellStyle name="Header2 4 34 7" xfId="21634" xr:uid="{B4DBF0AF-F358-4F57-8025-CBBBDAFEFF64}"/>
    <cellStyle name="Header2 4 35" xfId="9787" xr:uid="{49FA96D4-EFB2-476C-B680-226724ADCBB6}"/>
    <cellStyle name="Header2 4 35 2" xfId="21635" xr:uid="{351E21FA-6B1F-4310-A4FA-8F43B80BE3E6}"/>
    <cellStyle name="Header2 4 35 3" xfId="21636" xr:uid="{7E2D52E1-DEEE-4402-9718-1D32C31627C9}"/>
    <cellStyle name="Header2 4 35 4" xfId="21637" xr:uid="{BBCFEFBC-5FC7-425E-838C-1B5399F2F248}"/>
    <cellStyle name="Header2 4 35 5" xfId="21638" xr:uid="{8379EFA9-72F3-4A31-B56C-A9341EF4E706}"/>
    <cellStyle name="Header2 4 35 6" xfId="21639" xr:uid="{4FE55FCB-63BC-42C7-A06E-AFCF0FE1D12A}"/>
    <cellStyle name="Header2 4 36" xfId="21640" xr:uid="{64610C38-3F61-4862-8CD8-5222C14A4FBF}"/>
    <cellStyle name="Header2 4 37" xfId="21641" xr:uid="{8F318ABE-4E8A-4491-BB63-4065B1D847A5}"/>
    <cellStyle name="Header2 4 38" xfId="21642" xr:uid="{253CD865-C5EE-4740-826E-F4F583F7D2A4}"/>
    <cellStyle name="Header2 4 39" xfId="21643" xr:uid="{71A0A3F3-E4AC-4350-8AFA-1BB16FCF1A43}"/>
    <cellStyle name="Header2 4 4" xfId="1031" xr:uid="{D0D79E29-B26E-479B-860F-C70EB866C7E6}"/>
    <cellStyle name="Header2 4 4 2" xfId="10180" xr:uid="{817508CC-BD42-461D-90A9-32864CB3E167}"/>
    <cellStyle name="Header2 4 4 2 2" xfId="21644" xr:uid="{71A9D29E-23F0-4D8D-9D36-D81C490EC6C0}"/>
    <cellStyle name="Header2 4 4 2 3" xfId="21645" xr:uid="{E1C07478-728F-47A4-95D8-53BA8492174A}"/>
    <cellStyle name="Header2 4 4 2 4" xfId="21646" xr:uid="{36827273-901F-43E1-AE47-7B58400C4374}"/>
    <cellStyle name="Header2 4 4 2 5" xfId="21647" xr:uid="{AC22B85A-902B-44C7-ACB5-B180ABFC0B93}"/>
    <cellStyle name="Header2 4 4 2 6" xfId="21648" xr:uid="{F4546BA1-761C-4846-8C38-3E24C7D76C4E}"/>
    <cellStyle name="Header2 4 4 3" xfId="21649" xr:uid="{380E8632-D361-4D1F-88FC-06A663AF9CD8}"/>
    <cellStyle name="Header2 4 4 4" xfId="21650" xr:uid="{B738A5D1-E367-4B97-804A-263C30A154B4}"/>
    <cellStyle name="Header2 4 4 5" xfId="21651" xr:uid="{FC76D190-717F-4EBA-960E-032EF0CA0961}"/>
    <cellStyle name="Header2 4 4 6" xfId="21652" xr:uid="{98B8C2C4-6D74-4A69-8A0D-8768EE5CA645}"/>
    <cellStyle name="Header2 4 4 7" xfId="21653" xr:uid="{FDC80AAE-918E-4C69-A7D6-1AE786DF9017}"/>
    <cellStyle name="Header2 4 40" xfId="21654" xr:uid="{D5FC0125-F4F9-46B2-8F5A-3FD92507A99E}"/>
    <cellStyle name="Header2 4 5" xfId="1032" xr:uid="{ED0FE8C2-3C28-4271-A5A5-C82F49109B96}"/>
    <cellStyle name="Header2 4 5 2" xfId="10268" xr:uid="{26F7F1BE-5DDC-4A4C-85F9-882F0E9DB85D}"/>
    <cellStyle name="Header2 4 5 2 2" xfId="21655" xr:uid="{D4E689AA-51DB-4AED-8B1A-A3E86652BCF3}"/>
    <cellStyle name="Header2 4 5 2 3" xfId="21656" xr:uid="{09CC774C-C340-4F8B-AA1A-1B1A0478E0B0}"/>
    <cellStyle name="Header2 4 5 2 4" xfId="21657" xr:uid="{AA478634-9B4E-481C-B6DE-71282092C471}"/>
    <cellStyle name="Header2 4 5 2 5" xfId="21658" xr:uid="{E2DB5A7C-46E0-439E-98E0-A52167CC0818}"/>
    <cellStyle name="Header2 4 5 2 6" xfId="21659" xr:uid="{9C9A1B53-B4B7-4555-970D-6111F546720A}"/>
    <cellStyle name="Header2 4 5 3" xfId="21660" xr:uid="{233B2DCD-3DEF-4138-BEA5-A0ED03C22F9B}"/>
    <cellStyle name="Header2 4 5 4" xfId="21661" xr:uid="{D7A442FC-FBD6-45DE-8A0A-FC746685055B}"/>
    <cellStyle name="Header2 4 5 5" xfId="21662" xr:uid="{C1A30EF9-74BA-4816-B713-B3C3F41B9FF5}"/>
    <cellStyle name="Header2 4 5 6" xfId="21663" xr:uid="{EB413921-6BB6-4221-8B13-FBCA3691F89F}"/>
    <cellStyle name="Header2 4 5 7" xfId="21664" xr:uid="{269B16D1-B2D0-4D55-8DB0-E192BC14FE60}"/>
    <cellStyle name="Header2 4 6" xfId="1033" xr:uid="{C7652406-B9C3-476E-80E0-E34939436298}"/>
    <cellStyle name="Header2 4 6 2" xfId="10353" xr:uid="{3D04DAF3-7B58-44C5-91A4-E9AB5A002FD2}"/>
    <cellStyle name="Header2 4 6 2 2" xfId="21665" xr:uid="{7F0AB02F-4334-48F9-AC1B-D84AAD1F4E64}"/>
    <cellStyle name="Header2 4 6 2 3" xfId="21666" xr:uid="{A67591E5-B1CE-4627-8380-B1B9D43B7ADD}"/>
    <cellStyle name="Header2 4 6 2 4" xfId="21667" xr:uid="{1ECB85A0-DEA2-4D53-9D28-D70512D6F27A}"/>
    <cellStyle name="Header2 4 6 2 5" xfId="21668" xr:uid="{B5068D54-7F66-4316-9957-53457440B0E0}"/>
    <cellStyle name="Header2 4 6 2 6" xfId="21669" xr:uid="{C7D3A286-58D5-4864-8628-EB9F0B055B4A}"/>
    <cellStyle name="Header2 4 6 3" xfId="21670" xr:uid="{444FA928-2730-45DE-8FCE-E520156BF38C}"/>
    <cellStyle name="Header2 4 6 4" xfId="21671" xr:uid="{474F48B0-15C4-4410-A185-82CD1940DE1A}"/>
    <cellStyle name="Header2 4 6 5" xfId="21672" xr:uid="{05F0614D-341D-4570-BB23-3D10A0EE1791}"/>
    <cellStyle name="Header2 4 6 6" xfId="21673" xr:uid="{AAFBBE36-936C-4C5F-9AC0-E8A876CE5500}"/>
    <cellStyle name="Header2 4 6 7" xfId="21674" xr:uid="{74BD4EE8-372E-4F0E-856C-A71E32418719}"/>
    <cellStyle name="Header2 4 7" xfId="1034" xr:uid="{5BE82332-6333-4FCC-A5DB-827AF9E5AB20}"/>
    <cellStyle name="Header2 4 7 2" xfId="10440" xr:uid="{BA58FF04-1BF5-45B2-9103-359EA88A3017}"/>
    <cellStyle name="Header2 4 7 2 2" xfId="21675" xr:uid="{F850DB51-2CC8-4914-AF1D-F674CC3CCD07}"/>
    <cellStyle name="Header2 4 7 2 3" xfId="21676" xr:uid="{5FC2C4E1-E152-419B-AA49-BC97839F2835}"/>
    <cellStyle name="Header2 4 7 2 4" xfId="21677" xr:uid="{4C01E8B2-3BC4-4FF9-B865-1D3DCD28A337}"/>
    <cellStyle name="Header2 4 7 2 5" xfId="21678" xr:uid="{3D894A8A-E4BD-4C5D-82B9-D6FC89C5D23D}"/>
    <cellStyle name="Header2 4 7 2 6" xfId="21679" xr:uid="{9842A7F6-A785-424C-91F0-4EA2094C36DF}"/>
    <cellStyle name="Header2 4 7 3" xfId="21680" xr:uid="{E93150CF-3D44-4898-A551-FD3D3A1E5C60}"/>
    <cellStyle name="Header2 4 7 4" xfId="21681" xr:uid="{085F53C1-460D-4530-81F9-5CB685556689}"/>
    <cellStyle name="Header2 4 7 5" xfId="21682" xr:uid="{9C9F13D0-0FE6-49DC-8D9D-5888D667EAAB}"/>
    <cellStyle name="Header2 4 7 6" xfId="21683" xr:uid="{28004274-F3A2-44C3-8C06-C34924FEED8D}"/>
    <cellStyle name="Header2 4 7 7" xfId="21684" xr:uid="{8312B959-7023-401E-9826-9C459CC1F886}"/>
    <cellStyle name="Header2 4 8" xfId="1035" xr:uid="{1BE6087D-7B65-4820-B553-162F32D92C00}"/>
    <cellStyle name="Header2 4 8 2" xfId="10529" xr:uid="{4DC12403-3B37-441B-B1DC-51FC4B734EC4}"/>
    <cellStyle name="Header2 4 8 2 2" xfId="21685" xr:uid="{3463D19A-E94F-4E60-B9F2-0509062B3F0B}"/>
    <cellStyle name="Header2 4 8 2 3" xfId="21686" xr:uid="{15021944-C8D2-43AC-85AE-BB08C741B5D8}"/>
    <cellStyle name="Header2 4 8 2 4" xfId="21687" xr:uid="{AF092A1D-00F5-434B-8E30-8C74E754219E}"/>
    <cellStyle name="Header2 4 8 2 5" xfId="21688" xr:uid="{7FCE9CDA-E8E1-44B3-B95B-9F8071398AC7}"/>
    <cellStyle name="Header2 4 8 2 6" xfId="21689" xr:uid="{6015E40A-1564-4856-A214-7C94977E16D6}"/>
    <cellStyle name="Header2 4 8 3" xfId="21690" xr:uid="{F84B083C-8666-419C-AB88-974D1C4EBEB3}"/>
    <cellStyle name="Header2 4 8 4" xfId="21691" xr:uid="{95E254C5-821E-4AC6-8B63-AC54624E930E}"/>
    <cellStyle name="Header2 4 8 5" xfId="21692" xr:uid="{985F8A24-13B5-4D4C-8DAE-C604D3948FFF}"/>
    <cellStyle name="Header2 4 8 6" xfId="21693" xr:uid="{9DBD3810-8C9C-438F-A7FE-2A5C9EA0C12F}"/>
    <cellStyle name="Header2 4 8 7" xfId="21694" xr:uid="{19E00834-0A0A-46AC-BA3C-53152DE4A568}"/>
    <cellStyle name="Header2 4 9" xfId="1036" xr:uid="{56EAD8A9-887F-495D-BFA9-ED407220D5CD}"/>
    <cellStyle name="Header2 4 9 2" xfId="10611" xr:uid="{47DB84CF-3BF6-4F33-A37A-89A6CE02780F}"/>
    <cellStyle name="Header2 4 9 2 2" xfId="21695" xr:uid="{7308A173-5778-4906-83EA-9C64C9D43EF5}"/>
    <cellStyle name="Header2 4 9 2 3" xfId="21696" xr:uid="{BD7AC458-5F63-4213-8184-581EDC3CE06C}"/>
    <cellStyle name="Header2 4 9 2 4" xfId="21697" xr:uid="{BF471EC9-C3A4-40C0-B6C6-D00D84C7BC2F}"/>
    <cellStyle name="Header2 4 9 2 5" xfId="21698" xr:uid="{4AFD7067-33CD-4F08-A7E4-C26D019C2E33}"/>
    <cellStyle name="Header2 4 9 2 6" xfId="21699" xr:uid="{8A50E3EE-0C22-4568-9F6E-60701C4A03DE}"/>
    <cellStyle name="Header2 4 9 3" xfId="21700" xr:uid="{758A9AF5-A1E3-451A-A9A9-D13158B4EB29}"/>
    <cellStyle name="Header2 4 9 4" xfId="21701" xr:uid="{4BF9B9B2-B0AF-43DE-9AF0-A4F50D36E028}"/>
    <cellStyle name="Header2 4 9 5" xfId="21702" xr:uid="{F54485DF-F7BF-4125-B9A1-2BF8FCDC8CC2}"/>
    <cellStyle name="Header2 4 9 6" xfId="21703" xr:uid="{A7AA1EEA-BFC5-444E-BAD9-E14C90ED10F1}"/>
    <cellStyle name="Header2 4 9 7" xfId="21704" xr:uid="{49EA3AFA-6896-45EE-8048-CB2A292D4110}"/>
    <cellStyle name="Header2 5" xfId="1037" xr:uid="{D729F14C-7FD5-4C2D-8F65-E799F02E9B6E}"/>
    <cellStyle name="Header2 5 10" xfId="1038" xr:uid="{4791D26B-FD3B-4316-9782-99E13151B81B}"/>
    <cellStyle name="Header2 5 10 2" xfId="10696" xr:uid="{D4FB316E-D8FB-4692-B0F5-F5FDC03FDD9C}"/>
    <cellStyle name="Header2 5 10 2 2" xfId="21705" xr:uid="{F106E599-A0C8-4D36-A063-DA02F1B0051A}"/>
    <cellStyle name="Header2 5 10 2 3" xfId="21706" xr:uid="{0AF71E94-265C-43B1-9BDF-36F1CCE5FE85}"/>
    <cellStyle name="Header2 5 10 2 4" xfId="21707" xr:uid="{9834D6FD-C0F3-482B-AD9B-8A0A1C8CA74D}"/>
    <cellStyle name="Header2 5 10 2 5" xfId="21708" xr:uid="{8A04A430-FADC-427C-A88F-5FC6A0AF7D85}"/>
    <cellStyle name="Header2 5 10 2 6" xfId="21709" xr:uid="{9BC34CD8-5744-4AB5-8860-5A9F9ECAF7C7}"/>
    <cellStyle name="Header2 5 10 3" xfId="21710" xr:uid="{C736E3F4-20BA-4FAA-ABD6-FF50B2D8EECF}"/>
    <cellStyle name="Header2 5 10 4" xfId="21711" xr:uid="{8ACC1280-16E1-4065-8FDD-5D9A3516AF57}"/>
    <cellStyle name="Header2 5 10 5" xfId="21712" xr:uid="{7B6E0680-5487-4C4C-88E5-B5E2570441C3}"/>
    <cellStyle name="Header2 5 10 6" xfId="21713" xr:uid="{436541F4-0B7B-4565-846C-7600BA83B8DA}"/>
    <cellStyle name="Header2 5 10 7" xfId="21714" xr:uid="{5E8AA786-428A-4B8C-AD8E-335776FC5677}"/>
    <cellStyle name="Header2 5 11" xfId="1039" xr:uid="{310AEE9A-C63B-413D-A19C-249180B462D5}"/>
    <cellStyle name="Header2 5 11 2" xfId="10787" xr:uid="{F43E8170-622D-4C07-8EF7-D16E7CF34E76}"/>
    <cellStyle name="Header2 5 11 2 2" xfId="21715" xr:uid="{7622C484-55DA-4D5E-A18C-11895F9FE282}"/>
    <cellStyle name="Header2 5 11 2 3" xfId="21716" xr:uid="{B3FC24B9-C753-40BB-8694-A8DD3AF82F7F}"/>
    <cellStyle name="Header2 5 11 2 4" xfId="21717" xr:uid="{0F21B39C-6990-4EB9-A29E-74F1755BA282}"/>
    <cellStyle name="Header2 5 11 2 5" xfId="21718" xr:uid="{297096FF-43FC-4030-B808-9850A1BD2DF7}"/>
    <cellStyle name="Header2 5 11 2 6" xfId="21719" xr:uid="{287DF0EF-07E8-4C16-9A1F-0AD6AB58BA90}"/>
    <cellStyle name="Header2 5 11 3" xfId="21720" xr:uid="{A698323E-58A4-4D1A-84ED-24EEE4263423}"/>
    <cellStyle name="Header2 5 11 4" xfId="21721" xr:uid="{A79EC537-5EDC-4BA0-A03A-D436B37D6D79}"/>
    <cellStyle name="Header2 5 11 5" xfId="21722" xr:uid="{65B4234F-8344-42AA-8E13-3E3EEEB8FDCE}"/>
    <cellStyle name="Header2 5 11 6" xfId="21723" xr:uid="{1E30B2E0-18C2-4822-AE4F-147DC46F45C3}"/>
    <cellStyle name="Header2 5 11 7" xfId="21724" xr:uid="{30A3BFBA-18E8-49D5-AB04-0E852F3D19B9}"/>
    <cellStyle name="Header2 5 12" xfId="1040" xr:uid="{97B008B6-49EF-47CC-8318-01AD9CBC8B53}"/>
    <cellStyle name="Header2 5 12 2" xfId="10874" xr:uid="{D6577A12-E057-4697-B77A-E341F6C696F5}"/>
    <cellStyle name="Header2 5 12 2 2" xfId="21725" xr:uid="{D3DC84CB-D04C-4FFB-BC62-8C90E57942D3}"/>
    <cellStyle name="Header2 5 12 2 3" xfId="21726" xr:uid="{7C68DB40-0A2A-4652-B2C6-CF6141AD769B}"/>
    <cellStyle name="Header2 5 12 2 4" xfId="21727" xr:uid="{0DF6F76B-3796-4745-BD5C-6F084BA598E7}"/>
    <cellStyle name="Header2 5 12 2 5" xfId="21728" xr:uid="{E56B36E6-C74E-4B2C-9888-EC670DB9831A}"/>
    <cellStyle name="Header2 5 12 2 6" xfId="21729" xr:uid="{A4549F04-839C-419E-9D54-E2B907238BEA}"/>
    <cellStyle name="Header2 5 12 3" xfId="21730" xr:uid="{0524D8E0-AF7C-4E72-9B79-641A4699F0DA}"/>
    <cellStyle name="Header2 5 12 4" xfId="21731" xr:uid="{CF031434-74E0-48CE-8A20-B83DE5AD30D5}"/>
    <cellStyle name="Header2 5 12 5" xfId="21732" xr:uid="{84C543FD-1E0D-4F27-93D3-60AB18B469B6}"/>
    <cellStyle name="Header2 5 12 6" xfId="21733" xr:uid="{1B55C049-99C7-463F-B89D-7F9D9C57A79A}"/>
    <cellStyle name="Header2 5 12 7" xfId="21734" xr:uid="{7F86115D-903E-438E-98B5-DE06F3455C78}"/>
    <cellStyle name="Header2 5 13" xfId="1041" xr:uid="{3F613765-7698-4D66-B401-BF22422DFFAC}"/>
    <cellStyle name="Header2 5 13 2" xfId="10963" xr:uid="{82B81768-C701-4915-95C8-CE7F04326E74}"/>
    <cellStyle name="Header2 5 13 2 2" xfId="21735" xr:uid="{6E8F4C6F-CF34-4C4C-87A6-1B7B84F2A736}"/>
    <cellStyle name="Header2 5 13 2 3" xfId="21736" xr:uid="{1916BF0E-98BC-4B6D-9C88-EFC93729B9E7}"/>
    <cellStyle name="Header2 5 13 2 4" xfId="21737" xr:uid="{1DF76297-CBB1-4D24-BD9A-501E514DD94D}"/>
    <cellStyle name="Header2 5 13 2 5" xfId="21738" xr:uid="{0F60BF25-D6F1-4B03-B002-4C341C890EAC}"/>
    <cellStyle name="Header2 5 13 2 6" xfId="21739" xr:uid="{12B51D7E-5590-49D0-A368-C0A94344443E}"/>
    <cellStyle name="Header2 5 13 3" xfId="21740" xr:uid="{5DCE8D69-990C-4037-8DF5-34009E549CF5}"/>
    <cellStyle name="Header2 5 13 4" xfId="21741" xr:uid="{A0AC2CE3-FE1D-4B4E-8F6C-A14132EED9DA}"/>
    <cellStyle name="Header2 5 13 5" xfId="21742" xr:uid="{39062638-0D45-4623-ADF4-E8307FC1BE62}"/>
    <cellStyle name="Header2 5 13 6" xfId="21743" xr:uid="{9993F073-FFC5-4E8C-A4D7-491FD3D3FA29}"/>
    <cellStyle name="Header2 5 13 7" xfId="21744" xr:uid="{AEDD33C2-1594-4C6D-927F-931D167AD7FE}"/>
    <cellStyle name="Header2 5 14" xfId="1042" xr:uid="{9BAB4386-973C-4520-BCC5-944707F3CD77}"/>
    <cellStyle name="Header2 5 14 2" xfId="11055" xr:uid="{78D2F206-BC5F-4EB0-8C93-1014283E2247}"/>
    <cellStyle name="Header2 5 14 2 2" xfId="21745" xr:uid="{1349C420-98CE-4ABE-9F52-059B8212F350}"/>
    <cellStyle name="Header2 5 14 2 3" xfId="21746" xr:uid="{AD5E1897-217A-4DFE-BFD6-B6EE46E91C1D}"/>
    <cellStyle name="Header2 5 14 2 4" xfId="21747" xr:uid="{6A63D75C-4A9F-4523-B743-717C6F9991E7}"/>
    <cellStyle name="Header2 5 14 2 5" xfId="21748" xr:uid="{B090E5D6-7FC8-492B-B4ED-251ADCE031E6}"/>
    <cellStyle name="Header2 5 14 2 6" xfId="21749" xr:uid="{67E6D8C8-1CCF-4FEB-8DD2-CFF277EACF15}"/>
    <cellStyle name="Header2 5 14 3" xfId="21750" xr:uid="{DAD1159F-A69D-492A-959C-6AF71F3DD38F}"/>
    <cellStyle name="Header2 5 14 4" xfId="21751" xr:uid="{21F75C83-48EC-4A37-82FB-6F0F504159C3}"/>
    <cellStyle name="Header2 5 14 5" xfId="21752" xr:uid="{5707D548-34B9-4A8A-AEC1-2B53F664C6F9}"/>
    <cellStyle name="Header2 5 14 6" xfId="21753" xr:uid="{AB0FC834-083D-4298-83C1-560A985FA0A8}"/>
    <cellStyle name="Header2 5 14 7" xfId="21754" xr:uid="{F34BFEBF-9B2B-4B1C-8872-976ECDA7E584}"/>
    <cellStyle name="Header2 5 15" xfId="1043" xr:uid="{C51D802A-1D6E-4152-978F-F8E3E1295DBE}"/>
    <cellStyle name="Header2 5 15 2" xfId="11138" xr:uid="{60984F36-39B5-4A0D-8122-DE398B6E2BB1}"/>
    <cellStyle name="Header2 5 15 2 2" xfId="21755" xr:uid="{06360AD5-4D1A-4830-ACBE-54082E96805B}"/>
    <cellStyle name="Header2 5 15 2 3" xfId="21756" xr:uid="{DC35D52C-247E-4699-8F00-C9DBA763CC2D}"/>
    <cellStyle name="Header2 5 15 2 4" xfId="21757" xr:uid="{5D456117-7516-49D0-955E-D9AB65E60459}"/>
    <cellStyle name="Header2 5 15 2 5" xfId="21758" xr:uid="{D1DDC900-7534-404B-B5CA-7C2C5478F555}"/>
    <cellStyle name="Header2 5 15 2 6" xfId="21759" xr:uid="{6C6BD4C2-05E7-45AC-9616-8B02587A80AA}"/>
    <cellStyle name="Header2 5 15 3" xfId="21760" xr:uid="{AA8286BF-325F-4D74-A023-111339C74A5A}"/>
    <cellStyle name="Header2 5 15 4" xfId="21761" xr:uid="{0F8E42CD-0EB7-46D4-B993-453E99BBD130}"/>
    <cellStyle name="Header2 5 15 5" xfId="21762" xr:uid="{3C6066F1-F343-4A99-B3E5-CCBB96DFD7AF}"/>
    <cellStyle name="Header2 5 15 6" xfId="21763" xr:uid="{576BC68D-49E6-4D00-8C96-890213E80B04}"/>
    <cellStyle name="Header2 5 15 7" xfId="21764" xr:uid="{C97900FC-59F0-461C-A348-CE3184C969BD}"/>
    <cellStyle name="Header2 5 16" xfId="1044" xr:uid="{2662CE09-0886-486F-A3AD-B8F6DAD638FB}"/>
    <cellStyle name="Header2 5 16 2" xfId="11227" xr:uid="{680B14D1-D4F3-4E03-B08A-E28BE97F18B9}"/>
    <cellStyle name="Header2 5 16 2 2" xfId="21765" xr:uid="{E275BAB8-3C1C-488D-8DF7-CF68A3C49229}"/>
    <cellStyle name="Header2 5 16 2 3" xfId="21766" xr:uid="{71E67382-EE20-4B84-B82B-20E72CC31C0B}"/>
    <cellStyle name="Header2 5 16 2 4" xfId="21767" xr:uid="{DFE0B259-7749-4901-B790-3D740BC6D2E5}"/>
    <cellStyle name="Header2 5 16 2 5" xfId="21768" xr:uid="{EECCA28A-24A4-44D3-B89F-94CAB5C2B4E5}"/>
    <cellStyle name="Header2 5 16 2 6" xfId="21769" xr:uid="{DDB00D5A-8545-45C2-B807-B81A3033DF63}"/>
    <cellStyle name="Header2 5 16 3" xfId="21770" xr:uid="{D3A967F1-CE8B-47CF-A09C-D5F3AE1A697F}"/>
    <cellStyle name="Header2 5 16 4" xfId="21771" xr:uid="{35F76695-D431-4348-BABC-A951E4533E1A}"/>
    <cellStyle name="Header2 5 16 5" xfId="21772" xr:uid="{016CCDC2-6FFC-48DC-82AD-669F0F7AA98F}"/>
    <cellStyle name="Header2 5 16 6" xfId="21773" xr:uid="{AC52975E-B481-4817-A315-1C55590ED799}"/>
    <cellStyle name="Header2 5 16 7" xfId="21774" xr:uid="{9C5A895B-19CD-4877-9506-6403337E621D}"/>
    <cellStyle name="Header2 5 17" xfId="1045" xr:uid="{F977E2B1-A936-4263-B905-5F56FABB01D0}"/>
    <cellStyle name="Header2 5 17 2" xfId="11313" xr:uid="{09D4A546-5429-40B1-B165-5F4732BBADE0}"/>
    <cellStyle name="Header2 5 17 2 2" xfId="21775" xr:uid="{B7419F23-3471-4378-AD82-6136869757DF}"/>
    <cellStyle name="Header2 5 17 2 3" xfId="21776" xr:uid="{CDA6F810-A214-4CB4-89EC-91174B15E75C}"/>
    <cellStyle name="Header2 5 17 2 4" xfId="21777" xr:uid="{319AD313-5D45-46C1-B951-9442AF4C65EE}"/>
    <cellStyle name="Header2 5 17 2 5" xfId="21778" xr:uid="{C52550B6-4AFB-49C7-8FB6-52954700C980}"/>
    <cellStyle name="Header2 5 17 2 6" xfId="21779" xr:uid="{EC154913-CC41-4AAF-A9E7-4C2D6A75247E}"/>
    <cellStyle name="Header2 5 17 3" xfId="21780" xr:uid="{F7843C91-5C6C-4EC5-B58B-AE61B5A73E09}"/>
    <cellStyle name="Header2 5 17 4" xfId="21781" xr:uid="{5C73BC3D-3004-41DC-B2ED-5B57ACF4325D}"/>
    <cellStyle name="Header2 5 17 5" xfId="21782" xr:uid="{E3FCC997-8C39-4693-AF96-C46BF6036C09}"/>
    <cellStyle name="Header2 5 17 6" xfId="21783" xr:uid="{7DDABEAF-DBA9-4B2E-A4DD-8F9E68457A7E}"/>
    <cellStyle name="Header2 5 17 7" xfId="21784" xr:uid="{E2C9FAD8-6A02-4622-B385-48BACE89DE97}"/>
    <cellStyle name="Header2 5 18" xfId="1046" xr:uid="{1295A379-2D9E-4A9F-806C-B7B6112A5CD9}"/>
    <cellStyle name="Header2 5 18 2" xfId="11400" xr:uid="{2DE1CDFE-F8CB-417B-BBD1-0861CE7AF56C}"/>
    <cellStyle name="Header2 5 18 2 2" xfId="21785" xr:uid="{3C05FA04-07AD-46C7-95C8-5FC9615D9008}"/>
    <cellStyle name="Header2 5 18 2 3" xfId="21786" xr:uid="{D7B9136A-34EA-4333-965F-F20925212D34}"/>
    <cellStyle name="Header2 5 18 2 4" xfId="21787" xr:uid="{7F40A99F-485D-4346-9848-D9AE12E1418A}"/>
    <cellStyle name="Header2 5 18 2 5" xfId="21788" xr:uid="{0B5F8E9C-7AB7-4C91-AA23-5B582EB9FE23}"/>
    <cellStyle name="Header2 5 18 2 6" xfId="21789" xr:uid="{155AC02E-8B1D-4F70-A04A-04D679882D11}"/>
    <cellStyle name="Header2 5 18 3" xfId="21790" xr:uid="{BE59F3AE-4796-493A-8656-29454C4847C5}"/>
    <cellStyle name="Header2 5 18 4" xfId="21791" xr:uid="{D4518912-6035-4E24-B3CE-6390580759EF}"/>
    <cellStyle name="Header2 5 18 5" xfId="21792" xr:uid="{0487FCF3-571C-4DEB-9C6D-3D287103D2F2}"/>
    <cellStyle name="Header2 5 18 6" xfId="21793" xr:uid="{B22C5897-B284-4F1C-8D9F-7338096338D4}"/>
    <cellStyle name="Header2 5 18 7" xfId="21794" xr:uid="{EF4EB1F9-8F13-4E85-ACA4-A76234C2365F}"/>
    <cellStyle name="Header2 5 19" xfId="1047" xr:uid="{B70EA165-80D4-415C-8EB8-1D9D27F5BF67}"/>
    <cellStyle name="Header2 5 19 2" xfId="11487" xr:uid="{599847E3-CFAC-4C3B-8426-5B8CD118797E}"/>
    <cellStyle name="Header2 5 19 2 2" xfId="21795" xr:uid="{36A33D25-2332-4E3B-B462-027067B58304}"/>
    <cellStyle name="Header2 5 19 2 3" xfId="21796" xr:uid="{7C0844A2-966E-4B0E-A7AD-9570802F5F7B}"/>
    <cellStyle name="Header2 5 19 2 4" xfId="21797" xr:uid="{6B14A992-B5B9-4031-8ED9-D2434F579DE6}"/>
    <cellStyle name="Header2 5 19 2 5" xfId="21798" xr:uid="{A09C8AD4-97BF-40D5-A5CF-16B6232A4F88}"/>
    <cellStyle name="Header2 5 19 2 6" xfId="21799" xr:uid="{A3041D71-2897-41B6-92E6-654DEEB61ECD}"/>
    <cellStyle name="Header2 5 19 3" xfId="21800" xr:uid="{7EE52810-FD0C-4451-9775-B12C7C4E903B}"/>
    <cellStyle name="Header2 5 19 4" xfId="21801" xr:uid="{0C5CF78C-7020-4DEA-950D-6BB77156BA74}"/>
    <cellStyle name="Header2 5 19 5" xfId="21802" xr:uid="{75EA6604-3777-41DB-B918-5CCE56D3DB7A}"/>
    <cellStyle name="Header2 5 19 6" xfId="21803" xr:uid="{355E85FA-FD0A-409E-AAF1-B914F5CC59F4}"/>
    <cellStyle name="Header2 5 19 7" xfId="21804" xr:uid="{45E0B743-F0AF-4041-BAE5-E4FD49E4C984}"/>
    <cellStyle name="Header2 5 2" xfId="1048" xr:uid="{1CF667F1-C607-47BF-B569-DD3F50DA78C3}"/>
    <cellStyle name="Header2 5 2 2" xfId="9993" xr:uid="{B17DC7C1-7238-4E3E-9261-A19A9BB1F46C}"/>
    <cellStyle name="Header2 5 2 2 2" xfId="21805" xr:uid="{95AC120D-F514-4984-8B23-6A5A07D2E594}"/>
    <cellStyle name="Header2 5 2 2 3" xfId="21806" xr:uid="{3C7E2BDB-2C61-4D87-85C1-89C7E524C8FC}"/>
    <cellStyle name="Header2 5 2 2 4" xfId="21807" xr:uid="{C72AB036-ED7C-4CD1-B366-CAAFE74C2711}"/>
    <cellStyle name="Header2 5 2 2 5" xfId="21808" xr:uid="{E088C50F-81F0-4D2E-AE6E-2372103719F2}"/>
    <cellStyle name="Header2 5 2 2 6" xfId="21809" xr:uid="{366339F6-F272-4F5F-AFD8-E037A89C6C4A}"/>
    <cellStyle name="Header2 5 2 3" xfId="21810" xr:uid="{D4F2ABF1-8FEA-41BB-96EB-5C2EFDAAFBF4}"/>
    <cellStyle name="Header2 5 2 4" xfId="21811" xr:uid="{CE7F464D-7D20-4E54-A6F3-7CC98E017C95}"/>
    <cellStyle name="Header2 5 2 5" xfId="21812" xr:uid="{1FAB2351-5168-4CFB-8EED-B1622441D2C4}"/>
    <cellStyle name="Header2 5 2 6" xfId="21813" xr:uid="{D0859B1C-FDF3-4349-A386-71A01F9D7B2A}"/>
    <cellStyle name="Header2 5 2 7" xfId="21814" xr:uid="{5467FE74-2F9E-4E0E-BBA8-F3DCA1DF9764}"/>
    <cellStyle name="Header2 5 20" xfId="1049" xr:uid="{39B159F2-860F-4617-A68B-A4C4A7A1E0EB}"/>
    <cellStyle name="Header2 5 20 2" xfId="11575" xr:uid="{E1B6FE32-FD6C-4842-B7F1-D4EAFDF80E0B}"/>
    <cellStyle name="Header2 5 20 2 2" xfId="21815" xr:uid="{D9FB9DF4-DA97-49C6-9F2D-669E84876EE2}"/>
    <cellStyle name="Header2 5 20 2 3" xfId="21816" xr:uid="{F8EAD3A9-3FE0-4F5C-A3A3-6C6B95F487A4}"/>
    <cellStyle name="Header2 5 20 2 4" xfId="21817" xr:uid="{42C4407C-3A99-4241-AC79-65728FFAACFD}"/>
    <cellStyle name="Header2 5 20 2 5" xfId="21818" xr:uid="{D21EB85F-FD07-4DD0-A1BF-0CEA6990D4F1}"/>
    <cellStyle name="Header2 5 20 2 6" xfId="21819" xr:uid="{683A4FA1-0022-4486-ADF1-FFC8CD370EA6}"/>
    <cellStyle name="Header2 5 20 3" xfId="21820" xr:uid="{76DB4008-3840-440C-B625-BBA93D238519}"/>
    <cellStyle name="Header2 5 20 4" xfId="21821" xr:uid="{6FFF6A01-F519-4264-9EA8-AA52170AF6BA}"/>
    <cellStyle name="Header2 5 20 5" xfId="21822" xr:uid="{7F5368F7-DECA-48C9-938A-B1814BBC0656}"/>
    <cellStyle name="Header2 5 20 6" xfId="21823" xr:uid="{622E2F63-B76A-4519-89A2-144A85F20335}"/>
    <cellStyle name="Header2 5 20 7" xfId="21824" xr:uid="{A14B77E8-596F-42EA-9BFB-4AE78D0D45A1}"/>
    <cellStyle name="Header2 5 21" xfId="1050" xr:uid="{B0B523F6-6088-4408-AABD-1DFDA02CA300}"/>
    <cellStyle name="Header2 5 21 2" xfId="11661" xr:uid="{4BBC828F-2FF1-4BF7-9BF3-F207F907CDB5}"/>
    <cellStyle name="Header2 5 21 2 2" xfId="21825" xr:uid="{41E7CDD9-678E-4549-9B38-A60B64FBB480}"/>
    <cellStyle name="Header2 5 21 2 3" xfId="21826" xr:uid="{34FF9963-AE74-45C9-859B-BA1E46DD5965}"/>
    <cellStyle name="Header2 5 21 2 4" xfId="21827" xr:uid="{A982204E-A13D-42BC-9FDE-7A5C12B5D4D4}"/>
    <cellStyle name="Header2 5 21 2 5" xfId="21828" xr:uid="{6FDC4C44-7632-497F-AD21-28BCCF540521}"/>
    <cellStyle name="Header2 5 21 2 6" xfId="21829" xr:uid="{C2E0B97D-2D68-423E-AD1C-977F464CE71F}"/>
    <cellStyle name="Header2 5 21 3" xfId="21830" xr:uid="{9B50654F-4FE5-4A9E-932E-CBA2897F3F7F}"/>
    <cellStyle name="Header2 5 21 4" xfId="21831" xr:uid="{630D0F31-F713-4665-BCDF-5BB02BFA7F65}"/>
    <cellStyle name="Header2 5 21 5" xfId="21832" xr:uid="{BD338423-B389-48E0-98AC-3F07DC25AA20}"/>
    <cellStyle name="Header2 5 21 6" xfId="21833" xr:uid="{89E61493-B5C5-4430-AD2F-5DFF54641627}"/>
    <cellStyle name="Header2 5 21 7" xfId="21834" xr:uid="{165DE395-14C8-4BD5-9957-5D7D8D6367E1}"/>
    <cellStyle name="Header2 5 22" xfId="1051" xr:uid="{7E477CAB-A6A2-4ABC-9DD5-D7FD6ABD7E5E}"/>
    <cellStyle name="Header2 5 22 2" xfId="11744" xr:uid="{2E6CA53A-2972-4B0D-9F43-94CBC79DDCBA}"/>
    <cellStyle name="Header2 5 22 2 2" xfId="21835" xr:uid="{1E6BE74D-3750-4435-AF00-2D3567D0B7F0}"/>
    <cellStyle name="Header2 5 22 2 3" xfId="21836" xr:uid="{136B687E-DCD3-445E-AA4B-6BC0375E7186}"/>
    <cellStyle name="Header2 5 22 2 4" xfId="21837" xr:uid="{4167C66A-97E1-45C4-8CF2-861C8FE1ED33}"/>
    <cellStyle name="Header2 5 22 2 5" xfId="21838" xr:uid="{DD73D7FA-0FCD-42FB-8C3E-C1078D8E5DB9}"/>
    <cellStyle name="Header2 5 22 2 6" xfId="21839" xr:uid="{2E3F0918-5E3D-4070-9337-AB42EB2BC21D}"/>
    <cellStyle name="Header2 5 22 3" xfId="21840" xr:uid="{4A6D5FF7-2595-49EC-860B-D084C55530D4}"/>
    <cellStyle name="Header2 5 22 4" xfId="21841" xr:uid="{D1D30FDC-AE6F-42F5-9983-CFA61F065DF8}"/>
    <cellStyle name="Header2 5 22 5" xfId="21842" xr:uid="{83DDB7EC-B9E2-4C10-AA8A-F1D58EE2542C}"/>
    <cellStyle name="Header2 5 22 6" xfId="21843" xr:uid="{367FB490-88CC-4A33-844F-65E41206A358}"/>
    <cellStyle name="Header2 5 22 7" xfId="21844" xr:uid="{283A43F0-3054-4A5E-918F-4A8E5C2F4C8D}"/>
    <cellStyle name="Header2 5 23" xfId="1052" xr:uid="{D8E1D1E1-9BDB-4C51-8D14-8AD38AC29472}"/>
    <cellStyle name="Header2 5 23 2" xfId="11826" xr:uid="{54EB69E0-B733-49E1-83D3-F3B3BC95A895}"/>
    <cellStyle name="Header2 5 23 2 2" xfId="21845" xr:uid="{F4DDC9A3-AD8E-4DA0-B99B-6C0C27C2DB48}"/>
    <cellStyle name="Header2 5 23 2 3" xfId="21846" xr:uid="{B858F41A-3E96-483D-8433-DFD4AA2E537E}"/>
    <cellStyle name="Header2 5 23 2 4" xfId="21847" xr:uid="{987D2D4C-294B-4CD7-899C-3982EABB5DF2}"/>
    <cellStyle name="Header2 5 23 2 5" xfId="21848" xr:uid="{0204E5BA-8C36-4215-BFFE-578179033E36}"/>
    <cellStyle name="Header2 5 23 2 6" xfId="21849" xr:uid="{81E69E48-EEFE-4694-9513-83A2B6EC3C20}"/>
    <cellStyle name="Header2 5 23 3" xfId="21850" xr:uid="{DC73C50F-02B1-453F-81A8-7EAA4C683118}"/>
    <cellStyle name="Header2 5 23 4" xfId="21851" xr:uid="{CCCBF667-1997-4BF5-AE3B-107071A4C869}"/>
    <cellStyle name="Header2 5 23 5" xfId="21852" xr:uid="{0B4E5DD3-9E2A-4DA2-BDF0-C95F246D33F9}"/>
    <cellStyle name="Header2 5 23 6" xfId="21853" xr:uid="{CBA6D568-D629-45F9-BBB7-868B885A93EE}"/>
    <cellStyle name="Header2 5 23 7" xfId="21854" xr:uid="{638816FA-23CB-4B64-A02C-E7F2B8D2319E}"/>
    <cellStyle name="Header2 5 24" xfId="1053" xr:uid="{97BF9D72-B90D-4C5F-8260-3D54C9DF72BF}"/>
    <cellStyle name="Header2 5 24 2" xfId="11910" xr:uid="{4305FF97-E2BB-4826-844E-544387EFB427}"/>
    <cellStyle name="Header2 5 24 2 2" xfId="21855" xr:uid="{1AB0490C-7C1E-4973-B13D-5B931818938A}"/>
    <cellStyle name="Header2 5 24 2 3" xfId="21856" xr:uid="{A94B70D6-CF19-4F49-93C7-A5DE4673A295}"/>
    <cellStyle name="Header2 5 24 2 4" xfId="21857" xr:uid="{204379B9-269C-41CF-8F1E-0669AAC605DB}"/>
    <cellStyle name="Header2 5 24 2 5" xfId="21858" xr:uid="{41099112-5D67-4BF7-8191-F6A0C5168064}"/>
    <cellStyle name="Header2 5 24 2 6" xfId="21859" xr:uid="{394FC9EE-A467-4B80-979B-547D7FE06F12}"/>
    <cellStyle name="Header2 5 24 3" xfId="21860" xr:uid="{B8C38E7E-EB64-4748-87DC-117C414CA62D}"/>
    <cellStyle name="Header2 5 24 4" xfId="21861" xr:uid="{DB8AF54F-3809-4610-88AF-90106CF16BC7}"/>
    <cellStyle name="Header2 5 24 5" xfId="21862" xr:uid="{9CD598A7-29ED-419B-8B18-FF493D15F013}"/>
    <cellStyle name="Header2 5 24 6" xfId="21863" xr:uid="{41BFA879-7159-443D-AA4B-D0018674A480}"/>
    <cellStyle name="Header2 5 24 7" xfId="21864" xr:uid="{19873C0A-ACCF-4649-BF9A-C4D1E3EF0C06}"/>
    <cellStyle name="Header2 5 25" xfId="1054" xr:uid="{EEEFD8DE-3FE6-42EE-A240-01A6B81E22B1}"/>
    <cellStyle name="Header2 5 25 2" xfId="11994" xr:uid="{63AF4B44-C5AF-4911-9052-E64A4E6B6329}"/>
    <cellStyle name="Header2 5 25 2 2" xfId="21865" xr:uid="{33CA80F5-5381-4715-BA83-FA7D07802A3F}"/>
    <cellStyle name="Header2 5 25 2 3" xfId="21866" xr:uid="{F1CCF331-E2AB-4CC4-B0AA-CAD14B893966}"/>
    <cellStyle name="Header2 5 25 2 4" xfId="21867" xr:uid="{A3A50110-407B-44D3-97F3-44655D830407}"/>
    <cellStyle name="Header2 5 25 2 5" xfId="21868" xr:uid="{0B5A7B47-9E94-453E-AE5B-18CEDA4EBD70}"/>
    <cellStyle name="Header2 5 25 2 6" xfId="21869" xr:uid="{C4F7DFA8-3657-41E7-9C93-DDF028CB6636}"/>
    <cellStyle name="Header2 5 25 3" xfId="21870" xr:uid="{450A5D97-6B43-494B-A43A-E65B47826E33}"/>
    <cellStyle name="Header2 5 25 4" xfId="21871" xr:uid="{82BFD337-C804-4291-82D9-49F540FDA424}"/>
    <cellStyle name="Header2 5 25 5" xfId="21872" xr:uid="{3F09E983-50D9-48BB-B1E5-1A465D9AE3F3}"/>
    <cellStyle name="Header2 5 25 6" xfId="21873" xr:uid="{4F457103-7BAE-42A3-983C-0F33F9463027}"/>
    <cellStyle name="Header2 5 25 7" xfId="21874" xr:uid="{C7414B34-7168-40EC-BE48-F0C702B2153F}"/>
    <cellStyle name="Header2 5 26" xfId="1055" xr:uid="{A6A696BE-7EC8-4727-9AD0-CC739C3E8A27}"/>
    <cellStyle name="Header2 5 26 2" xfId="12077" xr:uid="{BB44B730-B31D-4A9B-8BAE-E47D0FBB46D1}"/>
    <cellStyle name="Header2 5 26 2 2" xfId="21875" xr:uid="{40600824-4525-4561-8053-5A460DB28218}"/>
    <cellStyle name="Header2 5 26 2 3" xfId="21876" xr:uid="{5324881F-CBEC-42E3-B839-5CF8415797B4}"/>
    <cellStyle name="Header2 5 26 2 4" xfId="21877" xr:uid="{1F04868E-E631-4C7A-9BCA-F119BCB3839B}"/>
    <cellStyle name="Header2 5 26 2 5" xfId="21878" xr:uid="{67A89A14-6D11-4D81-989F-723BEDF08104}"/>
    <cellStyle name="Header2 5 26 2 6" xfId="21879" xr:uid="{27DB4525-CE5A-473B-866E-E3317046E380}"/>
    <cellStyle name="Header2 5 26 3" xfId="21880" xr:uid="{D58E527D-7BB2-4B88-B477-F4743E680305}"/>
    <cellStyle name="Header2 5 26 4" xfId="21881" xr:uid="{CE98E4E7-E21F-475F-8339-A7AF692B0708}"/>
    <cellStyle name="Header2 5 26 5" xfId="21882" xr:uid="{FDF4F0B8-3896-418A-8100-0ACD62341CDD}"/>
    <cellStyle name="Header2 5 26 6" xfId="21883" xr:uid="{87F447E1-45F4-4DF6-9C9C-B3499CD7566B}"/>
    <cellStyle name="Header2 5 26 7" xfId="21884" xr:uid="{CE855BCF-4B53-407C-9975-1FDCD0BC9EEB}"/>
    <cellStyle name="Header2 5 27" xfId="1056" xr:uid="{F54C5EA9-674C-4133-94BA-0160E12BE4BB}"/>
    <cellStyle name="Header2 5 27 2" xfId="12160" xr:uid="{42C05A99-99A0-48AA-9D5B-D457184403B3}"/>
    <cellStyle name="Header2 5 27 2 2" xfId="21885" xr:uid="{E4CFA55D-C4D6-4694-AC01-CA494811FC54}"/>
    <cellStyle name="Header2 5 27 2 3" xfId="21886" xr:uid="{07F4B2AB-2CE5-4561-BADB-1CBEFBDDD800}"/>
    <cellStyle name="Header2 5 27 2 4" xfId="21887" xr:uid="{63A6575F-564E-49D4-97B4-6E359520B28F}"/>
    <cellStyle name="Header2 5 27 2 5" xfId="21888" xr:uid="{61D328A6-5B98-4420-8EF3-A00F16F07C0E}"/>
    <cellStyle name="Header2 5 27 2 6" xfId="21889" xr:uid="{ADDD4F94-5BB8-41CF-8FCA-EE37E9F76273}"/>
    <cellStyle name="Header2 5 27 3" xfId="21890" xr:uid="{9406C1BA-1252-4C6B-B197-C29222724102}"/>
    <cellStyle name="Header2 5 27 4" xfId="21891" xr:uid="{8442D660-6D75-4BE6-920C-5EC2FE2677C5}"/>
    <cellStyle name="Header2 5 27 5" xfId="21892" xr:uid="{EDB6E521-46F5-4D6F-AF7F-2C6CAF631836}"/>
    <cellStyle name="Header2 5 27 6" xfId="21893" xr:uid="{7B25C81B-B719-4C6B-8E94-64B0CB243A9F}"/>
    <cellStyle name="Header2 5 27 7" xfId="21894" xr:uid="{04DB9910-7E22-4D33-A317-6ECB555010A3}"/>
    <cellStyle name="Header2 5 28" xfId="1057" xr:uid="{305D3CA2-E475-4DA4-A240-81B3C603982E}"/>
    <cellStyle name="Header2 5 28 2" xfId="12239" xr:uid="{7213CA7E-7E8F-4223-A272-BFA56C8243FE}"/>
    <cellStyle name="Header2 5 28 2 2" xfId="21895" xr:uid="{5E84BA2A-70C7-4EB7-827C-D956512FE82F}"/>
    <cellStyle name="Header2 5 28 2 3" xfId="21896" xr:uid="{A45C2C46-2D7C-439E-A80A-61BC71CA8D7C}"/>
    <cellStyle name="Header2 5 28 2 4" xfId="21897" xr:uid="{F8A86C81-2365-42CA-9F04-FCDA71B06421}"/>
    <cellStyle name="Header2 5 28 2 5" xfId="21898" xr:uid="{1DC85350-7F13-4BCD-AAE1-6BBA49257848}"/>
    <cellStyle name="Header2 5 28 2 6" xfId="21899" xr:uid="{4BDC35D1-DB28-40CA-B557-4A6E1A0CD0D5}"/>
    <cellStyle name="Header2 5 28 3" xfId="21900" xr:uid="{F10A6852-B3F3-42EF-A492-97EA9CF18F9A}"/>
    <cellStyle name="Header2 5 28 4" xfId="21901" xr:uid="{BB77735D-1AAC-4033-A53C-8652206B151F}"/>
    <cellStyle name="Header2 5 28 5" xfId="21902" xr:uid="{991BCE10-E8F5-4262-88BA-E405A4129A79}"/>
    <cellStyle name="Header2 5 28 6" xfId="21903" xr:uid="{EAC8E942-2DFC-4E82-A453-8EB0B90C8EC2}"/>
    <cellStyle name="Header2 5 28 7" xfId="21904" xr:uid="{87C0B8E5-1E33-4F37-95D4-BC8BF0934D41}"/>
    <cellStyle name="Header2 5 29" xfId="1058" xr:uid="{53B09664-7A81-4D56-B51C-35F0F772C30D}"/>
    <cellStyle name="Header2 5 29 2" xfId="12318" xr:uid="{C4A5591A-0221-4E49-B000-D1BF07B1055D}"/>
    <cellStyle name="Header2 5 29 2 2" xfId="21905" xr:uid="{0CDAB4BA-1809-45CA-8769-BFD01A061066}"/>
    <cellStyle name="Header2 5 29 2 3" xfId="21906" xr:uid="{582E1E27-519F-416F-93E9-333E6B038899}"/>
    <cellStyle name="Header2 5 29 2 4" xfId="21907" xr:uid="{92508434-168D-4437-BC98-7CE611CF1987}"/>
    <cellStyle name="Header2 5 29 2 5" xfId="21908" xr:uid="{5232DA61-12BA-4EB4-96AA-A3677DABD2F4}"/>
    <cellStyle name="Header2 5 29 2 6" xfId="21909" xr:uid="{73AF5BE6-90C9-4F93-8478-F46730BEAEC3}"/>
    <cellStyle name="Header2 5 29 3" xfId="21910" xr:uid="{B8FE073A-EF8E-4CDC-87E7-3E895F48D32C}"/>
    <cellStyle name="Header2 5 29 4" xfId="21911" xr:uid="{CEC11AF4-C5A5-4B0E-9596-B282F2055D6C}"/>
    <cellStyle name="Header2 5 29 5" xfId="21912" xr:uid="{992FF65A-5B78-451B-B331-4FDF8778FCC2}"/>
    <cellStyle name="Header2 5 29 6" xfId="21913" xr:uid="{09E8E8A7-4CB1-423F-86FC-A24920DA779C}"/>
    <cellStyle name="Header2 5 29 7" xfId="21914" xr:uid="{297251AA-391A-4494-B30D-8FA283F1BF51}"/>
    <cellStyle name="Header2 5 3" xfId="1059" xr:uid="{E7EDA62B-790A-4C52-B380-548B9D3DF2B2}"/>
    <cellStyle name="Header2 5 3 2" xfId="10084" xr:uid="{F16E4449-F5EE-475D-9F59-2F1C895CE45A}"/>
    <cellStyle name="Header2 5 3 2 2" xfId="21915" xr:uid="{AB608349-797E-4A16-B8F0-F7726EEA441D}"/>
    <cellStyle name="Header2 5 3 2 3" xfId="21916" xr:uid="{C24A3DB3-4A67-4A99-8F8C-A808C03CD4E8}"/>
    <cellStyle name="Header2 5 3 2 4" xfId="21917" xr:uid="{D5E443DC-8979-46EE-88E6-F5619EB05C4D}"/>
    <cellStyle name="Header2 5 3 2 5" xfId="21918" xr:uid="{93C1C3B7-C985-4F47-9C6C-38DEF03FDA72}"/>
    <cellStyle name="Header2 5 3 2 6" xfId="21919" xr:uid="{EACCB62F-6DB7-4B2A-8EE8-7C1197845A97}"/>
    <cellStyle name="Header2 5 3 3" xfId="21920" xr:uid="{593F997B-B7BD-4CB7-ADDE-A197289DCE7F}"/>
    <cellStyle name="Header2 5 3 4" xfId="21921" xr:uid="{0534D9A5-294E-413A-833F-E4098803BD58}"/>
    <cellStyle name="Header2 5 3 5" xfId="21922" xr:uid="{0F582D8C-8AF0-4F40-8832-88ED26A25A12}"/>
    <cellStyle name="Header2 5 3 6" xfId="21923" xr:uid="{3E5814C9-AE5A-4C06-8399-A432034E3AF0}"/>
    <cellStyle name="Header2 5 3 7" xfId="21924" xr:uid="{E4D23E6B-5E18-4E8B-94B7-51549FBBFECA}"/>
    <cellStyle name="Header2 5 30" xfId="1060" xr:uid="{557081B7-6D1E-4143-99F2-380B42D6E8FC}"/>
    <cellStyle name="Header2 5 30 2" xfId="12397" xr:uid="{60FFACEE-EBE3-42A1-B8DA-8969570C369B}"/>
    <cellStyle name="Header2 5 30 2 2" xfId="21925" xr:uid="{BFC8CB3A-14D5-41D9-91F3-82FA81127106}"/>
    <cellStyle name="Header2 5 30 2 3" xfId="21926" xr:uid="{E84968BD-83E2-4489-BF71-161D2DDF8CB6}"/>
    <cellStyle name="Header2 5 30 2 4" xfId="21927" xr:uid="{838F76B6-9B1E-4EAF-B4D8-B536CF348496}"/>
    <cellStyle name="Header2 5 30 2 5" xfId="21928" xr:uid="{55A57A6C-76E4-4A3F-BE63-6A1A9134D784}"/>
    <cellStyle name="Header2 5 30 2 6" xfId="21929" xr:uid="{810FF76D-C2DA-47D7-B54E-24D744DFD0AD}"/>
    <cellStyle name="Header2 5 30 3" xfId="21930" xr:uid="{D7C7FCBF-DA42-4C2C-85DF-AA5C84C6030E}"/>
    <cellStyle name="Header2 5 30 4" xfId="21931" xr:uid="{6A9CC19B-682C-4DE4-922D-EE88B5029E1E}"/>
    <cellStyle name="Header2 5 30 5" xfId="21932" xr:uid="{74AF2CD0-00EB-46B9-8B89-159FCAC0054A}"/>
    <cellStyle name="Header2 5 30 6" xfId="21933" xr:uid="{C035E0A7-E0EC-45BA-A8AF-1BD21F24A87F}"/>
    <cellStyle name="Header2 5 30 7" xfId="21934" xr:uid="{2C0F5902-FD90-4005-B1B6-7377157914EC}"/>
    <cellStyle name="Header2 5 31" xfId="1061" xr:uid="{E9F511FF-3BA5-4AE1-B72E-3503E3D8D5F5}"/>
    <cellStyle name="Header2 5 31 2" xfId="12476" xr:uid="{70DC5CCC-7C51-41DA-8444-8D7366939AF4}"/>
    <cellStyle name="Header2 5 31 2 2" xfId="21935" xr:uid="{B1B1A7AA-DFBB-4CB3-8DD5-37D47D819F6F}"/>
    <cellStyle name="Header2 5 31 2 3" xfId="21936" xr:uid="{5EA401B4-14CD-4394-98A4-302177AF6CAC}"/>
    <cellStyle name="Header2 5 31 2 4" xfId="21937" xr:uid="{774D7141-2C72-49EE-B520-BBE4E3AC30A9}"/>
    <cellStyle name="Header2 5 31 2 5" xfId="21938" xr:uid="{7441AC18-D03E-46CE-8CC4-C8236BA53E86}"/>
    <cellStyle name="Header2 5 31 2 6" xfId="21939" xr:uid="{CE5101A8-F1CE-4D66-9D94-3600C429659B}"/>
    <cellStyle name="Header2 5 31 3" xfId="21940" xr:uid="{7FB1A89A-1CD1-4C57-A016-60741A7D7055}"/>
    <cellStyle name="Header2 5 31 4" xfId="21941" xr:uid="{4EBC20BF-00D2-4C30-88C0-241C3318C450}"/>
    <cellStyle name="Header2 5 31 5" xfId="21942" xr:uid="{CA1AC079-F3D7-48E9-B1BF-3FFF56C53F11}"/>
    <cellStyle name="Header2 5 31 6" xfId="21943" xr:uid="{0D003122-1C4B-4D1D-B5CC-1A4F6B458D45}"/>
    <cellStyle name="Header2 5 31 7" xfId="21944" xr:uid="{FCF3E085-ABAE-4650-9B17-9EB3381B7154}"/>
    <cellStyle name="Header2 5 32" xfId="1062" xr:uid="{36253492-1C64-4C65-BB22-258E4002DBD4}"/>
    <cellStyle name="Header2 5 32 2" xfId="12555" xr:uid="{A5D51010-8F9C-4A59-8E7B-6515B37DEF2F}"/>
    <cellStyle name="Header2 5 32 2 2" xfId="21945" xr:uid="{FE93E039-0AF7-49E0-B46C-EA7BBEDB5C5E}"/>
    <cellStyle name="Header2 5 32 2 3" xfId="21946" xr:uid="{96DED368-7E03-4852-9492-9BB7B40C0073}"/>
    <cellStyle name="Header2 5 32 2 4" xfId="21947" xr:uid="{E2A22521-B02E-47A3-9ABA-34AE2E9AF9E9}"/>
    <cellStyle name="Header2 5 32 2 5" xfId="21948" xr:uid="{54056A85-4845-46A3-AE1F-7FDC64765FF1}"/>
    <cellStyle name="Header2 5 32 2 6" xfId="21949" xr:uid="{F1CE3837-607D-4511-8E3F-6462AD9E17E6}"/>
    <cellStyle name="Header2 5 32 3" xfId="21950" xr:uid="{B8CDA520-7250-42B4-A82E-07757B36A4A9}"/>
    <cellStyle name="Header2 5 32 4" xfId="21951" xr:uid="{F5D149A3-3A82-4158-8793-4B176D5DECBB}"/>
    <cellStyle name="Header2 5 32 5" xfId="21952" xr:uid="{71D782CE-F10A-4929-8FC8-073BF4BCB66D}"/>
    <cellStyle name="Header2 5 32 6" xfId="21953" xr:uid="{8D78329D-AC7E-42B2-B1C8-69C70BDF461B}"/>
    <cellStyle name="Header2 5 32 7" xfId="21954" xr:uid="{C1F0F3FA-A1C9-46EF-8DE6-7D3C61FE823F}"/>
    <cellStyle name="Header2 5 33" xfId="1063" xr:uid="{A26EC2A6-1E73-4AAD-A1C0-69A7928FC5BB}"/>
    <cellStyle name="Header2 5 33 2" xfId="12634" xr:uid="{7ABB26E8-1534-4C54-8DA3-07B7223FBB02}"/>
    <cellStyle name="Header2 5 33 2 2" xfId="21955" xr:uid="{63CE7464-9564-4C4B-B3A7-745FB965F83C}"/>
    <cellStyle name="Header2 5 33 2 3" xfId="21956" xr:uid="{098A5E0F-4347-493D-97C8-FBA00915D8F9}"/>
    <cellStyle name="Header2 5 33 2 4" xfId="21957" xr:uid="{23540C20-42A8-4119-831F-58271E3DD8D7}"/>
    <cellStyle name="Header2 5 33 2 5" xfId="21958" xr:uid="{EB3C7A4A-0889-4716-A28E-CEA5C92D574D}"/>
    <cellStyle name="Header2 5 33 2 6" xfId="21959" xr:uid="{E0D8E49F-5EDC-4DAE-9D6D-885851EFA3F5}"/>
    <cellStyle name="Header2 5 33 3" xfId="21960" xr:uid="{39B652A2-1C8B-483F-857F-79859CA0BC83}"/>
    <cellStyle name="Header2 5 33 4" xfId="21961" xr:uid="{A2BA7BE0-4550-496B-A081-9BB55C114B8E}"/>
    <cellStyle name="Header2 5 33 5" xfId="21962" xr:uid="{FACCA9FB-93CB-4298-A411-F97800D9BA54}"/>
    <cellStyle name="Header2 5 33 6" xfId="21963" xr:uid="{049AE453-1386-4760-A4FB-90745E10E6D9}"/>
    <cellStyle name="Header2 5 33 7" xfId="21964" xr:uid="{4F05A0AC-334F-4857-B27D-E72F9DED04F2}"/>
    <cellStyle name="Header2 5 34" xfId="1064" xr:uid="{604F6D1A-E366-42DF-BF80-C5A79866B6CB}"/>
    <cellStyle name="Header2 5 34 2" xfId="12718" xr:uid="{8B4EB55D-E49D-4EB4-B839-8CC7BAF88432}"/>
    <cellStyle name="Header2 5 34 2 2" xfId="21965" xr:uid="{565FBC5C-03C0-425D-B541-DB064C4D0AB1}"/>
    <cellStyle name="Header2 5 34 2 3" xfId="21966" xr:uid="{178CC04D-D910-4074-8109-2AF6210BD652}"/>
    <cellStyle name="Header2 5 34 2 4" xfId="21967" xr:uid="{E729F9D5-CBFE-4263-899B-3013ACFF867C}"/>
    <cellStyle name="Header2 5 34 2 5" xfId="21968" xr:uid="{20CA0C74-4229-407D-B7B4-8D9D170A8556}"/>
    <cellStyle name="Header2 5 34 2 6" xfId="21969" xr:uid="{3D16F7F0-DC8F-40A3-85FD-7A23D02EB07C}"/>
    <cellStyle name="Header2 5 34 3" xfId="21970" xr:uid="{8FB691C3-C602-4AD2-8B7A-E1E389BF4A90}"/>
    <cellStyle name="Header2 5 34 4" xfId="21971" xr:uid="{2D44D9F7-E0A9-4209-AAEE-FE9C8793FEC7}"/>
    <cellStyle name="Header2 5 34 5" xfId="21972" xr:uid="{11A9B62D-3BBB-489E-A8CB-3B1C52D5D78B}"/>
    <cellStyle name="Header2 5 35" xfId="9782" xr:uid="{8AB81BF4-3624-411E-9A78-0C3B3A452874}"/>
    <cellStyle name="Header2 5 35 2" xfId="21973" xr:uid="{2F0DA359-ECDE-4BBB-AFFB-FBD5C676ADE5}"/>
    <cellStyle name="Header2 5 35 3" xfId="21974" xr:uid="{095862AB-AB3A-42C2-8CDD-4E0E9F7006FB}"/>
    <cellStyle name="Header2 5 35 4" xfId="21975" xr:uid="{EB29386B-751F-4E95-A2D9-814C2ECBD305}"/>
    <cellStyle name="Header2 5 35 5" xfId="21976" xr:uid="{BBCA9F8D-91C1-4CB5-A8EA-3518B40B86F8}"/>
    <cellStyle name="Header2 5 35 6" xfId="21977" xr:uid="{0F25C904-9AB8-4A6E-96CB-D589512177EC}"/>
    <cellStyle name="Header2 5 36" xfId="21978" xr:uid="{D2CCF02F-3DCB-4C8C-A7E4-29BD38D8D06B}"/>
    <cellStyle name="Header2 5 37" xfId="21979" xr:uid="{52FE8A9C-C1F5-4E72-AF7E-BBCD4C62C28A}"/>
    <cellStyle name="Header2 5 38" xfId="21980" xr:uid="{2C59B8D6-0A47-46B2-A9F5-6FEF93AB71C2}"/>
    <cellStyle name="Header2 5 4" xfId="1065" xr:uid="{5C291EA9-33E3-43D4-BA02-8EC8CDEE1951}"/>
    <cellStyle name="Header2 5 4 2" xfId="10175" xr:uid="{CC996331-CDFD-4CE8-9B74-6544ECBC1AF0}"/>
    <cellStyle name="Header2 5 4 2 2" xfId="21981" xr:uid="{7D2F8490-1FA9-4E53-9EB1-C640541D0A80}"/>
    <cellStyle name="Header2 5 4 2 3" xfId="21982" xr:uid="{90278C10-916F-4550-8B71-B5B2827F64F9}"/>
    <cellStyle name="Header2 5 4 2 4" xfId="21983" xr:uid="{43E45282-B6C7-4FFE-B4E3-300A81B4A838}"/>
    <cellStyle name="Header2 5 4 2 5" xfId="21984" xr:uid="{89D035AE-9243-49AC-8F86-DCF6902A89E2}"/>
    <cellStyle name="Header2 5 4 2 6" xfId="21985" xr:uid="{D640AE38-BC13-49E6-BA49-5780CF47822F}"/>
    <cellStyle name="Header2 5 4 3" xfId="21986" xr:uid="{34F1794A-1217-40EB-931E-75BC3AD7B09B}"/>
    <cellStyle name="Header2 5 4 4" xfId="21987" xr:uid="{5A25FCDB-C0C8-489B-B2DF-30AB80E172D2}"/>
    <cellStyle name="Header2 5 4 5" xfId="21988" xr:uid="{380BB8AC-8B68-49A8-B436-19032F0FA127}"/>
    <cellStyle name="Header2 5 4 6" xfId="21989" xr:uid="{375DE4F8-30A7-4797-86AA-C1F00BDCF5B9}"/>
    <cellStyle name="Header2 5 4 7" xfId="21990" xr:uid="{E9CE6BCB-7B91-4845-A75F-C28D062893E9}"/>
    <cellStyle name="Header2 5 5" xfId="1066" xr:uid="{6BC2FB35-DF16-4112-A15D-B475CC6754E6}"/>
    <cellStyle name="Header2 5 5 2" xfId="10263" xr:uid="{7AB48C4B-80B9-458A-BE36-158AA575C8CE}"/>
    <cellStyle name="Header2 5 5 2 2" xfId="21991" xr:uid="{1D2303EE-D3AF-4E15-813D-FF6A67F73A2C}"/>
    <cellStyle name="Header2 5 5 2 3" xfId="21992" xr:uid="{EF400510-BE4C-4FF7-8ED7-9EC3B1D4CF51}"/>
    <cellStyle name="Header2 5 5 2 4" xfId="21993" xr:uid="{AA7F398F-49C9-428D-AAEA-3A83B23F05E3}"/>
    <cellStyle name="Header2 5 5 2 5" xfId="21994" xr:uid="{5F7247AA-8BFF-45CC-842A-723092F27602}"/>
    <cellStyle name="Header2 5 5 2 6" xfId="21995" xr:uid="{E3B74358-B2F0-47A5-B4E2-B841BF17C429}"/>
    <cellStyle name="Header2 5 5 3" xfId="21996" xr:uid="{1154716A-AB27-4D61-AD12-0C0441948A27}"/>
    <cellStyle name="Header2 5 5 4" xfId="21997" xr:uid="{A497DCDF-CF0A-4D5E-8BE7-05D3B6FFF2CF}"/>
    <cellStyle name="Header2 5 5 5" xfId="21998" xr:uid="{40B97C77-77F2-420A-9021-D74717E79787}"/>
    <cellStyle name="Header2 5 5 6" xfId="21999" xr:uid="{E4167250-818B-48C0-9D24-D87BA0F1B1BD}"/>
    <cellStyle name="Header2 5 5 7" xfId="22000" xr:uid="{F2E32B99-AEE8-449C-9FFE-CBAD654CE12B}"/>
    <cellStyle name="Header2 5 6" xfId="1067" xr:uid="{9E83D3EB-5357-4343-941D-BB17BB1DF8FE}"/>
    <cellStyle name="Header2 5 6 2" xfId="10348" xr:uid="{18310BD5-9CCC-4E45-A1CE-955658D7A4CC}"/>
    <cellStyle name="Header2 5 6 2 2" xfId="22001" xr:uid="{BDC01C3E-A3AC-4DF6-B12D-A5FAFCD9F810}"/>
    <cellStyle name="Header2 5 6 2 3" xfId="22002" xr:uid="{4E8CD52B-78E2-43D2-98D3-7B3E3F96BBE8}"/>
    <cellStyle name="Header2 5 6 2 4" xfId="22003" xr:uid="{4C69405D-C927-4796-B513-DC589C273C1C}"/>
    <cellStyle name="Header2 5 6 2 5" xfId="22004" xr:uid="{3CEF4E12-B6DF-4E0B-B28F-0B769016C6C9}"/>
    <cellStyle name="Header2 5 6 2 6" xfId="22005" xr:uid="{C7F3F138-946E-4875-AC5C-A413A86F6BEB}"/>
    <cellStyle name="Header2 5 6 3" xfId="22006" xr:uid="{B678EB3A-DADD-4CC1-BD6A-792D779CC9B5}"/>
    <cellStyle name="Header2 5 6 4" xfId="22007" xr:uid="{79623941-0A09-40E9-A776-F869D397C10F}"/>
    <cellStyle name="Header2 5 6 5" xfId="22008" xr:uid="{D6284A8A-7A84-4BDB-9B5F-73F121139908}"/>
    <cellStyle name="Header2 5 6 6" xfId="22009" xr:uid="{3BBC86A5-38A3-43B0-854B-5BCEECBD776F}"/>
    <cellStyle name="Header2 5 6 7" xfId="22010" xr:uid="{681AAE34-3838-4465-B10D-4D3B348766D7}"/>
    <cellStyle name="Header2 5 7" xfId="1068" xr:uid="{FAE14FDF-10C4-4672-B0CF-C48D912311F8}"/>
    <cellStyle name="Header2 5 7 2" xfId="10435" xr:uid="{4443E7F3-5D86-485A-93AF-60E16CA882CF}"/>
    <cellStyle name="Header2 5 7 2 2" xfId="22011" xr:uid="{57E8E08C-369D-4E32-A13F-6D9178EEE1F1}"/>
    <cellStyle name="Header2 5 7 2 3" xfId="22012" xr:uid="{0CFD7613-EB6A-46A9-AF27-7DA4D794640D}"/>
    <cellStyle name="Header2 5 7 2 4" xfId="22013" xr:uid="{76DD83CF-57C9-44F2-AD05-4EECD9D22A29}"/>
    <cellStyle name="Header2 5 7 2 5" xfId="22014" xr:uid="{BEF1C592-FA72-4A3F-8CD9-3488DA6D137E}"/>
    <cellStyle name="Header2 5 7 2 6" xfId="22015" xr:uid="{06DA257F-FD84-4E79-862E-6585E7D792DE}"/>
    <cellStyle name="Header2 5 7 3" xfId="22016" xr:uid="{245F6190-603B-464E-AE58-C905D9BC2A4F}"/>
    <cellStyle name="Header2 5 7 4" xfId="22017" xr:uid="{70DE7568-3C7B-48CC-8F4C-BF78337B7222}"/>
    <cellStyle name="Header2 5 7 5" xfId="22018" xr:uid="{5B4D16EA-E0ED-442A-845C-9DBFFD276CB0}"/>
    <cellStyle name="Header2 5 7 6" xfId="22019" xr:uid="{8D9C4CDB-7171-47EC-9002-9F18C7CC69B7}"/>
    <cellStyle name="Header2 5 7 7" xfId="22020" xr:uid="{9DB90F91-9149-49A5-830B-4DEC3B603783}"/>
    <cellStyle name="Header2 5 8" xfId="1069" xr:uid="{8143BDA5-202F-42D4-B0C9-AD3172933E6A}"/>
    <cellStyle name="Header2 5 8 2" xfId="10524" xr:uid="{57C5B16F-734C-4461-BA0F-19AD195BAF22}"/>
    <cellStyle name="Header2 5 8 2 2" xfId="22021" xr:uid="{7C5B1DE3-419B-453F-8E23-7696F908E7FF}"/>
    <cellStyle name="Header2 5 8 2 3" xfId="22022" xr:uid="{D2636AE7-7E15-4BDA-A733-AE15C7C75C93}"/>
    <cellStyle name="Header2 5 8 2 4" xfId="22023" xr:uid="{3D7B8FF2-5282-4C52-AFFE-529BC0576798}"/>
    <cellStyle name="Header2 5 8 2 5" xfId="22024" xr:uid="{D0712D39-63F0-4ABC-8226-929DA45081ED}"/>
    <cellStyle name="Header2 5 8 2 6" xfId="22025" xr:uid="{37D14AC7-506C-4868-B8CC-C07DB361DE11}"/>
    <cellStyle name="Header2 5 8 3" xfId="22026" xr:uid="{D8248C74-5A15-463B-B194-86C884E3AEE1}"/>
    <cellStyle name="Header2 5 8 4" xfId="22027" xr:uid="{928F1B7D-7217-4FF4-83C5-BF1D9F1515C1}"/>
    <cellStyle name="Header2 5 8 5" xfId="22028" xr:uid="{51075817-6F1D-41EE-87EF-5C3CF8A52500}"/>
    <cellStyle name="Header2 5 8 6" xfId="22029" xr:uid="{71E275B8-4CE8-41A3-AC3D-1435E0AC017F}"/>
    <cellStyle name="Header2 5 8 7" xfId="22030" xr:uid="{23A8BEF9-B5FA-4085-B3F7-D333AEE745A3}"/>
    <cellStyle name="Header2 5 9" xfId="1070" xr:uid="{C65ADD78-E0E1-494E-97A9-770FA6FD203D}"/>
    <cellStyle name="Header2 5 9 2" xfId="10606" xr:uid="{0E8114FA-A051-49D7-9CB6-632ADC5128E4}"/>
    <cellStyle name="Header2 5 9 2 2" xfId="22031" xr:uid="{487E8737-5A34-48E2-A97A-FACE973DE724}"/>
    <cellStyle name="Header2 5 9 2 3" xfId="22032" xr:uid="{8F6CDDFA-8586-4883-8CA6-4EB5D7C34220}"/>
    <cellStyle name="Header2 5 9 2 4" xfId="22033" xr:uid="{03903CA1-4272-4221-A622-4E9646DE0E7A}"/>
    <cellStyle name="Header2 5 9 2 5" xfId="22034" xr:uid="{C8B87F86-76ED-44F3-A79D-83738B52B315}"/>
    <cellStyle name="Header2 5 9 2 6" xfId="22035" xr:uid="{4D68C4D5-5F2E-4875-B581-29DE5DE0622F}"/>
    <cellStyle name="Header2 5 9 3" xfId="22036" xr:uid="{760E80D7-C4E4-497B-8332-095F3D96E310}"/>
    <cellStyle name="Header2 5 9 4" xfId="22037" xr:uid="{0F129D40-D9CB-46C2-9472-529A86D1B2DA}"/>
    <cellStyle name="Header2 5 9 5" xfId="22038" xr:uid="{EE42BFA5-8761-494A-9FF7-DBFBB43F21FF}"/>
    <cellStyle name="Header2 5 9 6" xfId="22039" xr:uid="{9746663D-A1A7-429C-8488-C3F133F30E53}"/>
    <cellStyle name="Header2 5 9 7" xfId="22040" xr:uid="{EFFD3278-2B8C-4969-A31A-78F95576CC42}"/>
    <cellStyle name="Header2 6" xfId="1071" xr:uid="{64871451-D363-4B42-8D58-1EDB97328139}"/>
    <cellStyle name="Header2 6 2" xfId="9946" xr:uid="{BBAE5DF3-183B-4222-AF21-EF9F8C1728F4}"/>
    <cellStyle name="Header2 6 2 2" xfId="22041" xr:uid="{654769E8-C21A-4DCA-AF25-41CEC8F13A90}"/>
    <cellStyle name="Header2 6 2 3" xfId="22042" xr:uid="{BF1D8D18-10A9-4FD3-A87F-95A7D74E28E5}"/>
    <cellStyle name="Header2 6 2 4" xfId="22043" xr:uid="{63A353EB-2847-4900-B345-9757D808FEAB}"/>
    <cellStyle name="Header2 6 2 5" xfId="22044" xr:uid="{FBF8BFCB-B9FF-4DE3-A252-C4574FF5AB05}"/>
    <cellStyle name="Header2 6 2 6" xfId="22045" xr:uid="{7AC509AF-B495-44AE-A6B3-173D73A99988}"/>
    <cellStyle name="Header2 6 3" xfId="22046" xr:uid="{F5FE8CD3-2E6C-43DE-A531-95E0DBDA7955}"/>
    <cellStyle name="Header2 6 4" xfId="22047" xr:uid="{D8D27FF2-E332-4A9F-9BCC-6A4376F65BEC}"/>
    <cellStyle name="Header2 6 5" xfId="22048" xr:uid="{45289FA8-D58F-4225-894A-29ED89D9E630}"/>
    <cellStyle name="Header2 6 6" xfId="22049" xr:uid="{1BA91D40-0742-40D8-A0B0-92D55C68D785}"/>
    <cellStyle name="Header2 6 7" xfId="22050" xr:uid="{DBFFC055-0504-4480-8EF6-A60C67C47018}"/>
    <cellStyle name="Header2 7" xfId="1072" xr:uid="{FFEBAF71-A030-460D-8AEB-D68619FA2E61}"/>
    <cellStyle name="Header2 7 2" xfId="9901" xr:uid="{DD599504-4CDE-4AD6-BA09-3C11BEE1F5AB}"/>
    <cellStyle name="Header2 7 2 2" xfId="22051" xr:uid="{7F05CAEF-C02C-4844-B0D9-70EDB6172AEE}"/>
    <cellStyle name="Header2 7 2 3" xfId="22052" xr:uid="{1B9BD016-DE3E-45AB-8F67-D2CD3B0121B8}"/>
    <cellStyle name="Header2 7 2 4" xfId="22053" xr:uid="{EB0AA3F8-CCA1-4D38-BA38-2E39871653DA}"/>
    <cellStyle name="Header2 7 2 5" xfId="22054" xr:uid="{C580905E-B56E-4662-8784-F8ED3D222FA2}"/>
    <cellStyle name="Header2 7 2 6" xfId="22055" xr:uid="{6B6BDB46-A2FC-468B-B628-033D29A9FF4A}"/>
    <cellStyle name="Header2 7 3" xfId="22056" xr:uid="{5E301F14-F6E0-4C88-823D-B2FE5442E87A}"/>
    <cellStyle name="Header2 7 4" xfId="22057" xr:uid="{290BE14B-1E92-4DC9-A663-41E31E3FDCCF}"/>
    <cellStyle name="Header2 7 5" xfId="22058" xr:uid="{86E7B78E-6444-492C-9165-FB9B87E730B5}"/>
    <cellStyle name="Header2 7 6" xfId="22059" xr:uid="{5E0293E0-B6CB-4A36-9D56-8C7E625D0001}"/>
    <cellStyle name="Header2 7 7" xfId="22060" xr:uid="{1C8B7599-6B69-4FAD-9F92-E4F7FC581DCF}"/>
    <cellStyle name="Header2 8" xfId="1073" xr:uid="{456900B1-8E6D-41A9-BD1E-63960B0B6B50}"/>
    <cellStyle name="Header2 8 2" xfId="9865" xr:uid="{BB2510EA-832C-4982-8469-0281E41EC29A}"/>
    <cellStyle name="Header2 8 2 2" xfId="22061" xr:uid="{5AE446D2-40B5-4FC2-B2B0-194FF7996E83}"/>
    <cellStyle name="Header2 8 2 3" xfId="22062" xr:uid="{46FEEEBD-7CC5-4CAF-BEC6-5CEE730AFFF5}"/>
    <cellStyle name="Header2 8 2 4" xfId="22063" xr:uid="{B10568D2-D1E5-4120-80C8-8C95DC463412}"/>
    <cellStyle name="Header2 8 2 5" xfId="22064" xr:uid="{6E4F36B1-5273-475B-9E1C-DD9DC33F52E3}"/>
    <cellStyle name="Header2 8 2 6" xfId="22065" xr:uid="{64E2E227-A2A3-4520-BDD4-35F6E2B782E9}"/>
    <cellStyle name="Header2 8 3" xfId="22066" xr:uid="{FCD16E78-896C-4CDF-9E92-3AAFD515BC2B}"/>
    <cellStyle name="Header2 8 4" xfId="22067" xr:uid="{11156805-98E9-46B2-8620-E48484245E32}"/>
    <cellStyle name="Header2 8 5" xfId="22068" xr:uid="{87C5CFAA-2BE0-470F-8A43-DA82573A520D}"/>
    <cellStyle name="Header2 8 6" xfId="22069" xr:uid="{056C688E-930C-4C88-99FC-24A33A7D9DF6}"/>
    <cellStyle name="Header2 8 7" xfId="22070" xr:uid="{9791A747-A9F2-46A0-8A72-5C9C292B1394}"/>
    <cellStyle name="Header2 9" xfId="1074" xr:uid="{7C16F406-168F-4F12-A2E2-67E58DAF68B2}"/>
    <cellStyle name="Header2 9 2" xfId="10024" xr:uid="{EC7B70A4-B261-4C5C-B2F6-1C486A15763B}"/>
    <cellStyle name="Header2 9 2 2" xfId="22071" xr:uid="{8152D3D5-39CC-4556-A313-B40DB2F784C3}"/>
    <cellStyle name="Header2 9 2 3" xfId="22072" xr:uid="{9E5E142C-0054-4A1F-9BD2-E1ED978681DB}"/>
    <cellStyle name="Header2 9 2 4" xfId="22073" xr:uid="{3764B5B0-271D-469C-AF20-21EB96F9BD97}"/>
    <cellStyle name="Header2 9 2 5" xfId="22074" xr:uid="{FD823D8E-AC78-4707-8D6D-F5293D19ECF9}"/>
    <cellStyle name="Header2 9 2 6" xfId="22075" xr:uid="{659CCE70-A678-49EA-910E-C98361CBAF9C}"/>
    <cellStyle name="Header2 9 3" xfId="22076" xr:uid="{4C355728-8804-4D9E-96AD-1E567D06E073}"/>
    <cellStyle name="Header2 9 4" xfId="22077" xr:uid="{E7033F9E-00E3-44C2-B150-1B8706E54B3A}"/>
    <cellStyle name="Header2 9 5" xfId="22078" xr:uid="{0A3E9C79-8261-4839-B5B8-FC01097C91D3}"/>
    <cellStyle name="Header2 9 6" xfId="22079" xr:uid="{47278192-071B-4749-9555-5DA91DECE863}"/>
    <cellStyle name="Header2 9 7" xfId="22080" xr:uid="{3B883E8B-A5DE-448F-88FD-83D0B30AB8F8}"/>
    <cellStyle name="Heading 1 2" xfId="1075" xr:uid="{BA6C006B-AC8E-4ECD-9567-411344A05DCB}"/>
    <cellStyle name="Heading 1 2 2" xfId="6891" xr:uid="{600FA785-E854-46E8-9F7F-AD894F8F021B}"/>
    <cellStyle name="Heading 1 2 3" xfId="44172" xr:uid="{FC9F5CCC-BB84-4F9D-A21A-A0A94C0D8BC0}"/>
    <cellStyle name="Heading 1 3" xfId="1076" xr:uid="{1E3AACAC-690D-45C9-AEE2-18DDFB53D19B}"/>
    <cellStyle name="Heading 1 3 2" xfId="6892" xr:uid="{437246E1-17FF-4594-BCB0-4B2E694E8223}"/>
    <cellStyle name="Heading 1 3 3" xfId="44173" xr:uid="{03748B6E-D352-43DC-B0AB-6EC9834EA2C0}"/>
    <cellStyle name="Heading 1 4" xfId="6893" xr:uid="{8717C537-0234-45D4-ADD6-C91108B022D3}"/>
    <cellStyle name="Heading 1 5" xfId="44200" xr:uid="{5E44C345-40EF-46ED-B8E8-1B48A3D0E3E2}"/>
    <cellStyle name="Heading 2 2" xfId="1077" xr:uid="{6120E703-F0D0-455A-AC67-48E9E7BCA8C3}"/>
    <cellStyle name="Heading 2 2 2" xfId="6894" xr:uid="{1E4529D0-791A-4DB8-965F-658B05031429}"/>
    <cellStyle name="Heading 2 2 2 2" xfId="6895" xr:uid="{8C4FE9A8-46C0-4956-AC10-4A780616BEF4}"/>
    <cellStyle name="Heading 2 2 3" xfId="6896" xr:uid="{02953EAD-897B-4270-A147-769AF0CBE2E2}"/>
    <cellStyle name="Heading 2 2 4" xfId="6897" xr:uid="{F83AFF05-6D79-4B6E-B0E7-D2A538A368EC}"/>
    <cellStyle name="Heading 2 3" xfId="1078" xr:uid="{3452E211-360B-4E7D-9E35-EF9743A79B18}"/>
    <cellStyle name="Heading 2 3 2" xfId="6898" xr:uid="{C8315699-3723-4786-85BD-25CCB144B22A}"/>
    <cellStyle name="Heading 2 3 2 2" xfId="6899" xr:uid="{32841427-EC15-4AA2-B0F4-0B7C00F4DA57}"/>
    <cellStyle name="Heading 2 3 3" xfId="6900" xr:uid="{2E81927A-00BD-46DA-9CB7-8DF9B3FB4A77}"/>
    <cellStyle name="Heading 2 3 4" xfId="6901" xr:uid="{974FBFE7-0574-4E05-8809-E0168B92F4CD}"/>
    <cellStyle name="Heading 2 4" xfId="6902" xr:uid="{B902E28E-B9C7-45F3-888C-FC5F463DD3F9}"/>
    <cellStyle name="Heading 2 5" xfId="44201" xr:uid="{A011A5B2-79AA-4EF0-BDA7-131776556508}"/>
    <cellStyle name="Heading 3 2" xfId="1079" xr:uid="{9E2CF87D-8977-4BF5-A595-97ACCABFE5AB}"/>
    <cellStyle name="Heading 3 2 2" xfId="6903" xr:uid="{810DBCDE-0890-40AA-8AA3-EA64A2D6FB65}"/>
    <cellStyle name="Heading 3 2 2 2" xfId="6904" xr:uid="{F1C50537-2215-48CC-B9E8-C6E52C73A045}"/>
    <cellStyle name="Heading 3 2 3" xfId="6905" xr:uid="{16274536-9C2C-452A-9B27-6A316E998904}"/>
    <cellStyle name="Heading 3 2 4" xfId="6906" xr:uid="{402DE9F0-92DA-4640-B8F0-5E54BFF913BB}"/>
    <cellStyle name="Heading 3 3" xfId="1080" xr:uid="{DDC25A2F-48AF-49B0-91A3-4ADF46250C53}"/>
    <cellStyle name="Heading 3 3 2" xfId="6907" xr:uid="{6B2D5AFB-BFF6-466B-B2B9-6E2AF508057E}"/>
    <cellStyle name="Heading 3 3 3" xfId="6908" xr:uid="{D89D753E-27C1-4AB9-9F86-DAA2AFACD132}"/>
    <cellStyle name="Heading 3 3 4" xfId="6909" xr:uid="{A9BD1DDB-BC6E-4A1A-9C5F-D4F40E2680AC}"/>
    <cellStyle name="Heading 3 3 5" xfId="6910" xr:uid="{2596E2E6-B272-4412-A12B-859788B913B8}"/>
    <cellStyle name="Heading 3 4" xfId="22081" xr:uid="{D6090B86-02A4-4AC1-BC69-600896EB992A}"/>
    <cellStyle name="Heading 3 5" xfId="44202" xr:uid="{1B1F9EBB-BE0F-44CD-8B93-9724242B4A68}"/>
    <cellStyle name="Heading 4 2" xfId="1081" xr:uid="{78F0CD68-7DC0-42F3-AF20-9794B6E5EF0C}"/>
    <cellStyle name="Heading 4 2 2" xfId="6911" xr:uid="{09BF8E43-38E7-473F-9AD0-59440E73001F}"/>
    <cellStyle name="Heading 4 2 3" xfId="6912" xr:uid="{388CA35E-EBE5-4B72-928D-80EB2135942A}"/>
    <cellStyle name="Heading 4 2 4" xfId="6913" xr:uid="{703658BF-CDB4-47C8-BD41-B3E1A992DB4D}"/>
    <cellStyle name="Heading 4 3" xfId="1082" xr:uid="{F4021B32-A60C-473C-9E9B-09DD4B4B83B5}"/>
    <cellStyle name="Heading 4 3 2" xfId="6914" xr:uid="{6ADB703B-B2D3-4B2C-A918-6FCF0214AD4B}"/>
    <cellStyle name="Heading 4 3 3" xfId="6915" xr:uid="{8D739660-EC38-4E24-8806-5CB9DA837487}"/>
    <cellStyle name="Heading 4 3 4" xfId="6916" xr:uid="{4030D0BD-E8B9-4C4F-906F-26C31E669F58}"/>
    <cellStyle name="Heading 4 3 5" xfId="6917" xr:uid="{8EA21D13-7519-43A9-9E23-9CBBB57A2EB4}"/>
    <cellStyle name="Heading 4 4" xfId="22082" xr:uid="{824E19A9-132C-43FF-9C03-371DBBA73AB2}"/>
    <cellStyle name="Heading 4 5" xfId="44203" xr:uid="{B1556EC9-5A7F-404F-AF76-F2973E671885}"/>
    <cellStyle name="Hyperlink 2" xfId="1083" xr:uid="{148E3601-612A-46EF-9D4B-EB9918E6D721}"/>
    <cellStyle name="Hyperlink 2 2" xfId="1084" xr:uid="{E6F0D9FF-4CA7-41F4-A0EE-3BBD2CBD5AFA}"/>
    <cellStyle name="Hyperlink 2 3" xfId="44775" xr:uid="{139CDBFB-D19D-4765-92B9-34A873D80D64}"/>
    <cellStyle name="Hyperlink 3" xfId="1085" xr:uid="{D8E57C01-C00E-4D43-8983-7EE65DE4A8F4}"/>
    <cellStyle name="Hyperlink 3 2" xfId="44769" xr:uid="{7BEA283C-55A2-4910-910F-AB711608F3FC}"/>
    <cellStyle name="Hyperlink 4" xfId="1086" xr:uid="{68235D06-2F25-486E-AB81-8D157EAC9E0B}"/>
    <cellStyle name="Hyperlink 5" xfId="22083" xr:uid="{CAC09587-5E39-4981-BF3A-0938441C5091}"/>
    <cellStyle name="Input [yellow]" xfId="1087" xr:uid="{D0DD3E5D-A476-43A9-A8D8-15A6F9711BC3}"/>
    <cellStyle name="Input [yellow] 10" xfId="1088" xr:uid="{B5ACA0CB-9082-4378-8C54-BBB50D7B62E2}"/>
    <cellStyle name="Input [yellow] 10 2" xfId="9979" xr:uid="{75EE2E3C-909A-48F5-82B7-0961AFF2C6D6}"/>
    <cellStyle name="Input [yellow] 10 2 2" xfId="22084" xr:uid="{40A67E37-D333-4ED3-BF31-09D03C908BB9}"/>
    <cellStyle name="Input [yellow] 10 2 3" xfId="22085" xr:uid="{B77CD086-93DF-478A-A95C-DC0D2728EE04}"/>
    <cellStyle name="Input [yellow] 10 2 4" xfId="22086" xr:uid="{D61A3C56-A64E-462B-8A39-C88386BEE7A1}"/>
    <cellStyle name="Input [yellow] 10 2 5" xfId="22087" xr:uid="{1B4DDE30-F8BA-402D-95DA-12115EA2EC2B}"/>
    <cellStyle name="Input [yellow] 10 2 6" xfId="22088" xr:uid="{59134AC2-0E1F-472E-A7E5-9B9718E47B92}"/>
    <cellStyle name="Input [yellow] 10 3" xfId="22089" xr:uid="{F7EC7444-047C-4005-8AA1-7DE1F341B12B}"/>
    <cellStyle name="Input [yellow] 10 4" xfId="22090" xr:uid="{8D73C39E-5E97-4C45-90B1-77FABE8145E8}"/>
    <cellStyle name="Input [yellow] 10 5" xfId="22091" xr:uid="{86EBE1E7-4579-4227-B66D-9B70012E73FD}"/>
    <cellStyle name="Input [yellow] 10 6" xfId="22092" xr:uid="{C9063ED2-F696-49F7-B186-3EB13AD37073}"/>
    <cellStyle name="Input [yellow] 10 7" xfId="22093" xr:uid="{827F1C74-385C-40F2-BD01-EB118AFA849A}"/>
    <cellStyle name="Input [yellow] 11" xfId="1089" xr:uid="{53EDB2CA-DEB2-47C1-BEE9-C5D0563CF2EE}"/>
    <cellStyle name="Input [yellow] 11 2" xfId="9752" xr:uid="{1F2F1B7F-61C2-4EEF-8436-64D202F92D83}"/>
    <cellStyle name="Input [yellow] 11 2 2" xfId="22094" xr:uid="{839FB819-A3E3-47E0-A044-623A2939C1A1}"/>
    <cellStyle name="Input [yellow] 11 2 3" xfId="22095" xr:uid="{81E89F46-D678-4537-B302-CF2D1F64070E}"/>
    <cellStyle name="Input [yellow] 11 2 4" xfId="22096" xr:uid="{5C5166D6-6F4E-40BD-933C-9ECE21C9E1BC}"/>
    <cellStyle name="Input [yellow] 11 2 5" xfId="22097" xr:uid="{1614216F-8C3A-416D-8D40-94720A876911}"/>
    <cellStyle name="Input [yellow] 11 2 6" xfId="22098" xr:uid="{19421787-D1DA-45E0-9AE8-D5994546ECE6}"/>
    <cellStyle name="Input [yellow] 11 3" xfId="22099" xr:uid="{B6C1D202-B755-43DB-90F4-9A3F4F8564D5}"/>
    <cellStyle name="Input [yellow] 11 4" xfId="22100" xr:uid="{A1A4269D-8F77-4696-8D82-C9FE6CC22897}"/>
    <cellStyle name="Input [yellow] 11 5" xfId="22101" xr:uid="{BDF859B0-49D1-4E0B-A4C9-670758FA5363}"/>
    <cellStyle name="Input [yellow] 11 6" xfId="22102" xr:uid="{374A82AB-526A-4F45-8607-ECA7EB55A7C0}"/>
    <cellStyle name="Input [yellow] 11 7" xfId="22103" xr:uid="{7A5534FB-0B22-4FCB-BD35-951EF5D10545}"/>
    <cellStyle name="Input [yellow] 12" xfId="1090" xr:uid="{3A625B85-D878-431D-B0AA-5313BBD361A0}"/>
    <cellStyle name="Input [yellow] 12 2" xfId="9894" xr:uid="{AC4A78E6-4076-46E7-97DA-EEC049D76F4F}"/>
    <cellStyle name="Input [yellow] 12 2 2" xfId="22104" xr:uid="{40333442-0B04-4A79-BE28-D5F73B919EC6}"/>
    <cellStyle name="Input [yellow] 12 2 3" xfId="22105" xr:uid="{221C540B-F686-43E3-893A-D3528723B929}"/>
    <cellStyle name="Input [yellow] 12 2 4" xfId="22106" xr:uid="{7ED2F5A2-096B-4A6C-953D-09E6D49FC9CB}"/>
    <cellStyle name="Input [yellow] 12 2 5" xfId="22107" xr:uid="{B66E4695-2081-4E55-BD25-D97CF981A3DB}"/>
    <cellStyle name="Input [yellow] 12 2 6" xfId="22108" xr:uid="{4F9EA6CE-9976-449C-8529-49EF9EF8ED88}"/>
    <cellStyle name="Input [yellow] 12 3" xfId="22109" xr:uid="{E64D00B1-9C11-4725-8EF5-42F09F0D725D}"/>
    <cellStyle name="Input [yellow] 12 4" xfId="22110" xr:uid="{57C6FCB7-0361-4ADD-8B3B-EB5306B86DB6}"/>
    <cellStyle name="Input [yellow] 12 5" xfId="22111" xr:uid="{338F6DA6-E55D-4430-999A-03DC440ADE27}"/>
    <cellStyle name="Input [yellow] 12 6" xfId="22112" xr:uid="{3A0F1DE5-D9D6-4EB0-87BE-E77194948D44}"/>
    <cellStyle name="Input [yellow] 12 7" xfId="22113" xr:uid="{9CDA7793-1AF4-41D7-AD39-F0FBC9680B32}"/>
    <cellStyle name="Input [yellow] 13" xfId="1091" xr:uid="{B7A89C5B-4E9B-4551-84CF-648ECFEF47A8}"/>
    <cellStyle name="Input [yellow] 13 2" xfId="9942" xr:uid="{921E88A7-CB6C-4E52-8C11-11BE0459D86B}"/>
    <cellStyle name="Input [yellow] 13 2 2" xfId="22114" xr:uid="{40A88425-4EB4-4F52-8DB6-C6945A47A9F9}"/>
    <cellStyle name="Input [yellow] 13 2 3" xfId="22115" xr:uid="{DA07080D-6FDA-43F0-B307-09EF2254D31E}"/>
    <cellStyle name="Input [yellow] 13 2 4" xfId="22116" xr:uid="{C9A188CF-87F0-47B4-A322-CFD4BDF47317}"/>
    <cellStyle name="Input [yellow] 13 2 5" xfId="22117" xr:uid="{FF78891A-EFCD-436D-AC11-77FE344F8C08}"/>
    <cellStyle name="Input [yellow] 13 2 6" xfId="22118" xr:uid="{C1083909-71F3-4323-AD8C-3075C7C6C2C2}"/>
    <cellStyle name="Input [yellow] 13 3" xfId="22119" xr:uid="{DC51D049-EE71-453E-8AE7-C4926B7802F0}"/>
    <cellStyle name="Input [yellow] 13 4" xfId="22120" xr:uid="{6978357C-C15B-4ADD-AE2A-30B744529BFD}"/>
    <cellStyle name="Input [yellow] 13 5" xfId="22121" xr:uid="{0C0D8C6F-092E-485F-B5E1-317EA03CF804}"/>
    <cellStyle name="Input [yellow] 13 6" xfId="22122" xr:uid="{2F9B3345-6E83-426D-9724-922FAC681006}"/>
    <cellStyle name="Input [yellow] 13 7" xfId="22123" xr:uid="{B50212F3-68FA-4D59-AF19-A35FFE84BEFE}"/>
    <cellStyle name="Input [yellow] 14" xfId="1092" xr:uid="{A39A544B-86A4-4163-9585-DFC60CFDB001}"/>
    <cellStyle name="Input [yellow] 14 2" xfId="9876" xr:uid="{71827110-FF30-4CE4-A5E9-7E105DFCE840}"/>
    <cellStyle name="Input [yellow] 14 2 2" xfId="22124" xr:uid="{C25BED59-F5FC-4913-8670-45399E25DA0B}"/>
    <cellStyle name="Input [yellow] 14 2 3" xfId="22125" xr:uid="{59E907DF-494C-413B-ADF0-E57EB34DBDE5}"/>
    <cellStyle name="Input [yellow] 14 2 4" xfId="22126" xr:uid="{F3602512-A969-4ADD-AD05-9F763199F066}"/>
    <cellStyle name="Input [yellow] 14 2 5" xfId="22127" xr:uid="{C372B4CA-11E3-4C1A-8717-19375FAC3E63}"/>
    <cellStyle name="Input [yellow] 14 2 6" xfId="22128" xr:uid="{D253A98E-8F49-4A22-8C41-13C73F44F88B}"/>
    <cellStyle name="Input [yellow] 14 3" xfId="22129" xr:uid="{5FD7B30F-E472-4729-8FE8-166D9655ED08}"/>
    <cellStyle name="Input [yellow] 14 4" xfId="22130" xr:uid="{529A690F-34E1-4FE5-8D57-9C23ACDD46AA}"/>
    <cellStyle name="Input [yellow] 14 5" xfId="22131" xr:uid="{0ECA93C5-54A1-4314-8225-3C6EBC42388B}"/>
    <cellStyle name="Input [yellow] 14 6" xfId="22132" xr:uid="{ED4222E1-85E2-4111-9430-35F6505D18B4}"/>
    <cellStyle name="Input [yellow] 14 7" xfId="22133" xr:uid="{CE9DCF6A-755B-4609-A327-7B3B6BBB4880}"/>
    <cellStyle name="Input [yellow] 15" xfId="1093" xr:uid="{0A567136-7D01-431C-9E86-15D788F1BCF1}"/>
    <cellStyle name="Input [yellow] 15 2" xfId="10167" xr:uid="{5DB2F452-F26A-456C-86B0-36DFA02E2AFF}"/>
    <cellStyle name="Input [yellow] 15 2 2" xfId="22134" xr:uid="{1749581B-D723-4ACC-AF7F-EEEF595388AE}"/>
    <cellStyle name="Input [yellow] 15 2 3" xfId="22135" xr:uid="{6F0D5EE9-4839-43A7-8879-3520D0C209C7}"/>
    <cellStyle name="Input [yellow] 15 2 4" xfId="22136" xr:uid="{D2574F76-D8AD-478D-96A1-CC8EA990C160}"/>
    <cellStyle name="Input [yellow] 15 2 5" xfId="22137" xr:uid="{0064E92F-870E-4C5C-B3DF-813624C3E890}"/>
    <cellStyle name="Input [yellow] 15 2 6" xfId="22138" xr:uid="{2A894DB7-5225-4AE8-9823-9F90581AA7BB}"/>
    <cellStyle name="Input [yellow] 15 3" xfId="22139" xr:uid="{2262BFF5-26CE-46C5-B905-DC0EF9923F18}"/>
    <cellStyle name="Input [yellow] 15 4" xfId="22140" xr:uid="{48B0E49B-8E6B-4A57-9C75-FCE3AC4A139A}"/>
    <cellStyle name="Input [yellow] 15 5" xfId="22141" xr:uid="{0F0B10E6-C99B-49C4-BA96-93DC16975239}"/>
    <cellStyle name="Input [yellow] 15 6" xfId="22142" xr:uid="{14823FD5-BB21-4E9C-BBC9-C3A900BFD035}"/>
    <cellStyle name="Input [yellow] 15 7" xfId="22143" xr:uid="{5B25B156-977A-4166-A40E-2EBEE26EF9AA}"/>
    <cellStyle name="Input [yellow] 16" xfId="1094" xr:uid="{C1230C28-872C-4314-82D3-D90B3E52B124}"/>
    <cellStyle name="Input [yellow] 16 2" xfId="10424" xr:uid="{2D1163C9-864E-4C1E-8B47-AD843DD3E54C}"/>
    <cellStyle name="Input [yellow] 16 2 2" xfId="22144" xr:uid="{AB4B8755-2BCA-4225-982E-DF74042B6660}"/>
    <cellStyle name="Input [yellow] 16 2 3" xfId="22145" xr:uid="{DABE9E23-5B90-432D-BF2E-5558EE836A37}"/>
    <cellStyle name="Input [yellow] 16 2 4" xfId="22146" xr:uid="{C034D2BC-B588-4365-AAB8-8ADE2C1C2430}"/>
    <cellStyle name="Input [yellow] 16 2 5" xfId="22147" xr:uid="{03A72E89-D949-4A2E-ABE6-E6E934E7EFD9}"/>
    <cellStyle name="Input [yellow] 16 2 6" xfId="22148" xr:uid="{0AAADC4D-30EB-434D-9380-E594C75221FF}"/>
    <cellStyle name="Input [yellow] 16 3" xfId="22149" xr:uid="{9E2220B3-D723-4D74-B01B-FA4AAC79E93F}"/>
    <cellStyle name="Input [yellow] 16 4" xfId="22150" xr:uid="{51FDA60D-DBE5-466B-B78E-911263124E99}"/>
    <cellStyle name="Input [yellow] 16 5" xfId="22151" xr:uid="{18262039-2007-46F5-B4A5-D9B0D400E38E}"/>
    <cellStyle name="Input [yellow] 16 6" xfId="22152" xr:uid="{5AD9CE06-4A86-4D6A-A08D-5DEF6F5190A0}"/>
    <cellStyle name="Input [yellow] 16 7" xfId="22153" xr:uid="{6E77521B-08A7-426B-A1DE-40AFF39C6494}"/>
    <cellStyle name="Input [yellow] 17" xfId="1095" xr:uid="{BDD4BC07-F84C-457B-9D3B-9465CA961363}"/>
    <cellStyle name="Input [yellow] 17 2" xfId="9758" xr:uid="{E5318033-B13F-4D39-8393-6B288343BDEA}"/>
    <cellStyle name="Input [yellow] 17 2 2" xfId="22154" xr:uid="{275D5918-3D7B-430D-A325-6D5840677E60}"/>
    <cellStyle name="Input [yellow] 17 2 3" xfId="22155" xr:uid="{9A106007-5DB6-4092-88D6-790B2F8D8263}"/>
    <cellStyle name="Input [yellow] 17 2 4" xfId="22156" xr:uid="{AA9EB524-D45F-4DCC-86C8-EA3A029CBD10}"/>
    <cellStyle name="Input [yellow] 17 2 5" xfId="22157" xr:uid="{8EFA8A95-79AA-4CF3-84BA-A837AFB6BD3C}"/>
    <cellStyle name="Input [yellow] 17 2 6" xfId="22158" xr:uid="{D30FACD2-6B94-4948-BF5D-170130078E35}"/>
    <cellStyle name="Input [yellow] 17 3" xfId="22159" xr:uid="{9539B55C-5392-49ED-86DA-86013D14CBEA}"/>
    <cellStyle name="Input [yellow] 17 4" xfId="22160" xr:uid="{6CAA481A-44D4-4A48-8851-A36C422A3F9B}"/>
    <cellStyle name="Input [yellow] 17 5" xfId="22161" xr:uid="{309C9C18-135A-4A84-949E-3FE975202039}"/>
    <cellStyle name="Input [yellow] 17 6" xfId="22162" xr:uid="{BA51E54A-5282-447A-87A8-36F3C71DCE4C}"/>
    <cellStyle name="Input [yellow] 17 7" xfId="22163" xr:uid="{75C62675-86D2-4E2B-82AB-55E1F7F4361F}"/>
    <cellStyle name="Input [yellow] 18" xfId="1096" xr:uid="{959C88A6-2F4D-494B-AB1D-5E2939E600E5}"/>
    <cellStyle name="Input [yellow] 18 2" xfId="9895" xr:uid="{9ED6353F-3651-4C0B-98B3-8C1A52A35995}"/>
    <cellStyle name="Input [yellow] 18 2 2" xfId="22164" xr:uid="{59AF4696-80F0-48CA-88D6-4D45FF7CDF76}"/>
    <cellStyle name="Input [yellow] 18 2 3" xfId="22165" xr:uid="{53A647FC-382A-48C3-9D22-A140F17EA32D}"/>
    <cellStyle name="Input [yellow] 18 2 4" xfId="22166" xr:uid="{CC28B21C-8AC5-4817-AE44-62369169E72B}"/>
    <cellStyle name="Input [yellow] 18 2 5" xfId="22167" xr:uid="{E3FF2966-EF7E-4B6A-8EEE-73E46E56E0A7}"/>
    <cellStyle name="Input [yellow] 18 2 6" xfId="22168" xr:uid="{86559BC1-6961-428A-9ADD-7F6DE85290C2}"/>
    <cellStyle name="Input [yellow] 18 3" xfId="22169" xr:uid="{C831DFF1-6465-4B41-8A27-74ED5FE9784B}"/>
    <cellStyle name="Input [yellow] 18 4" xfId="22170" xr:uid="{D660029A-2549-40D6-89AB-F2B8A5D4C389}"/>
    <cellStyle name="Input [yellow] 18 5" xfId="22171" xr:uid="{959598E1-7D95-4C41-9DF2-C299AB50DE5B}"/>
    <cellStyle name="Input [yellow] 18 6" xfId="22172" xr:uid="{02011B62-9F67-441A-B1BE-7D3D5303303C}"/>
    <cellStyle name="Input [yellow] 18 7" xfId="22173" xr:uid="{C1ED03A9-5E83-4F72-9FC5-ACC2BAA4C274}"/>
    <cellStyle name="Input [yellow] 19" xfId="1097" xr:uid="{77653874-2733-491A-9A1E-7D1A0CADADE1}"/>
    <cellStyle name="Input [yellow] 19 2" xfId="9900" xr:uid="{187BF05E-BD13-4B78-95FA-F1D89BFB345D}"/>
    <cellStyle name="Input [yellow] 19 2 2" xfId="22174" xr:uid="{3EB08DB0-1A56-460B-A9D4-981EAE8E6ED6}"/>
    <cellStyle name="Input [yellow] 19 2 3" xfId="22175" xr:uid="{5B854D18-BAAD-470C-8843-A34D0AFDA302}"/>
    <cellStyle name="Input [yellow] 19 2 4" xfId="22176" xr:uid="{0208E6DF-22BE-4181-97B8-3BD8672A9F65}"/>
    <cellStyle name="Input [yellow] 19 2 5" xfId="22177" xr:uid="{8D63B07F-F661-42FC-936A-0F79066D6AA1}"/>
    <cellStyle name="Input [yellow] 19 2 6" xfId="22178" xr:uid="{1085DDEF-9E6B-4665-92E2-E4B2F090867C}"/>
    <cellStyle name="Input [yellow] 19 3" xfId="22179" xr:uid="{13A17C03-710A-4E33-9BB4-B346AC171514}"/>
    <cellStyle name="Input [yellow] 19 4" xfId="22180" xr:uid="{4E95A990-D4E7-4021-975C-3F120CD4686F}"/>
    <cellStyle name="Input [yellow] 19 5" xfId="22181" xr:uid="{B0D9315F-BF53-482A-A179-EE835E1C50DB}"/>
    <cellStyle name="Input [yellow] 19 6" xfId="22182" xr:uid="{6D48998F-2FF5-4700-A95A-E06406839482}"/>
    <cellStyle name="Input [yellow] 19 7" xfId="22183" xr:uid="{41D48F70-50C9-4802-A614-815D1970D2E8}"/>
    <cellStyle name="Input [yellow] 2" xfId="1098" xr:uid="{A4F904E3-6D03-4DC7-82B4-DF1D5587C83D}"/>
    <cellStyle name="Input [yellow] 2 10" xfId="1099" xr:uid="{25939E75-7510-4331-A217-245516A676CC}"/>
    <cellStyle name="Input [yellow] 2 10 2" xfId="10641" xr:uid="{941EE17E-4116-487C-8E4B-6CC620FFC375}"/>
    <cellStyle name="Input [yellow] 2 10 2 2" xfId="22184" xr:uid="{51B723B5-CEA1-44D5-8EEE-7ED3494BF3B4}"/>
    <cellStyle name="Input [yellow] 2 10 2 3" xfId="22185" xr:uid="{419F6D94-B2A6-4596-8690-467A28A1EF75}"/>
    <cellStyle name="Input [yellow] 2 10 2 4" xfId="22186" xr:uid="{A59AC9D5-639D-4815-97CC-CE229BEC5C0E}"/>
    <cellStyle name="Input [yellow] 2 10 2 5" xfId="22187" xr:uid="{547AE66A-1234-4078-9D56-6E78C77A0A15}"/>
    <cellStyle name="Input [yellow] 2 10 2 6" xfId="22188" xr:uid="{729F7A27-FC13-4169-A3B4-9DD19AD3F6A1}"/>
    <cellStyle name="Input [yellow] 2 10 3" xfId="22189" xr:uid="{76C820CA-5183-48A6-B441-8D46FA0F59C6}"/>
    <cellStyle name="Input [yellow] 2 10 4" xfId="22190" xr:uid="{4F0591E0-6F0E-4A1D-AF8B-6699743F2134}"/>
    <cellStyle name="Input [yellow] 2 10 5" xfId="22191" xr:uid="{CAB52F7C-732C-40C3-A3AF-79685FABE7CD}"/>
    <cellStyle name="Input [yellow] 2 10 6" xfId="22192" xr:uid="{0D02333C-9CF3-428B-9DC8-78CF5116934E}"/>
    <cellStyle name="Input [yellow] 2 10 7" xfId="22193" xr:uid="{58321CA9-4082-4D23-BBC9-750D1A46023A}"/>
    <cellStyle name="Input [yellow] 2 11" xfId="1100" xr:uid="{9ABCC640-CBC0-4DC1-AD7D-235D792C686D}"/>
    <cellStyle name="Input [yellow] 2 11 2" xfId="10732" xr:uid="{5D16B36F-D7DD-431F-99B0-87C95A2BAB00}"/>
    <cellStyle name="Input [yellow] 2 11 2 2" xfId="22194" xr:uid="{42A15D98-0FB9-4175-BAFF-0084CF088841}"/>
    <cellStyle name="Input [yellow] 2 11 2 3" xfId="22195" xr:uid="{CB7881D5-0202-4B85-A5B8-764FD7A3B1AD}"/>
    <cellStyle name="Input [yellow] 2 11 2 4" xfId="22196" xr:uid="{EA6118D3-F277-411E-ABE0-F7A1D609F303}"/>
    <cellStyle name="Input [yellow] 2 11 2 5" xfId="22197" xr:uid="{B92829E9-83FD-43F4-A700-3AE70BB145C4}"/>
    <cellStyle name="Input [yellow] 2 11 2 6" xfId="22198" xr:uid="{1B31BD36-D05A-4BED-A3DB-9B5CAE61B812}"/>
    <cellStyle name="Input [yellow] 2 11 3" xfId="22199" xr:uid="{940DD3E2-D370-4CD3-B248-CBC6730E547A}"/>
    <cellStyle name="Input [yellow] 2 11 4" xfId="22200" xr:uid="{045F0AF5-F5D1-407F-BC1A-83D0C1A14A99}"/>
    <cellStyle name="Input [yellow] 2 11 5" xfId="22201" xr:uid="{9F648302-07EC-4871-A544-9151922FC8C8}"/>
    <cellStyle name="Input [yellow] 2 11 6" xfId="22202" xr:uid="{59D705D8-04F6-4D33-A642-E2CE3A3C4501}"/>
    <cellStyle name="Input [yellow] 2 11 7" xfId="22203" xr:uid="{98CCF9E9-563E-4ECC-ADBA-F8052EC1DAD2}"/>
    <cellStyle name="Input [yellow] 2 12" xfId="1101" xr:uid="{5D84A0EF-D1E4-4B4E-890D-61C9455E6BD9}"/>
    <cellStyle name="Input [yellow] 2 12 2" xfId="10820" xr:uid="{DEDD764F-9E0C-4D29-B7AE-D294D5F1CCDA}"/>
    <cellStyle name="Input [yellow] 2 12 2 2" xfId="22204" xr:uid="{38A64D78-0230-45C0-B5CE-850FCF3EAD9F}"/>
    <cellStyle name="Input [yellow] 2 12 2 3" xfId="22205" xr:uid="{6D80853F-E507-4DD2-9A94-03135EA8E0FE}"/>
    <cellStyle name="Input [yellow] 2 12 2 4" xfId="22206" xr:uid="{635021E8-BE11-4B74-8EB2-1C9898454AE4}"/>
    <cellStyle name="Input [yellow] 2 12 2 5" xfId="22207" xr:uid="{4CBBD9E0-1C0D-4273-891F-BB5D8BE9F753}"/>
    <cellStyle name="Input [yellow] 2 12 2 6" xfId="22208" xr:uid="{E8B2397B-9D93-4F68-BE7A-7B07D0C3E1FD}"/>
    <cellStyle name="Input [yellow] 2 12 3" xfId="22209" xr:uid="{11270217-FA47-4AB7-93C1-907B60809FEA}"/>
    <cellStyle name="Input [yellow] 2 12 4" xfId="22210" xr:uid="{6876601C-E5A3-41AE-811A-C2D0A68682CE}"/>
    <cellStyle name="Input [yellow] 2 12 5" xfId="22211" xr:uid="{A370B43D-25ED-4880-973D-586F088B5B05}"/>
    <cellStyle name="Input [yellow] 2 12 6" xfId="22212" xr:uid="{D0107B9F-552F-4F1F-9904-DBFA661DC691}"/>
    <cellStyle name="Input [yellow] 2 12 7" xfId="22213" xr:uid="{C9B4C1A7-0677-4D86-8AA3-AAB55DC4C3C3}"/>
    <cellStyle name="Input [yellow] 2 13" xfId="1102" xr:uid="{B288E964-D84F-4E99-93C1-509BBA00833A}"/>
    <cellStyle name="Input [yellow] 2 13 2" xfId="10909" xr:uid="{F7B9854D-7748-4A06-B41E-F0554DA302DF}"/>
    <cellStyle name="Input [yellow] 2 13 2 2" xfId="22214" xr:uid="{EFD76CA2-0A12-4668-BC6D-D5B4070DF0CA}"/>
    <cellStyle name="Input [yellow] 2 13 2 3" xfId="22215" xr:uid="{4DBD1E39-7C37-40F8-B12A-ADDF2B62B95D}"/>
    <cellStyle name="Input [yellow] 2 13 2 4" xfId="22216" xr:uid="{97D21BB0-DF85-48D5-9CD1-B388994F56DD}"/>
    <cellStyle name="Input [yellow] 2 13 2 5" xfId="22217" xr:uid="{D6C58D2E-6EEE-4D2E-89AA-325AD2609D99}"/>
    <cellStyle name="Input [yellow] 2 13 2 6" xfId="22218" xr:uid="{3D98F2D1-3CD2-4CE1-A051-6209AFC98706}"/>
    <cellStyle name="Input [yellow] 2 13 3" xfId="22219" xr:uid="{13BE8AD0-B317-4A69-A3C0-E63527AC0518}"/>
    <cellStyle name="Input [yellow] 2 13 4" xfId="22220" xr:uid="{09CF8E01-2D88-4FB8-82CA-EB3755D09EB9}"/>
    <cellStyle name="Input [yellow] 2 13 5" xfId="22221" xr:uid="{4834B50C-1D80-4570-82DD-21E6EAEE9067}"/>
    <cellStyle name="Input [yellow] 2 13 6" xfId="22222" xr:uid="{ABB6E379-8120-4BAE-92FB-BB3DE558F8C7}"/>
    <cellStyle name="Input [yellow] 2 13 7" xfId="22223" xr:uid="{34BB3DD4-EE9E-4904-AB3F-5DE339F8B2A3}"/>
    <cellStyle name="Input [yellow] 2 14" xfId="1103" xr:uid="{29EC5C76-336F-451E-9C8D-7117016438A5}"/>
    <cellStyle name="Input [yellow] 2 14 2" xfId="10999" xr:uid="{EE562A83-496E-446D-A604-6086B390C91A}"/>
    <cellStyle name="Input [yellow] 2 14 2 2" xfId="22224" xr:uid="{558C10D9-DE84-45CC-964F-A706975AF40E}"/>
    <cellStyle name="Input [yellow] 2 14 2 3" xfId="22225" xr:uid="{463CA956-592F-4170-AFC7-D58E172D644A}"/>
    <cellStyle name="Input [yellow] 2 14 2 4" xfId="22226" xr:uid="{27E08934-4F67-4EDB-A246-520650C69C05}"/>
    <cellStyle name="Input [yellow] 2 14 2 5" xfId="22227" xr:uid="{7FE365A0-0D8C-4CAA-80AD-817B48E37577}"/>
    <cellStyle name="Input [yellow] 2 14 2 6" xfId="22228" xr:uid="{EC83DD32-28FA-4BC7-86B5-370559E65621}"/>
    <cellStyle name="Input [yellow] 2 14 3" xfId="22229" xr:uid="{43B1BBC5-E881-4D17-8698-5315FC2FE5CB}"/>
    <cellStyle name="Input [yellow] 2 14 4" xfId="22230" xr:uid="{44AFB741-F245-4CD2-AF39-ACBDA663629B}"/>
    <cellStyle name="Input [yellow] 2 14 5" xfId="22231" xr:uid="{34B19A40-7379-4A21-9B82-61FE3B3950FF}"/>
    <cellStyle name="Input [yellow] 2 14 6" xfId="22232" xr:uid="{75220FAF-BF7D-4DD8-86ED-0DA16FF91307}"/>
    <cellStyle name="Input [yellow] 2 14 7" xfId="22233" xr:uid="{7986ED5B-A275-4684-A802-2247FBC98FFF}"/>
    <cellStyle name="Input [yellow] 2 15" xfId="1104" xr:uid="{AF5583A1-3C0A-4341-A523-7ECF885841BA}"/>
    <cellStyle name="Input [yellow] 2 15 2" xfId="11089" xr:uid="{775BB4A6-3E2B-4B0D-9929-57D3EC69E768}"/>
    <cellStyle name="Input [yellow] 2 15 2 2" xfId="22234" xr:uid="{F6A6AC3C-23F8-4886-85D0-D92138EA8607}"/>
    <cellStyle name="Input [yellow] 2 15 2 3" xfId="22235" xr:uid="{ACF6A1D1-C527-4D99-881F-923547B96E1C}"/>
    <cellStyle name="Input [yellow] 2 15 2 4" xfId="22236" xr:uid="{A2AEF155-CF2F-4C3B-91B9-341D54A528D5}"/>
    <cellStyle name="Input [yellow] 2 15 2 5" xfId="22237" xr:uid="{87FBD8F5-0925-411C-B653-1945BB4B53F8}"/>
    <cellStyle name="Input [yellow] 2 15 2 6" xfId="22238" xr:uid="{6FFA3F6D-FB71-4D83-8D0C-60CE8E65B2FD}"/>
    <cellStyle name="Input [yellow] 2 15 3" xfId="22239" xr:uid="{28184D43-8CD6-4BB7-A8C1-8454762F0152}"/>
    <cellStyle name="Input [yellow] 2 15 4" xfId="22240" xr:uid="{D22AAF61-259E-4227-8B78-56D8DFAD55D8}"/>
    <cellStyle name="Input [yellow] 2 15 5" xfId="22241" xr:uid="{D675529B-6860-4EFA-A157-2F2026863732}"/>
    <cellStyle name="Input [yellow] 2 15 6" xfId="22242" xr:uid="{B753037D-2E91-4149-B921-70F80F10325A}"/>
    <cellStyle name="Input [yellow] 2 15 7" xfId="22243" xr:uid="{05741AFE-576B-495B-BC77-B78EDBCD81C1}"/>
    <cellStyle name="Input [yellow] 2 16" xfId="1105" xr:uid="{EDA62D1C-3FF2-431D-A097-66941050CEED}"/>
    <cellStyle name="Input [yellow] 2 16 2" xfId="11172" xr:uid="{1E863556-9478-4B59-AB3D-50FA90808802}"/>
    <cellStyle name="Input [yellow] 2 16 2 2" xfId="22244" xr:uid="{60699789-4648-4453-9E21-8CFA8AEC8951}"/>
    <cellStyle name="Input [yellow] 2 16 2 3" xfId="22245" xr:uid="{82F01524-1E1C-4C22-B2CF-20CE80722B71}"/>
    <cellStyle name="Input [yellow] 2 16 2 4" xfId="22246" xr:uid="{B5521FB9-C9A1-4B7B-8316-3AE3A547A04E}"/>
    <cellStyle name="Input [yellow] 2 16 2 5" xfId="22247" xr:uid="{B920A13E-8229-4CA6-A48D-1D5C92015398}"/>
    <cellStyle name="Input [yellow] 2 16 2 6" xfId="22248" xr:uid="{030D8DB6-F726-491A-A263-528E5DC2082E}"/>
    <cellStyle name="Input [yellow] 2 16 3" xfId="22249" xr:uid="{1F816C74-C2BB-4977-93D9-F27745A4AF24}"/>
    <cellStyle name="Input [yellow] 2 16 4" xfId="22250" xr:uid="{B8F106FA-9610-4DC5-998F-28CDFBE10E26}"/>
    <cellStyle name="Input [yellow] 2 16 5" xfId="22251" xr:uid="{E54D51C2-5C0B-443B-B710-A4C4E0C5ED33}"/>
    <cellStyle name="Input [yellow] 2 16 6" xfId="22252" xr:uid="{10CAA22E-777C-44F1-834D-9F82D17BA4C4}"/>
    <cellStyle name="Input [yellow] 2 16 7" xfId="22253" xr:uid="{A56343C3-6104-40DE-94E8-80486370F0D1}"/>
    <cellStyle name="Input [yellow] 2 17" xfId="1106" xr:uid="{43CE71BF-B31B-4118-B5AF-C4D7DC83097D}"/>
    <cellStyle name="Input [yellow] 2 17 2" xfId="11262" xr:uid="{8371EBDC-F419-4C28-AC26-E0A377171A7B}"/>
    <cellStyle name="Input [yellow] 2 17 2 2" xfId="22254" xr:uid="{D542380F-E9EB-447C-8DB0-2E9F4753A3EC}"/>
    <cellStyle name="Input [yellow] 2 17 2 3" xfId="22255" xr:uid="{E94356FE-4BC3-46BC-94B8-7D7073DB4549}"/>
    <cellStyle name="Input [yellow] 2 17 2 4" xfId="22256" xr:uid="{1C97ACB3-4930-47D2-AE85-06166F53C8EB}"/>
    <cellStyle name="Input [yellow] 2 17 2 5" xfId="22257" xr:uid="{89A19E62-7662-4086-AB24-4F3D434EE243}"/>
    <cellStyle name="Input [yellow] 2 17 2 6" xfId="22258" xr:uid="{727B3355-3ABE-4B06-BFFB-3DF2D1E9142B}"/>
    <cellStyle name="Input [yellow] 2 17 3" xfId="22259" xr:uid="{444D5A8D-30AC-4219-9BD0-C6016BDD6641}"/>
    <cellStyle name="Input [yellow] 2 17 4" xfId="22260" xr:uid="{7D78A01C-3A5E-445F-9001-B752BF033245}"/>
    <cellStyle name="Input [yellow] 2 17 5" xfId="22261" xr:uid="{2A6DDD29-B544-47BE-AAE1-AA60142E027D}"/>
    <cellStyle name="Input [yellow] 2 17 6" xfId="22262" xr:uid="{7680165A-287B-4AC8-A701-92C38637AD42}"/>
    <cellStyle name="Input [yellow] 2 17 7" xfId="22263" xr:uid="{6AA7CFA9-A515-4B0A-A89E-33FEDEA6EBEA}"/>
    <cellStyle name="Input [yellow] 2 18" xfId="1107" xr:uid="{92DB1CAC-8759-49DD-98A4-4EDC60CFE95F}"/>
    <cellStyle name="Input [yellow] 2 18 2" xfId="11348" xr:uid="{D9A732B6-F85F-47B0-A8BD-B160117E6145}"/>
    <cellStyle name="Input [yellow] 2 18 2 2" xfId="22264" xr:uid="{ACB1AC38-4852-4D7F-A2F6-C3F128DB8A71}"/>
    <cellStyle name="Input [yellow] 2 18 2 3" xfId="22265" xr:uid="{6DA259D0-6790-4CEE-8620-B99815EBA7CB}"/>
    <cellStyle name="Input [yellow] 2 18 2 4" xfId="22266" xr:uid="{EE2B1D35-633B-485F-9E3A-ADAB45C475C7}"/>
    <cellStyle name="Input [yellow] 2 18 2 5" xfId="22267" xr:uid="{1ECD150F-B63E-4083-B3C7-9604156160EB}"/>
    <cellStyle name="Input [yellow] 2 18 2 6" xfId="22268" xr:uid="{1C65BCAE-AC5C-4EFD-9890-7D7511718B04}"/>
    <cellStyle name="Input [yellow] 2 18 3" xfId="22269" xr:uid="{FAE803DC-6403-45EE-B067-F02BB971F137}"/>
    <cellStyle name="Input [yellow] 2 18 4" xfId="22270" xr:uid="{5B003095-43E5-459B-87B1-49586BCACD04}"/>
    <cellStyle name="Input [yellow] 2 18 5" xfId="22271" xr:uid="{7E96F6E6-D1AB-400A-9198-37C46A97B180}"/>
    <cellStyle name="Input [yellow] 2 18 6" xfId="22272" xr:uid="{8F2BB05C-E93B-498A-B615-18C189480B91}"/>
    <cellStyle name="Input [yellow] 2 18 7" xfId="22273" xr:uid="{CBC1D7B9-2C2F-4354-8379-5E4EEF70B2C1}"/>
    <cellStyle name="Input [yellow] 2 19" xfId="1108" xr:uid="{8DF8831B-9C83-41F6-B09B-77C4DB7589C6}"/>
    <cellStyle name="Input [yellow] 2 19 2" xfId="11435" xr:uid="{7520F7DF-F7B9-41E5-B847-B6A97D90AA96}"/>
    <cellStyle name="Input [yellow] 2 19 2 2" xfId="22274" xr:uid="{A3982BD1-A04B-4046-B6EC-444F2744C591}"/>
    <cellStyle name="Input [yellow] 2 19 2 3" xfId="22275" xr:uid="{2CB17D47-0A76-4EFB-82A9-826457C4C8F1}"/>
    <cellStyle name="Input [yellow] 2 19 2 4" xfId="22276" xr:uid="{8A04976A-A2F0-4460-A464-4347F47B8849}"/>
    <cellStyle name="Input [yellow] 2 19 2 5" xfId="22277" xr:uid="{9A02F80A-C3C7-4B9C-92CD-03EA402E349B}"/>
    <cellStyle name="Input [yellow] 2 19 2 6" xfId="22278" xr:uid="{74EB79F5-A9AC-4F4B-ADEA-4BBBC3FCA16C}"/>
    <cellStyle name="Input [yellow] 2 19 3" xfId="22279" xr:uid="{E21F5D4E-5717-4B77-8FCF-6680A113CEA6}"/>
    <cellStyle name="Input [yellow] 2 19 4" xfId="22280" xr:uid="{AF7D3DC1-9E15-4BF6-ACCF-B230D74C917C}"/>
    <cellStyle name="Input [yellow] 2 19 5" xfId="22281" xr:uid="{EEF52168-EEB9-4ED5-88B7-E9EC75030703}"/>
    <cellStyle name="Input [yellow] 2 19 6" xfId="22282" xr:uid="{A207C5E4-2645-4027-B30E-E66C03DB11DD}"/>
    <cellStyle name="Input [yellow] 2 19 7" xfId="22283" xr:uid="{F346B443-9FDA-4E25-B936-991CC3A3FE10}"/>
    <cellStyle name="Input [yellow] 2 2" xfId="1109" xr:uid="{A90B7827-3078-4033-9B16-319D9F06CD17}"/>
    <cellStyle name="Input [yellow] 2 2 10" xfId="1110" xr:uid="{8A59FB38-6008-4AF1-9339-60D69D21DAB8}"/>
    <cellStyle name="Input [yellow] 2 2 10 2" xfId="10765" xr:uid="{95DED346-04C1-4958-89BB-408B4932D687}"/>
    <cellStyle name="Input [yellow] 2 2 10 2 2" xfId="22284" xr:uid="{4E652C77-EA03-420E-9E2A-FB2750A5ECD7}"/>
    <cellStyle name="Input [yellow] 2 2 10 2 3" xfId="22285" xr:uid="{0D90F5E9-57B3-4537-ADA3-72A0F9C6811A}"/>
    <cellStyle name="Input [yellow] 2 2 10 2 4" xfId="22286" xr:uid="{D548687D-F4B1-4A66-9037-7F4C0D4021BD}"/>
    <cellStyle name="Input [yellow] 2 2 10 2 5" xfId="22287" xr:uid="{7D4C5E29-65C8-4412-93D5-9F3674ADF1E4}"/>
    <cellStyle name="Input [yellow] 2 2 10 2 6" xfId="22288" xr:uid="{F89B62C5-E163-4327-BA6D-AFAF5AEFF444}"/>
    <cellStyle name="Input [yellow] 2 2 10 3" xfId="22289" xr:uid="{A602E261-A7BD-465A-BB46-2E7522904FEE}"/>
    <cellStyle name="Input [yellow] 2 2 10 4" xfId="22290" xr:uid="{39ABEEE1-395D-4536-BD71-2489E5DCBB8C}"/>
    <cellStyle name="Input [yellow] 2 2 10 5" xfId="22291" xr:uid="{28C6BC08-9B04-4DAF-9127-EDA4443E6477}"/>
    <cellStyle name="Input [yellow] 2 2 10 6" xfId="22292" xr:uid="{C3E4E065-9DA6-46C6-9C3C-B81C61A4B319}"/>
    <cellStyle name="Input [yellow] 2 2 10 7" xfId="22293" xr:uid="{7C398D71-E827-457D-A87A-CCAE7C3D14B2}"/>
    <cellStyle name="Input [yellow] 2 2 11" xfId="1111" xr:uid="{41B219B8-309C-4EC9-8CD1-F94C65D21231}"/>
    <cellStyle name="Input [yellow] 2 2 11 2" xfId="10853" xr:uid="{A08BED24-C58D-4161-9B4B-F60B1A59DE58}"/>
    <cellStyle name="Input [yellow] 2 2 11 2 2" xfId="22294" xr:uid="{8E686A85-B069-493A-9300-63D341FD8870}"/>
    <cellStyle name="Input [yellow] 2 2 11 2 3" xfId="22295" xr:uid="{626F269F-D75F-48C9-AC1A-792F1B04FC10}"/>
    <cellStyle name="Input [yellow] 2 2 11 2 4" xfId="22296" xr:uid="{6C8BF5B1-30EE-444E-A4AB-F4612B880BAC}"/>
    <cellStyle name="Input [yellow] 2 2 11 2 5" xfId="22297" xr:uid="{B2FDF89C-FE23-41C3-91C6-D6BF13640C5C}"/>
    <cellStyle name="Input [yellow] 2 2 11 2 6" xfId="22298" xr:uid="{3CA2CE8F-5735-44EE-A455-D60EA15A6347}"/>
    <cellStyle name="Input [yellow] 2 2 11 3" xfId="22299" xr:uid="{E7547A4C-4C01-4C85-A691-2C7DDFB4FAC6}"/>
    <cellStyle name="Input [yellow] 2 2 11 4" xfId="22300" xr:uid="{934601D6-DA30-4488-8980-4BC58C67224E}"/>
    <cellStyle name="Input [yellow] 2 2 11 5" xfId="22301" xr:uid="{D6C35945-3551-4931-974D-42C92D0FECF6}"/>
    <cellStyle name="Input [yellow] 2 2 11 6" xfId="22302" xr:uid="{E6280D99-6E05-4457-A262-9CA0D043142B}"/>
    <cellStyle name="Input [yellow] 2 2 11 7" xfId="22303" xr:uid="{B92BEEC2-8BBD-4135-B687-1A0819A77A23}"/>
    <cellStyle name="Input [yellow] 2 2 12" xfId="1112" xr:uid="{90CDBF06-0188-4298-86CA-627E10BF124B}"/>
    <cellStyle name="Input [yellow] 2 2 12 2" xfId="10942" xr:uid="{EC49E78E-6841-46A4-920A-EA8AD5C674B4}"/>
    <cellStyle name="Input [yellow] 2 2 12 2 2" xfId="22304" xr:uid="{3E07F06B-F234-429C-8819-EEBCBEBCB2D5}"/>
    <cellStyle name="Input [yellow] 2 2 12 2 3" xfId="22305" xr:uid="{49BC4F38-CE2E-4E4F-BA95-AAF6CDD07D2B}"/>
    <cellStyle name="Input [yellow] 2 2 12 2 4" xfId="22306" xr:uid="{1AC6F171-3F02-46DD-AEAA-8A02CD6B85C9}"/>
    <cellStyle name="Input [yellow] 2 2 12 2 5" xfId="22307" xr:uid="{4CE04F58-3EB5-4A2A-9FFB-9DAD055F5D3C}"/>
    <cellStyle name="Input [yellow] 2 2 12 2 6" xfId="22308" xr:uid="{0FD5456F-A455-44B5-86CE-D01FD70D2F71}"/>
    <cellStyle name="Input [yellow] 2 2 12 3" xfId="22309" xr:uid="{8CF26559-2093-4D97-A904-338B98E979A8}"/>
    <cellStyle name="Input [yellow] 2 2 12 4" xfId="22310" xr:uid="{8A45D99B-9067-47B0-9331-3BDCBF5CBF2D}"/>
    <cellStyle name="Input [yellow] 2 2 12 5" xfId="22311" xr:uid="{11178A78-CF7D-404F-9317-30D2AF0DABF1}"/>
    <cellStyle name="Input [yellow] 2 2 12 6" xfId="22312" xr:uid="{D1D863FE-9E1C-4272-BDBD-805145AB3F2F}"/>
    <cellStyle name="Input [yellow] 2 2 12 7" xfId="22313" xr:uid="{B7D096C3-B6EC-4DC4-8912-56BEE0584798}"/>
    <cellStyle name="Input [yellow] 2 2 13" xfId="1113" xr:uid="{2F529A58-2DE6-4838-B272-EF7C87C8ED06}"/>
    <cellStyle name="Input [yellow] 2 2 13 2" xfId="11032" xr:uid="{3E74388D-FA00-4AFD-9348-28137C6EF565}"/>
    <cellStyle name="Input [yellow] 2 2 13 2 2" xfId="22314" xr:uid="{8305F097-32A4-4AFB-8ED5-6A2BB7397012}"/>
    <cellStyle name="Input [yellow] 2 2 13 2 3" xfId="22315" xr:uid="{0C255AEA-C593-44FD-97B3-2B087700339C}"/>
    <cellStyle name="Input [yellow] 2 2 13 2 4" xfId="22316" xr:uid="{D329DF71-B139-4E2C-B093-1583F74DE92D}"/>
    <cellStyle name="Input [yellow] 2 2 13 2 5" xfId="22317" xr:uid="{B48DBEDC-48D5-4975-A76E-202833198C9A}"/>
    <cellStyle name="Input [yellow] 2 2 13 2 6" xfId="22318" xr:uid="{E07F635D-5BF5-4482-93F8-E580C7EC2E27}"/>
    <cellStyle name="Input [yellow] 2 2 13 3" xfId="22319" xr:uid="{F3924CB6-F1B1-420C-8E76-131FAE4CCE20}"/>
    <cellStyle name="Input [yellow] 2 2 13 4" xfId="22320" xr:uid="{52A244DD-99D1-4AA8-B6FF-6790C6342261}"/>
    <cellStyle name="Input [yellow] 2 2 13 5" xfId="22321" xr:uid="{6AF3CB30-2812-4FE1-A0AA-536E92718D64}"/>
    <cellStyle name="Input [yellow] 2 2 13 6" xfId="22322" xr:uid="{B8CE68F2-67AD-4881-8BAB-57E07C9F750F}"/>
    <cellStyle name="Input [yellow] 2 2 13 7" xfId="22323" xr:uid="{B11FF4B8-4023-4EA4-8C7C-3C15D7A99BB4}"/>
    <cellStyle name="Input [yellow] 2 2 14" xfId="1114" xr:uid="{900B5B64-DEF7-4757-940A-8BDCB17A9E75}"/>
    <cellStyle name="Input [yellow] 2 2 14 2" xfId="11122" xr:uid="{F05EF5CE-AAB1-4CD7-8513-5A1A81B33346}"/>
    <cellStyle name="Input [yellow] 2 2 14 2 2" xfId="22324" xr:uid="{338B07D0-E9AF-4A0B-964C-2E1B0809DF97}"/>
    <cellStyle name="Input [yellow] 2 2 14 2 3" xfId="22325" xr:uid="{3B3F168B-4299-4B8A-9D5E-5075B40473FE}"/>
    <cellStyle name="Input [yellow] 2 2 14 2 4" xfId="22326" xr:uid="{39EB13F3-D825-40B5-B7F8-083BC9E3BA43}"/>
    <cellStyle name="Input [yellow] 2 2 14 2 5" xfId="22327" xr:uid="{BA3D54CF-0E94-4E1E-9CDE-C713B1B4D4B7}"/>
    <cellStyle name="Input [yellow] 2 2 14 2 6" xfId="22328" xr:uid="{909949F3-31AC-4380-8D3C-7AC19BD0CF56}"/>
    <cellStyle name="Input [yellow] 2 2 14 3" xfId="22329" xr:uid="{F290E29C-4FA0-40FD-AB0D-6E893968D4C7}"/>
    <cellStyle name="Input [yellow] 2 2 14 4" xfId="22330" xr:uid="{ABC0D058-8E9F-4687-B475-6043FD9E7C3E}"/>
    <cellStyle name="Input [yellow] 2 2 14 5" xfId="22331" xr:uid="{F4165FA9-6DDB-4BDE-994C-E043AF9EF467}"/>
    <cellStyle name="Input [yellow] 2 2 14 6" xfId="22332" xr:uid="{F76DE53C-602E-4F3B-9AF0-3DCCC2EDDBE4}"/>
    <cellStyle name="Input [yellow] 2 2 14 7" xfId="22333" xr:uid="{A5790E08-4BEE-4604-AEBF-C9B98750A926}"/>
    <cellStyle name="Input [yellow] 2 2 15" xfId="1115" xr:uid="{BC9342C2-2DB0-4C8F-B0C6-49AF287EA743}"/>
    <cellStyle name="Input [yellow] 2 2 15 2" xfId="11205" xr:uid="{7922C820-85C7-4237-84AD-05FAA32DCA15}"/>
    <cellStyle name="Input [yellow] 2 2 15 2 2" xfId="22334" xr:uid="{D7314A44-E148-4BC6-846C-B54BE5CC72AB}"/>
    <cellStyle name="Input [yellow] 2 2 15 2 3" xfId="22335" xr:uid="{CC986CC0-77DB-43CB-8E3B-22452ADE7AA3}"/>
    <cellStyle name="Input [yellow] 2 2 15 2 4" xfId="22336" xr:uid="{510477F1-E56E-4806-AC1D-2AFF20A9191E}"/>
    <cellStyle name="Input [yellow] 2 2 15 2 5" xfId="22337" xr:uid="{A54B9CBC-74B3-4672-B31F-EFB129F9C2E8}"/>
    <cellStyle name="Input [yellow] 2 2 15 2 6" xfId="22338" xr:uid="{A0181CBF-6770-4E50-BC59-0A902FDD3719}"/>
    <cellStyle name="Input [yellow] 2 2 15 3" xfId="22339" xr:uid="{EF9B18DC-AB77-4B03-A1B3-6A8C393F604A}"/>
    <cellStyle name="Input [yellow] 2 2 15 4" xfId="22340" xr:uid="{52B3B381-551D-4CD6-89C9-944DDB00F77D}"/>
    <cellStyle name="Input [yellow] 2 2 15 5" xfId="22341" xr:uid="{7A5349C9-287C-4BAE-9775-7CFBF697F0FF}"/>
    <cellStyle name="Input [yellow] 2 2 15 6" xfId="22342" xr:uid="{6177F15D-795B-4FB0-9E17-B8AF61767B82}"/>
    <cellStyle name="Input [yellow] 2 2 15 7" xfId="22343" xr:uid="{5218BE0E-9025-4E74-BA01-3DE06E877CE8}"/>
    <cellStyle name="Input [yellow] 2 2 16" xfId="1116" xr:uid="{DE5A94A8-454E-4AA8-82C3-B8424110CD67}"/>
    <cellStyle name="Input [yellow] 2 2 16 2" xfId="11295" xr:uid="{8E884D4E-8EE8-45B2-9F2F-BEC72C6401F8}"/>
    <cellStyle name="Input [yellow] 2 2 16 2 2" xfId="22344" xr:uid="{5C60E7B6-E6F1-49D4-B237-4796AC750472}"/>
    <cellStyle name="Input [yellow] 2 2 16 2 3" xfId="22345" xr:uid="{B3BEE6E9-00D8-4D43-8C2C-2ECC3CF02552}"/>
    <cellStyle name="Input [yellow] 2 2 16 2 4" xfId="22346" xr:uid="{82DB0552-C38D-46C2-8D14-CD9696455408}"/>
    <cellStyle name="Input [yellow] 2 2 16 2 5" xfId="22347" xr:uid="{4C79A33B-BE24-4EF7-869B-DD815D8F6DD1}"/>
    <cellStyle name="Input [yellow] 2 2 16 2 6" xfId="22348" xr:uid="{9A5824D5-29A5-4B3D-84F3-14127C4CA744}"/>
    <cellStyle name="Input [yellow] 2 2 16 3" xfId="22349" xr:uid="{D2691666-8E74-47FD-AC69-E8772CD5FA65}"/>
    <cellStyle name="Input [yellow] 2 2 16 4" xfId="22350" xr:uid="{7999E390-AADD-4CE6-8A87-20B40C080D78}"/>
    <cellStyle name="Input [yellow] 2 2 16 5" xfId="22351" xr:uid="{6AD18F7B-0A2E-4D79-A3E2-9A6B3D4C7FF2}"/>
    <cellStyle name="Input [yellow] 2 2 16 6" xfId="22352" xr:uid="{FECA0680-13F3-4366-B201-E1B877E5FFE4}"/>
    <cellStyle name="Input [yellow] 2 2 16 7" xfId="22353" xr:uid="{0885F3F6-914E-4A37-9BDD-C11974D0CFC4}"/>
    <cellStyle name="Input [yellow] 2 2 17" xfId="1117" xr:uid="{AF85F69C-DF6F-4A6F-BC63-C465E3CD3885}"/>
    <cellStyle name="Input [yellow] 2 2 17 2" xfId="11381" xr:uid="{0C3FE7E7-3320-4186-AAD4-0A6820820441}"/>
    <cellStyle name="Input [yellow] 2 2 17 2 2" xfId="22354" xr:uid="{1774CDD3-74E7-42AE-8924-80E0BC2C0B2C}"/>
    <cellStyle name="Input [yellow] 2 2 17 2 3" xfId="22355" xr:uid="{D47B904E-128C-4F15-BA61-463FFC65BA53}"/>
    <cellStyle name="Input [yellow] 2 2 17 2 4" xfId="22356" xr:uid="{9D35D337-D5DE-4B53-96CD-A038143E9B06}"/>
    <cellStyle name="Input [yellow] 2 2 17 2 5" xfId="22357" xr:uid="{101CA3C1-C4D0-4CF9-8226-42C2F67C124B}"/>
    <cellStyle name="Input [yellow] 2 2 17 2 6" xfId="22358" xr:uid="{0D1BEA4D-3C62-4391-B2D1-19F6D8130FD9}"/>
    <cellStyle name="Input [yellow] 2 2 17 3" xfId="22359" xr:uid="{11D74D20-C150-43B6-AB25-81010CE85ED8}"/>
    <cellStyle name="Input [yellow] 2 2 17 4" xfId="22360" xr:uid="{FC57B635-B55D-4964-B74D-2FF19D57DECB}"/>
    <cellStyle name="Input [yellow] 2 2 17 5" xfId="22361" xr:uid="{2E2C88EA-71D8-4BE1-BEBB-9C08393AC888}"/>
    <cellStyle name="Input [yellow] 2 2 17 6" xfId="22362" xr:uid="{0F497747-2CCC-4D24-A9CC-EEC914D6B646}"/>
    <cellStyle name="Input [yellow] 2 2 17 7" xfId="22363" xr:uid="{1178223E-2917-490B-86A0-C34F3B95D608}"/>
    <cellStyle name="Input [yellow] 2 2 18" xfId="1118" xr:uid="{A6FABEF4-730C-4120-9CFC-1CADBEDEDAC3}"/>
    <cellStyle name="Input [yellow] 2 2 18 2" xfId="11468" xr:uid="{013807F3-B0FD-43F9-B3A4-7AF06785C663}"/>
    <cellStyle name="Input [yellow] 2 2 18 2 2" xfId="22364" xr:uid="{DF6BF740-1A51-492C-BD69-EE7ABCC9BDA9}"/>
    <cellStyle name="Input [yellow] 2 2 18 2 3" xfId="22365" xr:uid="{FFA83E34-4DFC-488B-8EC9-0268C197A1CE}"/>
    <cellStyle name="Input [yellow] 2 2 18 2 4" xfId="22366" xr:uid="{3EF2D562-E5DA-4506-8E21-5A5B23EDFFAC}"/>
    <cellStyle name="Input [yellow] 2 2 18 2 5" xfId="22367" xr:uid="{892D7C75-C6FD-4A69-A2A6-E2FAC5E8A302}"/>
    <cellStyle name="Input [yellow] 2 2 18 2 6" xfId="22368" xr:uid="{B3AC574A-15BC-47A3-AF4D-84F186FF8277}"/>
    <cellStyle name="Input [yellow] 2 2 18 3" xfId="22369" xr:uid="{62F4D06E-DE10-44AB-AF16-96968EC46A07}"/>
    <cellStyle name="Input [yellow] 2 2 18 4" xfId="22370" xr:uid="{92106650-A314-4173-B061-87D83BE6676B}"/>
    <cellStyle name="Input [yellow] 2 2 18 5" xfId="22371" xr:uid="{EB2E5F3A-BAE1-4D37-9124-19A104B27C4F}"/>
    <cellStyle name="Input [yellow] 2 2 18 6" xfId="22372" xr:uid="{9C60B381-0F7C-4BEC-8A5C-ACA1FD006401}"/>
    <cellStyle name="Input [yellow] 2 2 18 7" xfId="22373" xr:uid="{A8EB4F4D-96A6-4246-A607-FF8D72B42A52}"/>
    <cellStyle name="Input [yellow] 2 2 19" xfId="1119" xr:uid="{9DB8EBDE-243C-4A53-A75A-E89759F6564F}"/>
    <cellStyle name="Input [yellow] 2 2 19 2" xfId="11555" xr:uid="{EF804AD5-2EB8-43E2-A763-7E3B0C92B868}"/>
    <cellStyle name="Input [yellow] 2 2 19 2 2" xfId="22374" xr:uid="{C0B7BB68-7093-4825-A790-6CF69EF46B02}"/>
    <cellStyle name="Input [yellow] 2 2 19 2 3" xfId="22375" xr:uid="{B3E2FC8A-24BB-41EA-8BB2-53E61577CB5D}"/>
    <cellStyle name="Input [yellow] 2 2 19 2 4" xfId="22376" xr:uid="{FFF8D313-1749-4CAD-9166-7173C5375669}"/>
    <cellStyle name="Input [yellow] 2 2 19 2 5" xfId="22377" xr:uid="{2A17EC70-DDE4-4FC1-B7F7-874EABA516D8}"/>
    <cellStyle name="Input [yellow] 2 2 19 2 6" xfId="22378" xr:uid="{6FC9DFCC-DD22-4E41-9AA0-90EE4C040AAC}"/>
    <cellStyle name="Input [yellow] 2 2 19 3" xfId="22379" xr:uid="{7904ECDE-3FBD-485A-879F-81341D3DFB8F}"/>
    <cellStyle name="Input [yellow] 2 2 19 4" xfId="22380" xr:uid="{6A00F9D2-0899-4668-A0C2-8ACE06C34514}"/>
    <cellStyle name="Input [yellow] 2 2 19 5" xfId="22381" xr:uid="{6569E368-63B5-4ABE-8FCA-BE8B446A341D}"/>
    <cellStyle name="Input [yellow] 2 2 19 6" xfId="22382" xr:uid="{CD105AC2-231A-46E4-9A97-D28F0623A412}"/>
    <cellStyle name="Input [yellow] 2 2 19 7" xfId="22383" xr:uid="{88E7CFB2-357A-42C8-8BC8-B3181169DC87}"/>
    <cellStyle name="Input [yellow] 2 2 2" xfId="1120" xr:uid="{10AC4583-9C14-4774-9E9E-5CBA80440D31}"/>
    <cellStyle name="Input [yellow] 2 2 2 2" xfId="10062" xr:uid="{13B0BBC2-C915-4BA9-9A5A-45EF181CFD04}"/>
    <cellStyle name="Input [yellow] 2 2 2 2 2" xfId="22384" xr:uid="{502050E2-9B81-47E0-AC8B-8232B314627F}"/>
    <cellStyle name="Input [yellow] 2 2 2 2 3" xfId="22385" xr:uid="{51D062C4-EA82-4D75-8FC2-1D9B7D380A3D}"/>
    <cellStyle name="Input [yellow] 2 2 2 2 4" xfId="22386" xr:uid="{0484DD57-947D-4386-9A95-3C40EF8D1084}"/>
    <cellStyle name="Input [yellow] 2 2 2 2 5" xfId="22387" xr:uid="{1D968A9A-4C37-43D3-9733-EB9287BC01D4}"/>
    <cellStyle name="Input [yellow] 2 2 2 2 6" xfId="22388" xr:uid="{371E8F62-CE28-4BBB-A46D-2BC7EBCA4912}"/>
    <cellStyle name="Input [yellow] 2 2 2 3" xfId="22389" xr:uid="{983760DF-B49D-4909-A7E6-077232B10BB4}"/>
    <cellStyle name="Input [yellow] 2 2 2 4" xfId="22390" xr:uid="{A9B21AAB-21DA-4013-ACB8-96DD829F1CE9}"/>
    <cellStyle name="Input [yellow] 2 2 2 5" xfId="22391" xr:uid="{69EF9D57-65C9-4E34-A83F-EE993B7B2142}"/>
    <cellStyle name="Input [yellow] 2 2 2 6" xfId="22392" xr:uid="{3E528FFA-9C00-4D6B-80A3-1C6815BBB4A7}"/>
    <cellStyle name="Input [yellow] 2 2 2 7" xfId="22393" xr:uid="{AAD4A910-6C0F-4A2C-8A4C-8269A04C852D}"/>
    <cellStyle name="Input [yellow] 2 2 20" xfId="1121" xr:uid="{F70D0561-B494-4328-B7F3-1500F315449F}"/>
    <cellStyle name="Input [yellow] 2 2 20 2" xfId="11643" xr:uid="{A89FF0AE-7DEF-45DE-A6A0-8D731F9848AB}"/>
    <cellStyle name="Input [yellow] 2 2 20 2 2" xfId="22394" xr:uid="{7F46EA82-75DF-4B99-BE27-16DE8E30E5AB}"/>
    <cellStyle name="Input [yellow] 2 2 20 2 3" xfId="22395" xr:uid="{E45AF079-FAB1-4C26-9B51-4A98A1160075}"/>
    <cellStyle name="Input [yellow] 2 2 20 2 4" xfId="22396" xr:uid="{1055120C-49CC-4324-AD4F-0912EC5C0FD8}"/>
    <cellStyle name="Input [yellow] 2 2 20 2 5" xfId="22397" xr:uid="{5CDB9E06-47F7-40D6-93AC-AA37562A43B2}"/>
    <cellStyle name="Input [yellow] 2 2 20 2 6" xfId="22398" xr:uid="{8BC94B78-960F-4623-92AF-129B81DD3FA1}"/>
    <cellStyle name="Input [yellow] 2 2 20 3" xfId="22399" xr:uid="{58A32AD0-30EB-469A-84BC-B3C71B01E690}"/>
    <cellStyle name="Input [yellow] 2 2 20 4" xfId="22400" xr:uid="{EC011E26-9F5A-4302-B3C6-828CFE33C726}"/>
    <cellStyle name="Input [yellow] 2 2 20 5" xfId="22401" xr:uid="{DACBC7F9-8AA6-4B18-B33B-61D9EC4A845C}"/>
    <cellStyle name="Input [yellow] 2 2 20 6" xfId="22402" xr:uid="{58ABC601-EACC-4E19-A9A6-6E4EAFCE0B47}"/>
    <cellStyle name="Input [yellow] 2 2 20 7" xfId="22403" xr:uid="{40A0F840-4699-4194-B63A-D3EFB09697B9}"/>
    <cellStyle name="Input [yellow] 2 2 21" xfId="1122" xr:uid="{FCEF4B4A-2CA2-4685-84CB-6FAE64BE0CD7}"/>
    <cellStyle name="Input [yellow] 2 2 21 2" xfId="11727" xr:uid="{7D8B3E7C-A575-41B0-B122-224B46146729}"/>
    <cellStyle name="Input [yellow] 2 2 21 2 2" xfId="22404" xr:uid="{63EB29FD-9D5E-4C46-BF88-7E9C171CF19C}"/>
    <cellStyle name="Input [yellow] 2 2 21 2 3" xfId="22405" xr:uid="{CC6FC52A-9100-4EB0-A200-C584A8601D01}"/>
    <cellStyle name="Input [yellow] 2 2 21 2 4" xfId="22406" xr:uid="{08D3F369-E98F-4659-90B5-B53BDD44E43B}"/>
    <cellStyle name="Input [yellow] 2 2 21 2 5" xfId="22407" xr:uid="{9EF969FB-0EA3-4FD5-A10E-B14EDA7A0964}"/>
    <cellStyle name="Input [yellow] 2 2 21 2 6" xfId="22408" xr:uid="{7F777768-6406-4E31-B01A-CDE61C948845}"/>
    <cellStyle name="Input [yellow] 2 2 21 3" xfId="22409" xr:uid="{840C9866-1108-4DD6-8A05-E62C2A0F8849}"/>
    <cellStyle name="Input [yellow] 2 2 21 4" xfId="22410" xr:uid="{86FC7740-562C-49EE-AE4D-A82E8C73B828}"/>
    <cellStyle name="Input [yellow] 2 2 21 5" xfId="22411" xr:uid="{97E406EB-B914-4681-ADF9-B94B8B28BCCA}"/>
    <cellStyle name="Input [yellow] 2 2 21 6" xfId="22412" xr:uid="{1F035E61-301E-442F-809B-F7A5AB6C29F8}"/>
    <cellStyle name="Input [yellow] 2 2 21 7" xfId="22413" xr:uid="{D4543B04-5D03-47E4-9AD5-D992B228B82E}"/>
    <cellStyle name="Input [yellow] 2 2 22" xfId="1123" xr:uid="{3D4E3930-B00F-4817-A717-F3F99D4D8F2A}"/>
    <cellStyle name="Input [yellow] 2 2 22 2" xfId="11810" xr:uid="{6DB16D45-ACDA-4119-B1F8-2CA50801F593}"/>
    <cellStyle name="Input [yellow] 2 2 22 2 2" xfId="22414" xr:uid="{B446A0BB-DA0F-47D0-A716-F803A89BE4B9}"/>
    <cellStyle name="Input [yellow] 2 2 22 2 3" xfId="22415" xr:uid="{505D814D-7D0F-4CFF-BB07-E0394CFA4EAA}"/>
    <cellStyle name="Input [yellow] 2 2 22 2 4" xfId="22416" xr:uid="{4C0E1D4A-F4B6-429C-B27F-88BC11230A50}"/>
    <cellStyle name="Input [yellow] 2 2 22 2 5" xfId="22417" xr:uid="{8D12A00E-A4CF-4322-803D-57A82DBEF161}"/>
    <cellStyle name="Input [yellow] 2 2 22 2 6" xfId="22418" xr:uid="{C287E108-0F62-4B6C-81EC-7D69E7893B37}"/>
    <cellStyle name="Input [yellow] 2 2 22 3" xfId="22419" xr:uid="{591E8520-EAC8-4586-9AA2-6B725E155AC2}"/>
    <cellStyle name="Input [yellow] 2 2 22 4" xfId="22420" xr:uid="{0593DD18-E2FA-4A30-BBB5-B85771E1A7CD}"/>
    <cellStyle name="Input [yellow] 2 2 22 5" xfId="22421" xr:uid="{F07FD408-CC42-4C49-BEBC-4BB1F78B8DAB}"/>
    <cellStyle name="Input [yellow] 2 2 22 6" xfId="22422" xr:uid="{A15EA59E-DD71-4D8B-9207-3CBF68B8B98C}"/>
    <cellStyle name="Input [yellow] 2 2 22 7" xfId="22423" xr:uid="{716CBE8C-9C20-4E21-972D-D276B195B331}"/>
    <cellStyle name="Input [yellow] 2 2 23" xfId="1124" xr:uid="{F76ED28A-545B-4B41-A5D4-6F212A3E6BBE}"/>
    <cellStyle name="Input [yellow] 2 2 23 2" xfId="11893" xr:uid="{D4BF2E33-2E40-4ECD-B8DE-86C2C56600E7}"/>
    <cellStyle name="Input [yellow] 2 2 23 2 2" xfId="22424" xr:uid="{215B49FD-8139-487F-8558-8FC671B1900E}"/>
    <cellStyle name="Input [yellow] 2 2 23 2 3" xfId="22425" xr:uid="{E8B15852-957F-4783-9118-C2C55A11EAC7}"/>
    <cellStyle name="Input [yellow] 2 2 23 2 4" xfId="22426" xr:uid="{C3AF25A7-E626-4802-BE7C-6B4585A6F873}"/>
    <cellStyle name="Input [yellow] 2 2 23 2 5" xfId="22427" xr:uid="{9870B7B4-7828-40F7-8F13-D05C71A8ADA4}"/>
    <cellStyle name="Input [yellow] 2 2 23 2 6" xfId="22428" xr:uid="{56558CC5-607B-4A62-856F-B12DF9FD6E4C}"/>
    <cellStyle name="Input [yellow] 2 2 23 3" xfId="22429" xr:uid="{2CC56E01-DE2E-4538-8856-F2CBE04DDD2E}"/>
    <cellStyle name="Input [yellow] 2 2 23 4" xfId="22430" xr:uid="{3A2F7B34-2500-496D-8ABA-B5777A6CEFE2}"/>
    <cellStyle name="Input [yellow] 2 2 23 5" xfId="22431" xr:uid="{A1995897-8D45-4821-A587-C610BBB6C9E5}"/>
    <cellStyle name="Input [yellow] 2 2 23 6" xfId="22432" xr:uid="{92F677D3-D398-4B54-AF1D-B6FEE24089F9}"/>
    <cellStyle name="Input [yellow] 2 2 23 7" xfId="22433" xr:uid="{AA23B98F-20BA-4B00-BE71-08FCC1941E8B}"/>
    <cellStyle name="Input [yellow] 2 2 24" xfId="1125" xr:uid="{C649A318-5AA8-480B-8C29-BF2DB23E9AEB}"/>
    <cellStyle name="Input [yellow] 2 2 24 2" xfId="11977" xr:uid="{B17F8393-D774-4090-876D-814D29B91573}"/>
    <cellStyle name="Input [yellow] 2 2 24 2 2" xfId="22434" xr:uid="{A1E540F6-AC26-4BF2-9A67-B6D8A67A4DE3}"/>
    <cellStyle name="Input [yellow] 2 2 24 2 3" xfId="22435" xr:uid="{CEF4C3D5-67A1-4B75-8FC5-037F530BF898}"/>
    <cellStyle name="Input [yellow] 2 2 24 2 4" xfId="22436" xr:uid="{E044CD02-384A-46E2-B198-4588E8ECFE50}"/>
    <cellStyle name="Input [yellow] 2 2 24 2 5" xfId="22437" xr:uid="{29DCA580-A3B0-441B-A9B9-C3B5BFC627B3}"/>
    <cellStyle name="Input [yellow] 2 2 24 2 6" xfId="22438" xr:uid="{151B0625-88FD-4F14-BA6E-FEC8B7518BB5}"/>
    <cellStyle name="Input [yellow] 2 2 24 3" xfId="22439" xr:uid="{E787116B-81C3-4608-8995-339317F94BD6}"/>
    <cellStyle name="Input [yellow] 2 2 24 4" xfId="22440" xr:uid="{24D7B103-D5F0-41C3-81D3-025EF0113CFB}"/>
    <cellStyle name="Input [yellow] 2 2 24 5" xfId="22441" xr:uid="{4465B5C2-841D-4013-BBA8-15E55CBE0E6E}"/>
    <cellStyle name="Input [yellow] 2 2 24 6" xfId="22442" xr:uid="{A1885A3B-5FDE-4A4B-8DFC-4C641D790382}"/>
    <cellStyle name="Input [yellow] 2 2 24 7" xfId="22443" xr:uid="{65E2E42E-C9CE-412B-9205-DA115596176A}"/>
    <cellStyle name="Input [yellow] 2 2 25" xfId="1126" xr:uid="{6D208F95-7BC0-4217-B389-A951237CF135}"/>
    <cellStyle name="Input [yellow] 2 2 25 2" xfId="12060" xr:uid="{40D631D6-7D73-4F06-81E4-777EFA2CA972}"/>
    <cellStyle name="Input [yellow] 2 2 25 2 2" xfId="22444" xr:uid="{5CAA36EE-D535-4529-9C97-BA3042758BDE}"/>
    <cellStyle name="Input [yellow] 2 2 25 2 3" xfId="22445" xr:uid="{09F0A1CB-D59F-4148-AF30-5B3DF15FC1EE}"/>
    <cellStyle name="Input [yellow] 2 2 25 2 4" xfId="22446" xr:uid="{0E12879A-966D-47F4-9744-679F0A6BD959}"/>
    <cellStyle name="Input [yellow] 2 2 25 2 5" xfId="22447" xr:uid="{6F832EA2-738E-4880-9D22-9B738EA86477}"/>
    <cellStyle name="Input [yellow] 2 2 25 2 6" xfId="22448" xr:uid="{095D61F9-C606-4790-858A-218F591A581F}"/>
    <cellStyle name="Input [yellow] 2 2 25 3" xfId="22449" xr:uid="{FF6A27A8-A429-4F2C-87CD-AED0FB06D65D}"/>
    <cellStyle name="Input [yellow] 2 2 25 4" xfId="22450" xr:uid="{D4446F9B-F35A-47FA-AD94-9BEA006EFD27}"/>
    <cellStyle name="Input [yellow] 2 2 25 5" xfId="22451" xr:uid="{E3A7F7D8-46FF-47EF-812F-371CAF2B68D4}"/>
    <cellStyle name="Input [yellow] 2 2 25 6" xfId="22452" xr:uid="{0829792C-A7A0-47E6-BFCC-1450A416C0A5}"/>
    <cellStyle name="Input [yellow] 2 2 25 7" xfId="22453" xr:uid="{A67E164E-3B39-4A18-A126-1A46995D05D3}"/>
    <cellStyle name="Input [yellow] 2 2 26" xfId="1127" xr:uid="{B735C85D-F61A-443A-91DE-65BD07E12190}"/>
    <cellStyle name="Input [yellow] 2 2 26 2" xfId="12143" xr:uid="{A8AC06DA-08D9-4446-8753-611157C1BA04}"/>
    <cellStyle name="Input [yellow] 2 2 26 2 2" xfId="22454" xr:uid="{33510F35-F16C-4A65-9608-E069E53B45DE}"/>
    <cellStyle name="Input [yellow] 2 2 26 2 3" xfId="22455" xr:uid="{85049A3B-1439-45DB-8B80-96FCF010C52D}"/>
    <cellStyle name="Input [yellow] 2 2 26 2 4" xfId="22456" xr:uid="{B767ABDC-B9FE-4A47-87FE-4A2EC9EC1E77}"/>
    <cellStyle name="Input [yellow] 2 2 26 2 5" xfId="22457" xr:uid="{2506D7C6-5458-4365-AC2F-5235512C77DF}"/>
    <cellStyle name="Input [yellow] 2 2 26 2 6" xfId="22458" xr:uid="{5835DA16-875C-4552-93AE-BAFFFED34BC4}"/>
    <cellStyle name="Input [yellow] 2 2 26 3" xfId="22459" xr:uid="{BAAD37D9-BA7B-45A8-B3B7-ED14A4962F4E}"/>
    <cellStyle name="Input [yellow] 2 2 26 4" xfId="22460" xr:uid="{98275677-6A1B-4DFB-B2D9-A85B48118A5A}"/>
    <cellStyle name="Input [yellow] 2 2 26 5" xfId="22461" xr:uid="{A8E11D1F-7FCA-4CEE-8836-EC87A88E98D4}"/>
    <cellStyle name="Input [yellow] 2 2 26 6" xfId="22462" xr:uid="{D91D4B06-6082-4B1E-AF7A-7DDD92F616F0}"/>
    <cellStyle name="Input [yellow] 2 2 26 7" xfId="22463" xr:uid="{D171C484-0269-41B1-9CD5-393F57F474A2}"/>
    <cellStyle name="Input [yellow] 2 2 27" xfId="1128" xr:uid="{2C0C171F-69AE-4E86-981B-4C089BA76CE1}"/>
    <cellStyle name="Input [yellow] 2 2 27 2" xfId="12225" xr:uid="{BCBEE4B8-06FA-45AF-AABC-D068BA0D405A}"/>
    <cellStyle name="Input [yellow] 2 2 27 2 2" xfId="22464" xr:uid="{1712D780-A03F-4CB8-A10C-ABA85B885C29}"/>
    <cellStyle name="Input [yellow] 2 2 27 2 3" xfId="22465" xr:uid="{0BFC6FD7-D427-4B43-A8FA-8EA2DC73BD6D}"/>
    <cellStyle name="Input [yellow] 2 2 27 2 4" xfId="22466" xr:uid="{9CC098E7-E712-43D1-8E45-174778EA345B}"/>
    <cellStyle name="Input [yellow] 2 2 27 2 5" xfId="22467" xr:uid="{EDD26E88-9EB8-4EBA-A1F5-91BE6DB23FCB}"/>
    <cellStyle name="Input [yellow] 2 2 27 2 6" xfId="22468" xr:uid="{30884368-DE9E-440E-9139-52DE3132C3CB}"/>
    <cellStyle name="Input [yellow] 2 2 27 3" xfId="22469" xr:uid="{6683B731-8B00-4E96-8BF4-AD3DC8BF69EA}"/>
    <cellStyle name="Input [yellow] 2 2 27 4" xfId="22470" xr:uid="{E4CB1B84-484B-494D-9F45-87140FF8C322}"/>
    <cellStyle name="Input [yellow] 2 2 27 5" xfId="22471" xr:uid="{C089F38F-4AF9-4661-995E-67DF6B7061F2}"/>
    <cellStyle name="Input [yellow] 2 2 27 6" xfId="22472" xr:uid="{5141915A-4312-49B7-9993-A74C83EE506E}"/>
    <cellStyle name="Input [yellow] 2 2 27 7" xfId="22473" xr:uid="{A2B8F01E-E695-4CCC-92BD-91D6F01EC236}"/>
    <cellStyle name="Input [yellow] 2 2 28" xfId="1129" xr:uid="{4D72C3AA-CDA7-46EB-9982-BAD504CD5913}"/>
    <cellStyle name="Input [yellow] 2 2 28 2" xfId="12305" xr:uid="{64E99B27-AF1B-4CAA-9A63-5592E0433E42}"/>
    <cellStyle name="Input [yellow] 2 2 28 2 2" xfId="22474" xr:uid="{43DEDE95-EEBD-4F75-AB33-5623252B1F64}"/>
    <cellStyle name="Input [yellow] 2 2 28 2 3" xfId="22475" xr:uid="{B94FFFEB-ADB8-402E-A19C-A4A048822C38}"/>
    <cellStyle name="Input [yellow] 2 2 28 2 4" xfId="22476" xr:uid="{11558D10-EE28-4919-AF18-18D7601C073D}"/>
    <cellStyle name="Input [yellow] 2 2 28 2 5" xfId="22477" xr:uid="{5AAEC030-86B8-4252-A712-227D591938F3}"/>
    <cellStyle name="Input [yellow] 2 2 28 2 6" xfId="22478" xr:uid="{674B9988-E53A-45FC-AE95-3B6F0C770536}"/>
    <cellStyle name="Input [yellow] 2 2 28 3" xfId="22479" xr:uid="{83D05CC8-770B-4A14-BAA8-6F42E9D1E9FB}"/>
    <cellStyle name="Input [yellow] 2 2 28 4" xfId="22480" xr:uid="{71B76635-D0D4-4153-8B11-8F54761DDF0A}"/>
    <cellStyle name="Input [yellow] 2 2 28 5" xfId="22481" xr:uid="{A1475D2B-4405-4B68-A593-CFE93387C3F0}"/>
    <cellStyle name="Input [yellow] 2 2 28 6" xfId="22482" xr:uid="{896D8C75-437C-401D-8313-B96764DE81A6}"/>
    <cellStyle name="Input [yellow] 2 2 28 7" xfId="22483" xr:uid="{0568D754-70FF-45BF-92FA-F78E9FCAC1AE}"/>
    <cellStyle name="Input [yellow] 2 2 29" xfId="1130" xr:uid="{410B83D6-3455-4602-A597-337AA0789C29}"/>
    <cellStyle name="Input [yellow] 2 2 29 2" xfId="12383" xr:uid="{77E00812-3E3D-4494-8A79-5116CF6ABDA3}"/>
    <cellStyle name="Input [yellow] 2 2 29 2 2" xfId="22484" xr:uid="{7200BF68-DEC0-40BF-8BEB-7C4AFEF544A9}"/>
    <cellStyle name="Input [yellow] 2 2 29 2 3" xfId="22485" xr:uid="{0E729FD8-FFC9-41D9-9951-CE2C72E2E77A}"/>
    <cellStyle name="Input [yellow] 2 2 29 2 4" xfId="22486" xr:uid="{B08082AE-A420-4F58-96AE-B112295DD9E9}"/>
    <cellStyle name="Input [yellow] 2 2 29 2 5" xfId="22487" xr:uid="{D53BD14F-3E23-4C93-9711-22BDA40CDC68}"/>
    <cellStyle name="Input [yellow] 2 2 29 2 6" xfId="22488" xr:uid="{D9D6C037-D71C-44B9-891E-E3C03D053BAF}"/>
    <cellStyle name="Input [yellow] 2 2 29 3" xfId="22489" xr:uid="{A27BCD35-266F-4C9F-9424-D47A85B5CB58}"/>
    <cellStyle name="Input [yellow] 2 2 29 4" xfId="22490" xr:uid="{B5E94C48-B1C9-4505-953B-0098B3D08FC2}"/>
    <cellStyle name="Input [yellow] 2 2 29 5" xfId="22491" xr:uid="{3C51FCB1-C2B2-4DED-9254-5B3CD0C9E238}"/>
    <cellStyle name="Input [yellow] 2 2 29 6" xfId="22492" xr:uid="{B97EE556-191E-4C09-869D-A4F61737AD20}"/>
    <cellStyle name="Input [yellow] 2 2 29 7" xfId="22493" xr:uid="{F0D2BBF6-38A5-4958-9383-C506CAE2EEBE}"/>
    <cellStyle name="Input [yellow] 2 2 3" xfId="1131" xr:uid="{D2AF388F-4560-4E76-B3C8-8BA5DD26B336}"/>
    <cellStyle name="Input [yellow] 2 2 3 2" xfId="10153" xr:uid="{75156A5F-837C-4C8B-8680-9A0DA5CFE4E9}"/>
    <cellStyle name="Input [yellow] 2 2 3 2 2" xfId="22494" xr:uid="{F6EFCD48-7D8B-453B-9434-0BC41F5A293F}"/>
    <cellStyle name="Input [yellow] 2 2 3 2 3" xfId="22495" xr:uid="{26ED0F7B-80E3-499F-A996-49DE6D7959DA}"/>
    <cellStyle name="Input [yellow] 2 2 3 2 4" xfId="22496" xr:uid="{C0B293B0-B7F6-483F-8B09-69D1FFBF394F}"/>
    <cellStyle name="Input [yellow] 2 2 3 2 5" xfId="22497" xr:uid="{1783EA50-A393-4E7F-BE51-6BB5FE1EB5A8}"/>
    <cellStyle name="Input [yellow] 2 2 3 2 6" xfId="22498" xr:uid="{1F4FDA91-65EC-4F5B-956F-E38D9ED7F26D}"/>
    <cellStyle name="Input [yellow] 2 2 3 3" xfId="22499" xr:uid="{BA93727C-079A-4BA7-A757-9437EE215603}"/>
    <cellStyle name="Input [yellow] 2 2 3 4" xfId="22500" xr:uid="{7B9C8B77-00E2-465F-A4A8-61A8E2D40718}"/>
    <cellStyle name="Input [yellow] 2 2 3 5" xfId="22501" xr:uid="{C2BABD7F-2744-4EDC-A4C1-7397A22708B9}"/>
    <cellStyle name="Input [yellow] 2 2 3 6" xfId="22502" xr:uid="{09880262-2A65-4272-9C36-E9B4884DECDB}"/>
    <cellStyle name="Input [yellow] 2 2 3 7" xfId="22503" xr:uid="{340BC482-2847-4720-A3F3-E22CC0FEF3BA}"/>
    <cellStyle name="Input [yellow] 2 2 30" xfId="1132" xr:uid="{5D6EF2A6-80EA-4044-B74C-AC3C8421FD42}"/>
    <cellStyle name="Input [yellow] 2 2 30 2" xfId="12462" xr:uid="{8B0BD4B5-AB40-4447-8463-542F9768FE17}"/>
    <cellStyle name="Input [yellow] 2 2 30 2 2" xfId="22504" xr:uid="{673A423C-11D3-4F47-9911-2882703A1B59}"/>
    <cellStyle name="Input [yellow] 2 2 30 2 3" xfId="22505" xr:uid="{38662C36-0698-4CE9-83AF-C769842E53A4}"/>
    <cellStyle name="Input [yellow] 2 2 30 2 4" xfId="22506" xr:uid="{C695C6FC-4F0C-45BF-9748-CDFDC4D1694A}"/>
    <cellStyle name="Input [yellow] 2 2 30 2 5" xfId="22507" xr:uid="{600CA4AD-92F4-46F2-B385-E8B8AE21A516}"/>
    <cellStyle name="Input [yellow] 2 2 30 2 6" xfId="22508" xr:uid="{01667345-1DFF-4D14-B641-9713DDC65954}"/>
    <cellStyle name="Input [yellow] 2 2 30 3" xfId="22509" xr:uid="{039E4D91-1715-454B-824B-D6906DF31238}"/>
    <cellStyle name="Input [yellow] 2 2 30 4" xfId="22510" xr:uid="{C7A2B57D-9C94-42E9-A98A-D402A3B87D3A}"/>
    <cellStyle name="Input [yellow] 2 2 30 5" xfId="22511" xr:uid="{0A9C721D-4D06-4699-98E8-747D6EBCF8CB}"/>
    <cellStyle name="Input [yellow] 2 2 30 6" xfId="22512" xr:uid="{4CAB42EE-67F8-448D-AD9D-369E47B89884}"/>
    <cellStyle name="Input [yellow] 2 2 30 7" xfId="22513" xr:uid="{56340D39-7074-4C02-8406-FE032876D740}"/>
    <cellStyle name="Input [yellow] 2 2 31" xfId="1133" xr:uid="{03837435-4EBC-45A6-ACEB-A1A5DC0E828D}"/>
    <cellStyle name="Input [yellow] 2 2 31 2" xfId="12541" xr:uid="{B7D84C71-4155-47D8-A067-403CB05ACDD8}"/>
    <cellStyle name="Input [yellow] 2 2 31 2 2" xfId="22514" xr:uid="{B4C0F4D8-CC66-44DE-864D-5EE584834097}"/>
    <cellStyle name="Input [yellow] 2 2 31 2 3" xfId="22515" xr:uid="{A3DA84BB-9FEE-4B98-99D1-CDCE04B9B426}"/>
    <cellStyle name="Input [yellow] 2 2 31 2 4" xfId="22516" xr:uid="{9412F3A6-243F-48CE-AC43-5ABD56FA3EBB}"/>
    <cellStyle name="Input [yellow] 2 2 31 2 5" xfId="22517" xr:uid="{708E5CB1-B78C-479D-B57D-E7C33152E65B}"/>
    <cellStyle name="Input [yellow] 2 2 31 2 6" xfId="22518" xr:uid="{A6A734CB-88F0-40E8-9940-B78D583FB7CE}"/>
    <cellStyle name="Input [yellow] 2 2 31 3" xfId="22519" xr:uid="{D83A7ACA-34FA-4E3C-8AC7-542371A168E4}"/>
    <cellStyle name="Input [yellow] 2 2 31 4" xfId="22520" xr:uid="{3BCE66AC-BC65-472E-99BB-A75B3408BC59}"/>
    <cellStyle name="Input [yellow] 2 2 31 5" xfId="22521" xr:uid="{3B44C9FD-89E3-4F26-8DE5-643A82A30EA8}"/>
    <cellStyle name="Input [yellow] 2 2 31 6" xfId="22522" xr:uid="{A335603D-E1B8-4DDE-AAF6-5A6759C9CDD4}"/>
    <cellStyle name="Input [yellow] 2 2 31 7" xfId="22523" xr:uid="{0F35E55B-B144-4C25-A540-DD94386D9C15}"/>
    <cellStyle name="Input [yellow] 2 2 32" xfId="1134" xr:uid="{6499C5C6-F6B8-4324-B2CF-6E0DF6A37F47}"/>
    <cellStyle name="Input [yellow] 2 2 32 2" xfId="12620" xr:uid="{E6EB1979-8F25-4828-A2AB-97F5F34B5F2A}"/>
    <cellStyle name="Input [yellow] 2 2 32 2 2" xfId="22524" xr:uid="{80AFFF4D-6415-4FBC-87B9-276CBFC98177}"/>
    <cellStyle name="Input [yellow] 2 2 32 2 3" xfId="22525" xr:uid="{2E759FFF-FB1F-4EA0-B56E-C0E84D967FE6}"/>
    <cellStyle name="Input [yellow] 2 2 32 2 4" xfId="22526" xr:uid="{C1C2B46B-E9FA-430E-A24E-D696F3F79CF7}"/>
    <cellStyle name="Input [yellow] 2 2 32 2 5" xfId="22527" xr:uid="{1CE42AF7-0F49-4A99-8CA2-2BC03FCC27B1}"/>
    <cellStyle name="Input [yellow] 2 2 32 2 6" xfId="22528" xr:uid="{3A9092C9-C989-4A0A-B16C-307C63E13EDF}"/>
    <cellStyle name="Input [yellow] 2 2 32 3" xfId="22529" xr:uid="{7F501ADD-5597-45EB-B69A-5613019CE8EB}"/>
    <cellStyle name="Input [yellow] 2 2 32 4" xfId="22530" xr:uid="{A49B94FD-A698-4CB7-9E7F-A184EDDD248A}"/>
    <cellStyle name="Input [yellow] 2 2 32 5" xfId="22531" xr:uid="{069AED69-8871-4780-BFD1-AB6AF11DDEE7}"/>
    <cellStyle name="Input [yellow] 2 2 32 6" xfId="22532" xr:uid="{08541A20-8007-4629-99A5-9D462CA21077}"/>
    <cellStyle name="Input [yellow] 2 2 32 7" xfId="22533" xr:uid="{E7FDCAFB-6B2A-4F01-8739-9D12708D7279}"/>
    <cellStyle name="Input [yellow] 2 2 33" xfId="1135" xr:uid="{A1864367-A0EC-4F16-B3AC-C3EF4953A1DF}"/>
    <cellStyle name="Input [yellow] 2 2 33 2" xfId="12699" xr:uid="{7A72F56B-3F6A-4E0B-82CE-9AF788FDCDE0}"/>
    <cellStyle name="Input [yellow] 2 2 33 2 2" xfId="22534" xr:uid="{CCDDFB02-4FDA-4BD4-8528-C94475CD5319}"/>
    <cellStyle name="Input [yellow] 2 2 33 2 3" xfId="22535" xr:uid="{2E6A8A70-1FAC-4B1E-BDB3-2A2B81023AA9}"/>
    <cellStyle name="Input [yellow] 2 2 33 2 4" xfId="22536" xr:uid="{AA4AFDDE-B826-460C-96D2-836F864396F1}"/>
    <cellStyle name="Input [yellow] 2 2 33 2 5" xfId="22537" xr:uid="{F4B4EFCB-FE4E-45EA-A571-8DD54E1F3C01}"/>
    <cellStyle name="Input [yellow] 2 2 33 2 6" xfId="22538" xr:uid="{E7392584-2703-40C5-AE3A-F0B25ED2C8D4}"/>
    <cellStyle name="Input [yellow] 2 2 33 3" xfId="22539" xr:uid="{043463BB-AD71-4D25-83E7-88BEE223E543}"/>
    <cellStyle name="Input [yellow] 2 2 33 4" xfId="22540" xr:uid="{B28D22E8-C951-46C3-A5F1-DBCC2D673432}"/>
    <cellStyle name="Input [yellow] 2 2 33 5" xfId="22541" xr:uid="{FC9A6B85-FB8F-41E2-8A74-7B554431BA76}"/>
    <cellStyle name="Input [yellow] 2 2 33 6" xfId="22542" xr:uid="{2D243F46-1D0F-41DF-A148-94578A773BF5}"/>
    <cellStyle name="Input [yellow] 2 2 33 7" xfId="22543" xr:uid="{2A4BD014-9FFA-40AE-A9CB-F3B844A4AE74}"/>
    <cellStyle name="Input [yellow] 2 2 34" xfId="1136" xr:uid="{F280DCB6-1430-409F-B991-17E984952635}"/>
    <cellStyle name="Input [yellow] 2 2 34 2" xfId="12783" xr:uid="{F02B9F59-3888-4A88-B2E2-7B186B935047}"/>
    <cellStyle name="Input [yellow] 2 2 34 2 2" xfId="22544" xr:uid="{4DDDB95C-B3A9-48C9-B7F7-44E94B368B83}"/>
    <cellStyle name="Input [yellow] 2 2 34 2 3" xfId="22545" xr:uid="{08CDF167-CBD2-4344-922F-FD851C961FC1}"/>
    <cellStyle name="Input [yellow] 2 2 34 2 4" xfId="22546" xr:uid="{3514DD82-A603-4B36-9063-DE203A2EC3FB}"/>
    <cellStyle name="Input [yellow] 2 2 34 2 5" xfId="22547" xr:uid="{668D14D3-4861-48AB-B1BE-A89EEC64575E}"/>
    <cellStyle name="Input [yellow] 2 2 34 2 6" xfId="22548" xr:uid="{C370E72E-4B6D-4AA3-AEFA-2CD66455F29E}"/>
    <cellStyle name="Input [yellow] 2 2 34 3" xfId="22549" xr:uid="{0A1BB1E2-3D4B-4722-AD36-66C04DA10CC8}"/>
    <cellStyle name="Input [yellow] 2 2 35" xfId="9849" xr:uid="{8533F262-1F54-4602-972E-2F9273C0FCAF}"/>
    <cellStyle name="Input [yellow] 2 2 35 2" xfId="22550" xr:uid="{CF45EF5B-E51F-4088-96CF-B9176C45D9E2}"/>
    <cellStyle name="Input [yellow] 2 2 35 3" xfId="22551" xr:uid="{D22A4462-1DC1-4F1E-979C-6ABDAC6347DB}"/>
    <cellStyle name="Input [yellow] 2 2 35 4" xfId="22552" xr:uid="{CC1229E9-7728-4294-B7B7-9C8A1B4B04A2}"/>
    <cellStyle name="Input [yellow] 2 2 35 5" xfId="22553" xr:uid="{531FDB13-2248-4AB6-A723-55A040BA5CAD}"/>
    <cellStyle name="Input [yellow] 2 2 35 6" xfId="22554" xr:uid="{01B98483-72C3-4078-881B-731DFFDB1310}"/>
    <cellStyle name="Input [yellow] 2 2 36" xfId="22555" xr:uid="{C4E12862-23A4-4EEA-8DE3-B7CE3B180631}"/>
    <cellStyle name="Input [yellow] 2 2 4" xfId="1137" xr:uid="{1C868EDC-0905-4E31-93B8-09E6E0808984}"/>
    <cellStyle name="Input [yellow] 2 2 4 2" xfId="10243" xr:uid="{381A1B3E-92AC-4A1F-8EFC-2862F63A837F}"/>
    <cellStyle name="Input [yellow] 2 2 4 2 2" xfId="22556" xr:uid="{52CF8BEA-56D7-4DB3-A45C-37BB9278116F}"/>
    <cellStyle name="Input [yellow] 2 2 4 2 3" xfId="22557" xr:uid="{39745220-84E8-4B31-B1B2-D5297894F195}"/>
    <cellStyle name="Input [yellow] 2 2 4 2 4" xfId="22558" xr:uid="{FB0FE28B-A294-4E2A-A0E3-480EBFC1427B}"/>
    <cellStyle name="Input [yellow] 2 2 4 2 5" xfId="22559" xr:uid="{E47026AC-6AE2-4C9E-BB88-C9DBAF606C53}"/>
    <cellStyle name="Input [yellow] 2 2 4 2 6" xfId="22560" xr:uid="{EB692FFD-0906-441F-920E-6CD6759E19FD}"/>
    <cellStyle name="Input [yellow] 2 2 4 3" xfId="22561" xr:uid="{16FCB394-15EB-4D26-AE3A-55CBA3FF324B}"/>
    <cellStyle name="Input [yellow] 2 2 4 4" xfId="22562" xr:uid="{00B096C8-0E82-4EC6-AA6E-DFC610EB1CE9}"/>
    <cellStyle name="Input [yellow] 2 2 4 5" xfId="22563" xr:uid="{DE942969-9EA4-4C5F-9C22-8B28DA715754}"/>
    <cellStyle name="Input [yellow] 2 2 4 6" xfId="22564" xr:uid="{D5C31A1D-F785-4BB7-B094-63CA9EAD0530}"/>
    <cellStyle name="Input [yellow] 2 2 4 7" xfId="22565" xr:uid="{63BB01AB-45DE-4ACC-86FD-5F82D0B92A60}"/>
    <cellStyle name="Input [yellow] 2 2 5" xfId="1138" xr:uid="{E8712AFB-4430-44B8-A760-FCC6DDB55B0A}"/>
    <cellStyle name="Input [yellow] 2 2 5 2" xfId="10329" xr:uid="{F8B9D1A9-D003-4BEF-81D2-ECAFB38F58CC}"/>
    <cellStyle name="Input [yellow] 2 2 5 2 2" xfId="22566" xr:uid="{1FE79D24-B867-43BB-9D33-BE195153842C}"/>
    <cellStyle name="Input [yellow] 2 2 5 2 3" xfId="22567" xr:uid="{FE7E5C8B-226D-4B83-96AB-AAD1E2661BBB}"/>
    <cellStyle name="Input [yellow] 2 2 5 2 4" xfId="22568" xr:uid="{82E7958B-1301-4378-9814-6A8005F32B0B}"/>
    <cellStyle name="Input [yellow] 2 2 5 2 5" xfId="22569" xr:uid="{0BB3E14C-1F41-4D36-A5C5-1CFF2FA9B0B5}"/>
    <cellStyle name="Input [yellow] 2 2 5 2 6" xfId="22570" xr:uid="{D57727BC-F45A-4C32-AC87-822EB738F4F8}"/>
    <cellStyle name="Input [yellow] 2 2 5 3" xfId="22571" xr:uid="{2CA773DE-CCBC-4FD6-88DC-EEBCB6C1363A}"/>
    <cellStyle name="Input [yellow] 2 2 5 4" xfId="22572" xr:uid="{5217E740-631D-4813-8E3C-9A76856D9DCB}"/>
    <cellStyle name="Input [yellow] 2 2 5 5" xfId="22573" xr:uid="{CD2A2A09-ECF6-4A4E-965E-6A33E0A273B7}"/>
    <cellStyle name="Input [yellow] 2 2 5 6" xfId="22574" xr:uid="{7BBAFFA5-F665-420A-B013-8F65FBD30781}"/>
    <cellStyle name="Input [yellow] 2 2 5 7" xfId="22575" xr:uid="{13BF78F9-0FC8-4738-8CA3-BA0E625B6F1B}"/>
    <cellStyle name="Input [yellow] 2 2 6" xfId="1139" xr:uid="{7FF30DD3-7841-4A80-B5DA-0058DD7F6D1E}"/>
    <cellStyle name="Input [yellow] 2 2 6 2" xfId="10417" xr:uid="{6F3D11AD-0167-49BA-8058-7524004F2A28}"/>
    <cellStyle name="Input [yellow] 2 2 6 2 2" xfId="22576" xr:uid="{5FBAB267-1F4B-43C3-B995-C78D31E8175F}"/>
    <cellStyle name="Input [yellow] 2 2 6 2 3" xfId="22577" xr:uid="{EE2B2671-6B2F-4B67-AEDB-7A78DF57C08A}"/>
    <cellStyle name="Input [yellow] 2 2 6 2 4" xfId="22578" xr:uid="{4BFD88B0-42CC-4939-90F2-EBF269447D28}"/>
    <cellStyle name="Input [yellow] 2 2 6 2 5" xfId="22579" xr:uid="{C39C6A2B-5F91-4D3D-8762-524916D39C5A}"/>
    <cellStyle name="Input [yellow] 2 2 6 2 6" xfId="22580" xr:uid="{5035F65D-B148-485B-BDF9-FCC1B70921E2}"/>
    <cellStyle name="Input [yellow] 2 2 6 3" xfId="22581" xr:uid="{333688E2-5D84-432D-A931-94F6C2669C9C}"/>
    <cellStyle name="Input [yellow] 2 2 6 4" xfId="22582" xr:uid="{EE8C105D-2B09-402E-AA2C-D7674F50A635}"/>
    <cellStyle name="Input [yellow] 2 2 6 5" xfId="22583" xr:uid="{2136DDD4-FD7B-4AC0-A644-C8FD24D0CECC}"/>
    <cellStyle name="Input [yellow] 2 2 6 6" xfId="22584" xr:uid="{871E480F-7FF9-4204-87E9-D3B7549C8908}"/>
    <cellStyle name="Input [yellow] 2 2 6 7" xfId="22585" xr:uid="{FE87498B-98D4-4672-B457-6790FE3357F1}"/>
    <cellStyle name="Input [yellow] 2 2 7" xfId="1140" xr:uid="{28999AD8-C805-4274-9F8E-8C424FAE223A}"/>
    <cellStyle name="Input [yellow] 2 2 7 2" xfId="10504" xr:uid="{80015401-8C7F-4BC7-92A3-EBBACB01041C}"/>
    <cellStyle name="Input [yellow] 2 2 7 2 2" xfId="22586" xr:uid="{50DE3F8E-90C4-4C8C-9622-D0782CD7E928}"/>
    <cellStyle name="Input [yellow] 2 2 7 2 3" xfId="22587" xr:uid="{B160E103-942E-4644-85C8-E0AEEA7F0D37}"/>
    <cellStyle name="Input [yellow] 2 2 7 2 4" xfId="22588" xr:uid="{98A02802-E381-4876-ACC6-0EE92FE429B6}"/>
    <cellStyle name="Input [yellow] 2 2 7 2 5" xfId="22589" xr:uid="{70E38991-1631-493F-92F2-574E991B38CD}"/>
    <cellStyle name="Input [yellow] 2 2 7 2 6" xfId="22590" xr:uid="{284161B8-FEDF-4846-B64C-7D3E39818483}"/>
    <cellStyle name="Input [yellow] 2 2 7 3" xfId="22591" xr:uid="{2B9EF364-756D-4417-BFC9-2C7FE19F3B51}"/>
    <cellStyle name="Input [yellow] 2 2 7 4" xfId="22592" xr:uid="{68C4C79D-A3D7-49F6-96A7-63A768780FEA}"/>
    <cellStyle name="Input [yellow] 2 2 7 5" xfId="22593" xr:uid="{FC3536F0-FF02-472D-8487-0CE2B139E7F7}"/>
    <cellStyle name="Input [yellow] 2 2 7 6" xfId="22594" xr:uid="{FBD9541F-DC77-4C7B-83A9-E1D2BFA83E51}"/>
    <cellStyle name="Input [yellow] 2 2 7 7" xfId="22595" xr:uid="{F945D766-6B44-4566-9847-B27C12D83D9C}"/>
    <cellStyle name="Input [yellow] 2 2 8" xfId="1141" xr:uid="{6F0EC08B-7ACC-49D5-A117-A075AE669CC2}"/>
    <cellStyle name="Input [yellow] 2 2 8 2" xfId="10592" xr:uid="{1E70D944-DCE4-439A-AF0E-E1F85ABE1548}"/>
    <cellStyle name="Input [yellow] 2 2 8 2 2" xfId="22596" xr:uid="{3D69E44B-2CB2-4797-AE54-BBBD1B468008}"/>
    <cellStyle name="Input [yellow] 2 2 8 2 3" xfId="22597" xr:uid="{EA85F9BA-C488-4077-AD88-00921E12A83F}"/>
    <cellStyle name="Input [yellow] 2 2 8 2 4" xfId="22598" xr:uid="{63297B24-DDF1-4B78-BC2E-C14D65A0E15C}"/>
    <cellStyle name="Input [yellow] 2 2 8 2 5" xfId="22599" xr:uid="{EBC3EA40-A3B9-4416-B880-94F017B4008B}"/>
    <cellStyle name="Input [yellow] 2 2 8 2 6" xfId="22600" xr:uid="{754E5945-A9D3-4031-9610-3B100C009A1E}"/>
    <cellStyle name="Input [yellow] 2 2 8 3" xfId="22601" xr:uid="{0B81C2B1-FFC2-4663-8FFC-BD223C45DB17}"/>
    <cellStyle name="Input [yellow] 2 2 8 4" xfId="22602" xr:uid="{580FFA7E-FC94-478C-9674-BFC4BE16BC2A}"/>
    <cellStyle name="Input [yellow] 2 2 8 5" xfId="22603" xr:uid="{1D128667-D602-4623-A54E-9DC9FDEF6A7A}"/>
    <cellStyle name="Input [yellow] 2 2 8 6" xfId="22604" xr:uid="{6B389CD0-D523-4207-B0D1-5A5F5D156608}"/>
    <cellStyle name="Input [yellow] 2 2 8 7" xfId="22605" xr:uid="{7E93E21F-D694-4409-9293-BBC5C00F1BB0}"/>
    <cellStyle name="Input [yellow] 2 2 9" xfId="1142" xr:uid="{F669D283-D618-4B4F-8FD9-C0A45C0B288F}"/>
    <cellStyle name="Input [yellow] 2 2 9 2" xfId="10674" xr:uid="{5CC905B6-793E-4273-A192-02F080086DB7}"/>
    <cellStyle name="Input [yellow] 2 2 9 2 2" xfId="22606" xr:uid="{2117D6AE-FF0E-4A5B-A2B4-0E66E98815B4}"/>
    <cellStyle name="Input [yellow] 2 2 9 2 3" xfId="22607" xr:uid="{EF0F7DF0-154E-4A6C-8EC0-68D4CAAB96D7}"/>
    <cellStyle name="Input [yellow] 2 2 9 2 4" xfId="22608" xr:uid="{ED7FEC08-F479-44CF-8890-B6DA9ACD0145}"/>
    <cellStyle name="Input [yellow] 2 2 9 2 5" xfId="22609" xr:uid="{414CE715-11A2-4C0B-BCD3-5A688419450E}"/>
    <cellStyle name="Input [yellow] 2 2 9 2 6" xfId="22610" xr:uid="{597C496B-BAD5-4968-AFB1-350B21F1A3B0}"/>
    <cellStyle name="Input [yellow] 2 2 9 3" xfId="22611" xr:uid="{E6D5DC78-C6F1-4F9A-84FB-00E2F98FDD76}"/>
    <cellStyle name="Input [yellow] 2 2 9 4" xfId="22612" xr:uid="{3B9C8CE4-953A-4C6B-94FA-A393187CDBB7}"/>
    <cellStyle name="Input [yellow] 2 2 9 5" xfId="22613" xr:uid="{ED135128-EC4E-4A18-99AC-F8AF7B885E9D}"/>
    <cellStyle name="Input [yellow] 2 2 9 6" xfId="22614" xr:uid="{5B42D39D-1DC8-4B3F-BFC5-E0E45009F248}"/>
    <cellStyle name="Input [yellow] 2 2 9 7" xfId="22615" xr:uid="{21EFE225-7A7F-4ADC-ADA9-226B111043B0}"/>
    <cellStyle name="Input [yellow] 2 20" xfId="1143" xr:uid="{B2151E79-6F87-4B59-A85D-2903701E8E06}"/>
    <cellStyle name="Input [yellow] 2 20 2" xfId="11522" xr:uid="{0E9410A8-2836-4DC1-A62F-69F0CBE9BD20}"/>
    <cellStyle name="Input [yellow] 2 20 2 2" xfId="22616" xr:uid="{CB9BE329-2073-4040-899F-7471BEE5BA1C}"/>
    <cellStyle name="Input [yellow] 2 20 2 3" xfId="22617" xr:uid="{08145424-92BD-452C-8CF7-47C2468F2579}"/>
    <cellStyle name="Input [yellow] 2 20 2 4" xfId="22618" xr:uid="{BB51233E-6037-4F42-A330-5DD2D98C4AA7}"/>
    <cellStyle name="Input [yellow] 2 20 2 5" xfId="22619" xr:uid="{8ED8C423-AA46-4D70-940E-93D3C1AD8FA0}"/>
    <cellStyle name="Input [yellow] 2 20 2 6" xfId="22620" xr:uid="{F13A35DA-72F8-4397-9A2D-9E0731AF4C5C}"/>
    <cellStyle name="Input [yellow] 2 20 3" xfId="22621" xr:uid="{9C5155E3-8ED3-4F4D-9368-F75BD6733C71}"/>
    <cellStyle name="Input [yellow] 2 20 4" xfId="22622" xr:uid="{09CD2749-36C1-47AC-9C1A-F4002968042F}"/>
    <cellStyle name="Input [yellow] 2 20 5" xfId="22623" xr:uid="{B60FBF4C-84E7-450C-8C87-3CA8F81E02C9}"/>
    <cellStyle name="Input [yellow] 2 20 6" xfId="22624" xr:uid="{B8227756-DA4D-445D-BCA7-77F801DA77C6}"/>
    <cellStyle name="Input [yellow] 2 20 7" xfId="22625" xr:uid="{4E9890E1-5B4F-4605-9B17-6B3C5299DF19}"/>
    <cellStyle name="Input [yellow] 2 21" xfId="1144" xr:uid="{C4213FCA-675C-4D84-BABB-7C6C04E24AD1}"/>
    <cellStyle name="Input [yellow] 2 21 2" xfId="11610" xr:uid="{D93B2A6E-8AA4-4FAB-B40D-6E5F86CE393A}"/>
    <cellStyle name="Input [yellow] 2 21 2 2" xfId="22626" xr:uid="{661BC0F8-FF3F-4041-AB4F-80B08188C09E}"/>
    <cellStyle name="Input [yellow] 2 21 2 3" xfId="22627" xr:uid="{0BEBF8C1-6B65-4254-A55D-B2618639C664}"/>
    <cellStyle name="Input [yellow] 2 21 2 4" xfId="22628" xr:uid="{4BB3C7CE-3A7B-445D-BA6D-E1549D0727FE}"/>
    <cellStyle name="Input [yellow] 2 21 2 5" xfId="22629" xr:uid="{98BC8471-4CA3-4345-950A-83687EC90EFE}"/>
    <cellStyle name="Input [yellow] 2 21 2 6" xfId="22630" xr:uid="{F6AE7497-CD7E-40A4-92F7-E975A26B1EB3}"/>
    <cellStyle name="Input [yellow] 2 21 3" xfId="22631" xr:uid="{4FD1CD16-C144-4B00-ADB7-5E92CA019365}"/>
    <cellStyle name="Input [yellow] 2 21 4" xfId="22632" xr:uid="{77ECCF3E-FDEF-4286-96EE-CF9B39050FF2}"/>
    <cellStyle name="Input [yellow] 2 21 5" xfId="22633" xr:uid="{1E557885-C131-4CD2-8838-504BD722D38A}"/>
    <cellStyle name="Input [yellow] 2 21 6" xfId="22634" xr:uid="{38B7C271-94AB-4EF4-AB16-789537612158}"/>
    <cellStyle name="Input [yellow] 2 21 7" xfId="22635" xr:uid="{A0153CD8-5D0D-4AD8-9FCD-4BDB20354C32}"/>
    <cellStyle name="Input [yellow] 2 22" xfId="1145" xr:uid="{D67A324D-0F67-4C0E-957A-FDB84435C31A}"/>
    <cellStyle name="Input [yellow] 2 22 2" xfId="11694" xr:uid="{E6511576-6E03-4024-960C-AD86E58D469C}"/>
    <cellStyle name="Input [yellow] 2 22 2 2" xfId="22636" xr:uid="{4C2F80F6-8AC0-4982-9F17-FF28E0E847DC}"/>
    <cellStyle name="Input [yellow] 2 22 2 3" xfId="22637" xr:uid="{A19C1560-D7B5-4B86-B462-9716967B2AA6}"/>
    <cellStyle name="Input [yellow] 2 22 2 4" xfId="22638" xr:uid="{ED0F5B8F-6458-4297-836C-47372B3944CC}"/>
    <cellStyle name="Input [yellow] 2 22 2 5" xfId="22639" xr:uid="{951A38DF-7D37-48F8-8DAC-524FDED59CF8}"/>
    <cellStyle name="Input [yellow] 2 22 2 6" xfId="22640" xr:uid="{F7F99161-FA56-4F69-9770-5F2556BCC65C}"/>
    <cellStyle name="Input [yellow] 2 22 3" xfId="22641" xr:uid="{C3F5AD9F-0FA3-43D4-9AFB-523532FBE086}"/>
    <cellStyle name="Input [yellow] 2 22 4" xfId="22642" xr:uid="{03F1D13D-6F35-40F7-8061-24AB2914B4D0}"/>
    <cellStyle name="Input [yellow] 2 22 5" xfId="22643" xr:uid="{9A82935A-BE34-41F2-B1F5-C463588E2436}"/>
    <cellStyle name="Input [yellow] 2 22 6" xfId="22644" xr:uid="{30E3EED8-392D-4C21-983F-7699200E3F1C}"/>
    <cellStyle name="Input [yellow] 2 22 7" xfId="22645" xr:uid="{A7912FC1-BE20-40E7-B2A2-E3F7893B0148}"/>
    <cellStyle name="Input [yellow] 2 23" xfId="1146" xr:uid="{1430DB06-6616-484F-A498-6AE6A9CC7C38}"/>
    <cellStyle name="Input [yellow] 2 23 2" xfId="11777" xr:uid="{551D5E0E-9DC0-400A-BC45-1731BFB9A389}"/>
    <cellStyle name="Input [yellow] 2 23 2 2" xfId="22646" xr:uid="{0F037D57-CB71-4861-9039-E8EFA8A3A711}"/>
    <cellStyle name="Input [yellow] 2 23 2 3" xfId="22647" xr:uid="{B0FCCA9D-26E9-4ADE-9672-DEB023C7FF2A}"/>
    <cellStyle name="Input [yellow] 2 23 2 4" xfId="22648" xr:uid="{92953226-2B25-48F5-8494-38C49DA02139}"/>
    <cellStyle name="Input [yellow] 2 23 2 5" xfId="22649" xr:uid="{2A44873B-B512-4CB4-BD17-135A86BB0143}"/>
    <cellStyle name="Input [yellow] 2 23 2 6" xfId="22650" xr:uid="{4D037558-D448-4DD9-9D57-60545520CC13}"/>
    <cellStyle name="Input [yellow] 2 23 3" xfId="22651" xr:uid="{C908BABA-3EE0-40BF-BAD0-8FBB76B94FBC}"/>
    <cellStyle name="Input [yellow] 2 23 4" xfId="22652" xr:uid="{1BDD72AB-3D92-41E0-86B2-57DFC32202E8}"/>
    <cellStyle name="Input [yellow] 2 23 5" xfId="22653" xr:uid="{259BF5F3-ECFA-4B21-AF2B-66440823C9EE}"/>
    <cellStyle name="Input [yellow] 2 23 6" xfId="22654" xr:uid="{8762200A-570F-4113-A11D-9971C5B86913}"/>
    <cellStyle name="Input [yellow] 2 23 7" xfId="22655" xr:uid="{B996CDA5-D256-4527-997D-AF19ECA11B33}"/>
    <cellStyle name="Input [yellow] 2 24" xfId="1147" xr:uid="{0FFD12CA-DD2D-48FE-89C5-27ECF583ED3D}"/>
    <cellStyle name="Input [yellow] 2 24 2" xfId="11860" xr:uid="{6959167D-8236-4910-9F71-9DCE69673237}"/>
    <cellStyle name="Input [yellow] 2 24 2 2" xfId="22656" xr:uid="{22AE5FBB-7A2F-46C1-AA8E-3D1E2AF3DB8D}"/>
    <cellStyle name="Input [yellow] 2 24 2 3" xfId="22657" xr:uid="{A38C1C83-A013-4D26-9AB7-C45D14A737CD}"/>
    <cellStyle name="Input [yellow] 2 24 2 4" xfId="22658" xr:uid="{CCFFBA09-4D88-43CA-B72F-4E41CF414523}"/>
    <cellStyle name="Input [yellow] 2 24 2 5" xfId="22659" xr:uid="{6CA22392-9A4D-469A-9BF2-331FD4A2BE02}"/>
    <cellStyle name="Input [yellow] 2 24 2 6" xfId="22660" xr:uid="{53D993DB-DFCC-4DEB-A39D-E9C4098FE742}"/>
    <cellStyle name="Input [yellow] 2 24 3" xfId="22661" xr:uid="{76C1AA0B-88BF-4B88-A300-1EED0EF08F99}"/>
    <cellStyle name="Input [yellow] 2 24 4" xfId="22662" xr:uid="{854D3600-9A41-4090-969E-F7D1E7E83D6A}"/>
    <cellStyle name="Input [yellow] 2 24 5" xfId="22663" xr:uid="{F99D23BE-3ABD-47D0-B982-4A958D16CE17}"/>
    <cellStyle name="Input [yellow] 2 24 6" xfId="22664" xr:uid="{2E1EFF5C-7CA0-4C19-92D2-9FA3ED59EA60}"/>
    <cellStyle name="Input [yellow] 2 24 7" xfId="22665" xr:uid="{5F771C56-2E85-438C-ACE9-167B07055836}"/>
    <cellStyle name="Input [yellow] 2 25" xfId="1148" xr:uid="{D43218D6-E380-479B-A36A-FDE0D419847A}"/>
    <cellStyle name="Input [yellow] 2 25 2" xfId="11944" xr:uid="{4FBB4015-033A-47CF-944B-2F6749CD4886}"/>
    <cellStyle name="Input [yellow] 2 25 2 2" xfId="22666" xr:uid="{CE566511-FD1A-4EE9-A1B0-DB700447955B}"/>
    <cellStyle name="Input [yellow] 2 25 2 3" xfId="22667" xr:uid="{3158F9C6-639A-4592-9D13-297BE545D8A2}"/>
    <cellStyle name="Input [yellow] 2 25 2 4" xfId="22668" xr:uid="{6D569227-AA3E-4AE2-8F54-114A1565CC97}"/>
    <cellStyle name="Input [yellow] 2 25 2 5" xfId="22669" xr:uid="{33C62D18-8C33-4C83-AAD3-B0DFD8EDBCD7}"/>
    <cellStyle name="Input [yellow] 2 25 2 6" xfId="22670" xr:uid="{117C2F11-243C-4E97-925E-3139378E142B}"/>
    <cellStyle name="Input [yellow] 2 25 3" xfId="22671" xr:uid="{D18CA978-9470-42B8-8926-30DF65F7053F}"/>
    <cellStyle name="Input [yellow] 2 25 4" xfId="22672" xr:uid="{C348BFFF-80F7-4B7E-A042-50A66130BF70}"/>
    <cellStyle name="Input [yellow] 2 25 5" xfId="22673" xr:uid="{35020C1D-4607-490F-B4CC-89F0C72DC464}"/>
    <cellStyle name="Input [yellow] 2 25 6" xfId="22674" xr:uid="{BE5E9C79-CC65-4361-8E4E-A043D2837639}"/>
    <cellStyle name="Input [yellow] 2 25 7" xfId="22675" xr:uid="{30B32822-C477-425D-83E6-977FEF993557}"/>
    <cellStyle name="Input [yellow] 2 26" xfId="1149" xr:uid="{6B1C4276-3E1A-4C02-B76F-5BD4F8C83C05}"/>
    <cellStyle name="Input [yellow] 2 26 2" xfId="12027" xr:uid="{236723FC-7AB8-43A7-AB97-A98D17E1B288}"/>
    <cellStyle name="Input [yellow] 2 26 2 2" xfId="22676" xr:uid="{8B53A275-C2A7-4AD9-AAF5-8CF460BABC12}"/>
    <cellStyle name="Input [yellow] 2 26 2 3" xfId="22677" xr:uid="{FE706E94-16C3-4DDF-8009-FE07DC4BA159}"/>
    <cellStyle name="Input [yellow] 2 26 2 4" xfId="22678" xr:uid="{010B37FD-FBFE-4A33-BC3E-9150CC8AEE88}"/>
    <cellStyle name="Input [yellow] 2 26 2 5" xfId="22679" xr:uid="{065FCDE8-F4C5-493E-8AB9-BC42554199B9}"/>
    <cellStyle name="Input [yellow] 2 26 2 6" xfId="22680" xr:uid="{1E8A117C-70B6-4FE0-B4EC-69DE1158611B}"/>
    <cellStyle name="Input [yellow] 2 26 3" xfId="22681" xr:uid="{5B264582-6D12-4FEB-922A-9681B5AE13F3}"/>
    <cellStyle name="Input [yellow] 2 26 4" xfId="22682" xr:uid="{40D0005A-C42E-48DD-BEA4-19C81227F265}"/>
    <cellStyle name="Input [yellow] 2 26 5" xfId="22683" xr:uid="{FCCAA64E-2939-4659-B50A-B51EBCF0DF74}"/>
    <cellStyle name="Input [yellow] 2 26 6" xfId="22684" xr:uid="{0F24482C-0B73-4809-BF22-C1FD186D1545}"/>
    <cellStyle name="Input [yellow] 2 26 7" xfId="22685" xr:uid="{858AAB5C-4F62-4183-AAF9-299A639B93CA}"/>
    <cellStyle name="Input [yellow] 2 27" xfId="1150" xr:uid="{F6C1A810-760E-43B6-B877-E0CD6721A0EC}"/>
    <cellStyle name="Input [yellow] 2 27 2" xfId="12110" xr:uid="{A5800FD4-6916-4205-A98C-8EE2C0C0C2A4}"/>
    <cellStyle name="Input [yellow] 2 27 2 2" xfId="22686" xr:uid="{326741C8-A920-4C66-BC10-8D991B77584D}"/>
    <cellStyle name="Input [yellow] 2 27 2 3" xfId="22687" xr:uid="{9960C107-A710-4435-B7B1-311CE1576867}"/>
    <cellStyle name="Input [yellow] 2 27 2 4" xfId="22688" xr:uid="{CDA215EA-2F11-4A38-82CF-467D4EDA9EED}"/>
    <cellStyle name="Input [yellow] 2 27 2 5" xfId="22689" xr:uid="{D8A180A7-5F98-463A-9365-8DA8D806EB1C}"/>
    <cellStyle name="Input [yellow] 2 27 2 6" xfId="22690" xr:uid="{34B054EC-F6B6-425B-9C89-B01469AEF2D6}"/>
    <cellStyle name="Input [yellow] 2 27 3" xfId="22691" xr:uid="{4B0DA0D6-3E99-42C8-A8F2-A8BB8B4EA47A}"/>
    <cellStyle name="Input [yellow] 2 27 4" xfId="22692" xr:uid="{0F7BCB3C-005C-4E89-84B7-D46E5414ECFA}"/>
    <cellStyle name="Input [yellow] 2 27 5" xfId="22693" xr:uid="{30AA5C38-D060-4D91-B6B2-C75295BCF0AB}"/>
    <cellStyle name="Input [yellow] 2 27 6" xfId="22694" xr:uid="{F3AEB601-31AE-47DE-8978-A8D105BE8A09}"/>
    <cellStyle name="Input [yellow] 2 27 7" xfId="22695" xr:uid="{E25FF6DC-A29D-45E5-9DC7-7D476C0E1B6B}"/>
    <cellStyle name="Input [yellow] 2 28" xfId="1151" xr:uid="{2324778F-BF54-46C7-A2D5-7853BEF1558A}"/>
    <cellStyle name="Input [yellow] 2 28 2" xfId="12192" xr:uid="{47A5D2F9-6A36-44B9-B966-6EDA90864734}"/>
    <cellStyle name="Input [yellow] 2 28 2 2" xfId="22696" xr:uid="{C3B68F87-7827-4803-B7A7-956F1A0F958C}"/>
    <cellStyle name="Input [yellow] 2 28 2 3" xfId="22697" xr:uid="{B989E437-0FBD-4989-AE67-DC4E8A81E43D}"/>
    <cellStyle name="Input [yellow] 2 28 2 4" xfId="22698" xr:uid="{FF1E21C5-D662-4E83-B495-8EA79C5446CE}"/>
    <cellStyle name="Input [yellow] 2 28 2 5" xfId="22699" xr:uid="{9CA26F76-F52D-4D60-8C82-D54ECD91F6B1}"/>
    <cellStyle name="Input [yellow] 2 28 2 6" xfId="22700" xr:uid="{7571BF2D-900C-4419-AFD8-CACA73DA252B}"/>
    <cellStyle name="Input [yellow] 2 28 3" xfId="22701" xr:uid="{3CB2E545-4C2A-49DE-9245-133A927C882B}"/>
    <cellStyle name="Input [yellow] 2 28 4" xfId="22702" xr:uid="{0CD941E3-FB64-4ADB-A092-4083BF808070}"/>
    <cellStyle name="Input [yellow] 2 28 5" xfId="22703" xr:uid="{895393D4-0169-4CE6-9CC3-1D71EFCDCA1F}"/>
    <cellStyle name="Input [yellow] 2 28 6" xfId="22704" xr:uid="{54187D75-94CF-4E21-9E02-18CE7A2FCACC}"/>
    <cellStyle name="Input [yellow] 2 28 7" xfId="22705" xr:uid="{7512E2BC-5D24-44D9-8FE2-F69A7C34A735}"/>
    <cellStyle name="Input [yellow] 2 29" xfId="1152" xr:uid="{A848C90F-CC7E-49C5-8A45-01F52E6AA0DC}"/>
    <cellStyle name="Input [yellow] 2 29 2" xfId="12272" xr:uid="{8714E580-27DB-4A53-A899-BCCF5244C4D0}"/>
    <cellStyle name="Input [yellow] 2 29 2 2" xfId="22706" xr:uid="{CEF0F885-8646-42CF-BBDD-E20B65E13C65}"/>
    <cellStyle name="Input [yellow] 2 29 2 3" xfId="22707" xr:uid="{FF3D165E-B59F-4EBD-8697-5ADBF7734149}"/>
    <cellStyle name="Input [yellow] 2 29 2 4" xfId="22708" xr:uid="{A8369856-9E66-4C79-8258-9043D03735EF}"/>
    <cellStyle name="Input [yellow] 2 29 2 5" xfId="22709" xr:uid="{FCB000FC-7514-4F4A-BCD5-B161D0EE8854}"/>
    <cellStyle name="Input [yellow] 2 29 2 6" xfId="22710" xr:uid="{D08572C3-D5C5-4C8E-BA18-7042D81A2809}"/>
    <cellStyle name="Input [yellow] 2 29 3" xfId="22711" xr:uid="{7A3EB551-3A8D-435E-9AF3-E24C9ACAD228}"/>
    <cellStyle name="Input [yellow] 2 29 4" xfId="22712" xr:uid="{BD37BA7D-4AD1-419E-A60A-44441D4C48A4}"/>
    <cellStyle name="Input [yellow] 2 29 5" xfId="22713" xr:uid="{7B84406E-8BCA-4869-8966-4BF56C107818}"/>
    <cellStyle name="Input [yellow] 2 29 6" xfId="22714" xr:uid="{DC6ACA6E-3004-4D24-B55B-21DB45ADB8E9}"/>
    <cellStyle name="Input [yellow] 2 29 7" xfId="22715" xr:uid="{425DFEEA-2F92-4B66-B9A2-787F0331B5A0}"/>
    <cellStyle name="Input [yellow] 2 3" xfId="1153" xr:uid="{825223DF-2868-4D17-805A-3197EA39B5D5}"/>
    <cellStyle name="Input [yellow] 2 3 2" xfId="10029" xr:uid="{FEF21960-C786-41F4-B3B2-B20EC8B7221F}"/>
    <cellStyle name="Input [yellow] 2 3 2 2" xfId="22716" xr:uid="{BDEE346F-43D2-4D10-9106-7BA52B8F27A6}"/>
    <cellStyle name="Input [yellow] 2 3 2 3" xfId="22717" xr:uid="{ABE8C203-193A-4A76-ADA0-FE5F41E2E73C}"/>
    <cellStyle name="Input [yellow] 2 3 2 4" xfId="22718" xr:uid="{39BB88F4-27A3-423B-A68F-E081411E12A4}"/>
    <cellStyle name="Input [yellow] 2 3 2 5" xfId="22719" xr:uid="{54EE5A13-A0CD-436E-B967-AA36B8988757}"/>
    <cellStyle name="Input [yellow] 2 3 2 6" xfId="22720" xr:uid="{59396760-1B69-4222-914C-5DF85A7133F9}"/>
    <cellStyle name="Input [yellow] 2 3 3" xfId="22721" xr:uid="{E1027DDE-50A2-4BB5-A063-FAF21F37105C}"/>
    <cellStyle name="Input [yellow] 2 3 4" xfId="22722" xr:uid="{27BDD3F7-71B6-4C77-994C-C94E9E72C153}"/>
    <cellStyle name="Input [yellow] 2 3 5" xfId="22723" xr:uid="{3A6DC897-0507-4FFA-9C56-98FA92C5A339}"/>
    <cellStyle name="Input [yellow] 2 3 6" xfId="22724" xr:uid="{851758F3-386B-40F6-91EA-357F03F4F9D5}"/>
    <cellStyle name="Input [yellow] 2 3 7" xfId="22725" xr:uid="{8D9387D1-238B-4D42-AC87-655235D7B431}"/>
    <cellStyle name="Input [yellow] 2 30" xfId="1154" xr:uid="{98DA21B8-4597-472E-A3E8-84A2A89FB811}"/>
    <cellStyle name="Input [yellow] 2 30 2" xfId="12350" xr:uid="{93173DEA-ACAC-411C-AA70-B36FFEB6AB36}"/>
    <cellStyle name="Input [yellow] 2 30 2 2" xfId="22726" xr:uid="{9C0EA45E-B8D3-4E78-A797-85435EFBBF48}"/>
    <cellStyle name="Input [yellow] 2 30 2 3" xfId="22727" xr:uid="{32EF5220-754C-4835-AF7D-FD36B7D24533}"/>
    <cellStyle name="Input [yellow] 2 30 2 4" xfId="22728" xr:uid="{1145C5ED-5FAE-45DF-B4C2-308D025D58FD}"/>
    <cellStyle name="Input [yellow] 2 30 2 5" xfId="22729" xr:uid="{83D746A6-5176-421D-BCFB-23F648514B25}"/>
    <cellStyle name="Input [yellow] 2 30 2 6" xfId="22730" xr:uid="{DB932477-1AF6-4E0E-AA02-FB74EED5501A}"/>
    <cellStyle name="Input [yellow] 2 30 3" xfId="22731" xr:uid="{640ED371-12F3-4234-94D4-DF938D165233}"/>
    <cellStyle name="Input [yellow] 2 30 4" xfId="22732" xr:uid="{2A272E44-66E0-4AD2-A88F-7AC61B440781}"/>
    <cellStyle name="Input [yellow] 2 30 5" xfId="22733" xr:uid="{C2E2FB14-5CB3-425C-AE90-07E333F6101A}"/>
    <cellStyle name="Input [yellow] 2 30 6" xfId="22734" xr:uid="{9DFAE77B-DEB0-41DB-8863-7B69B53BE4D1}"/>
    <cellStyle name="Input [yellow] 2 30 7" xfId="22735" xr:uid="{C2533839-0C35-4782-BA57-99298FADF2C5}"/>
    <cellStyle name="Input [yellow] 2 31" xfId="1155" xr:uid="{10F1C96F-AAD0-490B-ADE1-85E0F2C599AC}"/>
    <cellStyle name="Input [yellow] 2 31 2" xfId="12429" xr:uid="{35314F3D-D0F7-45BA-B8BC-24AB74EB8112}"/>
    <cellStyle name="Input [yellow] 2 31 2 2" xfId="22736" xr:uid="{CC313DD5-481E-4679-BCB6-80BC051675BB}"/>
    <cellStyle name="Input [yellow] 2 31 2 3" xfId="22737" xr:uid="{374050CB-346D-49C1-BF1B-C09A943905F6}"/>
    <cellStyle name="Input [yellow] 2 31 2 4" xfId="22738" xr:uid="{6BA2A071-0B04-4E5B-B074-E1B1068D8AE1}"/>
    <cellStyle name="Input [yellow] 2 31 2 5" xfId="22739" xr:uid="{08CD8FEF-A5C2-4703-9F51-D10255785CF0}"/>
    <cellStyle name="Input [yellow] 2 31 2 6" xfId="22740" xr:uid="{EF804BA3-569E-4E46-B021-AD5EFF5335A1}"/>
    <cellStyle name="Input [yellow] 2 31 3" xfId="22741" xr:uid="{BFF1C695-C961-42FA-8D78-5D2376F34331}"/>
    <cellStyle name="Input [yellow] 2 31 4" xfId="22742" xr:uid="{E4106D26-B86F-4096-BAA7-8CEF965B135C}"/>
    <cellStyle name="Input [yellow] 2 31 5" xfId="22743" xr:uid="{99E8E77E-83BD-43D5-8F97-DDE4EED3916E}"/>
    <cellStyle name="Input [yellow] 2 31 6" xfId="22744" xr:uid="{14500F6C-2637-4A74-AC41-66844839A30F}"/>
    <cellStyle name="Input [yellow] 2 31 7" xfId="22745" xr:uid="{E47ADC6C-85CB-49C4-93FB-257D8EEF94C9}"/>
    <cellStyle name="Input [yellow] 2 32" xfId="1156" xr:uid="{902976AB-E4B0-4D94-ADED-D46DDD410C1D}"/>
    <cellStyle name="Input [yellow] 2 32 2" xfId="12508" xr:uid="{4709240F-ABEB-44AF-9930-034CD5F01386}"/>
    <cellStyle name="Input [yellow] 2 32 2 2" xfId="22746" xr:uid="{22136B76-6694-47EE-9693-EA89B7CF7D8E}"/>
    <cellStyle name="Input [yellow] 2 32 2 3" xfId="22747" xr:uid="{3C0D4AE0-9761-43ED-B358-7F4BF4AFD28A}"/>
    <cellStyle name="Input [yellow] 2 32 2 4" xfId="22748" xr:uid="{4D86886A-5A9C-4B46-A662-F1DE7EE09C1C}"/>
    <cellStyle name="Input [yellow] 2 32 2 5" xfId="22749" xr:uid="{9B2518F6-C1DD-4B9C-A83A-35E06A062BB8}"/>
    <cellStyle name="Input [yellow] 2 32 2 6" xfId="22750" xr:uid="{2C18743D-9B9E-4870-BBCF-40290EEED613}"/>
    <cellStyle name="Input [yellow] 2 32 3" xfId="22751" xr:uid="{07CBC933-80CD-4EE0-BB13-87387AF86BA8}"/>
    <cellStyle name="Input [yellow] 2 32 4" xfId="22752" xr:uid="{74B53CC2-7889-4F53-84D3-5FC785EFC17D}"/>
    <cellStyle name="Input [yellow] 2 32 5" xfId="22753" xr:uid="{411C47C0-44B1-4004-8EDC-71279DC7FD52}"/>
    <cellStyle name="Input [yellow] 2 32 6" xfId="22754" xr:uid="{47E4E12B-3615-41B9-942D-AE8022B40D14}"/>
    <cellStyle name="Input [yellow] 2 32 7" xfId="22755" xr:uid="{D3B8FEF4-30F3-4554-985A-09FE79C553A5}"/>
    <cellStyle name="Input [yellow] 2 33" xfId="1157" xr:uid="{DCC62390-4AFC-49BC-A225-9D46152367FC}"/>
    <cellStyle name="Input [yellow] 2 33 2" xfId="12587" xr:uid="{D6BC4E93-DBAF-4706-846C-7F2ADFE152BC}"/>
    <cellStyle name="Input [yellow] 2 33 2 2" xfId="22756" xr:uid="{AA93D4F1-53D0-4FFA-A732-B2F07BC1D62F}"/>
    <cellStyle name="Input [yellow] 2 33 2 3" xfId="22757" xr:uid="{6057C717-16BE-4327-8E43-8A182469C7EF}"/>
    <cellStyle name="Input [yellow] 2 33 2 4" xfId="22758" xr:uid="{DFAD047B-C0FE-4C77-9B7F-754D6127634B}"/>
    <cellStyle name="Input [yellow] 2 33 2 5" xfId="22759" xr:uid="{50BBF2EA-117E-440F-92B4-A1CEEE9932FA}"/>
    <cellStyle name="Input [yellow] 2 33 2 6" xfId="22760" xr:uid="{3896036C-3143-46A8-B2B5-AA54FCB67768}"/>
    <cellStyle name="Input [yellow] 2 33 3" xfId="22761" xr:uid="{114C329C-EFD4-4A11-AF7D-F793CD0CB9AF}"/>
    <cellStyle name="Input [yellow] 2 33 4" xfId="22762" xr:uid="{F69E7077-1DC7-4C0F-BA2A-FEFCB6804A85}"/>
    <cellStyle name="Input [yellow] 2 33 5" xfId="22763" xr:uid="{0DF70E89-AD3C-47F2-A9A5-CC82B246F9A9}"/>
    <cellStyle name="Input [yellow] 2 33 6" xfId="22764" xr:uid="{8AE6AAFE-DEDF-45F3-BCE0-DE602FFC71A5}"/>
    <cellStyle name="Input [yellow] 2 33 7" xfId="22765" xr:uid="{722E152A-BCFD-4FA4-A192-B5A4E94B7EC1}"/>
    <cellStyle name="Input [yellow] 2 34" xfId="1158" xr:uid="{9B8B2537-D0EA-4E56-B3C4-6825885C9436}"/>
    <cellStyle name="Input [yellow] 2 34 2" xfId="12666" xr:uid="{D3E85CC3-3133-4916-9E70-09BF227E29E2}"/>
    <cellStyle name="Input [yellow] 2 34 2 2" xfId="22766" xr:uid="{7F0999FE-2795-4649-86C6-FE5CD142C888}"/>
    <cellStyle name="Input [yellow] 2 34 2 3" xfId="22767" xr:uid="{5167EB99-F3AB-42EB-8BC0-9A8111CC8A75}"/>
    <cellStyle name="Input [yellow] 2 34 2 4" xfId="22768" xr:uid="{11957DDA-E49A-44C8-BE42-B7901530B495}"/>
    <cellStyle name="Input [yellow] 2 34 2 5" xfId="22769" xr:uid="{8FB68520-7FE7-4A09-9072-2CECF791F248}"/>
    <cellStyle name="Input [yellow] 2 34 2 6" xfId="22770" xr:uid="{4F3139A5-D259-4ABA-B2BD-2A194E6578D8}"/>
    <cellStyle name="Input [yellow] 2 34 3" xfId="22771" xr:uid="{4BADF87D-3E7E-471A-8AED-71824AE18049}"/>
    <cellStyle name="Input [yellow] 2 34 4" xfId="22772" xr:uid="{C95AA67C-4094-4B07-97C6-6CD82120825D}"/>
    <cellStyle name="Input [yellow] 2 34 5" xfId="22773" xr:uid="{3E228796-3363-4844-8F66-CA4A8995F03F}"/>
    <cellStyle name="Input [yellow] 2 34 6" xfId="22774" xr:uid="{D85BD789-F2BF-4333-9C5F-3982586CB1E4}"/>
    <cellStyle name="Input [yellow] 2 34 7" xfId="22775" xr:uid="{3EEC9B54-456C-4A95-B08C-C074FEAD2424}"/>
    <cellStyle name="Input [yellow] 2 35" xfId="1159" xr:uid="{2FB5A594-5BED-4452-8EDA-4493E1653B0B}"/>
    <cellStyle name="Input [yellow] 2 35 2" xfId="12750" xr:uid="{801C2920-A969-4F6C-BDB5-44DBD12DF0A3}"/>
    <cellStyle name="Input [yellow] 2 35 2 2" xfId="22776" xr:uid="{1F23C465-A8FC-4767-A2AC-E41B46B01075}"/>
    <cellStyle name="Input [yellow] 2 35 2 3" xfId="22777" xr:uid="{CBC8CB91-FC64-4BA1-BCDF-002F146FFE6B}"/>
    <cellStyle name="Input [yellow] 2 35 2 4" xfId="22778" xr:uid="{BDB6F668-BFFA-42C0-BF92-05DCA2E557F7}"/>
    <cellStyle name="Input [yellow] 2 35 2 5" xfId="22779" xr:uid="{896C8367-B189-4A0C-AC35-CF35759ED600}"/>
    <cellStyle name="Input [yellow] 2 35 2 6" xfId="22780" xr:uid="{E6D3AC17-915F-4EBC-B3E6-403DDF6ADF8C}"/>
    <cellStyle name="Input [yellow] 2 35 3" xfId="22781" xr:uid="{B909B7BE-DC2F-4400-8526-A2405FE5EAE0}"/>
    <cellStyle name="Input [yellow] 2 35 4" xfId="22782" xr:uid="{EB76BC94-FB57-428F-8466-642125CD2BEB}"/>
    <cellStyle name="Input [yellow] 2 35 5" xfId="22783" xr:uid="{3EAADD66-B82C-48E6-AFDE-C04F9B5D8C9E}"/>
    <cellStyle name="Input [yellow] 2 35 6" xfId="22784" xr:uid="{04E5620A-D6E3-4F07-AEE6-EF0601C4D6DC}"/>
    <cellStyle name="Input [yellow] 2 35 7" xfId="22785" xr:uid="{0CDA61E5-5F2D-432D-BAF7-101EA25EA5DB}"/>
    <cellStyle name="Input [yellow] 2 36" xfId="9816" xr:uid="{14FFDFE3-C5E8-4793-878B-0A8F9E9768F1}"/>
    <cellStyle name="Input [yellow] 2 36 2" xfId="22786" xr:uid="{11ECAC3E-6161-48A6-8F21-8827EE07F1F3}"/>
    <cellStyle name="Input [yellow] 2 36 3" xfId="22787" xr:uid="{3D8FF28C-0B6B-4F8B-9662-7204ADF46F00}"/>
    <cellStyle name="Input [yellow] 2 36 4" xfId="22788" xr:uid="{0B0E278A-93A3-4969-81E0-BB9DEDFA13E6}"/>
    <cellStyle name="Input [yellow] 2 36 5" xfId="22789" xr:uid="{94E9AE06-9786-4BC8-B146-F34E60BC2B06}"/>
    <cellStyle name="Input [yellow] 2 36 6" xfId="22790" xr:uid="{1CD18BF0-07D7-410D-B769-8F6141643F29}"/>
    <cellStyle name="Input [yellow] 2 37" xfId="22791" xr:uid="{36FBDDB4-FF8B-40BB-8295-777C5B5C112A}"/>
    <cellStyle name="Input [yellow] 2 4" xfId="1160" xr:uid="{DFB2A328-4B5D-415F-938E-ABBC07412F5F}"/>
    <cellStyle name="Input [yellow] 2 4 2" xfId="10120" xr:uid="{9D309615-D4A6-459E-A5DD-67F10F8EF5BB}"/>
    <cellStyle name="Input [yellow] 2 4 2 2" xfId="22792" xr:uid="{BD3AAD12-44C6-4951-9229-8F6B742FA81D}"/>
    <cellStyle name="Input [yellow] 2 4 2 3" xfId="22793" xr:uid="{66005EF2-A86B-4F76-A3A6-F32811712CFC}"/>
    <cellStyle name="Input [yellow] 2 4 2 4" xfId="22794" xr:uid="{E9BAC925-D7F7-43B1-B319-8C55C9019392}"/>
    <cellStyle name="Input [yellow] 2 4 2 5" xfId="22795" xr:uid="{025926F4-A4F0-4A1E-8E80-FC11E03233CC}"/>
    <cellStyle name="Input [yellow] 2 4 2 6" xfId="22796" xr:uid="{FF9756A1-0E59-47D1-A5E7-AA144722EB12}"/>
    <cellStyle name="Input [yellow] 2 4 3" xfId="22797" xr:uid="{0D110566-A4F2-4BF5-BCDC-20F2CC80487A}"/>
    <cellStyle name="Input [yellow] 2 4 4" xfId="22798" xr:uid="{2FCFB3E0-C435-4C0D-898F-076D3EF42932}"/>
    <cellStyle name="Input [yellow] 2 4 5" xfId="22799" xr:uid="{BBCB121D-3105-43A9-ABE8-9C6FF0DC8A76}"/>
    <cellStyle name="Input [yellow] 2 4 6" xfId="22800" xr:uid="{3F10E30A-481A-4ECD-B957-6B59FE02E86E}"/>
    <cellStyle name="Input [yellow] 2 4 7" xfId="22801" xr:uid="{DD400048-9C96-459F-8705-21F726964607}"/>
    <cellStyle name="Input [yellow] 2 5" xfId="1161" xr:uid="{DB98A959-AF41-445D-BC8D-FA240AC5510B}"/>
    <cellStyle name="Input [yellow] 2 5 2" xfId="10210" xr:uid="{C7247325-3222-488D-BF44-6EEF364F6187}"/>
    <cellStyle name="Input [yellow] 2 5 2 2" xfId="22802" xr:uid="{0CCCECCA-AFAE-46B4-BE8D-BED3BB3D2D6D}"/>
    <cellStyle name="Input [yellow] 2 5 2 3" xfId="22803" xr:uid="{5F05C66B-6BDA-46ED-9991-14D14701B901}"/>
    <cellStyle name="Input [yellow] 2 5 2 4" xfId="22804" xr:uid="{DCCAFE1A-E8EF-442C-922C-3AB441F1F852}"/>
    <cellStyle name="Input [yellow] 2 5 2 5" xfId="22805" xr:uid="{425ED1AD-03E4-4359-BD6C-A915D17CA1CB}"/>
    <cellStyle name="Input [yellow] 2 5 2 6" xfId="22806" xr:uid="{EB439537-5AA6-4687-A0AB-5F2CC5747ADC}"/>
    <cellStyle name="Input [yellow] 2 5 3" xfId="22807" xr:uid="{57EFC335-3217-4260-B15C-C25D217E9BC9}"/>
    <cellStyle name="Input [yellow] 2 5 4" xfId="22808" xr:uid="{C94B2038-D94A-459A-AB63-2B208236D707}"/>
    <cellStyle name="Input [yellow] 2 5 5" xfId="22809" xr:uid="{3DDC4A55-ECCA-4A88-BD1E-C4C255ADB19D}"/>
    <cellStyle name="Input [yellow] 2 5 6" xfId="22810" xr:uid="{F5B36431-762D-4227-BCC3-0F9C16B5ECB7}"/>
    <cellStyle name="Input [yellow] 2 5 7" xfId="22811" xr:uid="{45386826-8592-40AC-9407-9F92CBAF9782}"/>
    <cellStyle name="Input [yellow] 2 6" xfId="1162" xr:uid="{A199891B-5969-4AC6-A388-ED37526121DD}"/>
    <cellStyle name="Input [yellow] 2 6 2" xfId="10296" xr:uid="{BCD6E676-DEA6-401B-B029-58C2F48DB68F}"/>
    <cellStyle name="Input [yellow] 2 6 2 2" xfId="22812" xr:uid="{80AA0139-C485-43FB-8CF0-51A59F2E0F39}"/>
    <cellStyle name="Input [yellow] 2 6 2 3" xfId="22813" xr:uid="{AA4C69E2-61B7-4D99-BD4F-EA222F444B90}"/>
    <cellStyle name="Input [yellow] 2 6 2 4" xfId="22814" xr:uid="{78B3264C-F756-49CE-977B-82C9C3B5991F}"/>
    <cellStyle name="Input [yellow] 2 6 2 5" xfId="22815" xr:uid="{AD0C0B3A-2779-4EC5-B2BC-B36630CC476E}"/>
    <cellStyle name="Input [yellow] 2 6 2 6" xfId="22816" xr:uid="{240AEE23-32CC-4033-B638-8AB0EDF2A9CA}"/>
    <cellStyle name="Input [yellow] 2 6 3" xfId="22817" xr:uid="{198333A2-0BC6-4FE9-A0FF-A44D4962D1FD}"/>
    <cellStyle name="Input [yellow] 2 6 4" xfId="22818" xr:uid="{81214480-266F-4A6A-9BF3-DBF511C2EDCA}"/>
    <cellStyle name="Input [yellow] 2 6 5" xfId="22819" xr:uid="{4E1E4989-B502-474F-BD0D-17405F48CCC5}"/>
    <cellStyle name="Input [yellow] 2 6 6" xfId="22820" xr:uid="{D5CA8172-01B3-4AA4-A87E-F9A498701518}"/>
    <cellStyle name="Input [yellow] 2 6 7" xfId="22821" xr:uid="{D4B54899-674A-40F4-9869-680B77435D01}"/>
    <cellStyle name="Input [yellow] 2 7" xfId="1163" xr:uid="{B5BDACF5-C3C2-43B3-8FC2-FAE8DA94E2AC}"/>
    <cellStyle name="Input [yellow] 2 7 2" xfId="10384" xr:uid="{F463525B-384F-44DF-94FB-ECEDBEF8F30A}"/>
    <cellStyle name="Input [yellow] 2 7 2 2" xfId="22822" xr:uid="{EABD1033-84E9-41C2-975B-984EB8E3ABB5}"/>
    <cellStyle name="Input [yellow] 2 7 2 3" xfId="22823" xr:uid="{1D76703C-2328-4921-BC40-173CB11C226F}"/>
    <cellStyle name="Input [yellow] 2 7 2 4" xfId="22824" xr:uid="{63C7C327-9EFF-49E5-ADAF-9A274C4D29CF}"/>
    <cellStyle name="Input [yellow] 2 7 2 5" xfId="22825" xr:uid="{B6857BF7-6F9A-4799-A4C4-4911D36925C9}"/>
    <cellStyle name="Input [yellow] 2 7 2 6" xfId="22826" xr:uid="{A04FBC99-E6A4-4B61-83AF-BB32B75A6F1E}"/>
    <cellStyle name="Input [yellow] 2 7 3" xfId="22827" xr:uid="{B3717E02-FB10-4398-84B3-B63F1C61ECA3}"/>
    <cellStyle name="Input [yellow] 2 7 4" xfId="22828" xr:uid="{0C35774E-4397-4556-83AC-933BF5DCC057}"/>
    <cellStyle name="Input [yellow] 2 7 5" xfId="22829" xr:uid="{CC1E9952-61F5-4648-A862-BE1326D725B6}"/>
    <cellStyle name="Input [yellow] 2 7 6" xfId="22830" xr:uid="{310DA64B-0C31-4DC8-95F5-E9DEDCE6357D}"/>
    <cellStyle name="Input [yellow] 2 7 7" xfId="22831" xr:uid="{17051F18-C186-46B8-BDCF-05ECB1E2BB6C}"/>
    <cellStyle name="Input [yellow] 2 8" xfId="1164" xr:uid="{968F725F-2DF9-4523-8C6F-B4BBB6C6B7B5}"/>
    <cellStyle name="Input [yellow] 2 8 2" xfId="10471" xr:uid="{A3E7AADF-94B3-4BA0-812D-91D93A64C3F9}"/>
    <cellStyle name="Input [yellow] 2 8 2 2" xfId="22832" xr:uid="{A63E7790-C970-441C-B713-E42295BCCC1D}"/>
    <cellStyle name="Input [yellow] 2 8 2 3" xfId="22833" xr:uid="{09922CCB-AED8-4C22-B604-A5456EEADE44}"/>
    <cellStyle name="Input [yellow] 2 8 2 4" xfId="22834" xr:uid="{9FAD025D-3127-4269-998F-018144908B0C}"/>
    <cellStyle name="Input [yellow] 2 8 2 5" xfId="22835" xr:uid="{84A98E51-A82D-45A6-A8D7-BDDC45B3D7D1}"/>
    <cellStyle name="Input [yellow] 2 8 2 6" xfId="22836" xr:uid="{7B652163-D5C6-434F-9879-08D25325A4CA}"/>
    <cellStyle name="Input [yellow] 2 8 3" xfId="22837" xr:uid="{7AC13194-8B06-4F25-B3C2-7158AB173661}"/>
    <cellStyle name="Input [yellow] 2 8 4" xfId="22838" xr:uid="{F9FCDE13-F8E1-4061-A93A-C7052133575E}"/>
    <cellStyle name="Input [yellow] 2 8 5" xfId="22839" xr:uid="{571EF966-6B42-40C8-BE7C-D5F2E0E5747A}"/>
    <cellStyle name="Input [yellow] 2 8 6" xfId="22840" xr:uid="{8DF608D4-2BCF-4004-A4C3-5CF21E2750A9}"/>
    <cellStyle name="Input [yellow] 2 8 7" xfId="22841" xr:uid="{E6C4A274-EE3C-422F-BD34-B07132B8D7F7}"/>
    <cellStyle name="Input [yellow] 2 9" xfId="1165" xr:uid="{E68B9BF7-CF4F-4692-A03B-155CE6683671}"/>
    <cellStyle name="Input [yellow] 2 9 2" xfId="10559" xr:uid="{D17FABAB-950D-482F-9B25-C3FDD4B93F7D}"/>
    <cellStyle name="Input [yellow] 2 9 2 2" xfId="22842" xr:uid="{2E3A9520-7BCE-49F7-963A-EDE3CCF7FBC3}"/>
    <cellStyle name="Input [yellow] 2 9 2 3" xfId="22843" xr:uid="{42338144-EF97-44B8-BAD1-6E1E0B417DC2}"/>
    <cellStyle name="Input [yellow] 2 9 2 4" xfId="22844" xr:uid="{081E53B2-B7B5-441A-9EFC-7CD411BB1D8F}"/>
    <cellStyle name="Input [yellow] 2 9 2 5" xfId="22845" xr:uid="{AED12D0A-76B0-4896-8F95-C71092C87FCD}"/>
    <cellStyle name="Input [yellow] 2 9 2 6" xfId="22846" xr:uid="{DFE1A51E-49D6-4AFF-ADD7-1CCE84349F6D}"/>
    <cellStyle name="Input [yellow] 2 9 3" xfId="22847" xr:uid="{68CDDCF0-89BC-4168-AF65-90660EEB2CB5}"/>
    <cellStyle name="Input [yellow] 2 9 4" xfId="22848" xr:uid="{74FAF5AA-4FC0-4F45-9C94-27CC6BC97E87}"/>
    <cellStyle name="Input [yellow] 2 9 5" xfId="22849" xr:uid="{A32470F7-79E3-4CB0-8157-0FA9A40F249A}"/>
    <cellStyle name="Input [yellow] 2 9 6" xfId="22850" xr:uid="{8A940AA6-11E8-487B-9295-A331313C631E}"/>
    <cellStyle name="Input [yellow] 2 9 7" xfId="22851" xr:uid="{C2271738-5474-4518-B1F5-3443D19D621B}"/>
    <cellStyle name="Input [yellow] 20" xfId="1166" xr:uid="{41DE76F7-B041-4AA6-9CDC-90C807BCAB3B}"/>
    <cellStyle name="Input [yellow] 20 2" xfId="9720" xr:uid="{29485B97-4F07-415F-B698-5E76556027EA}"/>
    <cellStyle name="Input [yellow] 20 2 2" xfId="22852" xr:uid="{CF35938E-790C-4484-9054-203B4328F77A}"/>
    <cellStyle name="Input [yellow] 20 2 3" xfId="22853" xr:uid="{F0D755AC-A607-4857-89D4-C2414F9A4DB1}"/>
    <cellStyle name="Input [yellow] 20 2 4" xfId="22854" xr:uid="{E151E820-E6E6-47D9-B66B-5039B16638A3}"/>
    <cellStyle name="Input [yellow] 20 2 5" xfId="22855" xr:uid="{97A032B7-70B2-4BF4-B6E9-39F819F0279B}"/>
    <cellStyle name="Input [yellow] 20 2 6" xfId="22856" xr:uid="{509BC815-EEED-48E3-AE6D-7356C0D5F04D}"/>
    <cellStyle name="Input [yellow] 20 3" xfId="22857" xr:uid="{4563F9B2-6525-4918-9AD5-95845D6F6704}"/>
    <cellStyle name="Input [yellow] 20 4" xfId="22858" xr:uid="{376BCF68-D976-472F-B36D-2A5A084BB7DD}"/>
    <cellStyle name="Input [yellow] 20 5" xfId="22859" xr:uid="{E82CCAD1-566C-4AC2-889C-763F10D7B0F6}"/>
    <cellStyle name="Input [yellow] 20 6" xfId="22860" xr:uid="{31195AF1-CAA1-46D7-A903-9A4BB994DEDD}"/>
    <cellStyle name="Input [yellow] 20 7" xfId="22861" xr:uid="{676C9A1A-434F-484F-8341-D17BC0451758}"/>
    <cellStyle name="Input [yellow] 21" xfId="1167" xr:uid="{7E82E02E-BF37-4107-86CA-7F2572A99768}"/>
    <cellStyle name="Input [yellow] 21 2" xfId="10338" xr:uid="{AD75A6EB-C4FE-4D40-92CC-355B1A56F646}"/>
    <cellStyle name="Input [yellow] 21 2 2" xfId="22862" xr:uid="{A3ECE6B0-E2A8-4541-A884-B25E60D83FB1}"/>
    <cellStyle name="Input [yellow] 21 2 3" xfId="22863" xr:uid="{34DD8826-3107-4FDD-AAE0-73587D3912D5}"/>
    <cellStyle name="Input [yellow] 21 2 4" xfId="22864" xr:uid="{758FC92A-FF01-4C8D-BDBD-B1E435755966}"/>
    <cellStyle name="Input [yellow] 21 2 5" xfId="22865" xr:uid="{3F0E1A6A-A431-4C77-9365-A8D49FA7783B}"/>
    <cellStyle name="Input [yellow] 21 2 6" xfId="22866" xr:uid="{3AD59B21-6A74-4945-9E89-4CCF34D1C7C3}"/>
    <cellStyle name="Input [yellow] 21 3" xfId="22867" xr:uid="{FD97EB38-3C72-4240-897F-7FF8B0ACDC40}"/>
    <cellStyle name="Input [yellow] 21 4" xfId="22868" xr:uid="{189E9711-560E-478D-9AF2-3A709A708E0B}"/>
    <cellStyle name="Input [yellow] 21 5" xfId="22869" xr:uid="{EA590D4B-0A0D-4631-AA18-E0485F3AB9CF}"/>
    <cellStyle name="Input [yellow] 21 6" xfId="22870" xr:uid="{16F63D70-86CF-41AB-BB46-7A5DD131F938}"/>
    <cellStyle name="Input [yellow] 21 7" xfId="22871" xr:uid="{F0640C8D-3B99-48ED-A88C-7D425DA46465}"/>
    <cellStyle name="Input [yellow] 22" xfId="1168" xr:uid="{C1E01F27-7E45-4895-9E30-B8BB1AD8E038}"/>
    <cellStyle name="Input [yellow] 22 2" xfId="10976" xr:uid="{A1D9F437-09A4-479C-BBB3-F6CED440579F}"/>
    <cellStyle name="Input [yellow] 22 2 2" xfId="22872" xr:uid="{49ECC8DA-985F-4739-8164-D76C0D1DD6DD}"/>
    <cellStyle name="Input [yellow] 22 2 3" xfId="22873" xr:uid="{EB49AD29-0D83-4221-8DF4-703CC341237F}"/>
    <cellStyle name="Input [yellow] 22 2 4" xfId="22874" xr:uid="{9FB4F49B-5C61-4FD3-9D0E-EC3DCC8F2AC1}"/>
    <cellStyle name="Input [yellow] 22 2 5" xfId="22875" xr:uid="{0B309DAC-72C2-48D4-920F-B9211D5057F5}"/>
    <cellStyle name="Input [yellow] 22 2 6" xfId="22876" xr:uid="{1AE45729-162D-4E3B-9616-51DFDA9622B5}"/>
    <cellStyle name="Input [yellow] 22 3" xfId="22877" xr:uid="{95DBB9B5-8F80-4F01-8401-45D6ADCDA942}"/>
    <cellStyle name="Input [yellow] 22 4" xfId="22878" xr:uid="{950D6F89-FFEA-4CD3-9A8F-D5803ABDDB15}"/>
    <cellStyle name="Input [yellow] 22 5" xfId="22879" xr:uid="{F7B2C545-5AEA-4567-81E6-6D6381265BD4}"/>
    <cellStyle name="Input [yellow] 22 6" xfId="22880" xr:uid="{4C0C6C31-FC44-45C2-9D9F-5D559A9FDE52}"/>
    <cellStyle name="Input [yellow] 22 7" xfId="22881" xr:uid="{D2E3A071-085A-4FE1-B743-416E3827D8D0}"/>
    <cellStyle name="Input [yellow] 23" xfId="1169" xr:uid="{EFD1C410-3ED8-44D6-804D-8ECB96AE0816}"/>
    <cellStyle name="Input [yellow] 23 2" xfId="9890" xr:uid="{66525762-FD80-4435-A80C-6751B48AA1D3}"/>
    <cellStyle name="Input [yellow] 23 2 2" xfId="22882" xr:uid="{B717E746-ACA5-43B0-9206-94F1368741DB}"/>
    <cellStyle name="Input [yellow] 23 2 3" xfId="22883" xr:uid="{75879FA1-0875-40FE-82BB-1468863BB174}"/>
    <cellStyle name="Input [yellow] 23 2 4" xfId="22884" xr:uid="{8279C6C2-703D-4F53-AAA0-A88152B2CED4}"/>
    <cellStyle name="Input [yellow] 23 2 5" xfId="22885" xr:uid="{FEF4ADD4-2E17-416F-A655-176785F6AE22}"/>
    <cellStyle name="Input [yellow] 23 2 6" xfId="22886" xr:uid="{19F8766B-BA1E-4BAB-B026-EC251EC56709}"/>
    <cellStyle name="Input [yellow] 23 3" xfId="22887" xr:uid="{245FD661-1A8D-4A50-89CA-8B4D150B7ABD}"/>
    <cellStyle name="Input [yellow] 23 4" xfId="22888" xr:uid="{09022331-E653-4C2D-9043-43D6DCD964EA}"/>
    <cellStyle name="Input [yellow] 23 5" xfId="22889" xr:uid="{F002081F-35EA-45D3-BF1C-8B8FC94B7C3A}"/>
    <cellStyle name="Input [yellow] 23 6" xfId="22890" xr:uid="{95860190-17C8-4EAB-B089-4AE95A60A1B4}"/>
    <cellStyle name="Input [yellow] 23 7" xfId="22891" xr:uid="{E6A30978-05E9-4139-9BBE-A82BAF0FC8C3}"/>
    <cellStyle name="Input [yellow] 24" xfId="1170" xr:uid="{78B85799-C2CA-4E6F-8D2F-31515EE0BE33}"/>
    <cellStyle name="Input [yellow] 24 2" xfId="10888" xr:uid="{7E39F1D0-AF8C-44F6-81ED-209DD23E750A}"/>
    <cellStyle name="Input [yellow] 24 2 2" xfId="22892" xr:uid="{D8495849-F62F-40E8-BB16-5E21E66B6CBD}"/>
    <cellStyle name="Input [yellow] 24 2 3" xfId="22893" xr:uid="{A4CC1A92-9EDE-4F0B-8961-BA8854B7A331}"/>
    <cellStyle name="Input [yellow] 24 2 4" xfId="22894" xr:uid="{55067B05-FE78-4E77-8454-ACC506B0F5B7}"/>
    <cellStyle name="Input [yellow] 24 2 5" xfId="22895" xr:uid="{9174C7E2-0687-4862-A678-07E510381B1A}"/>
    <cellStyle name="Input [yellow] 24 2 6" xfId="22896" xr:uid="{2CEB90AF-0796-40B9-9AA0-3C49F13948BC}"/>
    <cellStyle name="Input [yellow] 24 3" xfId="22897" xr:uid="{40821FCB-258F-43E8-B324-82BAB920712E}"/>
    <cellStyle name="Input [yellow] 24 4" xfId="22898" xr:uid="{F3B93B5D-4E19-494A-ADC7-3E2D62DC842E}"/>
    <cellStyle name="Input [yellow] 24 5" xfId="22899" xr:uid="{D2856C0D-5437-43FC-A49E-7ABEF31BEC1E}"/>
    <cellStyle name="Input [yellow] 24 6" xfId="22900" xr:uid="{5BA50438-8B0E-4D4A-85CB-6370BF6218CE}"/>
    <cellStyle name="Input [yellow] 24 7" xfId="22901" xr:uid="{8DCFC7AF-53B7-4406-9679-FCE260D341C8}"/>
    <cellStyle name="Input [yellow] 25" xfId="1171" xr:uid="{9041A2BA-9F8E-4BB8-A752-EE97F559838D}"/>
    <cellStyle name="Input [yellow] 25 2" xfId="9719" xr:uid="{FFC2A435-7B88-4B7C-AECF-D5684D622BAC}"/>
    <cellStyle name="Input [yellow] 25 2 2" xfId="22902" xr:uid="{35676F8C-1AAA-42EB-9065-5C2D99810616}"/>
    <cellStyle name="Input [yellow] 25 2 3" xfId="22903" xr:uid="{F3807B61-07BF-4129-899A-99B9630D8FC3}"/>
    <cellStyle name="Input [yellow] 25 2 4" xfId="22904" xr:uid="{E9074680-4D65-4B59-AB9D-E15449EABF70}"/>
    <cellStyle name="Input [yellow] 25 2 5" xfId="22905" xr:uid="{0E5090EF-256D-4E3C-AB48-523F3A6FF636}"/>
    <cellStyle name="Input [yellow] 25 2 6" xfId="22906" xr:uid="{5459A10C-FBFB-4996-87BB-35F09DE07B83}"/>
    <cellStyle name="Input [yellow] 25 3" xfId="22907" xr:uid="{5230FCFA-4D18-411D-8B78-4BF5349A04AA}"/>
    <cellStyle name="Input [yellow] 25 4" xfId="22908" xr:uid="{47B859A4-2AE2-4625-829C-DBCFA2F5FE86}"/>
    <cellStyle name="Input [yellow] 25 5" xfId="22909" xr:uid="{95A4EFDE-033B-4B83-83F9-64DE1F38E08F}"/>
    <cellStyle name="Input [yellow] 25 6" xfId="22910" xr:uid="{D361A417-2F80-4164-8A06-E249442373E6}"/>
    <cellStyle name="Input [yellow] 25 7" xfId="22911" xr:uid="{C327650F-8205-4583-AB76-9BBED3182236}"/>
    <cellStyle name="Input [yellow] 26" xfId="1172" xr:uid="{B94AF238-070D-4DDB-8166-223D7ECAC722}"/>
    <cellStyle name="Input [yellow] 26 2" xfId="9902" xr:uid="{FD5C0AF4-47B4-4878-BF5C-7DC0A3F1CEE9}"/>
    <cellStyle name="Input [yellow] 26 2 2" xfId="22912" xr:uid="{BC0A0413-6816-4410-9B09-30207468AAB6}"/>
    <cellStyle name="Input [yellow] 26 2 3" xfId="22913" xr:uid="{89983414-9C7E-48E0-A00F-8F5082D072F5}"/>
    <cellStyle name="Input [yellow] 26 2 4" xfId="22914" xr:uid="{540C06D4-600B-48C3-A43D-D2392DB6608D}"/>
    <cellStyle name="Input [yellow] 26 2 5" xfId="22915" xr:uid="{F50D066A-180B-4962-80C8-8B39FF2D53C3}"/>
    <cellStyle name="Input [yellow] 26 2 6" xfId="22916" xr:uid="{4C2A82BE-EA1B-4119-91EB-6C05EB464144}"/>
    <cellStyle name="Input [yellow] 26 3" xfId="22917" xr:uid="{8194E689-944A-47B8-ADC7-491B4365CF46}"/>
    <cellStyle name="Input [yellow] 26 4" xfId="22918" xr:uid="{D1D58036-2338-4408-8D7F-FD1256B85A00}"/>
    <cellStyle name="Input [yellow] 26 5" xfId="22919" xr:uid="{109AB208-911B-449A-BA9E-1E9D197526EA}"/>
    <cellStyle name="Input [yellow] 26 6" xfId="22920" xr:uid="{2878E472-17D0-4A17-A0BF-4872E30230C6}"/>
    <cellStyle name="Input [yellow] 26 7" xfId="22921" xr:uid="{9A73B21E-F009-4E47-BF02-B02EBFD504F1}"/>
    <cellStyle name="Input [yellow] 27" xfId="1173" xr:uid="{129CD2AF-1BC9-4A7C-BC69-8ACE4E5C2E59}"/>
    <cellStyle name="Input [yellow] 27 2" xfId="9877" xr:uid="{DBCDF1C6-E6C3-454B-969D-9E1400CF4E39}"/>
    <cellStyle name="Input [yellow] 27 2 2" xfId="22922" xr:uid="{1761C137-6D80-44EE-B226-46A4A97CB6A5}"/>
    <cellStyle name="Input [yellow] 27 2 3" xfId="22923" xr:uid="{BF8BF801-4FCC-4498-98C3-A9E8013CD36E}"/>
    <cellStyle name="Input [yellow] 27 2 4" xfId="22924" xr:uid="{42B05418-E45B-4DBF-8B34-0C006DF4877A}"/>
    <cellStyle name="Input [yellow] 27 2 5" xfId="22925" xr:uid="{6B070A77-6BF9-40B4-AC84-A988D8F3D341}"/>
    <cellStyle name="Input [yellow] 27 2 6" xfId="22926" xr:uid="{0DFFFF2F-0AEA-45D8-BFAF-746D312BF291}"/>
    <cellStyle name="Input [yellow] 27 3" xfId="22927" xr:uid="{766FA345-17C4-44DD-9548-FDB9EF04A6AE}"/>
    <cellStyle name="Input [yellow] 27 4" xfId="22928" xr:uid="{61D5659B-4B22-4B69-BE9E-E14B37A738C7}"/>
    <cellStyle name="Input [yellow] 27 5" xfId="22929" xr:uid="{9E0C2942-311F-498A-81FE-43FDD0B86508}"/>
    <cellStyle name="Input [yellow] 27 6" xfId="22930" xr:uid="{10703211-102F-4AE5-A41D-FD9DB1681D95}"/>
    <cellStyle name="Input [yellow] 27 7" xfId="22931" xr:uid="{FC0F26B8-8827-4B5B-B1FA-DA15556F3688}"/>
    <cellStyle name="Input [yellow] 28" xfId="1174" xr:uid="{6E89B892-8EA3-4CE7-AF21-EEAF0D077008}"/>
    <cellStyle name="Input [yellow] 28 2" xfId="10865" xr:uid="{24BC4507-ED43-4D24-B8EE-7742680F16F4}"/>
    <cellStyle name="Input [yellow] 28 2 2" xfId="22932" xr:uid="{E7E93F5F-974C-4C4A-A580-A6DC89A51D40}"/>
    <cellStyle name="Input [yellow] 28 2 3" xfId="22933" xr:uid="{91AB7019-9180-4BFF-9914-3480D949D4E8}"/>
    <cellStyle name="Input [yellow] 28 2 4" xfId="22934" xr:uid="{B416EA9D-8D15-478F-A9DF-6E7324EB7DB1}"/>
    <cellStyle name="Input [yellow] 28 2 5" xfId="22935" xr:uid="{3B4F9539-2A93-4835-8567-43F5039C7C24}"/>
    <cellStyle name="Input [yellow] 28 2 6" xfId="22936" xr:uid="{A5CC5822-BFBF-4B34-AC9D-43B1BE170A78}"/>
    <cellStyle name="Input [yellow] 28 3" xfId="22937" xr:uid="{36BD269E-9ECD-4C89-88B5-4303A55ED1C4}"/>
    <cellStyle name="Input [yellow] 28 4" xfId="22938" xr:uid="{6050BEFC-C5D0-43BC-A5CB-62B0E06F6C0E}"/>
    <cellStyle name="Input [yellow] 28 5" xfId="22939" xr:uid="{80B4F5F9-9C1B-4C3D-8465-E09F5CD50711}"/>
    <cellStyle name="Input [yellow] 28 6" xfId="22940" xr:uid="{351A65B1-B36E-49E1-BF05-60912591EBEC}"/>
    <cellStyle name="Input [yellow] 28 7" xfId="22941" xr:uid="{41DF4C26-C001-44BE-B2F6-5DD88FD566FD}"/>
    <cellStyle name="Input [yellow] 29" xfId="1175" xr:uid="{556AE032-0C1F-4ED4-9804-53572C8004BB}"/>
    <cellStyle name="Input [yellow] 29 2" xfId="11734" xr:uid="{ADC770A9-E510-4F16-B35C-FA1A0468F310}"/>
    <cellStyle name="Input [yellow] 29 2 2" xfId="22942" xr:uid="{A9F09812-D176-49A1-8F1E-BB2E21309B64}"/>
    <cellStyle name="Input [yellow] 29 2 3" xfId="22943" xr:uid="{8C9BDD1E-20B1-4CCD-8A54-4A2D504ADDB5}"/>
    <cellStyle name="Input [yellow] 29 2 4" xfId="22944" xr:uid="{E682FF3E-F922-4AD1-9548-41700ED6C544}"/>
    <cellStyle name="Input [yellow] 29 2 5" xfId="22945" xr:uid="{CA18A90D-2A48-4273-8A51-E872CF3F428F}"/>
    <cellStyle name="Input [yellow] 29 2 6" xfId="22946" xr:uid="{79299679-890A-4CCE-B474-EC491FB08A40}"/>
    <cellStyle name="Input [yellow] 29 3" xfId="22947" xr:uid="{C71BC465-32BD-4C0A-A752-E29C65DC112C}"/>
    <cellStyle name="Input [yellow] 29 4" xfId="22948" xr:uid="{21AE7972-0576-4AC0-83DB-B09AB4ED5C6E}"/>
    <cellStyle name="Input [yellow] 29 5" xfId="22949" xr:uid="{1735C3FD-846D-465E-8EB6-A4E70C76EB3F}"/>
    <cellStyle name="Input [yellow] 29 6" xfId="22950" xr:uid="{C9E38CEE-4569-4055-BE89-2C710D3E6A47}"/>
    <cellStyle name="Input [yellow] 29 7" xfId="22951" xr:uid="{45027A46-FB57-4394-8110-DEA320A9A199}"/>
    <cellStyle name="Input [yellow] 3" xfId="1176" xr:uid="{12A678A1-9A68-4D25-828A-73BBF1619BF7}"/>
    <cellStyle name="Input [yellow] 3 10" xfId="1177" xr:uid="{E84D74F9-F5E3-459F-874D-71F5FE912D60}"/>
    <cellStyle name="Input [yellow] 3 10 2" xfId="10625" xr:uid="{1C2EF17E-B340-4F3A-8996-B313DA83A744}"/>
    <cellStyle name="Input [yellow] 3 10 2 2" xfId="22952" xr:uid="{0A290F0B-A06A-4ECA-880F-963C1B792F26}"/>
    <cellStyle name="Input [yellow] 3 10 2 3" xfId="22953" xr:uid="{3137CC9F-3CAD-4FFB-A587-6A21D0AD07E5}"/>
    <cellStyle name="Input [yellow] 3 10 2 4" xfId="22954" xr:uid="{AA7DE6F5-C298-4F1A-9B92-2E1368C22AFB}"/>
    <cellStyle name="Input [yellow] 3 10 2 5" xfId="22955" xr:uid="{A69E2533-0045-4B5D-9E90-472595BF760F}"/>
    <cellStyle name="Input [yellow] 3 10 2 6" xfId="22956" xr:uid="{01DA70BD-3A02-4EB3-A5A3-07ADB1C91F01}"/>
    <cellStyle name="Input [yellow] 3 10 3" xfId="22957" xr:uid="{CBEABD6A-02E9-4439-AF94-48472EBB3D77}"/>
    <cellStyle name="Input [yellow] 3 10 4" xfId="22958" xr:uid="{CEE8A6FF-710A-4C68-B5DD-54183C628956}"/>
    <cellStyle name="Input [yellow] 3 10 5" xfId="22959" xr:uid="{048E56A5-0EF9-44AE-8081-95F658E40FF0}"/>
    <cellStyle name="Input [yellow] 3 10 6" xfId="22960" xr:uid="{BFB678A1-668E-45A3-828C-A532D28EB7F1}"/>
    <cellStyle name="Input [yellow] 3 10 7" xfId="22961" xr:uid="{87785A52-8CD8-4B71-AE1A-4BF31B5ECDCF}"/>
    <cellStyle name="Input [yellow] 3 11" xfId="1178" xr:uid="{490C5C68-271A-4929-B20F-F934EA7687D2}"/>
    <cellStyle name="Input [yellow] 3 11 2" xfId="10716" xr:uid="{1B3457C9-4072-4165-8793-F60642B55B34}"/>
    <cellStyle name="Input [yellow] 3 11 2 2" xfId="22962" xr:uid="{A597CEC0-6DA9-4ACF-84DD-1DBA8C4AAC74}"/>
    <cellStyle name="Input [yellow] 3 11 2 3" xfId="22963" xr:uid="{99129ADE-A518-43BB-A025-4638A6AE23F5}"/>
    <cellStyle name="Input [yellow] 3 11 2 4" xfId="22964" xr:uid="{E45EC073-9010-45AB-9E8C-406B9808EC55}"/>
    <cellStyle name="Input [yellow] 3 11 2 5" xfId="22965" xr:uid="{DBE75AC8-41C7-4F5A-8B02-1CBE485360D6}"/>
    <cellStyle name="Input [yellow] 3 11 2 6" xfId="22966" xr:uid="{7D046924-86A8-4464-BD27-EFA55DC80CFB}"/>
    <cellStyle name="Input [yellow] 3 11 3" xfId="22967" xr:uid="{B2FA5DDB-7946-4DF0-91B4-EFD85A222ED9}"/>
    <cellStyle name="Input [yellow] 3 11 4" xfId="22968" xr:uid="{8B38003D-DD32-4840-B964-E8481BD56A59}"/>
    <cellStyle name="Input [yellow] 3 11 5" xfId="22969" xr:uid="{94ED6F3C-AEA0-4092-8EB0-23A91CC8FCF0}"/>
    <cellStyle name="Input [yellow] 3 11 6" xfId="22970" xr:uid="{2D3E4812-C1C2-4215-9BD2-0DEB4F01E484}"/>
    <cellStyle name="Input [yellow] 3 11 7" xfId="22971" xr:uid="{4F5339FB-C148-4046-BB7F-BC74C1440B9E}"/>
    <cellStyle name="Input [yellow] 3 12" xfId="1179" xr:uid="{D510E164-F53D-45FC-8EE4-E34FA4B2C2D0}"/>
    <cellStyle name="Input [yellow] 3 12 2" xfId="10804" xr:uid="{17C82BDC-A60A-4BD3-99ED-6476F28DEE1F}"/>
    <cellStyle name="Input [yellow] 3 12 2 2" xfId="22972" xr:uid="{0600BEE4-8F47-4034-9181-E666330ED14D}"/>
    <cellStyle name="Input [yellow] 3 12 2 3" xfId="22973" xr:uid="{4F9BDD32-F3CF-4A11-B39E-6A5465AC3977}"/>
    <cellStyle name="Input [yellow] 3 12 2 4" xfId="22974" xr:uid="{7BDCA765-AE25-41B2-A1DF-29A480596E9A}"/>
    <cellStyle name="Input [yellow] 3 12 2 5" xfId="22975" xr:uid="{2F60E0D8-865D-4D4F-AF78-58C5E6209528}"/>
    <cellStyle name="Input [yellow] 3 12 2 6" xfId="22976" xr:uid="{C14119B4-D35F-4AE2-BCE2-5F5CEFF58A99}"/>
    <cellStyle name="Input [yellow] 3 12 3" xfId="22977" xr:uid="{3D153093-ADB0-4934-ACC7-3A63273D582F}"/>
    <cellStyle name="Input [yellow] 3 12 4" xfId="22978" xr:uid="{8FF70B0E-D4C7-4C93-B04C-AD5904AE6417}"/>
    <cellStyle name="Input [yellow] 3 12 5" xfId="22979" xr:uid="{1766C762-CB1F-4E6C-BA8C-4369DA275A8A}"/>
    <cellStyle name="Input [yellow] 3 12 6" xfId="22980" xr:uid="{5810767C-32AC-46E9-9201-1CEA713B2CB7}"/>
    <cellStyle name="Input [yellow] 3 12 7" xfId="22981" xr:uid="{AC3F2880-E469-4D5E-BEA7-64D30EE34554}"/>
    <cellStyle name="Input [yellow] 3 13" xfId="1180" xr:uid="{85CD54F5-E3F2-4774-85BE-47EF6DF44A85}"/>
    <cellStyle name="Input [yellow] 3 13 2" xfId="10893" xr:uid="{EE5825E5-CBF8-40C5-A0E0-8AB763ACC6E3}"/>
    <cellStyle name="Input [yellow] 3 13 2 2" xfId="22982" xr:uid="{F2999161-046F-4B7C-A5BB-346B5C5CCC31}"/>
    <cellStyle name="Input [yellow] 3 13 2 3" xfId="22983" xr:uid="{BE943DC1-DD74-4FB4-88A5-DD5C96161CBE}"/>
    <cellStyle name="Input [yellow] 3 13 2 4" xfId="22984" xr:uid="{5A1D452B-37E2-435C-8B48-9FD3B1772672}"/>
    <cellStyle name="Input [yellow] 3 13 2 5" xfId="22985" xr:uid="{C6B3BB97-9F2C-45AD-9B7D-B092B37D89E0}"/>
    <cellStyle name="Input [yellow] 3 13 2 6" xfId="22986" xr:uid="{6A7E2B40-C14D-4D08-8910-6FE50958256E}"/>
    <cellStyle name="Input [yellow] 3 13 3" xfId="22987" xr:uid="{28457349-06CF-4E97-8134-5AC0E2D80B2A}"/>
    <cellStyle name="Input [yellow] 3 13 4" xfId="22988" xr:uid="{B271D301-86E5-46BA-8835-EA6FA5E5EAB7}"/>
    <cellStyle name="Input [yellow] 3 13 5" xfId="22989" xr:uid="{F3C38C22-827A-402C-805A-7A25025F50D1}"/>
    <cellStyle name="Input [yellow] 3 13 6" xfId="22990" xr:uid="{79304872-8030-47CB-A66D-E4F177BB30D6}"/>
    <cellStyle name="Input [yellow] 3 13 7" xfId="22991" xr:uid="{1CBA17F3-C215-4394-85E5-49B93229E1A8}"/>
    <cellStyle name="Input [yellow] 3 14" xfId="1181" xr:uid="{D96A3454-0FD2-4661-8E92-E9D63296C7B0}"/>
    <cellStyle name="Input [yellow] 3 14 2" xfId="10983" xr:uid="{27080CC7-C80F-4BE8-B825-5529A4A33159}"/>
    <cellStyle name="Input [yellow] 3 14 2 2" xfId="22992" xr:uid="{A1B05268-EFD3-4643-860D-6F37489D6B53}"/>
    <cellStyle name="Input [yellow] 3 14 2 3" xfId="22993" xr:uid="{42C6D849-ABF5-4E4C-A3A2-FF4FE2350578}"/>
    <cellStyle name="Input [yellow] 3 14 2 4" xfId="22994" xr:uid="{942C26E0-3D4E-4F5B-BFC2-53C926B9490A}"/>
    <cellStyle name="Input [yellow] 3 14 2 5" xfId="22995" xr:uid="{3B13FBB9-2E6B-4C7B-8980-57611B5F6F04}"/>
    <cellStyle name="Input [yellow] 3 14 2 6" xfId="22996" xr:uid="{46FBEABE-9442-4721-B727-94AB38B3A916}"/>
    <cellStyle name="Input [yellow] 3 14 3" xfId="22997" xr:uid="{5C85E74B-DA32-455F-8090-4BCD5C09E027}"/>
    <cellStyle name="Input [yellow] 3 14 4" xfId="22998" xr:uid="{4FB91042-64F6-4FFC-B4AF-8199D04331DC}"/>
    <cellStyle name="Input [yellow] 3 14 5" xfId="22999" xr:uid="{6FD57236-6AFB-40CB-840E-9074569A1E64}"/>
    <cellStyle name="Input [yellow] 3 14 6" xfId="23000" xr:uid="{C069B079-78EB-49F3-AA87-061DC33807CD}"/>
    <cellStyle name="Input [yellow] 3 14 7" xfId="23001" xr:uid="{2D357D0C-1822-409D-BC5C-83C32D40928B}"/>
    <cellStyle name="Input [yellow] 3 15" xfId="1182" xr:uid="{C73A9A6D-D5DF-4767-AD67-D295B165C888}"/>
    <cellStyle name="Input [yellow] 3 15 2" xfId="11074" xr:uid="{96E56A9B-4776-4279-96E5-AAA98C38F1C1}"/>
    <cellStyle name="Input [yellow] 3 15 2 2" xfId="23002" xr:uid="{EB92E908-A635-45E2-BFFC-A2038F0F05A8}"/>
    <cellStyle name="Input [yellow] 3 15 2 3" xfId="23003" xr:uid="{FBAD9FFA-E727-4F6F-AEA4-5AEDF11216AA}"/>
    <cellStyle name="Input [yellow] 3 15 2 4" xfId="23004" xr:uid="{0F9513AF-8D53-4AAA-BDBA-D65CF45AED7A}"/>
    <cellStyle name="Input [yellow] 3 15 2 5" xfId="23005" xr:uid="{8414BD72-29F4-46F8-A754-8E1C4908CF5F}"/>
    <cellStyle name="Input [yellow] 3 15 2 6" xfId="23006" xr:uid="{7255589B-D853-4772-9A38-624C60FB8B5D}"/>
    <cellStyle name="Input [yellow] 3 15 3" xfId="23007" xr:uid="{F59A0D05-97C4-4C35-9397-9CB2BA749F5D}"/>
    <cellStyle name="Input [yellow] 3 15 4" xfId="23008" xr:uid="{5CBB9CCC-65E7-4876-A8E8-CC23BFB87129}"/>
    <cellStyle name="Input [yellow] 3 15 5" xfId="23009" xr:uid="{21310B43-1722-47FA-9334-FC4935DEECE4}"/>
    <cellStyle name="Input [yellow] 3 15 6" xfId="23010" xr:uid="{1A9DA392-5D85-4453-A831-305D9BE0F155}"/>
    <cellStyle name="Input [yellow] 3 15 7" xfId="23011" xr:uid="{B838C133-6A53-41B8-9CD6-1C3252D8C3E8}"/>
    <cellStyle name="Input [yellow] 3 16" xfId="1183" xr:uid="{E7003E27-85AB-41FA-B86D-EA0B34BCCA2D}"/>
    <cellStyle name="Input [yellow] 3 16 2" xfId="11157" xr:uid="{55268651-45F0-49EC-9E0B-7085F98DD81F}"/>
    <cellStyle name="Input [yellow] 3 16 2 2" xfId="23012" xr:uid="{90D8C079-B1B4-4953-B2A7-CC667DF2E49F}"/>
    <cellStyle name="Input [yellow] 3 16 2 3" xfId="23013" xr:uid="{6A989321-98C8-418E-85CD-C290690A6D17}"/>
    <cellStyle name="Input [yellow] 3 16 2 4" xfId="23014" xr:uid="{905133F4-EDE9-4B5D-BF8A-C940EDCAD073}"/>
    <cellStyle name="Input [yellow] 3 16 2 5" xfId="23015" xr:uid="{6BD214D3-E671-438C-A890-0E81827E7897}"/>
    <cellStyle name="Input [yellow] 3 16 2 6" xfId="23016" xr:uid="{623BAE44-1EFF-415D-B0DE-EE39EDEBC87C}"/>
    <cellStyle name="Input [yellow] 3 16 3" xfId="23017" xr:uid="{795CC118-1934-4913-A78F-928EF7067469}"/>
    <cellStyle name="Input [yellow] 3 16 4" xfId="23018" xr:uid="{8C8349C5-FD1B-436F-A585-77F164377B56}"/>
    <cellStyle name="Input [yellow] 3 16 5" xfId="23019" xr:uid="{6684A515-E0CD-4720-BB33-AFDB1B9DEEA1}"/>
    <cellStyle name="Input [yellow] 3 16 6" xfId="23020" xr:uid="{5AD171A2-E5DE-4FF7-B585-767F672EC5D1}"/>
    <cellStyle name="Input [yellow] 3 16 7" xfId="23021" xr:uid="{0096ADEA-A32B-4413-A5DD-371ABB70ED04}"/>
    <cellStyle name="Input [yellow] 3 17" xfId="1184" xr:uid="{3177224C-0A30-49E3-83B1-2C06475227B2}"/>
    <cellStyle name="Input [yellow] 3 17 2" xfId="11247" xr:uid="{0E05A715-8D8A-4FB3-AE69-37B08BB2B4BB}"/>
    <cellStyle name="Input [yellow] 3 17 2 2" xfId="23022" xr:uid="{643F82EA-0762-4F70-AA08-2C619EBE1DED}"/>
    <cellStyle name="Input [yellow] 3 17 2 3" xfId="23023" xr:uid="{D8A3D2D1-05EA-4F7E-B710-3AE9DE488F5C}"/>
    <cellStyle name="Input [yellow] 3 17 2 4" xfId="23024" xr:uid="{7FD97ED5-4891-4F67-972E-65321397519A}"/>
    <cellStyle name="Input [yellow] 3 17 2 5" xfId="23025" xr:uid="{AC6A5832-90BF-47BE-8A3C-CF0C5DB0A065}"/>
    <cellStyle name="Input [yellow] 3 17 2 6" xfId="23026" xr:uid="{3C2E8056-E5FC-4109-AE62-5D5C8D0E8ACA}"/>
    <cellStyle name="Input [yellow] 3 17 3" xfId="23027" xr:uid="{CCE241E3-0FCB-4116-AC00-8FE947AD2201}"/>
    <cellStyle name="Input [yellow] 3 17 4" xfId="23028" xr:uid="{C801E61D-653C-4E6A-A730-28C40C0DF292}"/>
    <cellStyle name="Input [yellow] 3 17 5" xfId="23029" xr:uid="{EC15B756-077D-4408-BDD6-A326528DEFB5}"/>
    <cellStyle name="Input [yellow] 3 17 6" xfId="23030" xr:uid="{D0348718-FCAB-4600-B5BE-DED29957F7B0}"/>
    <cellStyle name="Input [yellow] 3 17 7" xfId="23031" xr:uid="{20EAEA38-BDD3-4F10-B3E8-170BC4AA85C3}"/>
    <cellStyle name="Input [yellow] 3 18" xfId="1185" xr:uid="{137839A9-364C-4374-B94A-BFCDC31BA7D4}"/>
    <cellStyle name="Input [yellow] 3 18 2" xfId="11333" xr:uid="{A0E63AC9-802B-4DB9-9376-06DDF066EFDA}"/>
    <cellStyle name="Input [yellow] 3 18 2 2" xfId="23032" xr:uid="{BFE37FC0-84DF-484A-A205-60F963181564}"/>
    <cellStyle name="Input [yellow] 3 18 2 3" xfId="23033" xr:uid="{FD753103-D273-42DA-A0F0-E9EF7D5D2298}"/>
    <cellStyle name="Input [yellow] 3 18 2 4" xfId="23034" xr:uid="{418725C5-C313-4F16-91B5-726A6EB4BC37}"/>
    <cellStyle name="Input [yellow] 3 18 2 5" xfId="23035" xr:uid="{3248FDE5-012F-46E6-80D0-AF0676476C0D}"/>
    <cellStyle name="Input [yellow] 3 18 2 6" xfId="23036" xr:uid="{6B8C8A3A-180F-4433-81B0-C6E5165A749E}"/>
    <cellStyle name="Input [yellow] 3 18 3" xfId="23037" xr:uid="{EC2A26B1-B2F8-4352-8F59-12C7EEC35749}"/>
    <cellStyle name="Input [yellow] 3 18 4" xfId="23038" xr:uid="{68DFC5D4-56E7-4494-9452-E2E5948D1C7E}"/>
    <cellStyle name="Input [yellow] 3 18 5" xfId="23039" xr:uid="{F0928134-7045-437C-9A88-E6861107B08B}"/>
    <cellStyle name="Input [yellow] 3 18 6" xfId="23040" xr:uid="{71C7A39F-4E2F-4F96-82E5-2046740E7225}"/>
    <cellStyle name="Input [yellow] 3 18 7" xfId="23041" xr:uid="{881F9C09-A764-4F4A-9677-B8D79126750D}"/>
    <cellStyle name="Input [yellow] 3 19" xfId="1186" xr:uid="{73058553-05CF-4B89-BFA7-2B1A42B3D065}"/>
    <cellStyle name="Input [yellow] 3 19 2" xfId="11419" xr:uid="{3D6A93D7-225F-4523-A759-7E96B3F2A6B5}"/>
    <cellStyle name="Input [yellow] 3 19 2 2" xfId="23042" xr:uid="{144D1082-CE6B-47D1-84F1-B84ADB0D8FDF}"/>
    <cellStyle name="Input [yellow] 3 19 2 3" xfId="23043" xr:uid="{620E22D9-3071-4C23-9FF4-93B2814E58E5}"/>
    <cellStyle name="Input [yellow] 3 19 2 4" xfId="23044" xr:uid="{DF990552-35C1-4BB8-AEAC-0E44E5AC976A}"/>
    <cellStyle name="Input [yellow] 3 19 2 5" xfId="23045" xr:uid="{DA108096-C1FE-479E-8FD8-63B833ADB0DF}"/>
    <cellStyle name="Input [yellow] 3 19 2 6" xfId="23046" xr:uid="{0AB52CC4-B8A1-4F3B-8C18-6159E643AA27}"/>
    <cellStyle name="Input [yellow] 3 19 3" xfId="23047" xr:uid="{0AC8EC79-FD32-4143-8235-4550556C28EA}"/>
    <cellStyle name="Input [yellow] 3 19 4" xfId="23048" xr:uid="{54FBA9BA-BC22-4A19-87A3-380BBB6EA062}"/>
    <cellStyle name="Input [yellow] 3 19 5" xfId="23049" xr:uid="{7208805D-0037-4F18-8692-125F81722DEE}"/>
    <cellStyle name="Input [yellow] 3 19 6" xfId="23050" xr:uid="{1BCC6483-7153-41BC-A41D-FD94BEED3817}"/>
    <cellStyle name="Input [yellow] 3 19 7" xfId="23051" xr:uid="{FA012465-5B4C-42B7-898E-313C89F0A7F6}"/>
    <cellStyle name="Input [yellow] 3 2" xfId="1187" xr:uid="{23300A9D-14BA-4A1E-93CB-1D3D9797A298}"/>
    <cellStyle name="Input [yellow] 3 2 10" xfId="1188" xr:uid="{3E339312-64C8-4657-854E-C4C0C499EFB8}"/>
    <cellStyle name="Input [yellow] 3 2 10 2" xfId="10750" xr:uid="{C96646DE-A815-4F5C-A2CD-A6E9D45DAC67}"/>
    <cellStyle name="Input [yellow] 3 2 10 2 2" xfId="23052" xr:uid="{4C9215E4-57CC-46B8-B424-3631E96FBE20}"/>
    <cellStyle name="Input [yellow] 3 2 10 2 3" xfId="23053" xr:uid="{971E2CA1-6A98-4ED9-B6FB-0F2C1CEADB16}"/>
    <cellStyle name="Input [yellow] 3 2 10 2 4" xfId="23054" xr:uid="{7CE569D6-BD66-4174-92DA-0D0461844FD0}"/>
    <cellStyle name="Input [yellow] 3 2 10 2 5" xfId="23055" xr:uid="{F4E4A40B-4648-44E5-A6F1-DB691D9E379F}"/>
    <cellStyle name="Input [yellow] 3 2 10 2 6" xfId="23056" xr:uid="{67BE3A74-C421-4D54-A36E-6B50ADA1F212}"/>
    <cellStyle name="Input [yellow] 3 2 10 3" xfId="23057" xr:uid="{11422582-D8A2-445F-AD02-CC5610892313}"/>
    <cellStyle name="Input [yellow] 3 2 10 4" xfId="23058" xr:uid="{834C5489-8F78-469A-AF5A-DF49868B64F0}"/>
    <cellStyle name="Input [yellow] 3 2 10 5" xfId="23059" xr:uid="{FBBD5ABD-19B6-481E-AEA1-42A4A5A9985D}"/>
    <cellStyle name="Input [yellow] 3 2 10 6" xfId="23060" xr:uid="{EFD19942-9BEA-4D92-A7BE-DB19FA7434D1}"/>
    <cellStyle name="Input [yellow] 3 2 10 7" xfId="23061" xr:uid="{DACD7A1A-1B86-4D14-A79B-C5426E6CC48A}"/>
    <cellStyle name="Input [yellow] 3 2 11" xfId="1189" xr:uid="{D4A90945-62BD-41E3-ACB9-E1CDE4D91670}"/>
    <cellStyle name="Input [yellow] 3 2 11 2" xfId="10838" xr:uid="{7E0A44C9-A489-4D6B-9BA1-619AF32E5443}"/>
    <cellStyle name="Input [yellow] 3 2 11 2 2" xfId="23062" xr:uid="{0C7A4BBD-889D-422E-93EC-46F9BEBD4BC1}"/>
    <cellStyle name="Input [yellow] 3 2 11 2 3" xfId="23063" xr:uid="{77FFCB2A-50A1-44BA-9426-89EFEDE42119}"/>
    <cellStyle name="Input [yellow] 3 2 11 2 4" xfId="23064" xr:uid="{D07D87D4-87D9-4A98-ACAB-33E352283C77}"/>
    <cellStyle name="Input [yellow] 3 2 11 2 5" xfId="23065" xr:uid="{F41F3CF1-23B0-42ED-92D3-24343E7B4457}"/>
    <cellStyle name="Input [yellow] 3 2 11 2 6" xfId="23066" xr:uid="{70BD3E17-9B10-4078-B784-0B8969B063BB}"/>
    <cellStyle name="Input [yellow] 3 2 11 3" xfId="23067" xr:uid="{CEC97F1F-B06A-4BA2-AC36-C14AE37B2CBE}"/>
    <cellStyle name="Input [yellow] 3 2 11 4" xfId="23068" xr:uid="{2B91484F-6FDC-4762-8709-AFB21CAF7377}"/>
    <cellStyle name="Input [yellow] 3 2 11 5" xfId="23069" xr:uid="{37F9578E-5D3F-48BD-A5FD-EB97A32E2D76}"/>
    <cellStyle name="Input [yellow] 3 2 11 6" xfId="23070" xr:uid="{72D5D3A8-2FDC-4B8C-A7D6-3731B5103477}"/>
    <cellStyle name="Input [yellow] 3 2 11 7" xfId="23071" xr:uid="{72721768-3B9D-40D4-BE51-D179B60B4C5F}"/>
    <cellStyle name="Input [yellow] 3 2 12" xfId="1190" xr:uid="{0845BF47-C5BE-4858-84CB-6A9C3ACB1FA0}"/>
    <cellStyle name="Input [yellow] 3 2 12 2" xfId="10927" xr:uid="{D347860E-10B1-4624-B6D5-B1EAFA8FFF50}"/>
    <cellStyle name="Input [yellow] 3 2 12 2 2" xfId="23072" xr:uid="{B1200128-4EE8-4A68-912D-E5E72325E35D}"/>
    <cellStyle name="Input [yellow] 3 2 12 2 3" xfId="23073" xr:uid="{4399B9AC-0EE7-405B-B8E6-6DBEA4DDDE02}"/>
    <cellStyle name="Input [yellow] 3 2 12 2 4" xfId="23074" xr:uid="{58974741-2555-48C3-A680-1B2EB7F182E8}"/>
    <cellStyle name="Input [yellow] 3 2 12 2 5" xfId="23075" xr:uid="{6CAC4EE5-65F8-4980-9E93-CE02E0192EEC}"/>
    <cellStyle name="Input [yellow] 3 2 12 2 6" xfId="23076" xr:uid="{61A51FD7-523F-40E6-9970-65905F9A3F67}"/>
    <cellStyle name="Input [yellow] 3 2 12 3" xfId="23077" xr:uid="{637EA341-44CB-4C5B-8483-4C6BFB8A398D}"/>
    <cellStyle name="Input [yellow] 3 2 12 4" xfId="23078" xr:uid="{70F6EA41-8546-46F3-9D0A-16077F3ED624}"/>
    <cellStyle name="Input [yellow] 3 2 12 5" xfId="23079" xr:uid="{15F4A767-784A-4D9D-A1B9-FA8B355AB803}"/>
    <cellStyle name="Input [yellow] 3 2 12 6" xfId="23080" xr:uid="{2097105B-3019-4E7B-84B7-27F803DB35DA}"/>
    <cellStyle name="Input [yellow] 3 2 12 7" xfId="23081" xr:uid="{B2674ABB-562A-4DD8-A487-0841D1A3ED63}"/>
    <cellStyle name="Input [yellow] 3 2 13" xfId="1191" xr:uid="{8A03952E-9B51-4BFD-8AEB-F68CC91D5D29}"/>
    <cellStyle name="Input [yellow] 3 2 13 2" xfId="11017" xr:uid="{22F356F3-A66D-40CC-BDF8-D9BCACB340B8}"/>
    <cellStyle name="Input [yellow] 3 2 13 2 2" xfId="23082" xr:uid="{727C27A1-F7BB-42D0-9F26-0062E16F87E3}"/>
    <cellStyle name="Input [yellow] 3 2 13 2 3" xfId="23083" xr:uid="{91AE21EA-B9FF-4B2B-B8F6-0D5F65AF8472}"/>
    <cellStyle name="Input [yellow] 3 2 13 2 4" xfId="23084" xr:uid="{0CAF96AE-DC93-474C-8F39-68B070D2D7FF}"/>
    <cellStyle name="Input [yellow] 3 2 13 2 5" xfId="23085" xr:uid="{EDD2EE96-A786-4260-87E3-F65EFE88B41D}"/>
    <cellStyle name="Input [yellow] 3 2 13 2 6" xfId="23086" xr:uid="{E1E9FE5A-ADC9-420B-BF8F-4BBA3BC3D24E}"/>
    <cellStyle name="Input [yellow] 3 2 13 3" xfId="23087" xr:uid="{45B6227C-05EB-41D7-952B-82B07EE486BF}"/>
    <cellStyle name="Input [yellow] 3 2 13 4" xfId="23088" xr:uid="{7D81EF04-D96F-46F1-8B03-22E0DF87806F}"/>
    <cellStyle name="Input [yellow] 3 2 13 5" xfId="23089" xr:uid="{D09570A6-B926-48CA-BC36-F40E5B34326A}"/>
    <cellStyle name="Input [yellow] 3 2 13 6" xfId="23090" xr:uid="{74FF9D59-B362-4663-B492-1EC2480C9D46}"/>
    <cellStyle name="Input [yellow] 3 2 13 7" xfId="23091" xr:uid="{0AE7DBB1-94CF-4378-91EE-2A4F15FBFC87}"/>
    <cellStyle name="Input [yellow] 3 2 14" xfId="1192" xr:uid="{E7129AE4-9832-4649-A05A-15F22933A2DD}"/>
    <cellStyle name="Input [yellow] 3 2 14 2" xfId="11107" xr:uid="{8DF0619A-48D9-49D7-BC92-D366C9ED906D}"/>
    <cellStyle name="Input [yellow] 3 2 14 2 2" xfId="23092" xr:uid="{90B1AC93-0DCD-406B-9191-587131D23177}"/>
    <cellStyle name="Input [yellow] 3 2 14 2 3" xfId="23093" xr:uid="{8B6EB85E-F7C9-4DD5-9ECA-A069E272168F}"/>
    <cellStyle name="Input [yellow] 3 2 14 2 4" xfId="23094" xr:uid="{F3ABA1C2-B74B-46AD-9E3D-A71D531DA580}"/>
    <cellStyle name="Input [yellow] 3 2 14 2 5" xfId="23095" xr:uid="{5D80B860-9185-46A8-951A-885F471F02B0}"/>
    <cellStyle name="Input [yellow] 3 2 14 2 6" xfId="23096" xr:uid="{C3F977E4-E375-42F0-AA97-495A60C6F2BB}"/>
    <cellStyle name="Input [yellow] 3 2 14 3" xfId="23097" xr:uid="{DCF1F7D5-C02A-4686-B8B7-682F6E041E7F}"/>
    <cellStyle name="Input [yellow] 3 2 14 4" xfId="23098" xr:uid="{B8C293BF-7BA0-4C1D-8020-2F527870986D}"/>
    <cellStyle name="Input [yellow] 3 2 14 5" xfId="23099" xr:uid="{AB303312-A2D1-4743-8A80-4CA9341D3D48}"/>
    <cellStyle name="Input [yellow] 3 2 14 6" xfId="23100" xr:uid="{DD47B574-AE59-47FC-B825-787B6F47D379}"/>
    <cellStyle name="Input [yellow] 3 2 14 7" xfId="23101" xr:uid="{6FB657A5-E6B9-4F60-90D1-712A28D9A662}"/>
    <cellStyle name="Input [yellow] 3 2 15" xfId="1193" xr:uid="{2A7DF28B-ECF4-4051-BFA8-B6B5219AB47A}"/>
    <cellStyle name="Input [yellow] 3 2 15 2" xfId="11190" xr:uid="{3936B3C4-EB9C-43D9-8604-2991253AB902}"/>
    <cellStyle name="Input [yellow] 3 2 15 2 2" xfId="23102" xr:uid="{0FE1AB34-220E-4177-8AE3-B8093E820CB7}"/>
    <cellStyle name="Input [yellow] 3 2 15 2 3" xfId="23103" xr:uid="{101892BB-F90E-497A-83FD-55F48DEF9B15}"/>
    <cellStyle name="Input [yellow] 3 2 15 2 4" xfId="23104" xr:uid="{8688F29B-0B3C-4B9B-B083-BEC29C9CC11A}"/>
    <cellStyle name="Input [yellow] 3 2 15 2 5" xfId="23105" xr:uid="{2BD3A8C9-B65A-4EBC-99BF-10E7DFC30291}"/>
    <cellStyle name="Input [yellow] 3 2 15 2 6" xfId="23106" xr:uid="{0AA4FD30-7137-40C1-AC50-AE5F61E41EBA}"/>
    <cellStyle name="Input [yellow] 3 2 15 3" xfId="23107" xr:uid="{5BECFCB2-646D-46FE-9BB2-E36A138E9F1D}"/>
    <cellStyle name="Input [yellow] 3 2 15 4" xfId="23108" xr:uid="{8C67FA0E-1833-4667-89EE-9F7804549C38}"/>
    <cellStyle name="Input [yellow] 3 2 15 5" xfId="23109" xr:uid="{C79C688A-4E29-4977-833A-AD45F66CC23E}"/>
    <cellStyle name="Input [yellow] 3 2 15 6" xfId="23110" xr:uid="{53316E26-5684-42F6-8E64-9221166AD020}"/>
    <cellStyle name="Input [yellow] 3 2 15 7" xfId="23111" xr:uid="{0D965DAD-419B-4623-9E11-87AE0A792F82}"/>
    <cellStyle name="Input [yellow] 3 2 16" xfId="1194" xr:uid="{66EDE981-EA8C-49DA-8E42-B579DFA97AEF}"/>
    <cellStyle name="Input [yellow] 3 2 16 2" xfId="11280" xr:uid="{D1D5A478-28C8-4535-B6BD-794A7A3E984C}"/>
    <cellStyle name="Input [yellow] 3 2 16 2 2" xfId="23112" xr:uid="{4BD0E1FA-841B-40C0-A57E-5C5B60DAF509}"/>
    <cellStyle name="Input [yellow] 3 2 16 2 3" xfId="23113" xr:uid="{4A943366-AF29-47FE-A856-FF72B6D8994B}"/>
    <cellStyle name="Input [yellow] 3 2 16 2 4" xfId="23114" xr:uid="{928B5145-356D-4E76-AA6D-43895CFD6E4C}"/>
    <cellStyle name="Input [yellow] 3 2 16 2 5" xfId="23115" xr:uid="{B7166E3B-748C-4E49-84A0-FD651DB5BAF9}"/>
    <cellStyle name="Input [yellow] 3 2 16 2 6" xfId="23116" xr:uid="{10BC44F5-3033-420F-8104-59C65DA08CEE}"/>
    <cellStyle name="Input [yellow] 3 2 16 3" xfId="23117" xr:uid="{75F56DF4-66EF-4250-8D88-04044BAC56B5}"/>
    <cellStyle name="Input [yellow] 3 2 16 4" xfId="23118" xr:uid="{23F3D56D-9637-44FC-BD4F-874C1960CE60}"/>
    <cellStyle name="Input [yellow] 3 2 16 5" xfId="23119" xr:uid="{17082DE1-42D3-44FF-9F7D-B741B68B6B0C}"/>
    <cellStyle name="Input [yellow] 3 2 16 6" xfId="23120" xr:uid="{54A01D4E-BEE7-4AF5-A649-B0E13E68D30A}"/>
    <cellStyle name="Input [yellow] 3 2 16 7" xfId="23121" xr:uid="{A1975927-487B-4613-B245-A8EE1095E1C1}"/>
    <cellStyle name="Input [yellow] 3 2 17" xfId="1195" xr:uid="{0BAB8852-DE63-467A-8698-93004C4317BA}"/>
    <cellStyle name="Input [yellow] 3 2 17 2" xfId="11366" xr:uid="{06D61A81-D2E2-4EA3-820D-169ACECC3619}"/>
    <cellStyle name="Input [yellow] 3 2 17 2 2" xfId="23122" xr:uid="{542FF163-7F25-46F8-A619-709420E4641D}"/>
    <cellStyle name="Input [yellow] 3 2 17 2 3" xfId="23123" xr:uid="{DF601DFA-2FE5-4DFE-A8C6-7CEE96464ADF}"/>
    <cellStyle name="Input [yellow] 3 2 17 2 4" xfId="23124" xr:uid="{B7BC7AE4-A203-4770-BDD9-3F2A90B6D4C7}"/>
    <cellStyle name="Input [yellow] 3 2 17 2 5" xfId="23125" xr:uid="{73BF4A74-F86C-4AD9-950F-D8568D227782}"/>
    <cellStyle name="Input [yellow] 3 2 17 2 6" xfId="23126" xr:uid="{003AB084-E23E-47BD-8261-8B7BA734F137}"/>
    <cellStyle name="Input [yellow] 3 2 17 3" xfId="23127" xr:uid="{2AF2E170-950B-4A57-BE7E-75473F3AFE21}"/>
    <cellStyle name="Input [yellow] 3 2 17 4" xfId="23128" xr:uid="{FA8AAB0B-9EE6-4EE8-97C1-50F1C90D2844}"/>
    <cellStyle name="Input [yellow] 3 2 17 5" xfId="23129" xr:uid="{442DCF65-4019-44CB-B9BB-F92BFADC9EDE}"/>
    <cellStyle name="Input [yellow] 3 2 17 6" xfId="23130" xr:uid="{14194DCB-D701-447F-A40A-B2AD8B8B33F0}"/>
    <cellStyle name="Input [yellow] 3 2 17 7" xfId="23131" xr:uid="{A6452FC6-6B12-46CC-9459-137020A1CA8E}"/>
    <cellStyle name="Input [yellow] 3 2 18" xfId="1196" xr:uid="{D2D8401F-748E-4A27-B52D-7450C02B8A12}"/>
    <cellStyle name="Input [yellow] 3 2 18 2" xfId="11453" xr:uid="{51C9F03D-B70B-428C-A1BC-0A79373F850C}"/>
    <cellStyle name="Input [yellow] 3 2 18 2 2" xfId="23132" xr:uid="{D0DCF7F9-E1E6-46E7-86F3-C9FDF7722D7E}"/>
    <cellStyle name="Input [yellow] 3 2 18 2 3" xfId="23133" xr:uid="{C2BAD27D-FFC0-4BAF-97A8-3EC7F61B73DD}"/>
    <cellStyle name="Input [yellow] 3 2 18 2 4" xfId="23134" xr:uid="{E400702A-88AD-4D5F-92C8-613DF6845473}"/>
    <cellStyle name="Input [yellow] 3 2 18 2 5" xfId="23135" xr:uid="{C885B2A0-AE4E-4379-B55D-2AB605D75CBB}"/>
    <cellStyle name="Input [yellow] 3 2 18 2 6" xfId="23136" xr:uid="{6BD99F4C-ED9D-4D32-A216-7EBEE101D166}"/>
    <cellStyle name="Input [yellow] 3 2 18 3" xfId="23137" xr:uid="{180797C7-E7FC-4461-A7EC-8BE4EB0F0BDB}"/>
    <cellStyle name="Input [yellow] 3 2 18 4" xfId="23138" xr:uid="{CCBB6A42-929E-4EE5-B8A4-C7DC8D212ADC}"/>
    <cellStyle name="Input [yellow] 3 2 18 5" xfId="23139" xr:uid="{5D0B0784-4E5D-403C-B950-83A78A4B8004}"/>
    <cellStyle name="Input [yellow] 3 2 18 6" xfId="23140" xr:uid="{6FF5D997-84C1-44BD-AFF5-C8B9B680D4C6}"/>
    <cellStyle name="Input [yellow] 3 2 18 7" xfId="23141" xr:uid="{D98500E6-CBDD-4E61-83EA-083CF07A6537}"/>
    <cellStyle name="Input [yellow] 3 2 19" xfId="1197" xr:uid="{84C42E97-6DFD-4097-B49B-8781822206E5}"/>
    <cellStyle name="Input [yellow] 3 2 19 2" xfId="11540" xr:uid="{4F3411BB-946D-439F-81B9-9EFB9048B413}"/>
    <cellStyle name="Input [yellow] 3 2 19 2 2" xfId="23142" xr:uid="{84AAEC0F-533B-470E-A90E-FD66F1E3E465}"/>
    <cellStyle name="Input [yellow] 3 2 19 2 3" xfId="23143" xr:uid="{C18462B2-B10C-4BA3-A5D9-94244853D58C}"/>
    <cellStyle name="Input [yellow] 3 2 19 2 4" xfId="23144" xr:uid="{95DA7267-792C-468A-A7E8-0DA8DF91113B}"/>
    <cellStyle name="Input [yellow] 3 2 19 2 5" xfId="23145" xr:uid="{DE448762-83C3-4F1C-B68A-B253BF873465}"/>
    <cellStyle name="Input [yellow] 3 2 19 2 6" xfId="23146" xr:uid="{4249D7E8-B91B-41F9-92A7-F627232E648E}"/>
    <cellStyle name="Input [yellow] 3 2 19 3" xfId="23147" xr:uid="{D3C5EACE-44F2-4787-8C69-BAF622100C69}"/>
    <cellStyle name="Input [yellow] 3 2 19 4" xfId="23148" xr:uid="{A6D1A0E7-2E4A-49F7-970F-EA35CA951D20}"/>
    <cellStyle name="Input [yellow] 3 2 19 5" xfId="23149" xr:uid="{3FE35141-9D85-4772-B23C-C16F0AD4B699}"/>
    <cellStyle name="Input [yellow] 3 2 19 6" xfId="23150" xr:uid="{9F7F43A0-B375-40EC-9B25-3C8E3FC78594}"/>
    <cellStyle name="Input [yellow] 3 2 19 7" xfId="23151" xr:uid="{CA69F828-09C6-448D-B4EE-8DAF2BF2F1D9}"/>
    <cellStyle name="Input [yellow] 3 2 2" xfId="1198" xr:uid="{EC3A460D-6632-4F17-98ED-D70DAD51DC5A}"/>
    <cellStyle name="Input [yellow] 3 2 2 2" xfId="10047" xr:uid="{0EB9EEB7-510F-4354-ADE1-A823A2B442FF}"/>
    <cellStyle name="Input [yellow] 3 2 2 2 2" xfId="23152" xr:uid="{9E1F9038-8C96-4164-8F74-1FE5FA17602E}"/>
    <cellStyle name="Input [yellow] 3 2 2 2 3" xfId="23153" xr:uid="{B9113202-E88D-4691-AC5F-CE93F3BBBFB1}"/>
    <cellStyle name="Input [yellow] 3 2 2 2 4" xfId="23154" xr:uid="{DB6E11AA-BBC9-4027-A504-DA91F9275404}"/>
    <cellStyle name="Input [yellow] 3 2 2 2 5" xfId="23155" xr:uid="{D1B2F19A-CE98-45FC-A0AF-5F2C37574609}"/>
    <cellStyle name="Input [yellow] 3 2 2 2 6" xfId="23156" xr:uid="{68B97205-546C-4D3F-9358-B7C58191C19F}"/>
    <cellStyle name="Input [yellow] 3 2 2 3" xfId="23157" xr:uid="{D1DB506A-FF86-4463-87C2-F7C9F5C59A26}"/>
    <cellStyle name="Input [yellow] 3 2 2 4" xfId="23158" xr:uid="{24FDA6C8-D2E1-4BB4-AED8-3596DAE43A94}"/>
    <cellStyle name="Input [yellow] 3 2 2 5" xfId="23159" xr:uid="{76DC5175-0A64-47E8-B317-06E17B03A1CD}"/>
    <cellStyle name="Input [yellow] 3 2 2 6" xfId="23160" xr:uid="{D8F4297C-540A-4EB6-B678-DF264420A5DD}"/>
    <cellStyle name="Input [yellow] 3 2 2 7" xfId="23161" xr:uid="{5CD02B85-1B32-4DC7-BAD0-A4492CC25201}"/>
    <cellStyle name="Input [yellow] 3 2 20" xfId="1199" xr:uid="{7E651281-8375-4399-BCCC-0A93F99E8AA7}"/>
    <cellStyle name="Input [yellow] 3 2 20 2" xfId="11628" xr:uid="{6092591B-39C3-4CF5-8A64-3D825C56199D}"/>
    <cellStyle name="Input [yellow] 3 2 20 2 2" xfId="23162" xr:uid="{A3B6CD40-6B7F-4748-841E-6FCAADD1F87B}"/>
    <cellStyle name="Input [yellow] 3 2 20 2 3" xfId="23163" xr:uid="{2A7920D4-825A-41C7-BFBC-D17AEC9F50D1}"/>
    <cellStyle name="Input [yellow] 3 2 20 2 4" xfId="23164" xr:uid="{D6F55D9E-CF5E-4AF4-8821-EE272D3D059E}"/>
    <cellStyle name="Input [yellow] 3 2 20 2 5" xfId="23165" xr:uid="{BEFE3072-82EA-4DB4-8C4D-25EFCAEFA051}"/>
    <cellStyle name="Input [yellow] 3 2 20 2 6" xfId="23166" xr:uid="{649CB44F-E8A6-4378-85DF-7D939A0340A3}"/>
    <cellStyle name="Input [yellow] 3 2 20 3" xfId="23167" xr:uid="{6A1CF580-88C3-4B3A-A45B-7B54810E846A}"/>
    <cellStyle name="Input [yellow] 3 2 20 4" xfId="23168" xr:uid="{B63B177C-0A50-462C-AD72-383A9F13A086}"/>
    <cellStyle name="Input [yellow] 3 2 20 5" xfId="23169" xr:uid="{B8DB2CBA-B52C-4FE6-B28B-03D95A8E1FA9}"/>
    <cellStyle name="Input [yellow] 3 2 20 6" xfId="23170" xr:uid="{939A004B-5413-4FA3-BCF0-6F33991FAEE4}"/>
    <cellStyle name="Input [yellow] 3 2 20 7" xfId="23171" xr:uid="{FFD76D0C-B0A2-44B2-9ED4-DF8385033578}"/>
    <cellStyle name="Input [yellow] 3 2 21" xfId="1200" xr:uid="{822DA729-75DC-4A0B-A691-861B4B9381E5}"/>
    <cellStyle name="Input [yellow] 3 2 21 2" xfId="11712" xr:uid="{E1FD0B2D-4D51-4AF0-A676-A6BA8B3BA718}"/>
    <cellStyle name="Input [yellow] 3 2 21 2 2" xfId="23172" xr:uid="{EDF0EDF8-2FBD-4705-9B8A-59244DB0DEB8}"/>
    <cellStyle name="Input [yellow] 3 2 21 2 3" xfId="23173" xr:uid="{590B2292-EFC9-4387-9C8C-9DC0A0785381}"/>
    <cellStyle name="Input [yellow] 3 2 21 2 4" xfId="23174" xr:uid="{819425D5-3C1C-43F2-965B-A23BCF46FAA0}"/>
    <cellStyle name="Input [yellow] 3 2 21 2 5" xfId="23175" xr:uid="{96DBF210-38A1-4449-9B94-C82E441097D1}"/>
    <cellStyle name="Input [yellow] 3 2 21 2 6" xfId="23176" xr:uid="{3480C7F6-2C1C-4732-9B64-3B197926049E}"/>
    <cellStyle name="Input [yellow] 3 2 21 3" xfId="23177" xr:uid="{58AC5BFA-9871-4978-8934-31FA420FBC1E}"/>
    <cellStyle name="Input [yellow] 3 2 21 4" xfId="23178" xr:uid="{18B074B5-657C-46F5-9F87-F47ADA286769}"/>
    <cellStyle name="Input [yellow] 3 2 21 5" xfId="23179" xr:uid="{2CCDBE2D-D201-4A37-A6E2-0DAE3F0BA43F}"/>
    <cellStyle name="Input [yellow] 3 2 21 6" xfId="23180" xr:uid="{63787393-58E6-418A-A6B5-338D0F685523}"/>
    <cellStyle name="Input [yellow] 3 2 21 7" xfId="23181" xr:uid="{62540FF2-2758-40E1-BA5A-D22548FF6693}"/>
    <cellStyle name="Input [yellow] 3 2 22" xfId="1201" xr:uid="{3425CA67-F431-42D4-BD69-B39D753940CB}"/>
    <cellStyle name="Input [yellow] 3 2 22 2" xfId="11795" xr:uid="{39726D07-1DF9-4E1B-8458-D131E1AAC052}"/>
    <cellStyle name="Input [yellow] 3 2 22 2 2" xfId="23182" xr:uid="{1A778850-F4A2-4799-BCD9-52BE44BE9B21}"/>
    <cellStyle name="Input [yellow] 3 2 22 2 3" xfId="23183" xr:uid="{52C0E8F0-4817-44CC-8D1A-F63D781C22CC}"/>
    <cellStyle name="Input [yellow] 3 2 22 2 4" xfId="23184" xr:uid="{14E68CFE-2733-4852-ABEB-C58C65C38B49}"/>
    <cellStyle name="Input [yellow] 3 2 22 2 5" xfId="23185" xr:uid="{5B8A6221-3C8A-41B3-AC99-35E017CF7EE1}"/>
    <cellStyle name="Input [yellow] 3 2 22 2 6" xfId="23186" xr:uid="{B992CD9B-E94C-4044-B1FA-7D179FA13BE3}"/>
    <cellStyle name="Input [yellow] 3 2 22 3" xfId="23187" xr:uid="{BB3AFDBB-4866-4BF3-AC46-C77FB6C8D314}"/>
    <cellStyle name="Input [yellow] 3 2 22 4" xfId="23188" xr:uid="{9263DDE0-918E-4A99-832E-66ADC0DCDA45}"/>
    <cellStyle name="Input [yellow] 3 2 22 5" xfId="23189" xr:uid="{41B9BDEB-E829-4653-91B8-2B8F6EAAD490}"/>
    <cellStyle name="Input [yellow] 3 2 22 6" xfId="23190" xr:uid="{ED961CA9-CA84-400A-BAD1-33B7D1C0A37C}"/>
    <cellStyle name="Input [yellow] 3 2 22 7" xfId="23191" xr:uid="{5CF71F6A-C4B9-4275-A687-9550C2EBD974}"/>
    <cellStyle name="Input [yellow] 3 2 23" xfId="1202" xr:uid="{C7AE0507-F3EC-4247-91D3-BD7EC1F97599}"/>
    <cellStyle name="Input [yellow] 3 2 23 2" xfId="11878" xr:uid="{551DC57E-6FF6-4A30-8583-07E004B6FF24}"/>
    <cellStyle name="Input [yellow] 3 2 23 2 2" xfId="23192" xr:uid="{0AF446CF-09B7-4A6F-8387-FCD2AF9D0CE1}"/>
    <cellStyle name="Input [yellow] 3 2 23 2 3" xfId="23193" xr:uid="{B7BC7D14-1A0B-4BCE-9421-38AFBAAE00E9}"/>
    <cellStyle name="Input [yellow] 3 2 23 2 4" xfId="23194" xr:uid="{25303FA7-50C1-4666-8D13-AEC0F80F5EB2}"/>
    <cellStyle name="Input [yellow] 3 2 23 2 5" xfId="23195" xr:uid="{C6979E29-130F-45B9-8180-9C8B11569662}"/>
    <cellStyle name="Input [yellow] 3 2 23 2 6" xfId="23196" xr:uid="{1B40D3D7-36FD-4507-AF9F-6589430E715D}"/>
    <cellStyle name="Input [yellow] 3 2 23 3" xfId="23197" xr:uid="{C19A3DE6-3642-4919-8C56-0CE66FAC3BB5}"/>
    <cellStyle name="Input [yellow] 3 2 23 4" xfId="23198" xr:uid="{EE5D8815-DDC0-48F9-9130-52F600EDA6DE}"/>
    <cellStyle name="Input [yellow] 3 2 23 5" xfId="23199" xr:uid="{ADB6479E-41CA-4AA7-BEA8-78ECD1481FCC}"/>
    <cellStyle name="Input [yellow] 3 2 23 6" xfId="23200" xr:uid="{E9D567F5-B49F-4789-AFA7-04E8D9E73A13}"/>
    <cellStyle name="Input [yellow] 3 2 23 7" xfId="23201" xr:uid="{04B59E86-7403-4856-908B-7ABD07B91C89}"/>
    <cellStyle name="Input [yellow] 3 2 24" xfId="1203" xr:uid="{380312D4-34F6-4E39-A16E-F311ADDB2041}"/>
    <cellStyle name="Input [yellow] 3 2 24 2" xfId="11962" xr:uid="{D1A878C7-9E52-48FC-B6F0-FAE94D49D388}"/>
    <cellStyle name="Input [yellow] 3 2 24 2 2" xfId="23202" xr:uid="{7C529C86-24D9-4B7F-B70A-3A887D32C66D}"/>
    <cellStyle name="Input [yellow] 3 2 24 2 3" xfId="23203" xr:uid="{B580A7ED-D1FC-415B-8805-B3FFB03A06B4}"/>
    <cellStyle name="Input [yellow] 3 2 24 2 4" xfId="23204" xr:uid="{858B9C70-AC4C-4AE7-A399-8419439DABF4}"/>
    <cellStyle name="Input [yellow] 3 2 24 2 5" xfId="23205" xr:uid="{613BCBA6-9B52-47D8-B229-7358778C4FDC}"/>
    <cellStyle name="Input [yellow] 3 2 24 2 6" xfId="23206" xr:uid="{4DE74690-E59E-4953-909E-603914816111}"/>
    <cellStyle name="Input [yellow] 3 2 24 3" xfId="23207" xr:uid="{403A459F-10C2-4890-84B7-2EA9DBC37B37}"/>
    <cellStyle name="Input [yellow] 3 2 24 4" xfId="23208" xr:uid="{BB0C67A6-B612-45CE-9C37-F6E61C4F95EB}"/>
    <cellStyle name="Input [yellow] 3 2 24 5" xfId="23209" xr:uid="{B0FA5AB9-3CF7-4F76-8AE6-651CABEDDBE3}"/>
    <cellStyle name="Input [yellow] 3 2 24 6" xfId="23210" xr:uid="{75415B22-6419-4F19-95E1-E63073CA98F9}"/>
    <cellStyle name="Input [yellow] 3 2 24 7" xfId="23211" xr:uid="{5C8BCEA9-B10A-4F98-8E5D-D0DE388B6741}"/>
    <cellStyle name="Input [yellow] 3 2 25" xfId="1204" xr:uid="{A4FAE467-3377-40FB-94A2-B8654A88DBEF}"/>
    <cellStyle name="Input [yellow] 3 2 25 2" xfId="12045" xr:uid="{998B53E1-D575-4700-AE6D-B70FB407123E}"/>
    <cellStyle name="Input [yellow] 3 2 25 2 2" xfId="23212" xr:uid="{B776BCD0-66E2-4BAB-8AC6-71E5DFB2EC52}"/>
    <cellStyle name="Input [yellow] 3 2 25 2 3" xfId="23213" xr:uid="{EEABB6F4-B1DE-4F1E-B00C-2C3A90811C94}"/>
    <cellStyle name="Input [yellow] 3 2 25 2 4" xfId="23214" xr:uid="{B986E722-AA08-4D74-9E2A-E18C19C2EE33}"/>
    <cellStyle name="Input [yellow] 3 2 25 2 5" xfId="23215" xr:uid="{65ADF052-E534-4FDC-87E8-458BDAE11A57}"/>
    <cellStyle name="Input [yellow] 3 2 25 2 6" xfId="23216" xr:uid="{F7DE912E-9AD3-4A7E-8F52-9477A21BEDBB}"/>
    <cellStyle name="Input [yellow] 3 2 25 3" xfId="23217" xr:uid="{366F04B3-054E-46C4-8499-EC15B42D5E7B}"/>
    <cellStyle name="Input [yellow] 3 2 25 4" xfId="23218" xr:uid="{817C61B6-96C4-490A-BA05-CC6A18A82103}"/>
    <cellStyle name="Input [yellow] 3 2 25 5" xfId="23219" xr:uid="{CED39981-0104-4BFE-8456-2028C899BC02}"/>
    <cellStyle name="Input [yellow] 3 2 25 6" xfId="23220" xr:uid="{BE4EC5BF-6DA6-4B5A-BE6E-9CA7D40FC996}"/>
    <cellStyle name="Input [yellow] 3 2 25 7" xfId="23221" xr:uid="{7F66F308-C747-4C82-A138-D7EABF400B28}"/>
    <cellStyle name="Input [yellow] 3 2 26" xfId="1205" xr:uid="{2AA74606-20D7-4F42-8F4F-341ABAD691E7}"/>
    <cellStyle name="Input [yellow] 3 2 26 2" xfId="12128" xr:uid="{D1B23091-4340-4AF1-B3FF-090FCA37EBDA}"/>
    <cellStyle name="Input [yellow] 3 2 26 2 2" xfId="23222" xr:uid="{653117A5-7FB0-4AAF-95FB-C295AB48D7D7}"/>
    <cellStyle name="Input [yellow] 3 2 26 2 3" xfId="23223" xr:uid="{1ED3A571-E8F0-43DD-BEDE-D942889094BC}"/>
    <cellStyle name="Input [yellow] 3 2 26 2 4" xfId="23224" xr:uid="{50E5BC24-FCEE-4BA2-894A-98FC8E3D81BC}"/>
    <cellStyle name="Input [yellow] 3 2 26 2 5" xfId="23225" xr:uid="{49DEE601-8BF2-4877-B364-EDA01FFB3A1A}"/>
    <cellStyle name="Input [yellow] 3 2 26 2 6" xfId="23226" xr:uid="{90DEF2D1-7884-42B6-836C-A5DB3188E1A8}"/>
    <cellStyle name="Input [yellow] 3 2 26 3" xfId="23227" xr:uid="{B3C4E550-7E6F-4ADC-AF35-240DB34D72F8}"/>
    <cellStyle name="Input [yellow] 3 2 26 4" xfId="23228" xr:uid="{F198B4A9-FCC3-4D15-9130-27CEE042120E}"/>
    <cellStyle name="Input [yellow] 3 2 26 5" xfId="23229" xr:uid="{CBEB9F16-73B0-4D3B-AD31-AC0465F6017C}"/>
    <cellStyle name="Input [yellow] 3 2 26 6" xfId="23230" xr:uid="{AC23C1A4-BF08-4F31-922C-0CB3A850DA34}"/>
    <cellStyle name="Input [yellow] 3 2 26 7" xfId="23231" xr:uid="{ADBCD94B-3BE9-4A75-AB88-A20FFAF14755}"/>
    <cellStyle name="Input [yellow] 3 2 27" xfId="1206" xr:uid="{EAE7EC50-9256-4CD9-900A-816BCDA3290E}"/>
    <cellStyle name="Input [yellow] 3 2 27 2" xfId="12210" xr:uid="{164E1B39-630B-467C-BF0E-9587262B5F3E}"/>
    <cellStyle name="Input [yellow] 3 2 27 2 2" xfId="23232" xr:uid="{6DD7F00F-1F3F-475E-B431-28524EDDF687}"/>
    <cellStyle name="Input [yellow] 3 2 27 2 3" xfId="23233" xr:uid="{1DBA6F41-3567-4179-81DB-EAD36A16419A}"/>
    <cellStyle name="Input [yellow] 3 2 27 2 4" xfId="23234" xr:uid="{91F7076D-94D2-4434-8B4E-259652D8F629}"/>
    <cellStyle name="Input [yellow] 3 2 27 2 5" xfId="23235" xr:uid="{9EC69FF1-11E0-4475-82A8-166605252E5D}"/>
    <cellStyle name="Input [yellow] 3 2 27 2 6" xfId="23236" xr:uid="{BD31B449-A5A9-466C-A35B-BEEBA16C4E26}"/>
    <cellStyle name="Input [yellow] 3 2 27 3" xfId="23237" xr:uid="{B3FF4909-7695-4AEC-899D-8F1382AD014C}"/>
    <cellStyle name="Input [yellow] 3 2 27 4" xfId="23238" xr:uid="{D4CBDE7F-2D77-4E33-9EDA-01583D280951}"/>
    <cellStyle name="Input [yellow] 3 2 27 5" xfId="23239" xr:uid="{7C984A37-1511-4687-A2B4-A954C5DEE797}"/>
    <cellStyle name="Input [yellow] 3 2 27 6" xfId="23240" xr:uid="{AED145E4-FC03-4952-9D01-C60CCBDBA8DD}"/>
    <cellStyle name="Input [yellow] 3 2 27 7" xfId="23241" xr:uid="{F4D35BE1-872E-49DB-AAC3-2FED3B98AA85}"/>
    <cellStyle name="Input [yellow] 3 2 28" xfId="1207" xr:uid="{9C6E2DDB-F82F-48DB-BEFA-91C5703041DC}"/>
    <cellStyle name="Input [yellow] 3 2 28 2" xfId="12290" xr:uid="{50D97EAC-3292-4B97-BE94-3EB73193D337}"/>
    <cellStyle name="Input [yellow] 3 2 28 2 2" xfId="23242" xr:uid="{EADDE368-B17F-4A23-AB09-E6A51853D2F9}"/>
    <cellStyle name="Input [yellow] 3 2 28 2 3" xfId="23243" xr:uid="{5699E4BE-EFBF-4F2C-803C-8D66B0B22AF4}"/>
    <cellStyle name="Input [yellow] 3 2 28 2 4" xfId="23244" xr:uid="{5E6D14F0-AF36-44CB-9BBB-B2E7E2C25320}"/>
    <cellStyle name="Input [yellow] 3 2 28 2 5" xfId="23245" xr:uid="{FADFF6E2-541F-497F-A2E9-33CBAE0AA4C5}"/>
    <cellStyle name="Input [yellow] 3 2 28 2 6" xfId="23246" xr:uid="{AA65E764-BC01-4237-85FC-EDABCB05CBE1}"/>
    <cellStyle name="Input [yellow] 3 2 28 3" xfId="23247" xr:uid="{D5146BF8-8416-49D3-8E83-578B7A85933F}"/>
    <cellStyle name="Input [yellow] 3 2 28 4" xfId="23248" xr:uid="{CEBAC3A2-5A04-40BD-9467-87094CE56B91}"/>
    <cellStyle name="Input [yellow] 3 2 28 5" xfId="23249" xr:uid="{48778C7B-266B-433B-A8E5-98802A6166B0}"/>
    <cellStyle name="Input [yellow] 3 2 28 6" xfId="23250" xr:uid="{896DAE19-3D0E-44B6-BA88-E23E5C655B75}"/>
    <cellStyle name="Input [yellow] 3 2 28 7" xfId="23251" xr:uid="{450CA330-D568-4D25-B511-1316CB1A32A9}"/>
    <cellStyle name="Input [yellow] 3 2 29" xfId="1208" xr:uid="{E841B916-683C-43F8-BABA-65AC566B1154}"/>
    <cellStyle name="Input [yellow] 3 2 29 2" xfId="12368" xr:uid="{1A9ED4CA-2DB8-4CEB-A0D8-6A593AACC085}"/>
    <cellStyle name="Input [yellow] 3 2 29 2 2" xfId="23252" xr:uid="{5926F725-5A9D-455F-9E09-094771329822}"/>
    <cellStyle name="Input [yellow] 3 2 29 2 3" xfId="23253" xr:uid="{B3003016-6AC6-41C6-BFD8-E62140B5E261}"/>
    <cellStyle name="Input [yellow] 3 2 29 2 4" xfId="23254" xr:uid="{2D6A43C4-54F7-46D9-B28C-D3E52C4B565A}"/>
    <cellStyle name="Input [yellow] 3 2 29 2 5" xfId="23255" xr:uid="{9F54B676-7153-4250-967E-4EACB42A94D5}"/>
    <cellStyle name="Input [yellow] 3 2 29 2 6" xfId="23256" xr:uid="{88C17501-390C-47F6-8AE0-6C109F999CC2}"/>
    <cellStyle name="Input [yellow] 3 2 29 3" xfId="23257" xr:uid="{468EBE34-2867-4ED8-A588-459B7829AAD4}"/>
    <cellStyle name="Input [yellow] 3 2 29 4" xfId="23258" xr:uid="{76092FE7-9352-485E-8B14-08C99804E508}"/>
    <cellStyle name="Input [yellow] 3 2 29 5" xfId="23259" xr:uid="{D56737DD-6F88-4F73-9E32-589D5568FF6C}"/>
    <cellStyle name="Input [yellow] 3 2 29 6" xfId="23260" xr:uid="{191C11B7-F798-4826-A759-CB8CBFEFFD2F}"/>
    <cellStyle name="Input [yellow] 3 2 29 7" xfId="23261" xr:uid="{8D4B634E-E1EA-403F-A1BA-7858F0C19B32}"/>
    <cellStyle name="Input [yellow] 3 2 3" xfId="1209" xr:uid="{946D2BC4-749A-48B5-86E8-B5EC8FB07F5E}"/>
    <cellStyle name="Input [yellow] 3 2 3 2" xfId="10138" xr:uid="{3C4C66B6-89A4-4125-AA4D-9BAAF6534324}"/>
    <cellStyle name="Input [yellow] 3 2 3 2 2" xfId="23262" xr:uid="{603E254A-7F50-4602-8E24-383AED250F59}"/>
    <cellStyle name="Input [yellow] 3 2 3 2 3" xfId="23263" xr:uid="{ADDFF29F-EE90-4EA9-93C9-C540F8109FF3}"/>
    <cellStyle name="Input [yellow] 3 2 3 2 4" xfId="23264" xr:uid="{0D299AF2-33F2-49F7-BF7A-4BF23FF35C5E}"/>
    <cellStyle name="Input [yellow] 3 2 3 2 5" xfId="23265" xr:uid="{31124BDB-D99A-43EC-B41E-CCC75F01EEB1}"/>
    <cellStyle name="Input [yellow] 3 2 3 2 6" xfId="23266" xr:uid="{4C09B789-02C0-4C49-BE2E-975B65A8EF6A}"/>
    <cellStyle name="Input [yellow] 3 2 3 3" xfId="23267" xr:uid="{B8665AA4-76AE-4925-B39E-A0D3801F8E6F}"/>
    <cellStyle name="Input [yellow] 3 2 3 4" xfId="23268" xr:uid="{F225D8BA-BAC7-4D3F-BE22-74CE47B3861A}"/>
    <cellStyle name="Input [yellow] 3 2 3 5" xfId="23269" xr:uid="{2C463F17-6A61-4819-8968-EAFFB2AC5221}"/>
    <cellStyle name="Input [yellow] 3 2 3 6" xfId="23270" xr:uid="{65CAD34E-2238-4563-AF41-908B0F939115}"/>
    <cellStyle name="Input [yellow] 3 2 3 7" xfId="23271" xr:uid="{0FBE67DF-6780-4C19-9ACD-EEC6B0953025}"/>
    <cellStyle name="Input [yellow] 3 2 30" xfId="1210" xr:uid="{90FAF387-0B8D-416D-B06E-4D1A011C0FEF}"/>
    <cellStyle name="Input [yellow] 3 2 30 2" xfId="12447" xr:uid="{70D86B3A-68B3-4206-A76B-71DDE4FDF559}"/>
    <cellStyle name="Input [yellow] 3 2 30 2 2" xfId="23272" xr:uid="{59A2AF8E-4DBF-439F-A38B-1156BEB4A9A0}"/>
    <cellStyle name="Input [yellow] 3 2 30 2 3" xfId="23273" xr:uid="{EDC30243-10CD-4151-BE3B-282453695BE3}"/>
    <cellStyle name="Input [yellow] 3 2 30 2 4" xfId="23274" xr:uid="{656FBA58-8340-418E-B713-68060B07B427}"/>
    <cellStyle name="Input [yellow] 3 2 30 2 5" xfId="23275" xr:uid="{CDAE40B2-7DA6-4A39-B8DE-ABA4AD1C01B0}"/>
    <cellStyle name="Input [yellow] 3 2 30 2 6" xfId="23276" xr:uid="{A69B150D-7032-4C81-92B0-122310C531B8}"/>
    <cellStyle name="Input [yellow] 3 2 30 3" xfId="23277" xr:uid="{72B1AA19-C2A5-4CF0-B539-4149695F87AB}"/>
    <cellStyle name="Input [yellow] 3 2 30 4" xfId="23278" xr:uid="{17412021-4F2C-4C07-B105-F45F927F6F4A}"/>
    <cellStyle name="Input [yellow] 3 2 30 5" xfId="23279" xr:uid="{A2C38593-215A-4DEB-BD80-B0FB9D9E2ED8}"/>
    <cellStyle name="Input [yellow] 3 2 30 6" xfId="23280" xr:uid="{7716D5DC-8C35-4DEA-BE00-6CF65B6EC1EC}"/>
    <cellStyle name="Input [yellow] 3 2 30 7" xfId="23281" xr:uid="{41034DE3-32F0-4B0B-89F9-9D9DE92A91E0}"/>
    <cellStyle name="Input [yellow] 3 2 31" xfId="1211" xr:uid="{CAA8E7DF-AED4-4919-AC39-FCE867847F32}"/>
    <cellStyle name="Input [yellow] 3 2 31 2" xfId="12526" xr:uid="{E05F3EDF-B672-4B3A-A6B3-417EB7E324EC}"/>
    <cellStyle name="Input [yellow] 3 2 31 2 2" xfId="23282" xr:uid="{BBBBC0A1-AB3E-41D7-AE7D-65D63962EFA2}"/>
    <cellStyle name="Input [yellow] 3 2 31 2 3" xfId="23283" xr:uid="{BA0614D2-7B94-4622-A616-1E18C3E2BF9A}"/>
    <cellStyle name="Input [yellow] 3 2 31 2 4" xfId="23284" xr:uid="{B644EC4B-CD71-49EE-8A56-7F1B6BDC30F6}"/>
    <cellStyle name="Input [yellow] 3 2 31 2 5" xfId="23285" xr:uid="{E446CB2D-AB93-4B39-807A-B0CEF29E8645}"/>
    <cellStyle name="Input [yellow] 3 2 31 2 6" xfId="23286" xr:uid="{C5A8CAFB-ABBB-4BDD-B183-E2BFA031D757}"/>
    <cellStyle name="Input [yellow] 3 2 31 3" xfId="23287" xr:uid="{0982A3AE-95A1-4D0B-8BC7-A0CA02C6E99C}"/>
    <cellStyle name="Input [yellow] 3 2 31 4" xfId="23288" xr:uid="{2086DD42-3628-4630-8C59-22CEF3E23B8C}"/>
    <cellStyle name="Input [yellow] 3 2 31 5" xfId="23289" xr:uid="{A1B1B8CC-330B-4782-956F-564980A40974}"/>
    <cellStyle name="Input [yellow] 3 2 31 6" xfId="23290" xr:uid="{96EC2068-746B-4217-832A-D6925F8394C9}"/>
    <cellStyle name="Input [yellow] 3 2 31 7" xfId="23291" xr:uid="{57D0DA4F-3386-4A4A-842D-E757AD30C7F4}"/>
    <cellStyle name="Input [yellow] 3 2 32" xfId="1212" xr:uid="{D084B603-FF3D-4B1F-A096-20120B59720A}"/>
    <cellStyle name="Input [yellow] 3 2 32 2" xfId="12605" xr:uid="{5B36F507-1195-4BB9-8947-CA617A74A02D}"/>
    <cellStyle name="Input [yellow] 3 2 32 2 2" xfId="23292" xr:uid="{52F9E857-4105-4512-BF69-3E32C1BA95CA}"/>
    <cellStyle name="Input [yellow] 3 2 32 2 3" xfId="23293" xr:uid="{08592ACA-A0C3-4899-9559-A9F07AD931D2}"/>
    <cellStyle name="Input [yellow] 3 2 32 2 4" xfId="23294" xr:uid="{49D07D8C-1222-4159-B881-6E98F4635242}"/>
    <cellStyle name="Input [yellow] 3 2 32 2 5" xfId="23295" xr:uid="{96CCE62F-2442-48F5-8E73-608EC529C510}"/>
    <cellStyle name="Input [yellow] 3 2 32 2 6" xfId="23296" xr:uid="{B1A4A3AB-C044-4931-B52E-33EE82C4C0EE}"/>
    <cellStyle name="Input [yellow] 3 2 32 3" xfId="23297" xr:uid="{DA06FE86-4838-4BDC-8F9E-9A242E068B16}"/>
    <cellStyle name="Input [yellow] 3 2 32 4" xfId="23298" xr:uid="{1E62F105-9B05-45F4-87A4-8AAF759E74AF}"/>
    <cellStyle name="Input [yellow] 3 2 32 5" xfId="23299" xr:uid="{B0ED44D8-6AB2-4D4E-8033-B818973894C4}"/>
    <cellStyle name="Input [yellow] 3 2 32 6" xfId="23300" xr:uid="{62B2D2BB-184C-48D6-92CD-C32BCA53B693}"/>
    <cellStyle name="Input [yellow] 3 2 32 7" xfId="23301" xr:uid="{278A858E-4464-4AC8-8393-D5C96D30BE3B}"/>
    <cellStyle name="Input [yellow] 3 2 33" xfId="1213" xr:uid="{188C3C6C-2739-4841-A97A-9CD1D4B3A098}"/>
    <cellStyle name="Input [yellow] 3 2 33 2" xfId="12684" xr:uid="{DC809437-84F8-41DE-B885-7E7C5EB64B60}"/>
    <cellStyle name="Input [yellow] 3 2 33 2 2" xfId="23302" xr:uid="{1D964E58-0B18-445E-BC33-1F8744198841}"/>
    <cellStyle name="Input [yellow] 3 2 33 2 3" xfId="23303" xr:uid="{CA4EFAB3-9AB0-432C-B15E-D036E345EE11}"/>
    <cellStyle name="Input [yellow] 3 2 33 2 4" xfId="23304" xr:uid="{F4B3134A-C9D7-4AF2-A164-5139909EE127}"/>
    <cellStyle name="Input [yellow] 3 2 33 2 5" xfId="23305" xr:uid="{E261F9CE-AFCA-4214-85A8-A9A27D4A02D6}"/>
    <cellStyle name="Input [yellow] 3 2 33 2 6" xfId="23306" xr:uid="{46995F0C-7FF6-4060-8877-0863F607FF28}"/>
    <cellStyle name="Input [yellow] 3 2 33 3" xfId="23307" xr:uid="{13DDF4F6-B729-46C7-8B38-EDA093E8D6C3}"/>
    <cellStyle name="Input [yellow] 3 2 33 4" xfId="23308" xr:uid="{72D53BDF-A6AD-45D3-A7DB-37EE4505E48E}"/>
    <cellStyle name="Input [yellow] 3 2 33 5" xfId="23309" xr:uid="{D36FD82B-BCF3-48B9-A65D-F2949ED30FBF}"/>
    <cellStyle name="Input [yellow] 3 2 33 6" xfId="23310" xr:uid="{3A7718F9-635B-46AE-8692-4C7161A42555}"/>
    <cellStyle name="Input [yellow] 3 2 33 7" xfId="23311" xr:uid="{C5099AD7-ADD8-4288-BC62-7D9ECEA1220B}"/>
    <cellStyle name="Input [yellow] 3 2 34" xfId="1214" xr:uid="{74391543-6B6A-433E-9A39-50C2BA8F43CF}"/>
    <cellStyle name="Input [yellow] 3 2 34 2" xfId="12768" xr:uid="{2A89AE20-5CC7-45C6-925C-C1C274496969}"/>
    <cellStyle name="Input [yellow] 3 2 34 2 2" xfId="23312" xr:uid="{39F3BDE9-2964-4E31-BFA0-33E62529F176}"/>
    <cellStyle name="Input [yellow] 3 2 34 2 3" xfId="23313" xr:uid="{6423CB1C-55A6-4221-A894-6DE8F050AD4A}"/>
    <cellStyle name="Input [yellow] 3 2 34 2 4" xfId="23314" xr:uid="{07540649-4A62-49F4-90AE-2AA3295666E6}"/>
    <cellStyle name="Input [yellow] 3 2 34 2 5" xfId="23315" xr:uid="{E02DABC0-54DD-4527-83F9-985928E0639B}"/>
    <cellStyle name="Input [yellow] 3 2 34 2 6" xfId="23316" xr:uid="{C9925940-D3E6-41E4-8A7C-6515F452BD52}"/>
    <cellStyle name="Input [yellow] 3 2 34 3" xfId="23317" xr:uid="{30F483DB-0755-45AC-9A61-4C3ABD03E87B}"/>
    <cellStyle name="Input [yellow] 3 2 34 4" xfId="23318" xr:uid="{B8BACEC9-F6AD-44EC-816D-970439C1E95E}"/>
    <cellStyle name="Input [yellow] 3 2 34 5" xfId="23319" xr:uid="{8A87B19C-74F6-4D42-A311-B77AB0FE834C}"/>
    <cellStyle name="Input [yellow] 3 2 34 6" xfId="23320" xr:uid="{4881C911-BB37-41B8-ADE6-098684696322}"/>
    <cellStyle name="Input [yellow] 3 2 34 7" xfId="23321" xr:uid="{C9362008-20D8-4A29-A153-7F8DF9ECA59E}"/>
    <cellStyle name="Input [yellow] 3 2 35" xfId="9834" xr:uid="{D45FF313-ACF2-449E-8D43-BD45E741481C}"/>
    <cellStyle name="Input [yellow] 3 2 35 2" xfId="23322" xr:uid="{5C90D10F-E13E-4DD7-8F46-7070E0BD0B56}"/>
    <cellStyle name="Input [yellow] 3 2 35 3" xfId="23323" xr:uid="{071AE676-1D3A-4695-8C3A-0212262D6C84}"/>
    <cellStyle name="Input [yellow] 3 2 35 4" xfId="23324" xr:uid="{316AA1BB-FCF8-4471-BA54-2AAE6653CAC3}"/>
    <cellStyle name="Input [yellow] 3 2 35 5" xfId="23325" xr:uid="{E059C3AE-816D-4AE1-BDBB-D52199F5EA70}"/>
    <cellStyle name="Input [yellow] 3 2 35 6" xfId="23326" xr:uid="{626D7FAC-9839-46F5-82C9-2D51E7AAB859}"/>
    <cellStyle name="Input [yellow] 3 2 36" xfId="23327" xr:uid="{018E14E2-0574-40C0-B460-38CBFA0CB426}"/>
    <cellStyle name="Input [yellow] 3 2 37" xfId="23328" xr:uid="{0F137BD7-6763-4C37-9250-9F28B3580583}"/>
    <cellStyle name="Input [yellow] 3 2 38" xfId="23329" xr:uid="{927F79C5-BA68-4625-8B1D-44FE9294CB59}"/>
    <cellStyle name="Input [yellow] 3 2 39" xfId="23330" xr:uid="{636525F2-7226-4A6E-B50A-C85230A84401}"/>
    <cellStyle name="Input [yellow] 3 2 4" xfId="1215" xr:uid="{D09A1E15-84BD-463E-A62B-FFEDC302A688}"/>
    <cellStyle name="Input [yellow] 3 2 4 2" xfId="10228" xr:uid="{E94888EF-7D6A-4F42-8191-D3BB153C6A0E}"/>
    <cellStyle name="Input [yellow] 3 2 4 2 2" xfId="23331" xr:uid="{0A7A0D05-484E-4BF0-8F68-3BCD836FA31A}"/>
    <cellStyle name="Input [yellow] 3 2 4 2 3" xfId="23332" xr:uid="{954960BD-FA75-49BB-BAA4-EF99D1FB0AE6}"/>
    <cellStyle name="Input [yellow] 3 2 4 2 4" xfId="23333" xr:uid="{5FBFFC7B-BE4A-4061-8178-CC043283DF6E}"/>
    <cellStyle name="Input [yellow] 3 2 4 2 5" xfId="23334" xr:uid="{191260D9-4B4D-48C8-A92E-DD42790A1808}"/>
    <cellStyle name="Input [yellow] 3 2 4 2 6" xfId="23335" xr:uid="{52848B33-8EC7-45D5-B4BF-B10085788398}"/>
    <cellStyle name="Input [yellow] 3 2 4 3" xfId="23336" xr:uid="{D4284AF2-666C-4A73-88FE-4CBC62AC65FE}"/>
    <cellStyle name="Input [yellow] 3 2 4 4" xfId="23337" xr:uid="{B71A6181-33B7-457E-B901-905527F348D7}"/>
    <cellStyle name="Input [yellow] 3 2 4 5" xfId="23338" xr:uid="{46AC9A28-8D03-453D-A9D8-F34E5E66422B}"/>
    <cellStyle name="Input [yellow] 3 2 4 6" xfId="23339" xr:uid="{C1318668-D619-42B7-B1A1-93D14CBB6E25}"/>
    <cellStyle name="Input [yellow] 3 2 4 7" xfId="23340" xr:uid="{8323D2A4-F93E-41E1-89C2-F172D84F1911}"/>
    <cellStyle name="Input [yellow] 3 2 40" xfId="23341" xr:uid="{E26E9BC5-6A68-47C0-AC71-F9648A40D615}"/>
    <cellStyle name="Input [yellow] 3 2 5" xfId="1216" xr:uid="{4E431FF3-D00D-4655-BC7F-0EC8A7427363}"/>
    <cellStyle name="Input [yellow] 3 2 5 2" xfId="10314" xr:uid="{6431ACE4-A49C-4394-8CFE-959A7DC28EFF}"/>
    <cellStyle name="Input [yellow] 3 2 5 2 2" xfId="23342" xr:uid="{61FB38EC-691E-4DA3-84DF-CE74F33AF2EE}"/>
    <cellStyle name="Input [yellow] 3 2 5 2 3" xfId="23343" xr:uid="{69217AD4-5FBF-4102-924F-580D81C7624D}"/>
    <cellStyle name="Input [yellow] 3 2 5 2 4" xfId="23344" xr:uid="{7DD1228A-31FC-4C2C-8CF5-94D6125794E4}"/>
    <cellStyle name="Input [yellow] 3 2 5 2 5" xfId="23345" xr:uid="{312FEF1E-70AB-42E1-B2F3-9C78DF52A338}"/>
    <cellStyle name="Input [yellow] 3 2 5 2 6" xfId="23346" xr:uid="{14064712-3090-4B82-B255-66B124736BCE}"/>
    <cellStyle name="Input [yellow] 3 2 5 3" xfId="23347" xr:uid="{5A96B5DE-C6B6-4BC7-A2D9-E55CF90858AC}"/>
    <cellStyle name="Input [yellow] 3 2 5 4" xfId="23348" xr:uid="{1E79CCDC-4A8B-491F-858B-A692F9C5CF45}"/>
    <cellStyle name="Input [yellow] 3 2 5 5" xfId="23349" xr:uid="{F9706034-FBC5-4132-AB45-52D84EAA3771}"/>
    <cellStyle name="Input [yellow] 3 2 5 6" xfId="23350" xr:uid="{E5EBF84A-BB2D-4F9C-A481-BC8CF71627D0}"/>
    <cellStyle name="Input [yellow] 3 2 5 7" xfId="23351" xr:uid="{917BAD69-BE16-4FCA-A114-0F481902B17B}"/>
    <cellStyle name="Input [yellow] 3 2 6" xfId="1217" xr:uid="{C2E7BEE2-55C9-4E3A-B0EA-B92DD60C4B3C}"/>
    <cellStyle name="Input [yellow] 3 2 6 2" xfId="10402" xr:uid="{616F85DE-B7CA-4BC3-93C2-C64DD1A3F9A1}"/>
    <cellStyle name="Input [yellow] 3 2 6 2 2" xfId="23352" xr:uid="{E3948A5D-6129-4AD7-9F24-5703C587FA40}"/>
    <cellStyle name="Input [yellow] 3 2 6 2 3" xfId="23353" xr:uid="{DF3DA34A-DAFC-4EE4-AA18-A003AFF87ADC}"/>
    <cellStyle name="Input [yellow] 3 2 6 2 4" xfId="23354" xr:uid="{DE946B0D-1CB6-44B3-AD0F-563F165AC500}"/>
    <cellStyle name="Input [yellow] 3 2 6 2 5" xfId="23355" xr:uid="{13B7B886-4E2F-4601-815C-1E0177B3B2E1}"/>
    <cellStyle name="Input [yellow] 3 2 6 2 6" xfId="23356" xr:uid="{41FDCC48-0CB5-404F-B0BF-9924B29F50E3}"/>
    <cellStyle name="Input [yellow] 3 2 6 3" xfId="23357" xr:uid="{B85EBA0F-F6C7-4C0A-A63E-9D5EFDD232B8}"/>
    <cellStyle name="Input [yellow] 3 2 6 4" xfId="23358" xr:uid="{96DBEB83-02A7-4EE6-B207-C0E6C5ED3A07}"/>
    <cellStyle name="Input [yellow] 3 2 6 5" xfId="23359" xr:uid="{8EC53871-FB9A-4EBB-AE86-044ADABAE52E}"/>
    <cellStyle name="Input [yellow] 3 2 6 6" xfId="23360" xr:uid="{17DC3D3C-F27A-44D5-8546-F336A0364428}"/>
    <cellStyle name="Input [yellow] 3 2 6 7" xfId="23361" xr:uid="{EBEA1C0B-FE5A-4902-8800-9036A24F5DB4}"/>
    <cellStyle name="Input [yellow] 3 2 7" xfId="1218" xr:uid="{6351A160-099A-4636-AF9E-BFC47B7F9D55}"/>
    <cellStyle name="Input [yellow] 3 2 7 2" xfId="10489" xr:uid="{85763AE3-F6D6-4842-B5E3-923F364953A2}"/>
    <cellStyle name="Input [yellow] 3 2 7 2 2" xfId="23362" xr:uid="{02B7D89B-E5AC-4AA2-93F8-119A345AFB2F}"/>
    <cellStyle name="Input [yellow] 3 2 7 2 3" xfId="23363" xr:uid="{E97826C6-9664-41B3-BF75-2889715E2C0F}"/>
    <cellStyle name="Input [yellow] 3 2 7 2 4" xfId="23364" xr:uid="{9B706565-F23D-4703-A976-3B9C48797295}"/>
    <cellStyle name="Input [yellow] 3 2 7 2 5" xfId="23365" xr:uid="{49D496E8-42E8-4EFA-9596-8EDD9CEAB0FF}"/>
    <cellStyle name="Input [yellow] 3 2 7 2 6" xfId="23366" xr:uid="{BA614C2E-F68B-464C-B72D-8ADA91F46333}"/>
    <cellStyle name="Input [yellow] 3 2 7 3" xfId="23367" xr:uid="{263185B3-58BF-449B-860A-50630819AF8D}"/>
    <cellStyle name="Input [yellow] 3 2 7 4" xfId="23368" xr:uid="{D7AB07B7-4C91-4B1C-8322-4E850D94EC0E}"/>
    <cellStyle name="Input [yellow] 3 2 7 5" xfId="23369" xr:uid="{BF550A3B-DC6A-44DA-A826-585A437EBC54}"/>
    <cellStyle name="Input [yellow] 3 2 7 6" xfId="23370" xr:uid="{03AAAFE5-1673-4926-B02E-D6EFDE6E3BA0}"/>
    <cellStyle name="Input [yellow] 3 2 7 7" xfId="23371" xr:uid="{E7CAAA4E-AA82-42A9-A72F-2BBB1B14CB7C}"/>
    <cellStyle name="Input [yellow] 3 2 8" xfId="1219" xr:uid="{207C36E4-0757-4558-B2E5-36C47C51F8AB}"/>
    <cellStyle name="Input [yellow] 3 2 8 2" xfId="10577" xr:uid="{1E07385D-89E3-438E-AF33-1387118CC55A}"/>
    <cellStyle name="Input [yellow] 3 2 8 2 2" xfId="23372" xr:uid="{9613E17A-7D12-457B-833B-64AD84923032}"/>
    <cellStyle name="Input [yellow] 3 2 8 2 3" xfId="23373" xr:uid="{FD051DCA-E11E-4026-B776-E3F5A25269BA}"/>
    <cellStyle name="Input [yellow] 3 2 8 2 4" xfId="23374" xr:uid="{5C37731C-CA36-4AF3-88E8-996BAD80CA22}"/>
    <cellStyle name="Input [yellow] 3 2 8 2 5" xfId="23375" xr:uid="{288CC1A2-C801-4BE6-9EEC-B9851680162D}"/>
    <cellStyle name="Input [yellow] 3 2 8 2 6" xfId="23376" xr:uid="{CEA41119-E995-41BE-96D9-CD9011D8A1F6}"/>
    <cellStyle name="Input [yellow] 3 2 8 3" xfId="23377" xr:uid="{AB1C4330-2320-4261-BC9B-3ACDD7550E99}"/>
    <cellStyle name="Input [yellow] 3 2 8 4" xfId="23378" xr:uid="{18E93301-52E0-458A-A92E-186431E3303B}"/>
    <cellStyle name="Input [yellow] 3 2 8 5" xfId="23379" xr:uid="{BD42A0D1-2D6B-4C1C-BF49-3F1B3EB276DE}"/>
    <cellStyle name="Input [yellow] 3 2 8 6" xfId="23380" xr:uid="{FDDC52ED-3FD3-4984-AE59-85B5FAA61222}"/>
    <cellStyle name="Input [yellow] 3 2 8 7" xfId="23381" xr:uid="{DCD0E7E3-7479-41C6-9619-968AAAC634E9}"/>
    <cellStyle name="Input [yellow] 3 2 9" xfId="1220" xr:uid="{77CD8FA8-3C6F-453C-A191-A7DC4F31B7DE}"/>
    <cellStyle name="Input [yellow] 3 2 9 2" xfId="10659" xr:uid="{C262252A-C201-490D-AC4D-C2EB4FFE5DF4}"/>
    <cellStyle name="Input [yellow] 3 2 9 2 2" xfId="23382" xr:uid="{C4C8F5D2-6E50-4438-9F82-CF4BC18F1E19}"/>
    <cellStyle name="Input [yellow] 3 2 9 2 3" xfId="23383" xr:uid="{7CC8D39D-4B26-41ED-BE2C-2D58CBF0997A}"/>
    <cellStyle name="Input [yellow] 3 2 9 2 4" xfId="23384" xr:uid="{E900DE66-EF7C-426C-A079-4F3FB5708EFE}"/>
    <cellStyle name="Input [yellow] 3 2 9 2 5" xfId="23385" xr:uid="{BE6B4267-597C-49F0-99C4-855B85284854}"/>
    <cellStyle name="Input [yellow] 3 2 9 2 6" xfId="23386" xr:uid="{976DCBAF-B24B-497F-B83F-64E1D373DFE0}"/>
    <cellStyle name="Input [yellow] 3 2 9 3" xfId="23387" xr:uid="{74EF7E6D-D31D-428D-AD19-E5F9FDCE5176}"/>
    <cellStyle name="Input [yellow] 3 2 9 4" xfId="23388" xr:uid="{7E4EE595-E176-4694-B5D0-4CA33D339371}"/>
    <cellStyle name="Input [yellow] 3 2 9 5" xfId="23389" xr:uid="{DFC20EF8-FC1C-4ECF-857F-9BF0BFACE644}"/>
    <cellStyle name="Input [yellow] 3 2 9 6" xfId="23390" xr:uid="{CBC6BE55-7AC9-425B-814B-E2EB3933C53F}"/>
    <cellStyle name="Input [yellow] 3 2 9 7" xfId="23391" xr:uid="{39F32E9E-B281-48B3-A382-5520ED303DEA}"/>
    <cellStyle name="Input [yellow] 3 20" xfId="1221" xr:uid="{770C683F-13B6-4236-AAD7-5745B03BF47F}"/>
    <cellStyle name="Input [yellow] 3 20 2" xfId="11506" xr:uid="{D1047138-8F9D-4C96-B10E-96E6172EAE12}"/>
    <cellStyle name="Input [yellow] 3 20 2 2" xfId="23392" xr:uid="{CB9DC20E-34F1-4E2F-A1A8-C0A3F918CD93}"/>
    <cellStyle name="Input [yellow] 3 20 2 3" xfId="23393" xr:uid="{833AB05B-80AA-414B-BA4A-FAF9143D481C}"/>
    <cellStyle name="Input [yellow] 3 20 2 4" xfId="23394" xr:uid="{EC65ED0F-BBDD-4C65-B4FF-83D2A9871940}"/>
    <cellStyle name="Input [yellow] 3 20 2 5" xfId="23395" xr:uid="{98D8EF84-8D3D-470B-BBA4-88356378EC99}"/>
    <cellStyle name="Input [yellow] 3 20 2 6" xfId="23396" xr:uid="{7BA4AD19-4D79-4300-91C8-7E2AB7CBC9A4}"/>
    <cellStyle name="Input [yellow] 3 20 3" xfId="23397" xr:uid="{625AB89B-920B-4304-9EE4-440F4200FCFB}"/>
    <cellStyle name="Input [yellow] 3 20 4" xfId="23398" xr:uid="{C1BDE32B-794C-4125-802E-214833287898}"/>
    <cellStyle name="Input [yellow] 3 20 5" xfId="23399" xr:uid="{587C0730-62B7-4C2D-82BA-E637C8198EA7}"/>
    <cellStyle name="Input [yellow] 3 20 6" xfId="23400" xr:uid="{2DAF3393-D49E-4FEF-B9E1-B653A9B4A17D}"/>
    <cellStyle name="Input [yellow] 3 20 7" xfId="23401" xr:uid="{92354315-68E4-49BC-96CB-BA0758A55185}"/>
    <cellStyle name="Input [yellow] 3 21" xfId="1222" xr:uid="{FA6F1F9F-14A8-4135-8EB1-003C49FECE01}"/>
    <cellStyle name="Input [yellow] 3 21 2" xfId="11594" xr:uid="{D108DB30-3DE7-4DB8-8556-84DFED96E5C1}"/>
    <cellStyle name="Input [yellow] 3 21 2 2" xfId="23402" xr:uid="{747073E3-BEE2-4A3F-90EA-DE45F3F15D03}"/>
    <cellStyle name="Input [yellow] 3 21 2 3" xfId="23403" xr:uid="{31DC4D70-86CD-495B-ACBE-AD4FCB4B5058}"/>
    <cellStyle name="Input [yellow] 3 21 2 4" xfId="23404" xr:uid="{F2B74986-D74C-49FA-986F-99779E2C453A}"/>
    <cellStyle name="Input [yellow] 3 21 2 5" xfId="23405" xr:uid="{19A4197B-C515-485D-A406-DCF105183697}"/>
    <cellStyle name="Input [yellow] 3 21 2 6" xfId="23406" xr:uid="{BF786961-CA16-49E7-8A1F-B324871A396B}"/>
    <cellStyle name="Input [yellow] 3 21 3" xfId="23407" xr:uid="{29624B39-1F88-4FCF-8C54-EC2FE5ACF502}"/>
    <cellStyle name="Input [yellow] 3 21 4" xfId="23408" xr:uid="{E935FF84-74D2-4768-BF7E-955FEEBF1B73}"/>
    <cellStyle name="Input [yellow] 3 21 5" xfId="23409" xr:uid="{10713682-4210-4027-8263-946EE3952216}"/>
    <cellStyle name="Input [yellow] 3 21 6" xfId="23410" xr:uid="{2CA99409-A1F7-40E4-BF8F-8C868787103D}"/>
    <cellStyle name="Input [yellow] 3 21 7" xfId="23411" xr:uid="{0FC4662E-D106-49AE-98B3-429F077D03D1}"/>
    <cellStyle name="Input [yellow] 3 22" xfId="1223" xr:uid="{2F3AB7E1-4E3F-4874-829D-691D4707F201}"/>
    <cellStyle name="Input [yellow] 3 22 2" xfId="11679" xr:uid="{BDCA4ADD-E4BB-475F-BF37-EA13746DF743}"/>
    <cellStyle name="Input [yellow] 3 22 2 2" xfId="23412" xr:uid="{583200FE-3EFF-464C-BBE3-C9288FCBB3DE}"/>
    <cellStyle name="Input [yellow] 3 22 2 3" xfId="23413" xr:uid="{323DEC61-E689-4AF2-83D6-35E83A6CB0B6}"/>
    <cellStyle name="Input [yellow] 3 22 2 4" xfId="23414" xr:uid="{7CE87CBD-1D33-4B81-9081-461A5912D9BE}"/>
    <cellStyle name="Input [yellow] 3 22 2 5" xfId="23415" xr:uid="{450DEA8F-638F-411C-9259-B5A13329524D}"/>
    <cellStyle name="Input [yellow] 3 22 2 6" xfId="23416" xr:uid="{BB117CA5-D8A1-41CB-9A9D-D4406569257C}"/>
    <cellStyle name="Input [yellow] 3 22 3" xfId="23417" xr:uid="{44BFBC94-1559-46F4-A356-256B8221DC6D}"/>
    <cellStyle name="Input [yellow] 3 22 4" xfId="23418" xr:uid="{5603EE7D-240A-4643-BD61-E728FB588DA9}"/>
    <cellStyle name="Input [yellow] 3 22 5" xfId="23419" xr:uid="{5D198796-99DB-45DE-BF27-6CC4F1ED9BD1}"/>
    <cellStyle name="Input [yellow] 3 22 6" xfId="23420" xr:uid="{A76403D5-B7E7-4575-AE37-705098216ECF}"/>
    <cellStyle name="Input [yellow] 3 22 7" xfId="23421" xr:uid="{8DC6C357-1F9D-46FC-81BB-E7D298CCD856}"/>
    <cellStyle name="Input [yellow] 3 23" xfId="1224" xr:uid="{EAD2A23B-9B73-424D-A66C-0D679A59917D}"/>
    <cellStyle name="Input [yellow] 3 23 2" xfId="11762" xr:uid="{1E3973F6-0BD5-413B-BFB6-88B3B1FB3826}"/>
    <cellStyle name="Input [yellow] 3 23 2 2" xfId="23422" xr:uid="{DAB73D33-FE45-4133-BE5D-65572CFA28EB}"/>
    <cellStyle name="Input [yellow] 3 23 2 3" xfId="23423" xr:uid="{194B036F-9424-4934-B5F6-B3B476006A87}"/>
    <cellStyle name="Input [yellow] 3 23 2 4" xfId="23424" xr:uid="{AA8D020E-1471-4F64-AE41-F1753A4495C7}"/>
    <cellStyle name="Input [yellow] 3 23 2 5" xfId="23425" xr:uid="{56487132-AEC9-4E89-B07A-B4E986F27ADC}"/>
    <cellStyle name="Input [yellow] 3 23 2 6" xfId="23426" xr:uid="{9F060328-8A91-4905-95FD-559FC1F1838E}"/>
    <cellStyle name="Input [yellow] 3 23 3" xfId="23427" xr:uid="{63C4380A-32E1-48F5-AA72-A6AB6C655CB3}"/>
    <cellStyle name="Input [yellow] 3 23 4" xfId="23428" xr:uid="{EB2D30E4-DE76-4CE8-9C0E-391562EDC9E2}"/>
    <cellStyle name="Input [yellow] 3 23 5" xfId="23429" xr:uid="{05D0F763-95A5-4D0F-96D4-85CDF01690C8}"/>
    <cellStyle name="Input [yellow] 3 23 6" xfId="23430" xr:uid="{A426F09A-D63B-4733-BB4C-1A2B91EDFE18}"/>
    <cellStyle name="Input [yellow] 3 23 7" xfId="23431" xr:uid="{CBFE393C-0A56-430A-8218-600AAE4B7B7F}"/>
    <cellStyle name="Input [yellow] 3 24" xfId="1225" xr:uid="{DE9FCFC3-974A-4D1F-BDB0-B565ADBEB13C}"/>
    <cellStyle name="Input [yellow] 3 24 2" xfId="11844" xr:uid="{161C6570-0E17-4752-90FA-A12997C2D522}"/>
    <cellStyle name="Input [yellow] 3 24 2 2" xfId="23432" xr:uid="{FB0F88CA-CC86-46BD-8008-88A19A8ADAED}"/>
    <cellStyle name="Input [yellow] 3 24 2 3" xfId="23433" xr:uid="{292D96D0-7531-4FFA-8F4E-CB53B3CE5886}"/>
    <cellStyle name="Input [yellow] 3 24 2 4" xfId="23434" xr:uid="{4A0000C1-A97F-47A4-8F8F-34749B61A8A2}"/>
    <cellStyle name="Input [yellow] 3 24 2 5" xfId="23435" xr:uid="{AB202462-73F0-40D8-8E7A-7AC853FD7BB6}"/>
    <cellStyle name="Input [yellow] 3 24 2 6" xfId="23436" xr:uid="{9B53EC45-5822-4248-9E66-6EC6295162AA}"/>
    <cellStyle name="Input [yellow] 3 24 3" xfId="23437" xr:uid="{7569BF3F-F005-444E-9928-52662E0FA6B6}"/>
    <cellStyle name="Input [yellow] 3 24 4" xfId="23438" xr:uid="{620E01C3-6D73-4A19-89C9-656F809695A8}"/>
    <cellStyle name="Input [yellow] 3 24 5" xfId="23439" xr:uid="{ACED3D3A-C34B-4D36-996C-0F930711635E}"/>
    <cellStyle name="Input [yellow] 3 24 6" xfId="23440" xr:uid="{A483F94A-B947-441C-97CC-5F4043A2AD23}"/>
    <cellStyle name="Input [yellow] 3 24 7" xfId="23441" xr:uid="{84FA8509-B623-4788-B512-59DB4477706A}"/>
    <cellStyle name="Input [yellow] 3 25" xfId="1226" xr:uid="{59E4F2DD-908E-4213-BDDF-9190340FFE54}"/>
    <cellStyle name="Input [yellow] 3 25 2" xfId="11928" xr:uid="{01490CED-D7DD-4140-AB59-77EAC8BDB532}"/>
    <cellStyle name="Input [yellow] 3 25 2 2" xfId="23442" xr:uid="{2A401D74-C95D-4B0B-8D6B-5B129CF37769}"/>
    <cellStyle name="Input [yellow] 3 25 2 3" xfId="23443" xr:uid="{94745F5E-AE86-4089-812B-253D9EDD0D69}"/>
    <cellStyle name="Input [yellow] 3 25 2 4" xfId="23444" xr:uid="{4E8A90D7-7179-48AD-BDF4-E606A90F1216}"/>
    <cellStyle name="Input [yellow] 3 25 2 5" xfId="23445" xr:uid="{F2BBBE2F-3A4D-415C-AD01-31C1EE56B54C}"/>
    <cellStyle name="Input [yellow] 3 25 2 6" xfId="23446" xr:uid="{5AB1CC1C-EE25-427A-8AE9-25E9C98E4359}"/>
    <cellStyle name="Input [yellow] 3 25 3" xfId="23447" xr:uid="{9CE2280F-4F3F-48EB-8352-3DAF34BD8F12}"/>
    <cellStyle name="Input [yellow] 3 25 4" xfId="23448" xr:uid="{BF80E5AD-B438-49D8-BB69-DF856ED5C9AD}"/>
    <cellStyle name="Input [yellow] 3 25 5" xfId="23449" xr:uid="{DE843BCF-F1E4-4A19-826A-E8F4F17F5ED7}"/>
    <cellStyle name="Input [yellow] 3 25 6" xfId="23450" xr:uid="{4E548152-BAD4-4F70-B9D5-AB7D74932BA2}"/>
    <cellStyle name="Input [yellow] 3 25 7" xfId="23451" xr:uid="{38CCCBE9-AAE2-4155-A1C0-D9F366BD4955}"/>
    <cellStyle name="Input [yellow] 3 26" xfId="1227" xr:uid="{58FA930F-4E35-4EE3-AA0C-79365F5975C5}"/>
    <cellStyle name="Input [yellow] 3 26 2" xfId="12012" xr:uid="{5F2D283D-94AA-4AC7-A8EF-9941AA510B1A}"/>
    <cellStyle name="Input [yellow] 3 26 2 2" xfId="23452" xr:uid="{7370CE5C-14BE-4A9A-AA2C-7EED0DC908B3}"/>
    <cellStyle name="Input [yellow] 3 26 2 3" xfId="23453" xr:uid="{AE6424DC-05D3-4AF8-A6DB-84B79D0FED09}"/>
    <cellStyle name="Input [yellow] 3 26 2 4" xfId="23454" xr:uid="{6DF59A93-BD9F-478D-AC32-14D7E7CB0AFC}"/>
    <cellStyle name="Input [yellow] 3 26 2 5" xfId="23455" xr:uid="{96C2A606-3D94-4ABD-BE05-A14626615B9C}"/>
    <cellStyle name="Input [yellow] 3 26 2 6" xfId="23456" xr:uid="{799D65ED-B3F3-4824-A014-42FF976C630A}"/>
    <cellStyle name="Input [yellow] 3 26 3" xfId="23457" xr:uid="{921493AB-80E1-4DAA-A3FD-5219E2A94DF9}"/>
    <cellStyle name="Input [yellow] 3 26 4" xfId="23458" xr:uid="{55F17B45-D040-4956-AE04-69A73680D0E2}"/>
    <cellStyle name="Input [yellow] 3 26 5" xfId="23459" xr:uid="{C1235B99-6DD8-49BF-98D1-FFC2820129C0}"/>
    <cellStyle name="Input [yellow] 3 26 6" xfId="23460" xr:uid="{7DD4F96F-E5D6-4029-B82C-8731BEDC3A18}"/>
    <cellStyle name="Input [yellow] 3 26 7" xfId="23461" xr:uid="{AA2B3CB0-0945-47A7-AA5A-748061A17349}"/>
    <cellStyle name="Input [yellow] 3 27" xfId="1228" xr:uid="{5836AA38-9F59-40B0-95AB-FC8948BC498E}"/>
    <cellStyle name="Input [yellow] 3 27 2" xfId="12095" xr:uid="{AE7F1CBC-87EB-49F6-812C-7FE49812221A}"/>
    <cellStyle name="Input [yellow] 3 27 2 2" xfId="23462" xr:uid="{09A93DD4-4BC1-4309-ACBC-BA1439D2B4C6}"/>
    <cellStyle name="Input [yellow] 3 27 2 3" xfId="23463" xr:uid="{64EE1CD4-EEE2-49CA-A668-FA69329FCAA3}"/>
    <cellStyle name="Input [yellow] 3 27 2 4" xfId="23464" xr:uid="{2499AA30-55BE-4384-901B-27EEEFAF9370}"/>
    <cellStyle name="Input [yellow] 3 27 2 5" xfId="23465" xr:uid="{45433887-ED62-46D5-BBCE-DD951C349EB2}"/>
    <cellStyle name="Input [yellow] 3 27 2 6" xfId="23466" xr:uid="{47A5D7DB-3937-43B2-800B-FC2E012F1F64}"/>
    <cellStyle name="Input [yellow] 3 27 3" xfId="23467" xr:uid="{E00AB99B-0C95-4081-B43E-50A5F54D762F}"/>
    <cellStyle name="Input [yellow] 3 27 4" xfId="23468" xr:uid="{B5ED503E-B386-4042-9D78-F87F799FE2E9}"/>
    <cellStyle name="Input [yellow] 3 27 5" xfId="23469" xr:uid="{460915E5-9F1B-40D7-A96D-F764371FFCA7}"/>
    <cellStyle name="Input [yellow] 3 27 6" xfId="23470" xr:uid="{FCA93C2D-C9E0-4A19-ADF3-D64C7FF353FB}"/>
    <cellStyle name="Input [yellow] 3 27 7" xfId="23471" xr:uid="{0112C92D-332B-4CEC-8B90-70FE06869687}"/>
    <cellStyle name="Input [yellow] 3 28" xfId="1229" xr:uid="{AA918588-E74E-4434-A946-6A30DDB6F760}"/>
    <cellStyle name="Input [yellow] 3 28 2" xfId="12177" xr:uid="{C9B68F14-ECF7-428C-BBDB-28FC0B02BE38}"/>
    <cellStyle name="Input [yellow] 3 28 2 2" xfId="23472" xr:uid="{CACF2257-F3BD-41CB-B024-6A981EEF5056}"/>
    <cellStyle name="Input [yellow] 3 28 2 3" xfId="23473" xr:uid="{4636490E-F234-4CB4-94F4-2ED53E15A5C9}"/>
    <cellStyle name="Input [yellow] 3 28 2 4" xfId="23474" xr:uid="{0E7582E3-8E15-4665-8CF2-0861C5C280E5}"/>
    <cellStyle name="Input [yellow] 3 28 2 5" xfId="23475" xr:uid="{75BC1793-E770-4147-97F6-F87C4700F073}"/>
    <cellStyle name="Input [yellow] 3 28 2 6" xfId="23476" xr:uid="{9B0BA738-557E-4D75-99A3-50E6BF4B9E98}"/>
    <cellStyle name="Input [yellow] 3 28 3" xfId="23477" xr:uid="{E711EB2F-24E8-4340-B550-7B7810E2F155}"/>
    <cellStyle name="Input [yellow] 3 28 4" xfId="23478" xr:uid="{5D605601-1DB5-48E9-BE6B-EFD42DAC1CA8}"/>
    <cellStyle name="Input [yellow] 3 28 5" xfId="23479" xr:uid="{ED1541F7-7E46-432E-A941-986951D9089D}"/>
    <cellStyle name="Input [yellow] 3 28 6" xfId="23480" xr:uid="{4143C333-0090-472F-A885-D661D516108C}"/>
    <cellStyle name="Input [yellow] 3 28 7" xfId="23481" xr:uid="{C70FF174-5DB8-424D-96B4-DBBE28311C14}"/>
    <cellStyle name="Input [yellow] 3 29" xfId="1230" xr:uid="{55878B1D-2C80-4FB9-B4B9-529129D707AC}"/>
    <cellStyle name="Input [yellow] 3 29 2" xfId="12257" xr:uid="{BE1D14F3-4D63-4A2F-9DF7-67FC7F52DD8E}"/>
    <cellStyle name="Input [yellow] 3 29 2 2" xfId="23482" xr:uid="{05CC0F77-C776-465F-969D-E47CFEA7C299}"/>
    <cellStyle name="Input [yellow] 3 29 2 3" xfId="23483" xr:uid="{7880DBFA-734A-481F-9961-CEFBD167AB9E}"/>
    <cellStyle name="Input [yellow] 3 29 2 4" xfId="23484" xr:uid="{1976C0B7-1438-40DC-A52E-84381C9988E9}"/>
    <cellStyle name="Input [yellow] 3 29 2 5" xfId="23485" xr:uid="{FB1D3491-848D-4EFF-868C-CB33A037580A}"/>
    <cellStyle name="Input [yellow] 3 29 2 6" xfId="23486" xr:uid="{5CD66EA2-0246-465E-852F-C8023BC64764}"/>
    <cellStyle name="Input [yellow] 3 29 3" xfId="23487" xr:uid="{BCE76B41-1274-405F-B82C-3F6EC0918920}"/>
    <cellStyle name="Input [yellow] 3 29 4" xfId="23488" xr:uid="{DE5CA0E3-6A9D-42F9-8DA0-07E034DA4A95}"/>
    <cellStyle name="Input [yellow] 3 29 5" xfId="23489" xr:uid="{56D270C1-C077-4F3E-97C7-927A7C355154}"/>
    <cellStyle name="Input [yellow] 3 29 6" xfId="23490" xr:uid="{3A8703D0-7FB3-48BA-BAF3-60E4001D1E00}"/>
    <cellStyle name="Input [yellow] 3 29 7" xfId="23491" xr:uid="{47444B78-80F9-4A0D-96CF-151CD60CB714}"/>
    <cellStyle name="Input [yellow] 3 3" xfId="1231" xr:uid="{B66609B1-4EFB-4FD2-B976-E353964A24E6}"/>
    <cellStyle name="Input [yellow] 3 3 2" xfId="10013" xr:uid="{A1181F9C-4831-4C76-953E-FB0DA8CE40BB}"/>
    <cellStyle name="Input [yellow] 3 3 2 2" xfId="23492" xr:uid="{E5D4213B-176B-4D46-8AAC-F7E4A4BC7BBE}"/>
    <cellStyle name="Input [yellow] 3 3 2 3" xfId="23493" xr:uid="{D8179448-DDF8-4EB7-BADA-D55D4C25CCB3}"/>
    <cellStyle name="Input [yellow] 3 3 2 4" xfId="23494" xr:uid="{C7EC35A9-D315-42BB-93FB-A204A07476DE}"/>
    <cellStyle name="Input [yellow] 3 3 2 5" xfId="23495" xr:uid="{517B0E4E-5570-434B-BCF1-AFF55B90712B}"/>
    <cellStyle name="Input [yellow] 3 3 2 6" xfId="23496" xr:uid="{E643A326-3A1A-45FE-A80A-46FD97F5ACEA}"/>
    <cellStyle name="Input [yellow] 3 3 3" xfId="23497" xr:uid="{AB45E7CE-7605-4FD8-B87E-5966FFB09DEB}"/>
    <cellStyle name="Input [yellow] 3 3 4" xfId="23498" xr:uid="{237E7ADA-F0C6-43BA-A28E-E3C1AD5DE079}"/>
    <cellStyle name="Input [yellow] 3 3 5" xfId="23499" xr:uid="{88EAD0AF-4012-4A0A-9040-6E4AE4C21400}"/>
    <cellStyle name="Input [yellow] 3 3 6" xfId="23500" xr:uid="{D2A79DB1-12AA-4BB7-AC8F-89424FCF1712}"/>
    <cellStyle name="Input [yellow] 3 3 7" xfId="23501" xr:uid="{D57D099E-35DC-46CF-A4F4-0138BC14FD0A}"/>
    <cellStyle name="Input [yellow] 3 30" xfId="1232" xr:uid="{2B346C31-0638-4E23-9A5E-F275E343824D}"/>
    <cellStyle name="Input [yellow] 3 30 2" xfId="12335" xr:uid="{20DAE36E-E002-414B-AB40-9AFEAF7F57CF}"/>
    <cellStyle name="Input [yellow] 3 30 2 2" xfId="23502" xr:uid="{CCF0A08D-0088-4F04-B805-7E792B82A0FC}"/>
    <cellStyle name="Input [yellow] 3 30 2 3" xfId="23503" xr:uid="{C1104108-F4DE-4A73-8CCD-16F33A33120C}"/>
    <cellStyle name="Input [yellow] 3 30 2 4" xfId="23504" xr:uid="{2E897CCE-FE67-4378-9152-20013E48BFF1}"/>
    <cellStyle name="Input [yellow] 3 30 2 5" xfId="23505" xr:uid="{9FA040D9-952A-4EC9-BDFD-FAAAAC17E2E1}"/>
    <cellStyle name="Input [yellow] 3 30 2 6" xfId="23506" xr:uid="{7FE44D80-B216-4EB4-A7F7-B967A0EDBBAD}"/>
    <cellStyle name="Input [yellow] 3 30 3" xfId="23507" xr:uid="{7A7EBF1C-D7D7-4345-8362-F650FD92C848}"/>
    <cellStyle name="Input [yellow] 3 30 4" xfId="23508" xr:uid="{B89ACD8C-3FA2-43D1-AA2D-1DEB020F65FC}"/>
    <cellStyle name="Input [yellow] 3 30 5" xfId="23509" xr:uid="{D67A6B22-BD4C-45D4-B116-5FEF18CEC777}"/>
    <cellStyle name="Input [yellow] 3 30 6" xfId="23510" xr:uid="{515C90D3-3826-491B-80BB-4A3AA5D7D771}"/>
    <cellStyle name="Input [yellow] 3 30 7" xfId="23511" xr:uid="{CF2F18F1-7758-4701-93CB-E26364C6AA78}"/>
    <cellStyle name="Input [yellow] 3 31" xfId="1233" xr:uid="{D02B6CB8-6570-4EE0-8920-F5384B7B34AD}"/>
    <cellStyle name="Input [yellow] 3 31 2" xfId="12414" xr:uid="{4E73BF64-9300-46C4-99A2-4B819B34721A}"/>
    <cellStyle name="Input [yellow] 3 31 2 2" xfId="23512" xr:uid="{276EC581-298C-446A-A6CA-EAFFDB159269}"/>
    <cellStyle name="Input [yellow] 3 31 2 3" xfId="23513" xr:uid="{A1E57663-77E0-4D7F-A833-14B491B00025}"/>
    <cellStyle name="Input [yellow] 3 31 2 4" xfId="23514" xr:uid="{E059941B-6360-48AD-9532-E8A815AF593D}"/>
    <cellStyle name="Input [yellow] 3 31 2 5" xfId="23515" xr:uid="{8F5EDC0D-3D3A-47F2-9D70-F9338094ACDC}"/>
    <cellStyle name="Input [yellow] 3 31 2 6" xfId="23516" xr:uid="{4BD81420-4797-4392-9048-A3F7A92E89A3}"/>
    <cellStyle name="Input [yellow] 3 31 3" xfId="23517" xr:uid="{82E19660-9966-4292-8E47-F68F9ADA336E}"/>
    <cellStyle name="Input [yellow] 3 31 4" xfId="23518" xr:uid="{47B64F62-84BB-4818-832B-C384B62F9CF1}"/>
    <cellStyle name="Input [yellow] 3 31 5" xfId="23519" xr:uid="{F44B04BD-D3A0-44C4-B97A-9830C11AB7EA}"/>
    <cellStyle name="Input [yellow] 3 31 6" xfId="23520" xr:uid="{92EB122B-A77E-498B-9359-00CC8074A63F}"/>
    <cellStyle name="Input [yellow] 3 31 7" xfId="23521" xr:uid="{24D3BAD4-1D80-42E3-8749-E643AAE0E887}"/>
    <cellStyle name="Input [yellow] 3 32" xfId="1234" xr:uid="{D8FE6127-D5A8-4A19-91FB-CE7D13A17AC5}"/>
    <cellStyle name="Input [yellow] 3 32 2" xfId="12493" xr:uid="{A3C5AB13-751F-4F92-96CA-765765104714}"/>
    <cellStyle name="Input [yellow] 3 32 2 2" xfId="23522" xr:uid="{5A448FFA-1E4E-4196-9937-B873C6F4D05A}"/>
    <cellStyle name="Input [yellow] 3 32 2 3" xfId="23523" xr:uid="{4B2ED68F-8654-49B9-A795-FE02952DFC2E}"/>
    <cellStyle name="Input [yellow] 3 32 2 4" xfId="23524" xr:uid="{AF4DA545-3EDA-4DBE-A24F-6DF860D2206E}"/>
    <cellStyle name="Input [yellow] 3 32 2 5" xfId="23525" xr:uid="{18EB7FAC-34B8-4157-91C0-248F04B8AE5F}"/>
    <cellStyle name="Input [yellow] 3 32 2 6" xfId="23526" xr:uid="{45F6A48F-11C2-42B9-A45C-A25AF8485C8D}"/>
    <cellStyle name="Input [yellow] 3 32 3" xfId="23527" xr:uid="{F8291BEC-05AF-43B6-9FCE-F75A6CBB4B51}"/>
    <cellStyle name="Input [yellow] 3 32 4" xfId="23528" xr:uid="{8F1C2C6B-23EC-40EE-9683-336E0F1E567A}"/>
    <cellStyle name="Input [yellow] 3 32 5" xfId="23529" xr:uid="{66C408F0-7029-44F3-98D5-4D89936D1909}"/>
    <cellStyle name="Input [yellow] 3 32 6" xfId="23530" xr:uid="{9FFDAD92-3573-4787-A479-3E155124B6CC}"/>
    <cellStyle name="Input [yellow] 3 32 7" xfId="23531" xr:uid="{ADFD3C0E-342B-401F-9741-EA07D86EDABB}"/>
    <cellStyle name="Input [yellow] 3 33" xfId="1235" xr:uid="{4A04884C-A1C3-4182-AB8F-11ED00724769}"/>
    <cellStyle name="Input [yellow] 3 33 2" xfId="12572" xr:uid="{BABFC883-4106-47CC-9CE6-E5D4D6626989}"/>
    <cellStyle name="Input [yellow] 3 33 2 2" xfId="23532" xr:uid="{C847F8D8-2BF0-4BF7-94AE-058FB0C729F5}"/>
    <cellStyle name="Input [yellow] 3 33 2 3" xfId="23533" xr:uid="{FF97D8F2-7391-4C3C-97A7-31CC8B54E598}"/>
    <cellStyle name="Input [yellow] 3 33 2 4" xfId="23534" xr:uid="{EC37EC70-6333-4C58-8799-22B3A171CCC1}"/>
    <cellStyle name="Input [yellow] 3 33 2 5" xfId="23535" xr:uid="{31FBD02E-D81C-4377-8A12-2C5E28E24459}"/>
    <cellStyle name="Input [yellow] 3 33 2 6" xfId="23536" xr:uid="{D7AC478F-0929-40FE-82D1-1804FA0D8B2D}"/>
    <cellStyle name="Input [yellow] 3 33 3" xfId="23537" xr:uid="{59295D3A-7229-4E01-858C-9A65DA68A2DA}"/>
    <cellStyle name="Input [yellow] 3 33 4" xfId="23538" xr:uid="{0B5B0BDE-88B9-4E2D-B7A3-F6629A1E7F62}"/>
    <cellStyle name="Input [yellow] 3 33 5" xfId="23539" xr:uid="{2860AAC1-A773-4D4E-ABC6-47AE81D27841}"/>
    <cellStyle name="Input [yellow] 3 33 6" xfId="23540" xr:uid="{36B7EE7B-6ED1-411A-ACA2-5C226F45A188}"/>
    <cellStyle name="Input [yellow] 3 33 7" xfId="23541" xr:uid="{CF600C8A-4964-4E7E-AAB7-34C7B54D7274}"/>
    <cellStyle name="Input [yellow] 3 34" xfId="1236" xr:uid="{078CC7D3-38E1-4808-AB05-20A09C5A2BCD}"/>
    <cellStyle name="Input [yellow] 3 34 2" xfId="12651" xr:uid="{DC888D41-3721-47C0-ADB5-0D93650015E8}"/>
    <cellStyle name="Input [yellow] 3 34 2 2" xfId="23542" xr:uid="{FEC00869-EEF7-44BD-B360-9AB22C69B3FA}"/>
    <cellStyle name="Input [yellow] 3 34 2 3" xfId="23543" xr:uid="{FAB9A024-25B8-44A0-9414-924E3AA77F34}"/>
    <cellStyle name="Input [yellow] 3 34 2 4" xfId="23544" xr:uid="{0E29CF26-F3D6-4A9F-8A3E-5EFB3D3323F9}"/>
    <cellStyle name="Input [yellow] 3 34 2 5" xfId="23545" xr:uid="{E5AE524D-AC43-44BF-AC91-6279DD9DE199}"/>
    <cellStyle name="Input [yellow] 3 34 2 6" xfId="23546" xr:uid="{A7B2A84B-5A48-494B-A26C-DE29D325388A}"/>
    <cellStyle name="Input [yellow] 3 34 3" xfId="23547" xr:uid="{CAD237BE-C1F7-446B-A480-377F7C0D94D6}"/>
    <cellStyle name="Input [yellow] 3 34 4" xfId="23548" xr:uid="{34FD52BA-3361-43B4-89F4-AB9602ED4336}"/>
    <cellStyle name="Input [yellow] 3 34 5" xfId="23549" xr:uid="{F14920E3-1AB2-444E-ACE9-7ECC651B82F6}"/>
    <cellStyle name="Input [yellow] 3 34 6" xfId="23550" xr:uid="{C31BA4C8-C839-49D9-A08E-78B0CC09CBB1}"/>
    <cellStyle name="Input [yellow] 3 34 7" xfId="23551" xr:uid="{F4E7B874-75FA-4C23-B505-592C010EEDCC}"/>
    <cellStyle name="Input [yellow] 3 35" xfId="1237" xr:uid="{08F86BFB-CDA9-4C77-A28E-6ABECF67C240}"/>
    <cellStyle name="Input [yellow] 3 35 2" xfId="12735" xr:uid="{E68B6087-3DBA-4D29-BAE9-F94A6CC3D2E8}"/>
    <cellStyle name="Input [yellow] 3 35 2 2" xfId="23552" xr:uid="{77666B97-25CE-457B-A587-E4E2B60D4DB1}"/>
    <cellStyle name="Input [yellow] 3 35 2 3" xfId="23553" xr:uid="{15813F24-ABAB-4B6A-8106-8614D6735340}"/>
    <cellStyle name="Input [yellow] 3 35 2 4" xfId="23554" xr:uid="{F3BD6173-A5D0-47D1-B165-5016A19A7C5B}"/>
    <cellStyle name="Input [yellow] 3 35 2 5" xfId="23555" xr:uid="{7DDFF14A-AFD5-4851-91FC-7BE10BBC996E}"/>
    <cellStyle name="Input [yellow] 3 35 2 6" xfId="23556" xr:uid="{7969FEF7-5D72-4E0B-AF8C-D5C6E24FAE6A}"/>
    <cellStyle name="Input [yellow] 3 35 3" xfId="23557" xr:uid="{5385EA79-15A5-41D1-8AC4-6009BB68BA24}"/>
    <cellStyle name="Input [yellow] 3 35 4" xfId="23558" xr:uid="{00F8D8BD-A1E0-46AA-AF9A-D67FBAC1981D}"/>
    <cellStyle name="Input [yellow] 3 35 5" xfId="23559" xr:uid="{C4F33A79-D9AF-4DC0-960D-767168013FCE}"/>
    <cellStyle name="Input [yellow] 3 35 6" xfId="23560" xr:uid="{B735835E-681E-43C6-9C73-EE6A4954361E}"/>
    <cellStyle name="Input [yellow] 3 35 7" xfId="23561" xr:uid="{77AF1DA7-B002-4FAD-8BF0-01AB9E59D6BD}"/>
    <cellStyle name="Input [yellow] 3 36" xfId="9800" xr:uid="{64598F02-C354-42EC-9B80-70F0B54005B2}"/>
    <cellStyle name="Input [yellow] 3 36 2" xfId="23562" xr:uid="{8F39227E-96B9-4CCD-AC74-470A4840ED65}"/>
    <cellStyle name="Input [yellow] 3 36 3" xfId="23563" xr:uid="{F7FB06D7-20C6-499C-A6B0-6C8D68EB96FA}"/>
    <cellStyle name="Input [yellow] 3 36 4" xfId="23564" xr:uid="{1AD0D19E-B649-47C0-A850-479436FEDA57}"/>
    <cellStyle name="Input [yellow] 3 36 5" xfId="23565" xr:uid="{5FFAF084-AAC1-48A6-A91E-FA9EC1CA4A46}"/>
    <cellStyle name="Input [yellow] 3 36 6" xfId="23566" xr:uid="{85CEAB1B-D8AA-4005-B635-ECE54FC90274}"/>
    <cellStyle name="Input [yellow] 3 37" xfId="23567" xr:uid="{0DA0C3F2-9412-444E-BB74-F08BC1BA5C41}"/>
    <cellStyle name="Input [yellow] 3 38" xfId="23568" xr:uid="{6DF1A5DC-FCCF-4CD5-A0C0-83E8F58D283C}"/>
    <cellStyle name="Input [yellow] 3 39" xfId="23569" xr:uid="{DD5EA12A-B314-411B-9F3C-A1BEC757613C}"/>
    <cellStyle name="Input [yellow] 3 4" xfId="1238" xr:uid="{218C4EAA-AFA3-4370-A29C-1326A15BF6C9}"/>
    <cellStyle name="Input [yellow] 3 4 2" xfId="10104" xr:uid="{0F639350-0157-4977-831D-A5BF092B435C}"/>
    <cellStyle name="Input [yellow] 3 4 2 2" xfId="23570" xr:uid="{A6DCB34F-AEC4-4A5A-92D9-E63785171334}"/>
    <cellStyle name="Input [yellow] 3 4 2 3" xfId="23571" xr:uid="{75052703-CDB2-4ADC-A8E2-803D8EE4606B}"/>
    <cellStyle name="Input [yellow] 3 4 2 4" xfId="23572" xr:uid="{7DC6FCC3-D7DE-4F7F-9566-B8DEC16DE148}"/>
    <cellStyle name="Input [yellow] 3 4 2 5" xfId="23573" xr:uid="{A59DAA0A-4BA1-4B84-AF62-5AE9EA111909}"/>
    <cellStyle name="Input [yellow] 3 4 2 6" xfId="23574" xr:uid="{8F356500-09D8-4643-B42E-D160E1CF9089}"/>
    <cellStyle name="Input [yellow] 3 4 3" xfId="23575" xr:uid="{CB780CEB-238A-4349-9DCB-E8562D3FAF33}"/>
    <cellStyle name="Input [yellow] 3 4 4" xfId="23576" xr:uid="{542AB651-CFFA-451D-8968-C7F46D78B972}"/>
    <cellStyle name="Input [yellow] 3 4 5" xfId="23577" xr:uid="{20F2D0CF-8663-4E05-9C91-698302E2A226}"/>
    <cellStyle name="Input [yellow] 3 4 6" xfId="23578" xr:uid="{A2FAF888-78B3-43DA-B39B-2D865112F432}"/>
    <cellStyle name="Input [yellow] 3 4 7" xfId="23579" xr:uid="{4A188054-B1C0-46EF-9B77-98A6A39E8E13}"/>
    <cellStyle name="Input [yellow] 3 40" xfId="23580" xr:uid="{51102D59-E6F0-48AA-A379-BC3973E3271D}"/>
    <cellStyle name="Input [yellow] 3 41" xfId="23581" xr:uid="{FB01F7F2-8AE8-4367-A767-2B5CADEE296C}"/>
    <cellStyle name="Input [yellow] 3 5" xfId="1239" xr:uid="{E7EA31A7-4387-47EA-9D76-6F8216DF6A27}"/>
    <cellStyle name="Input [yellow] 3 5 2" xfId="10194" xr:uid="{B9A5DAC7-EE40-4899-876D-71D7B7EF0B74}"/>
    <cellStyle name="Input [yellow] 3 5 2 2" xfId="23582" xr:uid="{96BBCD0E-6030-4CDB-9A87-53FF26E695E0}"/>
    <cellStyle name="Input [yellow] 3 5 2 3" xfId="23583" xr:uid="{DB68B3E3-F861-4E70-A04C-C1980701A2D9}"/>
    <cellStyle name="Input [yellow] 3 5 2 4" xfId="23584" xr:uid="{D0F87098-BCCD-46D9-A5FF-A90C23D8CEAF}"/>
    <cellStyle name="Input [yellow] 3 5 2 5" xfId="23585" xr:uid="{A1CC2F2F-7728-4318-8092-3F39DC4619BF}"/>
    <cellStyle name="Input [yellow] 3 5 2 6" xfId="23586" xr:uid="{E1DBD1A2-2004-494D-A609-F7940E27BC2D}"/>
    <cellStyle name="Input [yellow] 3 5 3" xfId="23587" xr:uid="{1CD20FB9-6F61-4A54-8BE5-723D120566C8}"/>
    <cellStyle name="Input [yellow] 3 5 4" xfId="23588" xr:uid="{6E42D583-53A1-4BC5-A881-CF7D8CB46EF6}"/>
    <cellStyle name="Input [yellow] 3 5 5" xfId="23589" xr:uid="{104335D1-E011-41C3-B184-F0848A95B1FE}"/>
    <cellStyle name="Input [yellow] 3 5 6" xfId="23590" xr:uid="{AC2F2046-B046-4E4B-A975-8D90E150A603}"/>
    <cellStyle name="Input [yellow] 3 5 7" xfId="23591" xr:uid="{A3E9472B-3D43-4D0F-8A8E-1701357DFF4F}"/>
    <cellStyle name="Input [yellow] 3 6" xfId="1240" xr:uid="{CF0A7EB3-D409-40E9-983D-506826CB1634}"/>
    <cellStyle name="Input [yellow] 3 6 2" xfId="10280" xr:uid="{A8B00E49-3E16-4DFB-A262-0D6D9C2663F3}"/>
    <cellStyle name="Input [yellow] 3 6 2 2" xfId="23592" xr:uid="{2B8E49CD-0455-4843-8137-6E4977C6CB98}"/>
    <cellStyle name="Input [yellow] 3 6 2 3" xfId="23593" xr:uid="{AE670AE7-C31F-4B50-8FEB-D6966C6B75BA}"/>
    <cellStyle name="Input [yellow] 3 6 2 4" xfId="23594" xr:uid="{4164C1A7-5CAC-4979-AA78-22B2FF256752}"/>
    <cellStyle name="Input [yellow] 3 6 2 5" xfId="23595" xr:uid="{DF3E0041-1280-4625-8150-E1722A77D08C}"/>
    <cellStyle name="Input [yellow] 3 6 2 6" xfId="23596" xr:uid="{B156F64C-F837-408F-B8BE-79E6F91D439E}"/>
    <cellStyle name="Input [yellow] 3 6 3" xfId="23597" xr:uid="{E5E0C8B6-3860-46E4-928E-466C3969C693}"/>
    <cellStyle name="Input [yellow] 3 6 4" xfId="23598" xr:uid="{191DBEDC-A600-4698-B3C6-521ECF8D3D7C}"/>
    <cellStyle name="Input [yellow] 3 6 5" xfId="23599" xr:uid="{34737345-CED8-4FA5-8C18-350DFC91E9D2}"/>
    <cellStyle name="Input [yellow] 3 6 6" xfId="23600" xr:uid="{4D88EEAD-4CF7-43C3-A371-68ED59200F76}"/>
    <cellStyle name="Input [yellow] 3 6 7" xfId="23601" xr:uid="{A5BC372D-10C1-4323-8C9C-45AB2D072671}"/>
    <cellStyle name="Input [yellow] 3 7" xfId="1241" xr:uid="{9AB7452F-6ED1-42BD-B261-E5914C7815D3}"/>
    <cellStyle name="Input [yellow] 3 7 2" xfId="10368" xr:uid="{7D4F3C10-3160-4298-BE97-9CEA7BCD51F6}"/>
    <cellStyle name="Input [yellow] 3 7 2 2" xfId="23602" xr:uid="{CD49B4E7-56B8-42FD-BB1B-573B7619BBBE}"/>
    <cellStyle name="Input [yellow] 3 7 2 3" xfId="23603" xr:uid="{54A1622A-B1CC-4723-9D8C-81CDB1E1CDCC}"/>
    <cellStyle name="Input [yellow] 3 7 2 4" xfId="23604" xr:uid="{B44344B8-8D45-4C59-A9C2-AFB3A2EFB444}"/>
    <cellStyle name="Input [yellow] 3 7 2 5" xfId="23605" xr:uid="{56644B66-EDDA-4C33-B050-42D5135294D9}"/>
    <cellStyle name="Input [yellow] 3 7 2 6" xfId="23606" xr:uid="{23892A81-A4C1-48A5-B715-0ACF83B5B168}"/>
    <cellStyle name="Input [yellow] 3 7 3" xfId="23607" xr:uid="{A5364C88-7F00-4F15-8AFC-6DFF9EB74131}"/>
    <cellStyle name="Input [yellow] 3 7 4" xfId="23608" xr:uid="{FD52D868-B8D3-4EBA-80A7-85ACA22D16A4}"/>
    <cellStyle name="Input [yellow] 3 7 5" xfId="23609" xr:uid="{071AF31F-06DF-4EB4-9973-A90F42B4E81F}"/>
    <cellStyle name="Input [yellow] 3 7 6" xfId="23610" xr:uid="{563FFEF6-859A-4187-B74C-C3DF2A5B7137}"/>
    <cellStyle name="Input [yellow] 3 7 7" xfId="23611" xr:uid="{27929C19-532A-49ED-863B-3A7064194B55}"/>
    <cellStyle name="Input [yellow] 3 8" xfId="1242" xr:uid="{651265B6-71D4-407A-A8CD-385372DAE468}"/>
    <cellStyle name="Input [yellow] 3 8 2" xfId="10455" xr:uid="{FA84F999-C18F-49E8-8631-A78043D15B03}"/>
    <cellStyle name="Input [yellow] 3 8 2 2" xfId="23612" xr:uid="{9085ED54-2C58-4A4A-961A-EA983F9CA941}"/>
    <cellStyle name="Input [yellow] 3 8 2 3" xfId="23613" xr:uid="{13D887C6-BEA1-4547-9510-813B1940B92A}"/>
    <cellStyle name="Input [yellow] 3 8 2 4" xfId="23614" xr:uid="{EE5B14D1-018C-42D0-AD98-C0F654C77738}"/>
    <cellStyle name="Input [yellow] 3 8 2 5" xfId="23615" xr:uid="{215E2317-23CA-456E-B422-971CC900C248}"/>
    <cellStyle name="Input [yellow] 3 8 2 6" xfId="23616" xr:uid="{12AB5F31-E2F3-4753-85F5-8106DA2CCC19}"/>
    <cellStyle name="Input [yellow] 3 8 3" xfId="23617" xr:uid="{2D803B52-F8CC-4BBC-932F-C4331625CB02}"/>
    <cellStyle name="Input [yellow] 3 8 4" xfId="23618" xr:uid="{2621FAB1-A56C-4AAA-B633-683DB847C7A6}"/>
    <cellStyle name="Input [yellow] 3 8 5" xfId="23619" xr:uid="{837ACBDE-00E1-4B19-8DEC-B211A12DE4EA}"/>
    <cellStyle name="Input [yellow] 3 8 6" xfId="23620" xr:uid="{12DC3ACC-1888-4CF1-A917-E90E6D81952B}"/>
    <cellStyle name="Input [yellow] 3 8 7" xfId="23621" xr:uid="{434685E6-D426-4C27-9721-F649999F485D}"/>
    <cellStyle name="Input [yellow] 3 9" xfId="1243" xr:uid="{DAC69871-9C18-4CEF-A024-8D9742C43070}"/>
    <cellStyle name="Input [yellow] 3 9 2" xfId="10544" xr:uid="{32F6E032-D06F-42B4-9F1B-F64CED83272E}"/>
    <cellStyle name="Input [yellow] 3 9 2 2" xfId="23622" xr:uid="{3410F9EE-4E0E-4643-8CA5-57F399D798A5}"/>
    <cellStyle name="Input [yellow] 3 9 2 3" xfId="23623" xr:uid="{76260AB3-BA5C-4409-B71D-F98865DB44B6}"/>
    <cellStyle name="Input [yellow] 3 9 2 4" xfId="23624" xr:uid="{0A92AF04-C48C-445D-BC1F-78E25B671A2F}"/>
    <cellStyle name="Input [yellow] 3 9 2 5" xfId="23625" xr:uid="{C4E69C1B-42F9-4231-B43B-0CA55AAC7107}"/>
    <cellStyle name="Input [yellow] 3 9 2 6" xfId="23626" xr:uid="{71136D36-B436-4D49-99B9-4EFCE061372C}"/>
    <cellStyle name="Input [yellow] 3 9 3" xfId="23627" xr:uid="{FB5F2A70-6095-4589-BD6D-A1FCBC1C3756}"/>
    <cellStyle name="Input [yellow] 3 9 4" xfId="23628" xr:uid="{DE5A2102-714E-4B88-9D76-2BEDFA85D143}"/>
    <cellStyle name="Input [yellow] 3 9 5" xfId="23629" xr:uid="{01508F94-3671-4D53-B414-ACFE1E77C0A9}"/>
    <cellStyle name="Input [yellow] 3 9 6" xfId="23630" xr:uid="{0631EB9B-3799-4593-8E82-F41234ABF75B}"/>
    <cellStyle name="Input [yellow] 3 9 7" xfId="23631" xr:uid="{AE3FA6D0-20C2-47DB-9920-540F4290097F}"/>
    <cellStyle name="Input [yellow] 30" xfId="1244" xr:uid="{B34720C4-2AD2-4A55-8FFC-A768A2D7E152}"/>
    <cellStyle name="Input [yellow] 30 2" xfId="11738" xr:uid="{3B9AD544-B5F4-402C-AC64-F93EE79AE491}"/>
    <cellStyle name="Input [yellow] 30 2 2" xfId="23632" xr:uid="{DA51369C-7B1A-4E93-BD78-DFA8407C974C}"/>
    <cellStyle name="Input [yellow] 30 2 3" xfId="23633" xr:uid="{688E2EEA-1125-4E31-B718-13878FA7824B}"/>
    <cellStyle name="Input [yellow] 30 2 4" xfId="23634" xr:uid="{F3C3596F-585E-42CA-AC41-1AD541D189E4}"/>
    <cellStyle name="Input [yellow] 30 2 5" xfId="23635" xr:uid="{AE5DAF23-3D71-475E-9CCF-28AB6D0997F7}"/>
    <cellStyle name="Input [yellow] 30 2 6" xfId="23636" xr:uid="{0237B732-4D79-4CED-BD85-EC526E14A046}"/>
    <cellStyle name="Input [yellow] 30 3" xfId="23637" xr:uid="{A8C39A42-F721-49B3-B691-A6EC1F8B4405}"/>
    <cellStyle name="Input [yellow] 30 4" xfId="23638" xr:uid="{8758D426-7344-4136-933D-1A81F362999A}"/>
    <cellStyle name="Input [yellow] 30 5" xfId="23639" xr:uid="{5FADACE6-02EC-46F4-921A-CC6BABE70C85}"/>
    <cellStyle name="Input [yellow] 30 6" xfId="23640" xr:uid="{494108FE-3D00-4765-A252-3D475F9A9F8B}"/>
    <cellStyle name="Input [yellow] 30 7" xfId="23641" xr:uid="{0A28D81D-FB4D-4C3C-A05C-0DC14CAB0A85}"/>
    <cellStyle name="Input [yellow] 31" xfId="1245" xr:uid="{F0DBDC56-E49A-46BA-841E-E49AAC717154}"/>
    <cellStyle name="Input [yellow] 31 2" xfId="9859" xr:uid="{2B64588D-CF68-415E-BC6D-443720862819}"/>
    <cellStyle name="Input [yellow] 31 2 2" xfId="23642" xr:uid="{EEC8A4D6-0D6E-4DD0-939D-77D5807F2008}"/>
    <cellStyle name="Input [yellow] 31 2 3" xfId="23643" xr:uid="{6ABDC499-1DFC-46F3-8D68-9E1456E4CEE5}"/>
    <cellStyle name="Input [yellow] 31 2 4" xfId="23644" xr:uid="{FE438D4C-53DA-4B97-B54A-16C86BDAB8E6}"/>
    <cellStyle name="Input [yellow] 31 2 5" xfId="23645" xr:uid="{291AE7B2-F361-4426-BC6D-DB31B7DA8FF0}"/>
    <cellStyle name="Input [yellow] 31 2 6" xfId="23646" xr:uid="{23376C4D-AFB7-49AA-8711-8307DBD880BE}"/>
    <cellStyle name="Input [yellow] 31 3" xfId="23647" xr:uid="{C92989EE-6083-4ABC-BB79-000AF0CAD369}"/>
    <cellStyle name="Input [yellow] 31 4" xfId="23648" xr:uid="{05D6EE88-D8D1-4121-8551-2D9FC4C9365F}"/>
    <cellStyle name="Input [yellow] 31 5" xfId="23649" xr:uid="{3B1CFA19-0246-4A02-8664-2DA874106E29}"/>
    <cellStyle name="Input [yellow] 31 6" xfId="23650" xr:uid="{FDE8EDCC-9D26-47B4-BA85-6AE89F79E04D}"/>
    <cellStyle name="Input [yellow] 31 7" xfId="23651" xr:uid="{AF7FA7DD-E63B-4F6C-B7BA-0464A037ABB8}"/>
    <cellStyle name="Input [yellow] 32" xfId="1246" xr:uid="{6EB28B65-2831-4F1D-B9A4-AE630F472280}"/>
    <cellStyle name="Input [yellow] 32 2" xfId="11900" xr:uid="{CAD3E78B-035A-40C5-B3DF-B74A9A134A8A}"/>
    <cellStyle name="Input [yellow] 32 2 2" xfId="23652" xr:uid="{7E76C62D-48DF-4AC4-8919-A68DCC574575}"/>
    <cellStyle name="Input [yellow] 32 2 3" xfId="23653" xr:uid="{6FB8DE37-C2EB-486D-AAFA-65366C25B418}"/>
    <cellStyle name="Input [yellow] 32 2 4" xfId="23654" xr:uid="{A60EC512-4126-4341-8D50-3F9D524A6D8F}"/>
    <cellStyle name="Input [yellow] 32 2 5" xfId="23655" xr:uid="{B3C00503-A1FE-41A2-AB5D-834FE4716F95}"/>
    <cellStyle name="Input [yellow] 32 2 6" xfId="23656" xr:uid="{ABF12637-D9B4-4F51-B435-F78A5F1E1AF7}"/>
    <cellStyle name="Input [yellow] 32 3" xfId="23657" xr:uid="{5D452DB1-7FA4-4C83-BF3C-36AA8BD65999}"/>
    <cellStyle name="Input [yellow] 32 4" xfId="23658" xr:uid="{5AFEA098-7697-4944-888A-70015BC53311}"/>
    <cellStyle name="Input [yellow] 32 5" xfId="23659" xr:uid="{516D4A99-840D-4653-982C-77599847CAB6}"/>
    <cellStyle name="Input [yellow] 32 6" xfId="23660" xr:uid="{3DF615F0-205C-4D67-956E-4DB4D1D256CD}"/>
    <cellStyle name="Input [yellow] 32 7" xfId="23661" xr:uid="{46CD1267-7F1E-4DC6-90BF-3F3C9376D12B}"/>
    <cellStyle name="Input [yellow] 33" xfId="1247" xr:uid="{0BFC6A0D-5925-4667-B976-1060CFCA47CF}"/>
    <cellStyle name="Input [yellow] 33 2" xfId="11984" xr:uid="{A66F4B07-CE48-4C40-9F39-2F040A7B0BD2}"/>
    <cellStyle name="Input [yellow] 33 2 2" xfId="23662" xr:uid="{E1DF08FB-2BF5-4A1B-AF72-7C758F01BBE6}"/>
    <cellStyle name="Input [yellow] 33 2 3" xfId="23663" xr:uid="{068143B9-ADF8-48BD-92EA-855F78E817BF}"/>
    <cellStyle name="Input [yellow] 33 2 4" xfId="23664" xr:uid="{7E58E9D9-6307-4C93-8512-AF3078E745F0}"/>
    <cellStyle name="Input [yellow] 33 2 5" xfId="23665" xr:uid="{44287BC7-74E8-4A20-A382-DA517AB6BEFE}"/>
    <cellStyle name="Input [yellow] 33 2 6" xfId="23666" xr:uid="{67CB9164-797F-42C7-8595-5541385064B6}"/>
    <cellStyle name="Input [yellow] 33 3" xfId="23667" xr:uid="{CB1C73B0-AFFE-4A42-AFF0-5CE2A595BF04}"/>
    <cellStyle name="Input [yellow] 33 4" xfId="23668" xr:uid="{AA2B3164-4E17-4FDD-B3AA-4FBA91533070}"/>
    <cellStyle name="Input [yellow] 33 5" xfId="23669" xr:uid="{7F56A1AB-E75C-40BC-8A00-DE5F7A081889}"/>
    <cellStyle name="Input [yellow] 33 6" xfId="23670" xr:uid="{9047C548-3722-4B5F-92AF-F7AF483AB80E}"/>
    <cellStyle name="Input [yellow] 33 7" xfId="23671" xr:uid="{450E821A-8453-48C9-B350-29E0068E08BB}"/>
    <cellStyle name="Input [yellow] 34" xfId="1248" xr:uid="{B02DDA23-1E1D-4CFA-90D7-E72FD2FAC33B}"/>
    <cellStyle name="Input [yellow] 34 2" xfId="11152" xr:uid="{F102B9E6-EC49-48D9-B335-482DCC097C31}"/>
    <cellStyle name="Input [yellow] 34 2 2" xfId="23672" xr:uid="{6872C326-3C69-402C-ADCA-378D482E6C16}"/>
    <cellStyle name="Input [yellow] 34 2 3" xfId="23673" xr:uid="{1942B3A2-C223-40E0-A6A7-6FFDFEC92322}"/>
    <cellStyle name="Input [yellow] 34 2 4" xfId="23674" xr:uid="{CF60532B-4AE2-4647-83BC-CDE44AFA6BC6}"/>
    <cellStyle name="Input [yellow] 34 2 5" xfId="23675" xr:uid="{13CFCEE9-C7FF-4A5C-929C-FC98946D18C8}"/>
    <cellStyle name="Input [yellow] 34 2 6" xfId="23676" xr:uid="{2E47D51C-429C-4D50-A259-97ED5AF438F2}"/>
    <cellStyle name="Input [yellow] 34 3" xfId="23677" xr:uid="{ACE90D29-2C25-461F-936A-5673E96735A1}"/>
    <cellStyle name="Input [yellow] 34 4" xfId="23678" xr:uid="{F989CD51-70D3-4572-8C6D-C3240586C480}"/>
    <cellStyle name="Input [yellow] 34 5" xfId="23679" xr:uid="{F7C1BE51-4EC6-4457-AFFF-47E009831AC5}"/>
    <cellStyle name="Input [yellow] 34 6" xfId="23680" xr:uid="{214ADC04-C1F9-4323-8F17-5F63B34E9F36}"/>
    <cellStyle name="Input [yellow] 34 7" xfId="23681" xr:uid="{1F433939-7103-43FA-BDFC-EE4310D3FDC3}"/>
    <cellStyle name="Input [yellow] 35" xfId="1249" xr:uid="{7065372D-B29B-45C9-963E-6C035399A97D}"/>
    <cellStyle name="Input [yellow] 35 2" xfId="9737" xr:uid="{0D3DBB65-4266-4D67-BFA3-B8688D2C83D8}"/>
    <cellStyle name="Input [yellow] 35 2 2" xfId="23682" xr:uid="{E7350F98-D1EA-40D7-AE91-6967430E32E3}"/>
    <cellStyle name="Input [yellow] 35 2 3" xfId="23683" xr:uid="{A167A341-3D06-4EE7-B85C-A040F81D2747}"/>
    <cellStyle name="Input [yellow] 35 2 4" xfId="23684" xr:uid="{53C958D9-2960-4EC1-9C16-B53055B8AECF}"/>
    <cellStyle name="Input [yellow] 35 2 5" xfId="23685" xr:uid="{302702E1-0111-4888-AADB-1DB7B54FC9C4}"/>
    <cellStyle name="Input [yellow] 35 2 6" xfId="23686" xr:uid="{F526983B-14A9-45B2-BEF9-251DB1F3E013}"/>
    <cellStyle name="Input [yellow] 35 3" xfId="23687" xr:uid="{6FB586D3-6D3C-48F7-B1B8-9A29CA0153E1}"/>
    <cellStyle name="Input [yellow] 35 4" xfId="23688" xr:uid="{7C89036B-2CDE-4435-8F84-BC0A1035406D}"/>
    <cellStyle name="Input [yellow] 35 5" xfId="23689" xr:uid="{1AF98D73-B8AD-45A4-A258-E9A902E5761D}"/>
    <cellStyle name="Input [yellow] 35 6" xfId="23690" xr:uid="{B06FA8DE-7A83-440B-8683-C4516A1400E9}"/>
    <cellStyle name="Input [yellow] 35 7" xfId="23691" xr:uid="{0357783F-8464-4215-817E-D4C1EA0F1CC1}"/>
    <cellStyle name="Input [yellow] 36" xfId="1250" xr:uid="{0ED2330F-F514-4CDA-8B37-BFE87BFA945D}"/>
    <cellStyle name="Input [yellow] 36 2" xfId="11240" xr:uid="{26A5AC2B-A274-442D-B407-1F54ABC2F191}"/>
    <cellStyle name="Input [yellow] 36 2 2" xfId="23692" xr:uid="{0A0EE1B0-7D0A-4D91-8081-2CA7F6637077}"/>
    <cellStyle name="Input [yellow] 36 2 3" xfId="23693" xr:uid="{43105E19-5A9A-4AB2-90CF-B9D990670B3D}"/>
    <cellStyle name="Input [yellow] 36 2 4" xfId="23694" xr:uid="{6420B405-72A8-425E-881B-0CCC7DFAFFB2}"/>
    <cellStyle name="Input [yellow] 36 2 5" xfId="23695" xr:uid="{A6E7621C-5C64-4A83-A689-EDDC49839E4F}"/>
    <cellStyle name="Input [yellow] 36 2 6" xfId="23696" xr:uid="{F7459647-3346-4125-88E5-FC18FF2059B8}"/>
    <cellStyle name="Input [yellow] 36 3" xfId="23697" xr:uid="{D65DEF65-9C63-4A67-91F1-15127B40EDB3}"/>
    <cellStyle name="Input [yellow] 36 4" xfId="23698" xr:uid="{298758CE-362B-46BD-8695-DE4EE7EFF5BE}"/>
    <cellStyle name="Input [yellow] 36 5" xfId="23699" xr:uid="{1EE29F5F-1468-4B4E-B124-DFE3D4C341F2}"/>
    <cellStyle name="Input [yellow] 36 6" xfId="23700" xr:uid="{AD82D571-4AB6-4647-A067-C3816CD223B4}"/>
    <cellStyle name="Input [yellow] 36 7" xfId="23701" xr:uid="{9317C8DD-8CF5-4F35-8ED5-82191CD97811}"/>
    <cellStyle name="Input [yellow] 37" xfId="1251" xr:uid="{C88F3CA7-D716-4794-B78C-B7E702AE04B0}"/>
    <cellStyle name="Input [yellow] 37 2" xfId="11988" xr:uid="{D3E720D1-6E8F-4CEE-8865-0CDDE03914B2}"/>
    <cellStyle name="Input [yellow] 37 2 2" xfId="23702" xr:uid="{9557CAE1-0CF1-46BD-A831-219F1BF73D74}"/>
    <cellStyle name="Input [yellow] 37 2 3" xfId="23703" xr:uid="{AC962E10-8787-4F18-BA4E-6DC4CCEB5720}"/>
    <cellStyle name="Input [yellow] 37 2 4" xfId="23704" xr:uid="{4575ADB1-B7D4-4C2B-9F77-155D57E49C1E}"/>
    <cellStyle name="Input [yellow] 37 2 5" xfId="23705" xr:uid="{A1323466-4777-4CDF-AF1C-050B03D8E00F}"/>
    <cellStyle name="Input [yellow] 37 2 6" xfId="23706" xr:uid="{2457A7E8-1D60-428F-971F-A8EA8616FA4C}"/>
    <cellStyle name="Input [yellow] 37 3" xfId="23707" xr:uid="{0569559D-A69B-434D-9B0A-631742ADC5B5}"/>
    <cellStyle name="Input [yellow] 37 4" xfId="23708" xr:uid="{4CD16E16-3F05-45BF-A8FA-637EFB4595B8}"/>
    <cellStyle name="Input [yellow] 37 5" xfId="23709" xr:uid="{D2ADAEDA-4CA8-41E1-B863-6B85871853CE}"/>
    <cellStyle name="Input [yellow] 37 6" xfId="23710" xr:uid="{5D140DB3-4F03-4997-90A8-463BBA37C245}"/>
    <cellStyle name="Input [yellow] 37 7" xfId="23711" xr:uid="{354D6EBB-81B3-4672-B135-A7DC5D779CAB}"/>
    <cellStyle name="Input [yellow] 38" xfId="1252" xr:uid="{B6536893-8D78-4A11-B62E-FD4C2F67F438}"/>
    <cellStyle name="Input [yellow] 38 2" xfId="9978" xr:uid="{AD463843-7803-4590-A288-EF99BA132ED5}"/>
    <cellStyle name="Input [yellow] 38 2 2" xfId="23712" xr:uid="{D2E51392-C7F7-42CB-8545-A08FE0EFF7E3}"/>
    <cellStyle name="Input [yellow] 38 2 3" xfId="23713" xr:uid="{18F4A44A-3B10-4815-998E-B3D4CBAE4022}"/>
    <cellStyle name="Input [yellow] 38 2 4" xfId="23714" xr:uid="{CDF10C04-3270-4ECC-A68A-279946042519}"/>
    <cellStyle name="Input [yellow] 38 2 5" xfId="23715" xr:uid="{1BFA4EE2-96E3-46C6-985E-CCE05AE8A191}"/>
    <cellStyle name="Input [yellow] 38 2 6" xfId="23716" xr:uid="{925ABF68-D899-4FF1-BD1F-0D6FC976F252}"/>
    <cellStyle name="Input [yellow] 38 3" xfId="23717" xr:uid="{1C3502EE-A997-49AC-A4EF-5EBBCEAA63A9}"/>
    <cellStyle name="Input [yellow] 38 4" xfId="23718" xr:uid="{E0B4C470-20B9-4C71-A4D0-A491870D338B}"/>
    <cellStyle name="Input [yellow] 38 5" xfId="23719" xr:uid="{85FAE355-F6F7-43E7-820E-660EAED567A8}"/>
    <cellStyle name="Input [yellow] 38 6" xfId="23720" xr:uid="{33858663-B669-43EF-8A6A-26D4161F4AC1}"/>
    <cellStyle name="Input [yellow] 38 7" xfId="23721" xr:uid="{D600E6A2-FD37-41D1-B631-7FA399C56E10}"/>
    <cellStyle name="Input [yellow] 39" xfId="9766" xr:uid="{E902750C-347F-42E2-A77A-621F3C694877}"/>
    <cellStyle name="Input [yellow] 39 2" xfId="23722" xr:uid="{39E22392-0BD9-455D-8BF5-775D2171DF40}"/>
    <cellStyle name="Input [yellow] 39 3" xfId="23723" xr:uid="{361CD70F-C45F-47F5-B866-8FEE968B1971}"/>
    <cellStyle name="Input [yellow] 39 4" xfId="23724" xr:uid="{3F498735-F8EF-4835-9A49-BE50331C20B8}"/>
    <cellStyle name="Input [yellow] 39 5" xfId="23725" xr:uid="{F9BC77AD-767B-4E49-ABE7-217CF2EAA373}"/>
    <cellStyle name="Input [yellow] 39 6" xfId="23726" xr:uid="{03452D6A-039A-483E-9FF7-757874D26A67}"/>
    <cellStyle name="Input [yellow] 4" xfId="1253" xr:uid="{657E8B1A-54BB-409F-B705-2FDC583A116A}"/>
    <cellStyle name="Input [yellow] 4 10" xfId="1254" xr:uid="{864D75E9-7529-47C7-AF46-20D889C07EF2}"/>
    <cellStyle name="Input [yellow] 4 10 2" xfId="10702" xr:uid="{2DCB7C04-65BE-4E79-ADB4-62C080D1C548}"/>
    <cellStyle name="Input [yellow] 4 10 2 2" xfId="23727" xr:uid="{F829D0E0-8E81-4A2D-A7CD-92152BAFFC74}"/>
    <cellStyle name="Input [yellow] 4 10 2 3" xfId="23728" xr:uid="{4558B2C8-95A1-43EA-868D-2426F62DA0B0}"/>
    <cellStyle name="Input [yellow] 4 10 2 4" xfId="23729" xr:uid="{6B204147-89FD-4340-AE18-DCB53D1D0C64}"/>
    <cellStyle name="Input [yellow] 4 10 2 5" xfId="23730" xr:uid="{8BD94534-B7FD-4083-BB84-65944F98E77A}"/>
    <cellStyle name="Input [yellow] 4 10 2 6" xfId="23731" xr:uid="{A78C66E4-F02B-4E75-82F0-E5EF49C3453F}"/>
    <cellStyle name="Input [yellow] 4 10 3" xfId="23732" xr:uid="{113A810C-B0C4-4E0E-9336-748F0C560677}"/>
    <cellStyle name="Input [yellow] 4 10 4" xfId="23733" xr:uid="{9CCB2F96-E0AB-4649-BEBA-C9809CC45697}"/>
    <cellStyle name="Input [yellow] 4 10 5" xfId="23734" xr:uid="{5BFFB0CE-3356-4690-8D18-B50FE943751A}"/>
    <cellStyle name="Input [yellow] 4 10 6" xfId="23735" xr:uid="{15CC446C-6DE8-41DD-A2C6-13409A264499}"/>
    <cellStyle name="Input [yellow] 4 10 7" xfId="23736" xr:uid="{4D8462F4-BA47-475F-AA29-8F20F501F48B}"/>
    <cellStyle name="Input [yellow] 4 11" xfId="1255" xr:uid="{CA12DE4E-ACFB-4270-A68D-DEC659310277}"/>
    <cellStyle name="Input [yellow] 4 11 2" xfId="10793" xr:uid="{F882B9EB-A072-47CE-A99A-E60B0C397009}"/>
    <cellStyle name="Input [yellow] 4 11 2 2" xfId="23737" xr:uid="{DF5717B5-96EC-402B-AEB9-CA23E2649227}"/>
    <cellStyle name="Input [yellow] 4 11 2 3" xfId="23738" xr:uid="{D9B394A5-B589-420C-982F-55BF8D108414}"/>
    <cellStyle name="Input [yellow] 4 11 2 4" xfId="23739" xr:uid="{8F0F444E-6A77-45DE-A27E-D947730D18D9}"/>
    <cellStyle name="Input [yellow] 4 11 2 5" xfId="23740" xr:uid="{3D9977A6-12E8-4143-BF57-07EA4A2CC624}"/>
    <cellStyle name="Input [yellow] 4 11 2 6" xfId="23741" xr:uid="{33EFEF79-ECDD-41A1-80C9-6193334AA586}"/>
    <cellStyle name="Input [yellow] 4 11 3" xfId="23742" xr:uid="{8645EAC4-2356-4690-A988-F39833F4B9C7}"/>
    <cellStyle name="Input [yellow] 4 11 4" xfId="23743" xr:uid="{764FAF74-E602-4256-9074-4A2D17F00380}"/>
    <cellStyle name="Input [yellow] 4 11 5" xfId="23744" xr:uid="{8724935B-F096-4BAA-BFB4-DEB87EDF8A21}"/>
    <cellStyle name="Input [yellow] 4 11 6" xfId="23745" xr:uid="{FA3EAF44-F11E-4C01-908D-64BDEC0678F9}"/>
    <cellStyle name="Input [yellow] 4 11 7" xfId="23746" xr:uid="{C7AF7450-D405-4141-9312-EAF580E97365}"/>
    <cellStyle name="Input [yellow] 4 12" xfId="1256" xr:uid="{14DA2C75-2A64-4D71-964D-89815BE0831F}"/>
    <cellStyle name="Input [yellow] 4 12 2" xfId="10880" xr:uid="{3B74D43C-74B8-4B30-ABC0-2C40C499810C}"/>
    <cellStyle name="Input [yellow] 4 12 2 2" xfId="23747" xr:uid="{65C434AC-0915-4C38-B563-006328C03C50}"/>
    <cellStyle name="Input [yellow] 4 12 2 3" xfId="23748" xr:uid="{4B78C16B-E7A6-468C-B49A-CE30E4CBEC50}"/>
    <cellStyle name="Input [yellow] 4 12 2 4" xfId="23749" xr:uid="{0F7B0744-E1DA-4DB8-9FF4-18E9C4775A2C}"/>
    <cellStyle name="Input [yellow] 4 12 2 5" xfId="23750" xr:uid="{6255D9DA-3E68-4E4E-8E1D-66BDD5ECFB45}"/>
    <cellStyle name="Input [yellow] 4 12 2 6" xfId="23751" xr:uid="{6542BBFD-6756-4410-8416-5D791DF044E4}"/>
    <cellStyle name="Input [yellow] 4 12 3" xfId="23752" xr:uid="{74B759BF-97A6-478E-A10D-834F85F547FA}"/>
    <cellStyle name="Input [yellow] 4 12 4" xfId="23753" xr:uid="{147C62AB-74D3-4919-8D52-9FF93CA6FC2E}"/>
    <cellStyle name="Input [yellow] 4 12 5" xfId="23754" xr:uid="{BF4570E9-B4DD-4D88-B3D0-AE14B92F4DC5}"/>
    <cellStyle name="Input [yellow] 4 12 6" xfId="23755" xr:uid="{F00823F4-18B6-470F-9305-B636838B9F31}"/>
    <cellStyle name="Input [yellow] 4 12 7" xfId="23756" xr:uid="{194516B6-3EA4-4A3A-B72A-BBA5C0ED11B0}"/>
    <cellStyle name="Input [yellow] 4 13" xfId="1257" xr:uid="{838DF5FA-6D72-42AD-B219-04F96523C889}"/>
    <cellStyle name="Input [yellow] 4 13 2" xfId="10969" xr:uid="{5BEBD997-048C-4E9D-9DCF-4987BD068189}"/>
    <cellStyle name="Input [yellow] 4 13 2 2" xfId="23757" xr:uid="{EC77D2B6-3EEC-4E29-8FB9-28D3C7450883}"/>
    <cellStyle name="Input [yellow] 4 13 2 3" xfId="23758" xr:uid="{64B224D8-0E6A-4E46-BD35-9E8B981CA1E5}"/>
    <cellStyle name="Input [yellow] 4 13 2 4" xfId="23759" xr:uid="{CBAEF157-4A9F-41AF-99D1-A470319592D5}"/>
    <cellStyle name="Input [yellow] 4 13 2 5" xfId="23760" xr:uid="{F43A2C9D-29B9-4476-8B35-2AAF8CA80288}"/>
    <cellStyle name="Input [yellow] 4 13 2 6" xfId="23761" xr:uid="{4DC0CE60-6204-4714-A390-8FA7EC217C17}"/>
    <cellStyle name="Input [yellow] 4 13 3" xfId="23762" xr:uid="{67C11D44-D2D6-4E7F-819F-17401DCB8A0B}"/>
    <cellStyle name="Input [yellow] 4 13 4" xfId="23763" xr:uid="{D1AF861F-CD27-433E-BCF3-944D5C83C17F}"/>
    <cellStyle name="Input [yellow] 4 13 5" xfId="23764" xr:uid="{AAEA440C-1E1E-43D0-9A86-C5DCD95FBB34}"/>
    <cellStyle name="Input [yellow] 4 13 6" xfId="23765" xr:uid="{833EE8FA-A9F1-4C04-A90F-335309D3B164}"/>
    <cellStyle name="Input [yellow] 4 13 7" xfId="23766" xr:uid="{1A187B99-07CF-48E0-9CFD-802B295DD161}"/>
    <cellStyle name="Input [yellow] 4 14" xfId="1258" xr:uid="{D7862936-60C0-4018-9F15-5E4303E9E897}"/>
    <cellStyle name="Input [yellow] 4 14 2" xfId="11061" xr:uid="{B5FA60C2-3656-4614-9EE0-921B93409F40}"/>
    <cellStyle name="Input [yellow] 4 14 2 2" xfId="23767" xr:uid="{0625248A-1C97-4427-A1A0-CC1DFF9EDFE1}"/>
    <cellStyle name="Input [yellow] 4 14 2 3" xfId="23768" xr:uid="{AAB2D8E4-7296-419F-90F0-5741DF6DE4A8}"/>
    <cellStyle name="Input [yellow] 4 14 2 4" xfId="23769" xr:uid="{596DC3F9-8015-4236-B030-E9FA8741A035}"/>
    <cellStyle name="Input [yellow] 4 14 2 5" xfId="23770" xr:uid="{B09DC2EF-489E-4856-AC01-511CAF879B0B}"/>
    <cellStyle name="Input [yellow] 4 14 2 6" xfId="23771" xr:uid="{CA70432D-2D6E-4108-8EE1-9F18D672E592}"/>
    <cellStyle name="Input [yellow] 4 14 3" xfId="23772" xr:uid="{60E03BF5-2912-46F0-B0B6-22F7DDC2F3B4}"/>
    <cellStyle name="Input [yellow] 4 14 4" xfId="23773" xr:uid="{6D011E7B-DA23-4B69-B668-AC2D73755E42}"/>
    <cellStyle name="Input [yellow] 4 14 5" xfId="23774" xr:uid="{00A5354D-C224-4FEE-8C19-9B586B3171C8}"/>
    <cellStyle name="Input [yellow] 4 14 6" xfId="23775" xr:uid="{886008E0-A372-4CEF-B529-F122BE386665}"/>
    <cellStyle name="Input [yellow] 4 14 7" xfId="23776" xr:uid="{11ED370B-611D-4497-9702-3FC8F48F77FB}"/>
    <cellStyle name="Input [yellow] 4 15" xfId="1259" xr:uid="{EB46649F-CA62-467A-BA34-36F8C89A714A}"/>
    <cellStyle name="Input [yellow] 4 15 2" xfId="11144" xr:uid="{87E010DF-08E7-4C50-9967-8B233FDF37D2}"/>
    <cellStyle name="Input [yellow] 4 15 2 2" xfId="23777" xr:uid="{57EDB6D2-CA93-475C-B59A-7D16DBC64A7A}"/>
    <cellStyle name="Input [yellow] 4 15 2 3" xfId="23778" xr:uid="{EAA88F40-2C6F-4EE5-A9E4-6F6FBF9AC779}"/>
    <cellStyle name="Input [yellow] 4 15 2 4" xfId="23779" xr:uid="{8BD3433B-7247-4929-B096-C0544A167F61}"/>
    <cellStyle name="Input [yellow] 4 15 2 5" xfId="23780" xr:uid="{DFCDF98A-4BAD-4704-83BC-32D7B3EE3527}"/>
    <cellStyle name="Input [yellow] 4 15 2 6" xfId="23781" xr:uid="{06859C6C-6D05-4C75-8965-C360AA6E01EB}"/>
    <cellStyle name="Input [yellow] 4 15 3" xfId="23782" xr:uid="{1CD34D71-6F2B-4F4F-8073-CF6EF01923B5}"/>
    <cellStyle name="Input [yellow] 4 15 4" xfId="23783" xr:uid="{50E38645-BB3B-47EC-B3DC-A178B011A158}"/>
    <cellStyle name="Input [yellow] 4 15 5" xfId="23784" xr:uid="{593E85FB-F45F-4783-AA12-E1BDF04E31D0}"/>
    <cellStyle name="Input [yellow] 4 15 6" xfId="23785" xr:uid="{BCCD19F1-0C8F-41B5-992B-97CEE90A704A}"/>
    <cellStyle name="Input [yellow] 4 15 7" xfId="23786" xr:uid="{512686F7-40EF-49C3-A6A4-F440515DC774}"/>
    <cellStyle name="Input [yellow] 4 16" xfId="1260" xr:uid="{54BC568F-6546-4C6B-8635-EC35F706DF78}"/>
    <cellStyle name="Input [yellow] 4 16 2" xfId="11233" xr:uid="{5EDB5745-F49C-4464-B486-D0D01FC89559}"/>
    <cellStyle name="Input [yellow] 4 16 2 2" xfId="23787" xr:uid="{DB7860D5-30FE-45B1-9D10-5CC8AF531854}"/>
    <cellStyle name="Input [yellow] 4 16 2 3" xfId="23788" xr:uid="{EA864030-53DD-489D-8718-67A1858143C0}"/>
    <cellStyle name="Input [yellow] 4 16 2 4" xfId="23789" xr:uid="{826EF843-68D8-4A03-B314-F6643BEBC7A4}"/>
    <cellStyle name="Input [yellow] 4 16 2 5" xfId="23790" xr:uid="{C5739991-0B84-4C82-A19B-4D79A7C86619}"/>
    <cellStyle name="Input [yellow] 4 16 2 6" xfId="23791" xr:uid="{50E3BA11-4693-4090-9006-30BD78D6F57F}"/>
    <cellStyle name="Input [yellow] 4 16 3" xfId="23792" xr:uid="{AF0E9466-907C-499D-8E94-A798A48358A8}"/>
    <cellStyle name="Input [yellow] 4 16 4" xfId="23793" xr:uid="{E7DD7894-8DC4-4700-9673-CC6AC22F0600}"/>
    <cellStyle name="Input [yellow] 4 16 5" xfId="23794" xr:uid="{3C008677-49EA-4C8D-BF92-978ECD8E3680}"/>
    <cellStyle name="Input [yellow] 4 16 6" xfId="23795" xr:uid="{3056E23F-C19C-47EA-A09D-BC01E4BF9468}"/>
    <cellStyle name="Input [yellow] 4 16 7" xfId="23796" xr:uid="{D9669F8E-59FF-43B8-87B8-C317670558D3}"/>
    <cellStyle name="Input [yellow] 4 17" xfId="1261" xr:uid="{CC071B6A-F82B-4AF1-887A-320851A25D93}"/>
    <cellStyle name="Input [yellow] 4 17 2" xfId="11319" xr:uid="{D63AA3E2-5B2E-4234-BFE2-22B2C615E111}"/>
    <cellStyle name="Input [yellow] 4 17 2 2" xfId="23797" xr:uid="{23B4AD9D-12A7-4CA8-A9D7-A5933351B5C6}"/>
    <cellStyle name="Input [yellow] 4 17 2 3" xfId="23798" xr:uid="{93D58293-7587-48E0-9DF3-B8EAC31DABD1}"/>
    <cellStyle name="Input [yellow] 4 17 2 4" xfId="23799" xr:uid="{D412FADD-8498-41B8-8B2D-0B1134C5B16B}"/>
    <cellStyle name="Input [yellow] 4 17 2 5" xfId="23800" xr:uid="{D78D05A6-146C-4EE7-921F-AC7015266D1F}"/>
    <cellStyle name="Input [yellow] 4 17 2 6" xfId="23801" xr:uid="{64263700-7AC3-4AF3-8380-651D6E52F599}"/>
    <cellStyle name="Input [yellow] 4 17 3" xfId="23802" xr:uid="{B0AA2E5F-D8FD-40B9-9B71-1F2A391F7C0B}"/>
    <cellStyle name="Input [yellow] 4 17 4" xfId="23803" xr:uid="{235703D0-1AE3-467F-8CBD-D345A1F197DC}"/>
    <cellStyle name="Input [yellow] 4 17 5" xfId="23804" xr:uid="{2FBB60DF-4129-418D-A056-A054291496CB}"/>
    <cellStyle name="Input [yellow] 4 17 6" xfId="23805" xr:uid="{387C55DE-F141-4B0D-B3F7-3A346BEABB87}"/>
    <cellStyle name="Input [yellow] 4 17 7" xfId="23806" xr:uid="{DC772344-D414-4B1A-BE0D-CF59DCEC34DE}"/>
    <cellStyle name="Input [yellow] 4 18" xfId="1262" xr:uid="{2C2DBA6E-962B-4F85-8F02-4D33C8E4A416}"/>
    <cellStyle name="Input [yellow] 4 18 2" xfId="11406" xr:uid="{3A232305-C54A-4469-AC6E-8DD654AED571}"/>
    <cellStyle name="Input [yellow] 4 18 2 2" xfId="23807" xr:uid="{0AC4ACB3-2D22-4779-ABF0-A69B645AC868}"/>
    <cellStyle name="Input [yellow] 4 18 2 3" xfId="23808" xr:uid="{F24D3979-9182-4DDA-B7F6-07FEE5E5B626}"/>
    <cellStyle name="Input [yellow] 4 18 2 4" xfId="23809" xr:uid="{0D639262-E56A-46E7-8657-AD62CD21C814}"/>
    <cellStyle name="Input [yellow] 4 18 2 5" xfId="23810" xr:uid="{1D36212E-69CD-47C5-919A-49C5440E8D1C}"/>
    <cellStyle name="Input [yellow] 4 18 2 6" xfId="23811" xr:uid="{B1179CC4-A234-46CA-A3F9-FC5D26103E4E}"/>
    <cellStyle name="Input [yellow] 4 18 3" xfId="23812" xr:uid="{D3670223-51CA-4BB7-990E-12633B8268F9}"/>
    <cellStyle name="Input [yellow] 4 18 4" xfId="23813" xr:uid="{FF26625C-96B2-4AD8-9594-C997CF83C231}"/>
    <cellStyle name="Input [yellow] 4 18 5" xfId="23814" xr:uid="{40F2C258-CA6B-4DE7-A2AA-2F2934700433}"/>
    <cellStyle name="Input [yellow] 4 18 6" xfId="23815" xr:uid="{3A832E79-096B-4587-B235-3E67EB0E32A4}"/>
    <cellStyle name="Input [yellow] 4 18 7" xfId="23816" xr:uid="{41BC8917-3405-40CC-AFCC-0E955272E5AA}"/>
    <cellStyle name="Input [yellow] 4 19" xfId="1263" xr:uid="{44F9B88B-55C0-4BB6-B98E-C689C2EAB258}"/>
    <cellStyle name="Input [yellow] 4 19 2" xfId="11493" xr:uid="{FC70CDC5-C53D-43E3-A26D-98CFEA7B36ED}"/>
    <cellStyle name="Input [yellow] 4 19 2 2" xfId="23817" xr:uid="{C8490A94-E304-4B30-A6C7-4E733AB71C2D}"/>
    <cellStyle name="Input [yellow] 4 19 2 3" xfId="23818" xr:uid="{11573DDA-EC28-4896-8935-423D7A5849E7}"/>
    <cellStyle name="Input [yellow] 4 19 2 4" xfId="23819" xr:uid="{05ADF60E-503C-4BD8-B115-63FF6BE5BEF4}"/>
    <cellStyle name="Input [yellow] 4 19 2 5" xfId="23820" xr:uid="{A6DE2CA8-7EF7-4E38-9643-0D3998084B25}"/>
    <cellStyle name="Input [yellow] 4 19 2 6" xfId="23821" xr:uid="{6A632405-0A3F-495F-8262-A1749308FC2B}"/>
    <cellStyle name="Input [yellow] 4 19 3" xfId="23822" xr:uid="{61C5CFBC-125D-4497-8460-DBF87BB0BC94}"/>
    <cellStyle name="Input [yellow] 4 19 4" xfId="23823" xr:uid="{5421D164-2579-4C0E-A81F-A4E0BAE2FFAE}"/>
    <cellStyle name="Input [yellow] 4 19 5" xfId="23824" xr:uid="{7A113B5E-6DD2-410F-8155-88CC774E4949}"/>
    <cellStyle name="Input [yellow] 4 19 6" xfId="23825" xr:uid="{56995731-4010-4C34-A83C-B17884A4ADF6}"/>
    <cellStyle name="Input [yellow] 4 19 7" xfId="23826" xr:uid="{997F892D-E445-495A-ACD9-7A9F0CB4C7BE}"/>
    <cellStyle name="Input [yellow] 4 2" xfId="1264" xr:uid="{F4094C1C-6790-4B94-9182-2A3BDF1F983C}"/>
    <cellStyle name="Input [yellow] 4 2 2" xfId="9999" xr:uid="{95477E20-1FF0-4F46-ADB1-5614DCCE92FF}"/>
    <cellStyle name="Input [yellow] 4 2 2 2" xfId="23827" xr:uid="{1C37694D-AACD-42CC-A6A1-100C94AD4D09}"/>
    <cellStyle name="Input [yellow] 4 2 2 3" xfId="23828" xr:uid="{BCBF2952-CB71-441A-AC85-E73EBE231FA3}"/>
    <cellStyle name="Input [yellow] 4 2 2 4" xfId="23829" xr:uid="{DAA1FD61-20B9-4F3C-92CC-D2FFA4240040}"/>
    <cellStyle name="Input [yellow] 4 2 2 5" xfId="23830" xr:uid="{4C7E934E-0D3F-4F52-8F04-EB6D74CA0EAA}"/>
    <cellStyle name="Input [yellow] 4 2 2 6" xfId="23831" xr:uid="{76EDCCD7-F718-4F7D-8994-62A08853422F}"/>
    <cellStyle name="Input [yellow] 4 2 3" xfId="23832" xr:uid="{D3E26333-FB3A-46A7-903E-2F7CB446D5B9}"/>
    <cellStyle name="Input [yellow] 4 2 4" xfId="23833" xr:uid="{A0B91C30-4FE8-4CE5-B68F-5C1AAF329C30}"/>
    <cellStyle name="Input [yellow] 4 2 5" xfId="23834" xr:uid="{BF915CAB-A0CF-43E4-A796-FAE5F8CCC9E8}"/>
    <cellStyle name="Input [yellow] 4 2 6" xfId="23835" xr:uid="{7654AC8D-8F5C-4F4E-9746-2D0E619D2EC1}"/>
    <cellStyle name="Input [yellow] 4 2 7" xfId="23836" xr:uid="{44647DB1-A568-4508-BA29-064AE6B55CB2}"/>
    <cellStyle name="Input [yellow] 4 20" xfId="1265" xr:uid="{9C7E7E7E-F541-4432-BFE2-6500AEB2BD4D}"/>
    <cellStyle name="Input [yellow] 4 20 2" xfId="11581" xr:uid="{E495EC3C-8103-42B2-8E31-CA25C696B4A0}"/>
    <cellStyle name="Input [yellow] 4 20 2 2" xfId="23837" xr:uid="{C2611C30-FCF2-4726-B0A9-8D92503350BD}"/>
    <cellStyle name="Input [yellow] 4 20 2 3" xfId="23838" xr:uid="{EFC43114-F6BE-42EE-8B07-FCCEB4140DD8}"/>
    <cellStyle name="Input [yellow] 4 20 2 4" xfId="23839" xr:uid="{CC0C59BC-2214-49BE-A9C7-4D43D6F95279}"/>
    <cellStyle name="Input [yellow] 4 20 2 5" xfId="23840" xr:uid="{D2CFDCBF-31C4-4C30-94E0-9E63B7B195A5}"/>
    <cellStyle name="Input [yellow] 4 20 2 6" xfId="23841" xr:uid="{556686E6-2412-42B6-92AA-BF66F7C89C8D}"/>
    <cellStyle name="Input [yellow] 4 20 3" xfId="23842" xr:uid="{C475F658-A4D5-4A48-9C2C-B6C440D6ED03}"/>
    <cellStyle name="Input [yellow] 4 20 4" xfId="23843" xr:uid="{584F2A30-7B75-4EDE-A0CF-0060A574EAEA}"/>
    <cellStyle name="Input [yellow] 4 20 5" xfId="23844" xr:uid="{BA0B3668-9CD2-43E8-9EE3-81DED19BCBAD}"/>
    <cellStyle name="Input [yellow] 4 20 6" xfId="23845" xr:uid="{2465F9A6-53D9-4C79-8012-3034EDD4F2C4}"/>
    <cellStyle name="Input [yellow] 4 20 7" xfId="23846" xr:uid="{7FCE3313-E72C-492A-B138-78BC8FB3A1D8}"/>
    <cellStyle name="Input [yellow] 4 21" xfId="1266" xr:uid="{1771BB93-11B4-4FFE-AA14-DECF562AC56B}"/>
    <cellStyle name="Input [yellow] 4 21 2" xfId="11667" xr:uid="{4C3D3D37-9833-46D3-8473-9CAE2D702A3B}"/>
    <cellStyle name="Input [yellow] 4 21 2 2" xfId="23847" xr:uid="{E5DD4505-7E2A-424C-AEA9-D2ABF99902AF}"/>
    <cellStyle name="Input [yellow] 4 21 2 3" xfId="23848" xr:uid="{DDE2C0DF-A3B6-4462-9A9F-FC65CE3107CD}"/>
    <cellStyle name="Input [yellow] 4 21 2 4" xfId="23849" xr:uid="{9DB156AA-1593-4D89-A362-0264BFD722CB}"/>
    <cellStyle name="Input [yellow] 4 21 2 5" xfId="23850" xr:uid="{F321D428-B892-4541-B11B-1CF1561BA29F}"/>
    <cellStyle name="Input [yellow] 4 21 2 6" xfId="23851" xr:uid="{182EF1C3-4068-4CC7-A28E-281B41CFB080}"/>
    <cellStyle name="Input [yellow] 4 21 3" xfId="23852" xr:uid="{6F7E040E-5D42-46CA-BF64-0DFF9972C113}"/>
    <cellStyle name="Input [yellow] 4 21 4" xfId="23853" xr:uid="{5F4ADC44-2642-425B-B00F-BE866A1EA166}"/>
    <cellStyle name="Input [yellow] 4 21 5" xfId="23854" xr:uid="{FE47804E-094E-4C96-B93E-F7EF762779A0}"/>
    <cellStyle name="Input [yellow] 4 21 6" xfId="23855" xr:uid="{E907C1E9-1AD3-444A-889F-83F1872B475E}"/>
    <cellStyle name="Input [yellow] 4 21 7" xfId="23856" xr:uid="{1DBC364A-BF10-4DD8-A600-642D3A0CD203}"/>
    <cellStyle name="Input [yellow] 4 22" xfId="1267" xr:uid="{002F2271-F94D-4C51-9D20-0AA6671C8C4B}"/>
    <cellStyle name="Input [yellow] 4 22 2" xfId="11750" xr:uid="{96565C28-3AD4-4EA0-B973-4030914C6ED1}"/>
    <cellStyle name="Input [yellow] 4 22 2 2" xfId="23857" xr:uid="{C03EDB1D-359C-42FD-A980-B766D733155B}"/>
    <cellStyle name="Input [yellow] 4 22 2 3" xfId="23858" xr:uid="{6CB28644-5E92-40ED-B9E3-C97AA2A65C97}"/>
    <cellStyle name="Input [yellow] 4 22 2 4" xfId="23859" xr:uid="{9E9A283F-A8AC-422A-93B1-01EEC481B55E}"/>
    <cellStyle name="Input [yellow] 4 22 2 5" xfId="23860" xr:uid="{7CB18394-2928-4014-A893-0D6D6C763B20}"/>
    <cellStyle name="Input [yellow] 4 22 2 6" xfId="23861" xr:uid="{1EB97AE0-38D7-44E5-BD04-F158C6B0667D}"/>
    <cellStyle name="Input [yellow] 4 22 3" xfId="23862" xr:uid="{BE111214-1668-429B-9BCB-3A0C051BD42B}"/>
    <cellStyle name="Input [yellow] 4 22 4" xfId="23863" xr:uid="{6B105D76-C9E1-40D0-9D7C-E1755F6A594B}"/>
    <cellStyle name="Input [yellow] 4 22 5" xfId="23864" xr:uid="{AD261F5A-8179-433A-9F5B-A4E50BF0D38F}"/>
    <cellStyle name="Input [yellow] 4 22 6" xfId="23865" xr:uid="{E9447A04-500D-41CC-9047-80BDE9038D8A}"/>
    <cellStyle name="Input [yellow] 4 22 7" xfId="23866" xr:uid="{3A4DA562-2039-4937-AA03-CA41608A6F3D}"/>
    <cellStyle name="Input [yellow] 4 23" xfId="1268" xr:uid="{BE711E56-95A6-4261-B0F8-091E9E47336F}"/>
    <cellStyle name="Input [yellow] 4 23 2" xfId="11832" xr:uid="{9BC593BD-7956-49EF-9E39-AD4428C565BD}"/>
    <cellStyle name="Input [yellow] 4 23 2 2" xfId="23867" xr:uid="{D4388F4A-FE92-4000-808A-4F6698DA6BDE}"/>
    <cellStyle name="Input [yellow] 4 23 2 3" xfId="23868" xr:uid="{90C20EB3-C9BD-4B34-AAC2-D1B63EB10D0B}"/>
    <cellStyle name="Input [yellow] 4 23 2 4" xfId="23869" xr:uid="{EC339516-76E5-4E3B-B8F0-8EEF3521E190}"/>
    <cellStyle name="Input [yellow] 4 23 2 5" xfId="23870" xr:uid="{6A36DD8C-6F5C-4334-AA92-705C8CB28664}"/>
    <cellStyle name="Input [yellow] 4 23 2 6" xfId="23871" xr:uid="{24361AF2-4B37-4CA6-80A7-1EF01D7DD477}"/>
    <cellStyle name="Input [yellow] 4 23 3" xfId="23872" xr:uid="{FE953E0D-5484-4417-A288-0668CABFCC72}"/>
    <cellStyle name="Input [yellow] 4 23 4" xfId="23873" xr:uid="{F816D0BC-828B-409B-91FD-25306C09E0CB}"/>
    <cellStyle name="Input [yellow] 4 23 5" xfId="23874" xr:uid="{665ABBEC-552F-4D3F-A6DF-2763505B57B0}"/>
    <cellStyle name="Input [yellow] 4 23 6" xfId="23875" xr:uid="{81647A86-4704-4E11-8A1D-57F82DC17449}"/>
    <cellStyle name="Input [yellow] 4 23 7" xfId="23876" xr:uid="{8F8FA81B-23C8-42E2-94E1-A5F644BB576D}"/>
    <cellStyle name="Input [yellow] 4 24" xfId="1269" xr:uid="{BC2660DA-F12E-4369-81B6-F5D9874ED81C}"/>
    <cellStyle name="Input [yellow] 4 24 2" xfId="11916" xr:uid="{E1060903-146D-4235-ADD4-A640EA992814}"/>
    <cellStyle name="Input [yellow] 4 24 2 2" xfId="23877" xr:uid="{19F0DBF0-E511-4257-8FCB-F1A948C8C0F5}"/>
    <cellStyle name="Input [yellow] 4 24 2 3" xfId="23878" xr:uid="{109E8DA2-B438-42F1-92BB-41FBA6597B29}"/>
    <cellStyle name="Input [yellow] 4 24 2 4" xfId="23879" xr:uid="{F66AF7FA-CCBD-409B-BADE-DED0E1B4C987}"/>
    <cellStyle name="Input [yellow] 4 24 2 5" xfId="23880" xr:uid="{FD85C91C-D6E2-40D5-84C7-E0403E1F2B4C}"/>
    <cellStyle name="Input [yellow] 4 24 2 6" xfId="23881" xr:uid="{96BD9EA6-FE1B-467F-ADD0-0F4739EC7D76}"/>
    <cellStyle name="Input [yellow] 4 24 3" xfId="23882" xr:uid="{4E0F0C6C-969C-4D7F-AA0B-441B67F2AEC1}"/>
    <cellStyle name="Input [yellow] 4 24 4" xfId="23883" xr:uid="{223A58D9-8A26-4208-BD06-D27A91D3D74B}"/>
    <cellStyle name="Input [yellow] 4 24 5" xfId="23884" xr:uid="{B99CDECE-6369-4DD3-9DBC-3D167FA4147E}"/>
    <cellStyle name="Input [yellow] 4 24 6" xfId="23885" xr:uid="{2566241B-4213-4C7C-82DE-EAEB50E7D888}"/>
    <cellStyle name="Input [yellow] 4 24 7" xfId="23886" xr:uid="{58D09D74-CBBB-4858-B4E4-D400FE0A81D3}"/>
    <cellStyle name="Input [yellow] 4 25" xfId="1270" xr:uid="{38A15CBA-4AEC-407F-9336-14B4B0258454}"/>
    <cellStyle name="Input [yellow] 4 25 2" xfId="12000" xr:uid="{335378A4-F553-466F-B78D-452F089EF045}"/>
    <cellStyle name="Input [yellow] 4 25 2 2" xfId="23887" xr:uid="{BF24CB7B-0812-4DC3-A079-4C22054BBB27}"/>
    <cellStyle name="Input [yellow] 4 25 2 3" xfId="23888" xr:uid="{E216E40B-1D91-4216-ADC7-1FB8651371E2}"/>
    <cellStyle name="Input [yellow] 4 25 2 4" xfId="23889" xr:uid="{6F44D5BB-B1B5-4106-8BBA-29A73F0ABF87}"/>
    <cellStyle name="Input [yellow] 4 25 2 5" xfId="23890" xr:uid="{C8C02BC2-F7E3-4FDA-963B-73729B2A952D}"/>
    <cellStyle name="Input [yellow] 4 25 2 6" xfId="23891" xr:uid="{53F6C92A-6657-47A7-A028-8BD13597AACE}"/>
    <cellStyle name="Input [yellow] 4 25 3" xfId="23892" xr:uid="{2249069A-0D38-4A34-88AA-C6CA99436817}"/>
    <cellStyle name="Input [yellow] 4 25 4" xfId="23893" xr:uid="{5F116EFE-4C3D-47C1-AB2E-2282C657A2C0}"/>
    <cellStyle name="Input [yellow] 4 25 5" xfId="23894" xr:uid="{C843BCB7-CD9A-4502-8BA8-EECCE3307DCA}"/>
    <cellStyle name="Input [yellow] 4 25 6" xfId="23895" xr:uid="{E8DB1E10-FEC4-48A4-AD3C-BB38A9196D0B}"/>
    <cellStyle name="Input [yellow] 4 25 7" xfId="23896" xr:uid="{AF5B5965-BC87-4571-9C2B-26B04FB3DEE2}"/>
    <cellStyle name="Input [yellow] 4 26" xfId="1271" xr:uid="{ABD2EECC-A6B3-4C80-9D70-2C44FCB7AEF3}"/>
    <cellStyle name="Input [yellow] 4 26 2" xfId="12083" xr:uid="{F6394D82-3BCF-4166-B75C-C1463975298D}"/>
    <cellStyle name="Input [yellow] 4 26 2 2" xfId="23897" xr:uid="{CE18ACD9-ADBD-4372-91A0-6F4FA09D8AF7}"/>
    <cellStyle name="Input [yellow] 4 26 2 3" xfId="23898" xr:uid="{5D7CD8CB-6CF6-474C-9529-226BA79E462B}"/>
    <cellStyle name="Input [yellow] 4 26 2 4" xfId="23899" xr:uid="{CD976AC4-402D-4E9B-AA5B-CEC8583A80D9}"/>
    <cellStyle name="Input [yellow] 4 26 2 5" xfId="23900" xr:uid="{CF972B0E-657B-4BD8-BB06-78F610E235F2}"/>
    <cellStyle name="Input [yellow] 4 26 2 6" xfId="23901" xr:uid="{DFF322CD-D062-484D-9E95-8BAE5E55F274}"/>
    <cellStyle name="Input [yellow] 4 26 3" xfId="23902" xr:uid="{A9224F07-A244-4ED8-B4C4-B5730D4FF651}"/>
    <cellStyle name="Input [yellow] 4 26 4" xfId="23903" xr:uid="{3475F7E9-B791-478F-8841-64B92B9FEBDB}"/>
    <cellStyle name="Input [yellow] 4 26 5" xfId="23904" xr:uid="{27714823-659E-451E-997C-21833A891B2A}"/>
    <cellStyle name="Input [yellow] 4 26 6" xfId="23905" xr:uid="{EDAD270A-B023-4F9A-BA67-F594BBE31115}"/>
    <cellStyle name="Input [yellow] 4 26 7" xfId="23906" xr:uid="{A28E7DAF-3E6C-4633-9559-F0C88FA8C6F2}"/>
    <cellStyle name="Input [yellow] 4 27" xfId="1272" xr:uid="{F697FB6C-666E-4BF3-983B-07DFC9DC7D18}"/>
    <cellStyle name="Input [yellow] 4 27 2" xfId="12166" xr:uid="{08908679-0762-427D-967B-E7B966695FC3}"/>
    <cellStyle name="Input [yellow] 4 27 2 2" xfId="23907" xr:uid="{50694206-9CC2-42C8-863B-4608C1433120}"/>
    <cellStyle name="Input [yellow] 4 27 2 3" xfId="23908" xr:uid="{1928AD0B-F702-4861-A266-F86C8407712E}"/>
    <cellStyle name="Input [yellow] 4 27 2 4" xfId="23909" xr:uid="{7B06EC7D-3DFF-427A-8616-E4E85056669C}"/>
    <cellStyle name="Input [yellow] 4 27 2 5" xfId="23910" xr:uid="{C9E07E32-67CD-44AC-80F1-3891DA777BEF}"/>
    <cellStyle name="Input [yellow] 4 27 2 6" xfId="23911" xr:uid="{A3687C80-0A16-48BC-964F-E38C93895E26}"/>
    <cellStyle name="Input [yellow] 4 27 3" xfId="23912" xr:uid="{3DB2D151-9072-4042-AF49-A69FD17DE799}"/>
    <cellStyle name="Input [yellow] 4 27 4" xfId="23913" xr:uid="{ACB5DADD-6596-4AEF-A84C-DEA63EFD5CB1}"/>
    <cellStyle name="Input [yellow] 4 27 5" xfId="23914" xr:uid="{68AC4FB8-15EF-49DC-8816-724F55527AAE}"/>
    <cellStyle name="Input [yellow] 4 27 6" xfId="23915" xr:uid="{093FE3C5-4841-4CC6-A7AA-3337D8876469}"/>
    <cellStyle name="Input [yellow] 4 27 7" xfId="23916" xr:uid="{829E2570-05DA-4F14-BA95-8C21BA204A61}"/>
    <cellStyle name="Input [yellow] 4 28" xfId="1273" xr:uid="{8E892091-5331-46EE-9737-CC82A72D415A}"/>
    <cellStyle name="Input [yellow] 4 28 2" xfId="12245" xr:uid="{C32F8BC2-3662-4D53-9E4E-2E499E9EA993}"/>
    <cellStyle name="Input [yellow] 4 28 2 2" xfId="23917" xr:uid="{0B892C29-C368-4BF4-BE9E-67546CFC7865}"/>
    <cellStyle name="Input [yellow] 4 28 2 3" xfId="23918" xr:uid="{078E8CEF-5DBD-4873-A3C9-991CAC18C455}"/>
    <cellStyle name="Input [yellow] 4 28 2 4" xfId="23919" xr:uid="{5EF1AAA8-518F-4B9D-A87B-AFDDE1F9E8B5}"/>
    <cellStyle name="Input [yellow] 4 28 2 5" xfId="23920" xr:uid="{ABAE4494-F6F2-4B93-9203-14EFFA650FB6}"/>
    <cellStyle name="Input [yellow] 4 28 2 6" xfId="23921" xr:uid="{F3EA1F77-40AC-457C-B878-56D146E1CB72}"/>
    <cellStyle name="Input [yellow] 4 28 3" xfId="23922" xr:uid="{3F13CE53-69CB-4E3C-BA22-2956F0B93C70}"/>
    <cellStyle name="Input [yellow] 4 28 4" xfId="23923" xr:uid="{627FD973-AB54-49BD-9F10-70DF81F7062A}"/>
    <cellStyle name="Input [yellow] 4 28 5" xfId="23924" xr:uid="{8C57BECE-95D7-4E55-86D4-0360EAD2241B}"/>
    <cellStyle name="Input [yellow] 4 28 6" xfId="23925" xr:uid="{D1FE499E-5522-42EE-A71F-63B4A3875236}"/>
    <cellStyle name="Input [yellow] 4 28 7" xfId="23926" xr:uid="{431098BE-0E72-49AD-8F85-7B246A114726}"/>
    <cellStyle name="Input [yellow] 4 29" xfId="1274" xr:uid="{785B2032-FD7A-4794-9084-66F2D5F8369E}"/>
    <cellStyle name="Input [yellow] 4 29 2" xfId="12324" xr:uid="{47267FFE-6AB7-4F1A-BF4D-9D1AEA920E47}"/>
    <cellStyle name="Input [yellow] 4 29 2 2" xfId="23927" xr:uid="{4A2A4828-7A9E-462D-BA59-50B0DDE3F6B8}"/>
    <cellStyle name="Input [yellow] 4 29 2 3" xfId="23928" xr:uid="{FA11CE63-ABFA-48F2-8B09-40D2397334E0}"/>
    <cellStyle name="Input [yellow] 4 29 2 4" xfId="23929" xr:uid="{CC0A8B2F-1637-4EC7-8FFA-223E36DAB444}"/>
    <cellStyle name="Input [yellow] 4 29 2 5" xfId="23930" xr:uid="{7C06CE19-2631-44C4-978B-E2879D9E6D5E}"/>
    <cellStyle name="Input [yellow] 4 29 2 6" xfId="23931" xr:uid="{F644BB18-C478-4ECD-A5A1-19325C8704F1}"/>
    <cellStyle name="Input [yellow] 4 29 3" xfId="23932" xr:uid="{158B7B0E-0145-41D7-82BC-55CDBCEF2584}"/>
    <cellStyle name="Input [yellow] 4 29 4" xfId="23933" xr:uid="{C5E78B9F-FB74-4E9D-952B-50E7853EA0CC}"/>
    <cellStyle name="Input [yellow] 4 29 5" xfId="23934" xr:uid="{45259CC2-958B-4DC8-82C6-AADF3E060120}"/>
    <cellStyle name="Input [yellow] 4 29 6" xfId="23935" xr:uid="{D9AD8C83-4E83-4A5F-B6CD-B9F02E81738B}"/>
    <cellStyle name="Input [yellow] 4 29 7" xfId="23936" xr:uid="{262599C2-2557-47FF-974B-691B1C3E524F}"/>
    <cellStyle name="Input [yellow] 4 3" xfId="1275" xr:uid="{BB8026EA-B5F2-4A81-8935-639C5F77E70F}"/>
    <cellStyle name="Input [yellow] 4 3 2" xfId="10090" xr:uid="{3561F2BC-C603-46D1-AF49-F2E218598493}"/>
    <cellStyle name="Input [yellow] 4 3 2 2" xfId="23937" xr:uid="{4A133502-E68F-4F7E-B0CA-AE8AC5A797DE}"/>
    <cellStyle name="Input [yellow] 4 3 2 3" xfId="23938" xr:uid="{C5F79F9C-183C-4AAD-9E2C-A57587CF0873}"/>
    <cellStyle name="Input [yellow] 4 3 2 4" xfId="23939" xr:uid="{FBD1B059-A08E-4781-93C5-3C666C0015C0}"/>
    <cellStyle name="Input [yellow] 4 3 2 5" xfId="23940" xr:uid="{DC0FA3C5-A140-4DD4-8650-C2C38C84EB78}"/>
    <cellStyle name="Input [yellow] 4 3 2 6" xfId="23941" xr:uid="{64C4F1B4-2B00-4B24-8651-7EE638DB2B4D}"/>
    <cellStyle name="Input [yellow] 4 3 3" xfId="23942" xr:uid="{C4FB5F26-2784-4B86-998F-9C00C1CB7020}"/>
    <cellStyle name="Input [yellow] 4 3 4" xfId="23943" xr:uid="{A74CEED6-FE13-4918-B37E-27AF07E5F6AA}"/>
    <cellStyle name="Input [yellow] 4 3 5" xfId="23944" xr:uid="{39107096-808B-4E40-9C6D-4969A110909C}"/>
    <cellStyle name="Input [yellow] 4 3 6" xfId="23945" xr:uid="{44CA28E7-00E3-4339-8762-443A483E4A7B}"/>
    <cellStyle name="Input [yellow] 4 3 7" xfId="23946" xr:uid="{5660F64E-2895-4224-92AB-0C5ACFF57093}"/>
    <cellStyle name="Input [yellow] 4 30" xfId="1276" xr:uid="{E442F70E-FE00-43B9-A321-AC2D565D8CFE}"/>
    <cellStyle name="Input [yellow] 4 30 2" xfId="12403" xr:uid="{9575D29C-9D01-486E-9183-8939DD5F9FF9}"/>
    <cellStyle name="Input [yellow] 4 30 2 2" xfId="23947" xr:uid="{1221919C-9F60-41F2-8E5D-CF67896798FA}"/>
    <cellStyle name="Input [yellow] 4 30 2 3" xfId="23948" xr:uid="{C03E1EA7-3756-4B55-84BB-3D8FCE78399F}"/>
    <cellStyle name="Input [yellow] 4 30 2 4" xfId="23949" xr:uid="{B6A82D5A-C35D-45E1-A975-735766A43669}"/>
    <cellStyle name="Input [yellow] 4 30 2 5" xfId="23950" xr:uid="{A5D03535-452D-46DB-81FD-4DD294548BF2}"/>
    <cellStyle name="Input [yellow] 4 30 2 6" xfId="23951" xr:uid="{9CBB7A3E-62F5-4565-A062-2913DC298E38}"/>
    <cellStyle name="Input [yellow] 4 30 3" xfId="23952" xr:uid="{D203947C-EE32-4E43-931E-734C858E4A24}"/>
    <cellStyle name="Input [yellow] 4 30 4" xfId="23953" xr:uid="{797574FA-F6AB-443F-B915-9A2403501FF4}"/>
    <cellStyle name="Input [yellow] 4 30 5" xfId="23954" xr:uid="{E5606FC7-FBED-4102-A791-66E60C407E36}"/>
    <cellStyle name="Input [yellow] 4 30 6" xfId="23955" xr:uid="{52AEA9F1-77F9-4389-877B-C02225F21C8C}"/>
    <cellStyle name="Input [yellow] 4 30 7" xfId="23956" xr:uid="{7E57E314-35B4-436A-81B8-E583B5988B94}"/>
    <cellStyle name="Input [yellow] 4 31" xfId="1277" xr:uid="{91C8F7E7-C39B-4452-9C93-D59936721038}"/>
    <cellStyle name="Input [yellow] 4 31 2" xfId="12482" xr:uid="{3F8921E2-1032-4D8E-A63A-0B9E7E2DB056}"/>
    <cellStyle name="Input [yellow] 4 31 2 2" xfId="23957" xr:uid="{13933E19-3C36-445E-8939-73A8B6FE8A90}"/>
    <cellStyle name="Input [yellow] 4 31 2 3" xfId="23958" xr:uid="{A0B847E4-6441-4A88-B3E8-4A5891153730}"/>
    <cellStyle name="Input [yellow] 4 31 2 4" xfId="23959" xr:uid="{73629297-FAD2-496F-A585-FE66599C04A6}"/>
    <cellStyle name="Input [yellow] 4 31 2 5" xfId="23960" xr:uid="{60D153FC-49A4-4BDE-9B74-5E9707F98148}"/>
    <cellStyle name="Input [yellow] 4 31 2 6" xfId="23961" xr:uid="{2A2A62C9-A8D0-4813-8570-C38CA7E1CA36}"/>
    <cellStyle name="Input [yellow] 4 31 3" xfId="23962" xr:uid="{D42ACD6E-1DB3-4BAC-BF8B-1D5837768770}"/>
    <cellStyle name="Input [yellow] 4 31 4" xfId="23963" xr:uid="{B0969A99-177A-4526-A9BD-CFD4BD2DB3E2}"/>
    <cellStyle name="Input [yellow] 4 31 5" xfId="23964" xr:uid="{E1DD0937-3EE7-4423-988D-F37D815ED37F}"/>
    <cellStyle name="Input [yellow] 4 31 6" xfId="23965" xr:uid="{BFF414B0-928C-49FA-8380-A93DB95D4385}"/>
    <cellStyle name="Input [yellow] 4 31 7" xfId="23966" xr:uid="{ABD3FB26-792E-47A4-9723-23FD8B12C875}"/>
    <cellStyle name="Input [yellow] 4 32" xfId="1278" xr:uid="{CC09B83A-C6C5-4318-829B-34DFDE39BDAC}"/>
    <cellStyle name="Input [yellow] 4 32 2" xfId="12561" xr:uid="{D1293D0F-D916-4C79-965B-3631743A7516}"/>
    <cellStyle name="Input [yellow] 4 32 2 2" xfId="23967" xr:uid="{6BC9B008-7C91-44E8-8313-09468DF66CAC}"/>
    <cellStyle name="Input [yellow] 4 32 2 3" xfId="23968" xr:uid="{A2F03524-ECB7-4410-930E-FB8E7B08C9E3}"/>
    <cellStyle name="Input [yellow] 4 32 2 4" xfId="23969" xr:uid="{59A7B242-2D48-4BA6-B24D-78A59FA0D576}"/>
    <cellStyle name="Input [yellow] 4 32 2 5" xfId="23970" xr:uid="{83E3AD3D-DD2B-4D83-A37D-3FCFF6BD0AF5}"/>
    <cellStyle name="Input [yellow] 4 32 2 6" xfId="23971" xr:uid="{CB963DAD-1840-4473-82B0-17FE4E16EB52}"/>
    <cellStyle name="Input [yellow] 4 32 3" xfId="23972" xr:uid="{EFDF95FD-53B0-4A8B-B722-D1A3163F88EC}"/>
    <cellStyle name="Input [yellow] 4 32 4" xfId="23973" xr:uid="{E8C17FB8-5972-4960-8485-9B9A277AEDDA}"/>
    <cellStyle name="Input [yellow] 4 32 5" xfId="23974" xr:uid="{35AA03FB-D2F5-4AC1-BE4B-A1C8E4D8ED17}"/>
    <cellStyle name="Input [yellow] 4 32 6" xfId="23975" xr:uid="{20FAB515-DC60-4161-8957-9D454CA441BB}"/>
    <cellStyle name="Input [yellow] 4 32 7" xfId="23976" xr:uid="{F0E8A47C-69E4-4327-BC3C-1831E9AB33D3}"/>
    <cellStyle name="Input [yellow] 4 33" xfId="1279" xr:uid="{1A6E4003-5C62-4875-AD4E-7A2E5B20BB73}"/>
    <cellStyle name="Input [yellow] 4 33 2" xfId="12640" xr:uid="{7CA222F8-9DF4-4170-A742-051E31091B64}"/>
    <cellStyle name="Input [yellow] 4 33 2 2" xfId="23977" xr:uid="{92DDEEF3-6BB6-4E60-99F1-525C31096A7C}"/>
    <cellStyle name="Input [yellow] 4 33 2 3" xfId="23978" xr:uid="{FBB7E135-D5D4-44CA-A36D-F599858F6671}"/>
    <cellStyle name="Input [yellow] 4 33 2 4" xfId="23979" xr:uid="{7F03B792-D107-464A-A36E-F06FB278804F}"/>
    <cellStyle name="Input [yellow] 4 33 2 5" xfId="23980" xr:uid="{F4DD6251-FDD7-4E87-AC2A-A76782D41C39}"/>
    <cellStyle name="Input [yellow] 4 33 2 6" xfId="23981" xr:uid="{8832612C-3203-48CA-B4CA-4111EB6C8942}"/>
    <cellStyle name="Input [yellow] 4 33 3" xfId="23982" xr:uid="{ACE25EC8-F31C-4494-99DB-2C222CEE5194}"/>
    <cellStyle name="Input [yellow] 4 33 4" xfId="23983" xr:uid="{44DBE2AE-114F-40C9-89A8-7699B7A3FD7D}"/>
    <cellStyle name="Input [yellow] 4 33 5" xfId="23984" xr:uid="{022B7F14-B448-46C9-B1A3-FA80E9E48661}"/>
    <cellStyle name="Input [yellow] 4 33 6" xfId="23985" xr:uid="{A3BD09DB-1F53-4C85-82A5-5A62F962B873}"/>
    <cellStyle name="Input [yellow] 4 33 7" xfId="23986" xr:uid="{23DF7293-526D-42B2-855E-838AF1A6A4D4}"/>
    <cellStyle name="Input [yellow] 4 34" xfId="1280" xr:uid="{2C10CE4F-52CC-414A-98C9-C8BEA6285C8E}"/>
    <cellStyle name="Input [yellow] 4 34 2" xfId="12724" xr:uid="{B9BF958C-BC29-45DE-81C1-9566F815772A}"/>
    <cellStyle name="Input [yellow] 4 34 2 2" xfId="23987" xr:uid="{CD680439-5546-4482-9200-87B7EE9DD1C9}"/>
    <cellStyle name="Input [yellow] 4 34 2 3" xfId="23988" xr:uid="{5EE11941-B81A-4157-A826-322E8141D528}"/>
    <cellStyle name="Input [yellow] 4 34 2 4" xfId="23989" xr:uid="{BE1485B3-079C-4354-BA11-2EF1F2172722}"/>
    <cellStyle name="Input [yellow] 4 34 2 5" xfId="23990" xr:uid="{7A21761C-9DFA-425C-8630-2886FC08D441}"/>
    <cellStyle name="Input [yellow] 4 34 2 6" xfId="23991" xr:uid="{6AE244CC-995C-4E03-B342-3B4E3FED1777}"/>
    <cellStyle name="Input [yellow] 4 34 3" xfId="23992" xr:uid="{A4E4FA6E-7A39-483C-8F40-414DB86D9757}"/>
    <cellStyle name="Input [yellow] 4 34 4" xfId="23993" xr:uid="{C5B308E0-39D1-4F5F-9DCE-2CFBFD86DEC2}"/>
    <cellStyle name="Input [yellow] 4 34 5" xfId="23994" xr:uid="{A94E22BB-A7BD-4805-AA4B-87F7A1AF0D74}"/>
    <cellStyle name="Input [yellow] 4 34 6" xfId="23995" xr:uid="{C25CD40E-64A3-41ED-AE3B-4481E61CC0AB}"/>
    <cellStyle name="Input [yellow] 4 34 7" xfId="23996" xr:uid="{0FBFA6B3-5A65-4DBB-BDDB-54E71F5DFCDA}"/>
    <cellStyle name="Input [yellow] 4 35" xfId="9788" xr:uid="{724A8EAB-AAAD-4CA3-B274-62F24CD33A56}"/>
    <cellStyle name="Input [yellow] 4 35 2" xfId="23997" xr:uid="{9A4551B4-FD63-4BE9-BD14-2A2C61ED93DF}"/>
    <cellStyle name="Input [yellow] 4 35 3" xfId="23998" xr:uid="{6E1B829E-28C9-491E-906D-BE129405DDEA}"/>
    <cellStyle name="Input [yellow] 4 35 4" xfId="23999" xr:uid="{C51EDCFB-11E7-4611-93E4-494CECB49AD3}"/>
    <cellStyle name="Input [yellow] 4 35 5" xfId="24000" xr:uid="{7072ADDF-B063-457A-A07E-B8ABA77D8F53}"/>
    <cellStyle name="Input [yellow] 4 35 6" xfId="24001" xr:uid="{C852D67B-B654-4B0D-9BD3-B01CC1DF3CBC}"/>
    <cellStyle name="Input [yellow] 4 36" xfId="24002" xr:uid="{94146A4C-DD41-4119-84D3-FE58D9613A1A}"/>
    <cellStyle name="Input [yellow] 4 37" xfId="24003" xr:uid="{8CE3E7B6-F246-46AA-862D-23D87E4754DE}"/>
    <cellStyle name="Input [yellow] 4 38" xfId="24004" xr:uid="{E02679DE-8E6C-444E-ACB5-6F5B4BDB36CA}"/>
    <cellStyle name="Input [yellow] 4 39" xfId="24005" xr:uid="{C65F68AB-6761-498B-8E5E-E686F8883D7C}"/>
    <cellStyle name="Input [yellow] 4 4" xfId="1281" xr:uid="{50B9A3CE-C95B-4231-A2D7-374C87EF4BC5}"/>
    <cellStyle name="Input [yellow] 4 4 2" xfId="10181" xr:uid="{391A691B-4FED-4692-8DC7-2D3E3EDAAFE7}"/>
    <cellStyle name="Input [yellow] 4 4 2 2" xfId="24006" xr:uid="{9497244F-5EAB-4039-AACC-C68F4E8690A4}"/>
    <cellStyle name="Input [yellow] 4 4 2 3" xfId="24007" xr:uid="{9A6085FC-BB95-443A-A17F-A95EEC2A7EDE}"/>
    <cellStyle name="Input [yellow] 4 4 2 4" xfId="24008" xr:uid="{22533761-E1B7-4256-99F5-2E8E97CF794B}"/>
    <cellStyle name="Input [yellow] 4 4 2 5" xfId="24009" xr:uid="{CDEEF455-74A6-4D18-9D60-6C7BCE7C6627}"/>
    <cellStyle name="Input [yellow] 4 4 2 6" xfId="24010" xr:uid="{CA9C67BD-15F3-487E-AED6-54C6D743EAE6}"/>
    <cellStyle name="Input [yellow] 4 4 3" xfId="24011" xr:uid="{F727F88D-5556-40AA-8D26-259C349E9FEF}"/>
    <cellStyle name="Input [yellow] 4 4 4" xfId="24012" xr:uid="{9BB8AAE4-84F3-4ACB-BDD0-61ECFF15AE5E}"/>
    <cellStyle name="Input [yellow] 4 4 5" xfId="24013" xr:uid="{9959B329-CFFB-4CDE-AF75-8B859E684CF9}"/>
    <cellStyle name="Input [yellow] 4 4 6" xfId="24014" xr:uid="{0206569C-FD35-486B-9574-B59D58A9EA5C}"/>
    <cellStyle name="Input [yellow] 4 4 7" xfId="24015" xr:uid="{C4C33975-D85A-4EE5-84AC-707AC891B69F}"/>
    <cellStyle name="Input [yellow] 4 40" xfId="24016" xr:uid="{9BFB403C-2EBD-4E43-8C1F-B7E99AE45C75}"/>
    <cellStyle name="Input [yellow] 4 5" xfId="1282" xr:uid="{776BF5E7-9712-4E06-A9BC-1EE952613A6E}"/>
    <cellStyle name="Input [yellow] 4 5 2" xfId="10269" xr:uid="{F07362AA-0566-424F-A522-302CAC6DB0D9}"/>
    <cellStyle name="Input [yellow] 4 5 2 2" xfId="24017" xr:uid="{5EE874AD-6BE6-4B17-9F04-893AE1C097FB}"/>
    <cellStyle name="Input [yellow] 4 5 2 3" xfId="24018" xr:uid="{94003A85-C3B3-4CD9-BE10-4952852A5235}"/>
    <cellStyle name="Input [yellow] 4 5 2 4" xfId="24019" xr:uid="{EA5E1C6E-0C6D-45EB-9138-882AD7B9ECF5}"/>
    <cellStyle name="Input [yellow] 4 5 2 5" xfId="24020" xr:uid="{B94BDB61-C284-4881-88B3-14EECF7ED465}"/>
    <cellStyle name="Input [yellow] 4 5 2 6" xfId="24021" xr:uid="{BA6CDCA2-D9F7-40ED-B9F9-518849F3989A}"/>
    <cellStyle name="Input [yellow] 4 5 3" xfId="24022" xr:uid="{399FF022-8EE2-481B-94E6-0D0FFF0667D2}"/>
    <cellStyle name="Input [yellow] 4 5 4" xfId="24023" xr:uid="{76DBCCD0-1EE8-4439-BAD3-5D5CF0CF12E8}"/>
    <cellStyle name="Input [yellow] 4 5 5" xfId="24024" xr:uid="{168304C2-AA1F-4008-A53B-F4B0D2C8B292}"/>
    <cellStyle name="Input [yellow] 4 5 6" xfId="24025" xr:uid="{C021C006-5301-40A4-8690-6ABA53D9406F}"/>
    <cellStyle name="Input [yellow] 4 5 7" xfId="24026" xr:uid="{2FA7E7D9-D2B5-412C-A950-B7B9545D0E06}"/>
    <cellStyle name="Input [yellow] 4 6" xfId="1283" xr:uid="{49B5F01C-8BB0-433A-B09D-7006CD5DBF50}"/>
    <cellStyle name="Input [yellow] 4 6 2" xfId="10354" xr:uid="{E4D7C0DE-53A5-466B-93FE-318B7116818E}"/>
    <cellStyle name="Input [yellow] 4 6 2 2" xfId="24027" xr:uid="{29F49A29-6A80-4E66-94E8-F57BCDFDDD82}"/>
    <cellStyle name="Input [yellow] 4 6 2 3" xfId="24028" xr:uid="{4AB2C10C-BE51-4638-8F80-5B8595B1FF0B}"/>
    <cellStyle name="Input [yellow] 4 6 2 4" xfId="24029" xr:uid="{2605FA87-4C91-4952-BB8E-FE69C3F58747}"/>
    <cellStyle name="Input [yellow] 4 6 2 5" xfId="24030" xr:uid="{EB036F96-5789-4AE1-9A3E-6A5CDA9D62A1}"/>
    <cellStyle name="Input [yellow] 4 6 2 6" xfId="24031" xr:uid="{8CD30833-DA72-4319-A7F8-DDC7883259C6}"/>
    <cellStyle name="Input [yellow] 4 6 3" xfId="24032" xr:uid="{4595940B-3A6F-40CA-BBE6-94F900BCB1F2}"/>
    <cellStyle name="Input [yellow] 4 6 4" xfId="24033" xr:uid="{B918A5AC-F93B-496D-85EF-E009B737F0C9}"/>
    <cellStyle name="Input [yellow] 4 6 5" xfId="24034" xr:uid="{E280139D-463B-4C9C-9BF2-43822D9B3A61}"/>
    <cellStyle name="Input [yellow] 4 6 6" xfId="24035" xr:uid="{1F87204B-AFBC-41D1-86D0-0E482B5FADE2}"/>
    <cellStyle name="Input [yellow] 4 6 7" xfId="24036" xr:uid="{10983FCD-D876-470C-9AE7-C40F03D90F23}"/>
    <cellStyle name="Input [yellow] 4 7" xfId="1284" xr:uid="{015406FA-BC3E-47FF-A4C7-849A7A6B95B5}"/>
    <cellStyle name="Input [yellow] 4 7 2" xfId="10441" xr:uid="{1BA30709-856B-4E13-B780-4ED665D891BA}"/>
    <cellStyle name="Input [yellow] 4 7 2 2" xfId="24037" xr:uid="{3B70FC54-104C-4CF1-91B0-D0BD563F28BA}"/>
    <cellStyle name="Input [yellow] 4 7 2 3" xfId="24038" xr:uid="{24C6F56C-C930-4A9C-B2D9-925A5B2CA522}"/>
    <cellStyle name="Input [yellow] 4 7 2 4" xfId="24039" xr:uid="{14293BBC-106B-4280-A6B8-B870ABC66006}"/>
    <cellStyle name="Input [yellow] 4 7 2 5" xfId="24040" xr:uid="{9E02A907-3152-48FD-BFEE-6B055D5072BA}"/>
    <cellStyle name="Input [yellow] 4 7 2 6" xfId="24041" xr:uid="{681A5CF8-85B4-49A4-A48A-62CF12154824}"/>
    <cellStyle name="Input [yellow] 4 7 3" xfId="24042" xr:uid="{CD989752-4E5D-4918-9C20-5DA70EFEBB1C}"/>
    <cellStyle name="Input [yellow] 4 7 4" xfId="24043" xr:uid="{ADC01A61-4602-4A47-9C43-ABE53F20B174}"/>
    <cellStyle name="Input [yellow] 4 7 5" xfId="24044" xr:uid="{86CA6830-C119-40FF-8D18-B66F6F2E3218}"/>
    <cellStyle name="Input [yellow] 4 7 6" xfId="24045" xr:uid="{186B0CFB-A3C4-42BC-A60E-09535E9AC8F6}"/>
    <cellStyle name="Input [yellow] 4 7 7" xfId="24046" xr:uid="{9CF95A6B-CAB6-47C2-87B4-C64D11FB1159}"/>
    <cellStyle name="Input [yellow] 4 8" xfId="1285" xr:uid="{B638EA41-0D96-4453-9E8A-0936D9550EB8}"/>
    <cellStyle name="Input [yellow] 4 8 2" xfId="10530" xr:uid="{DD8242AB-7716-4E2E-ABDB-761F798AAAFF}"/>
    <cellStyle name="Input [yellow] 4 8 2 2" xfId="24047" xr:uid="{BA2405A3-09BE-4970-B1A6-4708B74F2181}"/>
    <cellStyle name="Input [yellow] 4 8 2 3" xfId="24048" xr:uid="{230D54D5-AF6F-44E9-9BF3-C6E5C6EDAD1F}"/>
    <cellStyle name="Input [yellow] 4 8 2 4" xfId="24049" xr:uid="{5E2D1089-60E6-4908-B5C3-22AAAB6BBFFF}"/>
    <cellStyle name="Input [yellow] 4 8 2 5" xfId="24050" xr:uid="{A0379CF7-8F7E-47FC-A3C1-2BE4335C054D}"/>
    <cellStyle name="Input [yellow] 4 8 2 6" xfId="24051" xr:uid="{59350B43-C98F-4318-BC63-426F4C497115}"/>
    <cellStyle name="Input [yellow] 4 8 3" xfId="24052" xr:uid="{49A3C391-D87B-43FD-B730-08FD269FC183}"/>
    <cellStyle name="Input [yellow] 4 8 4" xfId="24053" xr:uid="{0D2BA41C-E7A3-41B7-9E2D-6E60E6ACFB0B}"/>
    <cellStyle name="Input [yellow] 4 8 5" xfId="24054" xr:uid="{B43AF516-4A55-4561-BFBC-AFA476DE56A1}"/>
    <cellStyle name="Input [yellow] 4 8 6" xfId="24055" xr:uid="{36DA55E6-8798-44B6-8B47-F2E283EB2224}"/>
    <cellStyle name="Input [yellow] 4 8 7" xfId="24056" xr:uid="{E7AD404B-ED6A-4183-B65F-B801296B68DA}"/>
    <cellStyle name="Input [yellow] 4 9" xfId="1286" xr:uid="{604558F4-3058-4B02-8531-5F5EC3AE93B5}"/>
    <cellStyle name="Input [yellow] 4 9 2" xfId="10612" xr:uid="{A7EF2B62-8611-4FC5-9184-3925F6795A0E}"/>
    <cellStyle name="Input [yellow] 4 9 2 2" xfId="24057" xr:uid="{20B066A8-F0D6-42DD-8453-0CD2ED4C945E}"/>
    <cellStyle name="Input [yellow] 4 9 2 3" xfId="24058" xr:uid="{19B0C6BA-2F8D-413D-947D-353B0AA22708}"/>
    <cellStyle name="Input [yellow] 4 9 2 4" xfId="24059" xr:uid="{F9D64DC7-2133-4893-8FA2-9D34BEA29904}"/>
    <cellStyle name="Input [yellow] 4 9 2 5" xfId="24060" xr:uid="{8C08BC4E-4A60-4978-BB26-ADB80C007AD7}"/>
    <cellStyle name="Input [yellow] 4 9 2 6" xfId="24061" xr:uid="{80BC009D-C7A7-4F52-968D-1430ED0EAFCA}"/>
    <cellStyle name="Input [yellow] 4 9 3" xfId="24062" xr:uid="{5EC8BBAC-3293-4C97-AA04-D407EFE36549}"/>
    <cellStyle name="Input [yellow] 4 9 4" xfId="24063" xr:uid="{728F492C-34BA-4EB6-B077-EE676CE35F46}"/>
    <cellStyle name="Input [yellow] 4 9 5" xfId="24064" xr:uid="{517A3A20-40C5-4917-A843-7F3C3193AED8}"/>
    <cellStyle name="Input [yellow] 4 9 6" xfId="24065" xr:uid="{77199C5B-7C19-4564-9868-6127E242A01F}"/>
    <cellStyle name="Input [yellow] 4 9 7" xfId="24066" xr:uid="{F3B39BCA-29FB-4F1A-B09C-DD2685A1AAA8}"/>
    <cellStyle name="Input [yellow] 5" xfId="1287" xr:uid="{C80ED091-376B-4EB6-A14C-5A919966D0AB}"/>
    <cellStyle name="Input [yellow] 5 10" xfId="1288" xr:uid="{271B1874-083F-4E2D-BD7B-AF0AC44E4677}"/>
    <cellStyle name="Input [yellow] 5 10 2" xfId="10695" xr:uid="{2180B761-C037-4F6F-AE3C-DBEAD3D149AD}"/>
    <cellStyle name="Input [yellow] 5 10 2 2" xfId="24067" xr:uid="{AB182FCA-16CB-4D43-B8EF-79DF50F46535}"/>
    <cellStyle name="Input [yellow] 5 10 2 3" xfId="24068" xr:uid="{B2E2B67D-B3E8-479D-96F0-0CEB4DF6BA3A}"/>
    <cellStyle name="Input [yellow] 5 10 2 4" xfId="24069" xr:uid="{42BF5946-800E-4C08-B94E-6D8F046FC127}"/>
    <cellStyle name="Input [yellow] 5 10 2 5" xfId="24070" xr:uid="{2D405A15-BFF0-403C-9CFB-63CDEBDCA529}"/>
    <cellStyle name="Input [yellow] 5 10 2 6" xfId="24071" xr:uid="{034D02C1-35AE-4220-A3BE-AD0153F6C489}"/>
    <cellStyle name="Input [yellow] 5 10 3" xfId="24072" xr:uid="{3B3B3004-455E-46F4-A60D-C7BCC6A97015}"/>
    <cellStyle name="Input [yellow] 5 10 4" xfId="24073" xr:uid="{479DDC5A-0AEB-46EE-B11D-FD45A4D586A6}"/>
    <cellStyle name="Input [yellow] 5 10 5" xfId="24074" xr:uid="{5444B22C-4182-4912-AB3E-8385446E0B32}"/>
    <cellStyle name="Input [yellow] 5 10 6" xfId="24075" xr:uid="{4D62D3CA-B735-4F4A-8F22-AC3D65BBE7DC}"/>
    <cellStyle name="Input [yellow] 5 10 7" xfId="24076" xr:uid="{AA05EBB7-3309-4B99-A8FB-5C6DC4FDC0AC}"/>
    <cellStyle name="Input [yellow] 5 11" xfId="1289" xr:uid="{87C805F6-B0D6-4C92-90D6-DE13C8D280C1}"/>
    <cellStyle name="Input [yellow] 5 11 2" xfId="10786" xr:uid="{482DB6E5-DDF6-4471-922D-7C090DCA77C9}"/>
    <cellStyle name="Input [yellow] 5 11 2 2" xfId="24077" xr:uid="{AF41EEF0-F7EE-4152-AC91-A896CD209C16}"/>
    <cellStyle name="Input [yellow] 5 11 2 3" xfId="24078" xr:uid="{E681222B-C6D0-4022-8084-961D5A5AE833}"/>
    <cellStyle name="Input [yellow] 5 11 2 4" xfId="24079" xr:uid="{D6F96D2F-060D-4BE3-B7D7-2FA0DB4B5580}"/>
    <cellStyle name="Input [yellow] 5 11 2 5" xfId="24080" xr:uid="{E68420A2-42B8-4E1C-97D2-E335308D83AA}"/>
    <cellStyle name="Input [yellow] 5 11 2 6" xfId="24081" xr:uid="{D5189707-B5CC-4D1E-8353-A4B443D6BFE7}"/>
    <cellStyle name="Input [yellow] 5 11 3" xfId="24082" xr:uid="{FD3586DC-4088-48BA-8456-4C3088093217}"/>
    <cellStyle name="Input [yellow] 5 11 4" xfId="24083" xr:uid="{150662D8-604F-4C65-B746-7E79913F9D05}"/>
    <cellStyle name="Input [yellow] 5 11 5" xfId="24084" xr:uid="{0A35C682-17A6-4AD6-9B1D-2720B3FFE9E5}"/>
    <cellStyle name="Input [yellow] 5 11 6" xfId="24085" xr:uid="{E8EEAB2B-5A70-4512-B50F-81AA3AEC88D9}"/>
    <cellStyle name="Input [yellow] 5 11 7" xfId="24086" xr:uid="{B66CC760-D35D-449D-B0B6-F863792BB075}"/>
    <cellStyle name="Input [yellow] 5 12" xfId="1290" xr:uid="{8D18043C-04E7-46E9-81DF-B7D8BFDEA725}"/>
    <cellStyle name="Input [yellow] 5 12 2" xfId="10873" xr:uid="{8B5F6441-532B-42FE-B99A-275130B63975}"/>
    <cellStyle name="Input [yellow] 5 12 2 2" xfId="24087" xr:uid="{32A35C7B-5ADD-4797-9249-8DF5D8547E4B}"/>
    <cellStyle name="Input [yellow] 5 12 2 3" xfId="24088" xr:uid="{8ECBFE19-A215-4B4F-B876-85FD30C2C62D}"/>
    <cellStyle name="Input [yellow] 5 12 2 4" xfId="24089" xr:uid="{E21D7341-666B-4BCF-8560-AD62724FA5A2}"/>
    <cellStyle name="Input [yellow] 5 12 2 5" xfId="24090" xr:uid="{6B85A979-33BA-43FD-A5B0-42DC50EAD31D}"/>
    <cellStyle name="Input [yellow] 5 12 2 6" xfId="24091" xr:uid="{8C311385-1F20-475F-8183-F9D414E9A5F1}"/>
    <cellStyle name="Input [yellow] 5 12 3" xfId="24092" xr:uid="{7388782A-3A84-48AD-820A-99EEE4B6CD66}"/>
    <cellStyle name="Input [yellow] 5 12 4" xfId="24093" xr:uid="{707BD990-FB41-4498-8B7B-6E7F4B4ED142}"/>
    <cellStyle name="Input [yellow] 5 12 5" xfId="24094" xr:uid="{0715C85A-27A6-4BD7-B7F7-69B0C03334C0}"/>
    <cellStyle name="Input [yellow] 5 12 6" xfId="24095" xr:uid="{17642325-A1B9-4CDC-9550-C94C9089BB24}"/>
    <cellStyle name="Input [yellow] 5 12 7" xfId="24096" xr:uid="{AB8D0FEF-95D0-4B24-B374-BE100FF9164D}"/>
    <cellStyle name="Input [yellow] 5 13" xfId="1291" xr:uid="{B422A3AA-C2A5-4365-8A2B-ED828299D746}"/>
    <cellStyle name="Input [yellow] 5 13 2" xfId="10962" xr:uid="{81853DD8-4F0B-4003-B1AF-9BB757748585}"/>
    <cellStyle name="Input [yellow] 5 13 2 2" xfId="24097" xr:uid="{35E4D646-EB79-4CA5-8315-B61C40C5F5B0}"/>
    <cellStyle name="Input [yellow] 5 13 2 3" xfId="24098" xr:uid="{0CA817B4-D624-45D7-B51A-868D42EE7F37}"/>
    <cellStyle name="Input [yellow] 5 13 2 4" xfId="24099" xr:uid="{03FEF474-88FB-4EFB-8D75-94FEDB1EEEFF}"/>
    <cellStyle name="Input [yellow] 5 13 2 5" xfId="24100" xr:uid="{9F9242CE-75E3-4B0B-97A8-A2CA46EA1347}"/>
    <cellStyle name="Input [yellow] 5 13 2 6" xfId="24101" xr:uid="{BFC2CB1C-209B-4038-A1FA-9EA888D05339}"/>
    <cellStyle name="Input [yellow] 5 13 3" xfId="24102" xr:uid="{90771DCD-8411-4E31-BD37-715BAC8FFC3C}"/>
    <cellStyle name="Input [yellow] 5 13 4" xfId="24103" xr:uid="{DB00F414-2F44-4C50-8850-B6AD2F6BB9FD}"/>
    <cellStyle name="Input [yellow] 5 13 5" xfId="24104" xr:uid="{C4E76B66-4743-4F47-AD04-5D96202AFAF4}"/>
    <cellStyle name="Input [yellow] 5 13 6" xfId="24105" xr:uid="{DE479951-AE24-4A75-8DF1-5222BE259C6E}"/>
    <cellStyle name="Input [yellow] 5 13 7" xfId="24106" xr:uid="{0292F4DC-B106-4445-B0ED-60035DBC3016}"/>
    <cellStyle name="Input [yellow] 5 14" xfId="1292" xr:uid="{BA3E2B0B-EA06-41E9-9333-77AC4BA25975}"/>
    <cellStyle name="Input [yellow] 5 14 2" xfId="11054" xr:uid="{B3731DFE-D23D-4FD4-865E-8EB80AA7D9F4}"/>
    <cellStyle name="Input [yellow] 5 14 2 2" xfId="24107" xr:uid="{AD45FA32-9184-4E5D-AE8C-C74B2E68B70F}"/>
    <cellStyle name="Input [yellow] 5 14 2 3" xfId="24108" xr:uid="{E5238DD4-7324-4F22-94B3-1E9B70841D5E}"/>
    <cellStyle name="Input [yellow] 5 14 2 4" xfId="24109" xr:uid="{053687D5-4BBC-46E3-AE75-700F95975F32}"/>
    <cellStyle name="Input [yellow] 5 14 2 5" xfId="24110" xr:uid="{9C70082B-490D-454F-8964-16AFDCBBB8EA}"/>
    <cellStyle name="Input [yellow] 5 14 2 6" xfId="24111" xr:uid="{35240018-B583-42FA-915A-31D3F431A46C}"/>
    <cellStyle name="Input [yellow] 5 14 3" xfId="24112" xr:uid="{1590BF07-43CE-4E9A-8CC7-0FD129D06763}"/>
    <cellStyle name="Input [yellow] 5 14 4" xfId="24113" xr:uid="{CACEEC59-4312-4647-89CB-C60BE4389113}"/>
    <cellStyle name="Input [yellow] 5 14 5" xfId="24114" xr:uid="{23DF74BB-58B7-4DB7-8672-2B03A630DD1C}"/>
    <cellStyle name="Input [yellow] 5 14 6" xfId="24115" xr:uid="{3BCFF3D4-688C-4F63-82FA-F0C5CC8723F5}"/>
    <cellStyle name="Input [yellow] 5 14 7" xfId="24116" xr:uid="{B45E097D-5B39-4B1F-9FF4-823E79186BE0}"/>
    <cellStyle name="Input [yellow] 5 15" xfId="1293" xr:uid="{42462818-FDE6-4C77-ADCE-7BF2E7459322}"/>
    <cellStyle name="Input [yellow] 5 15 2" xfId="11137" xr:uid="{18EDB570-E653-4A96-B740-45725E806137}"/>
    <cellStyle name="Input [yellow] 5 15 2 2" xfId="24117" xr:uid="{AEFB5C77-989C-4316-9F76-3CAC12F95D97}"/>
    <cellStyle name="Input [yellow] 5 15 2 3" xfId="24118" xr:uid="{56290768-6F6D-4FBA-A51E-76921493D8FC}"/>
    <cellStyle name="Input [yellow] 5 15 2 4" xfId="24119" xr:uid="{D2129EBB-173A-4BA7-9211-934A7DDF374F}"/>
    <cellStyle name="Input [yellow] 5 15 2 5" xfId="24120" xr:uid="{0FC62C8A-E469-42BE-B979-9D87429274B1}"/>
    <cellStyle name="Input [yellow] 5 15 2 6" xfId="24121" xr:uid="{A4EECF6E-DA43-48F2-B83E-3CC16B2C70C1}"/>
    <cellStyle name="Input [yellow] 5 15 3" xfId="24122" xr:uid="{8C5A609A-8A36-4936-87E0-A63D6B35230E}"/>
    <cellStyle name="Input [yellow] 5 15 4" xfId="24123" xr:uid="{4CB04D7B-75F9-417D-8866-89C725D12FA3}"/>
    <cellStyle name="Input [yellow] 5 15 5" xfId="24124" xr:uid="{D2AB4A18-F854-4944-88C9-87BA30072C6D}"/>
    <cellStyle name="Input [yellow] 5 15 6" xfId="24125" xr:uid="{2A0DD0B3-5772-400A-81B3-297B16823020}"/>
    <cellStyle name="Input [yellow] 5 15 7" xfId="24126" xr:uid="{630DBEA6-A680-4A4A-841B-D548A2D22787}"/>
    <cellStyle name="Input [yellow] 5 16" xfId="1294" xr:uid="{38B69A29-2FD2-44A0-B954-59D54190D33F}"/>
    <cellStyle name="Input [yellow] 5 16 2" xfId="11226" xr:uid="{23462FE0-ED35-4CED-AAF1-368FFE3EB286}"/>
    <cellStyle name="Input [yellow] 5 16 2 2" xfId="24127" xr:uid="{F99C31F1-2158-4D5C-9E8A-D4D18D14177F}"/>
    <cellStyle name="Input [yellow] 5 16 2 3" xfId="24128" xr:uid="{1713547C-2309-4B87-9B46-D29D0D4D083C}"/>
    <cellStyle name="Input [yellow] 5 16 2 4" xfId="24129" xr:uid="{1A78BAF6-ABA9-4F2F-9639-955D3081147D}"/>
    <cellStyle name="Input [yellow] 5 16 2 5" xfId="24130" xr:uid="{3146A785-294B-409C-8F2D-7A8F990591A3}"/>
    <cellStyle name="Input [yellow] 5 16 2 6" xfId="24131" xr:uid="{362A6398-D5BC-4BC6-BD46-65152A51BFD7}"/>
    <cellStyle name="Input [yellow] 5 16 3" xfId="24132" xr:uid="{28AA5F0F-B0F8-41E8-8B23-500E7FF0BC0D}"/>
    <cellStyle name="Input [yellow] 5 16 4" xfId="24133" xr:uid="{1ADEA4DF-028D-4D47-9A42-7FA0B5629931}"/>
    <cellStyle name="Input [yellow] 5 16 5" xfId="24134" xr:uid="{69F3B54A-E952-477A-BA3A-C86C68BF6D50}"/>
    <cellStyle name="Input [yellow] 5 16 6" xfId="24135" xr:uid="{630FE838-630F-40BB-AC2F-BBE576D1BE6E}"/>
    <cellStyle name="Input [yellow] 5 16 7" xfId="24136" xr:uid="{30AA1E5B-6B1B-492E-A921-92CBED8DBCEB}"/>
    <cellStyle name="Input [yellow] 5 17" xfId="1295" xr:uid="{25E936CB-CD84-4589-9BF1-4933515BDEC8}"/>
    <cellStyle name="Input [yellow] 5 17 2" xfId="11312" xr:uid="{8F417E57-2D0A-4420-A13C-42148A92FA8E}"/>
    <cellStyle name="Input [yellow] 5 17 2 2" xfId="24137" xr:uid="{46D83C4A-F019-4599-BFDA-BCF0733073E0}"/>
    <cellStyle name="Input [yellow] 5 17 2 3" xfId="24138" xr:uid="{6C3996B4-5C28-440B-AD51-E9139008DDD1}"/>
    <cellStyle name="Input [yellow] 5 17 2 4" xfId="24139" xr:uid="{777F1C6B-B628-4747-A3B6-AB0356F46545}"/>
    <cellStyle name="Input [yellow] 5 17 2 5" xfId="24140" xr:uid="{81BF92C5-FECA-48EB-800F-D0F78747C726}"/>
    <cellStyle name="Input [yellow] 5 17 2 6" xfId="24141" xr:uid="{2768AB21-9AF7-4A98-AFA5-1BDF12BFE99C}"/>
    <cellStyle name="Input [yellow] 5 17 3" xfId="24142" xr:uid="{228DE0FE-2083-4A23-8F61-4CC62A3FDDE0}"/>
    <cellStyle name="Input [yellow] 5 17 4" xfId="24143" xr:uid="{050F6A77-D16F-4FD0-B6F5-C56D1AC60232}"/>
    <cellStyle name="Input [yellow] 5 17 5" xfId="24144" xr:uid="{D4414C93-623C-44B4-918D-9EBFEEF11ADC}"/>
    <cellStyle name="Input [yellow] 5 17 6" xfId="24145" xr:uid="{02451018-3E25-4ED3-A29E-034C9195ABDA}"/>
    <cellStyle name="Input [yellow] 5 17 7" xfId="24146" xr:uid="{26D2D579-6009-452B-A373-67A2BB106AB6}"/>
    <cellStyle name="Input [yellow] 5 18" xfId="1296" xr:uid="{2CE42D20-C176-4062-9FAF-D6DC1477D03F}"/>
    <cellStyle name="Input [yellow] 5 18 2" xfId="11399" xr:uid="{420CA0E4-5D3A-4025-B516-61B7D1004FDD}"/>
    <cellStyle name="Input [yellow] 5 18 2 2" xfId="24147" xr:uid="{1DC69315-D072-4BED-9B0E-F947FB2F32B7}"/>
    <cellStyle name="Input [yellow] 5 18 2 3" xfId="24148" xr:uid="{785C568F-393F-444C-A22F-CA3DC4A72E4C}"/>
    <cellStyle name="Input [yellow] 5 18 2 4" xfId="24149" xr:uid="{EE00DE61-C3D0-44A6-B66D-EAAA460AA2CB}"/>
    <cellStyle name="Input [yellow] 5 18 2 5" xfId="24150" xr:uid="{BBBBF65E-C590-4110-9148-3323740270F4}"/>
    <cellStyle name="Input [yellow] 5 18 2 6" xfId="24151" xr:uid="{09EBF2F7-C54C-4FCA-B6B7-0DC545AEF1E4}"/>
    <cellStyle name="Input [yellow] 5 18 3" xfId="24152" xr:uid="{E29BB0BD-08B4-41F2-962A-6885C551F352}"/>
    <cellStyle name="Input [yellow] 5 18 4" xfId="24153" xr:uid="{794C33D2-04BC-4E6B-B173-A7A0A3BF9A1E}"/>
    <cellStyle name="Input [yellow] 5 18 5" xfId="24154" xr:uid="{AEF9DBF2-98CA-4E84-B930-11FB02A7D92C}"/>
    <cellStyle name="Input [yellow] 5 18 6" xfId="24155" xr:uid="{3D7288B9-CFD7-4800-BC3E-3D2BCF83447C}"/>
    <cellStyle name="Input [yellow] 5 18 7" xfId="24156" xr:uid="{66CCF12E-703F-40BD-BDC7-2323020C9902}"/>
    <cellStyle name="Input [yellow] 5 19" xfId="1297" xr:uid="{36230B4E-3074-4F25-A286-DD6C60C356D3}"/>
    <cellStyle name="Input [yellow] 5 19 2" xfId="11486" xr:uid="{08CC1C1C-714A-4E9B-AFBB-7FE59A2AA5BE}"/>
    <cellStyle name="Input [yellow] 5 19 2 2" xfId="24157" xr:uid="{0BE89B79-257E-4E78-B8C0-84B9B69D0E07}"/>
    <cellStyle name="Input [yellow] 5 19 2 3" xfId="24158" xr:uid="{0E82A51D-08BD-4CE8-ADEB-6BF10C003CC5}"/>
    <cellStyle name="Input [yellow] 5 19 2 4" xfId="24159" xr:uid="{9AEBD3B2-9232-4A2D-93AE-70A0A502C1AA}"/>
    <cellStyle name="Input [yellow] 5 19 2 5" xfId="24160" xr:uid="{951C313C-44BC-494A-8BAB-6CE3568D2BE9}"/>
    <cellStyle name="Input [yellow] 5 19 2 6" xfId="24161" xr:uid="{B70FA27E-8265-4D83-ACE1-4AEE0A812B98}"/>
    <cellStyle name="Input [yellow] 5 19 3" xfId="24162" xr:uid="{352137E6-49FE-4135-92C5-AE599C1E09FB}"/>
    <cellStyle name="Input [yellow] 5 19 4" xfId="24163" xr:uid="{BF2AEDA1-EBA4-4C40-9AA1-7914520F98C5}"/>
    <cellStyle name="Input [yellow] 5 19 5" xfId="24164" xr:uid="{5179F99A-2718-4FFB-876A-DF40998A7BCF}"/>
    <cellStyle name="Input [yellow] 5 19 6" xfId="24165" xr:uid="{B44DA943-245D-4E98-B3F6-E62C10DB7B4A}"/>
    <cellStyle name="Input [yellow] 5 19 7" xfId="24166" xr:uid="{3108294F-046F-4982-8C28-433E84CF41D9}"/>
    <cellStyle name="Input [yellow] 5 2" xfId="1298" xr:uid="{D2D9B4EC-931B-46A6-8800-CBE852638E44}"/>
    <cellStyle name="Input [yellow] 5 2 2" xfId="9992" xr:uid="{2BBDC963-BB7C-425E-B637-B7C9E86AA8DE}"/>
    <cellStyle name="Input [yellow] 5 2 2 2" xfId="24167" xr:uid="{ACF15174-54EA-4FEF-9A60-37649A30280C}"/>
    <cellStyle name="Input [yellow] 5 2 2 3" xfId="24168" xr:uid="{FB885489-3DC4-44AA-ABD1-DFE440D83C5A}"/>
    <cellStyle name="Input [yellow] 5 2 2 4" xfId="24169" xr:uid="{E6254C02-3DA8-4148-9EBA-43D73296DD09}"/>
    <cellStyle name="Input [yellow] 5 2 2 5" xfId="24170" xr:uid="{0F43DEC5-856E-4D20-8D49-7DD57AE64C11}"/>
    <cellStyle name="Input [yellow] 5 2 2 6" xfId="24171" xr:uid="{EDE8A406-4676-4072-BB48-A869C65D4D6A}"/>
    <cellStyle name="Input [yellow] 5 2 3" xfId="24172" xr:uid="{8B48CBA0-2EC1-4355-8E11-EAD6BDD4F7B4}"/>
    <cellStyle name="Input [yellow] 5 2 4" xfId="24173" xr:uid="{D84FE70A-0089-461A-A094-41D0FC1B0345}"/>
    <cellStyle name="Input [yellow] 5 2 5" xfId="24174" xr:uid="{192103EC-09DB-48B4-9BCB-7FC688BAD691}"/>
    <cellStyle name="Input [yellow] 5 2 6" xfId="24175" xr:uid="{2CE521A3-B025-4C00-A724-3968C06AF591}"/>
    <cellStyle name="Input [yellow] 5 2 7" xfId="24176" xr:uid="{E5777243-1E74-4B59-8744-C9281813E926}"/>
    <cellStyle name="Input [yellow] 5 20" xfId="1299" xr:uid="{CD966F21-2448-4F83-8E9B-ABCA8179C61C}"/>
    <cellStyle name="Input [yellow] 5 20 2" xfId="11574" xr:uid="{586A11B5-FD92-4BD2-9BE0-2340EBD4AFF4}"/>
    <cellStyle name="Input [yellow] 5 20 2 2" xfId="24177" xr:uid="{FC845677-22DB-4A00-8248-D11EF0FB63B4}"/>
    <cellStyle name="Input [yellow] 5 20 2 3" xfId="24178" xr:uid="{8F38CFF1-DF67-45FD-904D-B9650F006D95}"/>
    <cellStyle name="Input [yellow] 5 20 2 4" xfId="24179" xr:uid="{556AC32A-B2D0-4020-8193-CEEBDB065E3E}"/>
    <cellStyle name="Input [yellow] 5 20 2 5" xfId="24180" xr:uid="{654CCB25-225E-4625-910D-13B96D8A05B7}"/>
    <cellStyle name="Input [yellow] 5 20 2 6" xfId="24181" xr:uid="{473543E6-C0D1-4BCB-BA8C-DB2D84B41F0A}"/>
    <cellStyle name="Input [yellow] 5 20 3" xfId="24182" xr:uid="{BE3F18ED-13EC-4043-BFC1-15E2E2633526}"/>
    <cellStyle name="Input [yellow] 5 20 4" xfId="24183" xr:uid="{7E7D59C0-23ED-4F78-84A8-C632BFC58082}"/>
    <cellStyle name="Input [yellow] 5 20 5" xfId="24184" xr:uid="{AC3D1D69-DDE8-4DE3-8B20-994F616553CD}"/>
    <cellStyle name="Input [yellow] 5 20 6" xfId="24185" xr:uid="{817F93EC-6CD6-4ECA-AF3A-1BBF3708D8CB}"/>
    <cellStyle name="Input [yellow] 5 20 7" xfId="24186" xr:uid="{F6187166-3542-40F1-9DB4-5B3F15B01402}"/>
    <cellStyle name="Input [yellow] 5 21" xfId="1300" xr:uid="{E061D4B7-AC73-4ECB-B4C7-9E858371B598}"/>
    <cellStyle name="Input [yellow] 5 21 2" xfId="11660" xr:uid="{7349188C-07BD-4696-B522-067639A44B4C}"/>
    <cellStyle name="Input [yellow] 5 21 2 2" xfId="24187" xr:uid="{5A3E70DA-1A5E-4EF8-9F16-71FFA776BFB5}"/>
    <cellStyle name="Input [yellow] 5 21 2 3" xfId="24188" xr:uid="{D60F14D1-BA23-4D07-935F-3BF823F2301E}"/>
    <cellStyle name="Input [yellow] 5 21 2 4" xfId="24189" xr:uid="{2D7D99C7-2674-49B6-B510-BEFE9504FD65}"/>
    <cellStyle name="Input [yellow] 5 21 2 5" xfId="24190" xr:uid="{343A4AEF-79D1-4697-A4D5-FCD0BA89FEBA}"/>
    <cellStyle name="Input [yellow] 5 21 2 6" xfId="24191" xr:uid="{F1EA60C3-0649-49C9-A98A-295AB2F1832B}"/>
    <cellStyle name="Input [yellow] 5 21 3" xfId="24192" xr:uid="{D9726AA5-C90D-4142-8488-7CBB9616F4B6}"/>
    <cellStyle name="Input [yellow] 5 21 4" xfId="24193" xr:uid="{B0D10FF4-9106-4920-B790-C580BC3A8B02}"/>
    <cellStyle name="Input [yellow] 5 21 5" xfId="24194" xr:uid="{32412210-DA2B-4E55-A8D4-7450A65F6FF5}"/>
    <cellStyle name="Input [yellow] 5 21 6" xfId="24195" xr:uid="{6B303B23-444E-4B14-A7A6-596350B8AE92}"/>
    <cellStyle name="Input [yellow] 5 21 7" xfId="24196" xr:uid="{E4476DA3-FFF0-49E4-A5B1-BE81560F51C9}"/>
    <cellStyle name="Input [yellow] 5 22" xfId="1301" xr:uid="{6B8A8B1C-1AE0-407E-BB56-1D314A9E49DE}"/>
    <cellStyle name="Input [yellow] 5 22 2" xfId="11743" xr:uid="{99DADD9F-73DC-495D-B9CC-702CB8C752CA}"/>
    <cellStyle name="Input [yellow] 5 22 2 2" xfId="24197" xr:uid="{077FD264-0CA1-4167-AC45-3285AEE9CC28}"/>
    <cellStyle name="Input [yellow] 5 22 2 3" xfId="24198" xr:uid="{5276BE3F-1654-4CD7-B585-555CC74A5FAE}"/>
    <cellStyle name="Input [yellow] 5 22 2 4" xfId="24199" xr:uid="{CAE5D515-F1FE-4A4D-8A30-0BB262B16513}"/>
    <cellStyle name="Input [yellow] 5 22 2 5" xfId="24200" xr:uid="{764D3F9A-B65F-41CC-BCF0-0D764E4A653C}"/>
    <cellStyle name="Input [yellow] 5 22 2 6" xfId="24201" xr:uid="{ACE28D70-CEBB-4DE9-B150-792CB8024784}"/>
    <cellStyle name="Input [yellow] 5 22 3" xfId="24202" xr:uid="{C15453FB-231E-492C-B692-40DAC122A05C}"/>
    <cellStyle name="Input [yellow] 5 22 4" xfId="24203" xr:uid="{BD0C3D7B-A86F-4FD3-974F-81304D885AFD}"/>
    <cellStyle name="Input [yellow] 5 22 5" xfId="24204" xr:uid="{BFFE35C7-6734-48D1-99EF-14B72AB49C58}"/>
    <cellStyle name="Input [yellow] 5 22 6" xfId="24205" xr:uid="{9E37B300-7D7A-4C40-81C9-8A24A797ECAB}"/>
    <cellStyle name="Input [yellow] 5 22 7" xfId="24206" xr:uid="{B3AEAEB4-799D-4910-A740-D8645543A520}"/>
    <cellStyle name="Input [yellow] 5 23" xfId="1302" xr:uid="{0F9E27A4-944F-4462-A4ED-90C3DFFA77B6}"/>
    <cellStyle name="Input [yellow] 5 23 2" xfId="11825" xr:uid="{17B44648-FBFB-4D55-96FD-4A13D856926F}"/>
    <cellStyle name="Input [yellow] 5 23 2 2" xfId="24207" xr:uid="{7995FAC0-D04B-4966-AE40-2A49F5362355}"/>
    <cellStyle name="Input [yellow] 5 23 2 3" xfId="24208" xr:uid="{C893C566-8D04-4B38-9025-0B55FE47FB42}"/>
    <cellStyle name="Input [yellow] 5 23 2 4" xfId="24209" xr:uid="{AAF4E2BC-1411-41BD-A6B9-4CCB5787025D}"/>
    <cellStyle name="Input [yellow] 5 23 2 5" xfId="24210" xr:uid="{29B84B4D-E14A-4D3F-9741-3A949CB5AAF4}"/>
    <cellStyle name="Input [yellow] 5 23 2 6" xfId="24211" xr:uid="{259C8EFE-724C-4490-9795-6AF8E61989D3}"/>
    <cellStyle name="Input [yellow] 5 23 3" xfId="24212" xr:uid="{AAF34073-0DFE-4844-B79D-9832E02B8EC8}"/>
    <cellStyle name="Input [yellow] 5 23 4" xfId="24213" xr:uid="{DB579424-F15D-42C3-A979-31ED88F4299D}"/>
    <cellStyle name="Input [yellow] 5 23 5" xfId="24214" xr:uid="{FE857CEC-7D1C-421F-B7A6-257878017480}"/>
    <cellStyle name="Input [yellow] 5 23 6" xfId="24215" xr:uid="{927A6A2E-3E9F-4AC2-A975-13E07B3E6979}"/>
    <cellStyle name="Input [yellow] 5 23 7" xfId="24216" xr:uid="{296DD28C-5D25-4D44-A520-4CCE090F9462}"/>
    <cellStyle name="Input [yellow] 5 24" xfId="1303" xr:uid="{30E0CB52-6E0B-4AB4-9F06-DA446F4378D4}"/>
    <cellStyle name="Input [yellow] 5 24 2" xfId="11909" xr:uid="{CE4AD020-A72A-4F70-82CC-3622D2E8F362}"/>
    <cellStyle name="Input [yellow] 5 24 2 2" xfId="24217" xr:uid="{7E01D94A-022A-49F7-8438-9AE81791E308}"/>
    <cellStyle name="Input [yellow] 5 24 2 3" xfId="24218" xr:uid="{B4056B2E-9D33-4592-A5AF-BAFAB9BB131D}"/>
    <cellStyle name="Input [yellow] 5 24 2 4" xfId="24219" xr:uid="{A8A0019D-A244-4A55-B278-1D7DC0B00D6E}"/>
    <cellStyle name="Input [yellow] 5 24 2 5" xfId="24220" xr:uid="{40DED7CC-8032-49E2-936A-4D1F71BE81D5}"/>
    <cellStyle name="Input [yellow] 5 24 2 6" xfId="24221" xr:uid="{94934C5A-27B1-4E73-988C-F2AC0FF6873F}"/>
    <cellStyle name="Input [yellow] 5 24 3" xfId="24222" xr:uid="{4E79DD0A-80D0-4B93-9F14-E0E45157C004}"/>
    <cellStyle name="Input [yellow] 5 24 4" xfId="24223" xr:uid="{50E491F6-915A-4C4B-9863-70973B712A52}"/>
    <cellStyle name="Input [yellow] 5 24 5" xfId="24224" xr:uid="{F7DE4D14-77C2-45CA-8363-CE7353068AA0}"/>
    <cellStyle name="Input [yellow] 5 24 6" xfId="24225" xr:uid="{6EAFC1B0-608D-40A3-BD15-5080DFD047D9}"/>
    <cellStyle name="Input [yellow] 5 24 7" xfId="24226" xr:uid="{4A44E4BA-20D3-4925-9CDB-38AE7590ABD5}"/>
    <cellStyle name="Input [yellow] 5 25" xfId="1304" xr:uid="{C9E0CD32-D91E-4CA9-A261-C5C4C7EC42B0}"/>
    <cellStyle name="Input [yellow] 5 25 2" xfId="11993" xr:uid="{AAF0F49C-756F-409B-B773-089ABE6F2562}"/>
    <cellStyle name="Input [yellow] 5 25 2 2" xfId="24227" xr:uid="{C5547887-9AC4-487C-AC1B-00197591D2AA}"/>
    <cellStyle name="Input [yellow] 5 25 2 3" xfId="24228" xr:uid="{BDA27CB4-8E81-44CF-A13B-A159F94F2E0F}"/>
    <cellStyle name="Input [yellow] 5 25 2 4" xfId="24229" xr:uid="{2C1BC6BD-15CC-4A00-97B5-E15B1AA11224}"/>
    <cellStyle name="Input [yellow] 5 25 2 5" xfId="24230" xr:uid="{99F2DE25-0768-494C-931A-C03CC2327D44}"/>
    <cellStyle name="Input [yellow] 5 25 2 6" xfId="24231" xr:uid="{725AC70D-4FC8-4200-BC58-BEA370070B87}"/>
    <cellStyle name="Input [yellow] 5 25 3" xfId="24232" xr:uid="{7337A00B-7E9E-4EF9-B27D-04126181738F}"/>
    <cellStyle name="Input [yellow] 5 25 4" xfId="24233" xr:uid="{E13CE082-E98B-4267-9D54-6A43613F47B9}"/>
    <cellStyle name="Input [yellow] 5 25 5" xfId="24234" xr:uid="{01658CFD-B9A6-48A4-8E22-9E0C4DEE3DB8}"/>
    <cellStyle name="Input [yellow] 5 25 6" xfId="24235" xr:uid="{1C7D5995-6E74-445E-A6E1-DF01D6D2E2CE}"/>
    <cellStyle name="Input [yellow] 5 25 7" xfId="24236" xr:uid="{25E5AC69-F26E-4CD3-8C27-5676DEFE1A1E}"/>
    <cellStyle name="Input [yellow] 5 26" xfId="1305" xr:uid="{ABEA9CA2-A468-4A9B-97BA-472F1EF929D7}"/>
    <cellStyle name="Input [yellow] 5 26 2" xfId="12076" xr:uid="{8A96FC1A-3E35-4C03-8710-B28FBA95B3FD}"/>
    <cellStyle name="Input [yellow] 5 26 2 2" xfId="24237" xr:uid="{3A6B2803-FB65-4C5D-B214-298F91FF0EEF}"/>
    <cellStyle name="Input [yellow] 5 26 2 3" xfId="24238" xr:uid="{B57C7583-508F-4328-BD63-834DDCA2740A}"/>
    <cellStyle name="Input [yellow] 5 26 2 4" xfId="24239" xr:uid="{5084180C-0DCA-4634-A365-55D64C48CA3A}"/>
    <cellStyle name="Input [yellow] 5 26 2 5" xfId="24240" xr:uid="{1999CAD0-75F4-4611-8B56-4BB61376EB58}"/>
    <cellStyle name="Input [yellow] 5 26 2 6" xfId="24241" xr:uid="{371414C6-1DAB-459A-9FA2-B35F24E9912C}"/>
    <cellStyle name="Input [yellow] 5 26 3" xfId="24242" xr:uid="{63893ED7-36FB-4704-838B-82CE2A24BFAD}"/>
    <cellStyle name="Input [yellow] 5 26 4" xfId="24243" xr:uid="{84903929-84F8-4B90-AE9C-8FFAD117FFB2}"/>
    <cellStyle name="Input [yellow] 5 26 5" xfId="24244" xr:uid="{0537F539-5E46-4958-B924-B527C862662B}"/>
    <cellStyle name="Input [yellow] 5 26 6" xfId="24245" xr:uid="{439E497E-6489-42F0-B805-BB5D624DD1C1}"/>
    <cellStyle name="Input [yellow] 5 26 7" xfId="24246" xr:uid="{685C869C-B3FA-426A-9923-4B50193A2086}"/>
    <cellStyle name="Input [yellow] 5 27" xfId="1306" xr:uid="{191B7CC8-A2D0-4D00-A5CB-98C653DFDBA4}"/>
    <cellStyle name="Input [yellow] 5 27 2" xfId="12159" xr:uid="{88378D3A-A2F0-451D-90E8-15B6C7645DDF}"/>
    <cellStyle name="Input [yellow] 5 27 2 2" xfId="24247" xr:uid="{17544CDB-3BF7-4D03-8094-997DDA767B3D}"/>
    <cellStyle name="Input [yellow] 5 27 2 3" xfId="24248" xr:uid="{E37A9E54-8339-4E4A-85B0-CB2F1224AAE0}"/>
    <cellStyle name="Input [yellow] 5 27 2 4" xfId="24249" xr:uid="{80812B7D-1B4A-4387-8F83-354FAA46B684}"/>
    <cellStyle name="Input [yellow] 5 27 2 5" xfId="24250" xr:uid="{A0FFFA18-BA64-4D18-A8E8-ECBDC79FE98A}"/>
    <cellStyle name="Input [yellow] 5 27 2 6" xfId="24251" xr:uid="{D2D30C8B-A278-4A5F-B1EE-1F622986D7F8}"/>
    <cellStyle name="Input [yellow] 5 27 3" xfId="24252" xr:uid="{0084B6CB-1A0E-4F4C-BBA3-8CBA2041BC87}"/>
    <cellStyle name="Input [yellow] 5 27 4" xfId="24253" xr:uid="{A314D1CD-28A0-4573-849B-A562983C8306}"/>
    <cellStyle name="Input [yellow] 5 27 5" xfId="24254" xr:uid="{1DFBDA05-CD6A-40BA-95E9-5DDA68F330C3}"/>
    <cellStyle name="Input [yellow] 5 27 6" xfId="24255" xr:uid="{0D3FCBBD-5CAB-490F-A5E0-69061C4AF18D}"/>
    <cellStyle name="Input [yellow] 5 27 7" xfId="24256" xr:uid="{3C454769-F4B7-4CF4-8EB2-8559839A5877}"/>
    <cellStyle name="Input [yellow] 5 28" xfId="1307" xr:uid="{D41C2D30-49F2-47D5-8689-011C222B8602}"/>
    <cellStyle name="Input [yellow] 5 28 2" xfId="12238" xr:uid="{BC2891E2-2A73-4A68-BF3D-64BAE8C9636B}"/>
    <cellStyle name="Input [yellow] 5 28 2 2" xfId="24257" xr:uid="{06DBBE4E-FF7A-4AB4-A2E2-AD86CF4775B3}"/>
    <cellStyle name="Input [yellow] 5 28 2 3" xfId="24258" xr:uid="{00A729C0-0FED-4481-B67C-88C95EE91B35}"/>
    <cellStyle name="Input [yellow] 5 28 2 4" xfId="24259" xr:uid="{284119F4-E640-4DC2-A652-A506C21CE585}"/>
    <cellStyle name="Input [yellow] 5 28 2 5" xfId="24260" xr:uid="{B8907A89-2565-48CB-A853-9119DE6ED748}"/>
    <cellStyle name="Input [yellow] 5 28 2 6" xfId="24261" xr:uid="{E75626AF-4F96-49A2-A1DE-AC6BE86847EC}"/>
    <cellStyle name="Input [yellow] 5 28 3" xfId="24262" xr:uid="{9EA97AE8-A5D8-4C96-A61C-E88CE4F2705D}"/>
    <cellStyle name="Input [yellow] 5 28 4" xfId="24263" xr:uid="{37CB8CD5-1C06-47CF-BB10-486511F49F4C}"/>
    <cellStyle name="Input [yellow] 5 28 5" xfId="24264" xr:uid="{7BB94D20-3600-49FA-BF79-5BFBBE0307D7}"/>
    <cellStyle name="Input [yellow] 5 28 6" xfId="24265" xr:uid="{57BB802D-1C20-418B-A810-3BB28F2C7C28}"/>
    <cellStyle name="Input [yellow] 5 28 7" xfId="24266" xr:uid="{EF1BE470-A06B-4EEC-9DBA-6352FADE6E5D}"/>
    <cellStyle name="Input [yellow] 5 29" xfId="1308" xr:uid="{F5D98FE1-811E-4D45-B674-1C484148B94F}"/>
    <cellStyle name="Input [yellow] 5 29 2" xfId="12317" xr:uid="{DA6E3B1B-B7F3-4A95-9095-2166216E1436}"/>
    <cellStyle name="Input [yellow] 5 29 2 2" xfId="24267" xr:uid="{0E9D4046-C8A8-4800-A4C6-789973EE01CA}"/>
    <cellStyle name="Input [yellow] 5 29 2 3" xfId="24268" xr:uid="{FB226460-EC41-4933-923B-CBE07F32BA50}"/>
    <cellStyle name="Input [yellow] 5 29 2 4" xfId="24269" xr:uid="{A32DF24E-F394-4FFD-8647-0401E47C4F87}"/>
    <cellStyle name="Input [yellow] 5 29 2 5" xfId="24270" xr:uid="{C27F4BEA-B667-4F41-86C5-C0381F708248}"/>
    <cellStyle name="Input [yellow] 5 29 2 6" xfId="24271" xr:uid="{73000804-FBB5-456F-B049-347ADE0B74E1}"/>
    <cellStyle name="Input [yellow] 5 29 3" xfId="24272" xr:uid="{0D22005E-BC08-458E-BE3B-ED3C2153B767}"/>
    <cellStyle name="Input [yellow] 5 29 4" xfId="24273" xr:uid="{5801E14D-46D8-42C0-ABE0-4940B59D4C4C}"/>
    <cellStyle name="Input [yellow] 5 29 5" xfId="24274" xr:uid="{BCC80111-FD69-4FCD-B8B9-EF0B069918C2}"/>
    <cellStyle name="Input [yellow] 5 29 6" xfId="24275" xr:uid="{E0E173A9-5368-43FD-8168-5E1ACD2DE766}"/>
    <cellStyle name="Input [yellow] 5 29 7" xfId="24276" xr:uid="{C746EC3A-23F4-4AE4-983D-DDFD8579089E}"/>
    <cellStyle name="Input [yellow] 5 3" xfId="1309" xr:uid="{AA1C7750-942A-42D7-AD8E-0C4F2F466BC1}"/>
    <cellStyle name="Input [yellow] 5 3 2" xfId="10083" xr:uid="{921AB20C-BA63-43B8-B6F6-506F755CE5DC}"/>
    <cellStyle name="Input [yellow] 5 3 2 2" xfId="24277" xr:uid="{660EC136-CA35-46E5-8B8D-81CE7B26AE51}"/>
    <cellStyle name="Input [yellow] 5 3 2 3" xfId="24278" xr:uid="{90CA4676-1DF0-4412-91E1-7DDB4EE81018}"/>
    <cellStyle name="Input [yellow] 5 3 2 4" xfId="24279" xr:uid="{1B38D523-0E83-4159-8FD2-A40B5A69D453}"/>
    <cellStyle name="Input [yellow] 5 3 2 5" xfId="24280" xr:uid="{9611E716-7139-4D8D-886F-7EF32DAF430E}"/>
    <cellStyle name="Input [yellow] 5 3 2 6" xfId="24281" xr:uid="{080C757B-DC06-4F03-B689-941CCF0D5568}"/>
    <cellStyle name="Input [yellow] 5 3 3" xfId="24282" xr:uid="{ECBAFCE7-6C3E-445D-9D28-32FB647D17E3}"/>
    <cellStyle name="Input [yellow] 5 3 4" xfId="24283" xr:uid="{8EECC29C-025B-4DCE-B34C-4C9785427422}"/>
    <cellStyle name="Input [yellow] 5 3 5" xfId="24284" xr:uid="{EB087B2E-B907-4885-B1BB-CE4FBB1C777D}"/>
    <cellStyle name="Input [yellow] 5 3 6" xfId="24285" xr:uid="{DDCD4EB8-D562-4365-BCBD-3D857C3B5113}"/>
    <cellStyle name="Input [yellow] 5 3 7" xfId="24286" xr:uid="{9F19D890-6D3F-4C4B-9DDC-6766234814F1}"/>
    <cellStyle name="Input [yellow] 5 30" xfId="1310" xr:uid="{19C84AC7-754C-4774-AB08-A2D1C892CA2D}"/>
    <cellStyle name="Input [yellow] 5 30 2" xfId="12396" xr:uid="{95F0D90C-D760-42F7-8E6F-1C3B0398B356}"/>
    <cellStyle name="Input [yellow] 5 30 2 2" xfId="24287" xr:uid="{F325C1F8-1F13-49FE-B293-DD1C81CB4377}"/>
    <cellStyle name="Input [yellow] 5 30 2 3" xfId="24288" xr:uid="{6F848ACA-E414-4011-8878-CB6A2D4A9270}"/>
    <cellStyle name="Input [yellow] 5 30 2 4" xfId="24289" xr:uid="{97F92767-A8B4-4A9F-A0B8-D9833E3F2281}"/>
    <cellStyle name="Input [yellow] 5 30 2 5" xfId="24290" xr:uid="{BAC3E3AF-494C-4DF3-B285-E1531A70413F}"/>
    <cellStyle name="Input [yellow] 5 30 2 6" xfId="24291" xr:uid="{E39DE156-1D8F-479A-992B-E6EA15415D92}"/>
    <cellStyle name="Input [yellow] 5 30 3" xfId="24292" xr:uid="{6CF3B4CE-88C5-4C6D-BDA9-519A1D924D1C}"/>
    <cellStyle name="Input [yellow] 5 30 4" xfId="24293" xr:uid="{BA20F6CB-3E54-41CC-A16B-16F9B25DE0BB}"/>
    <cellStyle name="Input [yellow] 5 30 5" xfId="24294" xr:uid="{F55A4B2F-4DC1-452F-B910-DB978973B2ED}"/>
    <cellStyle name="Input [yellow] 5 30 6" xfId="24295" xr:uid="{11F883E9-4D15-4ECA-925E-E473CD56324B}"/>
    <cellStyle name="Input [yellow] 5 30 7" xfId="24296" xr:uid="{CD9C477C-8EC9-4908-AE9D-016BE2E2A661}"/>
    <cellStyle name="Input [yellow] 5 31" xfId="1311" xr:uid="{7E7219FC-D8C2-4783-BE09-52E81F8777C3}"/>
    <cellStyle name="Input [yellow] 5 31 2" xfId="12475" xr:uid="{81A681FD-EFD9-4990-A419-884B2AD96CDF}"/>
    <cellStyle name="Input [yellow] 5 31 2 2" xfId="24297" xr:uid="{C3457C39-9345-42E0-86D7-EDB2E1D8861F}"/>
    <cellStyle name="Input [yellow] 5 31 2 3" xfId="24298" xr:uid="{DD626773-FF84-40E4-A08F-C37D30F3102C}"/>
    <cellStyle name="Input [yellow] 5 31 2 4" xfId="24299" xr:uid="{18CF4B0F-6E5B-40FF-B383-7941F80E89E6}"/>
    <cellStyle name="Input [yellow] 5 31 2 5" xfId="24300" xr:uid="{7BC00410-2D5F-4275-9829-E1A2505D59E0}"/>
    <cellStyle name="Input [yellow] 5 31 2 6" xfId="24301" xr:uid="{B747E36D-F39B-4696-9674-A0384794E064}"/>
    <cellStyle name="Input [yellow] 5 31 3" xfId="24302" xr:uid="{155E4901-8D9C-49C3-8FEB-341AAFC7CBD0}"/>
    <cellStyle name="Input [yellow] 5 31 4" xfId="24303" xr:uid="{21E00CAB-EE26-4F9F-BBE6-70954CC2AEF8}"/>
    <cellStyle name="Input [yellow] 5 31 5" xfId="24304" xr:uid="{3C425B2D-6AD7-4496-B7D4-D412EB94ECB8}"/>
    <cellStyle name="Input [yellow] 5 31 6" xfId="24305" xr:uid="{0E324F55-6833-4784-A36F-A85ECF6895B7}"/>
    <cellStyle name="Input [yellow] 5 31 7" xfId="24306" xr:uid="{570AEEFC-FD8C-4631-BDB0-61A9B175EC8C}"/>
    <cellStyle name="Input [yellow] 5 32" xfId="1312" xr:uid="{B8609A2B-5404-47CB-9C2C-93F701B97B6A}"/>
    <cellStyle name="Input [yellow] 5 32 2" xfId="12554" xr:uid="{BBBFA91F-F86F-4524-97A1-0E26188EBA63}"/>
    <cellStyle name="Input [yellow] 5 32 2 2" xfId="24307" xr:uid="{1997BE49-0D73-4D34-A05E-322AB8DBF1E6}"/>
    <cellStyle name="Input [yellow] 5 32 2 3" xfId="24308" xr:uid="{6F21B473-AD3F-49F4-8B50-D209FDFEE73C}"/>
    <cellStyle name="Input [yellow] 5 32 2 4" xfId="24309" xr:uid="{0E9740A8-50BE-41B8-B8C4-C15519E7FAF9}"/>
    <cellStyle name="Input [yellow] 5 32 2 5" xfId="24310" xr:uid="{77ADA0F9-F10E-45EC-93EF-8A4357B10A47}"/>
    <cellStyle name="Input [yellow] 5 32 2 6" xfId="24311" xr:uid="{CEEE794C-0B05-4E91-B641-37E53059A4B1}"/>
    <cellStyle name="Input [yellow] 5 32 3" xfId="24312" xr:uid="{9ADD77D0-2B03-42DE-8B5E-1439F2358679}"/>
    <cellStyle name="Input [yellow] 5 32 4" xfId="24313" xr:uid="{8E7FBA83-6FAD-485F-B6B1-E6D399E5C58C}"/>
    <cellStyle name="Input [yellow] 5 32 5" xfId="24314" xr:uid="{9A891FC9-1E76-444B-883F-4B8717DDB85E}"/>
    <cellStyle name="Input [yellow] 5 32 6" xfId="24315" xr:uid="{128C9A90-C955-41FC-AA92-15E274F92BE5}"/>
    <cellStyle name="Input [yellow] 5 32 7" xfId="24316" xr:uid="{60DB944B-AFCA-405F-965D-164C546C2839}"/>
    <cellStyle name="Input [yellow] 5 33" xfId="1313" xr:uid="{4196B6EC-4C2B-4EA0-8B29-47822EB2BAF5}"/>
    <cellStyle name="Input [yellow] 5 33 2" xfId="12633" xr:uid="{70F340B3-727D-4B96-961A-A143ABE4F390}"/>
    <cellStyle name="Input [yellow] 5 33 2 2" xfId="24317" xr:uid="{9BE96140-116F-40E1-B056-A5F99339126B}"/>
    <cellStyle name="Input [yellow] 5 33 2 3" xfId="24318" xr:uid="{A16C0866-4AA8-436F-8E41-8CF614FF69DF}"/>
    <cellStyle name="Input [yellow] 5 33 2 4" xfId="24319" xr:uid="{86641432-1F12-4BA8-9192-A83C3EB16286}"/>
    <cellStyle name="Input [yellow] 5 33 2 5" xfId="24320" xr:uid="{614ABB56-4FC3-4A7C-83F5-C95EFF25C7F7}"/>
    <cellStyle name="Input [yellow] 5 33 2 6" xfId="24321" xr:uid="{EF424C80-0EEA-4844-A50E-C646ADF76351}"/>
    <cellStyle name="Input [yellow] 5 33 3" xfId="24322" xr:uid="{999DD229-09DC-48E0-8D09-4A0AA1D41C47}"/>
    <cellStyle name="Input [yellow] 5 33 4" xfId="24323" xr:uid="{3B7D3548-1087-4561-BBDD-8BE1EAAB6B06}"/>
    <cellStyle name="Input [yellow] 5 33 5" xfId="24324" xr:uid="{4B608414-0CCF-43B3-B683-6934D53644CE}"/>
    <cellStyle name="Input [yellow] 5 33 6" xfId="24325" xr:uid="{578C5EE9-06EE-4321-BFD7-3BD367FB3B94}"/>
    <cellStyle name="Input [yellow] 5 33 7" xfId="24326" xr:uid="{C9C20F04-D1DF-4257-8BB7-7F5719C1D416}"/>
    <cellStyle name="Input [yellow] 5 34" xfId="1314" xr:uid="{8A253178-FE00-46AE-8453-E4996951BAA1}"/>
    <cellStyle name="Input [yellow] 5 34 2" xfId="12717" xr:uid="{D8CDE6A5-2A2D-48EE-BF66-45FBD4CAA2C3}"/>
    <cellStyle name="Input [yellow] 5 34 2 2" xfId="24327" xr:uid="{8B83CFAF-E06C-4FFE-983D-AA46C9834EBB}"/>
    <cellStyle name="Input [yellow] 5 34 2 3" xfId="24328" xr:uid="{F64D9A65-5B56-4477-96AD-F5356ADB58FB}"/>
    <cellStyle name="Input [yellow] 5 34 2 4" xfId="24329" xr:uid="{10F75E1D-41F9-4D46-9246-F828B4888114}"/>
    <cellStyle name="Input [yellow] 5 34 2 5" xfId="24330" xr:uid="{64A17FAF-4BD2-4F2E-BBEB-29E4AA0CCC66}"/>
    <cellStyle name="Input [yellow] 5 34 2 6" xfId="24331" xr:uid="{CF7F57F1-019F-44DA-83EA-286C72EFD26B}"/>
    <cellStyle name="Input [yellow] 5 34 3" xfId="24332" xr:uid="{7213AACB-9DC0-4B6F-B596-6B5EFC5EC662}"/>
    <cellStyle name="Input [yellow] 5 34 4" xfId="24333" xr:uid="{C46E1894-D1D2-44D7-891D-17DEF84CEFB6}"/>
    <cellStyle name="Input [yellow] 5 34 5" xfId="24334" xr:uid="{6D6E94D4-DEF5-4B51-9498-FD32C8A451E0}"/>
    <cellStyle name="Input [yellow] 5 34 6" xfId="24335" xr:uid="{B7421C8A-70AE-4E88-A126-D37D5A2207F7}"/>
    <cellStyle name="Input [yellow] 5 34 7" xfId="24336" xr:uid="{652AE364-B344-40B8-9217-FA54578ED1E6}"/>
    <cellStyle name="Input [yellow] 5 35" xfId="9781" xr:uid="{ED1FEDD2-EA0A-48CE-A44E-9FED24FA1094}"/>
    <cellStyle name="Input [yellow] 5 35 2" xfId="24337" xr:uid="{3C2F09FB-2246-4E70-BCC4-F13ED4113A5D}"/>
    <cellStyle name="Input [yellow] 5 35 3" xfId="24338" xr:uid="{EA1D692B-382D-4792-AD46-CE04E4D45E15}"/>
    <cellStyle name="Input [yellow] 5 35 4" xfId="24339" xr:uid="{19E97D67-5189-416C-B867-8CAAF9220696}"/>
    <cellStyle name="Input [yellow] 5 35 5" xfId="24340" xr:uid="{4A3408E4-E91D-4E99-AA0A-8C5D043ED12F}"/>
    <cellStyle name="Input [yellow] 5 35 6" xfId="24341" xr:uid="{3612B6C9-05DA-4043-A074-22E510C77322}"/>
    <cellStyle name="Input [yellow] 5 36" xfId="24342" xr:uid="{F7790797-66CA-4080-9DAC-F227D4C19862}"/>
    <cellStyle name="Input [yellow] 5 37" xfId="24343" xr:uid="{5A86B963-B456-4E6D-BBDA-B9750773B405}"/>
    <cellStyle name="Input [yellow] 5 38" xfId="24344" xr:uid="{EFA87EA0-B663-47C6-97A2-469023787B52}"/>
    <cellStyle name="Input [yellow] 5 39" xfId="24345" xr:uid="{91FE59E7-EAED-41BC-BAAA-4991BA12E532}"/>
    <cellStyle name="Input [yellow] 5 4" xfId="1315" xr:uid="{5CC5052F-1E3B-4C47-A14F-E657433881DA}"/>
    <cellStyle name="Input [yellow] 5 4 2" xfId="10174" xr:uid="{E3EA5AB8-B79F-46C5-B34F-0D49D393EBE5}"/>
    <cellStyle name="Input [yellow] 5 4 2 2" xfId="24346" xr:uid="{E547F392-C0EB-4ADF-8D37-8C03CB2001A5}"/>
    <cellStyle name="Input [yellow] 5 4 2 3" xfId="24347" xr:uid="{565BD1F7-24EF-4A70-A6AB-7D79ECF91E12}"/>
    <cellStyle name="Input [yellow] 5 4 2 4" xfId="24348" xr:uid="{7B7E4EBB-E3D4-4613-998A-8ABF90FBC840}"/>
    <cellStyle name="Input [yellow] 5 4 2 5" xfId="24349" xr:uid="{5AE00662-BB54-45D4-A906-39E69EF3A925}"/>
    <cellStyle name="Input [yellow] 5 4 2 6" xfId="24350" xr:uid="{B50E7E0B-CF7E-4153-8FB0-83FF9E6BE841}"/>
    <cellStyle name="Input [yellow] 5 4 3" xfId="24351" xr:uid="{A0E9A5C7-46FD-4107-AD9B-AC9EA7AEBAB5}"/>
    <cellStyle name="Input [yellow] 5 4 4" xfId="24352" xr:uid="{010AD773-6499-45D9-8242-5962CE8C7598}"/>
    <cellStyle name="Input [yellow] 5 4 5" xfId="24353" xr:uid="{8F3BE4DD-B063-4EF3-81E0-2A3DA0E2C8B1}"/>
    <cellStyle name="Input [yellow] 5 4 6" xfId="24354" xr:uid="{B8FCA9FD-77AA-4342-953C-A6D78080A075}"/>
    <cellStyle name="Input [yellow] 5 4 7" xfId="24355" xr:uid="{027234BF-93ED-4BC1-AC53-E52A2A39E956}"/>
    <cellStyle name="Input [yellow] 5 40" xfId="24356" xr:uid="{56D82DDA-A9ED-44BC-85AC-C82B7DF15158}"/>
    <cellStyle name="Input [yellow] 5 5" xfId="1316" xr:uid="{89547EFF-E89F-44D8-BFF3-AB56B5D7E1FA}"/>
    <cellStyle name="Input [yellow] 5 5 2" xfId="10262" xr:uid="{6C8CA24E-99C7-4E62-B108-1A0EBCF8FAD3}"/>
    <cellStyle name="Input [yellow] 5 5 2 2" xfId="24357" xr:uid="{67C258C6-4E48-449D-A354-94CFB853CAAB}"/>
    <cellStyle name="Input [yellow] 5 5 2 3" xfId="24358" xr:uid="{2969E446-2FFA-4BCB-A35E-AAB827E9D3EE}"/>
    <cellStyle name="Input [yellow] 5 5 2 4" xfId="24359" xr:uid="{B4C4AB3F-F803-4DC6-8144-0C9F4B7DF7B1}"/>
    <cellStyle name="Input [yellow] 5 5 2 5" xfId="24360" xr:uid="{E97AD6B9-78E0-4A19-A1E8-1407A0DE1A56}"/>
    <cellStyle name="Input [yellow] 5 5 2 6" xfId="24361" xr:uid="{9C4139C6-DB95-4D6B-8E96-ECF37CC38626}"/>
    <cellStyle name="Input [yellow] 5 5 3" xfId="24362" xr:uid="{9EC660EA-958C-492C-8898-93481AB07126}"/>
    <cellStyle name="Input [yellow] 5 5 4" xfId="24363" xr:uid="{307F15A7-14D2-457C-AA42-6751719BE973}"/>
    <cellStyle name="Input [yellow] 5 5 5" xfId="24364" xr:uid="{97DFC8B3-7660-47FD-8B6D-044BEA05AF85}"/>
    <cellStyle name="Input [yellow] 5 5 6" xfId="24365" xr:uid="{F783FC1A-96BF-44A6-9778-576AB2BA1476}"/>
    <cellStyle name="Input [yellow] 5 5 7" xfId="24366" xr:uid="{DCE52E49-93FB-4FE0-97EC-4A7C01A6885D}"/>
    <cellStyle name="Input [yellow] 5 6" xfId="1317" xr:uid="{01C56BF9-B627-4930-9178-F5FABE5F8568}"/>
    <cellStyle name="Input [yellow] 5 6 2" xfId="10347" xr:uid="{B93808D8-6D1C-4157-829F-2BA7A93709EB}"/>
    <cellStyle name="Input [yellow] 5 6 2 2" xfId="24367" xr:uid="{F0AA57E0-2DCB-41F2-BDA6-0EBA53892A7A}"/>
    <cellStyle name="Input [yellow] 5 6 2 3" xfId="24368" xr:uid="{334692A1-D8A1-41DF-B563-4FE15BE1481A}"/>
    <cellStyle name="Input [yellow] 5 6 2 4" xfId="24369" xr:uid="{B457F132-946D-474A-B38B-8C35EFE4FED7}"/>
    <cellStyle name="Input [yellow] 5 6 2 5" xfId="24370" xr:uid="{19C07580-693E-49B3-A4FB-5207A080E75E}"/>
    <cellStyle name="Input [yellow] 5 6 2 6" xfId="24371" xr:uid="{8345DA73-806B-4A3C-B0D6-F2FFE930FFC2}"/>
    <cellStyle name="Input [yellow] 5 6 3" xfId="24372" xr:uid="{7DCE8343-008E-4DE2-A95B-3D019AF75D2E}"/>
    <cellStyle name="Input [yellow] 5 6 4" xfId="24373" xr:uid="{1038A355-6485-465F-BF3F-15D0B9209AF9}"/>
    <cellStyle name="Input [yellow] 5 6 5" xfId="24374" xr:uid="{98127CFB-40BA-40EB-8966-E6DBDD8DC714}"/>
    <cellStyle name="Input [yellow] 5 6 6" xfId="24375" xr:uid="{2D3B2025-6427-4895-8BAF-C5F6E5F1C39A}"/>
    <cellStyle name="Input [yellow] 5 6 7" xfId="24376" xr:uid="{BA8C8F9F-5D54-4110-BAFD-AC88D1F8B2CE}"/>
    <cellStyle name="Input [yellow] 5 7" xfId="1318" xr:uid="{E208538C-3C51-47AB-972B-B1D1B6858425}"/>
    <cellStyle name="Input [yellow] 5 7 2" xfId="10434" xr:uid="{5DA3D9FE-4288-4942-92F4-AFA0A9105D39}"/>
    <cellStyle name="Input [yellow] 5 7 2 2" xfId="24377" xr:uid="{9419609F-9973-4A11-A31B-F5074774B621}"/>
    <cellStyle name="Input [yellow] 5 7 2 3" xfId="24378" xr:uid="{8655FB48-D1A0-4689-A550-87D3391F51D2}"/>
    <cellStyle name="Input [yellow] 5 7 2 4" xfId="24379" xr:uid="{B1604C93-C949-47F0-ABF4-EAB6C25295BE}"/>
    <cellStyle name="Input [yellow] 5 7 2 5" xfId="24380" xr:uid="{E51A8623-0A92-460E-9516-A138FA96C9E1}"/>
    <cellStyle name="Input [yellow] 5 7 2 6" xfId="24381" xr:uid="{57EED8B5-CDDE-4CA3-A91D-8849ABF7B24A}"/>
    <cellStyle name="Input [yellow] 5 7 3" xfId="24382" xr:uid="{3FDC4151-C45D-47E8-91B5-8C5E6DBB979A}"/>
    <cellStyle name="Input [yellow] 5 7 4" xfId="24383" xr:uid="{E185C743-8FD1-43B6-9022-E58C23165AA3}"/>
    <cellStyle name="Input [yellow] 5 7 5" xfId="24384" xr:uid="{F4511271-FDED-442C-9517-87A343E1DB8D}"/>
    <cellStyle name="Input [yellow] 5 7 6" xfId="24385" xr:uid="{C2E06122-DD19-4F01-965D-FBBE684A1061}"/>
    <cellStyle name="Input [yellow] 5 7 7" xfId="24386" xr:uid="{9488B1E5-E695-48ED-9B3D-2C70F1BF2E4B}"/>
    <cellStyle name="Input [yellow] 5 8" xfId="1319" xr:uid="{D821EB49-B52A-46E4-9FE8-B174C35C5819}"/>
    <cellStyle name="Input [yellow] 5 8 2" xfId="10523" xr:uid="{100309B8-4A20-4BDC-8A2D-5563FA68111E}"/>
    <cellStyle name="Input [yellow] 5 8 2 2" xfId="24387" xr:uid="{6DACEEEE-5D8A-4F91-AED8-C2F4A1BBF28F}"/>
    <cellStyle name="Input [yellow] 5 8 2 3" xfId="24388" xr:uid="{7E220F48-D983-485D-A2F5-FF779BFA441E}"/>
    <cellStyle name="Input [yellow] 5 8 2 4" xfId="24389" xr:uid="{EF8BB79A-D18A-4658-B737-2DE60CF9DD3E}"/>
    <cellStyle name="Input [yellow] 5 8 2 5" xfId="24390" xr:uid="{4200EB8F-51AB-484B-B651-D519244D38A1}"/>
    <cellStyle name="Input [yellow] 5 8 2 6" xfId="24391" xr:uid="{B199837B-4C25-4A84-BC85-274D08E69645}"/>
    <cellStyle name="Input [yellow] 5 8 3" xfId="24392" xr:uid="{21CEC1C5-9688-4A5A-AAFA-BE25E82CE675}"/>
    <cellStyle name="Input [yellow] 5 8 4" xfId="24393" xr:uid="{925DFFE1-26C7-4889-8033-7DF4029FE230}"/>
    <cellStyle name="Input [yellow] 5 8 5" xfId="24394" xr:uid="{364DA50E-2E8D-411E-92A2-CE19FFB3A3FA}"/>
    <cellStyle name="Input [yellow] 5 8 6" xfId="24395" xr:uid="{4525E298-4164-44AF-9D1B-00C970857DFC}"/>
    <cellStyle name="Input [yellow] 5 8 7" xfId="24396" xr:uid="{7D51D728-C9DE-459F-8A13-4D7A66FFF2A2}"/>
    <cellStyle name="Input [yellow] 5 9" xfId="1320" xr:uid="{ECB02187-BBE9-41A1-AA88-FA3F597B3E92}"/>
    <cellStyle name="Input [yellow] 5 9 2" xfId="10605" xr:uid="{7AEAB7EF-E608-4CD7-9AE0-0B9DD559B986}"/>
    <cellStyle name="Input [yellow] 5 9 2 2" xfId="24397" xr:uid="{DC7EBB39-9D7B-4AC6-8357-003C9F5D7413}"/>
    <cellStyle name="Input [yellow] 5 9 2 3" xfId="24398" xr:uid="{4204A3ED-A29F-4635-BD82-149558023483}"/>
    <cellStyle name="Input [yellow] 5 9 2 4" xfId="24399" xr:uid="{99461FBF-24A4-4F73-8588-BC5524376ADD}"/>
    <cellStyle name="Input [yellow] 5 9 2 5" xfId="24400" xr:uid="{D6600454-CB3E-462A-9F9C-D30EF0392EFC}"/>
    <cellStyle name="Input [yellow] 5 9 2 6" xfId="24401" xr:uid="{72501AF2-42F8-45D4-930F-9DD65961DB94}"/>
    <cellStyle name="Input [yellow] 5 9 3" xfId="24402" xr:uid="{2A2F696B-5062-4330-A6DD-F789AADE2EE8}"/>
    <cellStyle name="Input [yellow] 5 9 4" xfId="24403" xr:uid="{DCCE1419-42EA-4AA2-B6D4-4406315B2DF0}"/>
    <cellStyle name="Input [yellow] 5 9 5" xfId="24404" xr:uid="{E4C9D3C3-6512-4618-BA96-5349658B289C}"/>
    <cellStyle name="Input [yellow] 5 9 6" xfId="24405" xr:uid="{A2FF1CED-4FBE-4338-9340-FB8F951EFD77}"/>
    <cellStyle name="Input [yellow] 5 9 7" xfId="24406" xr:uid="{85EA1B70-B4F0-4ABD-B7CD-F73C32116B98}"/>
    <cellStyle name="Input [yellow] 6" xfId="1321" xr:uid="{4C7934DF-C907-4B61-9AE6-57FEDFE2F1D4}"/>
    <cellStyle name="Input [yellow] 6 2" xfId="9958" xr:uid="{5CF66C3B-8AA1-43C0-AC73-E27D643C4E03}"/>
    <cellStyle name="Input [yellow] 6 2 2" xfId="24407" xr:uid="{937BB28C-A751-4F67-AD76-7C864D976834}"/>
    <cellStyle name="Input [yellow] 6 2 3" xfId="24408" xr:uid="{04BF3BD3-A5CE-4BD1-9A09-DFE12BD246EC}"/>
    <cellStyle name="Input [yellow] 6 2 4" xfId="24409" xr:uid="{74030CCB-2F30-4044-8BAD-00654CAC441D}"/>
    <cellStyle name="Input [yellow] 6 2 5" xfId="24410" xr:uid="{54746AB2-4E84-4C2C-BD9A-0059A9777CF5}"/>
    <cellStyle name="Input [yellow] 6 2 6" xfId="24411" xr:uid="{50AD56C7-BF40-476D-9D48-0C13AB302E5F}"/>
    <cellStyle name="Input [yellow] 6 3" xfId="24412" xr:uid="{8ADAE5BF-3866-4E2A-B7CF-08C622B29BF3}"/>
    <cellStyle name="Input [yellow] 6 4" xfId="24413" xr:uid="{CA722151-0845-476D-AD49-DE970EDB1A43}"/>
    <cellStyle name="Input [yellow] 6 5" xfId="24414" xr:uid="{DFE833DF-94B1-4BD6-A74E-11C9A8B4C347}"/>
    <cellStyle name="Input [yellow] 6 6" xfId="24415" xr:uid="{3F7C0F17-C6FC-484A-BBB5-0BCD12E071C3}"/>
    <cellStyle name="Input [yellow] 6 7" xfId="24416" xr:uid="{BB22C48C-94AD-4CFB-9084-D13131E9C5A7}"/>
    <cellStyle name="Input [yellow] 7" xfId="1322" xr:uid="{A71D0C27-4132-47AE-9CC1-0DE17623FA89}"/>
    <cellStyle name="Input [yellow] 7 2" xfId="9889" xr:uid="{83713CC4-7831-4102-94FC-31B20DDFD314}"/>
    <cellStyle name="Input [yellow] 7 2 2" xfId="24417" xr:uid="{B1A395DD-B46F-4FE1-AF05-82DE54769F03}"/>
    <cellStyle name="Input [yellow] 7 2 3" xfId="24418" xr:uid="{141A9C85-C6A2-407A-8B8D-B602C116046D}"/>
    <cellStyle name="Input [yellow] 7 2 4" xfId="24419" xr:uid="{2EC1D6C1-263D-46CB-867E-89DD0EE49DD8}"/>
    <cellStyle name="Input [yellow] 7 2 5" xfId="24420" xr:uid="{C7E5DFDE-D035-4205-9A9B-5A5088D5AF08}"/>
    <cellStyle name="Input [yellow] 7 2 6" xfId="24421" xr:uid="{AB34840A-FBE5-42F7-9C66-8BE4F4FE0A01}"/>
    <cellStyle name="Input [yellow] 7 3" xfId="24422" xr:uid="{FD7101D9-FC22-4456-8029-C85CC4910B26}"/>
    <cellStyle name="Input [yellow] 7 4" xfId="24423" xr:uid="{FA6D50EF-E6F6-46EA-A290-B1F3A5271B0D}"/>
    <cellStyle name="Input [yellow] 7 5" xfId="24424" xr:uid="{427D1700-8A7E-47D0-9067-A6980008A7DE}"/>
    <cellStyle name="Input [yellow] 7 6" xfId="24425" xr:uid="{C15E6247-52BF-45C5-86B4-57FB988752FC}"/>
    <cellStyle name="Input [yellow] 7 7" xfId="24426" xr:uid="{10A8ABDE-6B71-48E4-9F39-2E37F5948B7D}"/>
    <cellStyle name="Input [yellow] 8" xfId="1323" xr:uid="{A53F80DB-A261-4E3A-9017-F5A643E8C0B1}"/>
    <cellStyle name="Input [yellow] 8 2" xfId="9750" xr:uid="{C55D8798-D9F2-4C66-9FB7-1924DAAD845A}"/>
    <cellStyle name="Input [yellow] 8 2 2" xfId="24427" xr:uid="{49C4C086-8994-4ECC-B4C7-34F4D549BE05}"/>
    <cellStyle name="Input [yellow] 8 2 3" xfId="24428" xr:uid="{B6AF9E71-33BA-438E-81BA-4B36926435FF}"/>
    <cellStyle name="Input [yellow] 8 2 4" xfId="24429" xr:uid="{7B7B88CD-6E34-4BD3-9492-31EA1C3D1A17}"/>
    <cellStyle name="Input [yellow] 8 2 5" xfId="24430" xr:uid="{6E90C236-79A6-4B0F-98AC-6119E3C83DA8}"/>
    <cellStyle name="Input [yellow] 8 2 6" xfId="24431" xr:uid="{FE5C9451-6483-4A73-AB68-452DDCAD87C0}"/>
    <cellStyle name="Input [yellow] 8 3" xfId="24432" xr:uid="{02107536-4788-403B-AE77-78A6808D7A0A}"/>
    <cellStyle name="Input [yellow] 8 4" xfId="24433" xr:uid="{270B2099-B9CA-48FF-8F6A-1A7DF9571491}"/>
    <cellStyle name="Input [yellow] 8 5" xfId="24434" xr:uid="{066C55AB-D5E0-4871-91DA-B7D81C6AC175}"/>
    <cellStyle name="Input [yellow] 8 6" xfId="24435" xr:uid="{51B4F282-0E3C-4A64-981A-DC2733C28A82}"/>
    <cellStyle name="Input [yellow] 8 7" xfId="24436" xr:uid="{402353F9-3185-4BC2-A911-557623894BFA}"/>
    <cellStyle name="Input [yellow] 9" xfId="1324" xr:uid="{164AE56E-52F2-4248-916E-D8FA8D1C88C2}"/>
    <cellStyle name="Input [yellow] 9 2" xfId="9753" xr:uid="{A569C6B0-8857-475E-91E5-DE3347DADA41}"/>
    <cellStyle name="Input [yellow] 9 2 2" xfId="24437" xr:uid="{6532866D-A75F-48F7-BFFE-75095988CAA3}"/>
    <cellStyle name="Input [yellow] 9 2 3" xfId="24438" xr:uid="{5A2A432D-FCBB-4626-9E1D-761348F57C94}"/>
    <cellStyle name="Input [yellow] 9 2 4" xfId="24439" xr:uid="{0A33ADE1-D69B-4E12-BAF3-C93E092770FE}"/>
    <cellStyle name="Input [yellow] 9 2 5" xfId="24440" xr:uid="{4F6D0661-8ABE-453C-9B19-99600BDEDFB2}"/>
    <cellStyle name="Input [yellow] 9 2 6" xfId="24441" xr:uid="{1234DE3D-26CA-4274-B699-1554F5E9D46D}"/>
    <cellStyle name="Input [yellow] 9 3" xfId="24442" xr:uid="{02F1E051-0B80-4BC7-89C2-CE37F5EF0F16}"/>
    <cellStyle name="Input [yellow] 9 4" xfId="24443" xr:uid="{FE231BA9-EAB4-44AA-99DD-FB7757CBCBFF}"/>
    <cellStyle name="Input [yellow] 9 5" xfId="24444" xr:uid="{0EEFAC6A-3871-4030-B947-E190682E929E}"/>
    <cellStyle name="Input [yellow] 9 6" xfId="24445" xr:uid="{44B7F998-A689-4EC3-876E-2F03356E682B}"/>
    <cellStyle name="Input [yellow] 9 7" xfId="24446" xr:uid="{6FE4E34F-DC32-4A1F-9B80-CF865B71F9E5}"/>
    <cellStyle name="Input 10" xfId="44354" xr:uid="{A22C2728-818F-4165-BEDE-84F3D9FBCB3E}"/>
    <cellStyle name="Input 11" xfId="44355" xr:uid="{4D69612F-7428-4F61-B34C-60EFB54C1B77}"/>
    <cellStyle name="Input 12" xfId="44356" xr:uid="{A65B5EF3-EA63-431A-BDCA-6982B7A5751F}"/>
    <cellStyle name="Input 13" xfId="44357" xr:uid="{A1DC5B62-9AD9-4BBA-9F1F-A2C67A3E05DF}"/>
    <cellStyle name="Input 14" xfId="44358" xr:uid="{F5EF4C69-ABCA-4C6A-986E-2C930B69939C}"/>
    <cellStyle name="Input 15" xfId="44359" xr:uid="{B535350C-5214-4F46-BF37-9263B4E3A726}"/>
    <cellStyle name="Input 16" xfId="44360" xr:uid="{72F1FEC7-EB76-4A28-A2F5-2823F92214D3}"/>
    <cellStyle name="Input 17" xfId="44361" xr:uid="{33355D1D-AD35-4EAE-8444-CF98FEC6A943}"/>
    <cellStyle name="Input 18" xfId="44362" xr:uid="{ED63D1DC-B912-4237-8B06-2659ED6F6D41}"/>
    <cellStyle name="Input 19" xfId="44363" xr:uid="{AE2E3233-CF5B-4473-9BB8-E9C627FCA73C}"/>
    <cellStyle name="Input 2" xfId="1325" xr:uid="{DEE2843D-FA35-42B7-B945-F25A5ABBF6B2}"/>
    <cellStyle name="Input 2 10" xfId="1326" xr:uid="{90B4A5AB-E2EB-4AFD-BFA6-D9A3228DE95A}"/>
    <cellStyle name="Input 2 10 2" xfId="9735" xr:uid="{EEBC1417-A0D7-4409-9889-9B6CBF68CB44}"/>
    <cellStyle name="Input 2 10 2 2" xfId="24447" xr:uid="{1E8490FC-4AA1-494D-8FE2-F3BCBA50FB16}"/>
    <cellStyle name="Input 2 10 2 3" xfId="24448" xr:uid="{DBBF7092-D413-4CCD-997F-6611ABF13425}"/>
    <cellStyle name="Input 2 10 2 4" xfId="24449" xr:uid="{3554672A-A96D-4B73-9EFD-874143D7EECD}"/>
    <cellStyle name="Input 2 10 2 5" xfId="24450" xr:uid="{8A54331C-DE42-4D93-AFFE-7619B5E442BC}"/>
    <cellStyle name="Input 2 10 2 6" xfId="24451" xr:uid="{F9AAC4FF-3C79-48F8-BC26-45E46E576D42}"/>
    <cellStyle name="Input 2 10 3" xfId="24452" xr:uid="{32BC34C5-65D9-4FC8-A9A2-CF1CB6794E95}"/>
    <cellStyle name="Input 2 10 4" xfId="24453" xr:uid="{094B02C6-9A11-4CC9-BE8E-92408C116D86}"/>
    <cellStyle name="Input 2 10 5" xfId="24454" xr:uid="{7F38629D-4C72-40ED-9C6A-30CE1C76D7BC}"/>
    <cellStyle name="Input 2 10 6" xfId="24455" xr:uid="{FBCBE301-D471-4A56-876D-77CF49B900C6}"/>
    <cellStyle name="Input 2 10 7" xfId="24456" xr:uid="{5AA33F8A-E0A3-4EC9-8AB5-6651F6CB978B}"/>
    <cellStyle name="Input 2 11" xfId="1327" xr:uid="{3B66738D-8D99-44D7-8F35-A7E6B8EF6A92}"/>
    <cellStyle name="Input 2 11 2" xfId="9759" xr:uid="{3C07D1FB-9252-4B4D-A719-21EAE8BB9D27}"/>
    <cellStyle name="Input 2 11 2 2" xfId="24457" xr:uid="{6337BEE7-58CB-42F4-B639-B79394D2114E}"/>
    <cellStyle name="Input 2 11 2 3" xfId="24458" xr:uid="{473A6423-A407-4D01-99EE-0457E160DE65}"/>
    <cellStyle name="Input 2 11 2 4" xfId="24459" xr:uid="{A61739F3-A8CD-4C3A-870B-CA7C2121C596}"/>
    <cellStyle name="Input 2 11 2 5" xfId="24460" xr:uid="{265AFB01-E762-4A45-A7C8-C26E3BC33C26}"/>
    <cellStyle name="Input 2 11 2 6" xfId="24461" xr:uid="{79F6B96A-FC09-4DBA-AD2E-510927BE9DC9}"/>
    <cellStyle name="Input 2 11 3" xfId="24462" xr:uid="{5D52434C-D75D-4DCE-BD42-EBBAD57BD70C}"/>
    <cellStyle name="Input 2 11 4" xfId="24463" xr:uid="{ED0715EF-EA38-4B62-B2C5-15B95D8F689B}"/>
    <cellStyle name="Input 2 11 5" xfId="24464" xr:uid="{80084D22-23F7-4F70-93BF-D9AEE0A75E28}"/>
    <cellStyle name="Input 2 11 6" xfId="24465" xr:uid="{B52C8A36-03FD-40F3-ABE2-8A8F2EED0740}"/>
    <cellStyle name="Input 2 11 7" xfId="24466" xr:uid="{E4BD4467-C519-4E6B-A159-2399D5DEB1F4}"/>
    <cellStyle name="Input 2 12" xfId="1328" xr:uid="{E4B110DA-DE5E-44B1-9DAA-BBE12A8E8450}"/>
    <cellStyle name="Input 2 12 2" xfId="9899" xr:uid="{B2F71EAE-C795-4A5E-8D03-F16AE6C7A05E}"/>
    <cellStyle name="Input 2 12 2 2" xfId="24467" xr:uid="{96B8985E-BDE7-4F25-88B1-195CE30DCAB3}"/>
    <cellStyle name="Input 2 12 2 3" xfId="24468" xr:uid="{A405AAB8-0C3A-4C11-B99F-797188085A5D}"/>
    <cellStyle name="Input 2 12 2 4" xfId="24469" xr:uid="{7D8810FB-C6D3-4EE5-B663-FFD3D21502D1}"/>
    <cellStyle name="Input 2 12 2 5" xfId="24470" xr:uid="{4A61BB21-8AB7-4CDA-A1F9-9F555EE572F3}"/>
    <cellStyle name="Input 2 12 2 6" xfId="24471" xr:uid="{ED5FB317-6E4B-4577-A8B8-B046C3D0D4B9}"/>
    <cellStyle name="Input 2 12 3" xfId="24472" xr:uid="{CD3EF2F4-47F9-4228-99A4-9CF3B229B7E1}"/>
    <cellStyle name="Input 2 12 4" xfId="24473" xr:uid="{936CD4D4-F470-4021-9EB2-A7DF308A61EA}"/>
    <cellStyle name="Input 2 12 5" xfId="24474" xr:uid="{42E33BBD-8841-455D-94D3-39A929027980}"/>
    <cellStyle name="Input 2 12 6" xfId="24475" xr:uid="{B371FB2E-EF3F-481C-8791-01A009B1C8EE}"/>
    <cellStyle name="Input 2 12 7" xfId="24476" xr:uid="{83A1B390-85B9-4806-89DC-575065306DB0}"/>
    <cellStyle name="Input 2 13" xfId="1329" xr:uid="{155FAA48-FA50-4828-9CC3-2828F382FF47}"/>
    <cellStyle name="Input 2 13 2" xfId="10429" xr:uid="{F2EB0F03-6967-4E02-9456-9FC0032EFABB}"/>
    <cellStyle name="Input 2 13 2 2" xfId="24477" xr:uid="{31499926-58F6-482F-8270-1F1EE1B7D661}"/>
    <cellStyle name="Input 2 13 2 3" xfId="24478" xr:uid="{B0210CDF-D1B9-48E4-BFFC-1AC07E48D175}"/>
    <cellStyle name="Input 2 13 2 4" xfId="24479" xr:uid="{D6C17008-2483-4054-BBCF-AD24D4418DF0}"/>
    <cellStyle name="Input 2 13 2 5" xfId="24480" xr:uid="{CA2AB198-370B-46A4-B266-C02CD671B50A}"/>
    <cellStyle name="Input 2 13 2 6" xfId="24481" xr:uid="{F5A3C3BF-822C-489A-B8AF-41E184F9999A}"/>
    <cellStyle name="Input 2 13 3" xfId="24482" xr:uid="{88CBED1E-130B-4BFE-8951-EBFA569A85D8}"/>
    <cellStyle name="Input 2 13 4" xfId="24483" xr:uid="{2D890295-4B3F-4BD4-8CB8-39CD9B92E58C}"/>
    <cellStyle name="Input 2 13 5" xfId="24484" xr:uid="{CA9220CD-5F40-49B9-BF92-B781B678F41E}"/>
    <cellStyle name="Input 2 13 6" xfId="24485" xr:uid="{FA2F610F-5ED1-410B-9556-EA845310224C}"/>
    <cellStyle name="Input 2 13 7" xfId="24486" xr:uid="{9E15956E-CDA0-4C6F-AAF1-F51899B16D15}"/>
    <cellStyle name="Input 2 14" xfId="1330" xr:uid="{BD9A75CF-4A85-410C-B063-58D5F6C93493}"/>
    <cellStyle name="Input 2 14 2" xfId="10099" xr:uid="{B7309A3E-63FC-4FDE-9DAB-88DB92950233}"/>
    <cellStyle name="Input 2 14 2 2" xfId="24487" xr:uid="{FC0497B9-34F4-4119-B124-605EAA80A2E6}"/>
    <cellStyle name="Input 2 14 2 3" xfId="24488" xr:uid="{70016DCB-752E-466E-AC3E-2192A7F95321}"/>
    <cellStyle name="Input 2 14 2 4" xfId="24489" xr:uid="{447686C2-BAF6-455F-8585-9C9FCFDB618F}"/>
    <cellStyle name="Input 2 14 2 5" xfId="24490" xr:uid="{5D4532E7-B2DB-4F3C-8D5E-FDBEC79DD455}"/>
    <cellStyle name="Input 2 14 2 6" xfId="24491" xr:uid="{78E3964F-A797-421C-84C0-B26BB07A6865}"/>
    <cellStyle name="Input 2 14 3" xfId="24492" xr:uid="{F0194891-355C-4E4B-9DC9-5B6EEC3D0625}"/>
    <cellStyle name="Input 2 14 4" xfId="24493" xr:uid="{D05E6456-E925-4F2B-86E4-1889ED2CE8F6}"/>
    <cellStyle name="Input 2 14 5" xfId="24494" xr:uid="{DCC8D702-4321-4971-B53F-B58CCD75B145}"/>
    <cellStyle name="Input 2 14 6" xfId="24495" xr:uid="{CD5CA8EC-F5B2-4405-8ACE-F30D7F90B28C}"/>
    <cellStyle name="Input 2 14 7" xfId="24496" xr:uid="{25937F36-A4EE-4336-8C5A-4FDB6C6635CA}"/>
    <cellStyle name="Input 2 15" xfId="1331" xr:uid="{81C166DE-5221-448D-BD15-70AE72EF187B}"/>
    <cellStyle name="Input 2 15 2" xfId="9956" xr:uid="{CDABF8F8-1085-44AF-91CC-E323CC44E0A1}"/>
    <cellStyle name="Input 2 15 2 2" xfId="24497" xr:uid="{8A9D1AA7-6C1A-41CE-8ED5-43A948AC5E6B}"/>
    <cellStyle name="Input 2 15 2 3" xfId="24498" xr:uid="{3FAC38BA-0C8A-44FA-8EF0-3C790751C9F1}"/>
    <cellStyle name="Input 2 15 2 4" xfId="24499" xr:uid="{8C186CE4-BDF3-4B3E-81AD-7308D4CCC012}"/>
    <cellStyle name="Input 2 15 2 5" xfId="24500" xr:uid="{5BA0B02B-C4C1-4089-8C23-4D6BFDB09B5D}"/>
    <cellStyle name="Input 2 15 2 6" xfId="24501" xr:uid="{62EC53B5-9FFC-49DF-B894-184A3B8D434D}"/>
    <cellStyle name="Input 2 15 3" xfId="24502" xr:uid="{DBAD76C0-6A9D-4604-8E92-7E0688EC9EF0}"/>
    <cellStyle name="Input 2 15 4" xfId="24503" xr:uid="{464E391E-A20C-49D6-8B81-80872B140CB6}"/>
    <cellStyle name="Input 2 15 5" xfId="24504" xr:uid="{1B1B561F-A0B4-49E2-8927-163F01D899B9}"/>
    <cellStyle name="Input 2 15 6" xfId="24505" xr:uid="{27235CA1-F771-4FE1-8EB7-6ACB459A0878}"/>
    <cellStyle name="Input 2 15 7" xfId="24506" xr:uid="{D9DB748F-0D69-492E-B014-ADB86D9B9EE7}"/>
    <cellStyle name="Input 2 16" xfId="1332" xr:uid="{3AD1F06B-FCFD-4A56-ADEE-44649C015F32}"/>
    <cellStyle name="Input 2 16 2" xfId="10517" xr:uid="{3BE9348B-3809-4862-A257-4FEF9CEB67BB}"/>
    <cellStyle name="Input 2 16 2 2" xfId="24507" xr:uid="{C9956F7E-6E32-47CE-8A92-E64949068B0B}"/>
    <cellStyle name="Input 2 16 2 3" xfId="24508" xr:uid="{D0AE96E4-54A1-4073-BD7F-8E2B6D159B93}"/>
    <cellStyle name="Input 2 16 2 4" xfId="24509" xr:uid="{9CAEE0B1-AB86-483B-9399-CC545ADBB862}"/>
    <cellStyle name="Input 2 16 2 5" xfId="24510" xr:uid="{236D2201-ED37-427C-AD18-6CDA86BB190B}"/>
    <cellStyle name="Input 2 16 2 6" xfId="24511" xr:uid="{4D380A81-567F-4863-BD9F-543A013690E7}"/>
    <cellStyle name="Input 2 16 3" xfId="24512" xr:uid="{DF209EA1-2A4B-4ACD-8DF2-AD93B9C5304D}"/>
    <cellStyle name="Input 2 16 4" xfId="24513" xr:uid="{6C952B0C-AEBB-4537-8348-BCB27137CF52}"/>
    <cellStyle name="Input 2 16 5" xfId="24514" xr:uid="{D3EBFA97-80B1-4CFF-AAC1-02C2DDF08900}"/>
    <cellStyle name="Input 2 16 6" xfId="24515" xr:uid="{F1ACEC0B-9EDD-4D17-9CF5-598A471FEAE7}"/>
    <cellStyle name="Input 2 16 7" xfId="24516" xr:uid="{0137440B-1B13-4F90-AF6E-3C9BD416A543}"/>
    <cellStyle name="Input 2 17" xfId="1333" xr:uid="{47F4CC88-2A7B-4847-9108-931DAAF74201}"/>
    <cellStyle name="Input 2 17 2" xfId="9746" xr:uid="{E1A7B03F-3BD5-4F95-A9B1-E173E71D98D0}"/>
    <cellStyle name="Input 2 17 2 2" xfId="24517" xr:uid="{2C1CE160-F758-40B5-BBF0-C3A333EB5D8F}"/>
    <cellStyle name="Input 2 17 2 3" xfId="24518" xr:uid="{E4103303-1DBE-4D55-BC40-29A415CC1B5A}"/>
    <cellStyle name="Input 2 17 2 4" xfId="24519" xr:uid="{A0479F10-6F22-4B90-AFCC-7AB3E2C4BF62}"/>
    <cellStyle name="Input 2 17 2 5" xfId="24520" xr:uid="{9FE64FF8-0AA3-4BAE-9219-A77F6FE62B0A}"/>
    <cellStyle name="Input 2 17 2 6" xfId="24521" xr:uid="{35407139-E91D-4D32-8448-8E24FB185C01}"/>
    <cellStyle name="Input 2 17 3" xfId="24522" xr:uid="{47C751F7-9290-47B5-A9CC-2EE330740044}"/>
    <cellStyle name="Input 2 17 4" xfId="24523" xr:uid="{CBACF397-5B65-4426-8861-C20DCE7917D7}"/>
    <cellStyle name="Input 2 17 5" xfId="24524" xr:uid="{A49954F4-EAA5-4877-8C3F-CB157011EFB7}"/>
    <cellStyle name="Input 2 17 6" xfId="24525" xr:uid="{24D13CE3-73AB-4BB6-B165-C0CC54DE47F0}"/>
    <cellStyle name="Input 2 17 7" xfId="24526" xr:uid="{3601167C-D406-423B-B388-1A88EC6E4214}"/>
    <cellStyle name="Input 2 18" xfId="1334" xr:uid="{3CEA1A27-CB07-412A-BF90-040F6FDF500E}"/>
    <cellStyle name="Input 2 18 2" xfId="10448" xr:uid="{6890B9A2-F66C-4B3A-AE76-809B273F23A0}"/>
    <cellStyle name="Input 2 18 2 2" xfId="24527" xr:uid="{B26BEBA5-2A3B-4BD9-8BBB-FCBB5EAAAEEA}"/>
    <cellStyle name="Input 2 18 2 3" xfId="24528" xr:uid="{87E4B6C7-50C4-4176-B8BF-B6229B0418F4}"/>
    <cellStyle name="Input 2 18 2 4" xfId="24529" xr:uid="{0D04E4D9-D60E-4C13-82BB-2DE1077FAC8E}"/>
    <cellStyle name="Input 2 18 2 5" xfId="24530" xr:uid="{41C06AD0-0445-4E32-8183-0D597A38B225}"/>
    <cellStyle name="Input 2 18 2 6" xfId="24531" xr:uid="{76F3D20A-6201-4889-9446-F29D59BD5138}"/>
    <cellStyle name="Input 2 18 3" xfId="24532" xr:uid="{397CD459-8782-44F4-9D1D-6A327279E118}"/>
    <cellStyle name="Input 2 18 4" xfId="24533" xr:uid="{3201C128-DEC9-49FD-8E90-56F6B1112111}"/>
    <cellStyle name="Input 2 18 5" xfId="24534" xr:uid="{D92A79EB-CEBB-44B4-8F35-CCFD5241CBED}"/>
    <cellStyle name="Input 2 18 6" xfId="24535" xr:uid="{F90900D7-65B9-47F2-812D-063F73FA5338}"/>
    <cellStyle name="Input 2 18 7" xfId="24536" xr:uid="{A4FE972D-5011-48F8-9B61-758AAD6D4818}"/>
    <cellStyle name="Input 2 19" xfId="1335" xr:uid="{7B243A87-38C5-4696-96D1-31E00F991EA3}"/>
    <cellStyle name="Input 2 19 2" xfId="9984" xr:uid="{1088038E-76A4-4BF5-9199-08FE98CE2BEA}"/>
    <cellStyle name="Input 2 19 2 2" xfId="24537" xr:uid="{F504D13E-8396-4E7B-B07A-C6CBB68FD813}"/>
    <cellStyle name="Input 2 19 2 3" xfId="24538" xr:uid="{6E916125-A872-44F2-AB58-57EEB8AFB107}"/>
    <cellStyle name="Input 2 19 2 4" xfId="24539" xr:uid="{8B742EBE-C5F9-49B1-8131-B02E0859D9BF}"/>
    <cellStyle name="Input 2 19 2 5" xfId="24540" xr:uid="{441CA15F-BEA1-42D7-B6F7-A2AFC7EB316D}"/>
    <cellStyle name="Input 2 19 2 6" xfId="24541" xr:uid="{A435E41E-5AD9-4B93-A014-A1C1ACE439A2}"/>
    <cellStyle name="Input 2 19 3" xfId="24542" xr:uid="{2A74AE47-0A46-4FFA-8254-85BF09C5E48E}"/>
    <cellStyle name="Input 2 19 4" xfId="24543" xr:uid="{604C7B95-F293-412A-B060-8BACF5A96ADC}"/>
    <cellStyle name="Input 2 19 5" xfId="24544" xr:uid="{8B4958B7-E1B5-49F9-B1A9-1E7C96AE8972}"/>
    <cellStyle name="Input 2 19 6" xfId="24545" xr:uid="{14222FEA-B6ED-4326-B650-46401BD5CE10}"/>
    <cellStyle name="Input 2 19 7" xfId="24546" xr:uid="{70BA54AA-FF77-47D3-A6B8-330D5C89A947}"/>
    <cellStyle name="Input 2 2" xfId="1336" xr:uid="{5E6F397A-82F7-4C3B-A02C-D71AAF5CB9B2}"/>
    <cellStyle name="Input 2 2 10" xfId="1337" xr:uid="{0F5478DF-17DA-4D67-8820-F2522C4395BD}"/>
    <cellStyle name="Input 2 2 10 2" xfId="10642" xr:uid="{F62AF3AD-A3E9-4A2B-9BF7-EB74D71AD048}"/>
    <cellStyle name="Input 2 2 10 2 2" xfId="24547" xr:uid="{0EF8AC53-10E1-4C64-9998-9A3DAAA4CC62}"/>
    <cellStyle name="Input 2 2 10 2 3" xfId="24548" xr:uid="{087D03F5-E687-48D0-9787-CE0EDE5F8EF7}"/>
    <cellStyle name="Input 2 2 10 2 4" xfId="24549" xr:uid="{2D33E4FB-CF0F-43BF-8288-90FBF96684E7}"/>
    <cellStyle name="Input 2 2 10 2 5" xfId="24550" xr:uid="{2D3250EB-A79D-4B70-BD53-9C528641F79C}"/>
    <cellStyle name="Input 2 2 10 2 6" xfId="24551" xr:uid="{4B7C1528-DE5C-4A34-8105-B8D94466B111}"/>
    <cellStyle name="Input 2 2 10 3" xfId="24552" xr:uid="{9ADDFADF-1FC8-487A-AD9A-3AFAD8C469D6}"/>
    <cellStyle name="Input 2 2 10 4" xfId="24553" xr:uid="{8200BA94-0884-428A-852B-454F2F826090}"/>
    <cellStyle name="Input 2 2 10 5" xfId="24554" xr:uid="{B09D723D-399F-4B82-8B2D-FC50FB248BA0}"/>
    <cellStyle name="Input 2 2 10 6" xfId="24555" xr:uid="{88BE8A5F-988C-4940-A83B-033E9C60D3B0}"/>
    <cellStyle name="Input 2 2 10 7" xfId="24556" xr:uid="{10A50C30-B7B2-4B4C-AB98-E84495A381FD}"/>
    <cellStyle name="Input 2 2 11" xfId="1338" xr:uid="{00BDF40E-4139-4935-9A12-BD357653FD19}"/>
    <cellStyle name="Input 2 2 11 2" xfId="10733" xr:uid="{1943E774-A68B-43AD-9FFF-1775089156A8}"/>
    <cellStyle name="Input 2 2 11 2 2" xfId="24557" xr:uid="{CF532147-B862-42E6-92C3-66BF90EC0BB4}"/>
    <cellStyle name="Input 2 2 11 2 3" xfId="24558" xr:uid="{3671485A-7C6C-439B-AF59-956176A374E3}"/>
    <cellStyle name="Input 2 2 11 2 4" xfId="24559" xr:uid="{4163333B-3E2E-44A4-BCE7-69FEA026DD20}"/>
    <cellStyle name="Input 2 2 11 2 5" xfId="24560" xr:uid="{D8418D08-C9DD-424B-8391-C0FBAA973203}"/>
    <cellStyle name="Input 2 2 11 2 6" xfId="24561" xr:uid="{0F0D0459-843D-4939-B2BD-16B4FBEF24E0}"/>
    <cellStyle name="Input 2 2 11 3" xfId="24562" xr:uid="{92BDD528-4C8F-4867-BFD7-6F72C8FCBBFD}"/>
    <cellStyle name="Input 2 2 11 4" xfId="24563" xr:uid="{EEF43952-7168-4171-B886-84A09CE513FB}"/>
    <cellStyle name="Input 2 2 11 5" xfId="24564" xr:uid="{E7F438C8-ABC7-46AA-A30E-4510DC17A076}"/>
    <cellStyle name="Input 2 2 11 6" xfId="24565" xr:uid="{03A44026-0C02-4E02-9346-37F241CEBEC9}"/>
    <cellStyle name="Input 2 2 11 7" xfId="24566" xr:uid="{59CE96A6-54CC-4374-A4C8-216F7C757A2A}"/>
    <cellStyle name="Input 2 2 12" xfId="1339" xr:uid="{9A668E89-92C4-4CC8-A26F-7A106308512A}"/>
    <cellStyle name="Input 2 2 12 2" xfId="10821" xr:uid="{CB1753F2-123A-47F2-9839-E92DA7DFE5FB}"/>
    <cellStyle name="Input 2 2 12 2 2" xfId="24567" xr:uid="{8401351A-155F-4489-B62B-917BCBB209E5}"/>
    <cellStyle name="Input 2 2 12 2 3" xfId="24568" xr:uid="{62C60365-DB5C-4F12-BB51-20BDCA6E7A04}"/>
    <cellStyle name="Input 2 2 12 2 4" xfId="24569" xr:uid="{0C5C82E5-23BA-4888-9DBF-188B644AE72F}"/>
    <cellStyle name="Input 2 2 12 2 5" xfId="24570" xr:uid="{3393748C-80DA-46C4-AED1-144DEF99BE22}"/>
    <cellStyle name="Input 2 2 12 2 6" xfId="24571" xr:uid="{9FD98E3A-CAAC-443F-9EB4-204FDCBE2D8D}"/>
    <cellStyle name="Input 2 2 12 3" xfId="24572" xr:uid="{72696F0E-9F6A-472A-A718-D44BDD016FC5}"/>
    <cellStyle name="Input 2 2 12 4" xfId="24573" xr:uid="{BE305109-95FB-45BB-884D-D887E66BB3C6}"/>
    <cellStyle name="Input 2 2 12 5" xfId="24574" xr:uid="{AD1CF2D5-0C34-49F7-8740-19CBA10E011D}"/>
    <cellStyle name="Input 2 2 12 6" xfId="24575" xr:uid="{937F3185-A5CC-4268-AD93-FB793C6444BA}"/>
    <cellStyle name="Input 2 2 12 7" xfId="24576" xr:uid="{0846920A-6592-4095-A559-117A5F225D01}"/>
    <cellStyle name="Input 2 2 13" xfId="1340" xr:uid="{C72E9C63-BC32-402E-808F-27D855E61D5A}"/>
    <cellStyle name="Input 2 2 13 2" xfId="10910" xr:uid="{476A834B-4908-4F42-AB95-72AE984C6E99}"/>
    <cellStyle name="Input 2 2 13 2 2" xfId="24577" xr:uid="{8E325728-E5A3-438C-B15F-2424B3DC956D}"/>
    <cellStyle name="Input 2 2 13 2 3" xfId="24578" xr:uid="{F56CB104-4EF4-4F6F-83BC-3FF6449BD0F9}"/>
    <cellStyle name="Input 2 2 13 2 4" xfId="24579" xr:uid="{ADBFF39E-82EA-4E7A-A0A3-3EBA55F99E0C}"/>
    <cellStyle name="Input 2 2 13 2 5" xfId="24580" xr:uid="{3B550559-E4C5-4DCC-87AE-2D4AD216F4E5}"/>
    <cellStyle name="Input 2 2 13 2 6" xfId="24581" xr:uid="{BFB0F2F5-D539-4D09-BAAF-0B93FF736E7C}"/>
    <cellStyle name="Input 2 2 13 3" xfId="24582" xr:uid="{DCCF342E-F9C9-4FDB-8622-04222F6A1610}"/>
    <cellStyle name="Input 2 2 13 4" xfId="24583" xr:uid="{1BE3B189-ED73-4E45-9E88-3C8F51D8A9F4}"/>
    <cellStyle name="Input 2 2 13 5" xfId="24584" xr:uid="{BBFD4BC3-1FA2-4CF4-9171-9ABAAB2FBBDD}"/>
    <cellStyle name="Input 2 2 13 6" xfId="24585" xr:uid="{F2B416DB-C354-4D22-A4C0-30CC34EADDE7}"/>
    <cellStyle name="Input 2 2 13 7" xfId="24586" xr:uid="{8DE945A4-3AA3-45FD-A9D9-E4C268A87CE1}"/>
    <cellStyle name="Input 2 2 14" xfId="1341" xr:uid="{091FD704-3E21-45EF-A8BF-1C46E2E81BB0}"/>
    <cellStyle name="Input 2 2 14 2" xfId="11000" xr:uid="{246B7E4E-EF7C-406B-BAFB-45CF655113F1}"/>
    <cellStyle name="Input 2 2 14 2 2" xfId="24587" xr:uid="{F269BBD1-11EF-4E68-8353-CB5DE226D95C}"/>
    <cellStyle name="Input 2 2 14 2 3" xfId="24588" xr:uid="{B3BF7E24-BEFA-42BC-A1D4-40861E3F99D0}"/>
    <cellStyle name="Input 2 2 14 2 4" xfId="24589" xr:uid="{CF032207-9714-4641-94E9-CBC43F9D9C35}"/>
    <cellStyle name="Input 2 2 14 2 5" xfId="24590" xr:uid="{1C321C89-9045-4021-B971-1214B90C9110}"/>
    <cellStyle name="Input 2 2 14 2 6" xfId="24591" xr:uid="{3796B8FA-5E58-4786-B62A-2C9E9451B96C}"/>
    <cellStyle name="Input 2 2 14 3" xfId="24592" xr:uid="{258813EA-9982-4487-8CB8-A6EB1EB630D9}"/>
    <cellStyle name="Input 2 2 14 4" xfId="24593" xr:uid="{DA7B607C-C128-4368-968C-A1A2629D3385}"/>
    <cellStyle name="Input 2 2 14 5" xfId="24594" xr:uid="{09D0E16C-40E5-4916-B25B-81741A9D0140}"/>
    <cellStyle name="Input 2 2 14 6" xfId="24595" xr:uid="{7E92581F-AF00-42CD-9A45-0CCCFF4FE261}"/>
    <cellStyle name="Input 2 2 14 7" xfId="24596" xr:uid="{489E0EB4-1E7D-4957-9E25-DF900323A174}"/>
    <cellStyle name="Input 2 2 15" xfId="1342" xr:uid="{0979C63C-07F5-4DDD-A8E8-DA9EF77BE5BD}"/>
    <cellStyle name="Input 2 2 15 2" xfId="11090" xr:uid="{8D4E8648-59EC-4C84-A5B8-B7485E86A7BF}"/>
    <cellStyle name="Input 2 2 15 2 2" xfId="24597" xr:uid="{72E96EA3-AC59-4F50-8768-F571CEC5C91E}"/>
    <cellStyle name="Input 2 2 15 2 3" xfId="24598" xr:uid="{0940F76B-64C8-4B13-B127-DA2F685D88CB}"/>
    <cellStyle name="Input 2 2 15 2 4" xfId="24599" xr:uid="{A1F5E7E1-1585-470D-A533-D402A03EF679}"/>
    <cellStyle name="Input 2 2 15 2 5" xfId="24600" xr:uid="{C2B24FAB-DA3C-4C79-B743-3C1546DA3253}"/>
    <cellStyle name="Input 2 2 15 2 6" xfId="24601" xr:uid="{39A3E8F3-1152-47C7-A70E-C0378AE7FA4E}"/>
    <cellStyle name="Input 2 2 15 3" xfId="24602" xr:uid="{CFB42872-92A3-42AD-94C3-E0597CE04DD4}"/>
    <cellStyle name="Input 2 2 15 4" xfId="24603" xr:uid="{D6387400-DB2A-4E89-B4BA-F9DB47FD38E3}"/>
    <cellStyle name="Input 2 2 15 5" xfId="24604" xr:uid="{921A7339-7FFE-4961-B0BB-76EF227132F9}"/>
    <cellStyle name="Input 2 2 15 6" xfId="24605" xr:uid="{3A7F9B72-C47B-48E1-991E-7036CA10F601}"/>
    <cellStyle name="Input 2 2 15 7" xfId="24606" xr:uid="{AC00F7DB-AD00-4025-93CA-5C880711ABB2}"/>
    <cellStyle name="Input 2 2 16" xfId="1343" xr:uid="{81D09FFF-1E68-4C2F-91E0-04253047EDB8}"/>
    <cellStyle name="Input 2 2 16 2" xfId="11173" xr:uid="{13A1E1CC-5426-47F2-8D5D-2E1386CDD7BA}"/>
    <cellStyle name="Input 2 2 16 2 2" xfId="24607" xr:uid="{B8C535E3-08A9-4C3D-8A7B-5DB73464AA5B}"/>
    <cellStyle name="Input 2 2 16 2 3" xfId="24608" xr:uid="{5CD77078-16DF-4244-9147-AA9B461898F0}"/>
    <cellStyle name="Input 2 2 16 2 4" xfId="24609" xr:uid="{0F6FD728-C304-487B-9732-E9DEAFAC40E3}"/>
    <cellStyle name="Input 2 2 16 2 5" xfId="24610" xr:uid="{62040D7D-867D-40BB-8791-30C1E2B88C5E}"/>
    <cellStyle name="Input 2 2 16 2 6" xfId="24611" xr:uid="{8FF66E67-406C-4026-96DF-21923ED82C8F}"/>
    <cellStyle name="Input 2 2 16 3" xfId="24612" xr:uid="{2C01EFDB-66C9-42B9-9CA1-ACD928060157}"/>
    <cellStyle name="Input 2 2 16 4" xfId="24613" xr:uid="{C851A2CC-1CB7-4BD1-80C5-44E4503F6644}"/>
    <cellStyle name="Input 2 2 16 5" xfId="24614" xr:uid="{739E518A-B1D4-4C3E-9796-C3518E6CADD9}"/>
    <cellStyle name="Input 2 2 16 6" xfId="24615" xr:uid="{952D4200-8C79-4210-8699-89004AFD9716}"/>
    <cellStyle name="Input 2 2 16 7" xfId="24616" xr:uid="{1CA73299-B297-4E46-A098-62AEB43A68CC}"/>
    <cellStyle name="Input 2 2 17" xfId="1344" xr:uid="{18E652E8-B21C-4CED-BFFB-14DBE882D6A0}"/>
    <cellStyle name="Input 2 2 17 2" xfId="11263" xr:uid="{5D2D15C0-A229-46AD-858A-898DA21F1BD8}"/>
    <cellStyle name="Input 2 2 17 2 2" xfId="24617" xr:uid="{48F8D06A-9842-4A87-ADB7-374939A9715C}"/>
    <cellStyle name="Input 2 2 17 2 3" xfId="24618" xr:uid="{1E250903-87FF-4688-A74E-ECBF333C1B23}"/>
    <cellStyle name="Input 2 2 17 2 4" xfId="24619" xr:uid="{9EF46EF3-7568-41CC-9369-5E4F2B28122D}"/>
    <cellStyle name="Input 2 2 17 2 5" xfId="24620" xr:uid="{ABCD88DE-8964-4312-A85B-32E3A854A9A0}"/>
    <cellStyle name="Input 2 2 17 2 6" xfId="24621" xr:uid="{B72420C4-0149-4622-9D41-AA5D270D361C}"/>
    <cellStyle name="Input 2 2 17 3" xfId="24622" xr:uid="{8D861408-52B5-4FFA-AFD3-F57F3610A9BA}"/>
    <cellStyle name="Input 2 2 17 4" xfId="24623" xr:uid="{335C4A10-43C0-4DD8-8485-BD1B8FFAFDB1}"/>
    <cellStyle name="Input 2 2 17 5" xfId="24624" xr:uid="{F88BD431-D640-4D05-9F14-17E117B2D3B8}"/>
    <cellStyle name="Input 2 2 17 6" xfId="24625" xr:uid="{A21823DC-D3F0-47F0-9A7A-BDD8DB7AF9D4}"/>
    <cellStyle name="Input 2 2 17 7" xfId="24626" xr:uid="{33013175-8416-42A1-B495-6722FFC699E1}"/>
    <cellStyle name="Input 2 2 18" xfId="1345" xr:uid="{42DBB731-0EAF-47C7-BA09-517B6BBC3E13}"/>
    <cellStyle name="Input 2 2 18 2" xfId="11349" xr:uid="{4A3DBDA6-FE88-4184-BCC0-86F7E1ED8F5B}"/>
    <cellStyle name="Input 2 2 18 2 2" xfId="24627" xr:uid="{8B7E2048-3481-4302-A471-1F2219146CBD}"/>
    <cellStyle name="Input 2 2 18 2 3" xfId="24628" xr:uid="{E93D5493-C5D5-44E5-A520-EBB43100B15B}"/>
    <cellStyle name="Input 2 2 18 2 4" xfId="24629" xr:uid="{50CE0F3A-8451-4665-ACEF-D1FC38063B15}"/>
    <cellStyle name="Input 2 2 18 2 5" xfId="24630" xr:uid="{64D9B93C-0A39-4026-A64E-390104D06E80}"/>
    <cellStyle name="Input 2 2 18 2 6" xfId="24631" xr:uid="{34E42B95-CEB8-4919-A209-18C58D2AA434}"/>
    <cellStyle name="Input 2 2 18 3" xfId="24632" xr:uid="{57C6FB64-90AF-46E5-B43A-4F208D4CE143}"/>
    <cellStyle name="Input 2 2 18 4" xfId="24633" xr:uid="{3D0B7C67-BCE8-4170-8608-E519FD742C59}"/>
    <cellStyle name="Input 2 2 18 5" xfId="24634" xr:uid="{13D89E07-1BCD-43F6-8658-89506EBD45BF}"/>
    <cellStyle name="Input 2 2 18 6" xfId="24635" xr:uid="{2E65E1D4-23BC-4047-8B38-6FE6F42BDD75}"/>
    <cellStyle name="Input 2 2 18 7" xfId="24636" xr:uid="{993199E0-369D-4B48-A047-31C7A896093B}"/>
    <cellStyle name="Input 2 2 19" xfId="1346" xr:uid="{ECB80671-403D-43E2-86B2-46BEBEF4DD14}"/>
    <cellStyle name="Input 2 2 19 2" xfId="11436" xr:uid="{5D4C5FCE-06AF-45F9-BD76-165822C068F6}"/>
    <cellStyle name="Input 2 2 19 2 2" xfId="24637" xr:uid="{497B8761-202F-4A0F-8F68-F01267583F58}"/>
    <cellStyle name="Input 2 2 19 2 3" xfId="24638" xr:uid="{20AB9FA7-783D-4A96-86B2-A9627B3DC185}"/>
    <cellStyle name="Input 2 2 19 2 4" xfId="24639" xr:uid="{955DEC89-E9D0-4DE5-A274-657E29BB65EE}"/>
    <cellStyle name="Input 2 2 19 2 5" xfId="24640" xr:uid="{FF75F03C-7D19-41AA-B4C1-C5285350D22E}"/>
    <cellStyle name="Input 2 2 19 2 6" xfId="24641" xr:uid="{ABB72C99-0B51-4048-A9FA-C3EA0796BC48}"/>
    <cellStyle name="Input 2 2 19 3" xfId="24642" xr:uid="{E2575F9C-B199-4B09-B5E4-8790C04A6559}"/>
    <cellStyle name="Input 2 2 19 4" xfId="24643" xr:uid="{4D6CE431-E072-42DF-B60E-2C12C6754B92}"/>
    <cellStyle name="Input 2 2 19 5" xfId="24644" xr:uid="{F36883B3-28A5-4F2A-8CC0-5CC0A80B24CB}"/>
    <cellStyle name="Input 2 2 19 6" xfId="24645" xr:uid="{BA18240D-9A53-4BAB-8D38-3F13A50F214A}"/>
    <cellStyle name="Input 2 2 19 7" xfId="24646" xr:uid="{A9C36A05-5E29-4EB2-8598-EE6F1DEF2EFD}"/>
    <cellStyle name="Input 2 2 2" xfId="1347" xr:uid="{1E21012C-B5F4-470B-AFFB-9ACF59743B01}"/>
    <cellStyle name="Input 2 2 2 10" xfId="1348" xr:uid="{7ECAB695-7DB4-4668-BC21-4D74BF73B7CE}"/>
    <cellStyle name="Input 2 2 2 10 2" xfId="10766" xr:uid="{4912BBC6-68C8-4F1F-B422-7A27F12EE2FB}"/>
    <cellStyle name="Input 2 2 2 10 2 2" xfId="24647" xr:uid="{F087C3A7-298F-4FF4-83A1-5695EC183EF8}"/>
    <cellStyle name="Input 2 2 2 10 2 3" xfId="24648" xr:uid="{1D5A1C76-9389-49B2-8CAB-F771BF17E1EB}"/>
    <cellStyle name="Input 2 2 2 10 2 4" xfId="24649" xr:uid="{82A7CC2C-9B19-46C8-AC72-5DCCC35BA8CA}"/>
    <cellStyle name="Input 2 2 2 10 2 5" xfId="24650" xr:uid="{1C5B36C8-5F3B-480E-A01C-651AF580D098}"/>
    <cellStyle name="Input 2 2 2 10 2 6" xfId="24651" xr:uid="{129E4736-F739-44A5-AC49-9585D7D46D31}"/>
    <cellStyle name="Input 2 2 2 10 3" xfId="24652" xr:uid="{701D331C-E947-492A-BB2C-D8D812DD1D49}"/>
    <cellStyle name="Input 2 2 2 10 4" xfId="24653" xr:uid="{59F33DD8-0B32-4286-8E7A-0F4E2775E404}"/>
    <cellStyle name="Input 2 2 2 10 5" xfId="24654" xr:uid="{649C638B-78B5-4BE6-B683-7CF824944597}"/>
    <cellStyle name="Input 2 2 2 10 6" xfId="24655" xr:uid="{88C612A8-6E10-40AE-AD64-02C2B8F99F31}"/>
    <cellStyle name="Input 2 2 2 10 7" xfId="24656" xr:uid="{70AA9E27-221A-454B-A495-FD16128BC6AF}"/>
    <cellStyle name="Input 2 2 2 11" xfId="1349" xr:uid="{601A3478-FF5A-4364-BECA-16DB238CC79E}"/>
    <cellStyle name="Input 2 2 2 11 2" xfId="10854" xr:uid="{C4AF346B-5505-4069-9677-32578780A9E7}"/>
    <cellStyle name="Input 2 2 2 11 2 2" xfId="24657" xr:uid="{58118645-E502-4A71-9655-6F5046F35486}"/>
    <cellStyle name="Input 2 2 2 11 2 3" xfId="24658" xr:uid="{0F01789C-F91C-4071-813D-3A0C7462777F}"/>
    <cellStyle name="Input 2 2 2 11 2 4" xfId="24659" xr:uid="{8C25F8E8-172E-4BCA-BCC1-F8281CD76D05}"/>
    <cellStyle name="Input 2 2 2 11 2 5" xfId="24660" xr:uid="{9F4471B5-934F-4300-A3B9-83B975920759}"/>
    <cellStyle name="Input 2 2 2 11 2 6" xfId="24661" xr:uid="{BDA667FC-9FB6-450B-9579-3A417B17AF3E}"/>
    <cellStyle name="Input 2 2 2 11 3" xfId="24662" xr:uid="{83ADA6D3-2B45-442B-BA25-C3077A881D3D}"/>
    <cellStyle name="Input 2 2 2 11 4" xfId="24663" xr:uid="{CB60D181-5BFF-490B-BC78-1A19ED8CF581}"/>
    <cellStyle name="Input 2 2 2 11 5" xfId="24664" xr:uid="{AFDA8450-1A47-4CB7-A552-EC94262F461D}"/>
    <cellStyle name="Input 2 2 2 11 6" xfId="24665" xr:uid="{7EEF2DE6-6879-4D9A-9F88-8B35CDD848E2}"/>
    <cellStyle name="Input 2 2 2 11 7" xfId="24666" xr:uid="{9C360D96-8DA8-48D3-A4A6-9E4CC2168E52}"/>
    <cellStyle name="Input 2 2 2 12" xfId="1350" xr:uid="{268E6B69-0881-4ECD-A2B9-F9739E23BC62}"/>
    <cellStyle name="Input 2 2 2 12 2" xfId="10943" xr:uid="{54F7725E-4CB0-40CC-BC03-F6C4DB9D44C9}"/>
    <cellStyle name="Input 2 2 2 12 2 2" xfId="24667" xr:uid="{B10A2522-2CE7-41AD-A2ED-64416902569C}"/>
    <cellStyle name="Input 2 2 2 12 2 3" xfId="24668" xr:uid="{4C43D7A6-57A3-4F78-B3F8-8FBD780FC5F9}"/>
    <cellStyle name="Input 2 2 2 12 2 4" xfId="24669" xr:uid="{0F451E55-234E-4A70-907C-4F4C16AF4CC1}"/>
    <cellStyle name="Input 2 2 2 12 2 5" xfId="24670" xr:uid="{C9A47334-BDB8-4C6C-9249-21BDE06E083E}"/>
    <cellStyle name="Input 2 2 2 12 2 6" xfId="24671" xr:uid="{3210CCE7-94E2-4326-A000-9618BE065543}"/>
    <cellStyle name="Input 2 2 2 12 3" xfId="24672" xr:uid="{B43CD218-A6B1-4488-A361-E369A9B64F73}"/>
    <cellStyle name="Input 2 2 2 12 4" xfId="24673" xr:uid="{6D7EA6A2-F09C-4C3A-B70B-6581D9E18364}"/>
    <cellStyle name="Input 2 2 2 12 5" xfId="24674" xr:uid="{52C05A6D-9F65-4075-AF07-BB48471A310E}"/>
    <cellStyle name="Input 2 2 2 12 6" xfId="24675" xr:uid="{6E1D26EF-1482-43D9-9644-CC948B5B087A}"/>
    <cellStyle name="Input 2 2 2 12 7" xfId="24676" xr:uid="{2F2A0F69-5395-4DA1-AFC5-3D292889A573}"/>
    <cellStyle name="Input 2 2 2 13" xfId="1351" xr:uid="{898D4458-6E85-4896-889C-C70FE1AAA62A}"/>
    <cellStyle name="Input 2 2 2 13 2" xfId="11033" xr:uid="{6071C58A-5FD7-4B1C-BFDC-83662E2B10AC}"/>
    <cellStyle name="Input 2 2 2 13 2 2" xfId="24677" xr:uid="{B1544D10-4430-4944-80C6-314AF95B81D2}"/>
    <cellStyle name="Input 2 2 2 13 2 3" xfId="24678" xr:uid="{9FC8CE70-C37E-4A87-BD94-71DBF8023873}"/>
    <cellStyle name="Input 2 2 2 13 2 4" xfId="24679" xr:uid="{A65E7D4A-77F3-4F6E-BD26-2F80D143C0E5}"/>
    <cellStyle name="Input 2 2 2 13 2 5" xfId="24680" xr:uid="{23814EB3-F90B-4FBA-BDA8-2E91186B1F3E}"/>
    <cellStyle name="Input 2 2 2 13 2 6" xfId="24681" xr:uid="{9BF2E838-CB64-4CC6-8FBB-ADB806E86D05}"/>
    <cellStyle name="Input 2 2 2 13 3" xfId="24682" xr:uid="{BBB3B60B-F6E5-4718-AE1D-EE08A0D63070}"/>
    <cellStyle name="Input 2 2 2 13 4" xfId="24683" xr:uid="{2D804DE8-B6BC-47AC-B616-23A01C28C82E}"/>
    <cellStyle name="Input 2 2 2 13 5" xfId="24684" xr:uid="{E237F5AB-2BE4-4449-B6FC-601731A01A5D}"/>
    <cellStyle name="Input 2 2 2 13 6" xfId="24685" xr:uid="{E405539D-E4A9-4505-AD4C-EACA71593569}"/>
    <cellStyle name="Input 2 2 2 13 7" xfId="24686" xr:uid="{3BFAC42A-F2AE-4181-8392-33026A6E835C}"/>
    <cellStyle name="Input 2 2 2 14" xfId="1352" xr:uid="{B9A1855A-D378-47AA-A5AD-E45B3AD381D5}"/>
    <cellStyle name="Input 2 2 2 14 2" xfId="11123" xr:uid="{6961D1F8-EF53-4BF2-86B3-58D68D526C98}"/>
    <cellStyle name="Input 2 2 2 14 2 2" xfId="24687" xr:uid="{94F4E4F6-7557-405F-B5F7-55129831680E}"/>
    <cellStyle name="Input 2 2 2 14 2 3" xfId="24688" xr:uid="{ADE3B5B9-B05C-4AC0-9E75-93D261CDF3E7}"/>
    <cellStyle name="Input 2 2 2 14 2 4" xfId="24689" xr:uid="{6B4F5099-9015-4A7E-A6C8-A17F1A802EBC}"/>
    <cellStyle name="Input 2 2 2 14 2 5" xfId="24690" xr:uid="{4FE4D416-0F9A-4741-B37C-435CBD67E53F}"/>
    <cellStyle name="Input 2 2 2 14 2 6" xfId="24691" xr:uid="{FC9A8CF4-71A1-469A-8187-1A7670390B25}"/>
    <cellStyle name="Input 2 2 2 14 3" xfId="24692" xr:uid="{CC9794A3-2CD4-4F36-A00D-FDA550304D9C}"/>
    <cellStyle name="Input 2 2 2 14 4" xfId="24693" xr:uid="{7846FFB9-9DE0-4788-93AD-69B5A80A0DA9}"/>
    <cellStyle name="Input 2 2 2 14 5" xfId="24694" xr:uid="{52AE2430-F032-45ED-BA57-1B7838B03E7A}"/>
    <cellStyle name="Input 2 2 2 14 6" xfId="24695" xr:uid="{B57AF201-9946-48E8-808A-56EDAE53AAD5}"/>
    <cellStyle name="Input 2 2 2 14 7" xfId="24696" xr:uid="{248ACBDE-8B68-4BDB-91E2-6B1108E3BC22}"/>
    <cellStyle name="Input 2 2 2 15" xfId="1353" xr:uid="{EA0519D4-8A3B-4A43-BD6B-83CEAA4023C8}"/>
    <cellStyle name="Input 2 2 2 15 2" xfId="11206" xr:uid="{4F25B4F1-429B-4089-8F2D-BE7DD43A35C2}"/>
    <cellStyle name="Input 2 2 2 15 2 2" xfId="24697" xr:uid="{56DA147B-4BD8-437A-B1C5-7FA6E568FBD9}"/>
    <cellStyle name="Input 2 2 2 15 2 3" xfId="24698" xr:uid="{B03022BE-DF51-4B92-A844-550DA66C5D26}"/>
    <cellStyle name="Input 2 2 2 15 2 4" xfId="24699" xr:uid="{606B5FC3-2E4A-43DE-8D85-8C9A4CAF2DEB}"/>
    <cellStyle name="Input 2 2 2 15 2 5" xfId="24700" xr:uid="{29F3A7BE-7471-486B-8E8F-6648E88A5D10}"/>
    <cellStyle name="Input 2 2 2 15 2 6" xfId="24701" xr:uid="{B3224015-3295-4911-BC00-0363A8DC29A8}"/>
    <cellStyle name="Input 2 2 2 15 3" xfId="24702" xr:uid="{FB5DC4ED-7BB0-4BAC-AE6B-21D42154D29C}"/>
    <cellStyle name="Input 2 2 2 15 4" xfId="24703" xr:uid="{0BE7290C-CE4F-4B5F-A5B4-FA374F48BCC9}"/>
    <cellStyle name="Input 2 2 2 15 5" xfId="24704" xr:uid="{D878D172-E1DC-42A0-8FE8-33AB49C35E30}"/>
    <cellStyle name="Input 2 2 2 15 6" xfId="24705" xr:uid="{AE6C9755-27BC-429C-B61D-FBA6EB4580FD}"/>
    <cellStyle name="Input 2 2 2 15 7" xfId="24706" xr:uid="{EE00F566-F865-478C-8EFB-54C825704C83}"/>
    <cellStyle name="Input 2 2 2 16" xfId="1354" xr:uid="{29BA2CF5-67D1-4228-8D15-147AC9E57D8F}"/>
    <cellStyle name="Input 2 2 2 16 2" xfId="11296" xr:uid="{EEC9A02B-9825-4D25-9B49-540D1D38EC4A}"/>
    <cellStyle name="Input 2 2 2 16 2 2" xfId="24707" xr:uid="{10CEF23C-2995-496D-895A-8D5C44988C53}"/>
    <cellStyle name="Input 2 2 2 16 2 3" xfId="24708" xr:uid="{A12D9B5B-0CDB-41B4-927C-A33E1EC61EF3}"/>
    <cellStyle name="Input 2 2 2 16 2 4" xfId="24709" xr:uid="{CE0904F3-D140-4B7B-ADA4-5293AD2DC305}"/>
    <cellStyle name="Input 2 2 2 16 2 5" xfId="24710" xr:uid="{12470865-B264-4901-9587-DC9F9D211E15}"/>
    <cellStyle name="Input 2 2 2 16 2 6" xfId="24711" xr:uid="{9693AB2E-DD8C-4454-94F7-C798114C3E39}"/>
    <cellStyle name="Input 2 2 2 16 3" xfId="24712" xr:uid="{C793CC53-0DC4-43C4-86E0-35C0C42121DD}"/>
    <cellStyle name="Input 2 2 2 16 4" xfId="24713" xr:uid="{15B7D2DE-AE9E-48E0-9523-7DF863628CE8}"/>
    <cellStyle name="Input 2 2 2 16 5" xfId="24714" xr:uid="{0C2B36C2-2DC1-4426-BBD7-D1796BCEACA4}"/>
    <cellStyle name="Input 2 2 2 16 6" xfId="24715" xr:uid="{C076348A-0B84-4330-A12E-C293F342119C}"/>
    <cellStyle name="Input 2 2 2 16 7" xfId="24716" xr:uid="{6F8923A6-39C0-40AD-9BA6-C58D39EBB157}"/>
    <cellStyle name="Input 2 2 2 17" xfId="1355" xr:uid="{D31D697E-9BCE-4960-A494-CD1DB5254219}"/>
    <cellStyle name="Input 2 2 2 17 2" xfId="11382" xr:uid="{09B59393-2601-4B23-83F8-7A481F592462}"/>
    <cellStyle name="Input 2 2 2 17 2 2" xfId="24717" xr:uid="{064A18EA-03A6-4896-85AB-F031C0917FF1}"/>
    <cellStyle name="Input 2 2 2 17 2 3" xfId="24718" xr:uid="{57D5AE3C-E1DA-49A2-9604-BA8A170EE58D}"/>
    <cellStyle name="Input 2 2 2 17 2 4" xfId="24719" xr:uid="{91723296-3A54-48E1-AFBB-2BC4E3B2FD13}"/>
    <cellStyle name="Input 2 2 2 17 2 5" xfId="24720" xr:uid="{1B6B6D24-A2FD-4264-A9EB-AC775CE936E4}"/>
    <cellStyle name="Input 2 2 2 17 2 6" xfId="24721" xr:uid="{C51A6199-71D3-4E35-9BFA-B72B5115F74F}"/>
    <cellStyle name="Input 2 2 2 17 3" xfId="24722" xr:uid="{E9F38412-C431-4D41-B0C5-C3265E3B4E7B}"/>
    <cellStyle name="Input 2 2 2 17 4" xfId="24723" xr:uid="{766D084C-52F7-4E5E-A0F0-D29D869BE294}"/>
    <cellStyle name="Input 2 2 2 17 5" xfId="24724" xr:uid="{42650377-D169-42A7-BDC8-29E51E99DFF5}"/>
    <cellStyle name="Input 2 2 2 17 6" xfId="24725" xr:uid="{2BEBE9AC-A31A-47B0-8F6E-0376B20877F4}"/>
    <cellStyle name="Input 2 2 2 17 7" xfId="24726" xr:uid="{19EA43C1-C979-4927-9DF6-6C27DF124DA7}"/>
    <cellStyle name="Input 2 2 2 18" xfId="1356" xr:uid="{146C1151-07F0-4A79-9AAE-EE8B71E06DA1}"/>
    <cellStyle name="Input 2 2 2 18 2" xfId="11469" xr:uid="{3A564730-1044-4492-B286-C1E178997849}"/>
    <cellStyle name="Input 2 2 2 18 2 2" xfId="24727" xr:uid="{236DE522-148A-433B-AF12-7AF30D1CD2C8}"/>
    <cellStyle name="Input 2 2 2 18 2 3" xfId="24728" xr:uid="{ED17D952-FB68-41E2-9F63-7628423FCDE3}"/>
    <cellStyle name="Input 2 2 2 18 2 4" xfId="24729" xr:uid="{5663CCCD-ACE9-4452-8C10-3EC53E7CD28F}"/>
    <cellStyle name="Input 2 2 2 18 2 5" xfId="24730" xr:uid="{AF4C8C1F-506C-4DC3-8D25-376D97078FB8}"/>
    <cellStyle name="Input 2 2 2 18 2 6" xfId="24731" xr:uid="{4E4B3FA3-87D9-48F3-A1D6-8F270B767499}"/>
    <cellStyle name="Input 2 2 2 18 3" xfId="24732" xr:uid="{125D7714-F522-4284-8E07-74418C1CEF11}"/>
    <cellStyle name="Input 2 2 2 18 4" xfId="24733" xr:uid="{F70FCCD3-DD14-466E-8BB8-D9F62849E104}"/>
    <cellStyle name="Input 2 2 2 18 5" xfId="24734" xr:uid="{6C0FF067-6B1B-47EB-B83D-730D845D4BCA}"/>
    <cellStyle name="Input 2 2 2 18 6" xfId="24735" xr:uid="{FB90566D-6EBD-421B-803E-498B6BE6E909}"/>
    <cellStyle name="Input 2 2 2 18 7" xfId="24736" xr:uid="{0B678D11-F17C-42AD-BD84-19B2D8DD4F43}"/>
    <cellStyle name="Input 2 2 2 19" xfId="1357" xr:uid="{A1E39DB1-8419-48F5-A7CA-B6960788DF41}"/>
    <cellStyle name="Input 2 2 2 19 2" xfId="11556" xr:uid="{E6E630BE-4B29-4ED5-BF38-C4D6D62D3A54}"/>
    <cellStyle name="Input 2 2 2 19 2 2" xfId="24737" xr:uid="{60406329-27CF-4125-859C-72CBA78511BA}"/>
    <cellStyle name="Input 2 2 2 19 2 3" xfId="24738" xr:uid="{BF874361-FA68-49FD-956A-526E5757D67A}"/>
    <cellStyle name="Input 2 2 2 19 2 4" xfId="24739" xr:uid="{FF19F878-4018-4B38-ADAB-6EAD3A686CD0}"/>
    <cellStyle name="Input 2 2 2 19 2 5" xfId="24740" xr:uid="{BE016769-9F32-4820-85BE-FCD95BBD2C60}"/>
    <cellStyle name="Input 2 2 2 19 2 6" xfId="24741" xr:uid="{51186EC8-7A10-4592-AD03-3E2FB446DBCD}"/>
    <cellStyle name="Input 2 2 2 19 3" xfId="24742" xr:uid="{415698C1-2AF1-4458-857C-ED8E164DE6C3}"/>
    <cellStyle name="Input 2 2 2 19 4" xfId="24743" xr:uid="{C7E29A65-078D-4160-BEFA-150C19C46BD3}"/>
    <cellStyle name="Input 2 2 2 19 5" xfId="24744" xr:uid="{C9EAD0AB-4408-4CD4-A7BF-7F8B4C0DFD21}"/>
    <cellStyle name="Input 2 2 2 19 6" xfId="24745" xr:uid="{DED4781D-4162-4FEB-A340-422A1266EC76}"/>
    <cellStyle name="Input 2 2 2 19 7" xfId="24746" xr:uid="{1BAF78F7-81E3-4DE7-B53E-DB6723F9B880}"/>
    <cellStyle name="Input 2 2 2 2" xfId="1358" xr:uid="{39EC4B63-9590-4036-A589-2A204879002B}"/>
    <cellStyle name="Input 2 2 2 2 2" xfId="10063" xr:uid="{5A11A336-3E35-4B58-8843-3B8ED64AED2C}"/>
    <cellStyle name="Input 2 2 2 2 2 2" xfId="24747" xr:uid="{F77CAE5C-F502-455D-8D10-008B7354B63A}"/>
    <cellStyle name="Input 2 2 2 2 2 3" xfId="24748" xr:uid="{9CE22DF6-FD5A-4D0C-A4F9-6512227642C6}"/>
    <cellStyle name="Input 2 2 2 2 2 4" xfId="24749" xr:uid="{63AB3144-8188-4E4F-9316-8BE103DF49DF}"/>
    <cellStyle name="Input 2 2 2 2 2 5" xfId="24750" xr:uid="{39BED3E8-D45C-4C0E-A70C-C333FA278AB0}"/>
    <cellStyle name="Input 2 2 2 2 2 6" xfId="24751" xr:uid="{44ED4B9C-176D-4C11-8997-8FF7F6BE22E1}"/>
    <cellStyle name="Input 2 2 2 2 3" xfId="24752" xr:uid="{4EF0E1F0-500F-4DD4-AC58-5CDEC1729E57}"/>
    <cellStyle name="Input 2 2 2 2 4" xfId="24753" xr:uid="{2FA28127-898E-4364-B844-EDF5309EDD43}"/>
    <cellStyle name="Input 2 2 2 2 5" xfId="24754" xr:uid="{96F3D0B6-2C13-4C68-8D3B-E789CB6907E4}"/>
    <cellStyle name="Input 2 2 2 2 6" xfId="24755" xr:uid="{43BE9A53-EFF1-4AEB-83DF-0A0018082E8A}"/>
    <cellStyle name="Input 2 2 2 2 7" xfId="24756" xr:uid="{C75C1364-83C8-4FF8-87AB-00F32212EF1E}"/>
    <cellStyle name="Input 2 2 2 20" xfId="1359" xr:uid="{4192D349-4745-4D66-B5BE-BA00ED8A9999}"/>
    <cellStyle name="Input 2 2 2 20 2" xfId="11644" xr:uid="{CD91A9EC-5604-4F3D-B6FC-DC01B1C02FF3}"/>
    <cellStyle name="Input 2 2 2 20 2 2" xfId="24757" xr:uid="{35BC6328-80CA-43DF-B7C3-16953B36A743}"/>
    <cellStyle name="Input 2 2 2 20 2 3" xfId="24758" xr:uid="{425EEDBE-234B-4CA5-9269-4C594EFCCC85}"/>
    <cellStyle name="Input 2 2 2 20 2 4" xfId="24759" xr:uid="{D6C39334-ADF3-4789-BFEA-E5377D2EC891}"/>
    <cellStyle name="Input 2 2 2 20 2 5" xfId="24760" xr:uid="{EAB920E7-ECFD-452E-8634-314E0450EF78}"/>
    <cellStyle name="Input 2 2 2 20 2 6" xfId="24761" xr:uid="{15D0BB5D-48B5-4695-8BED-C0764E286071}"/>
    <cellStyle name="Input 2 2 2 20 3" xfId="24762" xr:uid="{83A4A058-DD2B-4DA8-B43C-9C74262FB64F}"/>
    <cellStyle name="Input 2 2 2 20 4" xfId="24763" xr:uid="{479298BE-0A59-4B5E-83D9-AE601A6D9C32}"/>
    <cellStyle name="Input 2 2 2 20 5" xfId="24764" xr:uid="{371ABD0C-30D2-439F-900C-C8C1DAA5C84F}"/>
    <cellStyle name="Input 2 2 2 20 6" xfId="24765" xr:uid="{E4F1F10A-BEBC-49AF-A033-212651199DC1}"/>
    <cellStyle name="Input 2 2 2 20 7" xfId="24766" xr:uid="{43447746-F4A3-43BC-86E5-219EAEDD593C}"/>
    <cellStyle name="Input 2 2 2 21" xfId="1360" xr:uid="{D761866F-1FBF-4DCB-B8D0-3F3B3FBC9138}"/>
    <cellStyle name="Input 2 2 2 21 2" xfId="11728" xr:uid="{4A2F714A-A84C-495A-9049-3EBA319DC3CA}"/>
    <cellStyle name="Input 2 2 2 21 2 2" xfId="24767" xr:uid="{7D7545F6-AC5C-45CD-8F9A-ABEB97F9572D}"/>
    <cellStyle name="Input 2 2 2 21 2 3" xfId="24768" xr:uid="{E9326AB1-8617-4859-9CAE-2F4AD3002100}"/>
    <cellStyle name="Input 2 2 2 21 2 4" xfId="24769" xr:uid="{EE6E435A-81D9-45BD-B1DF-CA46F75146DC}"/>
    <cellStyle name="Input 2 2 2 21 2 5" xfId="24770" xr:uid="{7A257749-9FF9-4AD5-87FE-9244B385BA8D}"/>
    <cellStyle name="Input 2 2 2 21 2 6" xfId="24771" xr:uid="{CB8240D3-7BEF-47EF-A7E4-905DE9E93356}"/>
    <cellStyle name="Input 2 2 2 21 3" xfId="24772" xr:uid="{F2A1B5DC-662B-4053-882E-6F862BD069E7}"/>
    <cellStyle name="Input 2 2 2 21 4" xfId="24773" xr:uid="{E16C264C-FD2E-4624-B969-49CD3BA933AA}"/>
    <cellStyle name="Input 2 2 2 21 5" xfId="24774" xr:uid="{941F8D35-FFE4-4AD6-A1A6-E004EE22B35A}"/>
    <cellStyle name="Input 2 2 2 21 6" xfId="24775" xr:uid="{E5F74490-41C0-4F99-B9CC-DD7B54F0B56B}"/>
    <cellStyle name="Input 2 2 2 21 7" xfId="24776" xr:uid="{2A4CA050-53B2-4E49-BB38-4C601082D743}"/>
    <cellStyle name="Input 2 2 2 22" xfId="1361" xr:uid="{E1431E00-6882-46FB-829B-7B614037159C}"/>
    <cellStyle name="Input 2 2 2 22 2" xfId="11811" xr:uid="{636E0E21-CC7E-456B-A8E9-044DBFD47A6C}"/>
    <cellStyle name="Input 2 2 2 22 2 2" xfId="24777" xr:uid="{3E3839E0-8131-45F8-AA6B-D3BBF73CCCD3}"/>
    <cellStyle name="Input 2 2 2 22 2 3" xfId="24778" xr:uid="{88AD0134-3113-4C76-BDBC-C13652D1D456}"/>
    <cellStyle name="Input 2 2 2 22 2 4" xfId="24779" xr:uid="{40349B4A-5602-48C5-AE1E-5C7A304CFB49}"/>
    <cellStyle name="Input 2 2 2 22 2 5" xfId="24780" xr:uid="{15101817-36D8-4DDC-A5B5-73186A30BB8E}"/>
    <cellStyle name="Input 2 2 2 22 2 6" xfId="24781" xr:uid="{659A6672-B80E-4132-9E51-87616F6EE005}"/>
    <cellStyle name="Input 2 2 2 22 3" xfId="24782" xr:uid="{6E99C7B1-F261-4902-B47B-F68B24AF4FE5}"/>
    <cellStyle name="Input 2 2 2 22 4" xfId="24783" xr:uid="{522C6C7D-E8D5-4058-B407-918CAD00AC51}"/>
    <cellStyle name="Input 2 2 2 22 5" xfId="24784" xr:uid="{305B8640-D4AA-45F0-9C16-FA40ABBCB690}"/>
    <cellStyle name="Input 2 2 2 22 6" xfId="24785" xr:uid="{F4918A2B-3DBE-497E-B6AB-8D278C4418F6}"/>
    <cellStyle name="Input 2 2 2 22 7" xfId="24786" xr:uid="{81C561E4-84F5-44AC-B443-77594D4849CF}"/>
    <cellStyle name="Input 2 2 2 23" xfId="1362" xr:uid="{0FDD6063-DBA5-4EE7-A57C-ED213C443BC6}"/>
    <cellStyle name="Input 2 2 2 23 2" xfId="11894" xr:uid="{16968E26-8222-4D71-BF7C-34D6EDEDE019}"/>
    <cellStyle name="Input 2 2 2 23 2 2" xfId="24787" xr:uid="{4661474A-9060-4116-9ADF-9AF514970E8F}"/>
    <cellStyle name="Input 2 2 2 23 2 3" xfId="24788" xr:uid="{07D0675A-AAA9-42E2-8A74-4BE668832197}"/>
    <cellStyle name="Input 2 2 2 23 2 4" xfId="24789" xr:uid="{4F7062A8-AE21-4694-8EA2-861A5980F44D}"/>
    <cellStyle name="Input 2 2 2 23 2 5" xfId="24790" xr:uid="{CA1B242C-B499-43BB-972C-579899A79CC0}"/>
    <cellStyle name="Input 2 2 2 23 2 6" xfId="24791" xr:uid="{48E15880-C48F-4301-A250-DA4A6EF66AC5}"/>
    <cellStyle name="Input 2 2 2 23 3" xfId="24792" xr:uid="{D4E9BC28-9F04-42E2-B873-691E57DD9E52}"/>
    <cellStyle name="Input 2 2 2 23 4" xfId="24793" xr:uid="{9506C66B-9971-49BC-8934-35DA904A29E9}"/>
    <cellStyle name="Input 2 2 2 23 5" xfId="24794" xr:uid="{95CA9590-7AC7-44D7-B8B0-161467E01887}"/>
    <cellStyle name="Input 2 2 2 23 6" xfId="24795" xr:uid="{FD40172C-5299-477A-AF0F-A1DD22C3AF24}"/>
    <cellStyle name="Input 2 2 2 23 7" xfId="24796" xr:uid="{CFA24600-DB2A-4F5B-BCF2-778B0B60915D}"/>
    <cellStyle name="Input 2 2 2 24" xfId="1363" xr:uid="{7B34FC1C-75B5-436D-B26D-BA628021CFC9}"/>
    <cellStyle name="Input 2 2 2 24 2" xfId="11978" xr:uid="{062A3673-996B-4294-A7E9-DE6FD2453EEE}"/>
    <cellStyle name="Input 2 2 2 24 2 2" xfId="24797" xr:uid="{7768276B-B6C8-4607-81B7-91F0E16AAE77}"/>
    <cellStyle name="Input 2 2 2 24 2 3" xfId="24798" xr:uid="{45E15912-5F68-4C71-83A7-C9564A45B84A}"/>
    <cellStyle name="Input 2 2 2 24 2 4" xfId="24799" xr:uid="{B5037111-591D-4850-A8BA-FEFA13548198}"/>
    <cellStyle name="Input 2 2 2 24 2 5" xfId="24800" xr:uid="{71EB9F84-2B3C-47E8-8812-9A66BB861551}"/>
    <cellStyle name="Input 2 2 2 24 2 6" xfId="24801" xr:uid="{DF306085-3477-4F5C-81F0-38666FE696BD}"/>
    <cellStyle name="Input 2 2 2 24 3" xfId="24802" xr:uid="{578CA0DB-6709-42ED-B1CC-24358AA1D946}"/>
    <cellStyle name="Input 2 2 2 24 4" xfId="24803" xr:uid="{1EBC2577-5DAC-4832-8D00-A8259866A586}"/>
    <cellStyle name="Input 2 2 2 24 5" xfId="24804" xr:uid="{4AC734B5-150E-4054-ACD0-084B0C30B76A}"/>
    <cellStyle name="Input 2 2 2 24 6" xfId="24805" xr:uid="{5CE2715C-0BD7-4264-91BD-6E522302934F}"/>
    <cellStyle name="Input 2 2 2 24 7" xfId="24806" xr:uid="{C29C6887-B60B-44F8-9273-3888BC1DD798}"/>
    <cellStyle name="Input 2 2 2 25" xfId="1364" xr:uid="{EEBD41CF-64FF-48D2-8CA9-0CE77C67007D}"/>
    <cellStyle name="Input 2 2 2 25 2" xfId="12061" xr:uid="{0139AEA8-A8EE-4B3A-812D-AE327F1C5D0E}"/>
    <cellStyle name="Input 2 2 2 25 2 2" xfId="24807" xr:uid="{68BC6A89-BFBA-41EF-8FFD-FCDFBC8E87AC}"/>
    <cellStyle name="Input 2 2 2 25 2 3" xfId="24808" xr:uid="{5F3E74B6-6F13-4803-AAFB-D19D8D7FC43A}"/>
    <cellStyle name="Input 2 2 2 25 2 4" xfId="24809" xr:uid="{56584D5F-B331-4BED-AD07-69368D432FE4}"/>
    <cellStyle name="Input 2 2 2 25 2 5" xfId="24810" xr:uid="{D8A5FD82-8C36-4FC9-8F9F-A419F39557FA}"/>
    <cellStyle name="Input 2 2 2 25 2 6" xfId="24811" xr:uid="{17F01BB3-61A4-483D-A80E-15006E01B8C2}"/>
    <cellStyle name="Input 2 2 2 25 3" xfId="24812" xr:uid="{328C9C89-6346-4F9E-8DAB-E398448C1C5B}"/>
    <cellStyle name="Input 2 2 2 25 4" xfId="24813" xr:uid="{1A961E7A-3C02-48B0-AB3C-3108AFF7E5BB}"/>
    <cellStyle name="Input 2 2 2 25 5" xfId="24814" xr:uid="{22733285-8C25-4FC5-B0DF-47B36223BB71}"/>
    <cellStyle name="Input 2 2 2 25 6" xfId="24815" xr:uid="{DECECB2A-B340-4764-BC2A-21F30D9B5DD3}"/>
    <cellStyle name="Input 2 2 2 25 7" xfId="24816" xr:uid="{008E7BC5-54BB-4C6A-A2EB-5318AAD744B1}"/>
    <cellStyle name="Input 2 2 2 26" xfId="1365" xr:uid="{AEBB048B-F873-4EAC-AEFC-56B9F9BC5884}"/>
    <cellStyle name="Input 2 2 2 26 2" xfId="12144" xr:uid="{CBF1DDD0-EACE-4560-8F41-CE07D0ABA32D}"/>
    <cellStyle name="Input 2 2 2 26 2 2" xfId="24817" xr:uid="{F9064056-5A97-4772-89D1-CAF237F0240E}"/>
    <cellStyle name="Input 2 2 2 26 2 3" xfId="24818" xr:uid="{E0434859-01B8-4A63-B5DA-52534BA1F576}"/>
    <cellStyle name="Input 2 2 2 26 2 4" xfId="24819" xr:uid="{CC79CE75-1494-4985-99BB-8AF708201E18}"/>
    <cellStyle name="Input 2 2 2 26 2 5" xfId="24820" xr:uid="{C4BD158F-7E4B-43E8-95CB-1F9F16DBF8E7}"/>
    <cellStyle name="Input 2 2 2 26 2 6" xfId="24821" xr:uid="{2A3C2D80-63C2-4EB2-83B7-DC30F6B98758}"/>
    <cellStyle name="Input 2 2 2 26 3" xfId="24822" xr:uid="{DEA2B8D0-D724-4EF8-B29E-D9ECD95C26E5}"/>
    <cellStyle name="Input 2 2 2 26 4" xfId="24823" xr:uid="{57994CB3-55AB-4222-B0EF-963D1761E3A5}"/>
    <cellStyle name="Input 2 2 2 26 5" xfId="24824" xr:uid="{52443A22-3B08-4CED-ABCB-9A0F24B8C93A}"/>
    <cellStyle name="Input 2 2 2 26 6" xfId="24825" xr:uid="{0B7CC99F-F992-4A9C-ABFF-61B136A9FA7D}"/>
    <cellStyle name="Input 2 2 2 26 7" xfId="24826" xr:uid="{4D67027D-50CB-4C51-B2FA-F448440EC234}"/>
    <cellStyle name="Input 2 2 2 27" xfId="1366" xr:uid="{7164E7D8-8F55-4283-86AE-8A00E3CCEA38}"/>
    <cellStyle name="Input 2 2 2 27 2" xfId="12226" xr:uid="{61CD6F28-D537-48B9-9E16-2475FB819859}"/>
    <cellStyle name="Input 2 2 2 27 2 2" xfId="24827" xr:uid="{4D15F6E2-3E8A-49DD-A9F7-25C7DFCCD593}"/>
    <cellStyle name="Input 2 2 2 27 2 3" xfId="24828" xr:uid="{93727D93-CA5B-459F-B1BE-0E4D547DEE36}"/>
    <cellStyle name="Input 2 2 2 27 2 4" xfId="24829" xr:uid="{745B75CC-073D-4A27-B557-03B9A97D2D4C}"/>
    <cellStyle name="Input 2 2 2 27 2 5" xfId="24830" xr:uid="{5D768294-D570-441A-A046-F0D47B879E42}"/>
    <cellStyle name="Input 2 2 2 27 2 6" xfId="24831" xr:uid="{11239017-1741-49ED-911A-DD7B4C788F4D}"/>
    <cellStyle name="Input 2 2 2 27 3" xfId="24832" xr:uid="{EC0F8686-15C3-4963-A068-D186F5AED744}"/>
    <cellStyle name="Input 2 2 2 27 4" xfId="24833" xr:uid="{49E52925-9113-42A2-B6DF-8088AE56CF41}"/>
    <cellStyle name="Input 2 2 2 27 5" xfId="24834" xr:uid="{D7135389-E1E5-4C89-9471-89E5B3E34E27}"/>
    <cellStyle name="Input 2 2 2 27 6" xfId="24835" xr:uid="{77648333-FF8C-4D9D-B81E-41D71034940D}"/>
    <cellStyle name="Input 2 2 2 27 7" xfId="24836" xr:uid="{84BA232F-CDE6-4BDB-A88A-CACEF557EFDA}"/>
    <cellStyle name="Input 2 2 2 28" xfId="1367" xr:uid="{D5E0DFF3-6978-4284-9D57-1AA2E6EC30E9}"/>
    <cellStyle name="Input 2 2 2 28 2" xfId="12306" xr:uid="{432EFCA2-B0D6-4D70-9C36-964106B32EFD}"/>
    <cellStyle name="Input 2 2 2 28 2 2" xfId="24837" xr:uid="{DD44B4A5-D57B-41CF-BB6C-51DC42F521C1}"/>
    <cellStyle name="Input 2 2 2 28 2 3" xfId="24838" xr:uid="{96594913-E5C6-4F13-B034-E919022FBF45}"/>
    <cellStyle name="Input 2 2 2 28 2 4" xfId="24839" xr:uid="{6227C0A9-71C9-4E70-8A01-C3E2C800E47A}"/>
    <cellStyle name="Input 2 2 2 28 2 5" xfId="24840" xr:uid="{5CA09846-03CC-4CA6-89E4-E173102EDF78}"/>
    <cellStyle name="Input 2 2 2 28 2 6" xfId="24841" xr:uid="{DA633C0A-31D1-422E-8CC7-6356959DD719}"/>
    <cellStyle name="Input 2 2 2 28 3" xfId="24842" xr:uid="{2E726A72-8D16-4C82-B978-26B4CD94EFBB}"/>
    <cellStyle name="Input 2 2 2 28 4" xfId="24843" xr:uid="{E15BD7CD-5F2D-4C12-83DA-E12FB8ECBA82}"/>
    <cellStyle name="Input 2 2 2 28 5" xfId="24844" xr:uid="{4F1B99AC-660E-4FFB-BC48-5079DE15C8EE}"/>
    <cellStyle name="Input 2 2 2 28 6" xfId="24845" xr:uid="{9E579B2C-1276-473D-AD04-B1BE32200857}"/>
    <cellStyle name="Input 2 2 2 28 7" xfId="24846" xr:uid="{64DF323F-6D8C-4B6E-A65B-EDE2D388B6EC}"/>
    <cellStyle name="Input 2 2 2 29" xfId="1368" xr:uid="{CEA469B4-26A0-4A9D-ACAC-CE77C7A1806C}"/>
    <cellStyle name="Input 2 2 2 29 2" xfId="12384" xr:uid="{93A987BB-8252-4CB6-BC02-C997C3D02F23}"/>
    <cellStyle name="Input 2 2 2 29 2 2" xfId="24847" xr:uid="{062C9FAB-A6FD-4329-9DD2-B3C74895E16B}"/>
    <cellStyle name="Input 2 2 2 29 2 3" xfId="24848" xr:uid="{3A16B2DE-43AA-4D08-A345-A7DF0313BD22}"/>
    <cellStyle name="Input 2 2 2 29 2 4" xfId="24849" xr:uid="{62A816E8-0637-4A21-B514-92EF7339528F}"/>
    <cellStyle name="Input 2 2 2 29 2 5" xfId="24850" xr:uid="{AD27272B-DC05-4952-A58D-124FDB4351FF}"/>
    <cellStyle name="Input 2 2 2 29 2 6" xfId="24851" xr:uid="{A3519541-4C23-42E2-A37B-13AA7AF2C7E4}"/>
    <cellStyle name="Input 2 2 2 29 3" xfId="24852" xr:uid="{4597CE6F-24CE-4CAE-AA77-1CD80F558B24}"/>
    <cellStyle name="Input 2 2 2 29 4" xfId="24853" xr:uid="{790A63EF-4A6C-465A-9F1A-B37ACB266320}"/>
    <cellStyle name="Input 2 2 2 29 5" xfId="24854" xr:uid="{49B1AAA2-CDD8-41AF-B7A1-1DA98B5C6F2D}"/>
    <cellStyle name="Input 2 2 2 29 6" xfId="24855" xr:uid="{038E907C-CBAC-4D29-B732-B6B7139F4F3F}"/>
    <cellStyle name="Input 2 2 2 29 7" xfId="24856" xr:uid="{FF4AD0F8-DB51-40FD-AD66-0BBF17907E46}"/>
    <cellStyle name="Input 2 2 2 3" xfId="1369" xr:uid="{1E7BFB57-3033-40DB-9A9D-DAB9075086BC}"/>
    <cellStyle name="Input 2 2 2 3 2" xfId="10154" xr:uid="{6AB521B0-ABF0-46F4-89A7-E575347AB99D}"/>
    <cellStyle name="Input 2 2 2 3 2 2" xfId="24857" xr:uid="{9FDF5E39-383C-45D6-9024-8561D0F5F935}"/>
    <cellStyle name="Input 2 2 2 3 2 3" xfId="24858" xr:uid="{F49CDD14-B052-4CC3-B732-454541A99450}"/>
    <cellStyle name="Input 2 2 2 3 2 4" xfId="24859" xr:uid="{F093DAC2-49A3-45CA-9DA1-D3ED137F5E47}"/>
    <cellStyle name="Input 2 2 2 3 2 5" xfId="24860" xr:uid="{45E82EB0-973A-46EB-BC9C-33AA2A293AE4}"/>
    <cellStyle name="Input 2 2 2 3 2 6" xfId="24861" xr:uid="{8F19DA47-2CA9-4487-B88E-4BA7DB6BDC17}"/>
    <cellStyle name="Input 2 2 2 3 3" xfId="24862" xr:uid="{76E3357F-AD55-4F9A-B99B-CF0F1AE45991}"/>
    <cellStyle name="Input 2 2 2 3 4" xfId="24863" xr:uid="{F386E9AD-4FE2-4D5D-94F5-A43881B6FB45}"/>
    <cellStyle name="Input 2 2 2 3 5" xfId="24864" xr:uid="{911589FD-FE61-43C0-9831-0668D299E264}"/>
    <cellStyle name="Input 2 2 2 3 6" xfId="24865" xr:uid="{4A9411E4-071E-4968-B96A-337D714E188C}"/>
    <cellStyle name="Input 2 2 2 3 7" xfId="24866" xr:uid="{8877D942-64FD-4F3D-9276-269A44053D44}"/>
    <cellStyle name="Input 2 2 2 30" xfId="1370" xr:uid="{A34ACC51-FFBB-4C06-9462-A99F07E79F2E}"/>
    <cellStyle name="Input 2 2 2 30 2" xfId="12463" xr:uid="{72B1329B-8ACE-44D0-89ED-FE321584747E}"/>
    <cellStyle name="Input 2 2 2 30 2 2" xfId="24867" xr:uid="{A68A5AC8-C385-4ECF-A907-DD212E3E84AC}"/>
    <cellStyle name="Input 2 2 2 30 2 3" xfId="24868" xr:uid="{B5895C75-F24B-4CBB-ACCB-C9BF22885241}"/>
    <cellStyle name="Input 2 2 2 30 2 4" xfId="24869" xr:uid="{6C04B1A9-FEBB-48D4-9295-E546F56A92BF}"/>
    <cellStyle name="Input 2 2 2 30 2 5" xfId="24870" xr:uid="{E4285DF4-BC5B-440E-95E0-8D3414BB3D32}"/>
    <cellStyle name="Input 2 2 2 30 2 6" xfId="24871" xr:uid="{90A3DB73-1BDA-4798-8151-9CA6D1C0E57E}"/>
    <cellStyle name="Input 2 2 2 30 3" xfId="24872" xr:uid="{C734953C-1E64-452E-A396-46A39AF357A7}"/>
    <cellStyle name="Input 2 2 2 30 4" xfId="24873" xr:uid="{E779BAC3-D74B-48F3-8DA9-4791AF47AC5C}"/>
    <cellStyle name="Input 2 2 2 30 5" xfId="24874" xr:uid="{5D243320-F794-43EB-9C6B-5103C8E71105}"/>
    <cellStyle name="Input 2 2 2 30 6" xfId="24875" xr:uid="{E6E93A2B-DAEB-4DF0-9D80-7694F8984930}"/>
    <cellStyle name="Input 2 2 2 30 7" xfId="24876" xr:uid="{4515B08A-E5B6-490E-8381-D6FA45283F2C}"/>
    <cellStyle name="Input 2 2 2 31" xfId="1371" xr:uid="{098C8776-454E-4AA1-BEF2-D1560DF1F698}"/>
    <cellStyle name="Input 2 2 2 31 2" xfId="12542" xr:uid="{949A067F-4029-468E-8BFC-C868C4BF0042}"/>
    <cellStyle name="Input 2 2 2 31 2 2" xfId="24877" xr:uid="{B8D9DD60-C429-467C-AF8E-F341D4FA16EA}"/>
    <cellStyle name="Input 2 2 2 31 2 3" xfId="24878" xr:uid="{94DBB7FD-6961-4A35-96C1-14A15FA427F1}"/>
    <cellStyle name="Input 2 2 2 31 2 4" xfId="24879" xr:uid="{D3D2055D-C8E6-46E9-8008-353A495C6047}"/>
    <cellStyle name="Input 2 2 2 31 2 5" xfId="24880" xr:uid="{5B89CA7D-B1D7-4E03-AF60-44BAF1CD46FD}"/>
    <cellStyle name="Input 2 2 2 31 2 6" xfId="24881" xr:uid="{7A75A54B-F795-4804-A9F8-C9370E57E48C}"/>
    <cellStyle name="Input 2 2 2 31 3" xfId="24882" xr:uid="{754F4984-8A97-4740-94BC-72F5D72468D8}"/>
    <cellStyle name="Input 2 2 2 31 4" xfId="24883" xr:uid="{4A90B3C6-19D8-4C37-A748-9D1A46F40BE3}"/>
    <cellStyle name="Input 2 2 2 31 5" xfId="24884" xr:uid="{A08D763B-D6D3-46FA-8F7C-E216EECF27B1}"/>
    <cellStyle name="Input 2 2 2 31 6" xfId="24885" xr:uid="{A6BE7298-3A30-4CC7-A6DF-CA3A326BCC40}"/>
    <cellStyle name="Input 2 2 2 31 7" xfId="24886" xr:uid="{DA931D30-CBF3-40CC-B5A0-6D502C279EED}"/>
    <cellStyle name="Input 2 2 2 32" xfId="1372" xr:uid="{6112E3C5-C466-46F7-B119-73D5E220B219}"/>
    <cellStyle name="Input 2 2 2 32 2" xfId="12621" xr:uid="{F3CA7DCE-D25D-4642-A97D-728FA6C41224}"/>
    <cellStyle name="Input 2 2 2 32 2 2" xfId="24887" xr:uid="{224CB3F7-E121-4B83-891F-DAE2EDCB1834}"/>
    <cellStyle name="Input 2 2 2 32 2 3" xfId="24888" xr:uid="{AF14E3EC-B8E5-4822-AC22-032C4F9E4773}"/>
    <cellStyle name="Input 2 2 2 32 2 4" xfId="24889" xr:uid="{F23E877F-4A40-4E32-8D89-C77F7C54D374}"/>
    <cellStyle name="Input 2 2 2 32 2 5" xfId="24890" xr:uid="{48CEB696-5313-4B96-9892-324450AC366F}"/>
    <cellStyle name="Input 2 2 2 32 2 6" xfId="24891" xr:uid="{A681FD3C-B37C-4CE7-93E6-DB0469CF84EC}"/>
    <cellStyle name="Input 2 2 2 32 3" xfId="24892" xr:uid="{54C433F0-3098-4CFC-9DE1-C8BC4C4F9C5E}"/>
    <cellStyle name="Input 2 2 2 32 4" xfId="24893" xr:uid="{B2EDA0E2-5D30-4F23-8E04-C13523E63D06}"/>
    <cellStyle name="Input 2 2 2 32 5" xfId="24894" xr:uid="{B7C166AA-A091-4261-9078-3758E50E3943}"/>
    <cellStyle name="Input 2 2 2 32 6" xfId="24895" xr:uid="{91B98DD7-A9C4-40F7-98C6-115D4E3538A3}"/>
    <cellStyle name="Input 2 2 2 32 7" xfId="24896" xr:uid="{6E52D580-C4FE-40A9-A068-AF65F730A915}"/>
    <cellStyle name="Input 2 2 2 33" xfId="1373" xr:uid="{5844EB3F-44AF-44F6-BD70-143DF5346324}"/>
    <cellStyle name="Input 2 2 2 33 2" xfId="12700" xr:uid="{6F29B2A4-824F-45B3-B219-08902EF8BE5E}"/>
    <cellStyle name="Input 2 2 2 33 2 2" xfId="24897" xr:uid="{2E91527C-2343-4965-9E42-8F858025D099}"/>
    <cellStyle name="Input 2 2 2 33 2 3" xfId="24898" xr:uid="{40BFC945-5C6E-493A-B8AF-98F0F1DAF7DC}"/>
    <cellStyle name="Input 2 2 2 33 2 4" xfId="24899" xr:uid="{9F4120EA-E63E-43C0-8521-C1705DBA0EEB}"/>
    <cellStyle name="Input 2 2 2 33 2 5" xfId="24900" xr:uid="{8D03BEAD-BF5D-4917-96AC-D01C92493242}"/>
    <cellStyle name="Input 2 2 2 33 2 6" xfId="24901" xr:uid="{C1C75F2B-8CC6-41BB-80FB-E1FC2A77EC2A}"/>
    <cellStyle name="Input 2 2 2 33 3" xfId="24902" xr:uid="{C5922A7B-85A0-44E7-968F-FA6F7BC45D9A}"/>
    <cellStyle name="Input 2 2 2 33 4" xfId="24903" xr:uid="{663EC0D9-4FF3-435B-AAB9-94456C4EDCEF}"/>
    <cellStyle name="Input 2 2 2 33 5" xfId="24904" xr:uid="{2E751C96-BE1C-467E-8A96-32E30F536982}"/>
    <cellStyle name="Input 2 2 2 33 6" xfId="24905" xr:uid="{F84D9DF7-C5E3-45DF-BE86-4463D92F5140}"/>
    <cellStyle name="Input 2 2 2 33 7" xfId="24906" xr:uid="{CB90F54A-1890-4980-A2F7-F695C5A42124}"/>
    <cellStyle name="Input 2 2 2 34" xfId="1374" xr:uid="{02D450E2-D796-470A-A3D5-4FA728043FAC}"/>
    <cellStyle name="Input 2 2 2 34 2" xfId="12784" xr:uid="{59E8D509-9A25-4AC1-88B5-87F3C7DF775A}"/>
    <cellStyle name="Input 2 2 2 34 2 2" xfId="24907" xr:uid="{7D14D8F7-B0B7-4CB9-87CA-0EAFE68323FE}"/>
    <cellStyle name="Input 2 2 2 34 2 3" xfId="24908" xr:uid="{0709C618-24D1-4372-8DD0-13C59453E446}"/>
    <cellStyle name="Input 2 2 2 34 2 4" xfId="24909" xr:uid="{22E176B5-A0D9-4939-988C-1BBE8667A560}"/>
    <cellStyle name="Input 2 2 2 34 2 5" xfId="24910" xr:uid="{EB941877-C1C7-4427-8FF9-CE9574F960E3}"/>
    <cellStyle name="Input 2 2 2 34 2 6" xfId="24911" xr:uid="{16377F86-8407-474C-B0D4-63B5BE32EC06}"/>
    <cellStyle name="Input 2 2 2 34 3" xfId="24912" xr:uid="{4BD3999E-9494-430B-A417-F05B30BFEAF8}"/>
    <cellStyle name="Input 2 2 2 34 4" xfId="24913" xr:uid="{95745B53-87D7-49EA-884F-546BB377BB4F}"/>
    <cellStyle name="Input 2 2 2 34 5" xfId="24914" xr:uid="{C89455E6-250F-4423-B846-3E826CC92964}"/>
    <cellStyle name="Input 2 2 2 34 6" xfId="24915" xr:uid="{1DABA9C2-46DB-45AD-B303-1F69A376C257}"/>
    <cellStyle name="Input 2 2 2 34 7" xfId="24916" xr:uid="{7FDD5FD2-0967-4EDE-AB3F-9A4E7F77A8D8}"/>
    <cellStyle name="Input 2 2 2 35" xfId="9850" xr:uid="{B50B7C44-08E6-4E82-A145-F6392AE8B0DF}"/>
    <cellStyle name="Input 2 2 2 35 2" xfId="24917" xr:uid="{F797CC37-89FA-4C6E-9DD3-30F14BBE06D3}"/>
    <cellStyle name="Input 2 2 2 35 3" xfId="24918" xr:uid="{AB4E6977-18F3-4E26-8700-F579661D6629}"/>
    <cellStyle name="Input 2 2 2 35 4" xfId="24919" xr:uid="{6A6D6CA2-01DD-48ED-8C38-D9AE3748D0EF}"/>
    <cellStyle name="Input 2 2 2 35 5" xfId="24920" xr:uid="{6B0651E0-D794-4359-832F-94DE90290985}"/>
    <cellStyle name="Input 2 2 2 35 6" xfId="24921" xr:uid="{1BD08C63-EB6F-4964-AC96-77DCA1A764CD}"/>
    <cellStyle name="Input 2 2 2 36" xfId="24922" xr:uid="{13AAAB28-796D-4B83-8043-5A5989126089}"/>
    <cellStyle name="Input 2 2 2 37" xfId="24923" xr:uid="{8AEC8CB2-074F-4BEB-BDE5-2EDA895D082C}"/>
    <cellStyle name="Input 2 2 2 38" xfId="24924" xr:uid="{0BF370E6-3BAA-42CE-9942-134DD4E8E218}"/>
    <cellStyle name="Input 2 2 2 39" xfId="24925" xr:uid="{B8447E15-48D4-43A1-B785-82E87DED6F81}"/>
    <cellStyle name="Input 2 2 2 4" xfId="1375" xr:uid="{3DAB16B3-00C1-4992-BA7D-D40962022476}"/>
    <cellStyle name="Input 2 2 2 4 2" xfId="10244" xr:uid="{E8931425-2D38-4019-A996-64CC48A58F94}"/>
    <cellStyle name="Input 2 2 2 4 2 2" xfId="24926" xr:uid="{415646A7-E2CE-4D54-952A-9534D605C034}"/>
    <cellStyle name="Input 2 2 2 4 2 3" xfId="24927" xr:uid="{DC5B238F-0252-4154-BEFC-26C19D1026D9}"/>
    <cellStyle name="Input 2 2 2 4 2 4" xfId="24928" xr:uid="{4BA67075-0D80-4054-A375-424D33A7D638}"/>
    <cellStyle name="Input 2 2 2 4 2 5" xfId="24929" xr:uid="{F7646561-EB5C-4C94-9F7C-DDD631B65F7C}"/>
    <cellStyle name="Input 2 2 2 4 2 6" xfId="24930" xr:uid="{944CE214-FCE0-4BDB-B539-3F11CE190E62}"/>
    <cellStyle name="Input 2 2 2 4 3" xfId="24931" xr:uid="{A13F5EAD-9794-47E1-9B05-769AC7BA6406}"/>
    <cellStyle name="Input 2 2 2 4 4" xfId="24932" xr:uid="{9FAE6096-32BB-4973-A669-EDF31754595E}"/>
    <cellStyle name="Input 2 2 2 4 5" xfId="24933" xr:uid="{714B6CF3-15DD-4AEF-AA6C-4B45C38EE553}"/>
    <cellStyle name="Input 2 2 2 4 6" xfId="24934" xr:uid="{88A16AB2-F050-40F0-AA7A-321AF97B9FB4}"/>
    <cellStyle name="Input 2 2 2 4 7" xfId="24935" xr:uid="{69B26434-87C5-4813-B377-EDA249FAD46C}"/>
    <cellStyle name="Input 2 2 2 40" xfId="24936" xr:uid="{7A201649-FA4F-4F2E-A130-C8D29EF7068A}"/>
    <cellStyle name="Input 2 2 2 5" xfId="1376" xr:uid="{13214EF7-C6BC-400B-99A5-179122D84DDC}"/>
    <cellStyle name="Input 2 2 2 5 2" xfId="10330" xr:uid="{04A2979F-2076-4644-A973-911654199A19}"/>
    <cellStyle name="Input 2 2 2 5 2 2" xfId="24937" xr:uid="{22EC9C9F-62D3-4403-8B81-2FEC36DDD9ED}"/>
    <cellStyle name="Input 2 2 2 5 2 3" xfId="24938" xr:uid="{DA0AB612-DCF8-47F2-B81A-5C71F0DC2632}"/>
    <cellStyle name="Input 2 2 2 5 2 4" xfId="24939" xr:uid="{9B323930-3874-45AA-BE3B-103ADA8FEAE4}"/>
    <cellStyle name="Input 2 2 2 5 2 5" xfId="24940" xr:uid="{37934367-9F4C-4CC2-AAC9-115DC6F45B55}"/>
    <cellStyle name="Input 2 2 2 5 2 6" xfId="24941" xr:uid="{EE270C70-2482-43E6-A14A-CC14F68CE050}"/>
    <cellStyle name="Input 2 2 2 5 3" xfId="24942" xr:uid="{2DD6215C-2D4E-4E5D-B342-B0773464D819}"/>
    <cellStyle name="Input 2 2 2 5 4" xfId="24943" xr:uid="{9FD0D218-3D80-4859-87B6-C57996909C03}"/>
    <cellStyle name="Input 2 2 2 5 5" xfId="24944" xr:uid="{F6E6D3D6-47D5-4E9A-8C51-680F057398C3}"/>
    <cellStyle name="Input 2 2 2 5 6" xfId="24945" xr:uid="{0C1F6FBF-23B8-4979-99A4-054A050CF0E6}"/>
    <cellStyle name="Input 2 2 2 5 7" xfId="24946" xr:uid="{57F59644-5560-4C3F-91C2-04A6D516DD63}"/>
    <cellStyle name="Input 2 2 2 6" xfId="1377" xr:uid="{20A244AD-7BAC-4D2D-B62D-22D1A3A29D28}"/>
    <cellStyle name="Input 2 2 2 6 2" xfId="10418" xr:uid="{4B2FD5C9-2CF8-4A82-BA3C-A1D5C479A8AE}"/>
    <cellStyle name="Input 2 2 2 6 2 2" xfId="24947" xr:uid="{D3FBD9CF-6582-486C-A425-19866F76CC94}"/>
    <cellStyle name="Input 2 2 2 6 2 3" xfId="24948" xr:uid="{F5E37337-D809-4945-BF42-802715AA202E}"/>
    <cellStyle name="Input 2 2 2 6 2 4" xfId="24949" xr:uid="{A0985EA4-CF77-4DDE-BD7C-18C895983D5F}"/>
    <cellStyle name="Input 2 2 2 6 2 5" xfId="24950" xr:uid="{68F66FB5-3831-411C-B1A1-5D5681D63818}"/>
    <cellStyle name="Input 2 2 2 6 2 6" xfId="24951" xr:uid="{5141AE84-04C4-4367-ACF7-A26EF72E0F4B}"/>
    <cellStyle name="Input 2 2 2 6 3" xfId="24952" xr:uid="{780F9C05-7B7B-4DC0-A3E6-FCB12502A7ED}"/>
    <cellStyle name="Input 2 2 2 6 4" xfId="24953" xr:uid="{EDD56D96-B9BD-4DE0-A8EB-F10F40F7E2F5}"/>
    <cellStyle name="Input 2 2 2 6 5" xfId="24954" xr:uid="{4FB8DBE1-EB03-4839-8756-1F0FB238F063}"/>
    <cellStyle name="Input 2 2 2 6 6" xfId="24955" xr:uid="{F3C9E8F6-4CB3-4BE2-934A-885056D64E02}"/>
    <cellStyle name="Input 2 2 2 6 7" xfId="24956" xr:uid="{A29D1897-1D5B-456D-9369-81BF03B3286F}"/>
    <cellStyle name="Input 2 2 2 7" xfId="1378" xr:uid="{EC05091B-137D-41A2-B2B1-2BE04B766FD4}"/>
    <cellStyle name="Input 2 2 2 7 2" xfId="10505" xr:uid="{97EB52E4-55DC-4646-815E-87E6B768A163}"/>
    <cellStyle name="Input 2 2 2 7 2 2" xfId="24957" xr:uid="{F33716A9-B0B5-4E23-A08E-CDFDEB0FBE5F}"/>
    <cellStyle name="Input 2 2 2 7 2 3" xfId="24958" xr:uid="{8DF21B73-315F-440D-84F2-B6C182CB8ACB}"/>
    <cellStyle name="Input 2 2 2 7 2 4" xfId="24959" xr:uid="{7C1B2729-E1BD-478F-ABEB-3BA8981888A5}"/>
    <cellStyle name="Input 2 2 2 7 2 5" xfId="24960" xr:uid="{F279453C-55BA-48EC-8C84-2DC5BCD5C627}"/>
    <cellStyle name="Input 2 2 2 7 2 6" xfId="24961" xr:uid="{6A738E48-A7BC-45D3-894E-10FCA5A5D07B}"/>
    <cellStyle name="Input 2 2 2 7 3" xfId="24962" xr:uid="{5B10C5FC-B559-4C8D-AFAB-1925C7F73679}"/>
    <cellStyle name="Input 2 2 2 7 4" xfId="24963" xr:uid="{54867185-F976-4C9C-955B-6F3128602116}"/>
    <cellStyle name="Input 2 2 2 7 5" xfId="24964" xr:uid="{E5E45ED5-00A8-42D1-9112-53E55FF5B69C}"/>
    <cellStyle name="Input 2 2 2 7 6" xfId="24965" xr:uid="{B9072CF3-E4F3-470A-B0DE-9F3EB575DB0C}"/>
    <cellStyle name="Input 2 2 2 7 7" xfId="24966" xr:uid="{39BA8391-ECA4-400E-9C2B-7CC2930C3EBD}"/>
    <cellStyle name="Input 2 2 2 8" xfId="1379" xr:uid="{940B2668-8360-4CA0-A3BD-4BBA6E21B572}"/>
    <cellStyle name="Input 2 2 2 8 2" xfId="10593" xr:uid="{374574EF-7E2E-4415-B701-417698A4A637}"/>
    <cellStyle name="Input 2 2 2 8 2 2" xfId="24967" xr:uid="{2D401064-DB40-4F44-ABBD-DAE49C933D7E}"/>
    <cellStyle name="Input 2 2 2 8 2 3" xfId="24968" xr:uid="{4A828FF2-9046-4CCF-81B5-6E7C19B72BCC}"/>
    <cellStyle name="Input 2 2 2 8 2 4" xfId="24969" xr:uid="{D3D1A64C-2B54-4DDE-8583-87D4AEC37A1F}"/>
    <cellStyle name="Input 2 2 2 8 2 5" xfId="24970" xr:uid="{D6253C87-359F-48AF-8353-D24FE0B9813A}"/>
    <cellStyle name="Input 2 2 2 8 2 6" xfId="24971" xr:uid="{09F7B07A-9B0B-4394-9926-A19E985DCB66}"/>
    <cellStyle name="Input 2 2 2 8 3" xfId="24972" xr:uid="{6B48F4D3-BCB1-4617-BD00-794D1F2AF846}"/>
    <cellStyle name="Input 2 2 2 8 4" xfId="24973" xr:uid="{C500B07D-883D-48F1-98A6-05670837B863}"/>
    <cellStyle name="Input 2 2 2 8 5" xfId="24974" xr:uid="{3500B989-96B6-4B0B-8F6B-11C6F5DCAFD0}"/>
    <cellStyle name="Input 2 2 2 8 6" xfId="24975" xr:uid="{24EE0D37-7AFC-4032-8745-1626B34A323C}"/>
    <cellStyle name="Input 2 2 2 8 7" xfId="24976" xr:uid="{E7638330-6070-4903-AC71-EC5300A80878}"/>
    <cellStyle name="Input 2 2 2 9" xfId="1380" xr:uid="{5080BD63-F632-45F7-B199-CB0EA48EB66C}"/>
    <cellStyle name="Input 2 2 2 9 2" xfId="10675" xr:uid="{734BE1F3-F1C2-411E-909F-0B526308A9C4}"/>
    <cellStyle name="Input 2 2 2 9 2 2" xfId="24977" xr:uid="{49EDD6A2-06AA-4242-B0BF-22BDBFB6627C}"/>
    <cellStyle name="Input 2 2 2 9 2 3" xfId="24978" xr:uid="{8C906B6D-98A6-4996-92D4-03AD5C0873CE}"/>
    <cellStyle name="Input 2 2 2 9 2 4" xfId="24979" xr:uid="{B24F4C30-1FC5-47AA-A4F3-D910EAEF353D}"/>
    <cellStyle name="Input 2 2 2 9 2 5" xfId="24980" xr:uid="{4326A949-325C-46AF-A849-022083051052}"/>
    <cellStyle name="Input 2 2 2 9 2 6" xfId="24981" xr:uid="{B77769A4-4C14-44F6-80B6-782E5DD0DE80}"/>
    <cellStyle name="Input 2 2 2 9 3" xfId="24982" xr:uid="{ECEE9161-D763-49DC-BFC5-4E90825DE511}"/>
    <cellStyle name="Input 2 2 2 9 4" xfId="24983" xr:uid="{D7ADF571-720A-42C5-8E8D-DA321EEBC38D}"/>
    <cellStyle name="Input 2 2 2 9 5" xfId="24984" xr:uid="{DEFCD28B-A16C-4C8A-8A13-8A855ACD4F29}"/>
    <cellStyle name="Input 2 2 2 9 6" xfId="24985" xr:uid="{59FDE9E9-01E8-4144-82A0-9E8AE065B85A}"/>
    <cellStyle name="Input 2 2 2 9 7" xfId="24986" xr:uid="{C54DD0D9-2621-4859-9FCE-6B2450F86BED}"/>
    <cellStyle name="Input 2 2 20" xfId="1381" xr:uid="{97D2CC21-5031-4131-8E4E-44EB21A01F55}"/>
    <cellStyle name="Input 2 2 20 2" xfId="11523" xr:uid="{0F222F2F-B83B-430C-B5BD-8CE1CE4DBF7D}"/>
    <cellStyle name="Input 2 2 20 2 2" xfId="24987" xr:uid="{5F6CDB30-F15D-4508-BDAB-582690F5EF39}"/>
    <cellStyle name="Input 2 2 20 2 3" xfId="24988" xr:uid="{FF0C61E6-3C23-4113-BE79-4451F69EB1DB}"/>
    <cellStyle name="Input 2 2 20 2 4" xfId="24989" xr:uid="{5E3FBFA4-5874-410B-89B4-E82BD880887C}"/>
    <cellStyle name="Input 2 2 20 2 5" xfId="24990" xr:uid="{64DF297D-0122-481C-8EC1-B61394FDA961}"/>
    <cellStyle name="Input 2 2 20 2 6" xfId="24991" xr:uid="{57A4FD6B-D3CD-4606-A64E-644BF6F1230C}"/>
    <cellStyle name="Input 2 2 20 3" xfId="24992" xr:uid="{8721C21A-0799-4794-91B9-957F555339A6}"/>
    <cellStyle name="Input 2 2 20 4" xfId="24993" xr:uid="{D571B616-A7B0-45FD-A4A7-C29BA41EF409}"/>
    <cellStyle name="Input 2 2 20 5" xfId="24994" xr:uid="{57F4DB78-B251-4699-BB70-6F66BD75CDF7}"/>
    <cellStyle name="Input 2 2 20 6" xfId="24995" xr:uid="{7D816BF6-2D8E-4231-A4DD-56208FBC4509}"/>
    <cellStyle name="Input 2 2 20 7" xfId="24996" xr:uid="{F8961F9D-882C-497D-996E-C3309AEE9468}"/>
    <cellStyle name="Input 2 2 21" xfId="1382" xr:uid="{D353E8F9-2737-44F6-B500-73206EBD1358}"/>
    <cellStyle name="Input 2 2 21 2" xfId="11611" xr:uid="{7DE731D1-B68F-4CD4-A55D-1638EE17A0B5}"/>
    <cellStyle name="Input 2 2 21 2 2" xfId="24997" xr:uid="{96A49089-5B4E-4D97-98E6-88839B1D3B19}"/>
    <cellStyle name="Input 2 2 21 2 3" xfId="24998" xr:uid="{10CB7DB7-E4F1-4290-A398-8C3D534D92DA}"/>
    <cellStyle name="Input 2 2 21 2 4" xfId="24999" xr:uid="{EA264AFF-134F-48A2-AF7E-68BE12FD78DC}"/>
    <cellStyle name="Input 2 2 21 2 5" xfId="25000" xr:uid="{F9618A6D-7A0C-4BBF-9977-4FA3C6E456EA}"/>
    <cellStyle name="Input 2 2 21 2 6" xfId="25001" xr:uid="{4DD9F7CC-9157-40E4-858F-1F5C49485B71}"/>
    <cellStyle name="Input 2 2 21 3" xfId="25002" xr:uid="{29E56118-1C0B-43E2-91EE-02C4E2A7A5DC}"/>
    <cellStyle name="Input 2 2 21 4" xfId="25003" xr:uid="{FE0FC608-45A5-4200-83A0-72503BF6A52F}"/>
    <cellStyle name="Input 2 2 21 5" xfId="25004" xr:uid="{029F0B58-7B1A-43DE-83D0-903693C90A11}"/>
    <cellStyle name="Input 2 2 21 6" xfId="25005" xr:uid="{EFF30526-D7BA-4923-B28F-DFF1FAAFF9E8}"/>
    <cellStyle name="Input 2 2 21 7" xfId="25006" xr:uid="{0071E069-8833-4543-8308-D0031D601A8A}"/>
    <cellStyle name="Input 2 2 22" xfId="1383" xr:uid="{FD3ECCBE-2CBE-40FE-BEA8-3A7DBB344BB6}"/>
    <cellStyle name="Input 2 2 22 2" xfId="11695" xr:uid="{B87E0129-4220-41F5-BCEB-DDFA60C1BC4B}"/>
    <cellStyle name="Input 2 2 22 2 2" xfId="25007" xr:uid="{1BFEBE87-1816-46A1-826D-C0696119120A}"/>
    <cellStyle name="Input 2 2 22 2 3" xfId="25008" xr:uid="{2F5378A0-E195-434B-BBE1-37D089379AE9}"/>
    <cellStyle name="Input 2 2 22 2 4" xfId="25009" xr:uid="{EB896BD5-1AD4-4EB3-901C-7B221F7D31F6}"/>
    <cellStyle name="Input 2 2 22 2 5" xfId="25010" xr:uid="{6402F0A7-3EF8-4B82-A5AD-D81ADE8555C0}"/>
    <cellStyle name="Input 2 2 22 2 6" xfId="25011" xr:uid="{15629D34-1C90-4C92-A166-3B8DCAC67F39}"/>
    <cellStyle name="Input 2 2 22 3" xfId="25012" xr:uid="{749473D6-A3E1-4C31-B60D-196A293CCD48}"/>
    <cellStyle name="Input 2 2 22 4" xfId="25013" xr:uid="{95AA10ED-9590-4077-8BB2-BF9413E7B1B7}"/>
    <cellStyle name="Input 2 2 22 5" xfId="25014" xr:uid="{F34A3F9A-1619-4EB6-9088-790E67197C93}"/>
    <cellStyle name="Input 2 2 22 6" xfId="25015" xr:uid="{B950B4AD-D9BC-43E5-AF61-B71FCD3492D6}"/>
    <cellStyle name="Input 2 2 22 7" xfId="25016" xr:uid="{F3C5F38C-7813-460A-A8BF-4F3B4682740F}"/>
    <cellStyle name="Input 2 2 23" xfId="1384" xr:uid="{A236B63A-BD1C-4AE5-BFC4-31D754353726}"/>
    <cellStyle name="Input 2 2 23 2" xfId="11778" xr:uid="{EE1D7472-D246-41B5-9D89-F7F269DB3178}"/>
    <cellStyle name="Input 2 2 23 2 2" xfId="25017" xr:uid="{E516E46A-CD5A-4E78-8C63-FD0EED52A7EB}"/>
    <cellStyle name="Input 2 2 23 2 3" xfId="25018" xr:uid="{4C87ACAC-BC02-4713-9B4F-0382600164D1}"/>
    <cellStyle name="Input 2 2 23 2 4" xfId="25019" xr:uid="{50E3969B-69DE-4C66-A751-FDEB9C5294C5}"/>
    <cellStyle name="Input 2 2 23 2 5" xfId="25020" xr:uid="{3109AF5D-8289-44DA-B6ED-B2D510BB758D}"/>
    <cellStyle name="Input 2 2 23 2 6" xfId="25021" xr:uid="{8FC05370-66F6-4947-B9C6-E9F0D33C455B}"/>
    <cellStyle name="Input 2 2 23 3" xfId="25022" xr:uid="{CB5AA49D-6708-45B2-A40E-F5A9747C968D}"/>
    <cellStyle name="Input 2 2 23 4" xfId="25023" xr:uid="{E0CB8A51-0858-4638-BD5F-C1CFE3682D36}"/>
    <cellStyle name="Input 2 2 23 5" xfId="25024" xr:uid="{25D9B4EB-0A87-47AE-9A33-114B3D91A1F2}"/>
    <cellStyle name="Input 2 2 23 6" xfId="25025" xr:uid="{32CD7889-10E4-4D86-B685-C9892FE4A7D3}"/>
    <cellStyle name="Input 2 2 23 7" xfId="25026" xr:uid="{F973EA78-36DD-4D04-BA00-3C43F7B42DB5}"/>
    <cellStyle name="Input 2 2 24" xfId="1385" xr:uid="{C4913CEE-0EE1-4D3E-A064-599D7E7DC91C}"/>
    <cellStyle name="Input 2 2 24 2" xfId="11861" xr:uid="{1AF6FB59-EE6D-40A5-B0F9-D1E1778AF0D2}"/>
    <cellStyle name="Input 2 2 24 2 2" xfId="25027" xr:uid="{B91BDE57-AD89-42C1-B603-3D2CED579FA5}"/>
    <cellStyle name="Input 2 2 24 2 3" xfId="25028" xr:uid="{2D430BF1-E35D-4162-AB1C-C360B947C27D}"/>
    <cellStyle name="Input 2 2 24 2 4" xfId="25029" xr:uid="{1DB04C38-9840-4B59-A888-3D5F8447B1A8}"/>
    <cellStyle name="Input 2 2 24 2 5" xfId="25030" xr:uid="{15A5F11A-326F-4E16-A93E-DEC160A10314}"/>
    <cellStyle name="Input 2 2 24 2 6" xfId="25031" xr:uid="{188FA39B-1AC1-4B37-A905-C2BFBB39FA31}"/>
    <cellStyle name="Input 2 2 24 3" xfId="25032" xr:uid="{44F9A546-9FE3-4508-8334-CC257DAE3AAE}"/>
    <cellStyle name="Input 2 2 24 4" xfId="25033" xr:uid="{7EDB1AD1-7471-4BD6-8107-6EA1BFF0D09B}"/>
    <cellStyle name="Input 2 2 24 5" xfId="25034" xr:uid="{1DB27C8C-EE5D-4EDE-81E2-FF459814B598}"/>
    <cellStyle name="Input 2 2 24 6" xfId="25035" xr:uid="{5DFE5ADB-15B6-41FF-A4B7-BCC37B2A56D5}"/>
    <cellStyle name="Input 2 2 24 7" xfId="25036" xr:uid="{73526EB6-81A8-44DD-8FBE-9A44F466FF8B}"/>
    <cellStyle name="Input 2 2 25" xfId="1386" xr:uid="{91AAA590-021A-47EF-9316-D16ADC592069}"/>
    <cellStyle name="Input 2 2 25 2" xfId="11945" xr:uid="{2C565D04-B042-4E4D-AC18-4D72A46664FC}"/>
    <cellStyle name="Input 2 2 25 2 2" xfId="25037" xr:uid="{5D71F884-769F-49C6-B84E-0662FD78C900}"/>
    <cellStyle name="Input 2 2 25 2 3" xfId="25038" xr:uid="{AF6FEC8F-2E56-476B-B0D5-DEA761E8D38D}"/>
    <cellStyle name="Input 2 2 25 2 4" xfId="25039" xr:uid="{14CEE1A5-7DBA-4401-91B8-56B9440EC48A}"/>
    <cellStyle name="Input 2 2 25 2 5" xfId="25040" xr:uid="{E8CE6579-2666-4DA3-928D-43B120AABE66}"/>
    <cellStyle name="Input 2 2 25 2 6" xfId="25041" xr:uid="{623D60E5-6490-4297-9E34-0C9BA37E6D98}"/>
    <cellStyle name="Input 2 2 25 3" xfId="25042" xr:uid="{3188E64A-547E-405A-A678-6FC643CEBB32}"/>
    <cellStyle name="Input 2 2 25 4" xfId="25043" xr:uid="{B075D4BB-A589-461C-82A8-2256FFDBA9F8}"/>
    <cellStyle name="Input 2 2 25 5" xfId="25044" xr:uid="{C0E9B5ED-28CD-4731-8E90-ACC1D4A764AF}"/>
    <cellStyle name="Input 2 2 25 6" xfId="25045" xr:uid="{E61B364A-0946-4FCF-8FFE-7BF679054596}"/>
    <cellStyle name="Input 2 2 25 7" xfId="25046" xr:uid="{49622BD3-63CB-4BE9-B148-395B32931A33}"/>
    <cellStyle name="Input 2 2 26" xfId="1387" xr:uid="{04379750-0274-4932-ADD9-2952A8BCBF4D}"/>
    <cellStyle name="Input 2 2 26 2" xfId="12028" xr:uid="{5ECD31BF-9747-4649-810C-48AE3E7AB3B3}"/>
    <cellStyle name="Input 2 2 26 2 2" xfId="25047" xr:uid="{71B8497E-A7BA-4868-9A61-F2354EE06B8A}"/>
    <cellStyle name="Input 2 2 26 2 3" xfId="25048" xr:uid="{9ECA9D24-1284-4DE5-B29B-369D8B6A4A3B}"/>
    <cellStyle name="Input 2 2 26 2 4" xfId="25049" xr:uid="{CF3074C1-2AE2-4CD6-BB17-72136FE555AE}"/>
    <cellStyle name="Input 2 2 26 2 5" xfId="25050" xr:uid="{7DEC5743-7B7B-4535-9033-F4270014DB5E}"/>
    <cellStyle name="Input 2 2 26 2 6" xfId="25051" xr:uid="{6F9A2F7C-7932-4872-96D9-D0D38D4EF63B}"/>
    <cellStyle name="Input 2 2 26 3" xfId="25052" xr:uid="{12DF2181-FB60-4BCA-96B3-7E332AAF7EEC}"/>
    <cellStyle name="Input 2 2 26 4" xfId="25053" xr:uid="{D96EE9BC-0802-47DD-8FF9-0B075C4F9F5D}"/>
    <cellStyle name="Input 2 2 26 5" xfId="25054" xr:uid="{58CC7C48-8BBB-4766-98C0-A286EE1058A3}"/>
    <cellStyle name="Input 2 2 26 6" xfId="25055" xr:uid="{D51CDD1F-F7DC-4A28-A2A2-8F782C1D318E}"/>
    <cellStyle name="Input 2 2 26 7" xfId="25056" xr:uid="{D1D0D0C1-A523-4810-AE76-9BC6DF63E346}"/>
    <cellStyle name="Input 2 2 27" xfId="1388" xr:uid="{379D2755-C85D-4A6E-85B6-0C780B275CC5}"/>
    <cellStyle name="Input 2 2 27 2" xfId="12111" xr:uid="{671A8048-7160-457F-BA8A-3A0CE94CBBF3}"/>
    <cellStyle name="Input 2 2 27 2 2" xfId="25057" xr:uid="{DC0AEAA2-4018-4C6B-A19D-81C5BC05F2C5}"/>
    <cellStyle name="Input 2 2 27 2 3" xfId="25058" xr:uid="{50E13A3E-4C27-4988-985D-F0E5E1BA14B1}"/>
    <cellStyle name="Input 2 2 27 2 4" xfId="25059" xr:uid="{40B78A4D-587A-43E6-BB11-58169E42BA90}"/>
    <cellStyle name="Input 2 2 27 2 5" xfId="25060" xr:uid="{7B44ECF8-03B6-4D01-B483-49EE1D6BB35B}"/>
    <cellStyle name="Input 2 2 27 2 6" xfId="25061" xr:uid="{CD7E98B9-AA66-4DB7-BAE7-913ECE458810}"/>
    <cellStyle name="Input 2 2 27 3" xfId="25062" xr:uid="{CDEE5E0D-3141-4A2D-B8CF-808E7C73F69B}"/>
    <cellStyle name="Input 2 2 27 4" xfId="25063" xr:uid="{02607DF8-A218-4919-A0D3-AE105DB293D7}"/>
    <cellStyle name="Input 2 2 27 5" xfId="25064" xr:uid="{D650FB93-7F37-4F1A-9DE5-FC62B385E268}"/>
    <cellStyle name="Input 2 2 27 6" xfId="25065" xr:uid="{5642F637-6C42-4543-AA58-0FAEED55F703}"/>
    <cellStyle name="Input 2 2 27 7" xfId="25066" xr:uid="{1455328B-197D-4604-B859-C521C2480DEB}"/>
    <cellStyle name="Input 2 2 28" xfId="1389" xr:uid="{0722803B-8BCA-4F66-9B46-2F98041FB03E}"/>
    <cellStyle name="Input 2 2 28 2" xfId="12193" xr:uid="{7587C409-EE28-4391-8EFD-CAA7A00228DA}"/>
    <cellStyle name="Input 2 2 28 2 2" xfId="25067" xr:uid="{2B1A3CA3-FC6F-44F1-95A6-DFE555149B8B}"/>
    <cellStyle name="Input 2 2 28 2 3" xfId="25068" xr:uid="{5EB967E9-F80C-4C17-B87F-2D57696D67D1}"/>
    <cellStyle name="Input 2 2 28 2 4" xfId="25069" xr:uid="{C2AF98F8-F246-42B3-9EE7-6F53C86C81B3}"/>
    <cellStyle name="Input 2 2 28 2 5" xfId="25070" xr:uid="{9BFEA41F-629D-4503-B1D8-2BAE5CCEAA75}"/>
    <cellStyle name="Input 2 2 28 2 6" xfId="25071" xr:uid="{06BCF7E0-9AA3-4E15-B943-4E4F1C7B7945}"/>
    <cellStyle name="Input 2 2 28 3" xfId="25072" xr:uid="{81D24EB6-391E-459F-B26A-9AAC4A0ABC7D}"/>
    <cellStyle name="Input 2 2 28 4" xfId="25073" xr:uid="{F2244C3E-7FC3-4CBB-BC60-41E2A64726FD}"/>
    <cellStyle name="Input 2 2 28 5" xfId="25074" xr:uid="{409A49F1-264A-49E8-8C0D-2DA80F4C53BE}"/>
    <cellStyle name="Input 2 2 28 6" xfId="25075" xr:uid="{95B546DF-0468-4684-BEC6-D4EADF6508BB}"/>
    <cellStyle name="Input 2 2 28 7" xfId="25076" xr:uid="{84450BC1-7B45-4C84-984A-1DF0218DAC9E}"/>
    <cellStyle name="Input 2 2 29" xfId="1390" xr:uid="{C550BCB4-B7B2-422F-88EA-6DF1F4716E85}"/>
    <cellStyle name="Input 2 2 29 2" xfId="12273" xr:uid="{FF5CBB3C-6A67-4191-AC5B-043FA4C1FBC3}"/>
    <cellStyle name="Input 2 2 29 2 2" xfId="25077" xr:uid="{EE7426E2-9E59-4473-A819-47D4553A7C8A}"/>
    <cellStyle name="Input 2 2 29 2 3" xfId="25078" xr:uid="{600DC9C6-B6AB-4A87-8234-3183CC70BAAC}"/>
    <cellStyle name="Input 2 2 29 2 4" xfId="25079" xr:uid="{EF547457-3435-4AA0-9F86-C082AD8957A6}"/>
    <cellStyle name="Input 2 2 29 2 5" xfId="25080" xr:uid="{0682E931-6C69-41EA-AE55-18A7FCEDCAE6}"/>
    <cellStyle name="Input 2 2 29 2 6" xfId="25081" xr:uid="{E615B4D3-0C98-4247-9E4E-6B838E1F5000}"/>
    <cellStyle name="Input 2 2 29 3" xfId="25082" xr:uid="{4ACF236E-5614-411E-B0D1-854C2DFB19DD}"/>
    <cellStyle name="Input 2 2 29 4" xfId="25083" xr:uid="{2B83A616-23EC-48B0-B2E2-266498A93BA6}"/>
    <cellStyle name="Input 2 2 29 5" xfId="25084" xr:uid="{7BBA7E7B-E4AE-4631-BE87-B3770BC9D18C}"/>
    <cellStyle name="Input 2 2 29 6" xfId="25085" xr:uid="{EAAD0BE2-7ED8-41FD-ABB9-D664A8A9109A}"/>
    <cellStyle name="Input 2 2 29 7" xfId="25086" xr:uid="{E3EDB75D-C3F0-46FB-822B-4B4814F0F817}"/>
    <cellStyle name="Input 2 2 3" xfId="1391" xr:uid="{DF3276DE-C1A3-4AC6-AA96-B3ED42985C4C}"/>
    <cellStyle name="Input 2 2 3 2" xfId="10030" xr:uid="{BE6C69D4-54D1-4AF5-B04B-84BB304D184C}"/>
    <cellStyle name="Input 2 2 3 2 2" xfId="25087" xr:uid="{33B7772C-7289-40AC-A79B-52B7B7AC68C2}"/>
    <cellStyle name="Input 2 2 3 2 3" xfId="25088" xr:uid="{A37BB435-CD79-4A09-98B4-6AC4C57F72F0}"/>
    <cellStyle name="Input 2 2 3 2 4" xfId="25089" xr:uid="{488DB9F8-0609-420A-B24E-D0B11451284C}"/>
    <cellStyle name="Input 2 2 3 2 5" xfId="25090" xr:uid="{1D4FD8C1-F5EE-4405-97EC-9221628F6F46}"/>
    <cellStyle name="Input 2 2 3 2 6" xfId="25091" xr:uid="{79DB1341-4AA9-4836-86AF-EFB407040C5D}"/>
    <cellStyle name="Input 2 2 3 3" xfId="25092" xr:uid="{8977FDA6-EAB8-4E65-89DB-D1320F6281FC}"/>
    <cellStyle name="Input 2 2 3 4" xfId="25093" xr:uid="{8C31C8BC-B702-4728-B3A9-9691E1E2A8F8}"/>
    <cellStyle name="Input 2 2 3 5" xfId="25094" xr:uid="{3E05582A-CB6A-4001-A7B3-52D750511010}"/>
    <cellStyle name="Input 2 2 3 6" xfId="25095" xr:uid="{21F69233-54FE-4B98-882F-8ECBE84DEEED}"/>
    <cellStyle name="Input 2 2 3 7" xfId="25096" xr:uid="{83F2597E-7ECA-4F2B-AA9A-8756288F8621}"/>
    <cellStyle name="Input 2 2 30" xfId="1392" xr:uid="{B2AD4130-711E-4CA3-BF97-24560787381A}"/>
    <cellStyle name="Input 2 2 30 2" xfId="12351" xr:uid="{C64B28AD-3C6A-4108-B45E-231059B75F62}"/>
    <cellStyle name="Input 2 2 30 2 2" xfId="25097" xr:uid="{B485D33D-838A-47C5-BBCC-68B6B93ED73E}"/>
    <cellStyle name="Input 2 2 30 2 3" xfId="25098" xr:uid="{789E33DA-A0D1-4478-B4E5-490ABD4F0A9F}"/>
    <cellStyle name="Input 2 2 30 2 4" xfId="25099" xr:uid="{F93C3468-65DE-444A-B151-CA0A3F2E4155}"/>
    <cellStyle name="Input 2 2 30 2 5" xfId="25100" xr:uid="{C9319269-C0AF-4FB1-8DA7-8F31F7618A04}"/>
    <cellStyle name="Input 2 2 30 2 6" xfId="25101" xr:uid="{C1642025-24A4-432D-A822-8FDC34DE6B55}"/>
    <cellStyle name="Input 2 2 30 3" xfId="25102" xr:uid="{D4B016BB-1275-4C8D-B7CE-5C41794A9F7A}"/>
    <cellStyle name="Input 2 2 30 4" xfId="25103" xr:uid="{A4B15F3B-4DA3-4F3E-8CD6-923803DC5F9D}"/>
    <cellStyle name="Input 2 2 30 5" xfId="25104" xr:uid="{572B51D7-E903-4F5F-97DA-76ECC6A7E581}"/>
    <cellStyle name="Input 2 2 30 6" xfId="25105" xr:uid="{7B40E950-756F-436A-B510-DDFEF6EDB729}"/>
    <cellStyle name="Input 2 2 30 7" xfId="25106" xr:uid="{28F4409F-AE70-4B17-BB5B-86C8BEA3D5C9}"/>
    <cellStyle name="Input 2 2 31" xfId="1393" xr:uid="{BE3CEF0D-635F-4983-8059-AE3DD9AFCEC8}"/>
    <cellStyle name="Input 2 2 31 2" xfId="12430" xr:uid="{E6226BDE-041F-428B-BA11-07069B58D47B}"/>
    <cellStyle name="Input 2 2 31 2 2" xfId="25107" xr:uid="{520D443A-CB17-47B3-B418-BBE89FE39DDF}"/>
    <cellStyle name="Input 2 2 31 2 3" xfId="25108" xr:uid="{28B42EED-2682-46D1-911A-86FFF5358105}"/>
    <cellStyle name="Input 2 2 31 2 4" xfId="25109" xr:uid="{EB8B732B-11CB-47D7-9276-F96F507E06F2}"/>
    <cellStyle name="Input 2 2 31 2 5" xfId="25110" xr:uid="{B9FC0766-0B76-4AD8-856C-95346252921B}"/>
    <cellStyle name="Input 2 2 31 2 6" xfId="25111" xr:uid="{81E045C0-AD8C-485F-92EB-42E49F1EC2F2}"/>
    <cellStyle name="Input 2 2 31 3" xfId="25112" xr:uid="{56911B4A-5D10-4F2E-9066-35244605A5AA}"/>
    <cellStyle name="Input 2 2 31 4" xfId="25113" xr:uid="{C867BF81-B4ED-484B-B462-4FAB4FD14794}"/>
    <cellStyle name="Input 2 2 31 5" xfId="25114" xr:uid="{DE0A1AA6-416D-419A-AFA3-8CA811D65D46}"/>
    <cellStyle name="Input 2 2 31 6" xfId="25115" xr:uid="{DB632CB1-553D-4A2C-9DFF-5963A589ACE8}"/>
    <cellStyle name="Input 2 2 31 7" xfId="25116" xr:uid="{AF874E10-1E47-4DF3-9AB9-4D9EB62051B0}"/>
    <cellStyle name="Input 2 2 32" xfId="1394" xr:uid="{2450C017-EE92-4D7A-A673-7CA3358CAEA4}"/>
    <cellStyle name="Input 2 2 32 2" xfId="12509" xr:uid="{33002784-2F62-468B-A5E2-EA1C33C1BE9F}"/>
    <cellStyle name="Input 2 2 32 2 2" xfId="25117" xr:uid="{5B21D745-5DD8-4DAB-9551-BDEDC628EDEE}"/>
    <cellStyle name="Input 2 2 32 2 3" xfId="25118" xr:uid="{B7D257F8-7D5D-460A-92F2-B70773AABFA2}"/>
    <cellStyle name="Input 2 2 32 2 4" xfId="25119" xr:uid="{D76B6B03-54C2-466D-920A-9F6F163AF77D}"/>
    <cellStyle name="Input 2 2 32 2 5" xfId="25120" xr:uid="{9D053680-0365-465A-9531-50E1C4AD8E91}"/>
    <cellStyle name="Input 2 2 32 2 6" xfId="25121" xr:uid="{66416C14-DEB4-4FAA-90DE-9B81C761F141}"/>
    <cellStyle name="Input 2 2 32 3" xfId="25122" xr:uid="{F7E9D387-49CA-4F7F-B6D0-BA0F8E502FBC}"/>
    <cellStyle name="Input 2 2 32 4" xfId="25123" xr:uid="{0E4274FA-D5BB-4649-AC4E-653A82549196}"/>
    <cellStyle name="Input 2 2 32 5" xfId="25124" xr:uid="{90ECC1F5-3A31-4C23-B77F-DD6145D07DE0}"/>
    <cellStyle name="Input 2 2 32 6" xfId="25125" xr:uid="{B6CE7664-17EF-4D16-B1AF-CCEADC693754}"/>
    <cellStyle name="Input 2 2 32 7" xfId="25126" xr:uid="{1B4E8AC2-FF90-498E-AE69-D3A07687C2D1}"/>
    <cellStyle name="Input 2 2 33" xfId="1395" xr:uid="{FD23123C-4C56-4205-9788-C3B9400924E5}"/>
    <cellStyle name="Input 2 2 33 2" xfId="12588" xr:uid="{DD3787E2-4BCB-41D2-B9AA-2CFEEF97FE84}"/>
    <cellStyle name="Input 2 2 33 2 2" xfId="25127" xr:uid="{CC58F50E-861F-4E36-ADFA-39E94D244C08}"/>
    <cellStyle name="Input 2 2 33 2 3" xfId="25128" xr:uid="{BA60987F-BC22-4413-A7B1-6E91F20BD2E1}"/>
    <cellStyle name="Input 2 2 33 2 4" xfId="25129" xr:uid="{FC57386F-54CA-4783-9712-217BFA1EFD1D}"/>
    <cellStyle name="Input 2 2 33 2 5" xfId="25130" xr:uid="{DCCBFAAE-A2C7-454A-8548-D83064104C3E}"/>
    <cellStyle name="Input 2 2 33 2 6" xfId="25131" xr:uid="{15B56A17-65B4-42C1-BA6E-6E880D55C2E5}"/>
    <cellStyle name="Input 2 2 33 3" xfId="25132" xr:uid="{A15E203F-6379-4ACE-B8DA-778B6DC2EDBD}"/>
    <cellStyle name="Input 2 2 33 4" xfId="25133" xr:uid="{3690D81B-901D-4382-A3D8-214C1A658BA0}"/>
    <cellStyle name="Input 2 2 33 5" xfId="25134" xr:uid="{00C0FAAC-06E6-4973-AAD3-DB8FDA3C1E4F}"/>
    <cellStyle name="Input 2 2 33 6" xfId="25135" xr:uid="{A843E243-0B63-48D4-A1AC-E2D2A0FF13CF}"/>
    <cellStyle name="Input 2 2 33 7" xfId="25136" xr:uid="{C4F27914-8F27-45E4-AF71-7E7DEBCBA575}"/>
    <cellStyle name="Input 2 2 34" xfId="1396" xr:uid="{D602A963-972E-4C89-BA35-C6F19FC52F4E}"/>
    <cellStyle name="Input 2 2 34 2" xfId="12667" xr:uid="{228E9EDB-E646-4533-B68E-1593FB744194}"/>
    <cellStyle name="Input 2 2 34 2 2" xfId="25137" xr:uid="{9FBB39EB-CA9E-4AFA-8AB1-88904D7DC621}"/>
    <cellStyle name="Input 2 2 34 2 3" xfId="25138" xr:uid="{784161C7-1EA2-4EA9-940E-008E097290BE}"/>
    <cellStyle name="Input 2 2 34 2 4" xfId="25139" xr:uid="{6ACF2467-0521-41A2-B282-C69629E96C0D}"/>
    <cellStyle name="Input 2 2 34 2 5" xfId="25140" xr:uid="{A31BF88B-FE6C-4A2B-B550-23E5D5569640}"/>
    <cellStyle name="Input 2 2 34 2 6" xfId="25141" xr:uid="{6F5412D7-07A3-4A68-A6A2-48A8B3E4D2C6}"/>
    <cellStyle name="Input 2 2 34 3" xfId="25142" xr:uid="{DD951C55-8047-4AC2-81AD-BF39840E1747}"/>
    <cellStyle name="Input 2 2 34 4" xfId="25143" xr:uid="{1AB6BBFB-3854-4F49-87BB-63CCFD37D004}"/>
    <cellStyle name="Input 2 2 34 5" xfId="25144" xr:uid="{8665D2E2-4D37-42D8-99E5-9440BCB065DD}"/>
    <cellStyle name="Input 2 2 34 6" xfId="25145" xr:uid="{77248C13-1736-4599-8B52-1661C150DB90}"/>
    <cellStyle name="Input 2 2 34 7" xfId="25146" xr:uid="{99D8C102-0D29-4C56-B18E-219783AAFEF8}"/>
    <cellStyle name="Input 2 2 35" xfId="1397" xr:uid="{C2381096-921A-4F7A-9109-246E8C151724}"/>
    <cellStyle name="Input 2 2 35 2" xfId="12751" xr:uid="{4A2A48F7-990F-4EE6-AD71-0A4084B10716}"/>
    <cellStyle name="Input 2 2 35 2 2" xfId="25147" xr:uid="{D4A41DE7-D126-4691-9E7B-2E56A11A082A}"/>
    <cellStyle name="Input 2 2 35 2 3" xfId="25148" xr:uid="{62E787A1-169E-405F-A443-1DC4481B2856}"/>
    <cellStyle name="Input 2 2 35 2 4" xfId="25149" xr:uid="{F02F02D9-86F9-4CBF-BBC4-FAA2792B3C1E}"/>
    <cellStyle name="Input 2 2 35 2 5" xfId="25150" xr:uid="{620BE39F-168B-4472-A5E3-CD44FE6B0E66}"/>
    <cellStyle name="Input 2 2 35 2 6" xfId="25151" xr:uid="{128CE3CA-54D2-493E-A475-D21BC786405C}"/>
    <cellStyle name="Input 2 2 35 3" xfId="25152" xr:uid="{2B3155FF-E572-4144-B49B-1D7737BB8215}"/>
    <cellStyle name="Input 2 2 35 4" xfId="25153" xr:uid="{D8961373-B495-4ADA-83C5-93E294268136}"/>
    <cellStyle name="Input 2 2 35 5" xfId="25154" xr:uid="{FE44C76B-1EC8-4903-9B19-1F1DCDBF8455}"/>
    <cellStyle name="Input 2 2 35 6" xfId="25155" xr:uid="{1E182C62-19F1-422B-953E-9F7DEAD815EB}"/>
    <cellStyle name="Input 2 2 35 7" xfId="25156" xr:uid="{1D02B5E4-0D28-4F3C-924F-4F5CA144F18D}"/>
    <cellStyle name="Input 2 2 36" xfId="6918" xr:uid="{6B47B0C8-002C-4F5D-AC27-E907FFF7374A}"/>
    <cellStyle name="Input 2 2 36 2" xfId="25157" xr:uid="{89C608A4-19C2-4CD3-923A-4CC2CD1E11E2}"/>
    <cellStyle name="Input 2 2 36 3" xfId="25158" xr:uid="{4D8BA724-A8CE-47FC-8E72-EB32FA2A2D2F}"/>
    <cellStyle name="Input 2 2 36 4" xfId="25159" xr:uid="{2E0A766B-8744-4E2F-85FA-572E3BE19B0E}"/>
    <cellStyle name="Input 2 2 36 5" xfId="25160" xr:uid="{1492080E-9364-4B7A-A07D-F2BF0FB9B97C}"/>
    <cellStyle name="Input 2 2 36 6" xfId="25161" xr:uid="{DCD28AAB-2760-4FB2-94DE-4F8BA31F3F4D}"/>
    <cellStyle name="Input 2 2 37" xfId="9817" xr:uid="{5724341C-AAFC-40B0-9480-9816FD581DE3}"/>
    <cellStyle name="Input 2 2 37 2" xfId="25162" xr:uid="{296B7A52-6A9F-4BE7-A0E2-8E3B50B69024}"/>
    <cellStyle name="Input 2 2 37 3" xfId="25163" xr:uid="{8B338697-0B4E-41E2-8580-3A489E278E48}"/>
    <cellStyle name="Input 2 2 37 4" xfId="25164" xr:uid="{C65042F8-8AE1-4315-B553-C556D28924FD}"/>
    <cellStyle name="Input 2 2 37 5" xfId="25165" xr:uid="{12F48EB2-A0E6-4A1A-A9AC-F5F472BCBA26}"/>
    <cellStyle name="Input 2 2 37 6" xfId="25166" xr:uid="{14313276-0569-4FA9-95A1-0C0D4A1BE705}"/>
    <cellStyle name="Input 2 2 38" xfId="25167" xr:uid="{7BE9617C-A130-4DA0-9245-A55014451524}"/>
    <cellStyle name="Input 2 2 39" xfId="25168" xr:uid="{9C7FD167-B22E-457A-8939-82CFE2B637D0}"/>
    <cellStyle name="Input 2 2 4" xfId="1398" xr:uid="{C1E21CAE-01A8-459D-8E93-E946C4215B16}"/>
    <cellStyle name="Input 2 2 4 2" xfId="10121" xr:uid="{35A93C66-3B71-410C-8198-D389964D32DD}"/>
    <cellStyle name="Input 2 2 4 2 2" xfId="25169" xr:uid="{EE557FDA-90F6-4037-A600-E009C90993A8}"/>
    <cellStyle name="Input 2 2 4 2 3" xfId="25170" xr:uid="{2FCE6763-1841-471C-91E6-3C4BBE76DEBA}"/>
    <cellStyle name="Input 2 2 4 2 4" xfId="25171" xr:uid="{95A3B323-BA6C-4D9B-AB1F-8EBFE8196058}"/>
    <cellStyle name="Input 2 2 4 2 5" xfId="25172" xr:uid="{D69B60D5-9754-4251-BA51-F7411E88700F}"/>
    <cellStyle name="Input 2 2 4 2 6" xfId="25173" xr:uid="{EBCC145C-9F7D-4904-A044-9EB0A30EB6BF}"/>
    <cellStyle name="Input 2 2 4 3" xfId="25174" xr:uid="{F7D4D69F-CA18-435A-BF05-E082086BD05C}"/>
    <cellStyle name="Input 2 2 4 4" xfId="25175" xr:uid="{0EDCEFF3-E753-4A0A-8386-C84AC0F8ECC2}"/>
    <cellStyle name="Input 2 2 4 5" xfId="25176" xr:uid="{22663BF3-2468-4555-89E2-F6CE4CAEF918}"/>
    <cellStyle name="Input 2 2 4 6" xfId="25177" xr:uid="{DF389604-63E2-4D0D-A675-831E436F3597}"/>
    <cellStyle name="Input 2 2 4 7" xfId="25178" xr:uid="{98FF1B18-C5CE-46DB-A4F7-C9C716791185}"/>
    <cellStyle name="Input 2 2 40" xfId="25179" xr:uid="{4D47B9D2-CA82-4D0B-8134-2D6A1F9885A5}"/>
    <cellStyle name="Input 2 2 41" xfId="25180" xr:uid="{22EB0237-2AF4-403E-BDCA-745B3AB01F13}"/>
    <cellStyle name="Input 2 2 42" xfId="25181" xr:uid="{0A787DCF-5B0B-4AA7-92D8-986CDC95AC60}"/>
    <cellStyle name="Input 2 2 5" xfId="1399" xr:uid="{4E351292-4879-46E5-B863-5BB2DD8C0D3B}"/>
    <cellStyle name="Input 2 2 5 2" xfId="10211" xr:uid="{1F56DD9C-9554-4FEB-BF2C-9F3666458FE5}"/>
    <cellStyle name="Input 2 2 5 2 2" xfId="25182" xr:uid="{976CCA92-B340-49D1-AA8A-083389821BCD}"/>
    <cellStyle name="Input 2 2 5 2 3" xfId="25183" xr:uid="{2C5E852A-AB57-4E66-9066-A485CEC8DA8A}"/>
    <cellStyle name="Input 2 2 5 2 4" xfId="25184" xr:uid="{6514DB14-FF5E-41E5-99F1-049408784D94}"/>
    <cellStyle name="Input 2 2 5 2 5" xfId="25185" xr:uid="{B332F196-78DD-4406-BF23-EAB1BE1156B0}"/>
    <cellStyle name="Input 2 2 5 2 6" xfId="25186" xr:uid="{3641718F-6B83-4791-A912-09BC7E7837FE}"/>
    <cellStyle name="Input 2 2 5 3" xfId="25187" xr:uid="{5656718E-57EA-4DC5-AEDB-7F9BDBB8A193}"/>
    <cellStyle name="Input 2 2 5 4" xfId="25188" xr:uid="{E017493C-F925-4BCD-B298-A473B29E577B}"/>
    <cellStyle name="Input 2 2 5 5" xfId="25189" xr:uid="{46449630-4EE4-497B-ABC4-0727E5A4A3B5}"/>
    <cellStyle name="Input 2 2 5 6" xfId="25190" xr:uid="{C6C7DAF6-3AF4-48D2-ACB0-A251CA20993E}"/>
    <cellStyle name="Input 2 2 5 7" xfId="25191" xr:uid="{536C7CAE-448F-42E5-8648-A2088DEFF5B7}"/>
    <cellStyle name="Input 2 2 6" xfId="1400" xr:uid="{58D2A17D-4AAA-4B35-8F6B-CADF14211669}"/>
    <cellStyle name="Input 2 2 6 2" xfId="10297" xr:uid="{8C441334-CC39-4DA4-B753-943C7B8FD025}"/>
    <cellStyle name="Input 2 2 6 2 2" xfId="25192" xr:uid="{A88FB366-F427-4F0C-BC65-FACCC7269A33}"/>
    <cellStyle name="Input 2 2 6 2 3" xfId="25193" xr:uid="{995A1C54-DC3B-4D8C-93FC-C95472D9CCEF}"/>
    <cellStyle name="Input 2 2 6 2 4" xfId="25194" xr:uid="{7C42AD69-BD73-410A-BCD4-58CC1B5BEE18}"/>
    <cellStyle name="Input 2 2 6 2 5" xfId="25195" xr:uid="{5409451A-27D1-422F-B4D3-485F022786AB}"/>
    <cellStyle name="Input 2 2 6 2 6" xfId="25196" xr:uid="{073252D6-0891-47D5-B0AA-DBC912D7A931}"/>
    <cellStyle name="Input 2 2 6 3" xfId="25197" xr:uid="{3E363025-95F0-4A47-B43A-415F6FE080B8}"/>
    <cellStyle name="Input 2 2 6 4" xfId="25198" xr:uid="{7784CC1C-2CEF-4D5E-AA4E-9B55B30C6AD5}"/>
    <cellStyle name="Input 2 2 6 5" xfId="25199" xr:uid="{F4383B30-3A19-48E8-A644-2D37F2173C73}"/>
    <cellStyle name="Input 2 2 6 6" xfId="25200" xr:uid="{FA744F7A-6492-4487-8E16-3B1B11AC88D1}"/>
    <cellStyle name="Input 2 2 6 7" xfId="25201" xr:uid="{3FAF329A-3AB1-4936-93C1-5985D635A92A}"/>
    <cellStyle name="Input 2 2 7" xfId="1401" xr:uid="{A1C5BCDF-5A24-42F4-897A-E2AA49B3C0B4}"/>
    <cellStyle name="Input 2 2 7 2" xfId="10385" xr:uid="{660E59C4-0627-4208-9899-FE2A45D80B0F}"/>
    <cellStyle name="Input 2 2 7 2 2" xfId="25202" xr:uid="{C2353046-226A-4456-B23F-D261F5ABD034}"/>
    <cellStyle name="Input 2 2 7 2 3" xfId="25203" xr:uid="{3E04106E-EB5A-4A4E-8CB2-0F007A3927D3}"/>
    <cellStyle name="Input 2 2 7 2 4" xfId="25204" xr:uid="{916C0140-9182-425E-94C3-EC2344FFBE41}"/>
    <cellStyle name="Input 2 2 7 2 5" xfId="25205" xr:uid="{A41214AA-42C2-427C-BC5F-D50F513204D7}"/>
    <cellStyle name="Input 2 2 7 2 6" xfId="25206" xr:uid="{1EB2FD4F-D54F-4D22-8B39-235F76B9A382}"/>
    <cellStyle name="Input 2 2 7 3" xfId="25207" xr:uid="{5F03E487-3C5B-4B53-9C4F-A254E0E1C987}"/>
    <cellStyle name="Input 2 2 7 4" xfId="25208" xr:uid="{B24DD080-7C58-462E-8B8E-420BB5C28869}"/>
    <cellStyle name="Input 2 2 7 5" xfId="25209" xr:uid="{8DCF7CBB-FB71-4D57-BA43-3776AE8B878C}"/>
    <cellStyle name="Input 2 2 7 6" xfId="25210" xr:uid="{7195CCFB-6A90-4960-BB66-EEB5CC83B288}"/>
    <cellStyle name="Input 2 2 7 7" xfId="25211" xr:uid="{16DBCDDD-138B-4914-A0DD-6910A313A5A6}"/>
    <cellStyle name="Input 2 2 8" xfId="1402" xr:uid="{5EC0A9EC-1966-4F9C-8997-7324DFB51A1F}"/>
    <cellStyle name="Input 2 2 8 2" xfId="10472" xr:uid="{2E48FDBA-A6BF-45A2-9951-B1EF2506FFC3}"/>
    <cellStyle name="Input 2 2 8 2 2" xfId="25212" xr:uid="{9AABA339-DA43-4A63-BA49-70B154BC7C89}"/>
    <cellStyle name="Input 2 2 8 2 3" xfId="25213" xr:uid="{2BA88515-4B56-4B06-AFEB-DF0795FE582B}"/>
    <cellStyle name="Input 2 2 8 2 4" xfId="25214" xr:uid="{2E12EC88-41C5-4D47-AD59-A3FC0F0BBB72}"/>
    <cellStyle name="Input 2 2 8 2 5" xfId="25215" xr:uid="{9BADC253-DA1A-4B3C-9AF1-08443B31E6FA}"/>
    <cellStyle name="Input 2 2 8 2 6" xfId="25216" xr:uid="{43214BFF-035F-48ED-A2CC-905660929325}"/>
    <cellStyle name="Input 2 2 8 3" xfId="25217" xr:uid="{9E678504-EA79-4776-A658-FE2953EEC641}"/>
    <cellStyle name="Input 2 2 8 4" xfId="25218" xr:uid="{11A8F27D-54F8-4CD6-9587-0D3C040AB7C5}"/>
    <cellStyle name="Input 2 2 8 5" xfId="25219" xr:uid="{EA298C45-4383-41B4-9C4B-AF23189C9DBD}"/>
    <cellStyle name="Input 2 2 8 6" xfId="25220" xr:uid="{A910A39F-BF1F-4FF1-BAB0-BEB3DEFF3670}"/>
    <cellStyle name="Input 2 2 8 7" xfId="25221" xr:uid="{6C33F162-1B85-44D4-BB88-95E62112983B}"/>
    <cellStyle name="Input 2 2 9" xfId="1403" xr:uid="{AAD7CE08-D149-4680-88A0-3684920669F6}"/>
    <cellStyle name="Input 2 2 9 2" xfId="10560" xr:uid="{20EB7FBB-1111-46EE-94DC-D416F66C4689}"/>
    <cellStyle name="Input 2 2 9 2 2" xfId="25222" xr:uid="{D1DF0024-7C89-4CD9-82BE-3E782CA313FA}"/>
    <cellStyle name="Input 2 2 9 2 3" xfId="25223" xr:uid="{EDBC376C-8B6C-4B39-955D-A8AE2B295154}"/>
    <cellStyle name="Input 2 2 9 2 4" xfId="25224" xr:uid="{0412AA99-1BB5-498D-81DE-70C79701F497}"/>
    <cellStyle name="Input 2 2 9 2 5" xfId="25225" xr:uid="{1DF59BCA-DBB8-44ED-9D9A-874EFD9FFD7D}"/>
    <cellStyle name="Input 2 2 9 2 6" xfId="25226" xr:uid="{6DF1F444-D31E-450D-B51F-5BDDD82ED769}"/>
    <cellStyle name="Input 2 2 9 3" xfId="25227" xr:uid="{2D7A029F-EA03-4570-A557-1DB20AAC18F8}"/>
    <cellStyle name="Input 2 2 9 4" xfId="25228" xr:uid="{9EAF7747-569C-473A-A206-6560F4CCB8BF}"/>
    <cellStyle name="Input 2 2 9 5" xfId="25229" xr:uid="{D0E59B10-55B6-4291-BE5F-5CA37CD86E60}"/>
    <cellStyle name="Input 2 2 9 6" xfId="25230" xr:uid="{959D543C-D03E-480B-A0C2-EA7656538DA6}"/>
    <cellStyle name="Input 2 2 9 7" xfId="25231" xr:uid="{A20AFFB9-D10F-493D-BDE7-2126E0B2B60B}"/>
    <cellStyle name="Input 2 20" xfId="1404" xr:uid="{F1898632-3BA2-4E3C-8F35-0B2FADC9FC12}"/>
    <cellStyle name="Input 2 20 2" xfId="9940" xr:uid="{85CB29EF-C750-491B-843F-BF716818CAAD}"/>
    <cellStyle name="Input 2 20 2 2" xfId="25232" xr:uid="{89836DD0-AD97-4666-80B7-719754C141BA}"/>
    <cellStyle name="Input 2 20 2 3" xfId="25233" xr:uid="{53D5F559-FFEA-4E06-B9A1-DFCC3723D85F}"/>
    <cellStyle name="Input 2 20 2 4" xfId="25234" xr:uid="{CD974879-C027-4BD4-B4C6-7AF9285D9083}"/>
    <cellStyle name="Input 2 20 2 5" xfId="25235" xr:uid="{C29219D3-D32F-4E56-B7CE-1097C4D340E1}"/>
    <cellStyle name="Input 2 20 2 6" xfId="25236" xr:uid="{0316A623-C426-413E-8074-E8A80AE8602D}"/>
    <cellStyle name="Input 2 20 3" xfId="25237" xr:uid="{E3556045-A193-4E29-9BF1-B0239E8DC654}"/>
    <cellStyle name="Input 2 20 4" xfId="25238" xr:uid="{34D27F17-AAFD-4631-93BE-74A6279AFD96}"/>
    <cellStyle name="Input 2 20 5" xfId="25239" xr:uid="{D0E42260-2C0D-4CB2-B7CE-0A433C8D2A74}"/>
    <cellStyle name="Input 2 20 6" xfId="25240" xr:uid="{B805BC2C-4DBB-4AF9-828B-0F132AA8DFF0}"/>
    <cellStyle name="Input 2 20 7" xfId="25241" xr:uid="{F3A21ABB-FD6E-48BD-9EF4-49D0C95AE81D}"/>
    <cellStyle name="Input 2 21" xfId="1405" xr:uid="{F460BE7A-B9F7-4111-B428-C2A102F949AD}"/>
    <cellStyle name="Input 2 21 2" xfId="10682" xr:uid="{D5AA2B24-E40D-4EB8-AE38-393F01AE2C01}"/>
    <cellStyle name="Input 2 21 2 2" xfId="25242" xr:uid="{F9F6F001-1921-4B6E-94AB-AD9A405C0260}"/>
    <cellStyle name="Input 2 21 2 3" xfId="25243" xr:uid="{DEDAB496-8033-4A0A-A8FA-B8D42DDF05DF}"/>
    <cellStyle name="Input 2 21 2 4" xfId="25244" xr:uid="{59F14A49-9A13-4182-9DA4-2F1B23B2C4F1}"/>
    <cellStyle name="Input 2 21 2 5" xfId="25245" xr:uid="{467269BE-5887-4DBC-875D-15CAFB22A664}"/>
    <cellStyle name="Input 2 21 2 6" xfId="25246" xr:uid="{0D04930A-85CF-4657-A4EA-930A0DF04CC6}"/>
    <cellStyle name="Input 2 21 3" xfId="25247" xr:uid="{30B1DA15-A9B8-4EA0-8DC2-15430E345611}"/>
    <cellStyle name="Input 2 21 4" xfId="25248" xr:uid="{0C05DF3E-819E-479C-BA1E-57790CEE65AA}"/>
    <cellStyle name="Input 2 21 5" xfId="25249" xr:uid="{8B786EA0-B57D-489A-93BF-5CC7C6559D1A}"/>
    <cellStyle name="Input 2 21 6" xfId="25250" xr:uid="{CB90753E-47AA-48AD-A7CD-071620E0C35D}"/>
    <cellStyle name="Input 2 21 7" xfId="25251" xr:uid="{DE8BEB91-90FB-43D5-90C8-6D94D9AF25E2}"/>
    <cellStyle name="Input 2 22" xfId="1406" xr:uid="{4F5951F3-BD2F-4939-BF93-CC9C7D7D3758}"/>
    <cellStyle name="Input 2 22 2" xfId="10949" xr:uid="{8FC44505-0BF5-43D9-9410-32B45D31C024}"/>
    <cellStyle name="Input 2 22 2 2" xfId="25252" xr:uid="{4F9CF5AF-D335-4FC4-8B75-1A35010DA01D}"/>
    <cellStyle name="Input 2 22 2 3" xfId="25253" xr:uid="{D7C16F36-5360-4C9C-A008-627683B82786}"/>
    <cellStyle name="Input 2 22 2 4" xfId="25254" xr:uid="{291D8268-F3EA-4F7C-9B58-F9293F352D90}"/>
    <cellStyle name="Input 2 22 2 5" xfId="25255" xr:uid="{9338B29F-89F5-42E8-BBEC-DA3952550523}"/>
    <cellStyle name="Input 2 22 2 6" xfId="25256" xr:uid="{648ECA79-57D0-4193-B236-6BE214752A85}"/>
    <cellStyle name="Input 2 22 3" xfId="25257" xr:uid="{811BFC0B-0447-4780-9384-95496F8ADE91}"/>
    <cellStyle name="Input 2 22 4" xfId="25258" xr:uid="{9AE05F56-C6EC-45C0-9BB8-BBF873E4EB93}"/>
    <cellStyle name="Input 2 22 5" xfId="25259" xr:uid="{5E5113E9-E25D-457F-8C29-6465FCF166D1}"/>
    <cellStyle name="Input 2 22 6" xfId="25260" xr:uid="{F74C724C-02A5-44A0-B55D-AB313734EDDD}"/>
    <cellStyle name="Input 2 22 7" xfId="25261" xr:uid="{2496B352-14DB-4536-8D6B-39461100F15E}"/>
    <cellStyle name="Input 2 23" xfId="1407" xr:uid="{7C8F3B1B-D9F6-4EDA-81BF-738A3A3C7CE8}"/>
    <cellStyle name="Input 2 23 2" xfId="10978" xr:uid="{CD09515F-EECE-4850-AFCF-6904C5572989}"/>
    <cellStyle name="Input 2 23 2 2" xfId="25262" xr:uid="{71D1E3D5-2274-4418-BCB3-5ED67D109C91}"/>
    <cellStyle name="Input 2 23 2 3" xfId="25263" xr:uid="{9DF1CC8D-88CE-4E10-8A52-BB0ACF408ADB}"/>
    <cellStyle name="Input 2 23 2 4" xfId="25264" xr:uid="{D95E1ADE-CAC2-451E-B443-467433980FB5}"/>
    <cellStyle name="Input 2 23 2 5" xfId="25265" xr:uid="{B66CB87D-D920-4978-831D-AA9A9D337311}"/>
    <cellStyle name="Input 2 23 2 6" xfId="25266" xr:uid="{D5CF012F-E444-4719-A50F-279FE618ECC3}"/>
    <cellStyle name="Input 2 23 3" xfId="25267" xr:uid="{47BE914B-485F-4867-A95E-78A67B2F4C3C}"/>
    <cellStyle name="Input 2 23 4" xfId="25268" xr:uid="{06DA6529-E675-416E-BFF4-CA24A59E2BF5}"/>
    <cellStyle name="Input 2 23 5" xfId="25269" xr:uid="{84A62835-AC70-4E51-AAE1-8F8CB3F45F48}"/>
    <cellStyle name="Input 2 23 6" xfId="25270" xr:uid="{576D8734-C122-49DE-A019-A2902C109354}"/>
    <cellStyle name="Input 2 23 7" xfId="25271" xr:uid="{55A44988-AE6F-4BF6-B5AB-893B8E11EA28}"/>
    <cellStyle name="Input 2 24" xfId="1408" xr:uid="{D008D38F-B12E-414A-B33E-327CB21E3508}"/>
    <cellStyle name="Input 2 24 2" xfId="10539" xr:uid="{B832C6E1-2DB8-4655-BF79-10D22C0EC5F4}"/>
    <cellStyle name="Input 2 24 2 2" xfId="25272" xr:uid="{7C67FF77-9A63-4074-9871-69420A2F772A}"/>
    <cellStyle name="Input 2 24 2 3" xfId="25273" xr:uid="{5B976313-4E49-40C2-8E3F-158A0094A2B7}"/>
    <cellStyle name="Input 2 24 2 4" xfId="25274" xr:uid="{3E47637A-13C0-41CF-B81B-0CA01E7457D9}"/>
    <cellStyle name="Input 2 24 2 5" xfId="25275" xr:uid="{D0D9A407-E800-47C0-BFC3-9A7D752BAEA9}"/>
    <cellStyle name="Input 2 24 2 6" xfId="25276" xr:uid="{4565C0E1-5968-403C-ADFF-F36C3175AA5B}"/>
    <cellStyle name="Input 2 24 3" xfId="25277" xr:uid="{9C837557-068F-46B0-8B9C-E64A2C574EC9}"/>
    <cellStyle name="Input 2 24 4" xfId="25278" xr:uid="{3639DDFD-298F-4A7A-A78F-4FCA0B7EC33E}"/>
    <cellStyle name="Input 2 24 5" xfId="25279" xr:uid="{039128E5-963B-4FC3-96CD-81C0857F7327}"/>
    <cellStyle name="Input 2 24 6" xfId="25280" xr:uid="{38F9F70A-4E6D-4849-9F07-FF37E349E32A}"/>
    <cellStyle name="Input 2 24 7" xfId="25281" xr:uid="{99EC5514-008E-4399-A1C4-D0FFACE44182}"/>
    <cellStyle name="Input 2 25" xfId="1409" xr:uid="{861B1762-6CC4-49EA-A260-D4E725BE307C}"/>
    <cellStyle name="Input 2 25 2" xfId="11045" xr:uid="{6A1156B7-6CEB-4DFC-9DAC-EF7DC5329AF7}"/>
    <cellStyle name="Input 2 25 2 2" xfId="25282" xr:uid="{1D8AB810-48DC-47B9-A78F-CCCFA4C2FD4B}"/>
    <cellStyle name="Input 2 25 2 3" xfId="25283" xr:uid="{3DE55A8E-33B2-4338-B245-50E39D4A317F}"/>
    <cellStyle name="Input 2 25 2 4" xfId="25284" xr:uid="{97C8AA4B-0779-457A-BC19-9F0B0FD576EB}"/>
    <cellStyle name="Input 2 25 2 5" xfId="25285" xr:uid="{7AB637C9-BDCC-42CC-90CE-8AB3E630902E}"/>
    <cellStyle name="Input 2 25 2 6" xfId="25286" xr:uid="{50BA1BA6-4ADC-4C11-88ED-AE29E08F240F}"/>
    <cellStyle name="Input 2 25 3" xfId="25287" xr:uid="{2D4D73DB-EA6D-4475-8835-C95A63C8C6C6}"/>
    <cellStyle name="Input 2 25 4" xfId="25288" xr:uid="{04F71EDF-0CAC-4D3B-ACD4-28F2B8C9CD0C}"/>
    <cellStyle name="Input 2 25 5" xfId="25289" xr:uid="{39B87D46-0DF3-47D2-86BE-0083F0F10551}"/>
    <cellStyle name="Input 2 25 6" xfId="25290" xr:uid="{25A0F5A3-846D-48D3-8374-640598174E49}"/>
    <cellStyle name="Input 2 25 7" xfId="25291" xr:uid="{BA88A6EE-D0DE-43E0-9988-95FB86E95399}"/>
    <cellStyle name="Input 2 26" xfId="1410" xr:uid="{73D13C8F-CE93-4043-A7E4-4326E9A3904E}"/>
    <cellStyle name="Input 2 26 2" xfId="10450" xr:uid="{FA5D6CD2-C560-44AE-A535-F01E1D37C2D6}"/>
    <cellStyle name="Input 2 26 2 2" xfId="25292" xr:uid="{3631CCFD-3BAD-49E5-8CCD-95716FA0EDB2}"/>
    <cellStyle name="Input 2 26 2 3" xfId="25293" xr:uid="{66D90585-ACF0-48ED-A809-E4E477600115}"/>
    <cellStyle name="Input 2 26 2 4" xfId="25294" xr:uid="{95129B58-48A1-4C43-BDC3-B295410E56C6}"/>
    <cellStyle name="Input 2 26 2 5" xfId="25295" xr:uid="{06388F7C-D95D-4E9E-B291-BF6FF8D005EB}"/>
    <cellStyle name="Input 2 26 2 6" xfId="25296" xr:uid="{B5D9D741-6B62-417D-9443-C7FB22537CB2}"/>
    <cellStyle name="Input 2 26 3" xfId="25297" xr:uid="{3A425BAE-00B4-4EEE-AEEE-556BF0B68443}"/>
    <cellStyle name="Input 2 26 4" xfId="25298" xr:uid="{CA5CC52B-B84D-49BA-9010-FA74AFD39B40}"/>
    <cellStyle name="Input 2 26 5" xfId="25299" xr:uid="{8B892936-1A8B-4531-8A33-C89295368E7D}"/>
    <cellStyle name="Input 2 26 6" xfId="25300" xr:uid="{2BD2D829-3058-4446-B08F-2FF5B9C00305}"/>
    <cellStyle name="Input 2 26 7" xfId="25301" xr:uid="{9C5BEB1F-D3CD-4083-BFE9-A574E5F787FB}"/>
    <cellStyle name="Input 2 27" xfId="1411" xr:uid="{4F068FB4-4E7D-4AE0-A0E7-B9942D3121F2}"/>
    <cellStyle name="Input 2 27 2" xfId="10255" xr:uid="{BF8F49E2-F5FC-4A97-AEF0-43F6B02FABCE}"/>
    <cellStyle name="Input 2 27 2 2" xfId="25302" xr:uid="{3C512648-4A26-48DF-8E65-51CEF486BF05}"/>
    <cellStyle name="Input 2 27 2 3" xfId="25303" xr:uid="{E358B1EC-75BC-4CD3-9C7F-F0AA164C6F9A}"/>
    <cellStyle name="Input 2 27 2 4" xfId="25304" xr:uid="{C7F50544-4D34-435A-9B45-D9BD54CA6221}"/>
    <cellStyle name="Input 2 27 2 5" xfId="25305" xr:uid="{9C1997B2-7295-4ECF-AA45-DA6417DD52EA}"/>
    <cellStyle name="Input 2 27 2 6" xfId="25306" xr:uid="{EA201C58-7791-437E-8A81-6C2153070B9F}"/>
    <cellStyle name="Input 2 27 3" xfId="25307" xr:uid="{2A40477F-ABA4-4509-9218-8CBC9471D450}"/>
    <cellStyle name="Input 2 27 4" xfId="25308" xr:uid="{54132E24-B04F-4F3D-ACB9-592FE389D0DC}"/>
    <cellStyle name="Input 2 27 5" xfId="25309" xr:uid="{3ECDE59D-6B3D-43DC-B952-6C19752861B1}"/>
    <cellStyle name="Input 2 27 6" xfId="25310" xr:uid="{8111F340-FBF9-4587-B962-43A2F62ACA60}"/>
    <cellStyle name="Input 2 27 7" xfId="25311" xr:uid="{3F1A798F-0EE5-494A-9CDE-51C24FD20AD7}"/>
    <cellStyle name="Input 2 28" xfId="1412" xr:uid="{D70945E7-ECDE-4504-88E6-2CAE01A4802A}"/>
    <cellStyle name="Input 2 28 2" xfId="10254" xr:uid="{E1722AF8-3772-4824-968B-2BDCB2EF1743}"/>
    <cellStyle name="Input 2 28 2 2" xfId="25312" xr:uid="{67AFF637-297B-49F3-9B66-0AEA790D8F3E}"/>
    <cellStyle name="Input 2 28 2 3" xfId="25313" xr:uid="{AA5F1AB0-A116-4792-AA98-520D9DAE8AA0}"/>
    <cellStyle name="Input 2 28 2 4" xfId="25314" xr:uid="{AE4BADB5-3443-4492-BB56-C711B6204617}"/>
    <cellStyle name="Input 2 28 2 5" xfId="25315" xr:uid="{338FB225-9518-47C9-8A26-32F34AC9FC29}"/>
    <cellStyle name="Input 2 28 2 6" xfId="25316" xr:uid="{94DA3CC9-D5F6-459E-AE4D-68A9EA90AD60}"/>
    <cellStyle name="Input 2 28 3" xfId="25317" xr:uid="{ED53DFF5-C640-4AC3-A625-F786A1EE5E6D}"/>
    <cellStyle name="Input 2 28 4" xfId="25318" xr:uid="{182FFA0C-5A8D-409B-B27C-6DA2EE3D4064}"/>
    <cellStyle name="Input 2 28 5" xfId="25319" xr:uid="{73DE83F3-49F3-44B8-B2A4-AF202AED6B77}"/>
    <cellStyle name="Input 2 28 6" xfId="25320" xr:uid="{8063FCD3-BB6C-4979-8BFD-424A9E62A517}"/>
    <cellStyle name="Input 2 28 7" xfId="25321" xr:uid="{3485CB27-475C-485C-B3B7-296E2A4BAAE6}"/>
    <cellStyle name="Input 2 29" xfId="1413" xr:uid="{0ADB0C5D-0F97-4064-9ED1-F04FE5FE8DF4}"/>
    <cellStyle name="Input 2 29 2" xfId="11394" xr:uid="{4F3631E6-D3BE-4C94-9DC8-859EC2D5BDDF}"/>
    <cellStyle name="Input 2 29 2 2" xfId="25322" xr:uid="{E7CEBFBF-0F05-4C55-80CC-EB5B63EBAC49}"/>
    <cellStyle name="Input 2 29 2 3" xfId="25323" xr:uid="{41D89AE9-FD3B-4309-B683-C8D212987BA4}"/>
    <cellStyle name="Input 2 29 2 4" xfId="25324" xr:uid="{34196482-FFCE-4187-A547-AFA5A07939A0}"/>
    <cellStyle name="Input 2 29 2 5" xfId="25325" xr:uid="{DA45B732-462D-4DF9-B3C6-3D48D801BB64}"/>
    <cellStyle name="Input 2 29 2 6" xfId="25326" xr:uid="{22EBC791-2BBF-4F13-8980-72F085F56F5D}"/>
    <cellStyle name="Input 2 29 3" xfId="25327" xr:uid="{C77C14C2-2177-4398-9923-9046D565F9AF}"/>
    <cellStyle name="Input 2 29 4" xfId="25328" xr:uid="{AD711C2E-0437-4DDE-92F4-92B9C2E58AB8}"/>
    <cellStyle name="Input 2 29 5" xfId="25329" xr:uid="{84D0B573-8E8F-4278-8773-13E89D825538}"/>
    <cellStyle name="Input 2 29 6" xfId="25330" xr:uid="{A7B7B9C9-0EE1-4D46-9EF3-9801770CDA85}"/>
    <cellStyle name="Input 2 29 7" xfId="25331" xr:uid="{72CCBB5E-FED0-4694-86AD-D54842CF3D18}"/>
    <cellStyle name="Input 2 3" xfId="1414" xr:uid="{EC5D511A-E926-445C-B2C9-9AEEB128FDA2}"/>
    <cellStyle name="Input 2 3 10" xfId="1415" xr:uid="{9F858859-62CB-47DA-AC38-16247346537A}"/>
    <cellStyle name="Input 2 3 10 2" xfId="10626" xr:uid="{74BDCB4E-3437-49A1-896B-5DC734E94547}"/>
    <cellStyle name="Input 2 3 10 2 2" xfId="25332" xr:uid="{0FAB43EF-FE1C-466A-BAE7-92468E1EEA70}"/>
    <cellStyle name="Input 2 3 10 2 3" xfId="25333" xr:uid="{9C74CC65-6F6F-4772-B43A-B3A92251B8D2}"/>
    <cellStyle name="Input 2 3 10 2 4" xfId="25334" xr:uid="{165EC972-7061-403A-AF90-3442479700ED}"/>
    <cellStyle name="Input 2 3 10 2 5" xfId="25335" xr:uid="{9B68FF15-E028-4CD2-BB49-94AE5D818C75}"/>
    <cellStyle name="Input 2 3 10 2 6" xfId="25336" xr:uid="{913E203E-53C4-4326-8B21-2D9645791E56}"/>
    <cellStyle name="Input 2 3 10 3" xfId="25337" xr:uid="{77A3BE72-56A4-4A96-8842-ECF386015FD9}"/>
    <cellStyle name="Input 2 3 10 4" xfId="25338" xr:uid="{0B865943-09F5-40F7-B731-3DEE78AC183C}"/>
    <cellStyle name="Input 2 3 10 5" xfId="25339" xr:uid="{C3FBB20B-46C9-4155-A8BF-8285A6D13D0B}"/>
    <cellStyle name="Input 2 3 10 6" xfId="25340" xr:uid="{567E4993-2BA1-4E83-A8C8-8D281A26C77A}"/>
    <cellStyle name="Input 2 3 10 7" xfId="25341" xr:uid="{835CEADF-C51A-40AE-9DDB-8D4BE3E7DAF0}"/>
    <cellStyle name="Input 2 3 11" xfId="1416" xr:uid="{3404BBC8-569D-491A-B628-0FFB8FE6EE2F}"/>
    <cellStyle name="Input 2 3 11 2" xfId="10717" xr:uid="{D69D7E6B-F3D8-4AC9-8AE0-867106D8A574}"/>
    <cellStyle name="Input 2 3 11 2 2" xfId="25342" xr:uid="{B158A09D-9470-400D-8557-CC955F191915}"/>
    <cellStyle name="Input 2 3 11 2 3" xfId="25343" xr:uid="{0FE110D3-3A4D-4DA5-92A9-D60D5D802A24}"/>
    <cellStyle name="Input 2 3 11 2 4" xfId="25344" xr:uid="{D7B69935-D138-4AD0-96B8-E8C5521ED790}"/>
    <cellStyle name="Input 2 3 11 2 5" xfId="25345" xr:uid="{F4516500-6755-44BE-AB07-054BAFD9686C}"/>
    <cellStyle name="Input 2 3 11 2 6" xfId="25346" xr:uid="{E48FEE9C-2639-417F-A4F5-535C5FA1F539}"/>
    <cellStyle name="Input 2 3 11 3" xfId="25347" xr:uid="{485D0C72-4EDF-415F-B579-CABBD1FD4136}"/>
    <cellStyle name="Input 2 3 11 4" xfId="25348" xr:uid="{EE01822B-6F54-4BE9-8C92-1190C6FBEAD2}"/>
    <cellStyle name="Input 2 3 11 5" xfId="25349" xr:uid="{5D91F602-695E-4243-B1F5-B66ACCF82750}"/>
    <cellStyle name="Input 2 3 11 6" xfId="25350" xr:uid="{F7F6B125-5F43-48AB-AA6C-DC3A93E99B42}"/>
    <cellStyle name="Input 2 3 11 7" xfId="25351" xr:uid="{E4956DCF-FB7F-45AE-A1F2-BD6257263434}"/>
    <cellStyle name="Input 2 3 12" xfId="1417" xr:uid="{F621313C-D90B-47CC-8A85-DF87CAFD1DE1}"/>
    <cellStyle name="Input 2 3 12 2" xfId="10805" xr:uid="{A6B34DC9-0ACF-442A-A933-A38A11D39DF1}"/>
    <cellStyle name="Input 2 3 12 2 2" xfId="25352" xr:uid="{73394383-79D7-4866-A55C-1EC286C4F77B}"/>
    <cellStyle name="Input 2 3 12 2 3" xfId="25353" xr:uid="{28ACBE81-D5C8-42CE-B102-E69784033DFE}"/>
    <cellStyle name="Input 2 3 12 2 4" xfId="25354" xr:uid="{15224E91-65CF-4203-9891-A012533EA1FC}"/>
    <cellStyle name="Input 2 3 12 2 5" xfId="25355" xr:uid="{EE154228-A48C-481F-80B8-A49A83BEAC95}"/>
    <cellStyle name="Input 2 3 12 2 6" xfId="25356" xr:uid="{20B33BF6-D664-4D02-A4BD-50183F062F70}"/>
    <cellStyle name="Input 2 3 12 3" xfId="25357" xr:uid="{29F8FCE1-32C3-48DB-A659-218E930A233B}"/>
    <cellStyle name="Input 2 3 12 4" xfId="25358" xr:uid="{AB1E9569-A911-4EE8-A19D-973DA86ADC63}"/>
    <cellStyle name="Input 2 3 12 5" xfId="25359" xr:uid="{F817CF91-0880-44A6-9F45-CB62E35F00E3}"/>
    <cellStyle name="Input 2 3 12 6" xfId="25360" xr:uid="{9789868F-DE88-4586-BE6B-BD2ACA0E1CA1}"/>
    <cellStyle name="Input 2 3 12 7" xfId="25361" xr:uid="{E2D1D346-9D93-40A0-8DA7-25B1E583BE84}"/>
    <cellStyle name="Input 2 3 13" xfId="1418" xr:uid="{6BFCAD37-0B53-4497-96AC-AF7EEE978D17}"/>
    <cellStyle name="Input 2 3 13 2" xfId="10894" xr:uid="{BD94953F-61F9-4E9F-A5E4-835246F769AB}"/>
    <cellStyle name="Input 2 3 13 2 2" xfId="25362" xr:uid="{0BAE827D-3BA5-4491-9D4D-626A3BA317A5}"/>
    <cellStyle name="Input 2 3 13 2 3" xfId="25363" xr:uid="{509E77AA-7287-42BB-9584-66708B6E0C1B}"/>
    <cellStyle name="Input 2 3 13 2 4" xfId="25364" xr:uid="{1BC848FF-BB28-410F-9202-172367B487F9}"/>
    <cellStyle name="Input 2 3 13 2 5" xfId="25365" xr:uid="{8774C11B-8A19-4821-8D28-B41E42D1E679}"/>
    <cellStyle name="Input 2 3 13 2 6" xfId="25366" xr:uid="{1048BF67-2E1F-477B-A5BD-7E9DEB026FD8}"/>
    <cellStyle name="Input 2 3 13 3" xfId="25367" xr:uid="{1B1755EB-E5DB-4A6C-A924-A4126124EF4F}"/>
    <cellStyle name="Input 2 3 13 4" xfId="25368" xr:uid="{BE3B0D08-A70C-4D0C-9CAC-7D65E0119E8B}"/>
    <cellStyle name="Input 2 3 13 5" xfId="25369" xr:uid="{7E723FCE-BFB7-40F0-A603-CF1D87A6F906}"/>
    <cellStyle name="Input 2 3 13 6" xfId="25370" xr:uid="{F7911633-6875-435A-92E2-CF0B70F5FA35}"/>
    <cellStyle name="Input 2 3 13 7" xfId="25371" xr:uid="{D3775C71-A39E-47A0-80B4-965332BA58AC}"/>
    <cellStyle name="Input 2 3 14" xfId="1419" xr:uid="{22DEC3F6-9C87-461F-B6EF-B175C923517F}"/>
    <cellStyle name="Input 2 3 14 2" xfId="10984" xr:uid="{F9E73D79-C1C9-4307-BE49-B87B5218A5DE}"/>
    <cellStyle name="Input 2 3 14 2 2" xfId="25372" xr:uid="{981A30A6-0B7E-46A0-8AF6-EB91205AFD2A}"/>
    <cellStyle name="Input 2 3 14 2 3" xfId="25373" xr:uid="{869E7996-9D19-42A7-B348-157AB4A01BF5}"/>
    <cellStyle name="Input 2 3 14 2 4" xfId="25374" xr:uid="{264B550A-C19F-4BBA-8AC2-6459DF2BC3AE}"/>
    <cellStyle name="Input 2 3 14 2 5" xfId="25375" xr:uid="{E0230206-3B31-4730-B380-D2CAED85BD42}"/>
    <cellStyle name="Input 2 3 14 2 6" xfId="25376" xr:uid="{026611A5-F0EF-4782-AB3C-23E07665217D}"/>
    <cellStyle name="Input 2 3 14 3" xfId="25377" xr:uid="{5D8A1213-4172-4CC6-8848-44F3C1A99715}"/>
    <cellStyle name="Input 2 3 14 4" xfId="25378" xr:uid="{37F6E107-2954-46FD-86E1-5C826D6933FE}"/>
    <cellStyle name="Input 2 3 14 5" xfId="25379" xr:uid="{0247EEB2-27EB-4221-9F51-9ED5E95E9A17}"/>
    <cellStyle name="Input 2 3 14 6" xfId="25380" xr:uid="{B70D6156-FCA5-4EF2-BEE8-0E6885284A78}"/>
    <cellStyle name="Input 2 3 14 7" xfId="25381" xr:uid="{BFF05795-4EB1-431C-A824-5EDC3B543AAE}"/>
    <cellStyle name="Input 2 3 15" xfId="1420" xr:uid="{320414CC-7AFB-471F-8214-891B22944CEC}"/>
    <cellStyle name="Input 2 3 15 2" xfId="11075" xr:uid="{0F1B0E82-851A-465F-B67C-4A7BE5D0C520}"/>
    <cellStyle name="Input 2 3 15 2 2" xfId="25382" xr:uid="{A03BABF7-2301-4AC4-8C2C-99F9BD119235}"/>
    <cellStyle name="Input 2 3 15 2 3" xfId="25383" xr:uid="{8B705EF4-30BF-4281-B750-78A2FE5334C6}"/>
    <cellStyle name="Input 2 3 15 2 4" xfId="25384" xr:uid="{7512BA8B-8FB3-4EBA-8D2F-FFA771FF2CBC}"/>
    <cellStyle name="Input 2 3 15 2 5" xfId="25385" xr:uid="{C695E8C8-DD09-4BAA-8144-75FD5921AB65}"/>
    <cellStyle name="Input 2 3 15 2 6" xfId="25386" xr:uid="{89E0612C-E496-40FD-8AE3-C38255176E5C}"/>
    <cellStyle name="Input 2 3 15 3" xfId="25387" xr:uid="{93FBAC32-2CD9-4047-A57B-348CB54486B0}"/>
    <cellStyle name="Input 2 3 15 4" xfId="25388" xr:uid="{70A6A16F-AA42-4623-9DB4-A3E8591580E7}"/>
    <cellStyle name="Input 2 3 15 5" xfId="25389" xr:uid="{A45FEBAE-6B22-4043-A05B-3563379334F6}"/>
    <cellStyle name="Input 2 3 15 6" xfId="25390" xr:uid="{5152E677-CA6C-4750-A3A6-AF0841522C45}"/>
    <cellStyle name="Input 2 3 15 7" xfId="25391" xr:uid="{A47753B4-987E-4C9A-A314-06CF07394858}"/>
    <cellStyle name="Input 2 3 16" xfId="1421" xr:uid="{E2B68B91-F587-45B8-8D75-C25491951192}"/>
    <cellStyle name="Input 2 3 16 2" xfId="11158" xr:uid="{4BE03571-E250-45CF-87CF-9E27816602BA}"/>
    <cellStyle name="Input 2 3 16 2 2" xfId="25392" xr:uid="{DD231319-F9C2-4A76-8F1F-CF7FF7787FE0}"/>
    <cellStyle name="Input 2 3 16 2 3" xfId="25393" xr:uid="{1E307DF0-7C0B-41E3-B98D-CF1163B2D748}"/>
    <cellStyle name="Input 2 3 16 2 4" xfId="25394" xr:uid="{33C1CCC9-A463-4612-8BFF-8FA7473BB5E6}"/>
    <cellStyle name="Input 2 3 16 2 5" xfId="25395" xr:uid="{F94DE169-8E3F-4D2D-8278-592D99A490D3}"/>
    <cellStyle name="Input 2 3 16 2 6" xfId="25396" xr:uid="{4492DA72-513F-4800-B669-124C9BC922E5}"/>
    <cellStyle name="Input 2 3 16 3" xfId="25397" xr:uid="{2A06D9D3-9D65-465C-BD01-463BBB6F796F}"/>
    <cellStyle name="Input 2 3 16 4" xfId="25398" xr:uid="{8B52C911-B2D7-4E7C-BBA3-3F1EF53FD984}"/>
    <cellStyle name="Input 2 3 16 5" xfId="25399" xr:uid="{C98584BC-A81B-4DD2-8153-6579FB0C711F}"/>
    <cellStyle name="Input 2 3 16 6" xfId="25400" xr:uid="{7AA2EA0D-498F-4346-8CA7-FC9E6441746C}"/>
    <cellStyle name="Input 2 3 16 7" xfId="25401" xr:uid="{2E3F1538-744F-44B8-8679-6583AE1E52CB}"/>
    <cellStyle name="Input 2 3 17" xfId="1422" xr:uid="{2B4161DF-23A6-49E6-988A-A0F1BB9B4A1C}"/>
    <cellStyle name="Input 2 3 17 2" xfId="11248" xr:uid="{76C4B111-1DE5-4857-BA79-DC597AC89E85}"/>
    <cellStyle name="Input 2 3 17 2 2" xfId="25402" xr:uid="{B3DA2AA3-871A-4F66-B2E4-B71AEAFE5E12}"/>
    <cellStyle name="Input 2 3 17 2 3" xfId="25403" xr:uid="{548E5538-096D-40CE-A88A-07D7FCE4DDD3}"/>
    <cellStyle name="Input 2 3 17 2 4" xfId="25404" xr:uid="{85688913-08A5-4C5B-902E-2F16FD1F8BF1}"/>
    <cellStyle name="Input 2 3 17 2 5" xfId="25405" xr:uid="{338908CE-1AE5-45FB-A514-B41E890D4CFC}"/>
    <cellStyle name="Input 2 3 17 2 6" xfId="25406" xr:uid="{973B4786-7500-435B-94F3-29215B323011}"/>
    <cellStyle name="Input 2 3 17 3" xfId="25407" xr:uid="{7096E6B6-B3D7-42A4-80E1-E5C8B7C32B36}"/>
    <cellStyle name="Input 2 3 17 4" xfId="25408" xr:uid="{3A8F7080-CB11-46ED-9421-851D757E2FB1}"/>
    <cellStyle name="Input 2 3 17 5" xfId="25409" xr:uid="{DCD22AAE-6863-4154-AD4A-9ED1DC7929B5}"/>
    <cellStyle name="Input 2 3 17 6" xfId="25410" xr:uid="{A55C8CFE-4508-46BB-A5CA-A938A44A50F9}"/>
    <cellStyle name="Input 2 3 17 7" xfId="25411" xr:uid="{500F5042-7512-4B28-84FF-F9288A215C08}"/>
    <cellStyle name="Input 2 3 18" xfId="1423" xr:uid="{9BCB01A8-FF83-485E-9DC0-D2812ECDC0A8}"/>
    <cellStyle name="Input 2 3 18 2" xfId="11334" xr:uid="{3ED3B88B-39E1-4FCE-B42F-6A03DE851179}"/>
    <cellStyle name="Input 2 3 18 2 2" xfId="25412" xr:uid="{0E5A9C5D-D733-4098-8FD7-5E5066EE6EF0}"/>
    <cellStyle name="Input 2 3 18 2 3" xfId="25413" xr:uid="{1CE475B5-7A9B-42D9-AC18-EF9DCFAF5746}"/>
    <cellStyle name="Input 2 3 18 2 4" xfId="25414" xr:uid="{592F2590-2C88-4E7E-B599-FE16C3BA901D}"/>
    <cellStyle name="Input 2 3 18 2 5" xfId="25415" xr:uid="{CA1264F9-26EF-452E-AF6D-A2CBF89AE054}"/>
    <cellStyle name="Input 2 3 18 2 6" xfId="25416" xr:uid="{012BE487-AD82-47EA-BE2F-A28626A3629B}"/>
    <cellStyle name="Input 2 3 18 3" xfId="25417" xr:uid="{BC4F13B5-F7E7-4BF1-B027-73B22E262450}"/>
    <cellStyle name="Input 2 3 18 4" xfId="25418" xr:uid="{57E4DAC5-A0BD-4D04-A2F4-D0B509351782}"/>
    <cellStyle name="Input 2 3 18 5" xfId="25419" xr:uid="{370BBB43-D1ED-44B9-BB3F-8C3C3A1DACFF}"/>
    <cellStyle name="Input 2 3 18 6" xfId="25420" xr:uid="{28D6146A-F412-4587-860D-BDA3B8688217}"/>
    <cellStyle name="Input 2 3 18 7" xfId="25421" xr:uid="{1FC71E91-0DC2-4F08-8325-82838B620DD9}"/>
    <cellStyle name="Input 2 3 19" xfId="1424" xr:uid="{E293A413-9703-4D81-9190-E25F16438928}"/>
    <cellStyle name="Input 2 3 19 2" xfId="11420" xr:uid="{29CA076C-5351-42C0-8EF8-2E5E802DDCD3}"/>
    <cellStyle name="Input 2 3 19 2 2" xfId="25422" xr:uid="{345E43FC-F79D-4891-AC52-E23FA24554D0}"/>
    <cellStyle name="Input 2 3 19 2 3" xfId="25423" xr:uid="{B44C20C7-5EE2-4C6D-806C-DC7E88BFC5C3}"/>
    <cellStyle name="Input 2 3 19 2 4" xfId="25424" xr:uid="{0096FB84-CBB7-4111-A2C5-0DFC87334577}"/>
    <cellStyle name="Input 2 3 19 2 5" xfId="25425" xr:uid="{A23589DC-99A5-4AA8-86EB-FF51C3614D8E}"/>
    <cellStyle name="Input 2 3 19 2 6" xfId="25426" xr:uid="{D9EC8239-BCC7-44A4-BD03-2C2420AC0B00}"/>
    <cellStyle name="Input 2 3 19 3" xfId="25427" xr:uid="{6BEF2D3A-B26D-4D95-9A66-8A2333C7CA0E}"/>
    <cellStyle name="Input 2 3 19 4" xfId="25428" xr:uid="{DAE97CE7-DCDA-4B38-AD7C-5CBC188598D1}"/>
    <cellStyle name="Input 2 3 19 5" xfId="25429" xr:uid="{346DAF58-6DA8-4C94-A548-7296B18B5F9B}"/>
    <cellStyle name="Input 2 3 19 6" xfId="25430" xr:uid="{6F0267A9-6112-49B4-9F29-55A1C946E925}"/>
    <cellStyle name="Input 2 3 19 7" xfId="25431" xr:uid="{F6FE0D4F-5AE8-48B3-BDD0-478F373FC6E3}"/>
    <cellStyle name="Input 2 3 2" xfId="1425" xr:uid="{8AE50AF0-868B-4836-B895-41C823CAE461}"/>
    <cellStyle name="Input 2 3 2 10" xfId="1426" xr:uid="{834B2B08-048F-4E1F-BCD8-3EEA58E92F3C}"/>
    <cellStyle name="Input 2 3 2 10 2" xfId="10751" xr:uid="{AE55826D-963D-41B1-8B26-BF311024A1F7}"/>
    <cellStyle name="Input 2 3 2 10 2 2" xfId="25432" xr:uid="{2904BBB4-018C-4686-8309-583EAF72845A}"/>
    <cellStyle name="Input 2 3 2 10 2 3" xfId="25433" xr:uid="{DD9139B3-380A-40F9-85A0-5FD616E5DC97}"/>
    <cellStyle name="Input 2 3 2 10 2 4" xfId="25434" xr:uid="{6D796F37-C51C-40C6-99DE-C43F1E0F68C5}"/>
    <cellStyle name="Input 2 3 2 10 2 5" xfId="25435" xr:uid="{E6AC2206-5447-4DC0-BD23-AADA1816C52F}"/>
    <cellStyle name="Input 2 3 2 10 2 6" xfId="25436" xr:uid="{8785D941-EA2A-4709-BF5F-65C9BE1FA873}"/>
    <cellStyle name="Input 2 3 2 10 3" xfId="25437" xr:uid="{705A4D42-9E89-4F0F-90D6-52C2C6AA6A24}"/>
    <cellStyle name="Input 2 3 2 10 4" xfId="25438" xr:uid="{3B342993-696A-49B2-8521-07A766C881C3}"/>
    <cellStyle name="Input 2 3 2 10 5" xfId="25439" xr:uid="{756B5829-82BD-4D2B-8B11-2A80147A81EE}"/>
    <cellStyle name="Input 2 3 2 10 6" xfId="25440" xr:uid="{63C64C30-27A3-467F-8971-896DC53128E7}"/>
    <cellStyle name="Input 2 3 2 10 7" xfId="25441" xr:uid="{08029F27-1914-4872-9245-D0CB49D83A00}"/>
    <cellStyle name="Input 2 3 2 11" xfId="1427" xr:uid="{FCEDEB4E-AE14-469B-96BB-70ED0E951E0A}"/>
    <cellStyle name="Input 2 3 2 11 2" xfId="10839" xr:uid="{68373603-5488-4EF0-9D89-0AF35D52F3D3}"/>
    <cellStyle name="Input 2 3 2 11 2 2" xfId="25442" xr:uid="{2EBDD7CF-48B9-4C91-A8D5-2F5612FCC9FD}"/>
    <cellStyle name="Input 2 3 2 11 2 3" xfId="25443" xr:uid="{98057EC5-343B-483B-AAA1-C50B9EEE141C}"/>
    <cellStyle name="Input 2 3 2 11 2 4" xfId="25444" xr:uid="{151BC645-9C04-4658-94D8-996BE1A09F54}"/>
    <cellStyle name="Input 2 3 2 11 2 5" xfId="25445" xr:uid="{37F27E94-42A3-430E-957A-E5529CEFA1E5}"/>
    <cellStyle name="Input 2 3 2 11 2 6" xfId="25446" xr:uid="{886D2D88-F534-4398-B44F-78CA8E5BBA09}"/>
    <cellStyle name="Input 2 3 2 11 3" xfId="25447" xr:uid="{B2227753-465F-441B-AF2A-A02614BEBBB5}"/>
    <cellStyle name="Input 2 3 2 11 4" xfId="25448" xr:uid="{22FF30DD-19E3-4A86-8F7F-1BAE20988998}"/>
    <cellStyle name="Input 2 3 2 11 5" xfId="25449" xr:uid="{D7BAFB10-F78A-4C56-9825-9A524EF08A0B}"/>
    <cellStyle name="Input 2 3 2 11 6" xfId="25450" xr:uid="{A4147793-89C3-4C9E-B3F9-1591665A1BA4}"/>
    <cellStyle name="Input 2 3 2 11 7" xfId="25451" xr:uid="{685E60ED-6EB2-45F9-A1A8-BE81D8117916}"/>
    <cellStyle name="Input 2 3 2 12" xfId="1428" xr:uid="{C7160B6F-74F8-422E-B5C4-990E06F1583D}"/>
    <cellStyle name="Input 2 3 2 12 2" xfId="10928" xr:uid="{C04A89F4-7C95-42AC-9F11-75FFD032287F}"/>
    <cellStyle name="Input 2 3 2 12 2 2" xfId="25452" xr:uid="{6868D5E9-C43C-48C3-B274-B32909DA74CD}"/>
    <cellStyle name="Input 2 3 2 12 2 3" xfId="25453" xr:uid="{CC23A267-5326-4F05-AEC0-12B877861D05}"/>
    <cellStyle name="Input 2 3 2 12 2 4" xfId="25454" xr:uid="{BD6656FD-84A3-442F-A6E1-114236418509}"/>
    <cellStyle name="Input 2 3 2 12 2 5" xfId="25455" xr:uid="{B87DC13C-F9DB-4FB0-A3C4-7691E664486C}"/>
    <cellStyle name="Input 2 3 2 12 2 6" xfId="25456" xr:uid="{6DC26A28-BDBE-472F-B4DA-04D52B19A077}"/>
    <cellStyle name="Input 2 3 2 12 3" xfId="25457" xr:uid="{9062F1AA-A492-4CE9-8458-DBB1EBBD7F98}"/>
    <cellStyle name="Input 2 3 2 12 4" xfId="25458" xr:uid="{B44B98FB-10EC-4B53-9E49-513BE0F3D201}"/>
    <cellStyle name="Input 2 3 2 12 5" xfId="25459" xr:uid="{50667CE3-3422-4F5F-BA79-1F4DF7E233D3}"/>
    <cellStyle name="Input 2 3 2 12 6" xfId="25460" xr:uid="{A5A423CB-4097-43B9-806C-9814BB7632C8}"/>
    <cellStyle name="Input 2 3 2 12 7" xfId="25461" xr:uid="{5442A77D-E1F8-4D4E-931E-842B80A24068}"/>
    <cellStyle name="Input 2 3 2 13" xfId="1429" xr:uid="{3145B5F7-0558-4B24-A0AF-4439C1835F1A}"/>
    <cellStyle name="Input 2 3 2 13 2" xfId="11018" xr:uid="{CCC67001-C213-488C-B354-3FAF673970B3}"/>
    <cellStyle name="Input 2 3 2 13 2 2" xfId="25462" xr:uid="{EBBA099F-3626-4EF7-802B-EF7285EC3A8A}"/>
    <cellStyle name="Input 2 3 2 13 2 3" xfId="25463" xr:uid="{582FA355-8495-4D42-899A-CAE0D73BCA9F}"/>
    <cellStyle name="Input 2 3 2 13 2 4" xfId="25464" xr:uid="{41EA823E-0F9A-4BFC-BB98-FA7BAEEF11CD}"/>
    <cellStyle name="Input 2 3 2 13 2 5" xfId="25465" xr:uid="{866D4E28-6B4C-4F41-A017-0EB9E16F56B8}"/>
    <cellStyle name="Input 2 3 2 13 2 6" xfId="25466" xr:uid="{92F0EE0D-1DC9-46AF-87DF-ADBE233BE6D9}"/>
    <cellStyle name="Input 2 3 2 13 3" xfId="25467" xr:uid="{A6A2ADF5-BF4D-4696-9F85-FE10F821EEBC}"/>
    <cellStyle name="Input 2 3 2 13 4" xfId="25468" xr:uid="{004A2CCA-FDE5-4E11-837D-7DA30DED775D}"/>
    <cellStyle name="Input 2 3 2 13 5" xfId="25469" xr:uid="{C3088E92-38F5-49D9-940D-8F481FFEB448}"/>
    <cellStyle name="Input 2 3 2 13 6" xfId="25470" xr:uid="{F8AA9F89-10AF-490A-8EF0-FEAC092C1611}"/>
    <cellStyle name="Input 2 3 2 13 7" xfId="25471" xr:uid="{A2AEE84A-0BEF-41AF-A61E-F4AD35960D46}"/>
    <cellStyle name="Input 2 3 2 14" xfId="1430" xr:uid="{2D7507F5-C68C-4A95-AF72-0A7BB0832E95}"/>
    <cellStyle name="Input 2 3 2 14 2" xfId="11108" xr:uid="{A53DB631-4686-4319-BEBD-556BA9B5AA67}"/>
    <cellStyle name="Input 2 3 2 14 2 2" xfId="25472" xr:uid="{A6F1BBF1-B38E-45BA-A10C-62A9DFD7C68D}"/>
    <cellStyle name="Input 2 3 2 14 2 3" xfId="25473" xr:uid="{C4240218-F0A6-437B-B665-45FA631ABD9E}"/>
    <cellStyle name="Input 2 3 2 14 2 4" xfId="25474" xr:uid="{4906DF9F-CD59-41F1-8001-EBAF0662FD13}"/>
    <cellStyle name="Input 2 3 2 14 2 5" xfId="25475" xr:uid="{0D8D706B-A62A-483E-97C5-75F3ACE0C9A4}"/>
    <cellStyle name="Input 2 3 2 14 2 6" xfId="25476" xr:uid="{88547CAB-0B54-429B-ABEF-A193C109F072}"/>
    <cellStyle name="Input 2 3 2 14 3" xfId="25477" xr:uid="{2E9060DE-5BE1-49EB-AE37-B6B6FC4FF2FE}"/>
    <cellStyle name="Input 2 3 2 14 4" xfId="25478" xr:uid="{40774758-6952-431E-A4CB-C7FE7031E90F}"/>
    <cellStyle name="Input 2 3 2 14 5" xfId="25479" xr:uid="{C59B3FEE-B470-464A-A87F-7424D8434CCA}"/>
    <cellStyle name="Input 2 3 2 14 6" xfId="25480" xr:uid="{D16115EC-BF43-4DAD-AD6B-57254EAB7C6B}"/>
    <cellStyle name="Input 2 3 2 14 7" xfId="25481" xr:uid="{0CDB029F-73F3-4C20-BF01-F2BFDD86083D}"/>
    <cellStyle name="Input 2 3 2 15" xfId="1431" xr:uid="{8866380A-AC31-4797-965D-122DBDD8FA29}"/>
    <cellStyle name="Input 2 3 2 15 2" xfId="11191" xr:uid="{17288E74-A218-4CB7-958B-F3FA2C6837CB}"/>
    <cellStyle name="Input 2 3 2 15 2 2" xfId="25482" xr:uid="{A4CA9283-B4F4-44D1-BBF9-F5E53D2F9E5B}"/>
    <cellStyle name="Input 2 3 2 15 2 3" xfId="25483" xr:uid="{E69B1949-4C4B-4EC4-96A6-3D0A476B1FA3}"/>
    <cellStyle name="Input 2 3 2 15 2 4" xfId="25484" xr:uid="{650A6614-F46A-46B9-AFC7-421D0C3F30B6}"/>
    <cellStyle name="Input 2 3 2 15 2 5" xfId="25485" xr:uid="{C4C1C115-55F0-4BD4-BDF1-318BC65AA160}"/>
    <cellStyle name="Input 2 3 2 15 2 6" xfId="25486" xr:uid="{0B592328-B231-4B42-AADA-20BA807E3BEC}"/>
    <cellStyle name="Input 2 3 2 15 3" xfId="25487" xr:uid="{2DF5FF3C-4519-447B-8691-48FFC7E0D0AB}"/>
    <cellStyle name="Input 2 3 2 15 4" xfId="25488" xr:uid="{CD54D748-5F05-4C10-AFEF-3C4ED44C7F6A}"/>
    <cellStyle name="Input 2 3 2 15 5" xfId="25489" xr:uid="{B2AC2761-3201-40B0-8854-479212A8B726}"/>
    <cellStyle name="Input 2 3 2 15 6" xfId="25490" xr:uid="{6B88930D-1D34-4759-94EF-4EA14AA11DB5}"/>
    <cellStyle name="Input 2 3 2 15 7" xfId="25491" xr:uid="{5935C7C3-AB6C-45E9-B913-168BDFC5930D}"/>
    <cellStyle name="Input 2 3 2 16" xfId="1432" xr:uid="{A2D60B4F-9102-49DD-BC13-6C3791A64110}"/>
    <cellStyle name="Input 2 3 2 16 2" xfId="11281" xr:uid="{A4700CCD-C2A9-4F33-A74E-A7C8622BBEEA}"/>
    <cellStyle name="Input 2 3 2 16 2 2" xfId="25492" xr:uid="{CC3EC095-0C70-46A6-A23B-819305212421}"/>
    <cellStyle name="Input 2 3 2 16 2 3" xfId="25493" xr:uid="{1FA2F952-E6BC-4048-8EF9-F8FD92BB0922}"/>
    <cellStyle name="Input 2 3 2 16 2 4" xfId="25494" xr:uid="{B6B085F9-B3C0-42CA-B20C-B904881541CC}"/>
    <cellStyle name="Input 2 3 2 16 2 5" xfId="25495" xr:uid="{7D4077EB-1B75-4886-8E72-4E91E4B29FE7}"/>
    <cellStyle name="Input 2 3 2 16 2 6" xfId="25496" xr:uid="{2124192C-D58E-4E04-9052-9844477344C5}"/>
    <cellStyle name="Input 2 3 2 16 3" xfId="25497" xr:uid="{8BEC65CB-92B4-42D6-BF68-B46A010217C5}"/>
    <cellStyle name="Input 2 3 2 16 4" xfId="25498" xr:uid="{7C6DA936-5690-4EBB-8785-63238623FB8C}"/>
    <cellStyle name="Input 2 3 2 16 5" xfId="25499" xr:uid="{D41CD131-FBAD-4B35-ADE3-500124506930}"/>
    <cellStyle name="Input 2 3 2 16 6" xfId="25500" xr:uid="{4BF864B0-E5E1-49D3-BB52-CB6C6D950257}"/>
    <cellStyle name="Input 2 3 2 16 7" xfId="25501" xr:uid="{D2FBB1FB-7408-4A47-A9BB-1E06F799530B}"/>
    <cellStyle name="Input 2 3 2 17" xfId="1433" xr:uid="{8B22FDC0-4353-47F9-AAC8-89162A4A6055}"/>
    <cellStyle name="Input 2 3 2 17 2" xfId="11367" xr:uid="{980107D8-F83B-473B-B2C9-7D3A0C33D027}"/>
    <cellStyle name="Input 2 3 2 17 2 2" xfId="25502" xr:uid="{4062493D-E9EA-49E5-A9B1-B9EE2924384D}"/>
    <cellStyle name="Input 2 3 2 17 2 3" xfId="25503" xr:uid="{D11FA6F2-43EF-4661-9A6C-437A2563213D}"/>
    <cellStyle name="Input 2 3 2 17 2 4" xfId="25504" xr:uid="{2FAA85A9-B9F9-4DBE-A710-FBAF76C8477E}"/>
    <cellStyle name="Input 2 3 2 17 2 5" xfId="25505" xr:uid="{FA6DC476-411A-46BF-845B-899479A2C777}"/>
    <cellStyle name="Input 2 3 2 17 2 6" xfId="25506" xr:uid="{E881A5C6-F1F0-4F06-AA13-C1E7F91BAD1C}"/>
    <cellStyle name="Input 2 3 2 17 3" xfId="25507" xr:uid="{F77775E8-867E-4EB4-8E45-6BAE688FB4C8}"/>
    <cellStyle name="Input 2 3 2 17 4" xfId="25508" xr:uid="{4934B36E-0F74-4F84-BB7A-85608B6455F7}"/>
    <cellStyle name="Input 2 3 2 17 5" xfId="25509" xr:uid="{233E0499-0A82-4829-9AF8-D553AB04B38F}"/>
    <cellStyle name="Input 2 3 2 17 6" xfId="25510" xr:uid="{A252D990-DE0F-431C-B0A9-89E4CB780403}"/>
    <cellStyle name="Input 2 3 2 17 7" xfId="25511" xr:uid="{9BAFDE86-116E-4405-A65A-74E5EA5BB7A7}"/>
    <cellStyle name="Input 2 3 2 18" xfId="1434" xr:uid="{C39DDFC1-6886-4C0F-B5EE-EF2A17A1767E}"/>
    <cellStyle name="Input 2 3 2 18 2" xfId="11454" xr:uid="{1257C2C4-85DE-471C-8BB8-503A8F89821D}"/>
    <cellStyle name="Input 2 3 2 18 2 2" xfId="25512" xr:uid="{93FF0962-9931-4BDB-B8AF-5E446C9AA4CF}"/>
    <cellStyle name="Input 2 3 2 18 2 3" xfId="25513" xr:uid="{E05AD547-2672-46B5-A52D-A6FC6086932C}"/>
    <cellStyle name="Input 2 3 2 18 2 4" xfId="25514" xr:uid="{F764EF03-DB60-439C-B3D8-532C700A305A}"/>
    <cellStyle name="Input 2 3 2 18 2 5" xfId="25515" xr:uid="{EE6D87C6-5F93-47E6-9D4F-1410E0C4463B}"/>
    <cellStyle name="Input 2 3 2 18 2 6" xfId="25516" xr:uid="{5588C596-BFB2-487E-B939-E582FCCB7B80}"/>
    <cellStyle name="Input 2 3 2 18 3" xfId="25517" xr:uid="{249968D3-8561-4B37-A707-D5D2B624A9A4}"/>
    <cellStyle name="Input 2 3 2 18 4" xfId="25518" xr:uid="{AD3FA647-2115-4180-8CFC-6B7EA40C3C48}"/>
    <cellStyle name="Input 2 3 2 18 5" xfId="25519" xr:uid="{10F594C6-304C-4F36-A6BD-907F84A70010}"/>
    <cellStyle name="Input 2 3 2 18 6" xfId="25520" xr:uid="{6847A5C9-CE0A-4FCA-96D5-15E8E4BEFDC0}"/>
    <cellStyle name="Input 2 3 2 18 7" xfId="25521" xr:uid="{B824E67C-7FD1-4820-885E-DA7BC5500AAD}"/>
    <cellStyle name="Input 2 3 2 19" xfId="1435" xr:uid="{AD912A10-6DF6-4019-BE63-18F6F39888FB}"/>
    <cellStyle name="Input 2 3 2 19 2" xfId="11541" xr:uid="{D9BC25D6-C6F7-4D1D-8A07-DCCB5B4C1BAA}"/>
    <cellStyle name="Input 2 3 2 19 2 2" xfId="25522" xr:uid="{AAE8281E-3561-4163-A5B3-41B0ABCC99DD}"/>
    <cellStyle name="Input 2 3 2 19 2 3" xfId="25523" xr:uid="{A13AD842-9C06-4AAE-AECE-0961D91E9B53}"/>
    <cellStyle name="Input 2 3 2 19 2 4" xfId="25524" xr:uid="{DA04622E-94E7-4F16-A096-F71886D59E50}"/>
    <cellStyle name="Input 2 3 2 19 2 5" xfId="25525" xr:uid="{A90FD874-CA56-470D-9FD9-A6566E38C02F}"/>
    <cellStyle name="Input 2 3 2 19 2 6" xfId="25526" xr:uid="{717F2BE6-7474-425F-9809-9099F7332271}"/>
    <cellStyle name="Input 2 3 2 19 3" xfId="25527" xr:uid="{1FD63D71-78D4-43A2-98AD-D3C149253184}"/>
    <cellStyle name="Input 2 3 2 19 4" xfId="25528" xr:uid="{D6680B5E-54F0-4219-BDB2-222132148154}"/>
    <cellStyle name="Input 2 3 2 19 5" xfId="25529" xr:uid="{188EE73A-F692-49E8-8EDA-E129DC39B233}"/>
    <cellStyle name="Input 2 3 2 19 6" xfId="25530" xr:uid="{0FAA138A-2AAD-474B-B032-F8C36899CE5D}"/>
    <cellStyle name="Input 2 3 2 19 7" xfId="25531" xr:uid="{DF33E119-AB5E-4909-A015-2A2BB3621535}"/>
    <cellStyle name="Input 2 3 2 2" xfId="1436" xr:uid="{CDF50FEE-8AE4-4AC4-A1B1-E66C73BA53F0}"/>
    <cellStyle name="Input 2 3 2 2 2" xfId="10048" xr:uid="{8D407C95-60C3-416F-97BC-A5F9AC08B7C6}"/>
    <cellStyle name="Input 2 3 2 2 2 2" xfId="25532" xr:uid="{3AC66B64-FC79-4690-96D1-A489C1523219}"/>
    <cellStyle name="Input 2 3 2 2 2 3" xfId="25533" xr:uid="{B1B46DB4-B7F6-4A71-8827-45FB5E159BA0}"/>
    <cellStyle name="Input 2 3 2 2 2 4" xfId="25534" xr:uid="{9D41B38C-D902-46C3-9671-11AC1F15E500}"/>
    <cellStyle name="Input 2 3 2 2 2 5" xfId="25535" xr:uid="{F330D2BB-312C-40CA-85A3-487D69B7074B}"/>
    <cellStyle name="Input 2 3 2 2 2 6" xfId="25536" xr:uid="{238D76DB-D21B-4248-A5D9-E7040278CC3A}"/>
    <cellStyle name="Input 2 3 2 2 3" xfId="25537" xr:uid="{2A51724A-BAF6-4AE2-8D1A-62777970135B}"/>
    <cellStyle name="Input 2 3 2 2 4" xfId="25538" xr:uid="{C3DFE2C6-292C-4710-B8FE-7C864B1232C0}"/>
    <cellStyle name="Input 2 3 2 2 5" xfId="25539" xr:uid="{5AB64765-6FF7-4F03-BDB2-24A716E5C429}"/>
    <cellStyle name="Input 2 3 2 2 6" xfId="25540" xr:uid="{7EF9C937-6565-4E72-B1FC-D865D5F22CF3}"/>
    <cellStyle name="Input 2 3 2 2 7" xfId="25541" xr:uid="{ACD96958-B2F6-489D-9D64-6F9DD6FCAB8C}"/>
    <cellStyle name="Input 2 3 2 20" xfId="1437" xr:uid="{02682636-359C-4F93-9A10-739D12B6D837}"/>
    <cellStyle name="Input 2 3 2 20 2" xfId="11629" xr:uid="{7BEF3A39-B5FD-4011-AE56-66F821AB9E10}"/>
    <cellStyle name="Input 2 3 2 20 2 2" xfId="25542" xr:uid="{7C430A42-233A-4A4B-8CD1-3791152D25BD}"/>
    <cellStyle name="Input 2 3 2 20 2 3" xfId="25543" xr:uid="{379D3B19-42DC-4FE1-8638-891C285C1092}"/>
    <cellStyle name="Input 2 3 2 20 2 4" xfId="25544" xr:uid="{9F5847CF-E8FD-429D-8966-1BCACFC376A7}"/>
    <cellStyle name="Input 2 3 2 20 2 5" xfId="25545" xr:uid="{63E1DDDF-1970-4226-B12D-79D495B4E8FC}"/>
    <cellStyle name="Input 2 3 2 20 2 6" xfId="25546" xr:uid="{994630DE-5E82-4110-91AB-F00B20039159}"/>
    <cellStyle name="Input 2 3 2 20 3" xfId="25547" xr:uid="{E41002E5-696F-4CF2-90A7-EC52794B570D}"/>
    <cellStyle name="Input 2 3 2 20 4" xfId="25548" xr:uid="{562129C6-565B-4BA6-AED4-95441D133BA1}"/>
    <cellStyle name="Input 2 3 2 20 5" xfId="25549" xr:uid="{2A0BA1FF-A062-4D77-8552-59DFC5589866}"/>
    <cellStyle name="Input 2 3 2 20 6" xfId="25550" xr:uid="{4F33CB3E-9FC5-4305-9F18-B0C8BC4182BD}"/>
    <cellStyle name="Input 2 3 2 20 7" xfId="25551" xr:uid="{F72A773E-1B28-4C68-AA6B-816000AFC37E}"/>
    <cellStyle name="Input 2 3 2 21" xfId="1438" xr:uid="{CCD20E5B-67D4-415A-984E-CC23A4A27E33}"/>
    <cellStyle name="Input 2 3 2 21 2" xfId="11713" xr:uid="{6B12C5ED-0ABB-4D28-829E-C55842BEF04B}"/>
    <cellStyle name="Input 2 3 2 21 2 2" xfId="25552" xr:uid="{5DBAC4AD-714E-4D83-81FB-C50A820E72AC}"/>
    <cellStyle name="Input 2 3 2 21 2 3" xfId="25553" xr:uid="{A02C8204-C0D6-468C-830C-0D1C1D25EFF6}"/>
    <cellStyle name="Input 2 3 2 21 2 4" xfId="25554" xr:uid="{F0BFA845-64D6-4828-860F-C92D1BFD48AA}"/>
    <cellStyle name="Input 2 3 2 21 2 5" xfId="25555" xr:uid="{8AAD2169-19F1-488F-84C3-84BC1100D238}"/>
    <cellStyle name="Input 2 3 2 21 2 6" xfId="25556" xr:uid="{A8477947-C2A7-4B55-9C4D-BCDCEB786BA2}"/>
    <cellStyle name="Input 2 3 2 21 3" xfId="25557" xr:uid="{8EC7307C-A716-4AFD-BE3C-9B51763A715F}"/>
    <cellStyle name="Input 2 3 2 21 4" xfId="25558" xr:uid="{CF08E75A-E62D-4BF2-9312-5B1B1DDFC0BF}"/>
    <cellStyle name="Input 2 3 2 21 5" xfId="25559" xr:uid="{0BCF2C0D-C1CB-469F-903A-AF0637CD9378}"/>
    <cellStyle name="Input 2 3 2 21 6" xfId="25560" xr:uid="{ACB1EF95-D59F-434F-80B7-44944951EE81}"/>
    <cellStyle name="Input 2 3 2 21 7" xfId="25561" xr:uid="{AEE58D70-B8D2-4821-BBD6-E44A8723335F}"/>
    <cellStyle name="Input 2 3 2 22" xfId="1439" xr:uid="{5E80FDAA-D088-478A-BC19-19CDBDF9DFD7}"/>
    <cellStyle name="Input 2 3 2 22 2" xfId="11796" xr:uid="{CCD63B01-A81F-4844-9C99-A95B00426628}"/>
    <cellStyle name="Input 2 3 2 22 2 2" xfId="25562" xr:uid="{E6FDC793-A63B-45DF-931B-9B06B973D4EE}"/>
    <cellStyle name="Input 2 3 2 22 2 3" xfId="25563" xr:uid="{0A4B6470-65AB-4439-83E7-F3AF0C49F895}"/>
    <cellStyle name="Input 2 3 2 22 2 4" xfId="25564" xr:uid="{38F283CB-D1C4-4C55-A1F6-D6DC866B4785}"/>
    <cellStyle name="Input 2 3 2 22 2 5" xfId="25565" xr:uid="{7B2D4854-8C99-49F4-BF93-7A005E1C6F14}"/>
    <cellStyle name="Input 2 3 2 22 2 6" xfId="25566" xr:uid="{6FE2A759-AE48-4EBD-A013-DB6F10083680}"/>
    <cellStyle name="Input 2 3 2 22 3" xfId="25567" xr:uid="{A60C299A-A108-4014-9230-931B7393B572}"/>
    <cellStyle name="Input 2 3 2 22 4" xfId="25568" xr:uid="{4C3B2BD0-B7C3-4452-95A1-6D1711EDE854}"/>
    <cellStyle name="Input 2 3 2 22 5" xfId="25569" xr:uid="{E89521D7-F222-4E74-8668-51723194F6EF}"/>
    <cellStyle name="Input 2 3 2 22 6" xfId="25570" xr:uid="{7B8BADC0-D89F-45E3-B6BC-7A385AB8CF0A}"/>
    <cellStyle name="Input 2 3 2 22 7" xfId="25571" xr:uid="{E2534A87-5777-46FD-98AF-FF0FEE289948}"/>
    <cellStyle name="Input 2 3 2 23" xfId="1440" xr:uid="{A590B597-9BA5-4F72-97E0-8C9674C3B42C}"/>
    <cellStyle name="Input 2 3 2 23 2" xfId="11879" xr:uid="{CEDDF04B-8F6B-4659-B023-B48C7936F28B}"/>
    <cellStyle name="Input 2 3 2 23 2 2" xfId="25572" xr:uid="{A463EAB0-68F7-4755-9E87-3EBFE5BB0E75}"/>
    <cellStyle name="Input 2 3 2 23 2 3" xfId="25573" xr:uid="{9A1A1DDD-4047-4C4A-A7EE-7CF55FE0B71F}"/>
    <cellStyle name="Input 2 3 2 23 2 4" xfId="25574" xr:uid="{CB5C9B33-416B-4ED1-AD0D-3D1ADCE5EFDE}"/>
    <cellStyle name="Input 2 3 2 23 2 5" xfId="25575" xr:uid="{0F9A5F3D-BC9B-4CF0-9BD8-67F96688EE4E}"/>
    <cellStyle name="Input 2 3 2 23 2 6" xfId="25576" xr:uid="{3E69A2C5-DA9E-4B28-8AD6-5F2929441046}"/>
    <cellStyle name="Input 2 3 2 23 3" xfId="25577" xr:uid="{1848F8D0-B032-40B7-AD4A-82CF4062255B}"/>
    <cellStyle name="Input 2 3 2 23 4" xfId="25578" xr:uid="{F1B30DAB-E9E5-453D-9EED-4737563FEFE2}"/>
    <cellStyle name="Input 2 3 2 23 5" xfId="25579" xr:uid="{963C4F3D-8FF9-47DD-9CF1-AD227F4697B3}"/>
    <cellStyle name="Input 2 3 2 23 6" xfId="25580" xr:uid="{BBBA29CE-C93D-47D3-823B-84E41BF4F5CD}"/>
    <cellStyle name="Input 2 3 2 23 7" xfId="25581" xr:uid="{719A0C59-8723-4A56-8807-8204C06715A4}"/>
    <cellStyle name="Input 2 3 2 24" xfId="1441" xr:uid="{512728C6-E4C6-4E4A-8B9D-8312A7243A7D}"/>
    <cellStyle name="Input 2 3 2 24 2" xfId="11963" xr:uid="{DC623A51-C13B-433A-866C-A3B44D0D38C9}"/>
    <cellStyle name="Input 2 3 2 24 2 2" xfId="25582" xr:uid="{FDD65703-43CA-4471-BEEA-2661AD8F7246}"/>
    <cellStyle name="Input 2 3 2 24 2 3" xfId="25583" xr:uid="{CB090CB0-E9EE-416F-96D1-B369BDC00EF2}"/>
    <cellStyle name="Input 2 3 2 24 2 4" xfId="25584" xr:uid="{A34CFCBB-E499-4499-B314-314F13E40F8B}"/>
    <cellStyle name="Input 2 3 2 24 2 5" xfId="25585" xr:uid="{77E1891F-1066-4423-BC79-1E35C1662944}"/>
    <cellStyle name="Input 2 3 2 24 2 6" xfId="25586" xr:uid="{16BE93B9-90B0-4BC4-B833-97707E11B5CC}"/>
    <cellStyle name="Input 2 3 2 24 3" xfId="25587" xr:uid="{D7657787-5FAB-4C58-B3B4-B6F54C6B56BA}"/>
    <cellStyle name="Input 2 3 2 24 4" xfId="25588" xr:uid="{549942E5-F99E-48F6-B26C-FF16851C35ED}"/>
    <cellStyle name="Input 2 3 2 24 5" xfId="25589" xr:uid="{57C013F5-313B-4DD4-AAC5-DF5BABE1D12F}"/>
    <cellStyle name="Input 2 3 2 24 6" xfId="25590" xr:uid="{3EF475F5-D712-4F4F-BDC2-0FB8D7E92D08}"/>
    <cellStyle name="Input 2 3 2 24 7" xfId="25591" xr:uid="{8661633A-BA4E-4215-A23D-E9F7C7D8E287}"/>
    <cellStyle name="Input 2 3 2 25" xfId="1442" xr:uid="{BEAC84DC-2F3C-41AB-9692-A64896A7F3F9}"/>
    <cellStyle name="Input 2 3 2 25 2" xfId="12046" xr:uid="{49E9497B-2167-4C8C-8BF9-5A8D78737C8E}"/>
    <cellStyle name="Input 2 3 2 25 2 2" xfId="25592" xr:uid="{E02EC6F3-8F67-43C0-A900-2F642E50DA31}"/>
    <cellStyle name="Input 2 3 2 25 2 3" xfId="25593" xr:uid="{2930C922-5DF4-4E52-BFFD-817F6578479A}"/>
    <cellStyle name="Input 2 3 2 25 2 4" xfId="25594" xr:uid="{9C7F591E-F777-48CC-A0D3-4DD5A8466ED2}"/>
    <cellStyle name="Input 2 3 2 25 2 5" xfId="25595" xr:uid="{88660672-88AD-4C6A-925D-4A9D8D29DF58}"/>
    <cellStyle name="Input 2 3 2 25 2 6" xfId="25596" xr:uid="{9033A823-28BC-4BB9-B13E-97A005C28ED4}"/>
    <cellStyle name="Input 2 3 2 25 3" xfId="25597" xr:uid="{DA10C3F2-273E-436A-98D0-ABBCA72EC263}"/>
    <cellStyle name="Input 2 3 2 25 4" xfId="25598" xr:uid="{B6F85561-FC97-4A4A-9BC0-D5695AAF81C2}"/>
    <cellStyle name="Input 2 3 2 25 5" xfId="25599" xr:uid="{A18FC3ED-5065-462C-AB33-364BDD87B557}"/>
    <cellStyle name="Input 2 3 2 25 6" xfId="25600" xr:uid="{48C66426-7ED1-44D9-BBD8-2E39F984D824}"/>
    <cellStyle name="Input 2 3 2 25 7" xfId="25601" xr:uid="{60D9552F-9E13-461D-9756-330773B23E98}"/>
    <cellStyle name="Input 2 3 2 26" xfId="1443" xr:uid="{3E9664D2-4602-4A4D-A3E1-95F987E95C5D}"/>
    <cellStyle name="Input 2 3 2 26 2" xfId="12129" xr:uid="{385FFFD8-AE21-40D5-BFE1-28316D64FAF0}"/>
    <cellStyle name="Input 2 3 2 26 2 2" xfId="25602" xr:uid="{67139B46-189D-4656-839E-0520722F5305}"/>
    <cellStyle name="Input 2 3 2 26 2 3" xfId="25603" xr:uid="{64B167B8-ECF5-4BFE-A553-1017610DB375}"/>
    <cellStyle name="Input 2 3 2 26 2 4" xfId="25604" xr:uid="{53B8924B-31C0-44A6-9809-2BFA91BF06FA}"/>
    <cellStyle name="Input 2 3 2 26 2 5" xfId="25605" xr:uid="{70F29964-6684-40E5-920C-F3B747F7D0F1}"/>
    <cellStyle name="Input 2 3 2 26 2 6" xfId="25606" xr:uid="{170CDD8D-86EE-42EC-A587-58A9ECF1AE31}"/>
    <cellStyle name="Input 2 3 2 26 3" xfId="25607" xr:uid="{F5614948-6C02-4648-8D76-C34DE0829729}"/>
    <cellStyle name="Input 2 3 2 26 4" xfId="25608" xr:uid="{C213DB30-C914-4994-913D-B165F1B2621E}"/>
    <cellStyle name="Input 2 3 2 26 5" xfId="25609" xr:uid="{D364EC89-035F-49DB-907D-7F9FC36B1E3B}"/>
    <cellStyle name="Input 2 3 2 26 6" xfId="25610" xr:uid="{44948C21-6A32-4209-AF22-A2890F200F99}"/>
    <cellStyle name="Input 2 3 2 26 7" xfId="25611" xr:uid="{9C4754A1-2B73-4C84-9D83-D02442BD0167}"/>
    <cellStyle name="Input 2 3 2 27" xfId="1444" xr:uid="{D6C9611D-705C-4E3B-BF57-DB397AF4E384}"/>
    <cellStyle name="Input 2 3 2 27 2" xfId="12211" xr:uid="{4992659F-85C3-4665-874E-430FD5BD5716}"/>
    <cellStyle name="Input 2 3 2 27 2 2" xfId="25612" xr:uid="{F4F7C75C-5176-48D2-A760-9988D6ACB831}"/>
    <cellStyle name="Input 2 3 2 27 2 3" xfId="25613" xr:uid="{4A5703D6-E89D-41D8-812A-010BCF9BF741}"/>
    <cellStyle name="Input 2 3 2 27 2 4" xfId="25614" xr:uid="{24650345-2D07-4265-AE36-D44CF55A5A0F}"/>
    <cellStyle name="Input 2 3 2 27 2 5" xfId="25615" xr:uid="{3DF8B071-9D4B-45E0-B78D-9E828015E6DA}"/>
    <cellStyle name="Input 2 3 2 27 2 6" xfId="25616" xr:uid="{E8E5F154-F43F-4846-ACD4-826CB01B6770}"/>
    <cellStyle name="Input 2 3 2 27 3" xfId="25617" xr:uid="{1D7A27B7-72CA-47FD-9A69-CB2ED1D323EF}"/>
    <cellStyle name="Input 2 3 2 27 4" xfId="25618" xr:uid="{577B01C4-2080-414C-A688-5A970B379688}"/>
    <cellStyle name="Input 2 3 2 27 5" xfId="25619" xr:uid="{748C523E-28D4-4923-8851-5ACAEB047BF7}"/>
    <cellStyle name="Input 2 3 2 27 6" xfId="25620" xr:uid="{8E9B6695-0208-4A1F-8A98-B89B042A2628}"/>
    <cellStyle name="Input 2 3 2 27 7" xfId="25621" xr:uid="{15ACE93B-F1E5-44FE-A548-E531F5908873}"/>
    <cellStyle name="Input 2 3 2 28" xfId="1445" xr:uid="{A3E7BBD7-86A3-49A0-A3D4-30F9175D3DC2}"/>
    <cellStyle name="Input 2 3 2 28 2" xfId="12291" xr:uid="{C8770054-F701-4337-BF51-2500EF7EC17D}"/>
    <cellStyle name="Input 2 3 2 28 2 2" xfId="25622" xr:uid="{B8858034-9B9D-43B6-BBC8-E3F489945868}"/>
    <cellStyle name="Input 2 3 2 28 2 3" xfId="25623" xr:uid="{44FB11D2-2D0A-4476-8754-C360B8C23973}"/>
    <cellStyle name="Input 2 3 2 28 2 4" xfId="25624" xr:uid="{A6E139B3-DE9B-4097-BD5D-3802E4C55C22}"/>
    <cellStyle name="Input 2 3 2 28 2 5" xfId="25625" xr:uid="{C81420C5-2EEC-44EE-863A-840E77EE5BF7}"/>
    <cellStyle name="Input 2 3 2 28 2 6" xfId="25626" xr:uid="{BF534FBC-0AF9-42AD-AE19-4BAA8B8D420D}"/>
    <cellStyle name="Input 2 3 2 28 3" xfId="25627" xr:uid="{E278DD37-BC74-48AB-9979-41052B82546D}"/>
    <cellStyle name="Input 2 3 2 28 4" xfId="25628" xr:uid="{E4BB6EA7-A27E-4216-9F36-2F21C62A8E7E}"/>
    <cellStyle name="Input 2 3 2 28 5" xfId="25629" xr:uid="{320F4A80-1022-4317-A5BA-A1541D5FD62E}"/>
    <cellStyle name="Input 2 3 2 28 6" xfId="25630" xr:uid="{42975788-A467-47E8-9F94-FCB03C25C612}"/>
    <cellStyle name="Input 2 3 2 28 7" xfId="25631" xr:uid="{4292145E-0F89-4E94-9D84-A90D922CAAE3}"/>
    <cellStyle name="Input 2 3 2 29" xfId="1446" xr:uid="{5BE39391-064C-4888-A022-054C2092724B}"/>
    <cellStyle name="Input 2 3 2 29 2" xfId="12369" xr:uid="{80AB28E5-53A7-4CE9-8D38-326F5C369F2C}"/>
    <cellStyle name="Input 2 3 2 29 2 2" xfId="25632" xr:uid="{1DA9E61A-981E-41DA-8F4A-2242F4113CC4}"/>
    <cellStyle name="Input 2 3 2 29 2 3" xfId="25633" xr:uid="{6E975A82-5565-4ACF-97D9-B6A0CC730494}"/>
    <cellStyle name="Input 2 3 2 29 2 4" xfId="25634" xr:uid="{37943B78-12D4-4D7A-9EF8-30E5B1A51F96}"/>
    <cellStyle name="Input 2 3 2 29 2 5" xfId="25635" xr:uid="{0B724DEC-FD51-4D57-8DB7-D26F6092DC1D}"/>
    <cellStyle name="Input 2 3 2 29 2 6" xfId="25636" xr:uid="{6AEA2954-1487-4E5B-9DD6-2F0B2D912397}"/>
    <cellStyle name="Input 2 3 2 29 3" xfId="25637" xr:uid="{5C21495D-4D60-4278-96C3-5BA6F7DEBE42}"/>
    <cellStyle name="Input 2 3 2 29 4" xfId="25638" xr:uid="{E3792B9F-464D-4002-AA0F-0F6C8CDCD9FC}"/>
    <cellStyle name="Input 2 3 2 29 5" xfId="25639" xr:uid="{5CC244B3-F5E3-43B7-92B4-E0EE98714E3F}"/>
    <cellStyle name="Input 2 3 2 29 6" xfId="25640" xr:uid="{587D6B47-5FB2-4F37-B847-4F1E28C6DC1F}"/>
    <cellStyle name="Input 2 3 2 29 7" xfId="25641" xr:uid="{B9B9EF18-DA37-40B5-9F8E-D8E8FFD73E32}"/>
    <cellStyle name="Input 2 3 2 3" xfId="1447" xr:uid="{6417C0EE-E398-4471-9106-AA7CF75E1D3C}"/>
    <cellStyle name="Input 2 3 2 3 2" xfId="10139" xr:uid="{C5C7EEEE-D126-420A-9D95-EBF1BEF035CA}"/>
    <cellStyle name="Input 2 3 2 3 2 2" xfId="25642" xr:uid="{47D88233-FAB4-4E9D-87A5-FC83C65C6904}"/>
    <cellStyle name="Input 2 3 2 3 2 3" xfId="25643" xr:uid="{E59BACF2-CD9B-418D-A39F-3EFA7C958CAE}"/>
    <cellStyle name="Input 2 3 2 3 2 4" xfId="25644" xr:uid="{0F50F961-66B6-4F8B-A93F-CD96BFE86117}"/>
    <cellStyle name="Input 2 3 2 3 2 5" xfId="25645" xr:uid="{F52A2793-4FA7-4DC2-B6F3-035698F0D863}"/>
    <cellStyle name="Input 2 3 2 3 2 6" xfId="25646" xr:uid="{08B1BF6F-89CE-4013-9833-E202AB6942E5}"/>
    <cellStyle name="Input 2 3 2 3 3" xfId="25647" xr:uid="{5514AF87-BBF1-4558-A6EE-EC5FEFD6F4DA}"/>
    <cellStyle name="Input 2 3 2 3 4" xfId="25648" xr:uid="{1C16197A-3C58-46CF-90D4-DAF894B22DD4}"/>
    <cellStyle name="Input 2 3 2 3 5" xfId="25649" xr:uid="{F845120F-4E36-4FC7-B526-F92B3F924DEC}"/>
    <cellStyle name="Input 2 3 2 3 6" xfId="25650" xr:uid="{B69C2467-4B73-4867-BFEA-B58DC74CEC2C}"/>
    <cellStyle name="Input 2 3 2 3 7" xfId="25651" xr:uid="{FD0B1415-FB2D-468C-B45F-8975BBFC7821}"/>
    <cellStyle name="Input 2 3 2 30" xfId="1448" xr:uid="{5D4D0B1D-EAC2-4D6E-966A-261987796450}"/>
    <cellStyle name="Input 2 3 2 30 2" xfId="12448" xr:uid="{60EA0860-307F-4248-9C45-73EC75E756F7}"/>
    <cellStyle name="Input 2 3 2 30 2 2" xfId="25652" xr:uid="{1648828B-4B1B-49D6-B89E-544B11EE4467}"/>
    <cellStyle name="Input 2 3 2 30 2 3" xfId="25653" xr:uid="{5255584E-BFA4-4992-B141-673F7F53FD12}"/>
    <cellStyle name="Input 2 3 2 30 2 4" xfId="25654" xr:uid="{D9C06384-F49D-4445-A1B9-66B8AD7EA10C}"/>
    <cellStyle name="Input 2 3 2 30 2 5" xfId="25655" xr:uid="{62C50B5D-F676-4B32-9C36-F7D6C6DF83EC}"/>
    <cellStyle name="Input 2 3 2 30 2 6" xfId="25656" xr:uid="{5B7711A5-0E31-4C1B-A4C5-974C4E85879C}"/>
    <cellStyle name="Input 2 3 2 30 3" xfId="25657" xr:uid="{B26A682C-5DE4-4759-B57E-7D4AB9DB6439}"/>
    <cellStyle name="Input 2 3 2 30 4" xfId="25658" xr:uid="{C828FE3B-F61E-43A7-86BF-9D9067EC3BB0}"/>
    <cellStyle name="Input 2 3 2 30 5" xfId="25659" xr:uid="{D44FDFD2-4623-4EE3-9D37-80C664CA931A}"/>
    <cellStyle name="Input 2 3 2 30 6" xfId="25660" xr:uid="{D208B00F-5A76-4769-8CA3-1C913FF90357}"/>
    <cellStyle name="Input 2 3 2 30 7" xfId="25661" xr:uid="{FEE9E78F-7D48-4816-BD6F-D2635D632890}"/>
    <cellStyle name="Input 2 3 2 31" xfId="1449" xr:uid="{18E37C95-46FC-4BA5-91BA-037BEF0D92FA}"/>
    <cellStyle name="Input 2 3 2 31 2" xfId="12527" xr:uid="{F129C944-2FF8-4166-B8D6-41CCAC5390A3}"/>
    <cellStyle name="Input 2 3 2 31 2 2" xfId="25662" xr:uid="{A37E762C-34C6-4E17-B63F-1E21EE92A12D}"/>
    <cellStyle name="Input 2 3 2 31 2 3" xfId="25663" xr:uid="{221C5163-13F8-4543-9962-257FD0232C50}"/>
    <cellStyle name="Input 2 3 2 31 2 4" xfId="25664" xr:uid="{5E2CBF34-B047-49A0-9C42-F35AE4671D04}"/>
    <cellStyle name="Input 2 3 2 31 2 5" xfId="25665" xr:uid="{E2B8627E-4D58-4B7F-A8F6-A040B47B6744}"/>
    <cellStyle name="Input 2 3 2 31 2 6" xfId="25666" xr:uid="{0F09EA45-09AE-4C00-864A-6852A00F4461}"/>
    <cellStyle name="Input 2 3 2 31 3" xfId="25667" xr:uid="{2BD0EBD5-D6F5-45F1-9BB1-C947C2DD8B7F}"/>
    <cellStyle name="Input 2 3 2 31 4" xfId="25668" xr:uid="{1747AC99-2C7D-42EA-BA18-0EDF6FF11B59}"/>
    <cellStyle name="Input 2 3 2 31 5" xfId="25669" xr:uid="{4935641C-1E86-4CFA-B30A-8372B89E6928}"/>
    <cellStyle name="Input 2 3 2 31 6" xfId="25670" xr:uid="{C0347AC0-9BBB-4962-836C-3AAA8AFF650E}"/>
    <cellStyle name="Input 2 3 2 31 7" xfId="25671" xr:uid="{56BB5A97-FABA-4CB5-A51D-C1DDB4781773}"/>
    <cellStyle name="Input 2 3 2 32" xfId="1450" xr:uid="{3C47BC0C-2054-4C90-81E3-EDB7A5073C0D}"/>
    <cellStyle name="Input 2 3 2 32 2" xfId="12606" xr:uid="{CA51F706-D96B-4617-95D2-B5264C20159B}"/>
    <cellStyle name="Input 2 3 2 32 2 2" xfId="25672" xr:uid="{DCE5EB86-F5BA-4938-9806-AE1D30957EDA}"/>
    <cellStyle name="Input 2 3 2 32 2 3" xfId="25673" xr:uid="{E319F241-F496-4AC1-8A24-0EB16ED8FFFC}"/>
    <cellStyle name="Input 2 3 2 32 2 4" xfId="25674" xr:uid="{A256FA6A-0AE7-4860-A5F0-9BA7638E9C0D}"/>
    <cellStyle name="Input 2 3 2 32 2 5" xfId="25675" xr:uid="{54D128A3-2CF9-484A-B508-0C8BC98DB0B0}"/>
    <cellStyle name="Input 2 3 2 32 2 6" xfId="25676" xr:uid="{D9F56E0F-28C9-4530-87D1-F477E14000E7}"/>
    <cellStyle name="Input 2 3 2 32 3" xfId="25677" xr:uid="{65CB514B-B335-4804-B8E3-62D37EB1592F}"/>
    <cellStyle name="Input 2 3 2 32 4" xfId="25678" xr:uid="{4085F005-5612-4947-B694-12DCC468D029}"/>
    <cellStyle name="Input 2 3 2 32 5" xfId="25679" xr:uid="{C778223D-0874-491A-900B-42F9B746F46C}"/>
    <cellStyle name="Input 2 3 2 32 6" xfId="25680" xr:uid="{F6E21719-0E36-4C64-879C-B476C0D9D8D1}"/>
    <cellStyle name="Input 2 3 2 32 7" xfId="25681" xr:uid="{25BF83AC-2D0F-4A77-89ED-A6E5366F7B94}"/>
    <cellStyle name="Input 2 3 2 33" xfId="1451" xr:uid="{EF7619BF-C621-4D20-AA09-92338A49FE0F}"/>
    <cellStyle name="Input 2 3 2 33 2" xfId="12685" xr:uid="{FBBCAD6D-A3C2-40CA-94CC-D0560493C294}"/>
    <cellStyle name="Input 2 3 2 33 2 2" xfId="25682" xr:uid="{379E7059-408D-4FDE-B237-AAA9A7E9457A}"/>
    <cellStyle name="Input 2 3 2 33 2 3" xfId="25683" xr:uid="{8C6EA684-819D-4AED-A0CC-56B6EEDDF20F}"/>
    <cellStyle name="Input 2 3 2 33 2 4" xfId="25684" xr:uid="{A316186F-4F38-4282-84D2-627A57336D05}"/>
    <cellStyle name="Input 2 3 2 33 2 5" xfId="25685" xr:uid="{F2A83CD8-488A-411C-8DEC-DFAAEB253367}"/>
    <cellStyle name="Input 2 3 2 33 2 6" xfId="25686" xr:uid="{043FF3F0-A3D0-4875-BA8A-451AE8CA9368}"/>
    <cellStyle name="Input 2 3 2 33 3" xfId="25687" xr:uid="{AC1A1136-D600-4348-A5B0-6A0E14A1A7A0}"/>
    <cellStyle name="Input 2 3 2 33 4" xfId="25688" xr:uid="{F5A26560-A150-4FF6-891F-BFDF1A50FB1E}"/>
    <cellStyle name="Input 2 3 2 33 5" xfId="25689" xr:uid="{4052BEC2-B05B-461E-9F34-C2DA565D61F7}"/>
    <cellStyle name="Input 2 3 2 33 6" xfId="25690" xr:uid="{96ADA033-0992-45B2-9148-03166A103927}"/>
    <cellStyle name="Input 2 3 2 33 7" xfId="25691" xr:uid="{5C30F92B-8BA0-4D3C-BD72-D869238AF55C}"/>
    <cellStyle name="Input 2 3 2 34" xfId="1452" xr:uid="{EC049E93-92A6-43EC-957D-159FB96BFD60}"/>
    <cellStyle name="Input 2 3 2 34 2" xfId="12769" xr:uid="{47420CC6-4D57-4FF4-A145-A0A976D9C02F}"/>
    <cellStyle name="Input 2 3 2 34 2 2" xfId="25692" xr:uid="{F849C2F9-59EB-4C26-9E71-B0F4C66ED15D}"/>
    <cellStyle name="Input 2 3 2 34 2 3" xfId="25693" xr:uid="{F2AF2A0A-DCDB-44F6-B9E9-258C5E2315AC}"/>
    <cellStyle name="Input 2 3 2 34 2 4" xfId="25694" xr:uid="{24E3B982-4A1D-4B39-80E0-F6B1E2FA3813}"/>
    <cellStyle name="Input 2 3 2 34 2 5" xfId="25695" xr:uid="{723742DB-EF1D-4245-A6EF-2503A4F47454}"/>
    <cellStyle name="Input 2 3 2 34 2 6" xfId="25696" xr:uid="{A934F7E3-152E-4DF9-BCF0-3255F4FE2B76}"/>
    <cellStyle name="Input 2 3 2 34 3" xfId="25697" xr:uid="{E1B317A1-A9D5-49B5-8746-13C31404F873}"/>
    <cellStyle name="Input 2 3 2 34 4" xfId="25698" xr:uid="{7B049ADF-A360-49F4-AFD0-919AD8BBB492}"/>
    <cellStyle name="Input 2 3 2 34 5" xfId="25699" xr:uid="{70DEE506-1710-44EC-988D-69B9B9DCF03D}"/>
    <cellStyle name="Input 2 3 2 35" xfId="9835" xr:uid="{5E57C573-C3FD-4848-B524-EE7FEB98DED6}"/>
    <cellStyle name="Input 2 3 2 35 2" xfId="25700" xr:uid="{B9DA6C74-FCC3-46D6-9672-6067690DE65C}"/>
    <cellStyle name="Input 2 3 2 35 3" xfId="25701" xr:uid="{13ADDB5A-10E3-435F-96FD-FA23260DB29F}"/>
    <cellStyle name="Input 2 3 2 35 4" xfId="25702" xr:uid="{07AAFB6B-1EBE-439E-9DD9-0E5174466400}"/>
    <cellStyle name="Input 2 3 2 35 5" xfId="25703" xr:uid="{4DEEF16A-9E9D-4641-94E8-0E2F7371D8F8}"/>
    <cellStyle name="Input 2 3 2 35 6" xfId="25704" xr:uid="{4C1E1545-1E7F-42D3-B074-FBEA9FF23B89}"/>
    <cellStyle name="Input 2 3 2 36" xfId="25705" xr:uid="{E99A7874-7DA9-47DF-B28A-21A7597C81D2}"/>
    <cellStyle name="Input 2 3 2 37" xfId="25706" xr:uid="{D8EFD883-DB8D-47FE-BD99-B8AF90C612AD}"/>
    <cellStyle name="Input 2 3 2 38" xfId="25707" xr:uid="{4F9729C1-07F6-4422-BFF9-8F9CE0C0D13F}"/>
    <cellStyle name="Input 2 3 2 4" xfId="1453" xr:uid="{D9C2A5F8-3047-4139-AFEF-32687FF21CED}"/>
    <cellStyle name="Input 2 3 2 4 2" xfId="10229" xr:uid="{6387E1D1-D7E4-4731-8BE6-D529696B56C8}"/>
    <cellStyle name="Input 2 3 2 4 2 2" xfId="25708" xr:uid="{2910D9D6-1E75-48F2-B345-047783B22FED}"/>
    <cellStyle name="Input 2 3 2 4 2 3" xfId="25709" xr:uid="{D6DE29D3-61D7-4CC8-ABE7-5CA0B69D7DEC}"/>
    <cellStyle name="Input 2 3 2 4 2 4" xfId="25710" xr:uid="{903749B3-21E4-4511-AD58-D561C77565FE}"/>
    <cellStyle name="Input 2 3 2 4 2 5" xfId="25711" xr:uid="{8B4AFECF-9455-41EE-B361-74DAAAAC1639}"/>
    <cellStyle name="Input 2 3 2 4 2 6" xfId="25712" xr:uid="{72EB6075-CFAA-4B9D-9284-36D509A863BF}"/>
    <cellStyle name="Input 2 3 2 4 3" xfId="25713" xr:uid="{4C0AA35A-31B8-4BB5-BB88-D1DEA4BE3434}"/>
    <cellStyle name="Input 2 3 2 4 4" xfId="25714" xr:uid="{C6D2647C-A5A2-44A7-BDAB-9D4D685ADE1B}"/>
    <cellStyle name="Input 2 3 2 4 5" xfId="25715" xr:uid="{78510431-2BD9-4C12-9465-4447ABE7E6C3}"/>
    <cellStyle name="Input 2 3 2 4 6" xfId="25716" xr:uid="{397166CD-9F4C-49B4-BF40-B3E4477F97B4}"/>
    <cellStyle name="Input 2 3 2 4 7" xfId="25717" xr:uid="{DCE9FF2A-03E0-4889-AC6A-B72D34356597}"/>
    <cellStyle name="Input 2 3 2 5" xfId="1454" xr:uid="{1208414D-E4DA-4C85-8F5F-82E3C71F29C6}"/>
    <cellStyle name="Input 2 3 2 5 2" xfId="10315" xr:uid="{00EFA214-CF7E-4EC7-AE85-C70792149CF3}"/>
    <cellStyle name="Input 2 3 2 5 2 2" xfId="25718" xr:uid="{A1D4BC39-4E2A-4265-9260-55E8FE321570}"/>
    <cellStyle name="Input 2 3 2 5 2 3" xfId="25719" xr:uid="{44F9BF5B-E997-497E-9B42-DF782E3CA536}"/>
    <cellStyle name="Input 2 3 2 5 2 4" xfId="25720" xr:uid="{84B60272-9575-4A51-87EB-D0CF467400FF}"/>
    <cellStyle name="Input 2 3 2 5 2 5" xfId="25721" xr:uid="{C8856541-41AF-4584-AC57-90D6E7E8E179}"/>
    <cellStyle name="Input 2 3 2 5 2 6" xfId="25722" xr:uid="{641D56C5-B640-4170-903F-FAE74E2EAF94}"/>
    <cellStyle name="Input 2 3 2 5 3" xfId="25723" xr:uid="{AB8A58CD-E8A0-4BE5-9EA4-067D6C546E66}"/>
    <cellStyle name="Input 2 3 2 5 4" xfId="25724" xr:uid="{A4E3C45E-FBB3-485A-A292-84645CC94F4C}"/>
    <cellStyle name="Input 2 3 2 5 5" xfId="25725" xr:uid="{D64EC6D9-4654-4185-BB24-280E362B5FB1}"/>
    <cellStyle name="Input 2 3 2 5 6" xfId="25726" xr:uid="{F2183313-80B9-4DA9-BDD0-9F8411DABAD3}"/>
    <cellStyle name="Input 2 3 2 5 7" xfId="25727" xr:uid="{DB87381B-153A-4E20-AC49-49883D554617}"/>
    <cellStyle name="Input 2 3 2 6" xfId="1455" xr:uid="{D056F974-F4EB-46C9-8CB8-D8C251773B90}"/>
    <cellStyle name="Input 2 3 2 6 2" xfId="10403" xr:uid="{C0CC0076-EF1E-417F-AEBD-333E1E637526}"/>
    <cellStyle name="Input 2 3 2 6 2 2" xfId="25728" xr:uid="{DCE16F42-CDF2-40D8-8650-BA19165DCAA2}"/>
    <cellStyle name="Input 2 3 2 6 2 3" xfId="25729" xr:uid="{1708C31F-6D49-4665-89D2-CBCD71EC767F}"/>
    <cellStyle name="Input 2 3 2 6 2 4" xfId="25730" xr:uid="{582C5511-5454-47DC-801C-804A441684A9}"/>
    <cellStyle name="Input 2 3 2 6 2 5" xfId="25731" xr:uid="{FDE91970-CEA0-4DA5-8B80-15A7D6932BA6}"/>
    <cellStyle name="Input 2 3 2 6 2 6" xfId="25732" xr:uid="{610DFA91-CFB9-4829-A520-3EAFC6B83BA4}"/>
    <cellStyle name="Input 2 3 2 6 3" xfId="25733" xr:uid="{0E5365EC-AE3D-4749-8220-22F40AEBE853}"/>
    <cellStyle name="Input 2 3 2 6 4" xfId="25734" xr:uid="{95808AC9-437B-4B7F-8324-BE4F02646F10}"/>
    <cellStyle name="Input 2 3 2 6 5" xfId="25735" xr:uid="{21DCF6AA-97B7-45BF-BB1D-01ABFFDECD49}"/>
    <cellStyle name="Input 2 3 2 6 6" xfId="25736" xr:uid="{AA323750-71E3-41FB-895B-30E60B3BC44D}"/>
    <cellStyle name="Input 2 3 2 6 7" xfId="25737" xr:uid="{4C06B78A-2CA8-4737-8BEC-4841A2D45BF7}"/>
    <cellStyle name="Input 2 3 2 7" xfId="1456" xr:uid="{49C901FD-BD42-4C64-896A-631EE36CB3E2}"/>
    <cellStyle name="Input 2 3 2 7 2" xfId="10490" xr:uid="{6523B1E7-E97B-4933-9DC1-0FDDDEC562C9}"/>
    <cellStyle name="Input 2 3 2 7 2 2" xfId="25738" xr:uid="{233B7E6F-044F-4556-A48C-D699DCA504AA}"/>
    <cellStyle name="Input 2 3 2 7 2 3" xfId="25739" xr:uid="{F1CB815F-EECF-4DFC-9359-ECDB761D9BCC}"/>
    <cellStyle name="Input 2 3 2 7 2 4" xfId="25740" xr:uid="{4609D662-2546-4C4A-B190-8C7F1FB8CC03}"/>
    <cellStyle name="Input 2 3 2 7 2 5" xfId="25741" xr:uid="{5B6EA775-2DD1-4702-97E9-AF680F59C38A}"/>
    <cellStyle name="Input 2 3 2 7 2 6" xfId="25742" xr:uid="{905F861E-07CC-4BCE-AE4C-57AA608CCE55}"/>
    <cellStyle name="Input 2 3 2 7 3" xfId="25743" xr:uid="{1428FF1C-E655-4F6A-B69C-597D46A8C7CF}"/>
    <cellStyle name="Input 2 3 2 7 4" xfId="25744" xr:uid="{8E475439-EEC4-4AAC-B0FC-6BE5F0E458CA}"/>
    <cellStyle name="Input 2 3 2 7 5" xfId="25745" xr:uid="{AE63D613-97C0-435C-967F-BD9C8C9498A3}"/>
    <cellStyle name="Input 2 3 2 7 6" xfId="25746" xr:uid="{8724B6BF-A8C6-4B7F-8DA5-8BA79957B166}"/>
    <cellStyle name="Input 2 3 2 7 7" xfId="25747" xr:uid="{640B31B4-366E-4B62-9439-F4684F9FD36D}"/>
    <cellStyle name="Input 2 3 2 8" xfId="1457" xr:uid="{80C008E9-07E2-49DD-9AF9-77E97532AF7D}"/>
    <cellStyle name="Input 2 3 2 8 2" xfId="10578" xr:uid="{31B0574F-5E2E-4147-8C62-392A4D6C757F}"/>
    <cellStyle name="Input 2 3 2 8 2 2" xfId="25748" xr:uid="{5DA38397-6BA2-4C8E-B34E-3780492005A4}"/>
    <cellStyle name="Input 2 3 2 8 2 3" xfId="25749" xr:uid="{84DAF4D8-F972-48A4-8411-116C98CD1EFD}"/>
    <cellStyle name="Input 2 3 2 8 2 4" xfId="25750" xr:uid="{94E1740B-B739-4A5B-ADE7-D64739502DFA}"/>
    <cellStyle name="Input 2 3 2 8 2 5" xfId="25751" xr:uid="{31791D2A-12BE-49F7-935D-4C82275B8B10}"/>
    <cellStyle name="Input 2 3 2 8 2 6" xfId="25752" xr:uid="{298C1936-BFD2-4185-8311-6D1257331519}"/>
    <cellStyle name="Input 2 3 2 8 3" xfId="25753" xr:uid="{642E0F25-E98F-4F14-9E32-2BD4029E6610}"/>
    <cellStyle name="Input 2 3 2 8 4" xfId="25754" xr:uid="{4D092924-CBF8-4572-A7E6-887621FA0C31}"/>
    <cellStyle name="Input 2 3 2 8 5" xfId="25755" xr:uid="{12CD582B-5528-4CD3-A77F-18395F5A8777}"/>
    <cellStyle name="Input 2 3 2 8 6" xfId="25756" xr:uid="{6142CF59-D492-44A1-88BA-6F19AE069B27}"/>
    <cellStyle name="Input 2 3 2 8 7" xfId="25757" xr:uid="{382673C7-45BD-45A7-9ADB-DE9D7D9BEB24}"/>
    <cellStyle name="Input 2 3 2 9" xfId="1458" xr:uid="{B43A69F1-0FB3-47EA-AE5A-3C1BE45EFCA2}"/>
    <cellStyle name="Input 2 3 2 9 2" xfId="10660" xr:uid="{00AADD1A-ED27-4A6F-9A47-07623363DD9C}"/>
    <cellStyle name="Input 2 3 2 9 2 2" xfId="25758" xr:uid="{755366AF-736A-4C1F-8023-0B74FADCC283}"/>
    <cellStyle name="Input 2 3 2 9 2 3" xfId="25759" xr:uid="{8E477FDC-DF8A-4455-925D-D3414BC9165C}"/>
    <cellStyle name="Input 2 3 2 9 2 4" xfId="25760" xr:uid="{74BB8201-2DEE-457A-8908-58B2CE20BA85}"/>
    <cellStyle name="Input 2 3 2 9 2 5" xfId="25761" xr:uid="{A24CB364-5169-4E9D-8085-F65B7A09EB78}"/>
    <cellStyle name="Input 2 3 2 9 2 6" xfId="25762" xr:uid="{524E353A-92CF-42A7-BCBF-A5BD0444D755}"/>
    <cellStyle name="Input 2 3 2 9 3" xfId="25763" xr:uid="{C82DD094-A535-4008-8CFA-EBEEB9A6C206}"/>
    <cellStyle name="Input 2 3 2 9 4" xfId="25764" xr:uid="{1B458255-68E5-48FD-8223-0B6715EE31CD}"/>
    <cellStyle name="Input 2 3 2 9 5" xfId="25765" xr:uid="{34B984F3-14AE-4B77-BF23-74E41538B309}"/>
    <cellStyle name="Input 2 3 2 9 6" xfId="25766" xr:uid="{F1245C0A-2983-4FED-B308-4E802F5E842A}"/>
    <cellStyle name="Input 2 3 2 9 7" xfId="25767" xr:uid="{805E3E3E-5967-42D7-A99F-B49F3E07EBD7}"/>
    <cellStyle name="Input 2 3 20" xfId="1459" xr:uid="{B8F741ED-212F-4E2C-89B4-31E4BAAE9EF6}"/>
    <cellStyle name="Input 2 3 20 2" xfId="11507" xr:uid="{159492D8-10F6-4957-BF69-D971F9184F63}"/>
    <cellStyle name="Input 2 3 20 2 2" xfId="25768" xr:uid="{B8854E80-907F-4336-B1A3-EDCDB680BF48}"/>
    <cellStyle name="Input 2 3 20 2 3" xfId="25769" xr:uid="{8141EC77-7DE3-46D2-8B5A-04FD86753CD4}"/>
    <cellStyle name="Input 2 3 20 2 4" xfId="25770" xr:uid="{37107CB8-6C46-4489-97BF-4A4DB77D41BB}"/>
    <cellStyle name="Input 2 3 20 2 5" xfId="25771" xr:uid="{D52D66E8-A11A-4DAD-A9F6-6FB815AE8F44}"/>
    <cellStyle name="Input 2 3 20 2 6" xfId="25772" xr:uid="{AF5C5ABA-4610-4FE3-9B60-148D13C79E96}"/>
    <cellStyle name="Input 2 3 20 3" xfId="25773" xr:uid="{B30502FC-F486-4000-A4F0-E1493C674E45}"/>
    <cellStyle name="Input 2 3 20 4" xfId="25774" xr:uid="{4E986E41-DACB-4E88-AA18-EDD4223D9DAC}"/>
    <cellStyle name="Input 2 3 20 5" xfId="25775" xr:uid="{FBA4A144-921C-47E2-835F-B9EDCA4A1A4F}"/>
    <cellStyle name="Input 2 3 20 6" xfId="25776" xr:uid="{B49852EE-65C8-40A2-8BAD-F6DC0B68C4AD}"/>
    <cellStyle name="Input 2 3 20 7" xfId="25777" xr:uid="{AF4D7BE5-EA3D-4778-9942-1D7877F30B2F}"/>
    <cellStyle name="Input 2 3 21" xfId="1460" xr:uid="{6F4FBDD0-73A5-4DCA-A8B6-E85371CDE6DE}"/>
    <cellStyle name="Input 2 3 21 2" xfId="11595" xr:uid="{C79E3D28-601E-4FB2-83B8-DE560090B245}"/>
    <cellStyle name="Input 2 3 21 2 2" xfId="25778" xr:uid="{1091CE0F-AB04-4B43-BB5A-0A622A211D5C}"/>
    <cellStyle name="Input 2 3 21 2 3" xfId="25779" xr:uid="{CB8B421C-AAF4-4434-ABD6-E28426A945BA}"/>
    <cellStyle name="Input 2 3 21 2 4" xfId="25780" xr:uid="{0E846E75-435C-45AC-8A28-1D3576E6D96E}"/>
    <cellStyle name="Input 2 3 21 2 5" xfId="25781" xr:uid="{B6DAAF8F-2B6B-47B6-918A-B88C0F34BF48}"/>
    <cellStyle name="Input 2 3 21 2 6" xfId="25782" xr:uid="{6C2F21EA-2567-4C6F-9991-1469B1A48953}"/>
    <cellStyle name="Input 2 3 21 3" xfId="25783" xr:uid="{10F6073D-D453-45E6-B6AC-012E6EFBD397}"/>
    <cellStyle name="Input 2 3 21 4" xfId="25784" xr:uid="{50076BB4-7AD5-4AD8-8ECF-15876961751C}"/>
    <cellStyle name="Input 2 3 21 5" xfId="25785" xr:uid="{D4EEE0BE-A29C-4385-B57B-33A9D108258D}"/>
    <cellStyle name="Input 2 3 21 6" xfId="25786" xr:uid="{DB0A11B5-2A73-4BC8-B743-DA2007A679A9}"/>
    <cellStyle name="Input 2 3 21 7" xfId="25787" xr:uid="{6B017298-8D46-4E68-B848-84891EB45D19}"/>
    <cellStyle name="Input 2 3 22" xfId="1461" xr:uid="{AA8A777B-2B35-4E84-8F44-F3BCD8579834}"/>
    <cellStyle name="Input 2 3 22 2" xfId="11680" xr:uid="{5B16F6A8-4A46-492B-A9B5-5AD7B8E752ED}"/>
    <cellStyle name="Input 2 3 22 2 2" xfId="25788" xr:uid="{58E690F5-16BE-481F-88F1-749990FFCD91}"/>
    <cellStyle name="Input 2 3 22 2 3" xfId="25789" xr:uid="{78C44770-3764-49FC-A4A4-FEBBA76A3027}"/>
    <cellStyle name="Input 2 3 22 2 4" xfId="25790" xr:uid="{18B7F266-A73B-45F3-A22F-086B1B00FC3F}"/>
    <cellStyle name="Input 2 3 22 2 5" xfId="25791" xr:uid="{95F9D92E-C20C-4E37-98C3-70DE5578911A}"/>
    <cellStyle name="Input 2 3 22 2 6" xfId="25792" xr:uid="{827D9853-9928-4BAB-8C33-71382C60F7CE}"/>
    <cellStyle name="Input 2 3 22 3" xfId="25793" xr:uid="{869BABF2-201D-4431-ACC0-BCF168D125F3}"/>
    <cellStyle name="Input 2 3 22 4" xfId="25794" xr:uid="{88BE3C16-451C-4DA7-917D-F5F079624642}"/>
    <cellStyle name="Input 2 3 22 5" xfId="25795" xr:uid="{D725C066-F4CA-4938-8756-C4659C6FBE12}"/>
    <cellStyle name="Input 2 3 22 6" xfId="25796" xr:uid="{76CF37E3-1F7B-4C71-8B29-FEDE12018912}"/>
    <cellStyle name="Input 2 3 22 7" xfId="25797" xr:uid="{33A7CDC3-B5F5-48A9-AA1A-D74EBB35A498}"/>
    <cellStyle name="Input 2 3 23" xfId="1462" xr:uid="{4BDB4164-C9D6-41CB-B81F-F8FB630BCC3A}"/>
    <cellStyle name="Input 2 3 23 2" xfId="11763" xr:uid="{4B4EB913-F406-4D23-AECE-71DBD0CEF3DD}"/>
    <cellStyle name="Input 2 3 23 2 2" xfId="25798" xr:uid="{382C4793-7DBD-498E-9F6C-E472A79CB961}"/>
    <cellStyle name="Input 2 3 23 2 3" xfId="25799" xr:uid="{03B173CB-A19F-4874-8230-283FB540A359}"/>
    <cellStyle name="Input 2 3 23 2 4" xfId="25800" xr:uid="{125C1AF5-A861-4432-9681-8C5BDB7A9D0B}"/>
    <cellStyle name="Input 2 3 23 2 5" xfId="25801" xr:uid="{40D03BF4-1857-4449-9178-95F4572C73D0}"/>
    <cellStyle name="Input 2 3 23 2 6" xfId="25802" xr:uid="{30AAA771-9914-4894-BC49-4B2678B199B6}"/>
    <cellStyle name="Input 2 3 23 3" xfId="25803" xr:uid="{24916C81-C357-4433-9F03-8517DD80D676}"/>
    <cellStyle name="Input 2 3 23 4" xfId="25804" xr:uid="{3D49E3E6-11A0-49CA-A745-954516A4C4A9}"/>
    <cellStyle name="Input 2 3 23 5" xfId="25805" xr:uid="{A6A5A0F2-3264-4BEF-A431-A0604588BC42}"/>
    <cellStyle name="Input 2 3 23 6" xfId="25806" xr:uid="{0108A65D-7D85-4569-AF5C-5E67BB663B94}"/>
    <cellStyle name="Input 2 3 23 7" xfId="25807" xr:uid="{B3B96FCA-5B46-48A2-9840-6D4AD8F0CFCA}"/>
    <cellStyle name="Input 2 3 24" xfId="1463" xr:uid="{2C6F057E-6E5F-4484-9A68-0703B9F0718A}"/>
    <cellStyle name="Input 2 3 24 2" xfId="11845" xr:uid="{29FD8E48-935A-480C-A24C-901A1AE9CD9C}"/>
    <cellStyle name="Input 2 3 24 2 2" xfId="25808" xr:uid="{4D5657B6-C885-4D42-A101-6E3F55D306AD}"/>
    <cellStyle name="Input 2 3 24 2 3" xfId="25809" xr:uid="{C3DEC006-7C81-47F9-9C2F-2AB78F419A22}"/>
    <cellStyle name="Input 2 3 24 2 4" xfId="25810" xr:uid="{6AC1C6FC-F5D5-4343-A10E-E07C6F0714BF}"/>
    <cellStyle name="Input 2 3 24 2 5" xfId="25811" xr:uid="{3B4DE028-F57C-440B-95A8-9ECEC4A6D96B}"/>
    <cellStyle name="Input 2 3 24 2 6" xfId="25812" xr:uid="{D6E9FB87-FE2E-4017-B249-1972936E1784}"/>
    <cellStyle name="Input 2 3 24 3" xfId="25813" xr:uid="{98C86939-FD38-4B5F-8421-6CE79FC6AB16}"/>
    <cellStyle name="Input 2 3 24 4" xfId="25814" xr:uid="{66B3F591-C003-4E6D-864E-24E003D0EE9D}"/>
    <cellStyle name="Input 2 3 24 5" xfId="25815" xr:uid="{2425A72D-FFD6-4F60-9189-EC343A78A84D}"/>
    <cellStyle name="Input 2 3 24 6" xfId="25816" xr:uid="{3254ED5F-D36B-468E-9F8D-78EE59044AE3}"/>
    <cellStyle name="Input 2 3 24 7" xfId="25817" xr:uid="{1812987A-E0C1-4BA8-A987-14CBC03AA974}"/>
    <cellStyle name="Input 2 3 25" xfId="1464" xr:uid="{CD1AA7DE-787F-4CE8-8DB1-67639170C409}"/>
    <cellStyle name="Input 2 3 25 2" xfId="11929" xr:uid="{7F4C0AC5-A6DA-4C73-B88B-24612D8272B7}"/>
    <cellStyle name="Input 2 3 25 2 2" xfId="25818" xr:uid="{DC619958-84C6-4DE3-90BE-FB588FF7898A}"/>
    <cellStyle name="Input 2 3 25 2 3" xfId="25819" xr:uid="{CB2F26AC-E36D-4FBD-8DDA-6ED92C317DD3}"/>
    <cellStyle name="Input 2 3 25 2 4" xfId="25820" xr:uid="{EE564EF1-DFE2-4A37-9E84-5580A6658642}"/>
    <cellStyle name="Input 2 3 25 2 5" xfId="25821" xr:uid="{48E65ACB-B711-4EF3-ADEE-92F063DBFB38}"/>
    <cellStyle name="Input 2 3 25 2 6" xfId="25822" xr:uid="{ABF8CFA9-F936-448B-A868-FDCBFDFDDCD2}"/>
    <cellStyle name="Input 2 3 25 3" xfId="25823" xr:uid="{61DAE111-0CCD-43BB-B064-006FDC2CD398}"/>
    <cellStyle name="Input 2 3 25 4" xfId="25824" xr:uid="{EE854A71-4654-434C-8EC5-BC34F82EE1DB}"/>
    <cellStyle name="Input 2 3 25 5" xfId="25825" xr:uid="{98C28155-C110-4A9C-88C6-76750DE1B2E1}"/>
    <cellStyle name="Input 2 3 25 6" xfId="25826" xr:uid="{DBCB0E18-EB00-411A-A8A3-47C3A8ADF87D}"/>
    <cellStyle name="Input 2 3 25 7" xfId="25827" xr:uid="{EEC636DF-C3FA-498C-A68B-E537AB529799}"/>
    <cellStyle name="Input 2 3 26" xfId="1465" xr:uid="{808B8E5F-55AD-47B6-BA6E-1DC39BB43CFB}"/>
    <cellStyle name="Input 2 3 26 2" xfId="12013" xr:uid="{37BBE004-AFE7-4FD3-9449-69A3D91DE441}"/>
    <cellStyle name="Input 2 3 26 2 2" xfId="25828" xr:uid="{1D64D86A-B252-4383-89C1-DEADD89A51C1}"/>
    <cellStyle name="Input 2 3 26 2 3" xfId="25829" xr:uid="{1CDE766D-7CC1-434B-BD30-BA7B30399139}"/>
    <cellStyle name="Input 2 3 26 2 4" xfId="25830" xr:uid="{C1F2D809-2805-4B58-B445-FDF6C427D0A2}"/>
    <cellStyle name="Input 2 3 26 2 5" xfId="25831" xr:uid="{4F2088B5-FC22-462C-A46D-EBFCE458C7C4}"/>
    <cellStyle name="Input 2 3 26 2 6" xfId="25832" xr:uid="{0B8F9FCA-3F35-447A-BA2A-04A9737F0764}"/>
    <cellStyle name="Input 2 3 26 3" xfId="25833" xr:uid="{86544CB9-620A-418D-8C8F-E8BD6994A165}"/>
    <cellStyle name="Input 2 3 26 4" xfId="25834" xr:uid="{EB875599-5460-4131-A110-32ED012CDD5F}"/>
    <cellStyle name="Input 2 3 26 5" xfId="25835" xr:uid="{D17FC81C-9703-4784-93B9-FE72D137948B}"/>
    <cellStyle name="Input 2 3 26 6" xfId="25836" xr:uid="{09F0EBB9-C922-4116-B52A-CB48FD06CAF9}"/>
    <cellStyle name="Input 2 3 26 7" xfId="25837" xr:uid="{D26A308B-B021-4552-88D8-18B885872B37}"/>
    <cellStyle name="Input 2 3 27" xfId="1466" xr:uid="{66175AA6-EF6E-42EA-B9E8-B24BA1DC3759}"/>
    <cellStyle name="Input 2 3 27 2" xfId="12096" xr:uid="{FC9D5C45-DD85-40A0-8ED7-89CDF2B85631}"/>
    <cellStyle name="Input 2 3 27 2 2" xfId="25838" xr:uid="{24DFC694-8E8D-4589-A314-3CAFBB5907E2}"/>
    <cellStyle name="Input 2 3 27 2 3" xfId="25839" xr:uid="{AC2203EB-F7EE-49D6-9D34-967D12CC57FF}"/>
    <cellStyle name="Input 2 3 27 2 4" xfId="25840" xr:uid="{50AE43D5-CC9F-4C2A-9B72-51A7280F407D}"/>
    <cellStyle name="Input 2 3 27 2 5" xfId="25841" xr:uid="{252AB5F0-45C0-4E46-931C-1A28562A7E36}"/>
    <cellStyle name="Input 2 3 27 2 6" xfId="25842" xr:uid="{291EE47B-3937-4FA9-9194-917BF1B1E277}"/>
    <cellStyle name="Input 2 3 27 3" xfId="25843" xr:uid="{823FCEB6-94D6-417F-A2FD-5F7987910305}"/>
    <cellStyle name="Input 2 3 27 4" xfId="25844" xr:uid="{1ED0D15F-CF2D-4640-B53F-8C8422163007}"/>
    <cellStyle name="Input 2 3 27 5" xfId="25845" xr:uid="{36EEBF62-1911-4AA7-BD1E-16A5B31868B5}"/>
    <cellStyle name="Input 2 3 27 6" xfId="25846" xr:uid="{56AA8BFC-3572-4001-88BF-069DA5F68687}"/>
    <cellStyle name="Input 2 3 27 7" xfId="25847" xr:uid="{057687AB-EB49-427B-838B-E4ED111F4400}"/>
    <cellStyle name="Input 2 3 28" xfId="1467" xr:uid="{48EA6F76-5BEC-4A08-A658-3F3C7B8A62A9}"/>
    <cellStyle name="Input 2 3 28 2" xfId="12178" xr:uid="{3B79DAC2-A59D-4514-996F-0F5800F54434}"/>
    <cellStyle name="Input 2 3 28 2 2" xfId="25848" xr:uid="{69754E76-3800-400F-8410-A66E50E93A85}"/>
    <cellStyle name="Input 2 3 28 2 3" xfId="25849" xr:uid="{CD4F99AE-B4CF-4BA8-B6AE-2CC51D059A94}"/>
    <cellStyle name="Input 2 3 28 2 4" xfId="25850" xr:uid="{9181F932-D8F9-41A9-A244-D018DBBA6AF5}"/>
    <cellStyle name="Input 2 3 28 2 5" xfId="25851" xr:uid="{C60E1BFE-E380-47BA-872B-94F40FC81F31}"/>
    <cellStyle name="Input 2 3 28 2 6" xfId="25852" xr:uid="{48DFC6C8-B605-4710-9B2D-1D0DA0DC4675}"/>
    <cellStyle name="Input 2 3 28 3" xfId="25853" xr:uid="{376569A8-6BD1-48AD-B34E-9E86078AE182}"/>
    <cellStyle name="Input 2 3 28 4" xfId="25854" xr:uid="{6A50F4C4-1282-43B8-9D5F-910CF6BA39E1}"/>
    <cellStyle name="Input 2 3 28 5" xfId="25855" xr:uid="{D97BBF65-FAAE-4467-ADAA-9360A58CCF3A}"/>
    <cellStyle name="Input 2 3 28 6" xfId="25856" xr:uid="{F0596464-EB7B-4B50-88A7-FB81AC71570C}"/>
    <cellStyle name="Input 2 3 28 7" xfId="25857" xr:uid="{FA11C462-4775-468A-846E-5B03C1018596}"/>
    <cellStyle name="Input 2 3 29" xfId="1468" xr:uid="{2B93D4F1-FEDC-4938-BBD8-8153908B20DE}"/>
    <cellStyle name="Input 2 3 29 2" xfId="12258" xr:uid="{DB01EE16-09A5-4BDF-ABFE-9607B4AB85B3}"/>
    <cellStyle name="Input 2 3 29 2 2" xfId="25858" xr:uid="{CACE3F46-B91D-4529-BE4D-A7CAEC7DC818}"/>
    <cellStyle name="Input 2 3 29 2 3" xfId="25859" xr:uid="{E535910A-C2D7-4706-A163-68E1FD3577A5}"/>
    <cellStyle name="Input 2 3 29 2 4" xfId="25860" xr:uid="{3FE6E5C9-41B4-4DE5-8A1F-9CF77D6882E2}"/>
    <cellStyle name="Input 2 3 29 2 5" xfId="25861" xr:uid="{27F9EEB6-22EE-4BB5-9840-C4A75ABE3B4B}"/>
    <cellStyle name="Input 2 3 29 2 6" xfId="25862" xr:uid="{7CAA8B92-A739-4C70-9D95-61BB64FFA02A}"/>
    <cellStyle name="Input 2 3 29 3" xfId="25863" xr:uid="{B92F9F7E-D48A-4FD6-B95D-723D832DD30F}"/>
    <cellStyle name="Input 2 3 29 4" xfId="25864" xr:uid="{2C37169F-6CE8-45FB-9333-A43A1C260B44}"/>
    <cellStyle name="Input 2 3 29 5" xfId="25865" xr:uid="{535FDCBE-EC54-4E9F-936E-CA57ACC9A5F1}"/>
    <cellStyle name="Input 2 3 29 6" xfId="25866" xr:uid="{C99CCC81-E86E-46A9-B9A3-E652A6194EBA}"/>
    <cellStyle name="Input 2 3 29 7" xfId="25867" xr:uid="{0256177F-8DB2-41E5-961B-5DFA6F04D7C8}"/>
    <cellStyle name="Input 2 3 3" xfId="1469" xr:uid="{2FB1B331-99E2-4F93-81D7-576CEA8597DE}"/>
    <cellStyle name="Input 2 3 3 2" xfId="10014" xr:uid="{DA8ED75D-D057-48CD-8841-285A70653AE7}"/>
    <cellStyle name="Input 2 3 3 2 2" xfId="25868" xr:uid="{FCE4F72A-9D70-4F25-B169-F40CEA03E8CF}"/>
    <cellStyle name="Input 2 3 3 2 3" xfId="25869" xr:uid="{D76A2E16-2B45-48E2-A661-3A995C18299B}"/>
    <cellStyle name="Input 2 3 3 2 4" xfId="25870" xr:uid="{366BD901-2E29-4BB6-8446-C4D6E1CBBAAB}"/>
    <cellStyle name="Input 2 3 3 2 5" xfId="25871" xr:uid="{2186D204-99F9-4078-8D61-E5285DE2FBDA}"/>
    <cellStyle name="Input 2 3 3 2 6" xfId="25872" xr:uid="{2E783413-A7E9-4D41-9AB1-223BC90AFEFF}"/>
    <cellStyle name="Input 2 3 3 3" xfId="25873" xr:uid="{A0F210F5-B6AD-4A81-8FF8-A0EBBA8AD5C8}"/>
    <cellStyle name="Input 2 3 3 4" xfId="25874" xr:uid="{59308993-6583-4E6F-B3A6-61266AF769EB}"/>
    <cellStyle name="Input 2 3 3 5" xfId="25875" xr:uid="{26AC40CF-66BB-4A37-B11E-B26846ADEC9B}"/>
    <cellStyle name="Input 2 3 3 6" xfId="25876" xr:uid="{8FD43378-4362-41C0-B452-BC8769988908}"/>
    <cellStyle name="Input 2 3 3 7" xfId="25877" xr:uid="{ABE28EC4-99BF-489C-A268-5E154E3239C4}"/>
    <cellStyle name="Input 2 3 30" xfId="1470" xr:uid="{621ECC99-89D8-4F0C-85E5-B327F4EDBC13}"/>
    <cellStyle name="Input 2 3 30 2" xfId="12336" xr:uid="{3702CFC5-8DED-4D62-A952-1E9615A862D9}"/>
    <cellStyle name="Input 2 3 30 2 2" xfId="25878" xr:uid="{D1C52B9F-FD25-4C15-BF68-FB105BF4C120}"/>
    <cellStyle name="Input 2 3 30 2 3" xfId="25879" xr:uid="{47A182F2-E1D8-4DD7-95C5-8DB77465F683}"/>
    <cellStyle name="Input 2 3 30 2 4" xfId="25880" xr:uid="{A830F017-FC84-4C92-9636-942581B1C861}"/>
    <cellStyle name="Input 2 3 30 2 5" xfId="25881" xr:uid="{821324EF-F320-47FB-BFE5-4E10605CDFDF}"/>
    <cellStyle name="Input 2 3 30 2 6" xfId="25882" xr:uid="{220A68AC-1CD1-4B0B-958C-D9EAE413C851}"/>
    <cellStyle name="Input 2 3 30 3" xfId="25883" xr:uid="{622B8F63-C9F4-447D-8E9B-537068947840}"/>
    <cellStyle name="Input 2 3 30 4" xfId="25884" xr:uid="{E9CA2CD1-8F84-4262-B5CA-A38A9E0C1A93}"/>
    <cellStyle name="Input 2 3 30 5" xfId="25885" xr:uid="{96556D89-AEA9-4F15-82E4-6A525728B301}"/>
    <cellStyle name="Input 2 3 30 6" xfId="25886" xr:uid="{52264A22-C950-4C7B-BA61-DD7AEB72147B}"/>
    <cellStyle name="Input 2 3 30 7" xfId="25887" xr:uid="{DE978F50-EDF1-445D-9A19-C118C9CD5FEA}"/>
    <cellStyle name="Input 2 3 31" xfId="1471" xr:uid="{2504A5A6-37A2-4F07-9DD4-5BFEEA5ED3F1}"/>
    <cellStyle name="Input 2 3 31 2" xfId="12415" xr:uid="{FCCB6DE1-86DB-4F1F-AE7A-F91538FD4BFB}"/>
    <cellStyle name="Input 2 3 31 2 2" xfId="25888" xr:uid="{8181CC0F-8971-4808-9387-45BA6ADFA850}"/>
    <cellStyle name="Input 2 3 31 2 3" xfId="25889" xr:uid="{6F2D3AC5-8B05-4D7C-A568-295E3B632094}"/>
    <cellStyle name="Input 2 3 31 2 4" xfId="25890" xr:uid="{4FDBAD03-42E1-4863-B623-CECCF4CF5255}"/>
    <cellStyle name="Input 2 3 31 2 5" xfId="25891" xr:uid="{80796C78-C1F1-45BE-A424-04BD81381385}"/>
    <cellStyle name="Input 2 3 31 2 6" xfId="25892" xr:uid="{7530ADDD-ACD0-4930-BD25-11609A9533FB}"/>
    <cellStyle name="Input 2 3 31 3" xfId="25893" xr:uid="{6A7301D8-4414-4ECE-8BFA-E4B7D77556CF}"/>
    <cellStyle name="Input 2 3 31 4" xfId="25894" xr:uid="{6F60771D-580A-4139-84ED-0D8E8B90C691}"/>
    <cellStyle name="Input 2 3 31 5" xfId="25895" xr:uid="{3EF2B915-8652-40B9-9A9B-7F2A5BE3CC69}"/>
    <cellStyle name="Input 2 3 31 6" xfId="25896" xr:uid="{E0DF5E0D-4347-4AFC-9012-25E7C0F88D24}"/>
    <cellStyle name="Input 2 3 31 7" xfId="25897" xr:uid="{D843F3EE-D32C-4647-BFD8-C0586D9E9740}"/>
    <cellStyle name="Input 2 3 32" xfId="1472" xr:uid="{3BC7F9C3-44CE-4752-996D-7ECB9555E83B}"/>
    <cellStyle name="Input 2 3 32 2" xfId="12494" xr:uid="{0FEAB21E-F85C-4FDB-8CA3-C68C5E6E8998}"/>
    <cellStyle name="Input 2 3 32 2 2" xfId="25898" xr:uid="{2A78D779-E9CE-4E9B-8918-4D27829C4502}"/>
    <cellStyle name="Input 2 3 32 2 3" xfId="25899" xr:uid="{C8E2ECA3-5910-4B44-B143-D9B276E437D5}"/>
    <cellStyle name="Input 2 3 32 2 4" xfId="25900" xr:uid="{2B4DCAEF-EA1E-4ABF-9CCB-7A560A95E94A}"/>
    <cellStyle name="Input 2 3 32 2 5" xfId="25901" xr:uid="{DE4F9E85-671D-477C-B01C-A0294720BBF2}"/>
    <cellStyle name="Input 2 3 32 2 6" xfId="25902" xr:uid="{B56C32A2-FCD5-4D02-A788-47DE46531A80}"/>
    <cellStyle name="Input 2 3 32 3" xfId="25903" xr:uid="{4D575D4F-3C84-444C-97CA-BEF73B2FD5D1}"/>
    <cellStyle name="Input 2 3 32 4" xfId="25904" xr:uid="{B00B8E9D-C12A-425D-8D92-64E8DC96F4DE}"/>
    <cellStyle name="Input 2 3 32 5" xfId="25905" xr:uid="{EAE8C51C-6E77-4E6E-BBC0-525247236054}"/>
    <cellStyle name="Input 2 3 32 6" xfId="25906" xr:uid="{2C9ACD01-9A46-472B-85C8-1FB2C001FC09}"/>
    <cellStyle name="Input 2 3 32 7" xfId="25907" xr:uid="{0E51C812-A8A2-4596-AF06-F6EEA8A503D1}"/>
    <cellStyle name="Input 2 3 33" xfId="1473" xr:uid="{27D8A7EB-0130-458B-AFCD-F92F0641183B}"/>
    <cellStyle name="Input 2 3 33 2" xfId="12573" xr:uid="{9CAE6068-9A8E-4147-B20F-2A1081CE6BC0}"/>
    <cellStyle name="Input 2 3 33 2 2" xfId="25908" xr:uid="{3EEEF034-71BA-4696-B7AE-034C2F4A0D55}"/>
    <cellStyle name="Input 2 3 33 2 3" xfId="25909" xr:uid="{6DEBBA7B-0230-4D54-B2D6-28035EDD0420}"/>
    <cellStyle name="Input 2 3 33 2 4" xfId="25910" xr:uid="{DFE9E5F1-E742-4B1E-8333-DA00BA18420D}"/>
    <cellStyle name="Input 2 3 33 2 5" xfId="25911" xr:uid="{FC9ADDAD-4B4F-40B8-BF95-38BFA9A03808}"/>
    <cellStyle name="Input 2 3 33 2 6" xfId="25912" xr:uid="{01CB5A07-8DA6-4056-8C5F-955F4F53D044}"/>
    <cellStyle name="Input 2 3 33 3" xfId="25913" xr:uid="{131CCD80-1810-4882-953F-815F9A47523B}"/>
    <cellStyle name="Input 2 3 33 4" xfId="25914" xr:uid="{21194A02-5D9D-46F4-8525-7C4DE2F58677}"/>
    <cellStyle name="Input 2 3 33 5" xfId="25915" xr:uid="{F5CB58CC-6B09-4823-987D-6B9E7682B43D}"/>
    <cellStyle name="Input 2 3 33 6" xfId="25916" xr:uid="{768D7449-246B-4D64-87F8-FD60F29AC1DC}"/>
    <cellStyle name="Input 2 3 33 7" xfId="25917" xr:uid="{6677018D-C4E2-408F-A9D7-61AF3E02C23D}"/>
    <cellStyle name="Input 2 3 34" xfId="1474" xr:uid="{4C568E94-AF95-4228-854E-78E3F7575512}"/>
    <cellStyle name="Input 2 3 34 2" xfId="12652" xr:uid="{EA0DDD38-240B-4A3C-9302-CB143EA09F77}"/>
    <cellStyle name="Input 2 3 34 2 2" xfId="25918" xr:uid="{B0DCE70A-4DC2-44AE-B059-E1722CE65DF6}"/>
    <cellStyle name="Input 2 3 34 2 3" xfId="25919" xr:uid="{5AEA2057-F6AC-451D-B715-15867825F475}"/>
    <cellStyle name="Input 2 3 34 2 4" xfId="25920" xr:uid="{58CB82B2-8872-4652-959E-33FA29A63661}"/>
    <cellStyle name="Input 2 3 34 2 5" xfId="25921" xr:uid="{BA8B8298-E255-4462-A2B9-B35F7406D4B0}"/>
    <cellStyle name="Input 2 3 34 2 6" xfId="25922" xr:uid="{DE197DF5-3AB3-4735-B08B-CA6D73A56727}"/>
    <cellStyle name="Input 2 3 34 3" xfId="25923" xr:uid="{2DEF0869-B356-43B2-9352-7C8C37FB8187}"/>
    <cellStyle name="Input 2 3 34 4" xfId="25924" xr:uid="{FC1AE230-1BA5-45BF-AD68-68DE822A7C8B}"/>
    <cellStyle name="Input 2 3 34 5" xfId="25925" xr:uid="{41AF100F-541A-45AF-BB1F-4E8EB8DD4B62}"/>
    <cellStyle name="Input 2 3 34 6" xfId="25926" xr:uid="{7964B410-634A-490E-B370-AADD8A51D78F}"/>
    <cellStyle name="Input 2 3 34 7" xfId="25927" xr:uid="{EA35B56B-21B4-46BC-B4FF-77F94ACD2F00}"/>
    <cellStyle name="Input 2 3 35" xfId="1475" xr:uid="{8A6357FA-4580-4A3D-8F06-2DBE58F23AC9}"/>
    <cellStyle name="Input 2 3 35 2" xfId="12736" xr:uid="{9A4FBF68-C0C3-49B7-A8D0-FB5CB595D8E6}"/>
    <cellStyle name="Input 2 3 35 2 2" xfId="25928" xr:uid="{3D0AECCF-BAAF-4320-890A-6E85C7D546A0}"/>
    <cellStyle name="Input 2 3 35 2 3" xfId="25929" xr:uid="{24A29944-5174-45E3-9CDC-77BA4FECC1A2}"/>
    <cellStyle name="Input 2 3 35 2 4" xfId="25930" xr:uid="{199D1BAC-F7CC-4357-8AA2-1E897653B316}"/>
    <cellStyle name="Input 2 3 35 2 5" xfId="25931" xr:uid="{1DD48C1A-8A22-43DE-8490-5DA80496371B}"/>
    <cellStyle name="Input 2 3 35 2 6" xfId="25932" xr:uid="{2B5C7788-0BEB-4F2E-B562-A42ABE5B9BD3}"/>
    <cellStyle name="Input 2 3 35 3" xfId="25933" xr:uid="{4BBA8B77-C60B-4CB6-807E-533DA6628E9C}"/>
    <cellStyle name="Input 2 3 35 4" xfId="25934" xr:uid="{795D606A-A830-4E5B-97BB-32C7EE300E23}"/>
    <cellStyle name="Input 2 3 35 5" xfId="25935" xr:uid="{909E64B5-AAD2-4918-964C-291954FC1C82}"/>
    <cellStyle name="Input 2 3 35 6" xfId="25936" xr:uid="{008FACE2-A244-4FF1-A86C-15347205253A}"/>
    <cellStyle name="Input 2 3 36" xfId="6919" xr:uid="{C64377BB-7EF0-40B6-8549-D1BCE78751EC}"/>
    <cellStyle name="Input 2 3 36 2" xfId="25937" xr:uid="{C41EF31A-7204-4A79-B1D1-84326A187B67}"/>
    <cellStyle name="Input 2 3 36 3" xfId="25938" xr:uid="{C0ADBD63-83DE-4907-BE20-F43524BFFA71}"/>
    <cellStyle name="Input 2 3 36 4" xfId="25939" xr:uid="{E6260226-5EA0-4B33-B72B-C1592EF1183D}"/>
    <cellStyle name="Input 2 3 36 5" xfId="25940" xr:uid="{C826AE56-B95A-468E-B5CD-483F1A976113}"/>
    <cellStyle name="Input 2 3 36 6" xfId="25941" xr:uid="{0B8D323E-669A-4B6D-816C-0A150B4342CF}"/>
    <cellStyle name="Input 2 3 37" xfId="9801" xr:uid="{3B7DFFBA-C4E2-42DB-8EB5-F30FECC55632}"/>
    <cellStyle name="Input 2 3 37 2" xfId="25942" xr:uid="{8AE48DE1-E7E9-4355-AA08-5587592D0B7B}"/>
    <cellStyle name="Input 2 3 37 3" xfId="25943" xr:uid="{07EB1ED5-F1C5-45DF-9AB8-BBB2125FEDB1}"/>
    <cellStyle name="Input 2 3 37 4" xfId="25944" xr:uid="{69631EC3-8302-49E0-A52C-0B5971899FDE}"/>
    <cellStyle name="Input 2 3 37 5" xfId="25945" xr:uid="{B71EF964-1A41-4166-99D7-9F90CB076123}"/>
    <cellStyle name="Input 2 3 37 6" xfId="25946" xr:uid="{5206CAAC-8467-49F6-89E2-DBE7E536A2E3}"/>
    <cellStyle name="Input 2 3 38" xfId="25947" xr:uid="{C2619CC2-42DE-4C0B-8F05-45A20964A573}"/>
    <cellStyle name="Input 2 3 39" xfId="25948" xr:uid="{5649E6AE-7C31-413F-88C5-BDB34CB01538}"/>
    <cellStyle name="Input 2 3 4" xfId="1476" xr:uid="{13103051-ABB7-4F0B-98BA-A14F05B6025F}"/>
    <cellStyle name="Input 2 3 4 2" xfId="10105" xr:uid="{684AC5F0-4D16-490E-AAE8-74FE1364AE2C}"/>
    <cellStyle name="Input 2 3 4 2 2" xfId="25949" xr:uid="{B30DA60A-D115-4743-894B-470B282B8085}"/>
    <cellStyle name="Input 2 3 4 2 3" xfId="25950" xr:uid="{8030E6E0-15B9-4FB5-918D-3099A9EF1B36}"/>
    <cellStyle name="Input 2 3 4 2 4" xfId="25951" xr:uid="{82FC1B04-8F11-498A-94E4-30FD64C1FB00}"/>
    <cellStyle name="Input 2 3 4 2 5" xfId="25952" xr:uid="{DA3FF9A2-8C84-4A61-89FA-EDBD1A6BC1DC}"/>
    <cellStyle name="Input 2 3 4 2 6" xfId="25953" xr:uid="{EAD9566A-C961-411F-93E1-02B58DD6E340}"/>
    <cellStyle name="Input 2 3 4 3" xfId="25954" xr:uid="{FD944116-E801-4BEC-A3EB-42C0A9B3420A}"/>
    <cellStyle name="Input 2 3 4 4" xfId="25955" xr:uid="{80FA9D75-E67F-43C0-806D-E63E0DDB2399}"/>
    <cellStyle name="Input 2 3 4 5" xfId="25956" xr:uid="{06503FD5-8A9E-4FEF-B118-E19D77470859}"/>
    <cellStyle name="Input 2 3 4 6" xfId="25957" xr:uid="{BF848A04-2F5A-4E83-9B1E-EF803E3FECD7}"/>
    <cellStyle name="Input 2 3 4 7" xfId="25958" xr:uid="{F3576184-1E9E-4CAA-A8C2-FAED9E446624}"/>
    <cellStyle name="Input 2 3 5" xfId="1477" xr:uid="{ABA75F10-D409-44C7-A453-A4520427BE0D}"/>
    <cellStyle name="Input 2 3 5 2" xfId="10195" xr:uid="{6600097C-8FC6-4535-B0DF-041C59C909E3}"/>
    <cellStyle name="Input 2 3 5 2 2" xfId="25959" xr:uid="{1151E9A0-EB42-44E4-9AA8-5AEDBC2EC6AC}"/>
    <cellStyle name="Input 2 3 5 2 3" xfId="25960" xr:uid="{3A5BD5E8-959A-4EAB-9EF5-CFB097A229BE}"/>
    <cellStyle name="Input 2 3 5 2 4" xfId="25961" xr:uid="{5D950B11-9F1F-44DB-954B-722B37E968E8}"/>
    <cellStyle name="Input 2 3 5 2 5" xfId="25962" xr:uid="{8B92D40F-865F-4882-B2AE-08A3E201712E}"/>
    <cellStyle name="Input 2 3 5 2 6" xfId="25963" xr:uid="{738D69D3-44C2-4468-A4F4-93E471EB2FE9}"/>
    <cellStyle name="Input 2 3 5 3" xfId="25964" xr:uid="{7ADCC00D-1907-4665-810E-9133EB438C66}"/>
    <cellStyle name="Input 2 3 5 4" xfId="25965" xr:uid="{29A3A78C-8920-4516-B3F9-DF9E681DF0DF}"/>
    <cellStyle name="Input 2 3 5 5" xfId="25966" xr:uid="{D2659C86-1D12-4101-A771-DBB542ED4DDA}"/>
    <cellStyle name="Input 2 3 5 6" xfId="25967" xr:uid="{9429A9F4-AE16-4E94-A02D-9AC94F4CA3FB}"/>
    <cellStyle name="Input 2 3 5 7" xfId="25968" xr:uid="{B9F6048C-F7EC-41D7-9812-489213310CA7}"/>
    <cellStyle name="Input 2 3 6" xfId="1478" xr:uid="{88A03FED-1A94-4132-9EEB-47C321B4A5F4}"/>
    <cellStyle name="Input 2 3 6 2" xfId="10281" xr:uid="{D00B0B6A-C79F-4C65-868B-E3405E8595C4}"/>
    <cellStyle name="Input 2 3 6 2 2" xfId="25969" xr:uid="{5D26E031-76C5-403E-BF93-A4982B1322F6}"/>
    <cellStyle name="Input 2 3 6 2 3" xfId="25970" xr:uid="{4B2EAB3E-DC16-4574-9EDC-24943EDF7295}"/>
    <cellStyle name="Input 2 3 6 2 4" xfId="25971" xr:uid="{DC604CEB-BFD0-4C32-B48B-2C3BB8FAF6A6}"/>
    <cellStyle name="Input 2 3 6 2 5" xfId="25972" xr:uid="{67D0263D-496D-443E-9A87-1ECEC5626BCF}"/>
    <cellStyle name="Input 2 3 6 2 6" xfId="25973" xr:uid="{4B5605C0-7515-4241-82A2-6CDD6D52E9F9}"/>
    <cellStyle name="Input 2 3 6 3" xfId="25974" xr:uid="{583495C4-B246-4557-B106-D48A50870E44}"/>
    <cellStyle name="Input 2 3 6 4" xfId="25975" xr:uid="{5089EB03-FCAD-46D1-AEED-D7EE8E9A1A79}"/>
    <cellStyle name="Input 2 3 6 5" xfId="25976" xr:uid="{E31A59B7-6503-4A94-AFF6-55B0AC293B4E}"/>
    <cellStyle name="Input 2 3 6 6" xfId="25977" xr:uid="{4243D9BF-0B01-4ED1-A412-6D6DC8C5F6C4}"/>
    <cellStyle name="Input 2 3 6 7" xfId="25978" xr:uid="{04A15FEE-746C-485F-9B1B-2EEFBFC6034A}"/>
    <cellStyle name="Input 2 3 7" xfId="1479" xr:uid="{7C555A9D-B912-43D1-A1FF-C28AAEA42B88}"/>
    <cellStyle name="Input 2 3 7 2" xfId="10369" xr:uid="{A2AFE150-6A03-4FB4-A4A6-C37486804F84}"/>
    <cellStyle name="Input 2 3 7 2 2" xfId="25979" xr:uid="{3281B634-6990-48C1-B0BF-14267AD1BF17}"/>
    <cellStyle name="Input 2 3 7 2 3" xfId="25980" xr:uid="{7D2774C4-ACA7-42F4-83F6-FF9719196754}"/>
    <cellStyle name="Input 2 3 7 2 4" xfId="25981" xr:uid="{FDCB0E8E-B9C4-4DE0-BE4D-2626768952DF}"/>
    <cellStyle name="Input 2 3 7 2 5" xfId="25982" xr:uid="{1D74C643-CDFD-45B8-8691-60B39C6DB471}"/>
    <cellStyle name="Input 2 3 7 2 6" xfId="25983" xr:uid="{321A63B0-D6D0-4186-8FD1-4EEAAC351AD0}"/>
    <cellStyle name="Input 2 3 7 3" xfId="25984" xr:uid="{4620BFF3-E489-4D9A-8DED-1888BC7070FE}"/>
    <cellStyle name="Input 2 3 7 4" xfId="25985" xr:uid="{2CB97D1D-E7E9-4010-80DE-66569F901E97}"/>
    <cellStyle name="Input 2 3 7 5" xfId="25986" xr:uid="{D261B1E4-949F-4AB6-AE58-A4F0614B8444}"/>
    <cellStyle name="Input 2 3 7 6" xfId="25987" xr:uid="{75DF63EA-7E2D-44D9-A4DE-7E27429401AB}"/>
    <cellStyle name="Input 2 3 7 7" xfId="25988" xr:uid="{AC639BC1-0535-48DF-A728-EA72732EDF62}"/>
    <cellStyle name="Input 2 3 8" xfId="1480" xr:uid="{95724128-1F57-42D0-9CFC-8C6AC94C3198}"/>
    <cellStyle name="Input 2 3 8 2" xfId="10456" xr:uid="{FD190623-BFF8-4933-81DF-398BD00E8D88}"/>
    <cellStyle name="Input 2 3 8 2 2" xfId="25989" xr:uid="{2B55D5A2-5D23-43A7-97AC-E167B6ED6A2B}"/>
    <cellStyle name="Input 2 3 8 2 3" xfId="25990" xr:uid="{94BF32A8-5279-4684-8ED2-4839AAF3D19C}"/>
    <cellStyle name="Input 2 3 8 2 4" xfId="25991" xr:uid="{7BC7AD43-A14E-4FB2-9274-EF06B7BD7966}"/>
    <cellStyle name="Input 2 3 8 2 5" xfId="25992" xr:uid="{D38EC105-64AC-439C-BAAD-9EF5402D780C}"/>
    <cellStyle name="Input 2 3 8 2 6" xfId="25993" xr:uid="{1A007126-4C15-4F97-9B34-216F3FE63487}"/>
    <cellStyle name="Input 2 3 8 3" xfId="25994" xr:uid="{1147D836-1CC4-4E6B-BC9B-305BBFD1A038}"/>
    <cellStyle name="Input 2 3 8 4" xfId="25995" xr:uid="{B6A18BBC-6F50-4A8A-8169-6F4D2DD17BDB}"/>
    <cellStyle name="Input 2 3 8 5" xfId="25996" xr:uid="{AC216BE0-F85B-4170-B111-E52160D9E733}"/>
    <cellStyle name="Input 2 3 8 6" xfId="25997" xr:uid="{D185FED4-C7FB-46A2-A9DD-29D11B69EACD}"/>
    <cellStyle name="Input 2 3 8 7" xfId="25998" xr:uid="{7430F74F-0180-4157-8567-2EB127452C54}"/>
    <cellStyle name="Input 2 3 9" xfId="1481" xr:uid="{1DFDA5A5-9FC8-4822-8358-D746AE75E54F}"/>
    <cellStyle name="Input 2 3 9 2" xfId="10545" xr:uid="{1A735132-F584-4DB8-BA68-F995AEDE3725}"/>
    <cellStyle name="Input 2 3 9 2 2" xfId="25999" xr:uid="{4576768B-8E24-4FF6-8B0A-ED03595A78FE}"/>
    <cellStyle name="Input 2 3 9 2 3" xfId="26000" xr:uid="{D6DBE897-74D8-4045-8ADE-FB8C3DBCFF50}"/>
    <cellStyle name="Input 2 3 9 2 4" xfId="26001" xr:uid="{D8B949EF-7E7F-47E3-8B84-C2A12D2F76A2}"/>
    <cellStyle name="Input 2 3 9 2 5" xfId="26002" xr:uid="{53F2C3A8-BFC3-4E35-B868-923EBF3AC4B5}"/>
    <cellStyle name="Input 2 3 9 2 6" xfId="26003" xr:uid="{226B5892-E953-4D5A-8766-4FE6541731FA}"/>
    <cellStyle name="Input 2 3 9 3" xfId="26004" xr:uid="{BB8459A2-3A8E-4919-A749-5DD863B74EC1}"/>
    <cellStyle name="Input 2 3 9 4" xfId="26005" xr:uid="{E6E9AC4B-6A1B-4BFD-8F2A-15B412D9B2A1}"/>
    <cellStyle name="Input 2 3 9 5" xfId="26006" xr:uid="{8F6FFDD2-BAB2-4B44-8823-53B0D6F01043}"/>
    <cellStyle name="Input 2 3 9 6" xfId="26007" xr:uid="{568D2237-E6E3-44E5-9D67-784B1A829BF4}"/>
    <cellStyle name="Input 2 3 9 7" xfId="26008" xr:uid="{B8A2BCBE-2031-4D26-8671-C421CEFBADCB}"/>
    <cellStyle name="Input 2 30" xfId="1482" xr:uid="{4F6E27D7-13AD-45C8-B8F9-03074B794991}"/>
    <cellStyle name="Input 2 30 2" xfId="11674" xr:uid="{7DB98216-F327-4181-A153-42043580B8E5}"/>
    <cellStyle name="Input 2 30 2 2" xfId="26009" xr:uid="{1031A32C-97F0-4E0E-AB6C-2A58956CB70B}"/>
    <cellStyle name="Input 2 30 2 3" xfId="26010" xr:uid="{FD988189-648F-4DCD-8E48-ABF915C3CC11}"/>
    <cellStyle name="Input 2 30 2 4" xfId="26011" xr:uid="{6A121F18-690D-410B-8B4D-D27DA6A08BD1}"/>
    <cellStyle name="Input 2 30 2 5" xfId="26012" xr:uid="{5F422D37-A0C2-4BD2-B1AD-A6E65BE6CA7A}"/>
    <cellStyle name="Input 2 30 2 6" xfId="26013" xr:uid="{D2EB5B16-1764-4FC5-8503-AFD797A9D19A}"/>
    <cellStyle name="Input 2 30 3" xfId="26014" xr:uid="{D52EA0D1-8B5D-4B99-AD3D-AD08EC9FD37D}"/>
    <cellStyle name="Input 2 30 4" xfId="26015" xr:uid="{5777CD6B-5823-462F-A658-6707747A1851}"/>
    <cellStyle name="Input 2 30 5" xfId="26016" xr:uid="{DA90E99E-E1E7-4454-A797-D9E31B23634F}"/>
    <cellStyle name="Input 2 30 6" xfId="26017" xr:uid="{58D5BC33-DF15-43B7-9657-F288E2A158AA}"/>
    <cellStyle name="Input 2 30 7" xfId="26018" xr:uid="{75C9A8EE-8E7F-4151-9006-AA4B0552624A}"/>
    <cellStyle name="Input 2 31" xfId="1483" xr:uid="{4DA847C5-3EE0-43FB-93DA-246E2B2E1086}"/>
    <cellStyle name="Input 2 31 2" xfId="10077" xr:uid="{903D151A-51A1-4C5A-A5C9-A802132E5C97}"/>
    <cellStyle name="Input 2 31 2 2" xfId="26019" xr:uid="{849C16D1-3467-40C0-8E01-AF12E7199274}"/>
    <cellStyle name="Input 2 31 2 3" xfId="26020" xr:uid="{DFBB5E8B-302E-4F85-9A33-AC5C9A13771D}"/>
    <cellStyle name="Input 2 31 2 4" xfId="26021" xr:uid="{855D571D-F54B-451C-88EE-F795B79B8A27}"/>
    <cellStyle name="Input 2 31 2 5" xfId="26022" xr:uid="{785797D2-ED7E-47D4-9CBE-E14B0558291C}"/>
    <cellStyle name="Input 2 31 2 6" xfId="26023" xr:uid="{024702D1-C623-4230-BE1E-5159F80214DC}"/>
    <cellStyle name="Input 2 31 3" xfId="26024" xr:uid="{4CDB7CA2-F6D7-4331-B54E-64966141842F}"/>
    <cellStyle name="Input 2 31 4" xfId="26025" xr:uid="{84757774-4A7A-41D4-9F73-07F9A698965B}"/>
    <cellStyle name="Input 2 31 5" xfId="26026" xr:uid="{154F5B99-1EDC-4E3E-9744-88252964FEB9}"/>
    <cellStyle name="Input 2 31 6" xfId="26027" xr:uid="{DCA2E38F-6858-44A7-8D10-3A2E69256519}"/>
    <cellStyle name="Input 2 31 7" xfId="26028" xr:uid="{5384EDDC-317B-4161-8119-6556EE2F8D7A}"/>
    <cellStyle name="Input 2 32" xfId="1484" xr:uid="{9B8190B8-711A-4E31-BEFA-CBF563F54A44}"/>
    <cellStyle name="Input 2 32 2" xfId="9740" xr:uid="{530CA155-AE70-4191-A70D-A03E3D30B873}"/>
    <cellStyle name="Input 2 32 2 2" xfId="26029" xr:uid="{A479963F-8EAB-452F-8253-F212F89C4FC1}"/>
    <cellStyle name="Input 2 32 2 3" xfId="26030" xr:uid="{ADE256DB-3CD7-4BDF-810D-BAE7B794A521}"/>
    <cellStyle name="Input 2 32 2 4" xfId="26031" xr:uid="{1BF1B262-73BC-4EE1-8049-5CBE19AAA703}"/>
    <cellStyle name="Input 2 32 2 5" xfId="26032" xr:uid="{F0036452-5C92-46E3-B246-9F3F130C7340}"/>
    <cellStyle name="Input 2 32 2 6" xfId="26033" xr:uid="{EF6D2626-D810-4ED9-A330-96D49F7B9037}"/>
    <cellStyle name="Input 2 32 3" xfId="26034" xr:uid="{A316C338-0663-42EA-86A1-0A7D9977BB53}"/>
    <cellStyle name="Input 2 32 4" xfId="26035" xr:uid="{7ACEFCF1-0321-4E13-9FB4-D3A7D960712F}"/>
    <cellStyle name="Input 2 32 5" xfId="26036" xr:uid="{49CE4DB8-ADB0-4983-98D4-F31DADC1AB7D}"/>
    <cellStyle name="Input 2 32 6" xfId="26037" xr:uid="{32359E35-F743-4071-8A4C-9DFAC51E42CC}"/>
    <cellStyle name="Input 2 32 7" xfId="26038" xr:uid="{28FD696B-3B9D-4A92-937A-6F7155588B4F}"/>
    <cellStyle name="Input 2 33" xfId="1485" xr:uid="{B442D4C0-4446-482B-8413-9D17671017BC}"/>
    <cellStyle name="Input 2 33 2" xfId="9986" xr:uid="{E84B10AB-6DE9-4766-A26C-F2067FD3C431}"/>
    <cellStyle name="Input 2 33 2 2" xfId="26039" xr:uid="{90FB24C7-1029-4B04-B9B6-B810B5047DDC}"/>
    <cellStyle name="Input 2 33 2 3" xfId="26040" xr:uid="{6A7906B2-3A43-478C-8667-F39194B90800}"/>
    <cellStyle name="Input 2 33 2 4" xfId="26041" xr:uid="{73D92597-D0CA-430B-9F48-5CFE05BBB352}"/>
    <cellStyle name="Input 2 33 2 5" xfId="26042" xr:uid="{C28F5F4B-FA1A-49C1-8ACD-8B911804DEE2}"/>
    <cellStyle name="Input 2 33 2 6" xfId="26043" xr:uid="{3A0DDFA9-A1C0-4C11-9C21-097190E00CD4}"/>
    <cellStyle name="Input 2 33 3" xfId="26044" xr:uid="{47FAB3DF-7A2C-40EC-82C1-1C800D88D7F4}"/>
    <cellStyle name="Input 2 33 4" xfId="26045" xr:uid="{F7346D21-0761-4DCC-A8C0-0B8B2851B4E0}"/>
    <cellStyle name="Input 2 33 5" xfId="26046" xr:uid="{6C6869AC-C6CC-413E-A33F-A150870031C1}"/>
    <cellStyle name="Input 2 33 6" xfId="26047" xr:uid="{E0DA2043-3C7F-4A65-9FB1-54DD1F65638B}"/>
    <cellStyle name="Input 2 33 7" xfId="26048" xr:uid="{FC014F88-F74B-4633-B75F-F21D002FEE51}"/>
    <cellStyle name="Input 2 34" xfId="1486" xr:uid="{56944E1B-CB3A-454B-8840-F1AE07255145}"/>
    <cellStyle name="Input 2 34 2" xfId="11735" xr:uid="{1B55C293-5E22-4991-ADEB-6EF3F7D9AEDE}"/>
    <cellStyle name="Input 2 34 2 2" xfId="26049" xr:uid="{6925059A-B946-41A3-8F6D-2AF03604746F}"/>
    <cellStyle name="Input 2 34 2 3" xfId="26050" xr:uid="{E93A9409-423D-4DD8-B976-CE5D200CA67C}"/>
    <cellStyle name="Input 2 34 2 4" xfId="26051" xr:uid="{78245656-BCFC-4302-A236-BC821978685E}"/>
    <cellStyle name="Input 2 34 2 5" xfId="26052" xr:uid="{01FCDF1B-716C-424F-B892-1B0EBD11D8AE}"/>
    <cellStyle name="Input 2 34 2 6" xfId="26053" xr:uid="{824817BD-B610-4FE3-BCFD-188F10D32E18}"/>
    <cellStyle name="Input 2 34 3" xfId="26054" xr:uid="{2E6C46BD-AC52-4B3A-B321-6213770C6CD6}"/>
    <cellStyle name="Input 2 34 4" xfId="26055" xr:uid="{16A09BD6-9C4E-4263-9E37-3302722BA61C}"/>
    <cellStyle name="Input 2 34 5" xfId="26056" xr:uid="{31B5EA07-3E89-484B-BAB8-E3AEA5132BBF}"/>
    <cellStyle name="Input 2 34 6" xfId="26057" xr:uid="{361345B6-E6C9-4C6E-8CB3-FCC183FC33E7}"/>
    <cellStyle name="Input 2 34 7" xfId="26058" xr:uid="{E40CB6C6-E060-4A47-8B45-6B108BB64261}"/>
    <cellStyle name="Input 2 35" xfId="1487" xr:uid="{7A66E4BC-3C60-4BA4-92F0-C84DF60EE6D2}"/>
    <cellStyle name="Input 2 35 2" xfId="9741" xr:uid="{2F2CE177-9C14-41B8-BD33-B3C36CBC414A}"/>
    <cellStyle name="Input 2 35 2 2" xfId="26059" xr:uid="{AE997944-6329-4196-8789-E756EF3941F1}"/>
    <cellStyle name="Input 2 35 2 3" xfId="26060" xr:uid="{41DEFDD4-9781-4F20-ABF7-E21BC54629AF}"/>
    <cellStyle name="Input 2 35 2 4" xfId="26061" xr:uid="{DE738DBE-99B1-4E6B-B992-209D7E88879C}"/>
    <cellStyle name="Input 2 35 2 5" xfId="26062" xr:uid="{A67ED2CE-8799-4D26-A0B6-4E9DCF29F26D}"/>
    <cellStyle name="Input 2 35 2 6" xfId="26063" xr:uid="{92F53E99-2DCD-459B-91AF-E45FAFCABEBB}"/>
    <cellStyle name="Input 2 35 3" xfId="26064" xr:uid="{02D9EC6A-E229-46CF-99BF-4A24F454C8B0}"/>
    <cellStyle name="Input 2 35 4" xfId="26065" xr:uid="{18FEF94E-2C0C-4B29-BE08-974E1FC4E2A4}"/>
    <cellStyle name="Input 2 35 5" xfId="26066" xr:uid="{A35A63BC-85D7-4817-B50D-32A63DFD65FA}"/>
    <cellStyle name="Input 2 35 6" xfId="26067" xr:uid="{7A7FF744-E150-4345-B85D-E2965639E76B}"/>
    <cellStyle name="Input 2 35 7" xfId="26068" xr:uid="{8862A8DA-8065-4152-A53B-ABFF66C662FD}"/>
    <cellStyle name="Input 2 36" xfId="1488" xr:uid="{DEACB90F-F4F5-435E-9757-180D67851C15}"/>
    <cellStyle name="Input 2 36 2" xfId="11923" xr:uid="{42811AFB-1EF2-4938-BF69-D7E4790DF298}"/>
    <cellStyle name="Input 2 36 2 2" xfId="26069" xr:uid="{28E9EB1B-70B1-4DDB-B8CB-62426049DFA8}"/>
    <cellStyle name="Input 2 36 2 3" xfId="26070" xr:uid="{643FA098-F735-4178-A89D-2329102E7DF5}"/>
    <cellStyle name="Input 2 36 2 4" xfId="26071" xr:uid="{9D85B276-8D8C-4A2F-BC03-8504B1A0D1C5}"/>
    <cellStyle name="Input 2 36 2 5" xfId="26072" xr:uid="{BE8EBFC4-9A34-41EE-A361-CDF7B7792B6B}"/>
    <cellStyle name="Input 2 36 2 6" xfId="26073" xr:uid="{756D0B0C-4250-4671-B2A7-34B3D1C3F77C}"/>
    <cellStyle name="Input 2 36 3" xfId="26074" xr:uid="{B16CA129-6892-4224-BD16-51AFA02D0B50}"/>
    <cellStyle name="Input 2 36 4" xfId="26075" xr:uid="{19A17AE9-07B9-427F-B993-675F3714EBA6}"/>
    <cellStyle name="Input 2 36 5" xfId="26076" xr:uid="{937DE82D-EE73-40E4-8F7B-071E4953A536}"/>
    <cellStyle name="Input 2 36 6" xfId="26077" xr:uid="{AA49DC3B-74E8-4C33-BE2F-9D25316C3B9E}"/>
    <cellStyle name="Input 2 36 7" xfId="26078" xr:uid="{3CCCC19B-0262-44CA-BF13-48FC469B1D45}"/>
    <cellStyle name="Input 2 37" xfId="1489" xr:uid="{E9057B5E-FBA7-406B-A6EC-D28F0C7A185C}"/>
    <cellStyle name="Input 2 37 2" xfId="11326" xr:uid="{FD1A3C64-C4C4-4B56-AEB0-2163CA53E6E3}"/>
    <cellStyle name="Input 2 37 2 2" xfId="26079" xr:uid="{5B68C2A2-E9A3-4BD8-BB89-9DCE4A3E855B}"/>
    <cellStyle name="Input 2 37 2 3" xfId="26080" xr:uid="{31E62AF2-FC15-43C3-AA8E-2B487380F3ED}"/>
    <cellStyle name="Input 2 37 2 4" xfId="26081" xr:uid="{039070E8-1F1A-4C2E-A366-8AD675055C4F}"/>
    <cellStyle name="Input 2 37 2 5" xfId="26082" xr:uid="{873652B3-C6B3-414E-8E77-F8BD1536D7F8}"/>
    <cellStyle name="Input 2 37 2 6" xfId="26083" xr:uid="{02E10370-F3C3-47B2-A394-81FC8FFE60BA}"/>
    <cellStyle name="Input 2 37 3" xfId="26084" xr:uid="{5C5A1329-CB0F-400C-983F-C413E5F1DBA7}"/>
    <cellStyle name="Input 2 37 4" xfId="26085" xr:uid="{23E9769E-62AE-4E93-9053-C9C4DCAC9DBE}"/>
    <cellStyle name="Input 2 37 5" xfId="26086" xr:uid="{1EC68E72-2E88-48EA-98B0-7B2017F7E5BA}"/>
    <cellStyle name="Input 2 37 6" xfId="26087" xr:uid="{BBD22EA2-207D-4485-BEEE-8245FA143C4A}"/>
    <cellStyle name="Input 2 37 7" xfId="26088" xr:uid="{4D927105-AB4F-43CC-BC7A-E434C708DAC3}"/>
    <cellStyle name="Input 2 38" xfId="1490" xr:uid="{C55362E1-1405-4B08-BD25-348A9E0308C8}"/>
    <cellStyle name="Input 2 38 2" xfId="9717" xr:uid="{C4C7A0FA-8514-4541-91C4-579DC0D308A3}"/>
    <cellStyle name="Input 2 38 2 2" xfId="26089" xr:uid="{F490A9DA-DD6B-45A8-BD4B-275ABC8D368B}"/>
    <cellStyle name="Input 2 38 2 3" xfId="26090" xr:uid="{45282DC7-0117-4C9C-8545-A3985A9DF873}"/>
    <cellStyle name="Input 2 38 2 4" xfId="26091" xr:uid="{898F3CE6-9E60-424E-B7D8-992AD861E89A}"/>
    <cellStyle name="Input 2 38 2 5" xfId="26092" xr:uid="{91483BA9-95A0-4A20-AC72-B8BE15E68E16}"/>
    <cellStyle name="Input 2 38 2 6" xfId="26093" xr:uid="{9DF910A6-98AB-4403-8DCB-E4C047F99E8F}"/>
    <cellStyle name="Input 2 38 3" xfId="26094" xr:uid="{4AA43272-3B93-4566-BFE7-A44E42434622}"/>
    <cellStyle name="Input 2 38 4" xfId="26095" xr:uid="{02F42208-F43F-4598-A67F-9C14CC0D1B91}"/>
    <cellStyle name="Input 2 38 5" xfId="26096" xr:uid="{A7D0F5EB-2634-4854-8F87-8095918029F8}"/>
    <cellStyle name="Input 2 38 6" xfId="26097" xr:uid="{E5D4178B-981B-4BAA-9A3A-84CE852F9145}"/>
    <cellStyle name="Input 2 39" xfId="6920" xr:uid="{E0067807-CFD7-4560-B21F-6E128600BF0B}"/>
    <cellStyle name="Input 2 39 2" xfId="26098" xr:uid="{8178A1B9-3460-494F-89B1-2702180756F5}"/>
    <cellStyle name="Input 2 39 3" xfId="26099" xr:uid="{5FF93424-CF91-4085-AE2F-6D46C9BF51F9}"/>
    <cellStyle name="Input 2 39 4" xfId="26100" xr:uid="{51712102-62E7-4160-A426-75166255725E}"/>
    <cellStyle name="Input 2 39 5" xfId="26101" xr:uid="{4FABCA0B-A8FF-45F9-ADE8-57AB2830A833}"/>
    <cellStyle name="Input 2 39 6" xfId="26102" xr:uid="{AD2A6EC8-E5D2-498E-AE00-805810CFE576}"/>
    <cellStyle name="Input 2 4" xfId="1491" xr:uid="{964ECA85-223B-4426-BFBE-77D621D7678A}"/>
    <cellStyle name="Input 2 4 10" xfId="1492" xr:uid="{BC7DBC0D-A510-4151-8826-2213C518A022}"/>
    <cellStyle name="Input 2 4 10 2" xfId="10703" xr:uid="{65D7CB52-7C26-4C39-900C-DB3A79F83112}"/>
    <cellStyle name="Input 2 4 10 2 2" xfId="26103" xr:uid="{4779FDB8-39B6-4B84-B8A2-B20BE5F9F397}"/>
    <cellStyle name="Input 2 4 10 2 3" xfId="26104" xr:uid="{6F9FA210-270F-44CD-9F7D-269D3D1A5C0A}"/>
    <cellStyle name="Input 2 4 10 2 4" xfId="26105" xr:uid="{A3B47062-A057-4BBC-B48C-3378A507D063}"/>
    <cellStyle name="Input 2 4 10 2 5" xfId="26106" xr:uid="{301D35BB-594D-42DE-BE68-763DE6935EC4}"/>
    <cellStyle name="Input 2 4 10 2 6" xfId="26107" xr:uid="{D029C2BF-4513-4806-87A3-BFEEC395C880}"/>
    <cellStyle name="Input 2 4 10 3" xfId="26108" xr:uid="{6EFC4376-85E2-49F7-B5B8-8B4D41157B3E}"/>
    <cellStyle name="Input 2 4 10 4" xfId="26109" xr:uid="{BB2D0EF4-8A24-4F9D-B338-7418CAF1177D}"/>
    <cellStyle name="Input 2 4 10 5" xfId="26110" xr:uid="{5D33632B-F0C6-4943-ABEB-7A7D0612492B}"/>
    <cellStyle name="Input 2 4 10 6" xfId="26111" xr:uid="{0092ACF3-AC05-4A4A-A5D9-4105A3584FE8}"/>
    <cellStyle name="Input 2 4 10 7" xfId="26112" xr:uid="{6C409D15-8E8D-4563-8CAF-969F70AEF6E0}"/>
    <cellStyle name="Input 2 4 11" xfId="1493" xr:uid="{CB299114-A854-4589-BA35-8E3CBF857BCF}"/>
    <cellStyle name="Input 2 4 11 2" xfId="10794" xr:uid="{2145F54E-D33B-42B7-957A-0DE09E8CEDC1}"/>
    <cellStyle name="Input 2 4 11 2 2" xfId="26113" xr:uid="{AA598FE2-F7D6-4400-B3BF-36A1223AD199}"/>
    <cellStyle name="Input 2 4 11 2 3" xfId="26114" xr:uid="{FA9E74A5-CC5D-48E9-84F1-0B7C379E91F3}"/>
    <cellStyle name="Input 2 4 11 2 4" xfId="26115" xr:uid="{89F9CCFF-9A0E-495B-9434-D167B733E028}"/>
    <cellStyle name="Input 2 4 11 2 5" xfId="26116" xr:uid="{826A67C8-530D-4DBC-A655-F0EFCA98C957}"/>
    <cellStyle name="Input 2 4 11 2 6" xfId="26117" xr:uid="{87392D14-D018-4458-ABD5-71578C87620A}"/>
    <cellStyle name="Input 2 4 11 3" xfId="26118" xr:uid="{455933B3-0C2A-4644-BA06-CEAB2832F1BE}"/>
    <cellStyle name="Input 2 4 11 4" xfId="26119" xr:uid="{8FEFBC06-1914-401A-9667-022399A3719A}"/>
    <cellStyle name="Input 2 4 11 5" xfId="26120" xr:uid="{7F311AE1-AD7E-45DF-883C-6819A7C3EA50}"/>
    <cellStyle name="Input 2 4 11 6" xfId="26121" xr:uid="{47C4559D-020E-41C3-847A-02190E6F52A4}"/>
    <cellStyle name="Input 2 4 11 7" xfId="26122" xr:uid="{65D39C52-B445-4DA9-84F0-F080872B6B93}"/>
    <cellStyle name="Input 2 4 12" xfId="1494" xr:uid="{3A93CF6F-4462-4A6D-B0F2-309115FC645B}"/>
    <cellStyle name="Input 2 4 12 2" xfId="10881" xr:uid="{DDA46AA4-7FC7-491A-B9BC-69622D6EC1A0}"/>
    <cellStyle name="Input 2 4 12 2 2" xfId="26123" xr:uid="{5BA4D7C7-4A5A-4DC0-A5A9-BC8E05DB74F9}"/>
    <cellStyle name="Input 2 4 12 2 3" xfId="26124" xr:uid="{FCD77138-83AF-4FF3-B416-00A741FB50A2}"/>
    <cellStyle name="Input 2 4 12 2 4" xfId="26125" xr:uid="{069C0AA9-576D-47BB-924A-6A2032C7B953}"/>
    <cellStyle name="Input 2 4 12 2 5" xfId="26126" xr:uid="{A2A03CB1-2061-4E72-A030-1A1BCC09DED6}"/>
    <cellStyle name="Input 2 4 12 2 6" xfId="26127" xr:uid="{80873253-EE0F-4651-93BE-5381D918CC9B}"/>
    <cellStyle name="Input 2 4 12 3" xfId="26128" xr:uid="{F57C0B7D-ADFA-47BD-A19E-983A5E93E675}"/>
    <cellStyle name="Input 2 4 12 4" xfId="26129" xr:uid="{44BD03FF-2073-4EDE-9043-5EDC08814CF0}"/>
    <cellStyle name="Input 2 4 12 5" xfId="26130" xr:uid="{753E1B95-F51A-4FE2-B780-96188AA7AAF2}"/>
    <cellStyle name="Input 2 4 12 6" xfId="26131" xr:uid="{0542E3B9-5EF5-41CD-B12B-8D2C63C1B749}"/>
    <cellStyle name="Input 2 4 12 7" xfId="26132" xr:uid="{93950DA8-1142-446C-91EC-9AAFAF359E17}"/>
    <cellStyle name="Input 2 4 13" xfId="1495" xr:uid="{E6511EFB-D1BC-49F9-9822-47C7B6BD30EC}"/>
    <cellStyle name="Input 2 4 13 2" xfId="10970" xr:uid="{ED1111D6-FE27-4D75-A91B-97652999F5E5}"/>
    <cellStyle name="Input 2 4 13 2 2" xfId="26133" xr:uid="{527D0E2B-8625-4425-A94D-42B4F5B646FA}"/>
    <cellStyle name="Input 2 4 13 2 3" xfId="26134" xr:uid="{B02DE01B-3031-40F2-8980-70FE245321B6}"/>
    <cellStyle name="Input 2 4 13 2 4" xfId="26135" xr:uid="{2BD712C8-CBC0-4C1D-9B05-9CB9582440BC}"/>
    <cellStyle name="Input 2 4 13 2 5" xfId="26136" xr:uid="{7C22726E-7FCE-4927-911B-9828FAC5F4E3}"/>
    <cellStyle name="Input 2 4 13 2 6" xfId="26137" xr:uid="{00A57A07-D543-42E7-B602-563093B93848}"/>
    <cellStyle name="Input 2 4 13 3" xfId="26138" xr:uid="{83427ADA-E727-40D4-ADD4-ABD47A0734DA}"/>
    <cellStyle name="Input 2 4 13 4" xfId="26139" xr:uid="{4304C06A-35E7-4BB7-81C4-F3AD9E1E472E}"/>
    <cellStyle name="Input 2 4 13 5" xfId="26140" xr:uid="{AF9AEC06-CEAF-470A-8B5F-2F17E7A4A6A0}"/>
    <cellStyle name="Input 2 4 13 6" xfId="26141" xr:uid="{7B8F3E87-CC24-4F2D-8B68-33DBCAB49895}"/>
    <cellStyle name="Input 2 4 13 7" xfId="26142" xr:uid="{0F3C68CC-0C47-4115-AFAD-3816B24B5EFB}"/>
    <cellStyle name="Input 2 4 14" xfId="1496" xr:uid="{4C782043-DD04-4BF3-8AEB-4613AD967914}"/>
    <cellStyle name="Input 2 4 14 2" xfId="11062" xr:uid="{69A73ECE-A5D9-40DB-B66D-0AC6F2A4A308}"/>
    <cellStyle name="Input 2 4 14 2 2" xfId="26143" xr:uid="{6009FED0-F587-4EB0-91FB-0181481DC07B}"/>
    <cellStyle name="Input 2 4 14 2 3" xfId="26144" xr:uid="{7ACF6B31-0A02-4107-9C73-109FCEDBD9D0}"/>
    <cellStyle name="Input 2 4 14 2 4" xfId="26145" xr:uid="{3B60583D-913A-4CDC-A10F-9E39D815E187}"/>
    <cellStyle name="Input 2 4 14 2 5" xfId="26146" xr:uid="{CD51F79D-BE1D-4374-BE6E-821DA3BB4287}"/>
    <cellStyle name="Input 2 4 14 2 6" xfId="26147" xr:uid="{2275642F-1606-44B3-AFFB-29821EE0306E}"/>
    <cellStyle name="Input 2 4 14 3" xfId="26148" xr:uid="{B35F8054-8ABC-4973-B86A-50CA0C3A8A05}"/>
    <cellStyle name="Input 2 4 14 4" xfId="26149" xr:uid="{D43B354D-302B-4F1E-BF28-84124B916D0C}"/>
    <cellStyle name="Input 2 4 14 5" xfId="26150" xr:uid="{33AA7B32-4EA5-432B-9D05-851A95405457}"/>
    <cellStyle name="Input 2 4 14 6" xfId="26151" xr:uid="{D75AFEAF-DDEB-41A2-B586-57475E01F0D1}"/>
    <cellStyle name="Input 2 4 14 7" xfId="26152" xr:uid="{7BE93123-8185-4ECA-8E71-82185916FCEB}"/>
    <cellStyle name="Input 2 4 15" xfId="1497" xr:uid="{01CE6E6F-CC6E-49AC-A63A-DC43D88E23D5}"/>
    <cellStyle name="Input 2 4 15 2" xfId="11145" xr:uid="{265CF692-5C4A-4A56-A829-C94A011117E8}"/>
    <cellStyle name="Input 2 4 15 2 2" xfId="26153" xr:uid="{1B2BAFE6-C576-4049-B04D-8CF89DD6E7EF}"/>
    <cellStyle name="Input 2 4 15 2 3" xfId="26154" xr:uid="{EB1EFE75-906E-493A-A45C-7101A4E0453C}"/>
    <cellStyle name="Input 2 4 15 2 4" xfId="26155" xr:uid="{BDBC8BA8-E8D8-4583-AFFB-94E46AEC0ED6}"/>
    <cellStyle name="Input 2 4 15 2 5" xfId="26156" xr:uid="{6D104ABA-49A5-4B65-AC2B-1967223F6A89}"/>
    <cellStyle name="Input 2 4 15 2 6" xfId="26157" xr:uid="{F645A616-9927-4BB2-A548-D9C06504F83A}"/>
    <cellStyle name="Input 2 4 15 3" xfId="26158" xr:uid="{4E6F7878-D8C8-4C3B-AB18-DEF305A32C42}"/>
    <cellStyle name="Input 2 4 15 4" xfId="26159" xr:uid="{1E47A46E-544D-459D-9A7A-6A5E8C276D80}"/>
    <cellStyle name="Input 2 4 15 5" xfId="26160" xr:uid="{E0737EC1-1075-4329-995F-A4812FE8F2F7}"/>
    <cellStyle name="Input 2 4 15 6" xfId="26161" xr:uid="{9F09511F-7574-49D7-8452-17619A684A17}"/>
    <cellStyle name="Input 2 4 15 7" xfId="26162" xr:uid="{10BF3CEE-A337-49A8-A305-EB4CB1CBEA23}"/>
    <cellStyle name="Input 2 4 16" xfId="1498" xr:uid="{E98B3F1F-0175-44FE-B4AF-98FAC19F66A7}"/>
    <cellStyle name="Input 2 4 16 2" xfId="11234" xr:uid="{AC654C3E-C1CC-4394-8866-88FF9CE87967}"/>
    <cellStyle name="Input 2 4 16 2 2" xfId="26163" xr:uid="{EFA24EF8-1E25-4C97-A2AB-75A51411F36A}"/>
    <cellStyle name="Input 2 4 16 2 3" xfId="26164" xr:uid="{DD6CF936-E3CE-47FD-BD55-F3316B74FE08}"/>
    <cellStyle name="Input 2 4 16 2 4" xfId="26165" xr:uid="{3F0FE0FF-DCCB-4403-94E7-36893DA3211F}"/>
    <cellStyle name="Input 2 4 16 2 5" xfId="26166" xr:uid="{3703690B-6C7C-4D6A-A276-4E2740E6AFE2}"/>
    <cellStyle name="Input 2 4 16 2 6" xfId="26167" xr:uid="{8E9AADD1-0301-46FB-A3FC-A60B3EB4FE4D}"/>
    <cellStyle name="Input 2 4 16 3" xfId="26168" xr:uid="{FF19262F-B5EB-4ACA-9CAB-1A4F2DAE0270}"/>
    <cellStyle name="Input 2 4 16 4" xfId="26169" xr:uid="{E4D69B9F-8F32-40F7-829F-44F5D3F1D97C}"/>
    <cellStyle name="Input 2 4 16 5" xfId="26170" xr:uid="{208B5D9A-08AA-4D8D-8A35-5D42C26C04DD}"/>
    <cellStyle name="Input 2 4 16 6" xfId="26171" xr:uid="{F0C9A5CB-95D0-43D1-893D-5BFCD53D326F}"/>
    <cellStyle name="Input 2 4 16 7" xfId="26172" xr:uid="{89331DCB-009E-4F31-B450-3D78BC4C6989}"/>
    <cellStyle name="Input 2 4 17" xfId="1499" xr:uid="{D0DAFB88-4258-4EEE-87C3-F6A284AE50C7}"/>
    <cellStyle name="Input 2 4 17 2" xfId="11320" xr:uid="{6BC2DEBB-23F5-457C-8790-F4ED42A49ED3}"/>
    <cellStyle name="Input 2 4 17 2 2" xfId="26173" xr:uid="{A6364792-7065-4F59-A7BD-3EE19156548E}"/>
    <cellStyle name="Input 2 4 17 2 3" xfId="26174" xr:uid="{473BE879-6535-4D5D-BEA5-F0BBA4F2E96E}"/>
    <cellStyle name="Input 2 4 17 2 4" xfId="26175" xr:uid="{EB9A29DB-E160-4233-83B3-BB293912F842}"/>
    <cellStyle name="Input 2 4 17 2 5" xfId="26176" xr:uid="{A5AA1E5B-C3D2-461D-9A18-8BF6D68D8807}"/>
    <cellStyle name="Input 2 4 17 2 6" xfId="26177" xr:uid="{CF9D1FE2-F80C-427B-8246-337019204F6A}"/>
    <cellStyle name="Input 2 4 17 3" xfId="26178" xr:uid="{6A8A44BE-5666-4CEB-8737-DE762988FBB9}"/>
    <cellStyle name="Input 2 4 17 4" xfId="26179" xr:uid="{682D09E7-DFAD-4EC0-834F-51DBBCF247C2}"/>
    <cellStyle name="Input 2 4 17 5" xfId="26180" xr:uid="{361448E2-F691-452D-8B63-A6A1EBA15E21}"/>
    <cellStyle name="Input 2 4 17 6" xfId="26181" xr:uid="{DE57BE6B-9C49-4ACB-88FE-2955B95664FF}"/>
    <cellStyle name="Input 2 4 17 7" xfId="26182" xr:uid="{C478B4E7-18E2-4D4D-A491-178370000B5C}"/>
    <cellStyle name="Input 2 4 18" xfId="1500" xr:uid="{BF4CB3AF-2CC7-40F3-B432-8FA8A9F6BD57}"/>
    <cellStyle name="Input 2 4 18 2" xfId="11407" xr:uid="{857F5A56-CC8A-4528-BA3D-9662E7E9444E}"/>
    <cellStyle name="Input 2 4 18 2 2" xfId="26183" xr:uid="{CE9D8A0A-8224-4AB1-850D-5D21AE31C9D7}"/>
    <cellStyle name="Input 2 4 18 2 3" xfId="26184" xr:uid="{25FB7660-54B1-4F74-87F1-4D8C436B7F09}"/>
    <cellStyle name="Input 2 4 18 2 4" xfId="26185" xr:uid="{F82F3676-6017-494D-BCEF-DDACFD3A609C}"/>
    <cellStyle name="Input 2 4 18 2 5" xfId="26186" xr:uid="{A779FB42-88C9-4EAC-8848-040A0DCD2C5B}"/>
    <cellStyle name="Input 2 4 18 2 6" xfId="26187" xr:uid="{FBA965B0-C74E-45F5-BCB8-18C079B1469D}"/>
    <cellStyle name="Input 2 4 18 3" xfId="26188" xr:uid="{6F69D9C9-B209-4860-803C-681261DED00A}"/>
    <cellStyle name="Input 2 4 18 4" xfId="26189" xr:uid="{D530E461-AA51-41F1-A43C-C5AB65F64366}"/>
    <cellStyle name="Input 2 4 18 5" xfId="26190" xr:uid="{BA95EAE5-FAB5-45E4-97F5-3FCC1EA8E29A}"/>
    <cellStyle name="Input 2 4 18 6" xfId="26191" xr:uid="{42D2EB96-789A-46D4-A7C4-0EF20EAEFC36}"/>
    <cellStyle name="Input 2 4 18 7" xfId="26192" xr:uid="{8AF43F6F-409D-4E6F-AC48-878879829669}"/>
    <cellStyle name="Input 2 4 19" xfId="1501" xr:uid="{DE6D3C31-2DE8-406D-B2D6-21E2E2C47949}"/>
    <cellStyle name="Input 2 4 19 2" xfId="11494" xr:uid="{D024DEAC-E2CA-46A2-BDFE-54401001E7DD}"/>
    <cellStyle name="Input 2 4 19 2 2" xfId="26193" xr:uid="{F89C8A86-29FB-4EA6-AB62-7558EC111154}"/>
    <cellStyle name="Input 2 4 19 2 3" xfId="26194" xr:uid="{7ED91A08-09D3-440F-9CB8-A249A2E16684}"/>
    <cellStyle name="Input 2 4 19 2 4" xfId="26195" xr:uid="{41C51441-ADAF-4823-B6EE-A00FFF327530}"/>
    <cellStyle name="Input 2 4 19 2 5" xfId="26196" xr:uid="{68D89B0C-231A-4C6C-BBA5-8E6D53B9CBBE}"/>
    <cellStyle name="Input 2 4 19 2 6" xfId="26197" xr:uid="{DC789A12-13C2-44B9-A187-A1C154A73506}"/>
    <cellStyle name="Input 2 4 19 3" xfId="26198" xr:uid="{AD5F5FDA-2965-4805-ABDF-E16043A98A31}"/>
    <cellStyle name="Input 2 4 19 4" xfId="26199" xr:uid="{45EEFE21-D75B-4C0C-8DAC-4DFC5F23EE92}"/>
    <cellStyle name="Input 2 4 19 5" xfId="26200" xr:uid="{2740E9BB-BC11-4856-BB64-08B96D291893}"/>
    <cellStyle name="Input 2 4 19 6" xfId="26201" xr:uid="{F1472188-853A-407F-A9D1-4DD0D9C152AD}"/>
    <cellStyle name="Input 2 4 19 7" xfId="26202" xr:uid="{076A7BD0-18F8-4927-BA1A-820452D7E08A}"/>
    <cellStyle name="Input 2 4 2" xfId="1502" xr:uid="{B69C3AEA-4166-4F0E-A495-6EC67143DE6F}"/>
    <cellStyle name="Input 2 4 2 2" xfId="10000" xr:uid="{F67F934A-4E15-42C0-97C8-F219BD1B9F35}"/>
    <cellStyle name="Input 2 4 2 2 2" xfId="26203" xr:uid="{9F6FD039-CFAB-4E5A-AB27-7622C343FAD5}"/>
    <cellStyle name="Input 2 4 2 2 3" xfId="26204" xr:uid="{67BA8BEA-CC96-45D6-B69F-19B89A1FE3C9}"/>
    <cellStyle name="Input 2 4 2 2 4" xfId="26205" xr:uid="{5BC0D28F-F825-4365-AAA2-FFD008EFCF3C}"/>
    <cellStyle name="Input 2 4 2 2 5" xfId="26206" xr:uid="{9BA0CA31-852A-4CCF-9494-23E0FF644873}"/>
    <cellStyle name="Input 2 4 2 2 6" xfId="26207" xr:uid="{C83C9B7C-AB40-44CD-9D47-D729BE584F4D}"/>
    <cellStyle name="Input 2 4 2 3" xfId="26208" xr:uid="{B19D260C-DCBB-4222-9AF1-2F88BFF0C2BB}"/>
    <cellStyle name="Input 2 4 2 4" xfId="26209" xr:uid="{8FC50D1D-6C6D-4EED-B06D-09045C3CE277}"/>
    <cellStyle name="Input 2 4 2 5" xfId="26210" xr:uid="{D642CF18-BFB6-4CC7-82C8-275AC1419F56}"/>
    <cellStyle name="Input 2 4 2 6" xfId="26211" xr:uid="{AF7D9ADB-C959-4E84-AD3C-EB388E521A7E}"/>
    <cellStyle name="Input 2 4 2 7" xfId="26212" xr:uid="{940F38A2-DBF6-4F00-AC18-F685A4882997}"/>
    <cellStyle name="Input 2 4 20" xfId="1503" xr:uid="{4C822345-4FB5-47A4-9419-45D31029E4E1}"/>
    <cellStyle name="Input 2 4 20 2" xfId="11582" xr:uid="{8549651C-F97F-4CEF-8711-F667089B51E0}"/>
    <cellStyle name="Input 2 4 20 2 2" xfId="26213" xr:uid="{DD052EF1-3BB8-48C1-9327-10FD8E8328AD}"/>
    <cellStyle name="Input 2 4 20 2 3" xfId="26214" xr:uid="{373B2914-7857-4BAE-8F2F-6A146BD81538}"/>
    <cellStyle name="Input 2 4 20 2 4" xfId="26215" xr:uid="{57EB23AD-7848-42F4-B7C7-100DD5938FE1}"/>
    <cellStyle name="Input 2 4 20 2 5" xfId="26216" xr:uid="{35A45685-5EA8-43A8-A93E-50BA463D7B12}"/>
    <cellStyle name="Input 2 4 20 2 6" xfId="26217" xr:uid="{E073C558-1A89-43DF-AA74-8232ED2DACA8}"/>
    <cellStyle name="Input 2 4 20 3" xfId="26218" xr:uid="{CB30DB8F-8577-4535-910E-B841A78437FC}"/>
    <cellStyle name="Input 2 4 20 4" xfId="26219" xr:uid="{F3EB1043-39B2-4212-A176-E1C4831CBB5D}"/>
    <cellStyle name="Input 2 4 20 5" xfId="26220" xr:uid="{F41F76F6-75FE-4F52-91C7-221C0FA18736}"/>
    <cellStyle name="Input 2 4 20 6" xfId="26221" xr:uid="{647983BD-27F2-4C23-B47A-7E82D642B9EB}"/>
    <cellStyle name="Input 2 4 20 7" xfId="26222" xr:uid="{7A36268B-FD49-477A-A471-1DF006AE5EB3}"/>
    <cellStyle name="Input 2 4 21" xfId="1504" xr:uid="{D1CC921B-17C4-4F40-AB0C-F4D50A760790}"/>
    <cellStyle name="Input 2 4 21 2" xfId="11668" xr:uid="{B06EEADF-9745-4AF4-905D-EFB2D4F39667}"/>
    <cellStyle name="Input 2 4 21 2 2" xfId="26223" xr:uid="{51ED1920-1ABB-412A-887F-00E58E215D80}"/>
    <cellStyle name="Input 2 4 21 2 3" xfId="26224" xr:uid="{09164ECE-5155-4478-AAEB-2C5DB3277FE2}"/>
    <cellStyle name="Input 2 4 21 2 4" xfId="26225" xr:uid="{DF22265A-98EF-4A3E-8C25-708AA69F7890}"/>
    <cellStyle name="Input 2 4 21 2 5" xfId="26226" xr:uid="{50832054-36F5-488A-A181-249993C65B2A}"/>
    <cellStyle name="Input 2 4 21 2 6" xfId="26227" xr:uid="{2E4DC12B-9B05-4C4C-A83A-6BEB85152FD7}"/>
    <cellStyle name="Input 2 4 21 3" xfId="26228" xr:uid="{0D3497F2-F3FC-4AE3-A2FC-B142BFED90EF}"/>
    <cellStyle name="Input 2 4 21 4" xfId="26229" xr:uid="{E729D5D5-E3D5-4D4D-A949-84D0FF946DBE}"/>
    <cellStyle name="Input 2 4 21 5" xfId="26230" xr:uid="{7BD248A5-35DF-42D0-BF55-7484BAE03FFD}"/>
    <cellStyle name="Input 2 4 21 6" xfId="26231" xr:uid="{83F4FD7D-1B6D-49D1-8042-057AF38E0C68}"/>
    <cellStyle name="Input 2 4 21 7" xfId="26232" xr:uid="{57B82459-3D07-4C5E-8E5A-F5627E80721E}"/>
    <cellStyle name="Input 2 4 22" xfId="1505" xr:uid="{9DA588CB-1BCC-4C12-AED4-42A87F1F4ECD}"/>
    <cellStyle name="Input 2 4 22 2" xfId="11751" xr:uid="{C4916180-FE5A-4EF0-A745-20D9130308DB}"/>
    <cellStyle name="Input 2 4 22 2 2" xfId="26233" xr:uid="{BD9E030D-76C5-451C-A38B-61D91623D416}"/>
    <cellStyle name="Input 2 4 22 2 3" xfId="26234" xr:uid="{9FB0D098-38EA-4F61-89DC-79AB4ED4CE63}"/>
    <cellStyle name="Input 2 4 22 2 4" xfId="26235" xr:uid="{A1E2AA79-8787-4AD6-BF95-1181DC6D5A50}"/>
    <cellStyle name="Input 2 4 22 2 5" xfId="26236" xr:uid="{380339DB-0F51-4D7F-88CB-934F726C9C86}"/>
    <cellStyle name="Input 2 4 22 2 6" xfId="26237" xr:uid="{5B68B198-CB4B-4BFB-94AA-40346E580762}"/>
    <cellStyle name="Input 2 4 22 3" xfId="26238" xr:uid="{AF4EF7AA-C21E-4F85-B6F3-0910D88C0115}"/>
    <cellStyle name="Input 2 4 22 4" xfId="26239" xr:uid="{E760E975-5750-4304-BA85-D29CE1399121}"/>
    <cellStyle name="Input 2 4 22 5" xfId="26240" xr:uid="{DD07F7E2-F0FE-4BC1-BBA2-CDF9F6810122}"/>
    <cellStyle name="Input 2 4 22 6" xfId="26241" xr:uid="{836833CD-844B-4481-8A74-BF5E49F2C459}"/>
    <cellStyle name="Input 2 4 22 7" xfId="26242" xr:uid="{14A4A9F3-29A8-4180-A26E-493D6982A00C}"/>
    <cellStyle name="Input 2 4 23" xfId="1506" xr:uid="{5C90B168-1586-4456-AE77-B323216E9CEE}"/>
    <cellStyle name="Input 2 4 23 2" xfId="11833" xr:uid="{BF4267E7-3B12-44B0-8F4F-50B08EF2319A}"/>
    <cellStyle name="Input 2 4 23 2 2" xfId="26243" xr:uid="{4AB1F73B-C8D8-420B-81AB-BEA8B9C56D94}"/>
    <cellStyle name="Input 2 4 23 2 3" xfId="26244" xr:uid="{A6AD490D-8E45-43E5-960D-BE93A9CAE28A}"/>
    <cellStyle name="Input 2 4 23 2 4" xfId="26245" xr:uid="{325C38D5-E0BF-4A54-A1B8-50EA69AC56FB}"/>
    <cellStyle name="Input 2 4 23 2 5" xfId="26246" xr:uid="{048A52F7-3884-49D7-8057-56A894976893}"/>
    <cellStyle name="Input 2 4 23 2 6" xfId="26247" xr:uid="{5CA3E948-3FE7-40A1-A313-93154825C008}"/>
    <cellStyle name="Input 2 4 23 3" xfId="26248" xr:uid="{2DAAE883-1F37-4152-8F1F-76340BBD90F5}"/>
    <cellStyle name="Input 2 4 23 4" xfId="26249" xr:uid="{A2B95A21-C17C-42E9-8676-A2114E9019E1}"/>
    <cellStyle name="Input 2 4 23 5" xfId="26250" xr:uid="{AC1350AC-AD9F-43A1-866E-39A8732CAAB8}"/>
    <cellStyle name="Input 2 4 23 6" xfId="26251" xr:uid="{43E6485A-3487-4992-8856-33E22CD15B39}"/>
    <cellStyle name="Input 2 4 23 7" xfId="26252" xr:uid="{CD0E03DA-676E-47FD-BCB3-696070682881}"/>
    <cellStyle name="Input 2 4 24" xfId="1507" xr:uid="{87A6B6BF-C4AF-4140-B499-FF614DB361EA}"/>
    <cellStyle name="Input 2 4 24 2" xfId="11917" xr:uid="{202FCF1E-0705-41E0-B5FA-17C2B1B1C885}"/>
    <cellStyle name="Input 2 4 24 2 2" xfId="26253" xr:uid="{36BD04B2-90CA-4C1C-9F83-7D649DF0179D}"/>
    <cellStyle name="Input 2 4 24 2 3" xfId="26254" xr:uid="{37DFA795-FEEA-4BBB-902F-B115A6D9F1AC}"/>
    <cellStyle name="Input 2 4 24 2 4" xfId="26255" xr:uid="{D4D60959-BB1B-40DC-ACB7-CBB229BC01A7}"/>
    <cellStyle name="Input 2 4 24 2 5" xfId="26256" xr:uid="{BF0206CF-4506-4FB0-9D4A-B210BA82340A}"/>
    <cellStyle name="Input 2 4 24 2 6" xfId="26257" xr:uid="{30956936-2676-4C69-B413-551740DBE3DC}"/>
    <cellStyle name="Input 2 4 24 3" xfId="26258" xr:uid="{FE2B2118-BE58-46DA-9246-817ABF874784}"/>
    <cellStyle name="Input 2 4 24 4" xfId="26259" xr:uid="{D35AE0D0-DCD1-4EA9-A189-8061C91F5C30}"/>
    <cellStyle name="Input 2 4 24 5" xfId="26260" xr:uid="{BE2FFF93-F527-452A-A7A6-965125D8E65D}"/>
    <cellStyle name="Input 2 4 24 6" xfId="26261" xr:uid="{F959C37A-FE47-410F-98F5-729DFD811BB6}"/>
    <cellStyle name="Input 2 4 24 7" xfId="26262" xr:uid="{5DD0B104-C9B8-4CC2-861A-28A3A01AE719}"/>
    <cellStyle name="Input 2 4 25" xfId="1508" xr:uid="{5B6E9A14-A8EC-43A9-80B5-7A34BF2BCCC9}"/>
    <cellStyle name="Input 2 4 25 2" xfId="12001" xr:uid="{B0901EA2-AAD6-4FC4-B141-C05A90AA7366}"/>
    <cellStyle name="Input 2 4 25 2 2" xfId="26263" xr:uid="{D3ED634F-5879-4460-95C1-4174FB5DF43E}"/>
    <cellStyle name="Input 2 4 25 2 3" xfId="26264" xr:uid="{70E4042B-6810-4EC4-A1AE-EEA258AC9940}"/>
    <cellStyle name="Input 2 4 25 2 4" xfId="26265" xr:uid="{4D95F6B3-6EDF-4A75-B30E-F6AE2C3CDE11}"/>
    <cellStyle name="Input 2 4 25 2 5" xfId="26266" xr:uid="{954B075D-3E15-47DF-B29F-04666F97D1DB}"/>
    <cellStyle name="Input 2 4 25 2 6" xfId="26267" xr:uid="{192E0474-362B-4687-8E90-2F29D1571D6A}"/>
    <cellStyle name="Input 2 4 25 3" xfId="26268" xr:uid="{61B7F2C4-F4D4-44C1-8DE9-B4CA36EC1182}"/>
    <cellStyle name="Input 2 4 25 4" xfId="26269" xr:uid="{0C8E985A-5455-4CB2-A939-2829BBF08E7A}"/>
    <cellStyle name="Input 2 4 25 5" xfId="26270" xr:uid="{0EF08091-0632-4C23-9ACD-67ADCBC938C0}"/>
    <cellStyle name="Input 2 4 25 6" xfId="26271" xr:uid="{EB2090D2-D0D8-4C38-A524-D3634D30ECF8}"/>
    <cellStyle name="Input 2 4 25 7" xfId="26272" xr:uid="{E9EC0A0D-7E73-420D-8C3A-7528C13DF74D}"/>
    <cellStyle name="Input 2 4 26" xfId="1509" xr:uid="{5463724E-78F5-40E5-8E88-96B4B963C0E9}"/>
    <cellStyle name="Input 2 4 26 2" xfId="12084" xr:uid="{798A99D3-436A-498F-8C56-1C14960A8F20}"/>
    <cellStyle name="Input 2 4 26 2 2" xfId="26273" xr:uid="{195A9B19-5F2F-4C8A-BBE7-98D1358AF6B0}"/>
    <cellStyle name="Input 2 4 26 2 3" xfId="26274" xr:uid="{DD66D68A-7EC6-4332-A64F-00DD3AA5CDB5}"/>
    <cellStyle name="Input 2 4 26 2 4" xfId="26275" xr:uid="{BE997EED-BCBA-4C35-96F1-A241C41523E6}"/>
    <cellStyle name="Input 2 4 26 2 5" xfId="26276" xr:uid="{D058D44E-473A-49AC-93F9-F4A32049906B}"/>
    <cellStyle name="Input 2 4 26 2 6" xfId="26277" xr:uid="{7051893A-1EDF-47E9-9A74-766529875BA0}"/>
    <cellStyle name="Input 2 4 26 3" xfId="26278" xr:uid="{4FFD82C9-65BF-4945-BAC2-84E73438B2FA}"/>
    <cellStyle name="Input 2 4 26 4" xfId="26279" xr:uid="{F776A9A7-634E-4243-A995-8CE26E9CBEA8}"/>
    <cellStyle name="Input 2 4 26 5" xfId="26280" xr:uid="{BAC73619-B7FB-4024-B00B-15751323FD50}"/>
    <cellStyle name="Input 2 4 26 6" xfId="26281" xr:uid="{34C88B4E-E5D8-4AAB-8C65-9C54E777F536}"/>
    <cellStyle name="Input 2 4 26 7" xfId="26282" xr:uid="{BD07393C-AF67-4D49-9CD5-1E7F07628527}"/>
    <cellStyle name="Input 2 4 27" xfId="1510" xr:uid="{93E60722-A511-44EC-9DDD-FD0B17BE75A4}"/>
    <cellStyle name="Input 2 4 27 2" xfId="12167" xr:uid="{8DA77E74-9835-4A2E-8C3A-FFD3386C4F24}"/>
    <cellStyle name="Input 2 4 27 2 2" xfId="26283" xr:uid="{B4879FF3-68ED-4643-A302-7376AAB7C4CC}"/>
    <cellStyle name="Input 2 4 27 2 3" xfId="26284" xr:uid="{BE284D58-3D6B-4F41-BF05-054876F1B321}"/>
    <cellStyle name="Input 2 4 27 2 4" xfId="26285" xr:uid="{3B7F02FB-CC32-4097-AEA2-8DE8A594C6CF}"/>
    <cellStyle name="Input 2 4 27 2 5" xfId="26286" xr:uid="{74D25B74-6128-4EA5-B275-65D087984BAE}"/>
    <cellStyle name="Input 2 4 27 2 6" xfId="26287" xr:uid="{8FAD2221-437B-41D1-A6D5-7B10FEC3EC25}"/>
    <cellStyle name="Input 2 4 27 3" xfId="26288" xr:uid="{11F65F5A-7D8F-4480-8D64-CD25803E98CE}"/>
    <cellStyle name="Input 2 4 27 4" xfId="26289" xr:uid="{91E06EFC-E8B9-4D6B-BE95-95CBBA33AFAF}"/>
    <cellStyle name="Input 2 4 27 5" xfId="26290" xr:uid="{0D33D033-7B61-40A2-9A22-8C918C33DF2C}"/>
    <cellStyle name="Input 2 4 27 6" xfId="26291" xr:uid="{9FACF676-6AE7-4518-83E9-AD44927ED81C}"/>
    <cellStyle name="Input 2 4 27 7" xfId="26292" xr:uid="{4D4F7263-53DE-49CB-A9B9-28C0A0A1F986}"/>
    <cellStyle name="Input 2 4 28" xfId="1511" xr:uid="{6D8F5B55-EC8A-49FB-A7A9-BCA314196512}"/>
    <cellStyle name="Input 2 4 28 2" xfId="12246" xr:uid="{0C8D4CF7-B2CD-451F-82B2-AA9FC117E92E}"/>
    <cellStyle name="Input 2 4 28 2 2" xfId="26293" xr:uid="{B29C48CB-3E98-4EB7-8BEE-296A9CA882C8}"/>
    <cellStyle name="Input 2 4 28 2 3" xfId="26294" xr:uid="{F74B7C8F-F838-41DC-BC28-BFF7B2FD8F18}"/>
    <cellStyle name="Input 2 4 28 2 4" xfId="26295" xr:uid="{DDCCC3B4-2826-4A42-B278-5E6CC43194E1}"/>
    <cellStyle name="Input 2 4 28 2 5" xfId="26296" xr:uid="{75944DFF-B1A1-4298-8962-C9E166B13C8C}"/>
    <cellStyle name="Input 2 4 28 2 6" xfId="26297" xr:uid="{DCDA3EEE-D836-403C-81DF-EA2393657C9B}"/>
    <cellStyle name="Input 2 4 28 3" xfId="26298" xr:uid="{F95FC03E-39FE-4FA7-AE8D-BF3831B6F2BF}"/>
    <cellStyle name="Input 2 4 28 4" xfId="26299" xr:uid="{47D8F7AB-4F37-4106-84BC-AFA31BAFF6D4}"/>
    <cellStyle name="Input 2 4 28 5" xfId="26300" xr:uid="{8C798BF2-5266-475C-BBC7-9C61DBA04E54}"/>
    <cellStyle name="Input 2 4 28 6" xfId="26301" xr:uid="{005ABC16-4200-4EE6-B452-463AE252F495}"/>
    <cellStyle name="Input 2 4 28 7" xfId="26302" xr:uid="{125E75A9-4EEA-4928-AF97-7E9009B43216}"/>
    <cellStyle name="Input 2 4 29" xfId="1512" xr:uid="{576BF530-2A7B-4044-82C9-06578C4C827E}"/>
    <cellStyle name="Input 2 4 29 2" xfId="12325" xr:uid="{CBA364BC-D9C7-4F3B-9789-391D69BE5DFB}"/>
    <cellStyle name="Input 2 4 29 2 2" xfId="26303" xr:uid="{FDEC3122-A2FE-4C81-801E-DED72DAE9A30}"/>
    <cellStyle name="Input 2 4 29 2 3" xfId="26304" xr:uid="{B0C63EE8-5310-4D47-92C8-57DFFBD523D4}"/>
    <cellStyle name="Input 2 4 29 2 4" xfId="26305" xr:uid="{EBF71D7B-E72A-4770-9D8F-F2847B22493C}"/>
    <cellStyle name="Input 2 4 29 2 5" xfId="26306" xr:uid="{E2A10B14-0327-4EBF-A017-11F2C7BF2EBB}"/>
    <cellStyle name="Input 2 4 29 2 6" xfId="26307" xr:uid="{B3DA28C1-72A4-43DA-9DA2-64DA25158CF7}"/>
    <cellStyle name="Input 2 4 29 3" xfId="26308" xr:uid="{76FE6EE7-5655-4D40-A02A-E1D3FDFAD4FD}"/>
    <cellStyle name="Input 2 4 29 4" xfId="26309" xr:uid="{E1078C15-45FF-4055-B3B5-8E00F983B4D9}"/>
    <cellStyle name="Input 2 4 29 5" xfId="26310" xr:uid="{9911E5BE-3649-42D9-8002-FA05C1A0032F}"/>
    <cellStyle name="Input 2 4 29 6" xfId="26311" xr:uid="{7475BC1F-19A6-4A4E-8989-2FB6E38CB887}"/>
    <cellStyle name="Input 2 4 29 7" xfId="26312" xr:uid="{97959B67-C2E4-41D1-8733-B88900FB17FF}"/>
    <cellStyle name="Input 2 4 3" xfId="1513" xr:uid="{6090A0D7-9D82-4C8B-B4FB-DBAA8C15157E}"/>
    <cellStyle name="Input 2 4 3 2" xfId="10091" xr:uid="{5AFB2E86-4E1C-4F3D-B48C-58E9F08D4F89}"/>
    <cellStyle name="Input 2 4 3 2 2" xfId="26313" xr:uid="{D41056A3-5D96-4C9D-8443-4BC3D0BE9B09}"/>
    <cellStyle name="Input 2 4 3 2 3" xfId="26314" xr:uid="{5EDF7E45-E343-4B15-A14E-42FE2CE7518D}"/>
    <cellStyle name="Input 2 4 3 2 4" xfId="26315" xr:uid="{7F0D50FB-1FA5-48B1-AAAA-A5320C03DCC7}"/>
    <cellStyle name="Input 2 4 3 2 5" xfId="26316" xr:uid="{74F2B0D3-E862-4F95-9B59-211B9DF25BF5}"/>
    <cellStyle name="Input 2 4 3 2 6" xfId="26317" xr:uid="{C0A21F69-AF60-4055-90F6-73BEB463E712}"/>
    <cellStyle name="Input 2 4 3 3" xfId="26318" xr:uid="{0959CE2B-8D69-4AAF-BEC7-B4729AF8A30E}"/>
    <cellStyle name="Input 2 4 3 4" xfId="26319" xr:uid="{B9172339-B1C8-4791-8363-288992F9B59E}"/>
    <cellStyle name="Input 2 4 3 5" xfId="26320" xr:uid="{BD8C65B6-8FEB-42DC-9361-9453F6589549}"/>
    <cellStyle name="Input 2 4 3 6" xfId="26321" xr:uid="{5D24BDFA-791E-4C12-95C3-EAB1DD6744AE}"/>
    <cellStyle name="Input 2 4 3 7" xfId="26322" xr:uid="{98CCCC61-E492-4054-A529-B9FD04A02816}"/>
    <cellStyle name="Input 2 4 30" xfId="1514" xr:uid="{FF954104-7F2F-4CD7-BC88-12606A0B8231}"/>
    <cellStyle name="Input 2 4 30 2" xfId="12404" xr:uid="{80EB6690-8DFF-4D15-AB22-93E543A40888}"/>
    <cellStyle name="Input 2 4 30 2 2" xfId="26323" xr:uid="{F88A566E-B6A3-4502-AA7E-A3A4A80BC666}"/>
    <cellStyle name="Input 2 4 30 2 3" xfId="26324" xr:uid="{8B1F6DC8-2B95-4E7D-BB19-1A2A5DF22BB7}"/>
    <cellStyle name="Input 2 4 30 2 4" xfId="26325" xr:uid="{CD871540-1666-4F09-B2FC-B21E2D29C2C3}"/>
    <cellStyle name="Input 2 4 30 2 5" xfId="26326" xr:uid="{7FF71906-5A5F-4733-9345-DD48ADA6DC8D}"/>
    <cellStyle name="Input 2 4 30 2 6" xfId="26327" xr:uid="{1FFFD5E4-A404-4711-AB31-B2DA4023D851}"/>
    <cellStyle name="Input 2 4 30 3" xfId="26328" xr:uid="{0A9154E3-5502-4CE6-A4E4-F23193A5D753}"/>
    <cellStyle name="Input 2 4 30 4" xfId="26329" xr:uid="{1C84AC93-BBC7-4397-BD8E-468CC6E61EB8}"/>
    <cellStyle name="Input 2 4 30 5" xfId="26330" xr:uid="{D6C5EBA3-2403-448D-83D0-EFFE4E18B821}"/>
    <cellStyle name="Input 2 4 30 6" xfId="26331" xr:uid="{9C3A3F5F-D20A-46B1-ABA6-B71BA495D236}"/>
    <cellStyle name="Input 2 4 30 7" xfId="26332" xr:uid="{70BD15F3-6E21-4F95-B749-2981E19D8B35}"/>
    <cellStyle name="Input 2 4 31" xfId="1515" xr:uid="{9B0EE42C-FEFF-414D-9E0F-F45A0D6DCBDB}"/>
    <cellStyle name="Input 2 4 31 2" xfId="12483" xr:uid="{E081D221-5F03-42CB-AC54-B5D0827706A2}"/>
    <cellStyle name="Input 2 4 31 2 2" xfId="26333" xr:uid="{F49808AB-E11F-4E3A-838F-E45F0449F267}"/>
    <cellStyle name="Input 2 4 31 2 3" xfId="26334" xr:uid="{F0664EA8-41E3-4810-B512-B5B8C017D06F}"/>
    <cellStyle name="Input 2 4 31 2 4" xfId="26335" xr:uid="{4AF9C9BD-CACC-45F8-95ED-1DA545A4EB95}"/>
    <cellStyle name="Input 2 4 31 2 5" xfId="26336" xr:uid="{FBA18039-AD40-4C2E-86CF-75BF282BDB4B}"/>
    <cellStyle name="Input 2 4 31 2 6" xfId="26337" xr:uid="{E39B5725-CF14-4ABC-9240-B4A054FE0EDD}"/>
    <cellStyle name="Input 2 4 31 3" xfId="26338" xr:uid="{ABD20046-278C-4662-8489-BF969D4464E3}"/>
    <cellStyle name="Input 2 4 31 4" xfId="26339" xr:uid="{BCFA3D73-63A9-4FBF-A7A9-E9DBBACE6A52}"/>
    <cellStyle name="Input 2 4 31 5" xfId="26340" xr:uid="{2C40AE39-E5FD-409B-9F17-09DCF3F64B07}"/>
    <cellStyle name="Input 2 4 31 6" xfId="26341" xr:uid="{F0A24902-679B-4464-8A01-3FC073CAFC87}"/>
    <cellStyle name="Input 2 4 31 7" xfId="26342" xr:uid="{AC7A6FF7-514C-4F83-89A0-1227CF0F56AC}"/>
    <cellStyle name="Input 2 4 32" xfId="1516" xr:uid="{A1B3F9E9-38F4-4A87-B8E0-247B2A764B29}"/>
    <cellStyle name="Input 2 4 32 2" xfId="12562" xr:uid="{C58C07EE-E9B6-4ABF-9D5C-1C1708D68880}"/>
    <cellStyle name="Input 2 4 32 2 2" xfId="26343" xr:uid="{996D094F-2EF2-444B-A364-C775EFEBDCA9}"/>
    <cellStyle name="Input 2 4 32 2 3" xfId="26344" xr:uid="{59F571E6-D36C-48A5-B2C2-2405ABBBDC1F}"/>
    <cellStyle name="Input 2 4 32 2 4" xfId="26345" xr:uid="{829CEB97-1B34-44B8-A550-EC12B79414E4}"/>
    <cellStyle name="Input 2 4 32 2 5" xfId="26346" xr:uid="{05967356-87C1-4EDE-8A0A-F9EC21DEDA72}"/>
    <cellStyle name="Input 2 4 32 2 6" xfId="26347" xr:uid="{F563781F-0F02-4D4E-9FAB-CDBFD1CEFAEB}"/>
    <cellStyle name="Input 2 4 32 3" xfId="26348" xr:uid="{77C8A42E-3E3E-4E20-9192-B6F42413BB81}"/>
    <cellStyle name="Input 2 4 32 4" xfId="26349" xr:uid="{08564BD0-135F-41BA-8A42-FB88EC80AB46}"/>
    <cellStyle name="Input 2 4 32 5" xfId="26350" xr:uid="{80C0A873-E7D2-4EAB-909C-9922E2D3A277}"/>
    <cellStyle name="Input 2 4 32 6" xfId="26351" xr:uid="{8BA731D9-82F1-4240-9401-11E3A97416BA}"/>
    <cellStyle name="Input 2 4 32 7" xfId="26352" xr:uid="{18AD3D52-36D2-4F96-A300-0834D3697E35}"/>
    <cellStyle name="Input 2 4 33" xfId="1517" xr:uid="{D5674C9A-A7E2-4E90-9915-D9FE7FCFBF63}"/>
    <cellStyle name="Input 2 4 33 2" xfId="12641" xr:uid="{4774FF6B-1FB7-4314-B6DC-7A96A68C743F}"/>
    <cellStyle name="Input 2 4 33 2 2" xfId="26353" xr:uid="{25F2E9FC-1D8A-45D5-A805-8C33C9EDDD27}"/>
    <cellStyle name="Input 2 4 33 2 3" xfId="26354" xr:uid="{F671208F-067A-48D0-B9AB-ED9791E38499}"/>
    <cellStyle name="Input 2 4 33 2 4" xfId="26355" xr:uid="{164ED773-C46D-4502-BA39-D93D83F91362}"/>
    <cellStyle name="Input 2 4 33 2 5" xfId="26356" xr:uid="{CF519B8B-16F9-42CF-85CD-5130FC552859}"/>
    <cellStyle name="Input 2 4 33 2 6" xfId="26357" xr:uid="{731D4E55-93A6-4822-BE86-27CDAB834495}"/>
    <cellStyle name="Input 2 4 33 3" xfId="26358" xr:uid="{9C287DFB-3793-481A-80F2-EC6E273153F3}"/>
    <cellStyle name="Input 2 4 33 4" xfId="26359" xr:uid="{1F729B48-E306-4CFF-A840-BE3724DED98F}"/>
    <cellStyle name="Input 2 4 33 5" xfId="26360" xr:uid="{52B08A93-66B2-4F12-84C0-F8767D430A09}"/>
    <cellStyle name="Input 2 4 33 6" xfId="26361" xr:uid="{EC3AD9E6-2886-439E-A9C8-5FBA45589EB3}"/>
    <cellStyle name="Input 2 4 33 7" xfId="26362" xr:uid="{09638DAA-E0B8-48C3-8B9E-0B122D8642DD}"/>
    <cellStyle name="Input 2 4 34" xfId="1518" xr:uid="{B8F6FE68-28A0-47EA-9926-A8802FA2827A}"/>
    <cellStyle name="Input 2 4 34 2" xfId="12725" xr:uid="{D56FA8CF-C414-46F7-A3BA-EB4AF62B2C8B}"/>
    <cellStyle name="Input 2 4 34 2 2" xfId="26363" xr:uid="{D732BE3D-5A72-414F-9047-C61F57A4EE06}"/>
    <cellStyle name="Input 2 4 34 2 3" xfId="26364" xr:uid="{32C4C73B-5095-4109-8D92-12C4E3B1102B}"/>
    <cellStyle name="Input 2 4 34 2 4" xfId="26365" xr:uid="{67CDB742-C337-41CC-95CF-C9CE3BC23665}"/>
    <cellStyle name="Input 2 4 34 2 5" xfId="26366" xr:uid="{929F564F-06F1-41F1-8DAC-0E5283783AF7}"/>
    <cellStyle name="Input 2 4 34 2 6" xfId="26367" xr:uid="{0C15B165-B9F7-49BB-A8E4-B805B23BF21F}"/>
    <cellStyle name="Input 2 4 34 3" xfId="26368" xr:uid="{3E391209-D822-472F-B915-D3A22A906C0E}"/>
    <cellStyle name="Input 2 4 34 4" xfId="26369" xr:uid="{F280AC1C-4799-4325-A5F6-C314C63C9AC1}"/>
    <cellStyle name="Input 2 4 34 5" xfId="26370" xr:uid="{0F12697B-14A5-405C-AC32-79BC9CA7FE1B}"/>
    <cellStyle name="Input 2 4 34 6" xfId="26371" xr:uid="{7D3B305E-76BB-48AF-8C5F-409CF0504D2E}"/>
    <cellStyle name="Input 2 4 35" xfId="6921" xr:uid="{FEF0E09F-160C-4523-9394-1795ED753FFB}"/>
    <cellStyle name="Input 2 4 36" xfId="9789" xr:uid="{5A66A558-0FF8-48F4-9461-159625C1F97A}"/>
    <cellStyle name="Input 2 4 36 2" xfId="26372" xr:uid="{42C28120-7C13-46D2-8139-59FB7B035A6B}"/>
    <cellStyle name="Input 2 4 36 3" xfId="26373" xr:uid="{D3D90407-7D16-49BA-8B5F-A7DB407346C1}"/>
    <cellStyle name="Input 2 4 36 4" xfId="26374" xr:uid="{141A121A-9267-468D-A050-8FC8F7A4D4D7}"/>
    <cellStyle name="Input 2 4 36 5" xfId="26375" xr:uid="{18607098-3013-4A51-B55C-02924D4C0F75}"/>
    <cellStyle name="Input 2 4 36 6" xfId="26376" xr:uid="{4CC4B4FC-6436-4F3B-A768-44E01941A205}"/>
    <cellStyle name="Input 2 4 37" xfId="26377" xr:uid="{E660C1A5-29CD-47C0-B57E-E56AAA0B70A9}"/>
    <cellStyle name="Input 2 4 38" xfId="26378" xr:uid="{1B2D28CF-4D6F-40FF-8C9E-1899254E504B}"/>
    <cellStyle name="Input 2 4 39" xfId="26379" xr:uid="{09ED1A7E-5A40-4279-9BBE-45D6709F9320}"/>
    <cellStyle name="Input 2 4 4" xfId="1519" xr:uid="{CBDBF3AC-8C02-4522-BB14-4284E0FBB830}"/>
    <cellStyle name="Input 2 4 4 2" xfId="10182" xr:uid="{FDAD42A3-1D4C-4D8B-9DA0-F7CE3C0DDCBC}"/>
    <cellStyle name="Input 2 4 4 2 2" xfId="26380" xr:uid="{7AE86D1E-678B-4220-9FBA-1A821A58CBEA}"/>
    <cellStyle name="Input 2 4 4 2 3" xfId="26381" xr:uid="{1EC0CA13-36C3-4461-A79F-87850DDB7DD9}"/>
    <cellStyle name="Input 2 4 4 2 4" xfId="26382" xr:uid="{5A749E38-115E-4513-A038-238396528D7C}"/>
    <cellStyle name="Input 2 4 4 2 5" xfId="26383" xr:uid="{4EA71BAD-9485-443D-BCA0-9245D6BA2940}"/>
    <cellStyle name="Input 2 4 4 2 6" xfId="26384" xr:uid="{2D3DD6C6-CDDA-4BB2-A99D-07AC91C27CAF}"/>
    <cellStyle name="Input 2 4 4 3" xfId="26385" xr:uid="{2C61A874-F71C-44F6-AB58-19AA08EE8E62}"/>
    <cellStyle name="Input 2 4 4 4" xfId="26386" xr:uid="{6C63D1EE-6882-4DCD-B6AF-F41E40E452D4}"/>
    <cellStyle name="Input 2 4 4 5" xfId="26387" xr:uid="{53DEE83E-322A-48DE-BEC1-586BC7FA1F49}"/>
    <cellStyle name="Input 2 4 4 6" xfId="26388" xr:uid="{21CF4A79-D808-43D0-9FDE-4A528C4277CA}"/>
    <cellStyle name="Input 2 4 4 7" xfId="26389" xr:uid="{9CD3583E-6669-4757-8DB2-CE34937F25A3}"/>
    <cellStyle name="Input 2 4 40" xfId="26390" xr:uid="{45A04E96-47DB-4A7D-9A85-F8B9EBC4F37D}"/>
    <cellStyle name="Input 2 4 5" xfId="1520" xr:uid="{5914D150-9F09-4EA8-8056-CF4AB78D1362}"/>
    <cellStyle name="Input 2 4 5 2" xfId="10270" xr:uid="{75E2F522-31EE-45B3-90E7-552CC33DBFF1}"/>
    <cellStyle name="Input 2 4 5 2 2" xfId="26391" xr:uid="{24E47056-EDDD-4E46-812F-F3D69D2B2F7F}"/>
    <cellStyle name="Input 2 4 5 2 3" xfId="26392" xr:uid="{EFA22252-8743-43C8-BCAD-35B4EE871DEC}"/>
    <cellStyle name="Input 2 4 5 2 4" xfId="26393" xr:uid="{BF29B2FD-6AD5-48BD-8BE3-93EF339FAE1D}"/>
    <cellStyle name="Input 2 4 5 2 5" xfId="26394" xr:uid="{9D92CD13-D2DF-43AA-9077-F60C952D4989}"/>
    <cellStyle name="Input 2 4 5 2 6" xfId="26395" xr:uid="{1F35CF1B-5764-4AA5-A80F-241274C76A56}"/>
    <cellStyle name="Input 2 4 5 3" xfId="26396" xr:uid="{F3E2C3C7-FCAB-4394-B7E0-A57D51F25C6E}"/>
    <cellStyle name="Input 2 4 5 4" xfId="26397" xr:uid="{BAC7C085-5B9B-47D9-8B7C-7B4EA0C75472}"/>
    <cellStyle name="Input 2 4 5 5" xfId="26398" xr:uid="{3403464E-916F-4B0B-964D-5C09746FE8CE}"/>
    <cellStyle name="Input 2 4 5 6" xfId="26399" xr:uid="{BD2DC4F8-3E37-486D-B60E-CF5ED445EBEB}"/>
    <cellStyle name="Input 2 4 5 7" xfId="26400" xr:uid="{5E7E106D-AEE1-479C-BC2D-8C52587FAD7F}"/>
    <cellStyle name="Input 2 4 6" xfId="1521" xr:uid="{8477FF78-13AE-42A2-AACF-8AB62380F177}"/>
    <cellStyle name="Input 2 4 6 2" xfId="10355" xr:uid="{C5DC519E-4068-42AF-8591-2E3902B3C15D}"/>
    <cellStyle name="Input 2 4 6 2 2" xfId="26401" xr:uid="{CC03CB21-7887-4B05-9B0D-81A67B555616}"/>
    <cellStyle name="Input 2 4 6 2 3" xfId="26402" xr:uid="{5037797B-582C-49FF-AE7E-2560FCF5055E}"/>
    <cellStyle name="Input 2 4 6 2 4" xfId="26403" xr:uid="{72C16470-6AF2-447B-921B-4335480E2A1B}"/>
    <cellStyle name="Input 2 4 6 2 5" xfId="26404" xr:uid="{40EA7979-312A-480D-9E06-3BD14A0DCF0D}"/>
    <cellStyle name="Input 2 4 6 2 6" xfId="26405" xr:uid="{BB0CCF3F-053D-487B-8C19-C1E79B9AB318}"/>
    <cellStyle name="Input 2 4 6 3" xfId="26406" xr:uid="{6EC87172-448A-4636-B45E-14BC17CAC084}"/>
    <cellStyle name="Input 2 4 6 4" xfId="26407" xr:uid="{6288666A-5E26-4ADE-A401-52D9649FD990}"/>
    <cellStyle name="Input 2 4 6 5" xfId="26408" xr:uid="{CADE4997-6513-4885-91E3-54968B0C1041}"/>
    <cellStyle name="Input 2 4 6 6" xfId="26409" xr:uid="{1404C5BA-96EC-4881-8C97-DE9E759FDC36}"/>
    <cellStyle name="Input 2 4 6 7" xfId="26410" xr:uid="{2262F671-7724-4FAF-B8D1-3F8E21F3F1E0}"/>
    <cellStyle name="Input 2 4 7" xfId="1522" xr:uid="{EB3B066D-567E-47F8-A108-D1E5B1AF7BD0}"/>
    <cellStyle name="Input 2 4 7 2" xfId="10442" xr:uid="{D4846601-228E-4FBF-8105-3D7AAD4EAC42}"/>
    <cellStyle name="Input 2 4 7 2 2" xfId="26411" xr:uid="{DF78D37A-BE7B-4D4B-885A-16B923474337}"/>
    <cellStyle name="Input 2 4 7 2 3" xfId="26412" xr:uid="{CFBB81B9-2498-41E4-94DC-B269330BD0D7}"/>
    <cellStyle name="Input 2 4 7 2 4" xfId="26413" xr:uid="{425E9693-40B7-4E8F-B7BA-85DE19A41AB6}"/>
    <cellStyle name="Input 2 4 7 2 5" xfId="26414" xr:uid="{3E94402C-B852-4958-9534-D6EF4DD5D122}"/>
    <cellStyle name="Input 2 4 7 2 6" xfId="26415" xr:uid="{F49051CB-5F3D-47D5-A194-D1BAC0EEE0B9}"/>
    <cellStyle name="Input 2 4 7 3" xfId="26416" xr:uid="{96A0C9A2-790C-49F5-9FEF-A5F352659DFE}"/>
    <cellStyle name="Input 2 4 7 4" xfId="26417" xr:uid="{4BD85E5F-CD3B-4718-9C7C-1B8CD3AA55F3}"/>
    <cellStyle name="Input 2 4 7 5" xfId="26418" xr:uid="{18262765-5A80-430E-AD66-EA39548773EF}"/>
    <cellStyle name="Input 2 4 7 6" xfId="26419" xr:uid="{52039944-5590-4341-BF4C-32B4E814E3B9}"/>
    <cellStyle name="Input 2 4 7 7" xfId="26420" xr:uid="{4FC745B1-D71C-4C34-99B4-C0DC61512255}"/>
    <cellStyle name="Input 2 4 8" xfId="1523" xr:uid="{C1946CB9-DB1F-4C5E-B1C3-32D4E5A0C1FB}"/>
    <cellStyle name="Input 2 4 8 2" xfId="10531" xr:uid="{C0C02781-0229-4FE0-A134-1D8AE7E2EBA9}"/>
    <cellStyle name="Input 2 4 8 2 2" xfId="26421" xr:uid="{7617A473-5801-414B-A69A-6E8412E97546}"/>
    <cellStyle name="Input 2 4 8 2 3" xfId="26422" xr:uid="{3EAA7FFE-4BBA-464C-9247-88AAFB321869}"/>
    <cellStyle name="Input 2 4 8 2 4" xfId="26423" xr:uid="{BCA96126-983E-43AC-90FD-1A00DEBDABAD}"/>
    <cellStyle name="Input 2 4 8 2 5" xfId="26424" xr:uid="{1C3715C8-2786-4AB2-B034-A631F511D9E6}"/>
    <cellStyle name="Input 2 4 8 2 6" xfId="26425" xr:uid="{C43F4C04-AD31-49D1-8D1F-B5811A364FC1}"/>
    <cellStyle name="Input 2 4 8 3" xfId="26426" xr:uid="{4844D54D-6F36-49B1-9161-640D42117E97}"/>
    <cellStyle name="Input 2 4 8 4" xfId="26427" xr:uid="{94D79BEB-87AB-4549-9774-BD19CD37B6CA}"/>
    <cellStyle name="Input 2 4 8 5" xfId="26428" xr:uid="{22FC2A51-B9B4-47F6-9810-3E78957BF69D}"/>
    <cellStyle name="Input 2 4 8 6" xfId="26429" xr:uid="{C591A387-960F-40F8-8E58-BE266324AA7E}"/>
    <cellStyle name="Input 2 4 8 7" xfId="26430" xr:uid="{EA1FF587-CAF8-44F4-A03C-B54D0B93071B}"/>
    <cellStyle name="Input 2 4 9" xfId="1524" xr:uid="{5E130BEE-AF77-48D4-81E1-215C672170D5}"/>
    <cellStyle name="Input 2 4 9 2" xfId="10613" xr:uid="{45DADD5F-4DE5-44D8-97EF-71284AA9416D}"/>
    <cellStyle name="Input 2 4 9 2 2" xfId="26431" xr:uid="{C538FC79-315F-4398-82D6-EA9636D9FC07}"/>
    <cellStyle name="Input 2 4 9 2 3" xfId="26432" xr:uid="{43DC0BFA-5C37-42E8-B647-7AE7BCB52DCB}"/>
    <cellStyle name="Input 2 4 9 2 4" xfId="26433" xr:uid="{4E8E04E2-1F04-4653-9D3C-1D4A70686A25}"/>
    <cellStyle name="Input 2 4 9 2 5" xfId="26434" xr:uid="{0CFF5640-847A-4F9D-973F-F6667202A206}"/>
    <cellStyle name="Input 2 4 9 2 6" xfId="26435" xr:uid="{2750167E-C8E7-429E-8B41-1435265C9276}"/>
    <cellStyle name="Input 2 4 9 3" xfId="26436" xr:uid="{88DD434A-1B54-4472-8FE7-ACA074A34AAD}"/>
    <cellStyle name="Input 2 4 9 4" xfId="26437" xr:uid="{17F0E389-D9DE-46FD-A9D6-0898AC1C0EA0}"/>
    <cellStyle name="Input 2 4 9 5" xfId="26438" xr:uid="{AC9BC393-643C-4CD6-A969-6DF0ABC30246}"/>
    <cellStyle name="Input 2 4 9 6" xfId="26439" xr:uid="{27436695-9BFF-4C89-9AD5-E2F1EEE4D241}"/>
    <cellStyle name="Input 2 4 9 7" xfId="26440" xr:uid="{4169A239-EA3E-49E8-9BDF-0AC0AE22F69D}"/>
    <cellStyle name="Input 2 40" xfId="9767" xr:uid="{3F07AE97-1FF4-4B27-B6A4-0A2CF4A8C49B}"/>
    <cellStyle name="Input 2 40 2" xfId="26441" xr:uid="{B4E4413C-CB99-46ED-AB0C-4F7B9E22FCA1}"/>
    <cellStyle name="Input 2 40 3" xfId="26442" xr:uid="{829B7444-C494-4297-AF73-2967E21C6A9F}"/>
    <cellStyle name="Input 2 40 4" xfId="26443" xr:uid="{C1A6FA32-48DD-4B53-A9A4-56871C875AC2}"/>
    <cellStyle name="Input 2 40 5" xfId="26444" xr:uid="{44B54144-7B8E-4599-A470-71487817DADE}"/>
    <cellStyle name="Input 2 40 6" xfId="26445" xr:uid="{4C3783AB-C365-4CD0-A519-1DDF35D0EBEB}"/>
    <cellStyle name="Input 2 41" xfId="44174" xr:uid="{39EC2043-630D-4C42-AD34-40A5E850D0CB}"/>
    <cellStyle name="Input 2 5" xfId="1525" xr:uid="{12768DEB-9AF6-4A2C-B9AB-6368632A7A5A}"/>
    <cellStyle name="Input 2 5 10" xfId="1526" xr:uid="{14CFF5ED-7E27-4F71-941D-7AB25DE68722}"/>
    <cellStyle name="Input 2 5 10 2" xfId="10694" xr:uid="{92B7179D-D87E-488C-B138-C605EBE8E3EC}"/>
    <cellStyle name="Input 2 5 10 2 2" xfId="26446" xr:uid="{8B30C26E-C2EA-436D-8EAC-B61AF82A7B08}"/>
    <cellStyle name="Input 2 5 10 2 3" xfId="26447" xr:uid="{0A90BC67-8C0B-4440-A6FF-1CC845C30FAB}"/>
    <cellStyle name="Input 2 5 10 2 4" xfId="26448" xr:uid="{C4CA1CCD-A250-41AF-A674-49D630CBB6E8}"/>
    <cellStyle name="Input 2 5 10 2 5" xfId="26449" xr:uid="{7B0FD77D-2AFD-4C32-AE71-B3FCF458524C}"/>
    <cellStyle name="Input 2 5 10 2 6" xfId="26450" xr:uid="{8D8A2B5E-24D2-462B-B522-8E843E286D4E}"/>
    <cellStyle name="Input 2 5 10 3" xfId="26451" xr:uid="{3E61982A-E37E-4355-867D-750F1322502A}"/>
    <cellStyle name="Input 2 5 10 4" xfId="26452" xr:uid="{9B0D4E94-277E-4B88-91DB-7CBE22D87DA7}"/>
    <cellStyle name="Input 2 5 10 5" xfId="26453" xr:uid="{6449CFDA-F7D4-4179-BF12-4B52D0E55ED8}"/>
    <cellStyle name="Input 2 5 10 6" xfId="26454" xr:uid="{C783F9E4-B256-400F-9297-56FE1CA5DB46}"/>
    <cellStyle name="Input 2 5 10 7" xfId="26455" xr:uid="{0BB5240A-B20E-418A-8679-EDB72729248E}"/>
    <cellStyle name="Input 2 5 11" xfId="1527" xr:uid="{9E9173FE-63BE-4281-9C18-326034DABBAF}"/>
    <cellStyle name="Input 2 5 11 2" xfId="10785" xr:uid="{32977EC9-BB9D-4032-B19F-69736A3CF938}"/>
    <cellStyle name="Input 2 5 11 2 2" xfId="26456" xr:uid="{093951F4-E525-4E57-B16D-45107D30D203}"/>
    <cellStyle name="Input 2 5 11 2 3" xfId="26457" xr:uid="{59AA25FE-8198-4ACA-B5BD-71355F80F8C9}"/>
    <cellStyle name="Input 2 5 11 2 4" xfId="26458" xr:uid="{5F068C70-E225-48D6-AD3D-D63C54CADFE7}"/>
    <cellStyle name="Input 2 5 11 2 5" xfId="26459" xr:uid="{9B51013C-08F3-4995-8764-68089CB4832C}"/>
    <cellStyle name="Input 2 5 11 2 6" xfId="26460" xr:uid="{2170C7A7-68F4-4DFF-97E8-314EA996E015}"/>
    <cellStyle name="Input 2 5 11 3" xfId="26461" xr:uid="{49FB4077-6045-4863-BD8E-0FED14ED4A1D}"/>
    <cellStyle name="Input 2 5 11 4" xfId="26462" xr:uid="{C5033CFC-7511-4E67-8EAC-6FCC00A056C6}"/>
    <cellStyle name="Input 2 5 11 5" xfId="26463" xr:uid="{44DF0D25-8248-45CB-B06D-4DF4CCB4CC47}"/>
    <cellStyle name="Input 2 5 11 6" xfId="26464" xr:uid="{47879D1B-93DD-4358-93F4-A9D2CDAF2007}"/>
    <cellStyle name="Input 2 5 11 7" xfId="26465" xr:uid="{95AB4758-FAFF-47A9-B5BE-E5BB2681E5CF}"/>
    <cellStyle name="Input 2 5 12" xfId="1528" xr:uid="{5154EDE8-F500-42EE-9F9B-851F5B62B1F5}"/>
    <cellStyle name="Input 2 5 12 2" xfId="10872" xr:uid="{E9CAE79B-708A-43E4-BE14-DC926766F3BB}"/>
    <cellStyle name="Input 2 5 12 2 2" xfId="26466" xr:uid="{75485BC6-D6B0-4131-B6E1-173AB9A98DFB}"/>
    <cellStyle name="Input 2 5 12 2 3" xfId="26467" xr:uid="{C4307AF1-EBEE-4616-A832-53F62007C6C6}"/>
    <cellStyle name="Input 2 5 12 2 4" xfId="26468" xr:uid="{F6A6DC95-3F03-48C1-BCC2-AE87EC279EEB}"/>
    <cellStyle name="Input 2 5 12 2 5" xfId="26469" xr:uid="{908BC4D9-2A40-4DB7-ABF3-686D574EFB34}"/>
    <cellStyle name="Input 2 5 12 2 6" xfId="26470" xr:uid="{19E6A9C5-0DDC-4E1D-BDD8-B46FDF3ED0D2}"/>
    <cellStyle name="Input 2 5 12 3" xfId="26471" xr:uid="{3A0B535A-F1E4-4900-B673-1C3D2C1B2C06}"/>
    <cellStyle name="Input 2 5 12 4" xfId="26472" xr:uid="{AA31EB22-936D-4410-A5EC-B5CFDB99FE2F}"/>
    <cellStyle name="Input 2 5 12 5" xfId="26473" xr:uid="{D9AEE413-98C1-4B88-A7C2-BECD31A8EBEF}"/>
    <cellStyle name="Input 2 5 12 6" xfId="26474" xr:uid="{8AC80612-49F0-4758-A04C-194844EEFF27}"/>
    <cellStyle name="Input 2 5 12 7" xfId="26475" xr:uid="{1E7687DE-EA38-4535-9C5F-657AC60AF483}"/>
    <cellStyle name="Input 2 5 13" xfId="1529" xr:uid="{8AEF6FE4-AA51-457D-A083-90CF7B4E54FC}"/>
    <cellStyle name="Input 2 5 13 2" xfId="10961" xr:uid="{A51F6697-5675-4797-86CC-6B2BF87FA756}"/>
    <cellStyle name="Input 2 5 13 2 2" xfId="26476" xr:uid="{A7E19B5E-1E59-41B1-B012-D1EEF00D8578}"/>
    <cellStyle name="Input 2 5 13 2 3" xfId="26477" xr:uid="{81294BBB-6192-401A-B494-D593143F673A}"/>
    <cellStyle name="Input 2 5 13 2 4" xfId="26478" xr:uid="{B8781DAA-D271-4128-83AA-21E475BC05DA}"/>
    <cellStyle name="Input 2 5 13 2 5" xfId="26479" xr:uid="{EDD7CB94-113B-4EEF-993C-6D02A83319FD}"/>
    <cellStyle name="Input 2 5 13 2 6" xfId="26480" xr:uid="{46C50EC9-976D-4201-98E6-9EB9D3A7CA75}"/>
    <cellStyle name="Input 2 5 13 3" xfId="26481" xr:uid="{AA124566-BDC8-412E-A5DE-5BDEC9B7F668}"/>
    <cellStyle name="Input 2 5 13 4" xfId="26482" xr:uid="{277DCFC2-45A6-446B-ADE6-B04A9067479B}"/>
    <cellStyle name="Input 2 5 13 5" xfId="26483" xr:uid="{C6FA5EEE-0EDC-4C09-B915-BE5095FCC73A}"/>
    <cellStyle name="Input 2 5 13 6" xfId="26484" xr:uid="{A8697F82-6D5F-4ADF-AB0A-C0D996380F3B}"/>
    <cellStyle name="Input 2 5 13 7" xfId="26485" xr:uid="{88B1D35C-8215-4008-A47D-7F94D0FE33B9}"/>
    <cellStyle name="Input 2 5 14" xfId="1530" xr:uid="{4187412F-8CAB-42C6-AC85-BF42A2FD5B91}"/>
    <cellStyle name="Input 2 5 14 2" xfId="11053" xr:uid="{F841A325-45E0-46E0-B2E1-C3D58767A35E}"/>
    <cellStyle name="Input 2 5 14 2 2" xfId="26486" xr:uid="{0C6CEFBA-D6F5-4067-832A-E65C12D8E2CC}"/>
    <cellStyle name="Input 2 5 14 2 3" xfId="26487" xr:uid="{B8DE7BC1-738C-4D5B-8E87-330FF5F380E6}"/>
    <cellStyle name="Input 2 5 14 2 4" xfId="26488" xr:uid="{B09A76FF-64BB-46E4-8763-CA8C189CFB37}"/>
    <cellStyle name="Input 2 5 14 2 5" xfId="26489" xr:uid="{3163F7F2-E413-4A58-90D5-E8CB3DB54ABC}"/>
    <cellStyle name="Input 2 5 14 2 6" xfId="26490" xr:uid="{0AEA7C4F-3951-49FE-A3E8-1A142CB3A07A}"/>
    <cellStyle name="Input 2 5 14 3" xfId="26491" xr:uid="{BB342244-5292-42E6-A9DF-34A1681C4E18}"/>
    <cellStyle name="Input 2 5 14 4" xfId="26492" xr:uid="{17B40FCF-1378-4D6A-ABE9-CF104252DB4B}"/>
    <cellStyle name="Input 2 5 14 5" xfId="26493" xr:uid="{F331B024-C2DF-415B-A91C-1411E5C19548}"/>
    <cellStyle name="Input 2 5 14 6" xfId="26494" xr:uid="{59E46B60-9332-47A3-A0A8-94F6504EAEFC}"/>
    <cellStyle name="Input 2 5 14 7" xfId="26495" xr:uid="{F535CDAE-7C44-48C5-AB48-8DB014B93E51}"/>
    <cellStyle name="Input 2 5 15" xfId="1531" xr:uid="{6042B071-56F9-4E1B-9061-DC33CC7F5782}"/>
    <cellStyle name="Input 2 5 15 2" xfId="11136" xr:uid="{37973A57-FDFA-42EE-8D46-08F05EFC5D80}"/>
    <cellStyle name="Input 2 5 15 2 2" xfId="26496" xr:uid="{CF2F36EA-8940-468C-B656-AB1DE479AC7E}"/>
    <cellStyle name="Input 2 5 15 2 3" xfId="26497" xr:uid="{D4F4FC3A-BB1B-4E1D-B961-3AA29D11551D}"/>
    <cellStyle name="Input 2 5 15 2 4" xfId="26498" xr:uid="{58A317C7-1C34-48D0-AD95-69E82E68C138}"/>
    <cellStyle name="Input 2 5 15 2 5" xfId="26499" xr:uid="{AE27D8CC-5C2B-4AAA-BAED-4834F771E7C0}"/>
    <cellStyle name="Input 2 5 15 2 6" xfId="26500" xr:uid="{51BA326C-6707-412A-B70C-287EE0ECF811}"/>
    <cellStyle name="Input 2 5 15 3" xfId="26501" xr:uid="{453DEE5B-C807-4D2B-9D4A-ACEFE641C1D1}"/>
    <cellStyle name="Input 2 5 15 4" xfId="26502" xr:uid="{8EA0535A-EBCB-4C7D-B497-7803A4660221}"/>
    <cellStyle name="Input 2 5 15 5" xfId="26503" xr:uid="{BCC6E115-E13A-404A-9A4C-F992A6FACA03}"/>
    <cellStyle name="Input 2 5 15 6" xfId="26504" xr:uid="{8921F02B-C9C4-47F0-855F-A5626C477916}"/>
    <cellStyle name="Input 2 5 15 7" xfId="26505" xr:uid="{4BCAB415-20A5-4019-B740-31ADA03151D0}"/>
    <cellStyle name="Input 2 5 16" xfId="1532" xr:uid="{9BDBDCF8-EA0C-4987-9A4B-6EF26964D5D5}"/>
    <cellStyle name="Input 2 5 16 2" xfId="11225" xr:uid="{47D87EED-5338-43F5-B651-D51460564E8D}"/>
    <cellStyle name="Input 2 5 16 2 2" xfId="26506" xr:uid="{A44E598F-2386-4900-B5A4-0AFADF467333}"/>
    <cellStyle name="Input 2 5 16 2 3" xfId="26507" xr:uid="{FB4B9F24-B007-48BD-A3AC-3D23634B7C84}"/>
    <cellStyle name="Input 2 5 16 2 4" xfId="26508" xr:uid="{62C81446-5CD2-491D-A6FF-76F6B3DE66A8}"/>
    <cellStyle name="Input 2 5 16 2 5" xfId="26509" xr:uid="{A5FA7575-544B-4E90-806B-19595A652838}"/>
    <cellStyle name="Input 2 5 16 2 6" xfId="26510" xr:uid="{65C00967-A1A1-4E53-9AB3-9C7641A02747}"/>
    <cellStyle name="Input 2 5 16 3" xfId="26511" xr:uid="{E9FA51A1-FE25-4542-94AF-0901F887182C}"/>
    <cellStyle name="Input 2 5 16 4" xfId="26512" xr:uid="{F3ACC0EC-34A9-4FA8-8873-602FE2371281}"/>
    <cellStyle name="Input 2 5 16 5" xfId="26513" xr:uid="{84E10E66-9862-4C0E-AA32-99D4A7A66A0D}"/>
    <cellStyle name="Input 2 5 16 6" xfId="26514" xr:uid="{F0F3EFC0-FD00-4213-A33A-8117F8AA90D2}"/>
    <cellStyle name="Input 2 5 16 7" xfId="26515" xr:uid="{E13F517B-E73E-48C8-BF41-A4CB50DA01D3}"/>
    <cellStyle name="Input 2 5 17" xfId="1533" xr:uid="{40A6AE24-DF3F-47EB-BFEF-183F423BE67F}"/>
    <cellStyle name="Input 2 5 17 2" xfId="11311" xr:uid="{E0E0FF1B-859A-4D52-9107-F20B7F9FC249}"/>
    <cellStyle name="Input 2 5 17 2 2" xfId="26516" xr:uid="{93F2E7C7-5A5E-44A3-AC36-7A79832E49C5}"/>
    <cellStyle name="Input 2 5 17 2 3" xfId="26517" xr:uid="{AA769EDC-5B8D-477A-9AF7-4F6335B67EBD}"/>
    <cellStyle name="Input 2 5 17 2 4" xfId="26518" xr:uid="{0F6BE974-F296-4169-B197-4C5AB5DD4675}"/>
    <cellStyle name="Input 2 5 17 2 5" xfId="26519" xr:uid="{FD1F0C71-3CB5-4CF9-A273-F6DEEFCA8B90}"/>
    <cellStyle name="Input 2 5 17 2 6" xfId="26520" xr:uid="{C214E7DF-431A-4404-A0F2-A9C8971399DE}"/>
    <cellStyle name="Input 2 5 17 3" xfId="26521" xr:uid="{75995226-C8FD-4EC8-8A18-EC10DA36BE11}"/>
    <cellStyle name="Input 2 5 17 4" xfId="26522" xr:uid="{70D5A7DA-00F0-4242-88DC-91A4874DC8FF}"/>
    <cellStyle name="Input 2 5 17 5" xfId="26523" xr:uid="{8D010012-FEBA-4AEA-B4B0-CD9662C6ABF0}"/>
    <cellStyle name="Input 2 5 17 6" xfId="26524" xr:uid="{1680184D-937D-4E60-B984-CD7CCDFF56CF}"/>
    <cellStyle name="Input 2 5 17 7" xfId="26525" xr:uid="{09459258-FC5C-49C4-8DEB-0E90F6B19330}"/>
    <cellStyle name="Input 2 5 18" xfId="1534" xr:uid="{7810F46B-CE7D-4566-8CAB-AFE818E3F2C9}"/>
    <cellStyle name="Input 2 5 18 2" xfId="11398" xr:uid="{B2632822-CFD4-49B1-973C-25AC23E453B7}"/>
    <cellStyle name="Input 2 5 18 2 2" xfId="26526" xr:uid="{AAF90777-548A-4AD8-A8EA-97709FE4FD5C}"/>
    <cellStyle name="Input 2 5 18 2 3" xfId="26527" xr:uid="{D00BBFF7-1B33-401F-89F3-6C54C7ED1A56}"/>
    <cellStyle name="Input 2 5 18 2 4" xfId="26528" xr:uid="{C331598E-83CF-49D3-B536-A9F7FA51087D}"/>
    <cellStyle name="Input 2 5 18 2 5" xfId="26529" xr:uid="{021ADCBC-0ECD-4A42-93A7-B77A708593FA}"/>
    <cellStyle name="Input 2 5 18 2 6" xfId="26530" xr:uid="{5F69A75D-3C6E-491E-8874-F37E0E0AE087}"/>
    <cellStyle name="Input 2 5 18 3" xfId="26531" xr:uid="{CFFD7C70-59E5-4223-BB32-4154D7D8B297}"/>
    <cellStyle name="Input 2 5 18 4" xfId="26532" xr:uid="{352C2C90-A73F-4F4C-9164-5B8B6B4231BB}"/>
    <cellStyle name="Input 2 5 18 5" xfId="26533" xr:uid="{5FBD5345-DF6F-4823-B26B-5E0E841E8F83}"/>
    <cellStyle name="Input 2 5 18 6" xfId="26534" xr:uid="{3B34293D-2BAD-4969-887A-81D9ABC81410}"/>
    <cellStyle name="Input 2 5 18 7" xfId="26535" xr:uid="{029E5172-F3EA-4178-ACB6-9C6DD3FAB612}"/>
    <cellStyle name="Input 2 5 19" xfId="1535" xr:uid="{F4D86BF8-471F-4AA6-A267-6E4A886663EA}"/>
    <cellStyle name="Input 2 5 19 2" xfId="11485" xr:uid="{16792454-93A5-49B1-B7E5-756EC21A7D19}"/>
    <cellStyle name="Input 2 5 19 2 2" xfId="26536" xr:uid="{2A1EB29A-EEAF-44BC-B59A-37A890F142B2}"/>
    <cellStyle name="Input 2 5 19 2 3" xfId="26537" xr:uid="{C7E12CDC-136F-49CD-853D-8B6B3EF22E7E}"/>
    <cellStyle name="Input 2 5 19 2 4" xfId="26538" xr:uid="{CCA737EF-2D7D-4E1F-BE9F-0306E7957E6C}"/>
    <cellStyle name="Input 2 5 19 2 5" xfId="26539" xr:uid="{00363323-11BD-465A-9983-1644BFBC382B}"/>
    <cellStyle name="Input 2 5 19 2 6" xfId="26540" xr:uid="{D61F5B5F-66C7-4DD0-8C33-A6520F0BBB4D}"/>
    <cellStyle name="Input 2 5 19 3" xfId="26541" xr:uid="{14A60634-148B-41EA-96FC-23B04187F7D6}"/>
    <cellStyle name="Input 2 5 19 4" xfId="26542" xr:uid="{B6A70B8C-44C4-430C-B051-76C0208B7CB6}"/>
    <cellStyle name="Input 2 5 19 5" xfId="26543" xr:uid="{041C55F6-8879-4E5B-8AEF-96178E65B98F}"/>
    <cellStyle name="Input 2 5 19 6" xfId="26544" xr:uid="{C9382138-6D9E-484C-BF76-6F803FC203A3}"/>
    <cellStyle name="Input 2 5 19 7" xfId="26545" xr:uid="{A82B848D-C1A3-4C7E-B6BE-2BFFCD06D623}"/>
    <cellStyle name="Input 2 5 2" xfId="1536" xr:uid="{D69D41FA-CB54-4031-B7C1-D2C5C5CD49C9}"/>
    <cellStyle name="Input 2 5 2 2" xfId="9991" xr:uid="{29C0BD85-D44D-4CF9-9718-BB47E6FE8C06}"/>
    <cellStyle name="Input 2 5 2 2 2" xfId="26546" xr:uid="{84401887-EE87-4B62-A01E-25C4A3EF6FFC}"/>
    <cellStyle name="Input 2 5 2 2 3" xfId="26547" xr:uid="{89BC4875-AA62-4A3F-AF1A-4CAF2862D148}"/>
    <cellStyle name="Input 2 5 2 2 4" xfId="26548" xr:uid="{DE0A59C3-9747-4F78-8C25-CC89FAE8F53F}"/>
    <cellStyle name="Input 2 5 2 2 5" xfId="26549" xr:uid="{0D0992A0-1460-448B-AECB-39E66C08DFFE}"/>
    <cellStyle name="Input 2 5 2 2 6" xfId="26550" xr:uid="{3BE5F357-C379-4423-B905-543D44BC1E48}"/>
    <cellStyle name="Input 2 5 2 3" xfId="26551" xr:uid="{D093348E-939A-4281-B0B9-3F3C28CABC8E}"/>
    <cellStyle name="Input 2 5 2 4" xfId="26552" xr:uid="{C0F24E92-D051-4CDF-A893-BFCCE9463FDD}"/>
    <cellStyle name="Input 2 5 2 5" xfId="26553" xr:uid="{C7634C54-FEB7-4739-98CC-E8811B865074}"/>
    <cellStyle name="Input 2 5 2 6" xfId="26554" xr:uid="{C3F11944-04F9-49F3-8ED4-5DA819C9F4EF}"/>
    <cellStyle name="Input 2 5 2 7" xfId="26555" xr:uid="{EA3FFD2D-2146-4214-BA7B-1DA86E23E92D}"/>
    <cellStyle name="Input 2 5 20" xfId="1537" xr:uid="{FE689889-2CCA-4D82-A0B5-C264DEE142BF}"/>
    <cellStyle name="Input 2 5 20 2" xfId="11573" xr:uid="{D3E4AC1C-4796-4890-8465-1B581C5D31D5}"/>
    <cellStyle name="Input 2 5 20 2 2" xfId="26556" xr:uid="{FE2D08EF-64F2-4575-BE88-6AF0A4C7B77D}"/>
    <cellStyle name="Input 2 5 20 2 3" xfId="26557" xr:uid="{C8A4CD5E-7E63-4EA3-A852-1B21BC2B0DC2}"/>
    <cellStyle name="Input 2 5 20 2 4" xfId="26558" xr:uid="{DC274DBE-E65E-4A9B-A320-FCE33FA40CD4}"/>
    <cellStyle name="Input 2 5 20 2 5" xfId="26559" xr:uid="{C2D21196-8624-410E-890C-6D5F6ECD170F}"/>
    <cellStyle name="Input 2 5 20 2 6" xfId="26560" xr:uid="{627D683D-021A-47C1-BAD5-00EF91B3FC1F}"/>
    <cellStyle name="Input 2 5 20 3" xfId="26561" xr:uid="{7D34A576-2B51-454B-992C-A0056B159C00}"/>
    <cellStyle name="Input 2 5 20 4" xfId="26562" xr:uid="{1EA1E21F-C1E2-4F5A-9118-7E16B333AAC6}"/>
    <cellStyle name="Input 2 5 20 5" xfId="26563" xr:uid="{F4F67FF9-CDFB-4681-A0B0-8AB918397ABC}"/>
    <cellStyle name="Input 2 5 20 6" xfId="26564" xr:uid="{7ABD17A5-E5DA-40AE-B397-CC3953082DD6}"/>
    <cellStyle name="Input 2 5 20 7" xfId="26565" xr:uid="{64E5F549-57EF-4684-BC4B-012E1AB4ADB6}"/>
    <cellStyle name="Input 2 5 21" xfId="1538" xr:uid="{FB435B89-F23E-467E-9514-6A4730E1B650}"/>
    <cellStyle name="Input 2 5 21 2" xfId="11659" xr:uid="{171E47D5-8174-48FA-8FD8-80D40B89CB36}"/>
    <cellStyle name="Input 2 5 21 2 2" xfId="26566" xr:uid="{A4B71D5C-7D74-40BD-98C9-ADBDA96DDB3C}"/>
    <cellStyle name="Input 2 5 21 2 3" xfId="26567" xr:uid="{517F5052-950C-4702-9C78-9934D19EA889}"/>
    <cellStyle name="Input 2 5 21 2 4" xfId="26568" xr:uid="{CCCBA3E4-6477-459C-95F5-529602FFD829}"/>
    <cellStyle name="Input 2 5 21 2 5" xfId="26569" xr:uid="{B9116AB3-1169-41AE-9254-B3A85669631D}"/>
    <cellStyle name="Input 2 5 21 2 6" xfId="26570" xr:uid="{83758E07-DC16-4438-90F9-2FABDD965D31}"/>
    <cellStyle name="Input 2 5 21 3" xfId="26571" xr:uid="{46F75BC5-702D-4B1A-9EA0-D571E2741704}"/>
    <cellStyle name="Input 2 5 21 4" xfId="26572" xr:uid="{7B557DED-EF46-48C7-BC02-1030C3BD74B2}"/>
    <cellStyle name="Input 2 5 21 5" xfId="26573" xr:uid="{3E9F7F12-9202-4EE2-A048-8D329AB5D398}"/>
    <cellStyle name="Input 2 5 21 6" xfId="26574" xr:uid="{E44DF9CD-75E7-486B-849F-E565304A65B0}"/>
    <cellStyle name="Input 2 5 21 7" xfId="26575" xr:uid="{6C958C36-CCF5-44C1-845C-2B614CBF52E4}"/>
    <cellStyle name="Input 2 5 22" xfId="1539" xr:uid="{049A5F70-7DA8-4F73-9317-75D7F0DEF995}"/>
    <cellStyle name="Input 2 5 22 2" xfId="11742" xr:uid="{10FD4C9D-C4E3-44AF-B050-803121B1E0A1}"/>
    <cellStyle name="Input 2 5 22 2 2" xfId="26576" xr:uid="{BA495282-A58B-4DAE-BAA2-B081E6BBFB42}"/>
    <cellStyle name="Input 2 5 22 2 3" xfId="26577" xr:uid="{955E122C-3F37-4989-81C7-2B9FA7A174E4}"/>
    <cellStyle name="Input 2 5 22 2 4" xfId="26578" xr:uid="{BEC35D65-6C0B-4A40-816B-53EC8A91438E}"/>
    <cellStyle name="Input 2 5 22 2 5" xfId="26579" xr:uid="{E63D4C4C-8B87-4199-A74E-031DC951BF29}"/>
    <cellStyle name="Input 2 5 22 2 6" xfId="26580" xr:uid="{BA85BAA3-AECD-4456-862B-EC7265761B65}"/>
    <cellStyle name="Input 2 5 22 3" xfId="26581" xr:uid="{0917B909-A8F5-4114-BD69-7D7A881DFA75}"/>
    <cellStyle name="Input 2 5 22 4" xfId="26582" xr:uid="{DDCAECA9-CC1C-4E75-88AC-3991E6CCEBBD}"/>
    <cellStyle name="Input 2 5 22 5" xfId="26583" xr:uid="{829DFB12-76FF-4680-B741-1C29E2E39D4E}"/>
    <cellStyle name="Input 2 5 22 6" xfId="26584" xr:uid="{9745E97D-E839-4361-9DB3-D9387FF03FB4}"/>
    <cellStyle name="Input 2 5 22 7" xfId="26585" xr:uid="{DC2C2908-A5C5-484A-B243-16D79D84B9EB}"/>
    <cellStyle name="Input 2 5 23" xfId="1540" xr:uid="{F873C223-8D25-44A3-A872-1AA39F9924E7}"/>
    <cellStyle name="Input 2 5 23 2" xfId="11824" xr:uid="{6621425C-5C76-4C36-9FA8-DDF91B43E28E}"/>
    <cellStyle name="Input 2 5 23 2 2" xfId="26586" xr:uid="{96D48589-DB0B-44A6-A65D-21CFC0B8704C}"/>
    <cellStyle name="Input 2 5 23 2 3" xfId="26587" xr:uid="{C7F7A760-5455-4E3F-9BC6-BF1807216A0A}"/>
    <cellStyle name="Input 2 5 23 2 4" xfId="26588" xr:uid="{2E864A25-BD63-4847-8D19-010A5E6A9B94}"/>
    <cellStyle name="Input 2 5 23 2 5" xfId="26589" xr:uid="{D36BA09C-2ED9-4B52-84A2-678F60AF1CB6}"/>
    <cellStyle name="Input 2 5 23 2 6" xfId="26590" xr:uid="{19815E22-24EB-4E1A-80D4-FA9E04076DD0}"/>
    <cellStyle name="Input 2 5 23 3" xfId="26591" xr:uid="{3BE640FD-F874-468C-9BB5-3668FA4CEF80}"/>
    <cellStyle name="Input 2 5 23 4" xfId="26592" xr:uid="{5C61D765-A512-444A-9242-ECC7D507AB6E}"/>
    <cellStyle name="Input 2 5 23 5" xfId="26593" xr:uid="{5D45CFFC-6A8F-4CE3-915F-25CF27B24879}"/>
    <cellStyle name="Input 2 5 23 6" xfId="26594" xr:uid="{28713737-2D3E-497A-8FDB-00E840404FB9}"/>
    <cellStyle name="Input 2 5 23 7" xfId="26595" xr:uid="{D80FAB1A-D3A8-4DF0-8F84-2B441817524A}"/>
    <cellStyle name="Input 2 5 24" xfId="1541" xr:uid="{DB39916E-9DA4-4C6F-9311-CF948DAF1F42}"/>
    <cellStyle name="Input 2 5 24 2" xfId="11908" xr:uid="{BB30D617-E789-4176-B55A-B48A2A9E91F0}"/>
    <cellStyle name="Input 2 5 24 2 2" xfId="26596" xr:uid="{5EFF0FEE-F528-402B-9DF4-E638F8B52FE0}"/>
    <cellStyle name="Input 2 5 24 2 3" xfId="26597" xr:uid="{ED123775-4C33-4CB3-9564-B2F586A63C7D}"/>
    <cellStyle name="Input 2 5 24 2 4" xfId="26598" xr:uid="{A0DFBD0A-1344-4AD4-8636-53654A63D511}"/>
    <cellStyle name="Input 2 5 24 2 5" xfId="26599" xr:uid="{32241966-E92C-43DB-B691-4DBE94885A36}"/>
    <cellStyle name="Input 2 5 24 2 6" xfId="26600" xr:uid="{28F07776-D211-4F26-BA03-2891C4E376EE}"/>
    <cellStyle name="Input 2 5 24 3" xfId="26601" xr:uid="{7E8FF7D0-ABBB-41F5-B188-DB0E46256522}"/>
    <cellStyle name="Input 2 5 24 4" xfId="26602" xr:uid="{41955D4A-1BAD-46D3-AE67-E1426F789691}"/>
    <cellStyle name="Input 2 5 24 5" xfId="26603" xr:uid="{AA389D6A-35DC-4E09-8B0D-61885F7555DB}"/>
    <cellStyle name="Input 2 5 24 6" xfId="26604" xr:uid="{38DC06B6-7D9E-4646-8C60-8DF27BE6E928}"/>
    <cellStyle name="Input 2 5 24 7" xfId="26605" xr:uid="{A378508A-0EA1-415C-952F-F5DA554F95F3}"/>
    <cellStyle name="Input 2 5 25" xfId="1542" xr:uid="{30BE5F7B-708C-4C84-9DE2-432EE94B3C48}"/>
    <cellStyle name="Input 2 5 25 2" xfId="11992" xr:uid="{8E5E2716-1D2C-414E-99B4-8091A020C135}"/>
    <cellStyle name="Input 2 5 25 2 2" xfId="26606" xr:uid="{383005CD-50D1-4D66-90ED-2F6EE281D151}"/>
    <cellStyle name="Input 2 5 25 2 3" xfId="26607" xr:uid="{03E647D1-6069-409A-9CB7-10C328442445}"/>
    <cellStyle name="Input 2 5 25 2 4" xfId="26608" xr:uid="{EE472A00-8BCB-4578-8A05-BCF64248B86E}"/>
    <cellStyle name="Input 2 5 25 2 5" xfId="26609" xr:uid="{E7349AD3-2DFF-4774-9BB8-7A2E471EC72A}"/>
    <cellStyle name="Input 2 5 25 2 6" xfId="26610" xr:uid="{5C95767E-542F-4C0E-BB08-9C74F48C62CE}"/>
    <cellStyle name="Input 2 5 25 3" xfId="26611" xr:uid="{FCCA5ABC-0883-4BCE-8598-4E2E51FA7C31}"/>
    <cellStyle name="Input 2 5 25 4" xfId="26612" xr:uid="{AD80A74C-2CA4-45FE-94E1-C0968FEAE2A7}"/>
    <cellStyle name="Input 2 5 25 5" xfId="26613" xr:uid="{9CCF885B-1511-4E2D-94FC-1A1D2572D1A9}"/>
    <cellStyle name="Input 2 5 25 6" xfId="26614" xr:uid="{40392B9F-A37D-4BC3-A260-5562E182929A}"/>
    <cellStyle name="Input 2 5 25 7" xfId="26615" xr:uid="{43B24416-2443-424C-A06F-1BCD4AFCEF08}"/>
    <cellStyle name="Input 2 5 26" xfId="1543" xr:uid="{E41DBB8E-6396-40C8-83E9-5596CFD8C18A}"/>
    <cellStyle name="Input 2 5 26 2" xfId="12075" xr:uid="{4533B773-2846-4150-999C-67F0CBECFD9B}"/>
    <cellStyle name="Input 2 5 26 2 2" xfId="26616" xr:uid="{C21E188A-5E00-4DB7-A191-70FFFD369577}"/>
    <cellStyle name="Input 2 5 26 2 3" xfId="26617" xr:uid="{A6A30933-D5BB-4026-BD6A-983E364FB0FE}"/>
    <cellStyle name="Input 2 5 26 2 4" xfId="26618" xr:uid="{5A60ABAB-FD11-490C-A7CF-4A9C6EF8A4C9}"/>
    <cellStyle name="Input 2 5 26 2 5" xfId="26619" xr:uid="{AE8AD1A1-AA1C-4C57-A3C6-6A7CC519AC87}"/>
    <cellStyle name="Input 2 5 26 2 6" xfId="26620" xr:uid="{A11DF2C8-4244-4F20-A5F0-E611D748523A}"/>
    <cellStyle name="Input 2 5 26 3" xfId="26621" xr:uid="{32B6CB8C-5790-41FC-A9B3-263C704EFBEC}"/>
    <cellStyle name="Input 2 5 26 4" xfId="26622" xr:uid="{28BA7530-43C6-42EE-A44F-04B4F962BDC1}"/>
    <cellStyle name="Input 2 5 26 5" xfId="26623" xr:uid="{9249A530-426D-4772-8CF3-F1369EBC4854}"/>
    <cellStyle name="Input 2 5 26 6" xfId="26624" xr:uid="{8A63E7C6-6B69-4E26-95CD-2C5119F4F652}"/>
    <cellStyle name="Input 2 5 26 7" xfId="26625" xr:uid="{7473981F-E5DC-4237-815E-431ADBD959AD}"/>
    <cellStyle name="Input 2 5 27" xfId="1544" xr:uid="{8F7F4764-DBE7-4EB3-85B6-C54922C74D3C}"/>
    <cellStyle name="Input 2 5 27 2" xfId="12158" xr:uid="{2C865F3F-04C2-49DA-9D4D-624323A07C13}"/>
    <cellStyle name="Input 2 5 27 2 2" xfId="26626" xr:uid="{FD781089-C939-4359-BA7C-43E9BF32C6D5}"/>
    <cellStyle name="Input 2 5 27 2 3" xfId="26627" xr:uid="{F4B64EAC-F304-4A11-AB65-5B2B72BAB29F}"/>
    <cellStyle name="Input 2 5 27 2 4" xfId="26628" xr:uid="{3B30EF26-9D28-4CE3-8013-2390C7A2CAA6}"/>
    <cellStyle name="Input 2 5 27 2 5" xfId="26629" xr:uid="{15B2420D-8DD4-4348-BA59-BF06D7907A67}"/>
    <cellStyle name="Input 2 5 27 2 6" xfId="26630" xr:uid="{DB72C4C7-1FCB-454A-9122-6D4649729914}"/>
    <cellStyle name="Input 2 5 27 3" xfId="26631" xr:uid="{C2A9B723-14CB-4FEB-9FA4-27D9767831D7}"/>
    <cellStyle name="Input 2 5 27 4" xfId="26632" xr:uid="{510E4657-0F14-4442-9966-C18D7EC6E1B1}"/>
    <cellStyle name="Input 2 5 27 5" xfId="26633" xr:uid="{11DA406C-7801-453C-9911-45BC51DE43E6}"/>
    <cellStyle name="Input 2 5 27 6" xfId="26634" xr:uid="{ACD32A06-501D-4E4C-8764-BE062982E8CE}"/>
    <cellStyle name="Input 2 5 27 7" xfId="26635" xr:uid="{077F0AC6-4E00-47FB-8C8E-FF0BB5A9EC9E}"/>
    <cellStyle name="Input 2 5 28" xfId="1545" xr:uid="{95CABA19-D3C8-40A8-A885-78122AEDA253}"/>
    <cellStyle name="Input 2 5 28 2" xfId="12237" xr:uid="{1BB4D986-622C-4E0E-B67F-57B752AE078F}"/>
    <cellStyle name="Input 2 5 28 2 2" xfId="26636" xr:uid="{7C9C74F8-DAB4-4D22-B0F3-79A7CF2637C6}"/>
    <cellStyle name="Input 2 5 28 2 3" xfId="26637" xr:uid="{16D4F444-1797-43BB-A54E-A7895E0D118A}"/>
    <cellStyle name="Input 2 5 28 2 4" xfId="26638" xr:uid="{776CD55C-FD32-4549-8C4D-05C9CD87788B}"/>
    <cellStyle name="Input 2 5 28 2 5" xfId="26639" xr:uid="{EF0E9A12-C9FF-44D7-83CD-835E637B7885}"/>
    <cellStyle name="Input 2 5 28 2 6" xfId="26640" xr:uid="{02F453F1-FE3B-4547-A89C-3EE551DA5377}"/>
    <cellStyle name="Input 2 5 28 3" xfId="26641" xr:uid="{D3C82560-B7ED-47BE-951B-861ED8C521BC}"/>
    <cellStyle name="Input 2 5 28 4" xfId="26642" xr:uid="{7A26DD03-4524-4342-A976-8CFD937E977F}"/>
    <cellStyle name="Input 2 5 28 5" xfId="26643" xr:uid="{7A8A758A-557F-4FEF-A32D-19A4DDF39986}"/>
    <cellStyle name="Input 2 5 28 6" xfId="26644" xr:uid="{4C4DFDD5-6D49-4A51-A61C-95F986549CA4}"/>
    <cellStyle name="Input 2 5 28 7" xfId="26645" xr:uid="{E025B880-DC7A-410B-BA6F-172719E61925}"/>
    <cellStyle name="Input 2 5 29" xfId="1546" xr:uid="{A0859D04-4AF2-40FC-98DE-DB40F0DF6276}"/>
    <cellStyle name="Input 2 5 29 2" xfId="12316" xr:uid="{1C3654B2-F668-42E1-A0F6-420C5F35015B}"/>
    <cellStyle name="Input 2 5 29 2 2" xfId="26646" xr:uid="{3755D266-12B5-4B57-AD40-E817C060633D}"/>
    <cellStyle name="Input 2 5 29 2 3" xfId="26647" xr:uid="{D384F364-DE40-418D-873E-0B1213716682}"/>
    <cellStyle name="Input 2 5 29 2 4" xfId="26648" xr:uid="{8546C1C3-E27A-4C9D-B680-F89258D9069F}"/>
    <cellStyle name="Input 2 5 29 2 5" xfId="26649" xr:uid="{FAC4B9E0-19BB-4B68-8A15-7AF8ACF86EAA}"/>
    <cellStyle name="Input 2 5 29 2 6" xfId="26650" xr:uid="{D4C45456-D18D-44C3-8064-A9DEAF1ADB53}"/>
    <cellStyle name="Input 2 5 29 3" xfId="26651" xr:uid="{7BD1ABFE-6E6E-40D5-B018-F218A1ACA58E}"/>
    <cellStyle name="Input 2 5 29 4" xfId="26652" xr:uid="{707486C2-6138-4FA1-B580-98F0F4E8DE41}"/>
    <cellStyle name="Input 2 5 29 5" xfId="26653" xr:uid="{77D9CCE7-8361-40AC-AEA5-465002B381BF}"/>
    <cellStyle name="Input 2 5 29 6" xfId="26654" xr:uid="{AA7FDFEC-D798-45DE-96DB-DAABBFC3A238}"/>
    <cellStyle name="Input 2 5 29 7" xfId="26655" xr:uid="{256780E3-3EB9-4071-9CA3-983E25EE0EB4}"/>
    <cellStyle name="Input 2 5 3" xfId="1547" xr:uid="{C31E8097-CBDB-40B6-881E-992BCA7BF785}"/>
    <cellStyle name="Input 2 5 3 2" xfId="10082" xr:uid="{5DA7699D-70A4-4BA2-945E-BB3DF05B768C}"/>
    <cellStyle name="Input 2 5 3 2 2" xfId="26656" xr:uid="{C229D86F-6EDD-4BB6-901E-F337EEC022F3}"/>
    <cellStyle name="Input 2 5 3 2 3" xfId="26657" xr:uid="{50608B94-AE49-46FF-A07C-51C13EC63476}"/>
    <cellStyle name="Input 2 5 3 2 4" xfId="26658" xr:uid="{FF2EA8A2-3E9E-451B-B1E7-C324A1A60CB6}"/>
    <cellStyle name="Input 2 5 3 2 5" xfId="26659" xr:uid="{1C5C6D3B-3447-4D95-8D1F-B7388D483E82}"/>
    <cellStyle name="Input 2 5 3 2 6" xfId="26660" xr:uid="{01395066-7FAD-4289-AF5F-B0B98B29CD50}"/>
    <cellStyle name="Input 2 5 3 3" xfId="26661" xr:uid="{EE82F5AA-AD0E-462E-BF5D-735345BB5BC7}"/>
    <cellStyle name="Input 2 5 3 4" xfId="26662" xr:uid="{DCFA853C-1010-4338-A9C0-3E734DFE87A2}"/>
    <cellStyle name="Input 2 5 3 5" xfId="26663" xr:uid="{FA6972BA-F543-4A29-902F-5BD30BCEB176}"/>
    <cellStyle name="Input 2 5 3 6" xfId="26664" xr:uid="{0476AF39-9039-459F-9833-70C560FFE9F8}"/>
    <cellStyle name="Input 2 5 3 7" xfId="26665" xr:uid="{594C02BF-E818-403A-856C-A82F5F07F85F}"/>
    <cellStyle name="Input 2 5 30" xfId="1548" xr:uid="{7F2BBEDA-3CDF-4A3B-8996-22DFEF26FDA5}"/>
    <cellStyle name="Input 2 5 30 2" xfId="12395" xr:uid="{31C84331-A459-4CAE-B496-650A1C725F24}"/>
    <cellStyle name="Input 2 5 30 2 2" xfId="26666" xr:uid="{CC56BC0B-0FF3-4280-A3F4-3784953A3838}"/>
    <cellStyle name="Input 2 5 30 2 3" xfId="26667" xr:uid="{F32A29CB-087C-4EF3-8BEE-5CC9C0D3D505}"/>
    <cellStyle name="Input 2 5 30 2 4" xfId="26668" xr:uid="{C9E8F78E-0288-4035-9908-6839E5E1DB7A}"/>
    <cellStyle name="Input 2 5 30 2 5" xfId="26669" xr:uid="{C2ACCFD6-6B5B-459D-B19D-FBC5EB18DC68}"/>
    <cellStyle name="Input 2 5 30 2 6" xfId="26670" xr:uid="{7FF1067C-0618-436C-91A4-BBF9C356022C}"/>
    <cellStyle name="Input 2 5 30 3" xfId="26671" xr:uid="{EB9BCB7D-B942-47B4-91EF-30BD1E16B06E}"/>
    <cellStyle name="Input 2 5 30 4" xfId="26672" xr:uid="{EA32062B-A1CE-4B26-80B8-2B1735AE3B13}"/>
    <cellStyle name="Input 2 5 30 5" xfId="26673" xr:uid="{5B0D45FC-5B01-4B22-992C-B5D27CE94FE1}"/>
    <cellStyle name="Input 2 5 30 6" xfId="26674" xr:uid="{61DCC4C3-C2B2-438E-9909-E90DD8A84AC0}"/>
    <cellStyle name="Input 2 5 30 7" xfId="26675" xr:uid="{29F944AC-94A9-4744-9BEE-ABAB59A41691}"/>
    <cellStyle name="Input 2 5 31" xfId="1549" xr:uid="{5C25264C-0F51-4A88-B118-EBBA61EB9608}"/>
    <cellStyle name="Input 2 5 31 2" xfId="12474" xr:uid="{C16D96BD-0C32-4B9D-8AEE-A0BF24FADCD1}"/>
    <cellStyle name="Input 2 5 31 2 2" xfId="26676" xr:uid="{45286372-706C-4149-A665-EA6B64BBC538}"/>
    <cellStyle name="Input 2 5 31 2 3" xfId="26677" xr:uid="{533A2C53-C354-417B-A730-86272F636F0F}"/>
    <cellStyle name="Input 2 5 31 2 4" xfId="26678" xr:uid="{B316992D-F39F-4B83-A391-D2460E6E14CC}"/>
    <cellStyle name="Input 2 5 31 2 5" xfId="26679" xr:uid="{65466DC9-F207-4BD1-AA42-630B383CDDC3}"/>
    <cellStyle name="Input 2 5 31 2 6" xfId="26680" xr:uid="{A9D6E724-1159-47B6-9CE7-B7EF8E584BE4}"/>
    <cellStyle name="Input 2 5 31 3" xfId="26681" xr:uid="{D43AA283-83D0-4CFE-9589-D5AF2203972A}"/>
    <cellStyle name="Input 2 5 31 4" xfId="26682" xr:uid="{B441FA14-1E28-4C30-A4AD-9FE0B0928FBF}"/>
    <cellStyle name="Input 2 5 31 5" xfId="26683" xr:uid="{8F387CB1-9EF0-436E-A132-6A27F8C01C2F}"/>
    <cellStyle name="Input 2 5 31 6" xfId="26684" xr:uid="{E4FE2C17-DF2C-46C7-853C-A6295929FDF2}"/>
    <cellStyle name="Input 2 5 31 7" xfId="26685" xr:uid="{F9C887F3-62E6-435C-8867-944A9433676C}"/>
    <cellStyle name="Input 2 5 32" xfId="1550" xr:uid="{3AE0B4D6-47D8-423C-8821-4A7D72646323}"/>
    <cellStyle name="Input 2 5 32 2" xfId="12553" xr:uid="{10BBE539-D578-4D65-89CD-9BBA91B732FD}"/>
    <cellStyle name="Input 2 5 32 2 2" xfId="26686" xr:uid="{8F9F972E-2DF1-485F-BF63-67E3D9FEC637}"/>
    <cellStyle name="Input 2 5 32 2 3" xfId="26687" xr:uid="{C7614652-608C-4DFE-A6EE-D494A0581488}"/>
    <cellStyle name="Input 2 5 32 2 4" xfId="26688" xr:uid="{9A386643-A742-4DEE-BD7B-59C3FA948266}"/>
    <cellStyle name="Input 2 5 32 2 5" xfId="26689" xr:uid="{778EC219-66D5-4C79-9A04-B383CA70137B}"/>
    <cellStyle name="Input 2 5 32 2 6" xfId="26690" xr:uid="{C6ADD75C-0FBD-4BEE-B7EF-D979FF0E117E}"/>
    <cellStyle name="Input 2 5 32 3" xfId="26691" xr:uid="{1BDFAE74-7ECA-4ECF-848F-519711F86D02}"/>
    <cellStyle name="Input 2 5 32 4" xfId="26692" xr:uid="{AA2FC2F5-B259-479E-B506-6B4987F2F35D}"/>
    <cellStyle name="Input 2 5 32 5" xfId="26693" xr:uid="{67D09744-3E68-4DA7-98A6-029F59E756E3}"/>
    <cellStyle name="Input 2 5 32 6" xfId="26694" xr:uid="{FAD6124A-84ED-475C-BD48-835DDA76573B}"/>
    <cellStyle name="Input 2 5 32 7" xfId="26695" xr:uid="{2B6BCE8D-851B-4986-98AB-E614DF956E33}"/>
    <cellStyle name="Input 2 5 33" xfId="1551" xr:uid="{BBB5E3B7-C1F6-489E-ACDC-654DAB974504}"/>
    <cellStyle name="Input 2 5 33 2" xfId="12632" xr:uid="{385724CB-0EEB-42E4-BF23-12F3AB2FF815}"/>
    <cellStyle name="Input 2 5 33 2 2" xfId="26696" xr:uid="{DC58CF4D-E308-4884-ABF9-AA657CD78FF2}"/>
    <cellStyle name="Input 2 5 33 2 3" xfId="26697" xr:uid="{9ACA39C5-F8F2-4699-8AC7-181C22B9EB94}"/>
    <cellStyle name="Input 2 5 33 2 4" xfId="26698" xr:uid="{8102B2D6-1C27-422E-B967-4E94B09D0B99}"/>
    <cellStyle name="Input 2 5 33 2 5" xfId="26699" xr:uid="{96C4D4C9-07D4-45BB-BFD8-AF46F4F20A46}"/>
    <cellStyle name="Input 2 5 33 2 6" xfId="26700" xr:uid="{6A4333AF-4FC7-4AE9-AAFD-81ACDD5281AF}"/>
    <cellStyle name="Input 2 5 33 3" xfId="26701" xr:uid="{F54E1E58-D985-4DCD-B4CA-E5D6C4930A7B}"/>
    <cellStyle name="Input 2 5 33 4" xfId="26702" xr:uid="{E80FCB07-C3DE-48C4-80FE-D9161D56FA53}"/>
    <cellStyle name="Input 2 5 33 5" xfId="26703" xr:uid="{517BCB0B-9DE8-41D7-A8ED-12D485415731}"/>
    <cellStyle name="Input 2 5 33 6" xfId="26704" xr:uid="{DACB1097-0234-4754-8F43-6F4BCE404961}"/>
    <cellStyle name="Input 2 5 33 7" xfId="26705" xr:uid="{347F832A-F952-49D9-9E8F-A8AE79C82D48}"/>
    <cellStyle name="Input 2 5 34" xfId="1552" xr:uid="{3FE104F7-6724-48EE-A060-A566295E421D}"/>
    <cellStyle name="Input 2 5 34 2" xfId="12716" xr:uid="{E1F322FF-B569-49B8-BB76-761F6A79F7A9}"/>
    <cellStyle name="Input 2 5 34 2 2" xfId="26706" xr:uid="{B97740B5-594F-4F3F-825C-369912FFA9AA}"/>
    <cellStyle name="Input 2 5 34 2 3" xfId="26707" xr:uid="{6EE2588B-EFEF-489A-8677-CEC0538DE388}"/>
    <cellStyle name="Input 2 5 34 2 4" xfId="26708" xr:uid="{4C16EFFE-E754-4C21-B0B7-E7A1B12CAC23}"/>
    <cellStyle name="Input 2 5 34 2 5" xfId="26709" xr:uid="{167525B7-BA06-4170-BEC4-2170130D3A73}"/>
    <cellStyle name="Input 2 5 34 2 6" xfId="26710" xr:uid="{821B4D0E-9E71-4AE8-A1F3-B40DC5D2726A}"/>
    <cellStyle name="Input 2 5 34 3" xfId="26711" xr:uid="{DA9E362C-167F-4B56-ADD0-FC8713DD4EEA}"/>
    <cellStyle name="Input 2 5 34 4" xfId="26712" xr:uid="{F144D559-1C18-4914-B1A2-7C855EDD8FB0}"/>
    <cellStyle name="Input 2 5 34 5" xfId="26713" xr:uid="{3BF82606-23B0-471F-AE0A-38ECC5D4008B}"/>
    <cellStyle name="Input 2 5 34 6" xfId="26714" xr:uid="{F3B146D5-29A0-46B5-BD16-C9879CA1F355}"/>
    <cellStyle name="Input 2 5 35" xfId="6922" xr:uid="{16F7B8D1-5313-4015-9ABA-6FC3D915570E}"/>
    <cellStyle name="Input 2 5 36" xfId="9780" xr:uid="{C3CCC662-484F-453E-BCD2-2441481EAD0E}"/>
    <cellStyle name="Input 2 5 36 2" xfId="26715" xr:uid="{A4F61E40-8F65-4F8C-9D6B-E30B6512DC34}"/>
    <cellStyle name="Input 2 5 36 3" xfId="26716" xr:uid="{3E962F20-3F24-4B0C-A0F9-EEAF772FD621}"/>
    <cellStyle name="Input 2 5 36 4" xfId="26717" xr:uid="{B017CEBE-9BF0-48AD-B2E8-E1973F4F83A1}"/>
    <cellStyle name="Input 2 5 36 5" xfId="26718" xr:uid="{DD37765A-E00D-4417-B8B7-3C2371531D0D}"/>
    <cellStyle name="Input 2 5 36 6" xfId="26719" xr:uid="{4B028028-B467-4174-9DD1-B576E7B65FA9}"/>
    <cellStyle name="Input 2 5 37" xfId="26720" xr:uid="{5413EE93-4865-43A1-BEFD-E9554332974F}"/>
    <cellStyle name="Input 2 5 38" xfId="26721" xr:uid="{07C6D7AC-5A09-4D14-9A81-B9DA093037F0}"/>
    <cellStyle name="Input 2 5 39" xfId="26722" xr:uid="{0225F1E9-DF19-4954-BBA5-BB9EF072236F}"/>
    <cellStyle name="Input 2 5 4" xfId="1553" xr:uid="{8BE3033E-7174-4621-ADB5-5ED3B6F412FA}"/>
    <cellStyle name="Input 2 5 4 2" xfId="10173" xr:uid="{E8E08EF3-3079-40FC-9C19-5C6F5A33A434}"/>
    <cellStyle name="Input 2 5 4 2 2" xfId="26723" xr:uid="{28D15B2E-F2B0-451F-B8F1-FCD40AB6C74C}"/>
    <cellStyle name="Input 2 5 4 2 3" xfId="26724" xr:uid="{85055A54-EE8A-4925-8DE9-D50630829A9C}"/>
    <cellStyle name="Input 2 5 4 2 4" xfId="26725" xr:uid="{CB02215E-2D41-49C4-8253-4E498B52F152}"/>
    <cellStyle name="Input 2 5 4 2 5" xfId="26726" xr:uid="{EE160587-42C7-4CD7-8B93-714C13DCC8CC}"/>
    <cellStyle name="Input 2 5 4 2 6" xfId="26727" xr:uid="{0754010A-EAC6-41FE-9FF4-4BDD6EC7FC9D}"/>
    <cellStyle name="Input 2 5 4 3" xfId="26728" xr:uid="{4307D352-0920-4010-9DAF-38FFA55698C6}"/>
    <cellStyle name="Input 2 5 4 4" xfId="26729" xr:uid="{893FB0FE-8D28-4508-9610-F622F093A713}"/>
    <cellStyle name="Input 2 5 4 5" xfId="26730" xr:uid="{C2DB24B6-0D3E-4BB4-8792-48D3CF7C62E8}"/>
    <cellStyle name="Input 2 5 4 6" xfId="26731" xr:uid="{87C0E804-7869-4170-8B15-F2AA37A3C029}"/>
    <cellStyle name="Input 2 5 4 7" xfId="26732" xr:uid="{76C2E014-6003-4F43-BBF5-D2B375380810}"/>
    <cellStyle name="Input 2 5 40" xfId="26733" xr:uid="{75C80C43-1F14-45B8-BB8C-CF99C1671BAF}"/>
    <cellStyle name="Input 2 5 5" xfId="1554" xr:uid="{DF05DAAF-34F4-43F8-8FD8-3D4CA4070749}"/>
    <cellStyle name="Input 2 5 5 2" xfId="10261" xr:uid="{35113B4A-6ADF-4346-8D5B-72D026025255}"/>
    <cellStyle name="Input 2 5 5 2 2" xfId="26734" xr:uid="{D8B7F107-6827-49CC-852A-943F99876D51}"/>
    <cellStyle name="Input 2 5 5 2 3" xfId="26735" xr:uid="{82906927-CA61-4E32-90BA-84BB24ADCA31}"/>
    <cellStyle name="Input 2 5 5 2 4" xfId="26736" xr:uid="{6D0ACFFF-9A1B-46ED-8E26-49C2A547E331}"/>
    <cellStyle name="Input 2 5 5 2 5" xfId="26737" xr:uid="{BCCB814A-4096-49E5-B6D1-D91809F6929F}"/>
    <cellStyle name="Input 2 5 5 2 6" xfId="26738" xr:uid="{49D9D56F-1A39-4174-977C-3ACF3D1946CF}"/>
    <cellStyle name="Input 2 5 5 3" xfId="26739" xr:uid="{2F0CD104-23C7-4F49-AF62-25618AD70B96}"/>
    <cellStyle name="Input 2 5 5 4" xfId="26740" xr:uid="{C0E1B460-F70B-4F2D-8E34-045F71E33079}"/>
    <cellStyle name="Input 2 5 5 5" xfId="26741" xr:uid="{2FDD6625-2592-4CBE-AABF-325C12661B3D}"/>
    <cellStyle name="Input 2 5 5 6" xfId="26742" xr:uid="{909D16C1-069F-4A1F-B346-2532016C0BFD}"/>
    <cellStyle name="Input 2 5 5 7" xfId="26743" xr:uid="{AAF8E47F-EF8D-4D87-965D-937683AA2A9F}"/>
    <cellStyle name="Input 2 5 6" xfId="1555" xr:uid="{F8FFA63F-C0F9-4597-8E6F-4F3FBD67B1F7}"/>
    <cellStyle name="Input 2 5 6 2" xfId="10346" xr:uid="{02789AB2-A389-4284-9534-1149446001CA}"/>
    <cellStyle name="Input 2 5 6 2 2" xfId="26744" xr:uid="{7E486714-336C-4F52-B6E0-42560F366140}"/>
    <cellStyle name="Input 2 5 6 2 3" xfId="26745" xr:uid="{FAB5300C-25F2-4948-9A25-C5AAD3CBE18E}"/>
    <cellStyle name="Input 2 5 6 2 4" xfId="26746" xr:uid="{F66930F4-82D1-45FB-8E35-DD18C944B462}"/>
    <cellStyle name="Input 2 5 6 2 5" xfId="26747" xr:uid="{767B9C1D-2B58-4E15-9DE0-FD2C26649BC8}"/>
    <cellStyle name="Input 2 5 6 2 6" xfId="26748" xr:uid="{B7EBC730-38B7-493E-9E5B-AA67D0DA57CE}"/>
    <cellStyle name="Input 2 5 6 3" xfId="26749" xr:uid="{A065B9FA-E3B2-4E38-8B69-28CBCF626026}"/>
    <cellStyle name="Input 2 5 6 4" xfId="26750" xr:uid="{C6F491B4-64C7-4146-91EB-72E5226AC996}"/>
    <cellStyle name="Input 2 5 6 5" xfId="26751" xr:uid="{F1568A27-50FD-4AE6-8B75-2DAF5DD1C2F1}"/>
    <cellStyle name="Input 2 5 6 6" xfId="26752" xr:uid="{10F7E2B7-57E1-457F-8049-FBADB6C77D00}"/>
    <cellStyle name="Input 2 5 6 7" xfId="26753" xr:uid="{F768B39C-074D-4027-B1E5-F514D77418B0}"/>
    <cellStyle name="Input 2 5 7" xfId="1556" xr:uid="{DB47160C-4BB9-476A-9FCE-631DD6267B1B}"/>
    <cellStyle name="Input 2 5 7 2" xfId="10433" xr:uid="{DD83A360-1F03-4567-9512-EB176059B59A}"/>
    <cellStyle name="Input 2 5 7 2 2" xfId="26754" xr:uid="{6C4ED324-7819-467F-953A-C2E1391B45C7}"/>
    <cellStyle name="Input 2 5 7 2 3" xfId="26755" xr:uid="{49D25C43-3BC9-4301-8011-D9FDB1AF90BD}"/>
    <cellStyle name="Input 2 5 7 2 4" xfId="26756" xr:uid="{0EA49C98-8693-46AA-8050-1E5DEF62ACF2}"/>
    <cellStyle name="Input 2 5 7 2 5" xfId="26757" xr:uid="{84FA34F4-2D21-498D-B76E-76187A95B012}"/>
    <cellStyle name="Input 2 5 7 2 6" xfId="26758" xr:uid="{9285254D-A973-4263-B19A-F5A7BCA659A6}"/>
    <cellStyle name="Input 2 5 7 3" xfId="26759" xr:uid="{C43CF001-B9D0-4182-AD35-13E4B9973C8D}"/>
    <cellStyle name="Input 2 5 7 4" xfId="26760" xr:uid="{65C3FFEA-1FC1-4004-A60E-77B9ED9A2B22}"/>
    <cellStyle name="Input 2 5 7 5" xfId="26761" xr:uid="{22EC4C71-C9D7-4F19-AF5A-DD26BEDA69EE}"/>
    <cellStyle name="Input 2 5 7 6" xfId="26762" xr:uid="{AD38D755-215E-4CD2-802F-1FE9FEC36DFD}"/>
    <cellStyle name="Input 2 5 7 7" xfId="26763" xr:uid="{06DCCD82-6527-4C6D-A4C3-0099B11466ED}"/>
    <cellStyle name="Input 2 5 8" xfId="1557" xr:uid="{442E8A99-41A9-4528-A672-F62721A49BD0}"/>
    <cellStyle name="Input 2 5 8 2" xfId="10522" xr:uid="{ED48BF96-FD75-4451-9655-C0B08F1E97F1}"/>
    <cellStyle name="Input 2 5 8 2 2" xfId="26764" xr:uid="{C053DC3D-2DA2-4570-9AF7-98B59709A9BC}"/>
    <cellStyle name="Input 2 5 8 2 3" xfId="26765" xr:uid="{769DD0A7-7479-40E2-84FC-67E83EE8690F}"/>
    <cellStyle name="Input 2 5 8 2 4" xfId="26766" xr:uid="{76F5D01E-45EE-447C-97F3-A4A6FD88DB47}"/>
    <cellStyle name="Input 2 5 8 2 5" xfId="26767" xr:uid="{9E291E3A-F768-405A-892B-964664BDC01D}"/>
    <cellStyle name="Input 2 5 8 2 6" xfId="26768" xr:uid="{FD12276E-F374-45C0-A3F3-EDB206F6AF63}"/>
    <cellStyle name="Input 2 5 8 3" xfId="26769" xr:uid="{2500C239-806D-4025-A896-FE264F83958D}"/>
    <cellStyle name="Input 2 5 8 4" xfId="26770" xr:uid="{03059B42-6438-4DCA-A8D5-A81BC01E65D8}"/>
    <cellStyle name="Input 2 5 8 5" xfId="26771" xr:uid="{5B01AC80-A501-4543-BDCD-41572E54F6C5}"/>
    <cellStyle name="Input 2 5 8 6" xfId="26772" xr:uid="{53153E10-B3A6-4F38-9826-F3E2BDD1DD93}"/>
    <cellStyle name="Input 2 5 8 7" xfId="26773" xr:uid="{3A7452D9-5027-489F-B142-0F1FEBBD35FE}"/>
    <cellStyle name="Input 2 5 9" xfId="1558" xr:uid="{38FB70E0-31EA-4639-9519-D9C8B2DABC90}"/>
    <cellStyle name="Input 2 5 9 2" xfId="10604" xr:uid="{400206EC-2ED4-4720-BEA1-6BC126088C14}"/>
    <cellStyle name="Input 2 5 9 2 2" xfId="26774" xr:uid="{F69DB884-0CE9-4EAF-82EB-B3E1F0C11A61}"/>
    <cellStyle name="Input 2 5 9 2 3" xfId="26775" xr:uid="{6820207A-1990-44F6-AB02-15B4E808EF47}"/>
    <cellStyle name="Input 2 5 9 2 4" xfId="26776" xr:uid="{2BB0A6BC-BF38-4768-B711-ECECDC43F3ED}"/>
    <cellStyle name="Input 2 5 9 2 5" xfId="26777" xr:uid="{C817F2AE-E5C3-4422-B6BF-D8FDF3E8BB69}"/>
    <cellStyle name="Input 2 5 9 2 6" xfId="26778" xr:uid="{0CEDD105-4E2A-489C-8FDC-961041DDB1E2}"/>
    <cellStyle name="Input 2 5 9 3" xfId="26779" xr:uid="{2BA99806-355D-4F61-A76C-C53A99C1F19A}"/>
    <cellStyle name="Input 2 5 9 4" xfId="26780" xr:uid="{1A6F5704-0F71-43EB-9563-379E711C5D50}"/>
    <cellStyle name="Input 2 5 9 5" xfId="26781" xr:uid="{821B1803-2E7C-49DB-AF5E-1EE1BC3CEC11}"/>
    <cellStyle name="Input 2 5 9 6" xfId="26782" xr:uid="{E75FA28E-6D18-4E30-BF78-5595CDDEF9FD}"/>
    <cellStyle name="Input 2 5 9 7" xfId="26783" xr:uid="{AB22AF9D-7A84-4079-A6D5-B43EA47172DA}"/>
    <cellStyle name="Input 2 6" xfId="1559" xr:uid="{1E5F8B5A-D02E-43A1-A77A-DF229657D550}"/>
    <cellStyle name="Input 2 6 2" xfId="9959" xr:uid="{450002B5-8226-4424-B3B7-B17EE88D0A17}"/>
    <cellStyle name="Input 2 6 2 2" xfId="26784" xr:uid="{41121D11-68E8-4377-BAC5-E3466642BA89}"/>
    <cellStyle name="Input 2 6 2 3" xfId="26785" xr:uid="{C1F180FD-C391-4279-89D8-3CB4BF4FDB80}"/>
    <cellStyle name="Input 2 6 2 4" xfId="26786" xr:uid="{65FBF1F9-5074-4923-8F7F-73E2020E135A}"/>
    <cellStyle name="Input 2 6 2 5" xfId="26787" xr:uid="{32F94378-D6CB-463E-97C3-C08DC83F4A10}"/>
    <cellStyle name="Input 2 6 2 6" xfId="26788" xr:uid="{C7B01879-AD37-4AAC-B41B-204EC7AD0DD4}"/>
    <cellStyle name="Input 2 6 3" xfId="26789" xr:uid="{994BD2DC-ED5D-4B61-84BE-E7EAF6381518}"/>
    <cellStyle name="Input 2 6 4" xfId="26790" xr:uid="{FDBE7D2E-2203-4CFF-B492-E0C4CB024128}"/>
    <cellStyle name="Input 2 6 5" xfId="26791" xr:uid="{5874BCE2-8526-4496-9CD8-5C29822D9901}"/>
    <cellStyle name="Input 2 6 6" xfId="26792" xr:uid="{9AB456C9-7632-47CF-B97D-00389BEDFED8}"/>
    <cellStyle name="Input 2 6 7" xfId="26793" xr:uid="{43F2B35A-48C2-4BD8-B9EA-D9303AE959D7}"/>
    <cellStyle name="Input 2 7" xfId="1560" xr:uid="{834EBB84-B70E-490F-B1F9-F8731038CA41}"/>
    <cellStyle name="Input 2 7 2" xfId="9888" xr:uid="{28D141D4-9610-4708-8B4C-F8C53CDD2368}"/>
    <cellStyle name="Input 2 7 2 2" xfId="26794" xr:uid="{74A02A41-5AF4-4432-A13E-98A35CDB1E4E}"/>
    <cellStyle name="Input 2 7 2 3" xfId="26795" xr:uid="{9874D37A-B170-495F-B914-AC23BE84AC73}"/>
    <cellStyle name="Input 2 7 2 4" xfId="26796" xr:uid="{2B8B9FE7-DDD5-4CD2-B2D4-1D7BAAB33227}"/>
    <cellStyle name="Input 2 7 2 5" xfId="26797" xr:uid="{42E82B14-A6B7-4F8B-A1E5-592942A2E64F}"/>
    <cellStyle name="Input 2 7 2 6" xfId="26798" xr:uid="{08F8D447-091E-4652-BF5E-442312834040}"/>
    <cellStyle name="Input 2 7 3" xfId="26799" xr:uid="{6C28707C-6BDE-4A31-AFC9-654D0C87457B}"/>
    <cellStyle name="Input 2 7 4" xfId="26800" xr:uid="{EAA01B98-FAA0-41DB-9A90-50495BB35596}"/>
    <cellStyle name="Input 2 7 5" xfId="26801" xr:uid="{78F37098-7B32-42BE-8893-75876ECFBDD4}"/>
    <cellStyle name="Input 2 7 6" xfId="26802" xr:uid="{3B6E8F59-2432-4E54-8E93-F31283BE0120}"/>
    <cellStyle name="Input 2 7 7" xfId="26803" xr:uid="{476CCD30-5243-4C91-9DEC-72B068E4E606}"/>
    <cellStyle name="Input 2 8" xfId="1561" xr:uid="{11912C0E-0EB7-447A-8F7A-FE151D204CF8}"/>
    <cellStyle name="Input 2 8 2" xfId="9721" xr:uid="{4CBCB94C-24DE-4EE7-8B99-DC2AA3F342D4}"/>
    <cellStyle name="Input 2 8 2 2" xfId="26804" xr:uid="{3384C4DD-6244-405A-A76B-09BD8A585616}"/>
    <cellStyle name="Input 2 8 2 3" xfId="26805" xr:uid="{402BA21D-9710-4993-8AF2-29A9B1B9969B}"/>
    <cellStyle name="Input 2 8 2 4" xfId="26806" xr:uid="{9289C119-0080-47A4-B657-DE7B5CECA1E1}"/>
    <cellStyle name="Input 2 8 2 5" xfId="26807" xr:uid="{7A228010-68BF-4ED8-97CB-CFB7519C1C82}"/>
    <cellStyle name="Input 2 8 2 6" xfId="26808" xr:uid="{F26D0727-3E25-4757-A606-36F4A785EE61}"/>
    <cellStyle name="Input 2 8 3" xfId="26809" xr:uid="{BD19DF80-0085-4A98-8D63-8443764C8224}"/>
    <cellStyle name="Input 2 8 4" xfId="26810" xr:uid="{E2B5E851-7A57-46BC-943C-E613B5C79C2B}"/>
    <cellStyle name="Input 2 8 5" xfId="26811" xr:uid="{00C3641F-24D5-41B5-ADA8-4E2BE552F4DE}"/>
    <cellStyle name="Input 2 8 6" xfId="26812" xr:uid="{19535FBB-8C21-4874-A124-AA6A099F21D1}"/>
    <cellStyle name="Input 2 8 7" xfId="26813" xr:uid="{03873C13-3FC6-4E29-AFBB-5D1D70B13B0B}"/>
    <cellStyle name="Input 2 9" xfId="1562" xr:uid="{99E7244F-D7F1-45FA-BB27-32F833E4326D}"/>
    <cellStyle name="Input 2 9 2" xfId="9909" xr:uid="{615DFFFB-8074-4700-9C9F-F1E7BAEAA2F3}"/>
    <cellStyle name="Input 2 9 2 2" xfId="26814" xr:uid="{BDE686FC-F7E3-40B7-B696-F7E334C853D8}"/>
    <cellStyle name="Input 2 9 2 3" xfId="26815" xr:uid="{3640E780-42FD-4178-B5DB-7933EA064BA1}"/>
    <cellStyle name="Input 2 9 2 4" xfId="26816" xr:uid="{2CCD0257-A1A1-45B7-9AE5-88EC3B0129D4}"/>
    <cellStyle name="Input 2 9 2 5" xfId="26817" xr:uid="{566CB31D-4502-42A2-B1DB-31D3F170C436}"/>
    <cellStyle name="Input 2 9 2 6" xfId="26818" xr:uid="{EEEE9205-B0E2-4C99-826F-2B3F54B8F561}"/>
    <cellStyle name="Input 2 9 3" xfId="26819" xr:uid="{6A3C0FBC-E545-46C5-AE1B-529A24324235}"/>
    <cellStyle name="Input 2 9 4" xfId="26820" xr:uid="{7BBF2172-A647-4E84-9AF5-A51FC5E4DFF1}"/>
    <cellStyle name="Input 2 9 5" xfId="26821" xr:uid="{5AD3F1D6-6EDC-48E3-880C-6CA0CB953C4D}"/>
    <cellStyle name="Input 2 9 6" xfId="26822" xr:uid="{E93EB14A-871D-4E24-947E-3620A3E420B7}"/>
    <cellStyle name="Input 2 9 7" xfId="26823" xr:uid="{DA49856F-442B-4FDF-864F-ABEA1ACA35DC}"/>
    <cellStyle name="Input 20" xfId="44364" xr:uid="{83574D1B-9E7D-4239-B772-A72980F91B9A}"/>
    <cellStyle name="Input 21" xfId="44365" xr:uid="{1EC43E5A-DE81-4019-AC74-01414CAE3BD9}"/>
    <cellStyle name="Input 22" xfId="44366" xr:uid="{94F86B30-A8FB-45AE-B445-6091B7D898DC}"/>
    <cellStyle name="Input 23" xfId="44367" xr:uid="{2E4BF92F-87BB-4F90-8FC7-1D4BD701E095}"/>
    <cellStyle name="Input 24" xfId="44368" xr:uid="{A57D2D28-CDFE-4BE9-968A-DF7E3A76568A}"/>
    <cellStyle name="Input 25" xfId="44369" xr:uid="{0FD3C4E5-FBA2-4599-8F0F-A7287C79CB2A}"/>
    <cellStyle name="Input 26" xfId="44370" xr:uid="{9335D044-B05B-4C5D-B76A-0D883601301F}"/>
    <cellStyle name="Input 27" xfId="44371" xr:uid="{6DE7D3C5-370A-4F9E-A24B-FEC294D1E3FB}"/>
    <cellStyle name="Input 28" xfId="44372" xr:uid="{6793D640-822F-4529-B8EF-74CD415B331D}"/>
    <cellStyle name="Input 29" xfId="44373" xr:uid="{DC9C342F-9048-47EC-92E5-4F132609CDDE}"/>
    <cellStyle name="Input 3" xfId="1563" xr:uid="{B58530B3-FB74-4071-84BE-8FEBA0DC7DA4}"/>
    <cellStyle name="Input 3 10" xfId="1564" xr:uid="{137390EF-F17D-4296-B800-00EC9E4258FF}"/>
    <cellStyle name="Input 3 10 2" xfId="9972" xr:uid="{C718D6B1-27E4-4776-8AF7-706E283847AD}"/>
    <cellStyle name="Input 3 10 2 2" xfId="26824" xr:uid="{32481B9A-2960-42A8-80B1-994EBD21589D}"/>
    <cellStyle name="Input 3 10 2 3" xfId="26825" xr:uid="{4F840B91-0305-4A1A-BF38-29042A9FE31E}"/>
    <cellStyle name="Input 3 10 2 4" xfId="26826" xr:uid="{03A2A0A6-9730-489E-93BD-966735CC4C38}"/>
    <cellStyle name="Input 3 10 2 5" xfId="26827" xr:uid="{274089AC-A118-49BA-98C6-A391403744C6}"/>
    <cellStyle name="Input 3 10 2 6" xfId="26828" xr:uid="{D0A446DB-8F01-42F0-9A57-90BEA1A196FC}"/>
    <cellStyle name="Input 3 10 3" xfId="26829" xr:uid="{663F026A-571A-4491-AE89-ACB93BB4C302}"/>
    <cellStyle name="Input 3 10 4" xfId="26830" xr:uid="{242E3FD4-6348-41E1-9F34-11FE054C0ED6}"/>
    <cellStyle name="Input 3 10 5" xfId="26831" xr:uid="{1B80ECE3-0F05-4214-8F5E-B0F46FEB4AD0}"/>
    <cellStyle name="Input 3 10 6" xfId="26832" xr:uid="{D72ADAC0-CC45-4276-BF0B-A3C0B34B191B}"/>
    <cellStyle name="Input 3 10 7" xfId="26833" xr:uid="{88A9478B-5CF6-4330-B6E4-7F21C0DC8535}"/>
    <cellStyle name="Input 3 11" xfId="1565" xr:uid="{501ECDCD-C04B-438E-A2D0-D367FCD08E31}"/>
    <cellStyle name="Input 3 11 2" xfId="9937" xr:uid="{4901B048-5530-48C5-817F-7EA67111771B}"/>
    <cellStyle name="Input 3 11 2 2" xfId="26834" xr:uid="{A6B74B44-1D0D-4650-942E-1A72D54DB0ED}"/>
    <cellStyle name="Input 3 11 2 3" xfId="26835" xr:uid="{DE8ED0B4-B618-4312-A62D-C11AF1132FF0}"/>
    <cellStyle name="Input 3 11 2 4" xfId="26836" xr:uid="{32AE7AA2-FC4C-47C8-9F46-481D28923AA3}"/>
    <cellStyle name="Input 3 11 2 5" xfId="26837" xr:uid="{281F0228-FBA9-4231-B529-AA26BE0097CE}"/>
    <cellStyle name="Input 3 11 2 6" xfId="26838" xr:uid="{D77487F8-0095-4DCF-83AF-58D8E9BC899C}"/>
    <cellStyle name="Input 3 11 3" xfId="26839" xr:uid="{2E3C10DD-E7BD-4B98-80D4-C7EA60214ECE}"/>
    <cellStyle name="Input 3 11 4" xfId="26840" xr:uid="{B3B03ECB-669F-455E-87A5-00FE3F90A011}"/>
    <cellStyle name="Input 3 11 5" xfId="26841" xr:uid="{8A2C8BF9-CB67-4908-8C41-6446D4875EE5}"/>
    <cellStyle name="Input 3 11 6" xfId="26842" xr:uid="{174150D5-ABBB-400F-A9CB-220D69720B79}"/>
    <cellStyle name="Input 3 11 7" xfId="26843" xr:uid="{E4659284-FD56-44AB-97F7-6FA217CE42C5}"/>
    <cellStyle name="Input 3 12" xfId="1566" xr:uid="{C71DC6FF-3080-4E48-9DDF-E8E8F94D3725}"/>
    <cellStyle name="Input 3 12 2" xfId="9751" xr:uid="{877C0549-903D-4D63-8407-250FBF853EA8}"/>
    <cellStyle name="Input 3 12 2 2" xfId="26844" xr:uid="{3F2851EE-FBC4-4DB6-95D4-4DE7CA5B9E6E}"/>
    <cellStyle name="Input 3 12 2 3" xfId="26845" xr:uid="{67D14779-1379-4AB7-A28A-C432B4C93497}"/>
    <cellStyle name="Input 3 12 2 4" xfId="26846" xr:uid="{6B15E513-8B75-4CBE-AC43-97032CEB0784}"/>
    <cellStyle name="Input 3 12 2 5" xfId="26847" xr:uid="{9246F4A9-8D2E-4725-8512-AEC1245A6CD7}"/>
    <cellStyle name="Input 3 12 2 6" xfId="26848" xr:uid="{DFF827E9-9F11-41E0-830B-31CD2C24DF1D}"/>
    <cellStyle name="Input 3 12 3" xfId="26849" xr:uid="{E3318FE5-E221-4E87-92F1-71D31387CE94}"/>
    <cellStyle name="Input 3 12 4" xfId="26850" xr:uid="{A00304AB-BD43-4DDA-B211-DF313276EE0D}"/>
    <cellStyle name="Input 3 12 5" xfId="26851" xr:uid="{D425F018-538D-435C-9FD2-5426C8449DC1}"/>
    <cellStyle name="Input 3 12 6" xfId="26852" xr:uid="{B15D530D-EAFC-4C8D-9CEB-BA422A7F33EC}"/>
    <cellStyle name="Input 3 12 7" xfId="26853" xr:uid="{9E38EC91-4B42-49E9-93E7-909D5D8517C9}"/>
    <cellStyle name="Input 3 13" xfId="1567" xr:uid="{107E53EA-A8CA-4DCA-A9B7-A3E2549050C3}"/>
    <cellStyle name="Input 3 13 2" xfId="9943" xr:uid="{D8B2F92E-E4FD-4ED0-B943-2B01A024BA4C}"/>
    <cellStyle name="Input 3 13 2 2" xfId="26854" xr:uid="{033D7405-7904-4F2C-B6D4-357AB2C0D0BD}"/>
    <cellStyle name="Input 3 13 2 3" xfId="26855" xr:uid="{2944AA50-7947-4579-A05E-1183BD4E0479}"/>
    <cellStyle name="Input 3 13 2 4" xfId="26856" xr:uid="{74EF3E45-5232-4E78-8FC3-4D18DF60B56F}"/>
    <cellStyle name="Input 3 13 2 5" xfId="26857" xr:uid="{ADFB847E-0563-4CA2-8285-8A3920EAE223}"/>
    <cellStyle name="Input 3 13 2 6" xfId="26858" xr:uid="{E66EB131-CCC5-4154-A7D9-D8C158244329}"/>
    <cellStyle name="Input 3 13 3" xfId="26859" xr:uid="{E9D3035B-E025-4B2C-9103-AFE448C5CEFE}"/>
    <cellStyle name="Input 3 13 4" xfId="26860" xr:uid="{EC91CD71-D6C8-4A17-AC9B-CE9E98DFCA11}"/>
    <cellStyle name="Input 3 13 5" xfId="26861" xr:uid="{65E345C9-68B2-49C0-9E8C-2721385F9CC7}"/>
    <cellStyle name="Input 3 13 6" xfId="26862" xr:uid="{BD1F79A8-5FDA-4086-8BB5-BAE0BEB68914}"/>
    <cellStyle name="Input 3 13 7" xfId="26863" xr:uid="{7DD2FE00-71C2-4D57-B0EF-0D2383315D7E}"/>
    <cellStyle name="Input 3 14" xfId="1568" xr:uid="{DC709805-3E9A-4246-9A55-EB8A8D7C7EA0}"/>
    <cellStyle name="Input 3 14 2" xfId="9893" xr:uid="{555FF992-72B6-4B39-89F6-480C57E2C29B}"/>
    <cellStyle name="Input 3 14 2 2" xfId="26864" xr:uid="{395369D7-D817-4987-8EBC-49D1960958DF}"/>
    <cellStyle name="Input 3 14 2 3" xfId="26865" xr:uid="{CFCEF7F6-AD5E-4AED-9CD7-2E69CDF7D351}"/>
    <cellStyle name="Input 3 14 2 4" xfId="26866" xr:uid="{28B32353-D366-43E7-871F-554245FAC3B0}"/>
    <cellStyle name="Input 3 14 2 5" xfId="26867" xr:uid="{D5B4BE63-FCBD-48CA-B1CB-C1A112003707}"/>
    <cellStyle name="Input 3 14 2 6" xfId="26868" xr:uid="{D5BB16D9-7B10-406B-A091-5DE91EAC5068}"/>
    <cellStyle name="Input 3 14 3" xfId="26869" xr:uid="{392F435B-F42A-4C93-9F91-D3FBBEA985B2}"/>
    <cellStyle name="Input 3 14 4" xfId="26870" xr:uid="{D75F4C05-B9AD-46C7-935B-23ED349EC1F2}"/>
    <cellStyle name="Input 3 14 5" xfId="26871" xr:uid="{F52A434A-710D-4081-B1AC-48FE503DAA88}"/>
    <cellStyle name="Input 3 14 6" xfId="26872" xr:uid="{F529F0BC-C05C-4F10-A200-9EE62C534FF4}"/>
    <cellStyle name="Input 3 14 7" xfId="26873" xr:uid="{8F356317-9F11-4E87-9F4B-A0B27EC8FF33}"/>
    <cellStyle name="Input 3 15" xfId="1569" xr:uid="{518A76F5-64FC-4742-95F9-D4F22DE248D2}"/>
    <cellStyle name="Input 3 15 2" xfId="9983" xr:uid="{0DCFD60D-5E60-4615-9D94-2B5868EA2EB9}"/>
    <cellStyle name="Input 3 15 2 2" xfId="26874" xr:uid="{A01A7BDA-B256-47B0-AC47-F0E864267237}"/>
    <cellStyle name="Input 3 15 2 3" xfId="26875" xr:uid="{EF7667D6-6A98-4E1D-AAC4-E8227FFE2E05}"/>
    <cellStyle name="Input 3 15 2 4" xfId="26876" xr:uid="{5B2C56E7-A854-4622-B4A8-887F5E884D71}"/>
    <cellStyle name="Input 3 15 2 5" xfId="26877" xr:uid="{D2BD5637-767F-43CF-AFB3-29208A221DCE}"/>
    <cellStyle name="Input 3 15 2 6" xfId="26878" xr:uid="{17D2EDAA-8DB8-4F5E-9033-1EA91C5CA5B0}"/>
    <cellStyle name="Input 3 15 3" xfId="26879" xr:uid="{43308FAC-0A68-42BA-81B9-A516B8F6561C}"/>
    <cellStyle name="Input 3 15 4" xfId="26880" xr:uid="{B82CA432-1AFA-4403-94EF-084B1CB5C714}"/>
    <cellStyle name="Input 3 15 5" xfId="26881" xr:uid="{26747169-B278-4CEC-B2BA-31A14DD2967F}"/>
    <cellStyle name="Input 3 15 6" xfId="26882" xr:uid="{32089B64-7FF8-4598-A614-2A7410FE1836}"/>
    <cellStyle name="Input 3 15 7" xfId="26883" xr:uid="{56C3A1A5-FA53-4467-8AFA-D49517C07A21}"/>
    <cellStyle name="Input 3 16" xfId="1570" xr:uid="{8B875B55-B943-4620-826E-E321AD28389E}"/>
    <cellStyle name="Input 3 16 2" xfId="9908" xr:uid="{445A32F6-1B5C-4813-A669-F0E82DBD17C4}"/>
    <cellStyle name="Input 3 16 2 2" xfId="26884" xr:uid="{F66A882F-F78E-4BC0-B993-98A79216F22E}"/>
    <cellStyle name="Input 3 16 2 3" xfId="26885" xr:uid="{E9524D3D-8949-429B-9F1B-42F2EDB8DBF0}"/>
    <cellStyle name="Input 3 16 2 4" xfId="26886" xr:uid="{22D51372-CC2E-499D-A64E-DB6C06B8467A}"/>
    <cellStyle name="Input 3 16 2 5" xfId="26887" xr:uid="{1315844A-823B-4BC3-BFB4-479500F20C2B}"/>
    <cellStyle name="Input 3 16 2 6" xfId="26888" xr:uid="{1C369FAD-F160-4F3B-BAC2-A0F99BF29A7B}"/>
    <cellStyle name="Input 3 16 3" xfId="26889" xr:uid="{720B9C79-3140-4B7C-980E-615BBA242FFF}"/>
    <cellStyle name="Input 3 16 4" xfId="26890" xr:uid="{34D95C87-1362-4E52-8553-D5CFBFA102CF}"/>
    <cellStyle name="Input 3 16 5" xfId="26891" xr:uid="{A822A9FE-1632-4CC3-A6D2-B09379D3153F}"/>
    <cellStyle name="Input 3 16 6" xfId="26892" xr:uid="{E883B419-4F9B-415E-917E-CACFC61A7D09}"/>
    <cellStyle name="Input 3 16 7" xfId="26893" xr:uid="{1E33D1AB-1A10-4ECD-A42A-6805952A1909}"/>
    <cellStyle name="Input 3 17" xfId="1571" xr:uid="{BF655BE2-F342-4C65-A97E-F4E845CC30A0}"/>
    <cellStyle name="Input 3 17 2" xfId="10511" xr:uid="{3E377F6F-1847-4E80-8112-A2C5B0783EAE}"/>
    <cellStyle name="Input 3 17 2 2" xfId="26894" xr:uid="{16DB238F-163C-4762-9114-85D77BC8F327}"/>
    <cellStyle name="Input 3 17 2 3" xfId="26895" xr:uid="{89AC4FB4-782D-4214-9C79-78A3011A232C}"/>
    <cellStyle name="Input 3 17 2 4" xfId="26896" xr:uid="{5C40E0E4-C444-4EC1-BE49-65FB378272F4}"/>
    <cellStyle name="Input 3 17 2 5" xfId="26897" xr:uid="{8441487D-218C-461B-98DD-D7F7C94E2BAB}"/>
    <cellStyle name="Input 3 17 2 6" xfId="26898" xr:uid="{7D88E563-F1F5-4965-B149-35AC2193E90D}"/>
    <cellStyle name="Input 3 17 3" xfId="26899" xr:uid="{550565C5-69E5-4626-9405-BCA1DD63F1CD}"/>
    <cellStyle name="Input 3 17 4" xfId="26900" xr:uid="{1F28FDE4-EEE5-4FCE-810C-61B4198C40C9}"/>
    <cellStyle name="Input 3 17 5" xfId="26901" xr:uid="{C260B9D4-BE0C-49BF-8070-3F36F6872684}"/>
    <cellStyle name="Input 3 17 6" xfId="26902" xr:uid="{DC45B621-35F8-44DE-969B-2EB58C987FAE}"/>
    <cellStyle name="Input 3 17 7" xfId="26903" xr:uid="{52132F24-B59B-4415-B3E0-F82A4AE79FD8}"/>
    <cellStyle name="Input 3 18" xfId="1572" xr:uid="{1D904793-48C5-481B-915D-27A865B9ED30}"/>
    <cellStyle name="Input 3 18 2" xfId="9715" xr:uid="{1D1B66D8-3707-467F-8C91-6A468C78A328}"/>
    <cellStyle name="Input 3 18 2 2" xfId="26904" xr:uid="{73E31D7C-2209-4455-92A3-0A7CC8FC7168}"/>
    <cellStyle name="Input 3 18 2 3" xfId="26905" xr:uid="{C6D95FEF-A71C-4BFD-9C0E-E12DAEFE3C6A}"/>
    <cellStyle name="Input 3 18 2 4" xfId="26906" xr:uid="{9E93061D-3E1A-414C-B473-5B8D0BA0C0EC}"/>
    <cellStyle name="Input 3 18 2 5" xfId="26907" xr:uid="{5915CD96-7AD3-4B77-BF52-CA4E43EB7AA1}"/>
    <cellStyle name="Input 3 18 2 6" xfId="26908" xr:uid="{0E70D0FF-9984-4DC7-8B1B-0F67ED15E422}"/>
    <cellStyle name="Input 3 18 3" xfId="26909" xr:uid="{46845EE6-E5CD-4E4A-B6DD-1857D93E2968}"/>
    <cellStyle name="Input 3 18 4" xfId="26910" xr:uid="{A79DA81F-DC58-46BA-8D15-A49FDBDD9AA4}"/>
    <cellStyle name="Input 3 18 5" xfId="26911" xr:uid="{E6EFDE8C-7831-48F7-9A64-FB2AB6DA3708}"/>
    <cellStyle name="Input 3 18 6" xfId="26912" xr:uid="{20C5D29D-6369-471A-AFB7-84F4510AE368}"/>
    <cellStyle name="Input 3 18 7" xfId="26913" xr:uid="{EB3F9DDF-C194-4F2C-BD53-393614BD8A07}"/>
    <cellStyle name="Input 3 19" xfId="1573" xr:uid="{F4ED9462-2E5B-4B00-BCC4-F384542615EE}"/>
    <cellStyle name="Input 3 19 2" xfId="10773" xr:uid="{45524646-D5E3-463B-9F3E-E88A4A1FC1D2}"/>
    <cellStyle name="Input 3 19 2 2" xfId="26914" xr:uid="{847EF273-3E1F-4671-A658-3380FB73A6E7}"/>
    <cellStyle name="Input 3 19 2 3" xfId="26915" xr:uid="{A0BE9EC1-F919-447D-8A23-CAAE9C5C097A}"/>
    <cellStyle name="Input 3 19 2 4" xfId="26916" xr:uid="{8A645B20-55D7-405A-9357-18C632BA75A5}"/>
    <cellStyle name="Input 3 19 2 5" xfId="26917" xr:uid="{367AB71D-09F8-4CD0-92D0-B04F8A138FCA}"/>
    <cellStyle name="Input 3 19 2 6" xfId="26918" xr:uid="{254C4C14-B1B1-45D0-A381-72939826E00C}"/>
    <cellStyle name="Input 3 19 3" xfId="26919" xr:uid="{16962482-FF90-40F0-A065-19FAB8786572}"/>
    <cellStyle name="Input 3 19 4" xfId="26920" xr:uid="{008F3AD4-6418-483B-BEF4-B9836A1D310B}"/>
    <cellStyle name="Input 3 19 5" xfId="26921" xr:uid="{0356C3B2-01DA-45B2-9D06-2BB4203AAA2B}"/>
    <cellStyle name="Input 3 19 6" xfId="26922" xr:uid="{DA48D02D-65BD-4C3C-B865-B9BDD0040271}"/>
    <cellStyle name="Input 3 19 7" xfId="26923" xr:uid="{58BE01B4-850F-41A1-9CA9-20D2307092CC}"/>
    <cellStyle name="Input 3 2" xfId="1574" xr:uid="{4D471CA5-160A-4518-8CDD-CA39AB1D71D3}"/>
    <cellStyle name="Input 3 2 10" xfId="1575" xr:uid="{64535C70-78E2-4B3C-B0DF-C64E1CDF7A0D}"/>
    <cellStyle name="Input 3 2 10 2" xfId="10643" xr:uid="{413DACA4-49BF-407E-A652-B30AEAEE5BC0}"/>
    <cellStyle name="Input 3 2 10 2 2" xfId="26924" xr:uid="{B802D553-7A2E-4E28-B5DC-9E76CBE44E67}"/>
    <cellStyle name="Input 3 2 10 2 3" xfId="26925" xr:uid="{92846B4A-6FBE-4179-BBC7-551473399462}"/>
    <cellStyle name="Input 3 2 10 2 4" xfId="26926" xr:uid="{AFBA95C1-6AC3-4299-9871-725BF49E2D3A}"/>
    <cellStyle name="Input 3 2 10 2 5" xfId="26927" xr:uid="{BD70265A-FA2C-4EC1-B0A2-AFA503BAC43C}"/>
    <cellStyle name="Input 3 2 10 2 6" xfId="26928" xr:uid="{DE8B5C2D-FF4B-40A3-98B2-DA92671C4523}"/>
    <cellStyle name="Input 3 2 10 3" xfId="26929" xr:uid="{930A4A8B-D891-46D0-BCB9-0FA134A1380D}"/>
    <cellStyle name="Input 3 2 10 4" xfId="26930" xr:uid="{4B3C9488-FBB6-473A-8E91-06D96EA53604}"/>
    <cellStyle name="Input 3 2 10 5" xfId="26931" xr:uid="{47172DC8-21EB-4887-AFA5-2EF115C8B1E4}"/>
    <cellStyle name="Input 3 2 10 6" xfId="26932" xr:uid="{65FC1B75-514E-4107-B229-B33D30FF9B8F}"/>
    <cellStyle name="Input 3 2 10 7" xfId="26933" xr:uid="{232465D0-1017-4BCD-BBAE-4BDF628299F1}"/>
    <cellStyle name="Input 3 2 11" xfId="1576" xr:uid="{4161B576-6904-4464-A1B5-6B20A3EA9542}"/>
    <cellStyle name="Input 3 2 11 2" xfId="10734" xr:uid="{F6917F51-5F30-46CF-AD8C-913425B526CA}"/>
    <cellStyle name="Input 3 2 11 2 2" xfId="26934" xr:uid="{623F835F-E1CF-4AB4-AD9B-EBCE5B56A00D}"/>
    <cellStyle name="Input 3 2 11 2 3" xfId="26935" xr:uid="{CAA058F9-EA90-4D8B-BFF7-3538F82F694B}"/>
    <cellStyle name="Input 3 2 11 2 4" xfId="26936" xr:uid="{E0D9CA35-89BE-40B1-87EB-CC63CB417857}"/>
    <cellStyle name="Input 3 2 11 2 5" xfId="26937" xr:uid="{506F0374-7F0D-4540-89C8-013280D4902C}"/>
    <cellStyle name="Input 3 2 11 2 6" xfId="26938" xr:uid="{A4D89989-ADFB-4B0B-9FCA-F6737119CED5}"/>
    <cellStyle name="Input 3 2 11 3" xfId="26939" xr:uid="{2B4083DB-A57B-4334-B977-91ED6E7EB2C2}"/>
    <cellStyle name="Input 3 2 11 4" xfId="26940" xr:uid="{C351A157-BBAF-4566-932A-A050327D906E}"/>
    <cellStyle name="Input 3 2 11 5" xfId="26941" xr:uid="{0C62A988-CCB3-4288-8E10-81913DC9BD9F}"/>
    <cellStyle name="Input 3 2 11 6" xfId="26942" xr:uid="{016FB78B-0AFC-45A4-A194-3C406FC54D9E}"/>
    <cellStyle name="Input 3 2 11 7" xfId="26943" xr:uid="{CD4B96E2-9B7B-447A-9D43-1FF5A99EC80F}"/>
    <cellStyle name="Input 3 2 12" xfId="1577" xr:uid="{65D7E5D9-6E6D-4546-A133-D8625CBA95DF}"/>
    <cellStyle name="Input 3 2 12 2" xfId="10822" xr:uid="{83CA8653-82B9-422A-872D-A0B7279940E3}"/>
    <cellStyle name="Input 3 2 12 2 2" xfId="26944" xr:uid="{E0F18C13-2D90-4D05-A8AE-9833003AD6D5}"/>
    <cellStyle name="Input 3 2 12 2 3" xfId="26945" xr:uid="{DD1D3FD1-4353-4636-A2D0-167B4E99E559}"/>
    <cellStyle name="Input 3 2 12 2 4" xfId="26946" xr:uid="{9241C478-20F5-4ED4-96C0-6F87034EDB1A}"/>
    <cellStyle name="Input 3 2 12 2 5" xfId="26947" xr:uid="{119C3ADC-6451-4926-9F8B-F768AC3FD53E}"/>
    <cellStyle name="Input 3 2 12 2 6" xfId="26948" xr:uid="{C5F20114-2B47-4761-8720-908DC1CCA69A}"/>
    <cellStyle name="Input 3 2 12 3" xfId="26949" xr:uid="{4C5886C8-01BB-4C6B-B501-12A809BEBFF8}"/>
    <cellStyle name="Input 3 2 12 4" xfId="26950" xr:uid="{FE557993-53DB-4200-8678-B85891ECE5AE}"/>
    <cellStyle name="Input 3 2 12 5" xfId="26951" xr:uid="{016EB9C0-69AC-496A-98E5-E3F5975EBBBA}"/>
    <cellStyle name="Input 3 2 12 6" xfId="26952" xr:uid="{9CEB51B5-2725-4984-8655-2E03DF3222F2}"/>
    <cellStyle name="Input 3 2 12 7" xfId="26953" xr:uid="{05371691-1B52-4796-9D61-1F752914BEB7}"/>
    <cellStyle name="Input 3 2 13" xfId="1578" xr:uid="{28CB60D7-14EF-407D-8BF9-D34B13C62D6A}"/>
    <cellStyle name="Input 3 2 13 2" xfId="10911" xr:uid="{266E425E-0B1B-441F-AC3C-04910BEC28AD}"/>
    <cellStyle name="Input 3 2 13 2 2" xfId="26954" xr:uid="{03399297-F85B-4180-9793-1190DBB29E12}"/>
    <cellStyle name="Input 3 2 13 2 3" xfId="26955" xr:uid="{0C402FDC-A917-4770-BD94-8F96108223D8}"/>
    <cellStyle name="Input 3 2 13 2 4" xfId="26956" xr:uid="{DDAB7F2D-AD4F-4EE3-A835-039E3D68229F}"/>
    <cellStyle name="Input 3 2 13 2 5" xfId="26957" xr:uid="{A8387823-B219-4892-A66B-74E0CC3D4A20}"/>
    <cellStyle name="Input 3 2 13 2 6" xfId="26958" xr:uid="{3E0D4C30-B46E-4359-9F76-E9A27D62A51A}"/>
    <cellStyle name="Input 3 2 13 3" xfId="26959" xr:uid="{8CE8FA88-207B-4571-95FE-F3C1D982D57B}"/>
    <cellStyle name="Input 3 2 13 4" xfId="26960" xr:uid="{C6AB4063-9CAB-492A-94FB-2E4E42B6C43F}"/>
    <cellStyle name="Input 3 2 13 5" xfId="26961" xr:uid="{1A84AE76-E95E-450C-A94C-FE70603412D3}"/>
    <cellStyle name="Input 3 2 13 6" xfId="26962" xr:uid="{5533A606-D980-48A6-8A35-9E55DB6EB8A2}"/>
    <cellStyle name="Input 3 2 13 7" xfId="26963" xr:uid="{FB0A140D-B216-4B41-B301-B19C63DEA31F}"/>
    <cellStyle name="Input 3 2 14" xfId="1579" xr:uid="{78A5EEAE-CD87-4494-9913-00C67C18AF70}"/>
    <cellStyle name="Input 3 2 14 2" xfId="11001" xr:uid="{1F3E5F43-CDD2-414F-A3A0-2D2D1AF36B91}"/>
    <cellStyle name="Input 3 2 14 2 2" xfId="26964" xr:uid="{8AB33595-526D-4537-AFDE-0120777E7939}"/>
    <cellStyle name="Input 3 2 14 2 3" xfId="26965" xr:uid="{9458B00B-825A-4D69-BD12-B0A7D6FC16F7}"/>
    <cellStyle name="Input 3 2 14 2 4" xfId="26966" xr:uid="{C43554C1-9F3C-424B-929E-01ED1FCAB11C}"/>
    <cellStyle name="Input 3 2 14 2 5" xfId="26967" xr:uid="{78158455-D0E0-46B7-BFBF-0E38ADE7D038}"/>
    <cellStyle name="Input 3 2 14 2 6" xfId="26968" xr:uid="{913D389D-C652-4432-BDB3-3D6FF100E831}"/>
    <cellStyle name="Input 3 2 14 3" xfId="26969" xr:uid="{B9CC885E-BB33-4C4E-BC47-3F33066C329D}"/>
    <cellStyle name="Input 3 2 14 4" xfId="26970" xr:uid="{D5527588-814A-48DD-96E6-48767399EAEB}"/>
    <cellStyle name="Input 3 2 14 5" xfId="26971" xr:uid="{EA416855-E0E3-4BFE-A02E-AF5468C646A5}"/>
    <cellStyle name="Input 3 2 14 6" xfId="26972" xr:uid="{36E26502-0BE8-45BE-A230-74DE30A2CB1A}"/>
    <cellStyle name="Input 3 2 14 7" xfId="26973" xr:uid="{341664CA-07FE-4084-942D-C1476ECB0F69}"/>
    <cellStyle name="Input 3 2 15" xfId="1580" xr:uid="{DF1EB61C-5A5A-41F1-BFEA-CFDA88136C36}"/>
    <cellStyle name="Input 3 2 15 2" xfId="11091" xr:uid="{239DF243-98CA-4D0C-B794-94D75D2B59B9}"/>
    <cellStyle name="Input 3 2 15 2 2" xfId="26974" xr:uid="{101FE22C-2A20-491C-91DA-68CD910DE12F}"/>
    <cellStyle name="Input 3 2 15 2 3" xfId="26975" xr:uid="{6A3FB90F-B132-4555-BA00-1C0DE8A3CE46}"/>
    <cellStyle name="Input 3 2 15 2 4" xfId="26976" xr:uid="{188B6577-9348-489A-B846-4D75A3F34DB9}"/>
    <cellStyle name="Input 3 2 15 2 5" xfId="26977" xr:uid="{C3348D97-F9BC-442B-89C5-1524D5368B30}"/>
    <cellStyle name="Input 3 2 15 2 6" xfId="26978" xr:uid="{59AA7931-22D1-4826-B122-86E49BE79A42}"/>
    <cellStyle name="Input 3 2 15 3" xfId="26979" xr:uid="{0F0AB36D-D1EB-478C-9A65-8506FB43497A}"/>
    <cellStyle name="Input 3 2 15 4" xfId="26980" xr:uid="{4B8B171C-C117-4732-8839-6D79FAB08142}"/>
    <cellStyle name="Input 3 2 15 5" xfId="26981" xr:uid="{96156AE5-0B5C-4A7F-9BCB-C0A48797CC19}"/>
    <cellStyle name="Input 3 2 15 6" xfId="26982" xr:uid="{99F930A0-7D2E-4BF6-B1D2-6841164CAA6D}"/>
    <cellStyle name="Input 3 2 15 7" xfId="26983" xr:uid="{70F8F451-0510-4C79-9B42-DAC4B335F471}"/>
    <cellStyle name="Input 3 2 16" xfId="1581" xr:uid="{69F38753-B014-4E45-AC8B-FD6F477F05B0}"/>
    <cellStyle name="Input 3 2 16 2" xfId="11174" xr:uid="{DDCAB1FA-144A-406D-B998-61D7594235A3}"/>
    <cellStyle name="Input 3 2 16 2 2" xfId="26984" xr:uid="{C620C027-352A-49C8-A6DD-6D00714C7B29}"/>
    <cellStyle name="Input 3 2 16 2 3" xfId="26985" xr:uid="{8AC11B46-F79E-4566-9AB1-9F9339EE0E4E}"/>
    <cellStyle name="Input 3 2 16 2 4" xfId="26986" xr:uid="{5D11B014-B3EC-43AA-9859-8D942BB75469}"/>
    <cellStyle name="Input 3 2 16 2 5" xfId="26987" xr:uid="{5CCF3444-A0F4-4D27-AEDA-544FC544A80F}"/>
    <cellStyle name="Input 3 2 16 2 6" xfId="26988" xr:uid="{DA8CDA70-702D-4D3E-A3B2-BA38E4DF6EB8}"/>
    <cellStyle name="Input 3 2 16 3" xfId="26989" xr:uid="{77BFEAAE-4D77-47F5-A6AA-1CE7DD989900}"/>
    <cellStyle name="Input 3 2 16 4" xfId="26990" xr:uid="{B69B234E-81AA-4B67-9B33-AD8B69BDABAB}"/>
    <cellStyle name="Input 3 2 16 5" xfId="26991" xr:uid="{59F17DE9-8CC0-4069-AAA5-1DF880AC40D9}"/>
    <cellStyle name="Input 3 2 16 6" xfId="26992" xr:uid="{0C9EA89C-ADB0-4171-86A4-DFC6CA46E5DB}"/>
    <cellStyle name="Input 3 2 16 7" xfId="26993" xr:uid="{0C03B288-FBDF-436F-BFA7-E3DB9390CE6E}"/>
    <cellStyle name="Input 3 2 17" xfId="1582" xr:uid="{FD10E2C1-11D2-4780-8850-5C32F5B688E4}"/>
    <cellStyle name="Input 3 2 17 2" xfId="11264" xr:uid="{52B0BD85-4E0E-46D5-B3A1-259A409752F7}"/>
    <cellStyle name="Input 3 2 17 2 2" xfId="26994" xr:uid="{D5AEE94A-B714-47A4-A943-BD437DD92716}"/>
    <cellStyle name="Input 3 2 17 2 3" xfId="26995" xr:uid="{470D13B4-EC72-44AB-A276-BBF19D2E5A22}"/>
    <cellStyle name="Input 3 2 17 2 4" xfId="26996" xr:uid="{4B0B4682-C14F-48DA-BFB8-17B3005F6787}"/>
    <cellStyle name="Input 3 2 17 2 5" xfId="26997" xr:uid="{99A32D2C-A42E-43D5-BCA1-F781B8D1F355}"/>
    <cellStyle name="Input 3 2 17 2 6" xfId="26998" xr:uid="{15236D05-11CC-4493-9390-CE8EB7B2C337}"/>
    <cellStyle name="Input 3 2 17 3" xfId="26999" xr:uid="{7F7824BD-85DD-4086-808B-2B9269593B70}"/>
    <cellStyle name="Input 3 2 17 4" xfId="27000" xr:uid="{2F1594C8-6F6C-43AC-AB82-3391CF8CD1E7}"/>
    <cellStyle name="Input 3 2 17 5" xfId="27001" xr:uid="{A81EC12E-201A-4DE7-88B9-F7678E10921B}"/>
    <cellStyle name="Input 3 2 17 6" xfId="27002" xr:uid="{06453618-3BF4-4C76-8B0C-36C84F0BB619}"/>
    <cellStyle name="Input 3 2 17 7" xfId="27003" xr:uid="{19E610DC-B78D-4098-9052-F2292A9FCE96}"/>
    <cellStyle name="Input 3 2 18" xfId="1583" xr:uid="{48530169-A71A-450C-9BBE-1F48790079A6}"/>
    <cellStyle name="Input 3 2 18 2" xfId="11350" xr:uid="{76EA691B-59B5-4FB4-87F8-63EE60FC2789}"/>
    <cellStyle name="Input 3 2 18 2 2" xfId="27004" xr:uid="{E9DC5D7D-C0A3-40C3-BBDA-65B87FF3A6DA}"/>
    <cellStyle name="Input 3 2 18 2 3" xfId="27005" xr:uid="{8C04AB55-868C-4C25-9F75-88B6D778840D}"/>
    <cellStyle name="Input 3 2 18 2 4" xfId="27006" xr:uid="{FAFA2535-BADE-42CF-99DA-5FF830DEE9B7}"/>
    <cellStyle name="Input 3 2 18 2 5" xfId="27007" xr:uid="{426B642A-2DD9-47C1-81D7-3421EBF5204F}"/>
    <cellStyle name="Input 3 2 18 2 6" xfId="27008" xr:uid="{6F86CDD5-124A-4CA8-903B-BADD70326006}"/>
    <cellStyle name="Input 3 2 18 3" xfId="27009" xr:uid="{C91C0271-D015-41C9-80C5-7FBBD497EF7A}"/>
    <cellStyle name="Input 3 2 18 4" xfId="27010" xr:uid="{D11DB561-EAD4-4840-B0DC-E39D8169036A}"/>
    <cellStyle name="Input 3 2 18 5" xfId="27011" xr:uid="{6490D85C-61DF-4CAB-90A2-0D583C995769}"/>
    <cellStyle name="Input 3 2 18 6" xfId="27012" xr:uid="{ACE3D426-E2D4-461E-8E1D-12D392310ACE}"/>
    <cellStyle name="Input 3 2 18 7" xfId="27013" xr:uid="{5427131D-E6D1-428B-8D25-B05D3EE9EC4B}"/>
    <cellStyle name="Input 3 2 19" xfId="1584" xr:uid="{7621891D-6F4F-46D0-A283-39220CF7D2AF}"/>
    <cellStyle name="Input 3 2 19 2" xfId="11437" xr:uid="{AA66CDAF-FC8F-4DCE-8F07-23D4B0EB9BC3}"/>
    <cellStyle name="Input 3 2 19 2 2" xfId="27014" xr:uid="{6FB9F6BB-78B2-493E-BE8B-7BA9E7F9F42E}"/>
    <cellStyle name="Input 3 2 19 2 3" xfId="27015" xr:uid="{B9984467-7BD6-4F8B-AD50-F0E15F6441AA}"/>
    <cellStyle name="Input 3 2 19 2 4" xfId="27016" xr:uid="{E7194CB5-223D-4673-872C-2FEC66E93C39}"/>
    <cellStyle name="Input 3 2 19 2 5" xfId="27017" xr:uid="{A03BCBAE-5AC7-4ED4-83D3-2BA946B2FF84}"/>
    <cellStyle name="Input 3 2 19 2 6" xfId="27018" xr:uid="{C394B58A-39D1-4F11-956E-BE0CCB1D463B}"/>
    <cellStyle name="Input 3 2 19 3" xfId="27019" xr:uid="{AD489C87-EE18-4B2F-BF46-8F0BAE82EABC}"/>
    <cellStyle name="Input 3 2 19 4" xfId="27020" xr:uid="{9782387A-9BA9-43FC-AC08-1A851D186275}"/>
    <cellStyle name="Input 3 2 19 5" xfId="27021" xr:uid="{A922F62F-DD2E-49D0-9385-BEE845B47BDB}"/>
    <cellStyle name="Input 3 2 19 6" xfId="27022" xr:uid="{A592682D-2EE1-4FBD-AB11-43F9F60E44F6}"/>
    <cellStyle name="Input 3 2 19 7" xfId="27023" xr:uid="{196C287E-9943-4348-A7BD-B0987022CE5E}"/>
    <cellStyle name="Input 3 2 2" xfId="1585" xr:uid="{3386D494-1AF3-4187-B531-4DC745924403}"/>
    <cellStyle name="Input 3 2 2 10" xfId="1586" xr:uid="{0D160216-FF10-401B-A67D-E1972E2DC28E}"/>
    <cellStyle name="Input 3 2 2 10 2" xfId="10767" xr:uid="{82975193-24E0-4549-A11D-3BAB799A5874}"/>
    <cellStyle name="Input 3 2 2 10 2 2" xfId="27024" xr:uid="{9C2BFC87-D3AE-4755-8BB3-0B650FA29F95}"/>
    <cellStyle name="Input 3 2 2 10 2 3" xfId="27025" xr:uid="{BF0F408C-A888-4E6F-AFCC-F5065F5D18EA}"/>
    <cellStyle name="Input 3 2 2 10 2 4" xfId="27026" xr:uid="{A785F6FB-657F-4085-8827-8BA8FF5F31E7}"/>
    <cellStyle name="Input 3 2 2 10 2 5" xfId="27027" xr:uid="{0CF374F0-141B-4474-BACB-B0C0293ED9C8}"/>
    <cellStyle name="Input 3 2 2 10 2 6" xfId="27028" xr:uid="{1A4FB486-DC95-4059-8940-1030DD25AA5C}"/>
    <cellStyle name="Input 3 2 2 10 3" xfId="27029" xr:uid="{37F47059-5A2F-43BD-81E9-428AFBE0DA52}"/>
    <cellStyle name="Input 3 2 2 10 4" xfId="27030" xr:uid="{91327043-7B0A-4BC6-BF9C-F022ECEEA542}"/>
    <cellStyle name="Input 3 2 2 10 5" xfId="27031" xr:uid="{92BD4C64-F069-4EAB-90B5-610ED64E5AB4}"/>
    <cellStyle name="Input 3 2 2 10 6" xfId="27032" xr:uid="{728DF2FA-CF63-49D8-8D3B-E0025A9CCC78}"/>
    <cellStyle name="Input 3 2 2 10 7" xfId="27033" xr:uid="{92949199-8A67-4C42-8555-1AFB7C124F06}"/>
    <cellStyle name="Input 3 2 2 11" xfId="1587" xr:uid="{CD231A0D-6F92-47F1-8A3E-4BF948447CAB}"/>
    <cellStyle name="Input 3 2 2 11 2" xfId="10855" xr:uid="{BC1544AD-5670-4906-B701-92CBC4D67B7B}"/>
    <cellStyle name="Input 3 2 2 11 2 2" xfId="27034" xr:uid="{243F9AF7-7C5C-43A6-80E0-3EBD48121D49}"/>
    <cellStyle name="Input 3 2 2 11 2 3" xfId="27035" xr:uid="{3C67CC2D-F6C3-489B-8097-6E9F8BC4FEB3}"/>
    <cellStyle name="Input 3 2 2 11 2 4" xfId="27036" xr:uid="{71119AFB-BE5D-4612-B411-FC78D8FE5A5D}"/>
    <cellStyle name="Input 3 2 2 11 2 5" xfId="27037" xr:uid="{A4B27FFC-56E5-4BE6-9D1E-F3C1621AA293}"/>
    <cellStyle name="Input 3 2 2 11 2 6" xfId="27038" xr:uid="{74B207D9-249C-4B68-B70C-39B096F9F419}"/>
    <cellStyle name="Input 3 2 2 11 3" xfId="27039" xr:uid="{5043A3AB-C6B7-4E18-8EB9-A730B787DC5F}"/>
    <cellStyle name="Input 3 2 2 11 4" xfId="27040" xr:uid="{21752B86-3ACB-46F1-B723-5347541432B6}"/>
    <cellStyle name="Input 3 2 2 11 5" xfId="27041" xr:uid="{CC5B2759-6AE5-4752-874C-4694C84F999D}"/>
    <cellStyle name="Input 3 2 2 11 6" xfId="27042" xr:uid="{DE9C5289-70FA-42E5-812C-E6B5130BF4D9}"/>
    <cellStyle name="Input 3 2 2 11 7" xfId="27043" xr:uid="{126BFD41-4AEC-40CF-9AFD-6F76347B1528}"/>
    <cellStyle name="Input 3 2 2 12" xfId="1588" xr:uid="{0F519787-96BC-45F5-880A-6808B15C108E}"/>
    <cellStyle name="Input 3 2 2 12 2" xfId="10944" xr:uid="{2A11A95D-A216-4088-BE64-96E4A0B27BCB}"/>
    <cellStyle name="Input 3 2 2 12 2 2" xfId="27044" xr:uid="{5D4E6559-DF07-43F4-BFEC-E18E1BB5BF1D}"/>
    <cellStyle name="Input 3 2 2 12 2 3" xfId="27045" xr:uid="{0243007F-37E7-4442-886A-F9F66B842512}"/>
    <cellStyle name="Input 3 2 2 12 2 4" xfId="27046" xr:uid="{DAF78A9E-6C28-4A63-92D6-9CB151721F90}"/>
    <cellStyle name="Input 3 2 2 12 2 5" xfId="27047" xr:uid="{AA9600C0-1BC7-408A-BB0C-F701E47E125E}"/>
    <cellStyle name="Input 3 2 2 12 2 6" xfId="27048" xr:uid="{74CDB94E-E39E-4C6E-B8F0-CEFA4E9ADE80}"/>
    <cellStyle name="Input 3 2 2 12 3" xfId="27049" xr:uid="{1AA9731E-470A-4554-A719-B3FE58689C65}"/>
    <cellStyle name="Input 3 2 2 12 4" xfId="27050" xr:uid="{D867C4B1-F100-4C3A-B49E-8009FD589D41}"/>
    <cellStyle name="Input 3 2 2 12 5" xfId="27051" xr:uid="{D8C8F633-8C5A-4D15-8516-F69059C2E053}"/>
    <cellStyle name="Input 3 2 2 12 6" xfId="27052" xr:uid="{8CAD77DD-936F-47D7-BBD4-4A610DE23B80}"/>
    <cellStyle name="Input 3 2 2 12 7" xfId="27053" xr:uid="{853F50B7-CC13-4B00-A6D5-1092E5852534}"/>
    <cellStyle name="Input 3 2 2 13" xfId="1589" xr:uid="{06407D5C-F7B9-4E6F-BECF-31F6E8400AA9}"/>
    <cellStyle name="Input 3 2 2 13 2" xfId="11034" xr:uid="{1F2513E1-13FC-4FD8-9E4A-3C7AE7BEE678}"/>
    <cellStyle name="Input 3 2 2 13 2 2" xfId="27054" xr:uid="{E8757E7C-D5E1-48E8-B0F7-2D3B74255C72}"/>
    <cellStyle name="Input 3 2 2 13 2 3" xfId="27055" xr:uid="{4C01E6DE-3FE9-4CD0-B231-003280653A4F}"/>
    <cellStyle name="Input 3 2 2 13 2 4" xfId="27056" xr:uid="{CC5038F9-C871-4310-9030-62FFFD56F969}"/>
    <cellStyle name="Input 3 2 2 13 2 5" xfId="27057" xr:uid="{9D162584-D474-4893-8E52-7DCC660FF3B9}"/>
    <cellStyle name="Input 3 2 2 13 2 6" xfId="27058" xr:uid="{205A9A8E-0549-401A-A59B-2990703BB579}"/>
    <cellStyle name="Input 3 2 2 13 3" xfId="27059" xr:uid="{0CD7766C-2182-4D99-B602-21C56899FC30}"/>
    <cellStyle name="Input 3 2 2 13 4" xfId="27060" xr:uid="{247201B0-282A-4DF3-803E-0E527AE25727}"/>
    <cellStyle name="Input 3 2 2 13 5" xfId="27061" xr:uid="{69B82E63-5F2B-4869-9110-AD82BB471553}"/>
    <cellStyle name="Input 3 2 2 13 6" xfId="27062" xr:uid="{8C8FE689-EA8F-438A-9D72-32BB29448384}"/>
    <cellStyle name="Input 3 2 2 13 7" xfId="27063" xr:uid="{95EEB063-23BD-437A-8380-99A282F932CC}"/>
    <cellStyle name="Input 3 2 2 14" xfId="1590" xr:uid="{9387F4F6-2F1C-40E6-99C9-D052D436479C}"/>
    <cellStyle name="Input 3 2 2 14 2" xfId="11124" xr:uid="{061989E8-9605-4EC4-B15D-730455AB5E8B}"/>
    <cellStyle name="Input 3 2 2 14 2 2" xfId="27064" xr:uid="{71BB1AD2-2887-48FF-9ECD-15DAC88B5DE3}"/>
    <cellStyle name="Input 3 2 2 14 2 3" xfId="27065" xr:uid="{81828469-ECEC-4F28-894E-713631A5FA00}"/>
    <cellStyle name="Input 3 2 2 14 2 4" xfId="27066" xr:uid="{DBADAD42-0764-4D57-86A2-EB1CC0F1C022}"/>
    <cellStyle name="Input 3 2 2 14 2 5" xfId="27067" xr:uid="{545AC51B-7C79-4FD5-B926-D988F028ACEB}"/>
    <cellStyle name="Input 3 2 2 14 2 6" xfId="27068" xr:uid="{8757AB46-A340-4CD7-AAFE-2D9909A5986B}"/>
    <cellStyle name="Input 3 2 2 14 3" xfId="27069" xr:uid="{A9EFE445-5D62-4ADD-A779-64639204F2B7}"/>
    <cellStyle name="Input 3 2 2 14 4" xfId="27070" xr:uid="{F8732BD1-F588-4707-A2D2-096645878CB6}"/>
    <cellStyle name="Input 3 2 2 14 5" xfId="27071" xr:uid="{3775ADC5-76DB-4D33-9CF2-6E1E902F2A56}"/>
    <cellStyle name="Input 3 2 2 14 6" xfId="27072" xr:uid="{99817781-0C94-463D-9F0C-70D5E18DABCB}"/>
    <cellStyle name="Input 3 2 2 14 7" xfId="27073" xr:uid="{E2D9F558-2536-4F88-9119-08A641ABF0AB}"/>
    <cellStyle name="Input 3 2 2 15" xfId="1591" xr:uid="{8C0776BC-16DB-4F13-BCCA-3F00D929BB6E}"/>
    <cellStyle name="Input 3 2 2 15 2" xfId="11207" xr:uid="{10698233-3783-4418-AFDD-8D8818AA9D29}"/>
    <cellStyle name="Input 3 2 2 15 2 2" xfId="27074" xr:uid="{3E9B8AF9-6F32-49D2-8CDC-5AF59BD72015}"/>
    <cellStyle name="Input 3 2 2 15 2 3" xfId="27075" xr:uid="{82B701C4-A569-4692-B22B-2E831E07C04D}"/>
    <cellStyle name="Input 3 2 2 15 2 4" xfId="27076" xr:uid="{76ECABF2-02CF-464E-B45A-86843812EB4C}"/>
    <cellStyle name="Input 3 2 2 15 2 5" xfId="27077" xr:uid="{7224720E-C9D7-4F0D-9F9E-7910A5607AC6}"/>
    <cellStyle name="Input 3 2 2 15 2 6" xfId="27078" xr:uid="{34B210B5-4124-493E-AB68-89ACFD0168A9}"/>
    <cellStyle name="Input 3 2 2 15 3" xfId="27079" xr:uid="{64D32E0A-A540-48C4-8D8E-6C99255A5056}"/>
    <cellStyle name="Input 3 2 2 15 4" xfId="27080" xr:uid="{44ACAC3E-04F4-45C9-8329-D203196A16ED}"/>
    <cellStyle name="Input 3 2 2 15 5" xfId="27081" xr:uid="{1FCB6D0F-4DED-444B-A97C-3654CD574201}"/>
    <cellStyle name="Input 3 2 2 15 6" xfId="27082" xr:uid="{A3D64182-4F39-4210-B02C-A1AA3BACFFAF}"/>
    <cellStyle name="Input 3 2 2 15 7" xfId="27083" xr:uid="{717B2DFA-24F1-4CFC-A9BF-203E55460BE0}"/>
    <cellStyle name="Input 3 2 2 16" xfId="1592" xr:uid="{8F555BEC-6114-45D8-91AF-91078108D293}"/>
    <cellStyle name="Input 3 2 2 16 2" xfId="11297" xr:uid="{82F93D26-405F-4350-A480-BC3A1F8507FE}"/>
    <cellStyle name="Input 3 2 2 16 2 2" xfId="27084" xr:uid="{EBE82EB7-050C-4FAE-85E7-109DAD12490E}"/>
    <cellStyle name="Input 3 2 2 16 2 3" xfId="27085" xr:uid="{D102324B-21A5-46AC-B46B-48A2295C9A8C}"/>
    <cellStyle name="Input 3 2 2 16 2 4" xfId="27086" xr:uid="{1A350A5F-0399-40AC-B809-61E88DDB8C54}"/>
    <cellStyle name="Input 3 2 2 16 2 5" xfId="27087" xr:uid="{7FF89235-69E7-4FF8-9A33-3A93E69BBDDA}"/>
    <cellStyle name="Input 3 2 2 16 2 6" xfId="27088" xr:uid="{49E045C1-BD88-420E-8807-9DDFE8727849}"/>
    <cellStyle name="Input 3 2 2 16 3" xfId="27089" xr:uid="{CD85814E-F3C5-4121-9E01-7ED522BFAFA2}"/>
    <cellStyle name="Input 3 2 2 16 4" xfId="27090" xr:uid="{48FECBD9-AF39-4EA4-9BE4-AC1D8CBA5A4A}"/>
    <cellStyle name="Input 3 2 2 16 5" xfId="27091" xr:uid="{DFB8B5D3-2811-4B68-A692-A123287B8E9D}"/>
    <cellStyle name="Input 3 2 2 16 6" xfId="27092" xr:uid="{DE4FDC1B-9C1A-4A01-8DF2-E4FA3F7BD25A}"/>
    <cellStyle name="Input 3 2 2 16 7" xfId="27093" xr:uid="{56D71F21-48A0-4BED-A0CA-DD0CEC794C99}"/>
    <cellStyle name="Input 3 2 2 17" xfId="1593" xr:uid="{931A81A1-C6F4-43AF-B1B7-17416C451AE5}"/>
    <cellStyle name="Input 3 2 2 17 2" xfId="11383" xr:uid="{3152BE2C-6A57-423E-BE40-4CDEDC55873A}"/>
    <cellStyle name="Input 3 2 2 17 2 2" xfId="27094" xr:uid="{0462A62E-E742-48D0-A19F-3E2DF5230FF7}"/>
    <cellStyle name="Input 3 2 2 17 2 3" xfId="27095" xr:uid="{84BCB1D4-EE75-475A-9790-9984D052E8B9}"/>
    <cellStyle name="Input 3 2 2 17 2 4" xfId="27096" xr:uid="{4D97C93E-1E65-44BD-B3EC-5C160A2023E8}"/>
    <cellStyle name="Input 3 2 2 17 2 5" xfId="27097" xr:uid="{18FF161F-19C1-4A47-902F-7DA2D056E404}"/>
    <cellStyle name="Input 3 2 2 17 2 6" xfId="27098" xr:uid="{6F33ECAC-356D-4B9A-A421-A3DC6F9E516C}"/>
    <cellStyle name="Input 3 2 2 17 3" xfId="27099" xr:uid="{8F2F4A81-65C6-45B8-AF56-4FD51413B108}"/>
    <cellStyle name="Input 3 2 2 17 4" xfId="27100" xr:uid="{AEC1371A-9EE2-46E6-9174-A49ACA09BD09}"/>
    <cellStyle name="Input 3 2 2 17 5" xfId="27101" xr:uid="{36E3CC5A-5008-43C4-9105-045FD974FE26}"/>
    <cellStyle name="Input 3 2 2 17 6" xfId="27102" xr:uid="{EC7EEC50-322F-4094-9786-7A501CC64FAB}"/>
    <cellStyle name="Input 3 2 2 17 7" xfId="27103" xr:uid="{F908B243-C9C5-4611-A30B-B4A23098D2B5}"/>
    <cellStyle name="Input 3 2 2 18" xfId="1594" xr:uid="{3DC4C06D-A06C-41E2-B648-9B30F3954452}"/>
    <cellStyle name="Input 3 2 2 18 2" xfId="11470" xr:uid="{494FDC30-3D1A-4072-9480-2800826E4E10}"/>
    <cellStyle name="Input 3 2 2 18 2 2" xfId="27104" xr:uid="{45C5CC94-84FD-4036-A6CD-942FA2D79522}"/>
    <cellStyle name="Input 3 2 2 18 2 3" xfId="27105" xr:uid="{FEECDDB7-5521-433D-ADDA-4351EC3B0567}"/>
    <cellStyle name="Input 3 2 2 18 2 4" xfId="27106" xr:uid="{C6399E7A-411C-4BA9-BD36-6A7E604CACB3}"/>
    <cellStyle name="Input 3 2 2 18 2 5" xfId="27107" xr:uid="{41DFB03D-F2AC-4FD4-A897-AC679490DBBA}"/>
    <cellStyle name="Input 3 2 2 18 2 6" xfId="27108" xr:uid="{28B89D57-6F40-44DD-BA44-D5BC05D800A1}"/>
    <cellStyle name="Input 3 2 2 18 3" xfId="27109" xr:uid="{C93B7B1D-5819-4F67-A683-17A90F117743}"/>
    <cellStyle name="Input 3 2 2 18 4" xfId="27110" xr:uid="{F7AEC8DF-BCE9-4871-8FC7-0565042A14A7}"/>
    <cellStyle name="Input 3 2 2 18 5" xfId="27111" xr:uid="{C1AD3F08-57D5-466A-8933-164E67276737}"/>
    <cellStyle name="Input 3 2 2 18 6" xfId="27112" xr:uid="{A1F123F2-0BFE-4F12-8A03-905FCD5F1C3A}"/>
    <cellStyle name="Input 3 2 2 18 7" xfId="27113" xr:uid="{E3D26857-74B8-4056-9188-AB881E7F9220}"/>
    <cellStyle name="Input 3 2 2 19" xfId="1595" xr:uid="{1FD088A7-7341-4BB0-BB08-A2DF57F2904B}"/>
    <cellStyle name="Input 3 2 2 19 2" xfId="11557" xr:uid="{6BA6A553-2A8F-42E0-A5BC-A0116D480D57}"/>
    <cellStyle name="Input 3 2 2 19 2 2" xfId="27114" xr:uid="{071E5EFA-89BA-4AA9-9229-87948CE69540}"/>
    <cellStyle name="Input 3 2 2 19 2 3" xfId="27115" xr:uid="{F70CA957-8EBA-45DB-BDDA-1F27396349E4}"/>
    <cellStyle name="Input 3 2 2 19 2 4" xfId="27116" xr:uid="{54E48C1D-FC70-4500-8A88-91A3D91CA281}"/>
    <cellStyle name="Input 3 2 2 19 2 5" xfId="27117" xr:uid="{1B682899-5C10-4893-BDF4-98B07D92BF9B}"/>
    <cellStyle name="Input 3 2 2 19 2 6" xfId="27118" xr:uid="{DE7C8666-2BDD-4AE9-ACD4-EF76BF4055A4}"/>
    <cellStyle name="Input 3 2 2 19 3" xfId="27119" xr:uid="{ED3CB74E-0911-4DA0-84A6-4DA5C8818552}"/>
    <cellStyle name="Input 3 2 2 19 4" xfId="27120" xr:uid="{E1A17C3F-6E40-4634-9AB4-7AB99C613F3A}"/>
    <cellStyle name="Input 3 2 2 19 5" xfId="27121" xr:uid="{66BF0F71-DEDF-42CE-8F86-93BFF4C4146D}"/>
    <cellStyle name="Input 3 2 2 19 6" xfId="27122" xr:uid="{0F380CCF-B9CB-4AF2-A024-841DCCA2EFBB}"/>
    <cellStyle name="Input 3 2 2 19 7" xfId="27123" xr:uid="{2086C3C6-44CF-4569-A696-9E83FE9D13D5}"/>
    <cellStyle name="Input 3 2 2 2" xfId="1596" xr:uid="{C8AE13AE-0045-4D07-9FE9-5A3EA8410114}"/>
    <cellStyle name="Input 3 2 2 2 2" xfId="10064" xr:uid="{15F36889-68AE-4C82-81C0-A52AE1D3D737}"/>
    <cellStyle name="Input 3 2 2 2 2 2" xfId="27124" xr:uid="{80DBC1A6-0A3F-4A76-BBBE-79FA3F07FE5F}"/>
    <cellStyle name="Input 3 2 2 2 2 3" xfId="27125" xr:uid="{4CD5B3AF-FFD6-43A1-9A08-42F77CA913C9}"/>
    <cellStyle name="Input 3 2 2 2 2 4" xfId="27126" xr:uid="{23456D1E-ECFA-4C0D-B6F8-89F5A07441CA}"/>
    <cellStyle name="Input 3 2 2 2 2 5" xfId="27127" xr:uid="{9CA7D2F5-E6FC-45C4-996D-0FC42BF320B1}"/>
    <cellStyle name="Input 3 2 2 2 2 6" xfId="27128" xr:uid="{3A3A4E4F-077C-4D99-B795-F82DBD758D32}"/>
    <cellStyle name="Input 3 2 2 2 3" xfId="27129" xr:uid="{1B654826-8195-43E3-92C9-359574D18B41}"/>
    <cellStyle name="Input 3 2 2 2 4" xfId="27130" xr:uid="{64C26FE6-E7E6-4355-B62F-CDA2B408FF6D}"/>
    <cellStyle name="Input 3 2 2 2 5" xfId="27131" xr:uid="{F4BEF139-DC42-4852-9621-F8FE54EFC793}"/>
    <cellStyle name="Input 3 2 2 2 6" xfId="27132" xr:uid="{658E6E8E-5173-471A-AF64-0A5F0FA825FD}"/>
    <cellStyle name="Input 3 2 2 2 7" xfId="27133" xr:uid="{9D4F272E-AF2C-4210-8198-3880A40FA21F}"/>
    <cellStyle name="Input 3 2 2 20" xfId="1597" xr:uid="{954FC911-3E03-4C45-BF39-786DCDF88D14}"/>
    <cellStyle name="Input 3 2 2 20 2" xfId="11645" xr:uid="{A6C0B6AA-2A83-4CEF-96DB-7FC1C02CEA3C}"/>
    <cellStyle name="Input 3 2 2 20 2 2" xfId="27134" xr:uid="{B3C5C4E4-E3A0-49FC-9F65-C9025E347CF3}"/>
    <cellStyle name="Input 3 2 2 20 2 3" xfId="27135" xr:uid="{795ED798-0DF1-4148-8F34-B8A335B6841F}"/>
    <cellStyle name="Input 3 2 2 20 2 4" xfId="27136" xr:uid="{D4B08B85-F948-4FFB-8E88-E9A8B39C9C91}"/>
    <cellStyle name="Input 3 2 2 20 2 5" xfId="27137" xr:uid="{21505529-3A86-4530-A5C6-8B33AB11D1C7}"/>
    <cellStyle name="Input 3 2 2 20 2 6" xfId="27138" xr:uid="{944288A3-0CE1-4E6E-A62C-86F67A3BA8F3}"/>
    <cellStyle name="Input 3 2 2 20 3" xfId="27139" xr:uid="{3762181C-0109-4726-82C3-FD9DF6F92631}"/>
    <cellStyle name="Input 3 2 2 20 4" xfId="27140" xr:uid="{69234B2D-003A-48FC-8A42-5B45B9B2BA60}"/>
    <cellStyle name="Input 3 2 2 20 5" xfId="27141" xr:uid="{720A0D28-3D86-4B81-9996-E697CA82C9A2}"/>
    <cellStyle name="Input 3 2 2 20 6" xfId="27142" xr:uid="{F5F8E9FC-3479-4AD8-A9E4-A17EE3996F4A}"/>
    <cellStyle name="Input 3 2 2 20 7" xfId="27143" xr:uid="{B94D4847-EA40-4430-84CA-745CCDE8630F}"/>
    <cellStyle name="Input 3 2 2 21" xfId="1598" xr:uid="{A89E764E-B049-4E20-B6B4-0E0E08EEFC2C}"/>
    <cellStyle name="Input 3 2 2 21 2" xfId="11729" xr:uid="{3CE6B611-1B86-43D0-B3FA-123603F252BA}"/>
    <cellStyle name="Input 3 2 2 21 2 2" xfId="27144" xr:uid="{B42039D9-B52B-4990-9304-065F40F3FB7F}"/>
    <cellStyle name="Input 3 2 2 21 2 3" xfId="27145" xr:uid="{25B0C376-263D-403D-BDC3-94B2767EA601}"/>
    <cellStyle name="Input 3 2 2 21 2 4" xfId="27146" xr:uid="{053ABB42-8388-432E-AF5E-5AD7E8282522}"/>
    <cellStyle name="Input 3 2 2 21 2 5" xfId="27147" xr:uid="{3338B80F-DB4F-46A5-8A86-8C5ACA0E3E8F}"/>
    <cellStyle name="Input 3 2 2 21 2 6" xfId="27148" xr:uid="{957F7C1C-E450-4C57-9022-FF1E97EDCFC7}"/>
    <cellStyle name="Input 3 2 2 21 3" xfId="27149" xr:uid="{4BADE4B3-AC90-4FF6-BA9F-A83447D56F56}"/>
    <cellStyle name="Input 3 2 2 21 4" xfId="27150" xr:uid="{FB9E5707-EC2F-49B8-903A-15FB37CFE9F6}"/>
    <cellStyle name="Input 3 2 2 21 5" xfId="27151" xr:uid="{3AB0AE03-9829-44BE-AA27-538C27568636}"/>
    <cellStyle name="Input 3 2 2 21 6" xfId="27152" xr:uid="{F533A60D-83D3-4307-B311-9E7D528A777B}"/>
    <cellStyle name="Input 3 2 2 21 7" xfId="27153" xr:uid="{A4072D20-F6E8-4F06-8A75-74E0D8745422}"/>
    <cellStyle name="Input 3 2 2 22" xfId="1599" xr:uid="{98C1FEB6-1943-4E4A-92F5-7EE5CDF6529B}"/>
    <cellStyle name="Input 3 2 2 22 2" xfId="11812" xr:uid="{7ED518A8-028E-400F-95C0-B2654E8ABE1A}"/>
    <cellStyle name="Input 3 2 2 22 2 2" xfId="27154" xr:uid="{F7490351-5BAC-4845-A304-CABA08C7DD2C}"/>
    <cellStyle name="Input 3 2 2 22 2 3" xfId="27155" xr:uid="{3BBF341C-13E1-4C1F-98D1-0EF4D9D227FE}"/>
    <cellStyle name="Input 3 2 2 22 2 4" xfId="27156" xr:uid="{37C4956D-81CC-4099-914B-5F06E894675F}"/>
    <cellStyle name="Input 3 2 2 22 2 5" xfId="27157" xr:uid="{FFB02AAC-BEF4-4ADF-B085-14E4D5548E59}"/>
    <cellStyle name="Input 3 2 2 22 2 6" xfId="27158" xr:uid="{9357EAC4-977F-4308-A370-1B83061F33D9}"/>
    <cellStyle name="Input 3 2 2 22 3" xfId="27159" xr:uid="{263F13F0-B89A-4A83-A10F-7786050E6165}"/>
    <cellStyle name="Input 3 2 2 22 4" xfId="27160" xr:uid="{7C990BF8-A2DC-4E63-B29B-8D1CA0CDCA98}"/>
    <cellStyle name="Input 3 2 2 22 5" xfId="27161" xr:uid="{F2FE27A9-745D-4CDC-8B00-7EC3D7A64131}"/>
    <cellStyle name="Input 3 2 2 22 6" xfId="27162" xr:uid="{EADA1ABE-3195-4CE8-93DA-7B9F6C31FB6E}"/>
    <cellStyle name="Input 3 2 2 22 7" xfId="27163" xr:uid="{2748A846-C04E-46D5-B932-A986A31BC5EC}"/>
    <cellStyle name="Input 3 2 2 23" xfId="1600" xr:uid="{2818A362-5199-4E95-AE8A-3C14A99313D5}"/>
    <cellStyle name="Input 3 2 2 23 2" xfId="11895" xr:uid="{043F0638-DB4B-48F3-B522-925059EA1851}"/>
    <cellStyle name="Input 3 2 2 23 2 2" xfId="27164" xr:uid="{8F361988-9BBB-4E58-BE41-943E990D3CAC}"/>
    <cellStyle name="Input 3 2 2 23 2 3" xfId="27165" xr:uid="{437EF7A1-89CF-4D66-8236-E52253A6BCAE}"/>
    <cellStyle name="Input 3 2 2 23 2 4" xfId="27166" xr:uid="{18178617-648F-4372-A3D3-C0D83008B137}"/>
    <cellStyle name="Input 3 2 2 23 2 5" xfId="27167" xr:uid="{59ADF7D6-C0A4-4120-9C80-E2B5436FCF6D}"/>
    <cellStyle name="Input 3 2 2 23 2 6" xfId="27168" xr:uid="{BACA4E78-7765-4025-B48D-4F337869DF86}"/>
    <cellStyle name="Input 3 2 2 23 3" xfId="27169" xr:uid="{FE33526F-A6C3-4A85-B988-AA1B0EBAE14F}"/>
    <cellStyle name="Input 3 2 2 23 4" xfId="27170" xr:uid="{500A5F18-EA9A-4924-AB30-DA4D93F05713}"/>
    <cellStyle name="Input 3 2 2 23 5" xfId="27171" xr:uid="{DE5DF2B1-CB34-4362-90B7-34BCBC94772B}"/>
    <cellStyle name="Input 3 2 2 23 6" xfId="27172" xr:uid="{CAEEC6A4-AE5D-4C60-A239-214D07FB8574}"/>
    <cellStyle name="Input 3 2 2 23 7" xfId="27173" xr:uid="{D51F1121-FC89-48E1-8081-A850930708A0}"/>
    <cellStyle name="Input 3 2 2 24" xfId="1601" xr:uid="{0F13C6B2-78F7-40D4-979A-C578E6606433}"/>
    <cellStyle name="Input 3 2 2 24 2" xfId="11979" xr:uid="{98439A0B-CE34-4F97-8383-11C270CB71FB}"/>
    <cellStyle name="Input 3 2 2 24 2 2" xfId="27174" xr:uid="{1B07C079-B5AF-45D2-AF9D-1C20918FAF11}"/>
    <cellStyle name="Input 3 2 2 24 2 3" xfId="27175" xr:uid="{8F9DF416-88FA-45A5-BA80-59B7716F5134}"/>
    <cellStyle name="Input 3 2 2 24 2 4" xfId="27176" xr:uid="{7118E5BC-BE90-4545-85F5-AB3721A380F9}"/>
    <cellStyle name="Input 3 2 2 24 2 5" xfId="27177" xr:uid="{B352363E-BC46-4A5B-ABB8-7997711ED0C2}"/>
    <cellStyle name="Input 3 2 2 24 2 6" xfId="27178" xr:uid="{970081C8-8842-4D08-9904-86BF304BB5E3}"/>
    <cellStyle name="Input 3 2 2 24 3" xfId="27179" xr:uid="{0182F1ED-DC04-4830-BE41-25CC4833F868}"/>
    <cellStyle name="Input 3 2 2 24 4" xfId="27180" xr:uid="{84D31D54-0FDF-468D-B1FE-84257A3CF4B5}"/>
    <cellStyle name="Input 3 2 2 24 5" xfId="27181" xr:uid="{865E8617-D889-4095-8162-2BC4B5689611}"/>
    <cellStyle name="Input 3 2 2 24 6" xfId="27182" xr:uid="{ACECF478-3A66-4277-BC2E-04DD82B7037B}"/>
    <cellStyle name="Input 3 2 2 24 7" xfId="27183" xr:uid="{6BF43DBA-61E2-448D-9C4A-19C0255EC4F2}"/>
    <cellStyle name="Input 3 2 2 25" xfId="1602" xr:uid="{FEF14DCD-5640-4C1B-AA5D-AFA04108021B}"/>
    <cellStyle name="Input 3 2 2 25 2" xfId="12062" xr:uid="{8BBD0371-4286-4431-89EB-965F65867F61}"/>
    <cellStyle name="Input 3 2 2 25 2 2" xfId="27184" xr:uid="{D4C02CDD-D497-4035-96EC-115E3C1D61F0}"/>
    <cellStyle name="Input 3 2 2 25 2 3" xfId="27185" xr:uid="{08E854A8-E331-455E-86E7-EE44511EE6E0}"/>
    <cellStyle name="Input 3 2 2 25 2 4" xfId="27186" xr:uid="{B0394493-D5FF-45F9-9E9F-07822DF29C2B}"/>
    <cellStyle name="Input 3 2 2 25 2 5" xfId="27187" xr:uid="{230EDC83-765B-4528-B7FB-1DAD7BE166AB}"/>
    <cellStyle name="Input 3 2 2 25 2 6" xfId="27188" xr:uid="{6FFD1BFD-83FE-4EF8-81B8-FD1DF3BA08D3}"/>
    <cellStyle name="Input 3 2 2 25 3" xfId="27189" xr:uid="{66CA900E-0FD6-4A40-9E0B-B1A7FA5662D8}"/>
    <cellStyle name="Input 3 2 2 25 4" xfId="27190" xr:uid="{756236BE-9A8B-47AE-AB7A-97A496D1B3A9}"/>
    <cellStyle name="Input 3 2 2 25 5" xfId="27191" xr:uid="{2ACE48E4-C548-4C5A-94E4-835AECF9E60B}"/>
    <cellStyle name="Input 3 2 2 25 6" xfId="27192" xr:uid="{F91C5233-9070-4462-AA50-D2AA54934D4C}"/>
    <cellStyle name="Input 3 2 2 25 7" xfId="27193" xr:uid="{79CA4EFF-0579-4F60-AE79-BC8A491ED742}"/>
    <cellStyle name="Input 3 2 2 26" xfId="1603" xr:uid="{D6270E67-F092-490A-9EE3-B7AD4FA891CE}"/>
    <cellStyle name="Input 3 2 2 26 2" xfId="12145" xr:uid="{97234AA9-0B77-4041-90CC-C1448757871B}"/>
    <cellStyle name="Input 3 2 2 26 2 2" xfId="27194" xr:uid="{35C043FA-8498-47FF-99D7-A24D27598E62}"/>
    <cellStyle name="Input 3 2 2 26 2 3" xfId="27195" xr:uid="{37FA593F-3A9D-4FED-BD75-F7A8D1624D25}"/>
    <cellStyle name="Input 3 2 2 26 2 4" xfId="27196" xr:uid="{F6354509-47FF-4AF0-8298-AF993F1815B2}"/>
    <cellStyle name="Input 3 2 2 26 2 5" xfId="27197" xr:uid="{6AFCEB00-4637-4558-9CB2-09015AF573FE}"/>
    <cellStyle name="Input 3 2 2 26 2 6" xfId="27198" xr:uid="{B3F16EE7-170D-49B6-A898-F3211BD1B66F}"/>
    <cellStyle name="Input 3 2 2 26 3" xfId="27199" xr:uid="{AED5A351-ED25-4E56-8433-79DDE0FF256C}"/>
    <cellStyle name="Input 3 2 2 26 4" xfId="27200" xr:uid="{A3385907-CC2B-4C5F-834C-34BEBB6BAC4F}"/>
    <cellStyle name="Input 3 2 2 26 5" xfId="27201" xr:uid="{ABE0C19D-7866-434A-BBD9-10019D2F83F1}"/>
    <cellStyle name="Input 3 2 2 26 6" xfId="27202" xr:uid="{BBBC4A45-AA7A-4492-9721-89DD8AC62166}"/>
    <cellStyle name="Input 3 2 2 26 7" xfId="27203" xr:uid="{21B2289C-7C28-41C9-A850-398B89D35D0B}"/>
    <cellStyle name="Input 3 2 2 27" xfId="1604" xr:uid="{ADE94B61-9223-4310-85AF-5173A69560FE}"/>
    <cellStyle name="Input 3 2 2 27 2" xfId="12227" xr:uid="{A8205C93-164D-4F98-B854-13A9EFD6B18D}"/>
    <cellStyle name="Input 3 2 2 27 2 2" xfId="27204" xr:uid="{760BDEF7-6BA3-4F4E-90E1-A7A6BD597841}"/>
    <cellStyle name="Input 3 2 2 27 2 3" xfId="27205" xr:uid="{E29517BE-E248-408F-9421-D459E43794D7}"/>
    <cellStyle name="Input 3 2 2 27 2 4" xfId="27206" xr:uid="{76331129-688C-4B19-A20D-10FE31872213}"/>
    <cellStyle name="Input 3 2 2 27 2 5" xfId="27207" xr:uid="{F5A4BFBC-B37D-4D14-B2D8-3EABDDF812F5}"/>
    <cellStyle name="Input 3 2 2 27 2 6" xfId="27208" xr:uid="{10B622F1-CB06-4111-AC0B-9517CF2F9CB9}"/>
    <cellStyle name="Input 3 2 2 27 3" xfId="27209" xr:uid="{8699FD67-FB18-4B19-BEC9-7B4AC947005D}"/>
    <cellStyle name="Input 3 2 2 27 4" xfId="27210" xr:uid="{680F307A-4DBD-438C-B932-3D22854BCA32}"/>
    <cellStyle name="Input 3 2 2 27 5" xfId="27211" xr:uid="{B92DD3E4-E60D-44A8-A7BB-61F68DE8CE9F}"/>
    <cellStyle name="Input 3 2 2 27 6" xfId="27212" xr:uid="{51C8D2DB-D2DC-4872-ABD5-76EE4369DF6E}"/>
    <cellStyle name="Input 3 2 2 27 7" xfId="27213" xr:uid="{441DB590-46AE-4D65-89FE-EC04DD589EA7}"/>
    <cellStyle name="Input 3 2 2 28" xfId="1605" xr:uid="{02E6EAD3-49BE-4480-88E2-517E2A2D8228}"/>
    <cellStyle name="Input 3 2 2 28 2" xfId="12307" xr:uid="{7853EDE0-EF40-470E-B032-C1A8C70706C5}"/>
    <cellStyle name="Input 3 2 2 28 2 2" xfId="27214" xr:uid="{4489842B-3259-49ED-8E37-95ABC0FF8D09}"/>
    <cellStyle name="Input 3 2 2 28 2 3" xfId="27215" xr:uid="{8C227E4A-E025-451B-A62F-5541478A82BE}"/>
    <cellStyle name="Input 3 2 2 28 2 4" xfId="27216" xr:uid="{92C67530-6C7B-466E-9852-1A89AAA0C2D5}"/>
    <cellStyle name="Input 3 2 2 28 2 5" xfId="27217" xr:uid="{8DE89DD1-026C-4EAD-A818-E210CEFC317D}"/>
    <cellStyle name="Input 3 2 2 28 2 6" xfId="27218" xr:uid="{0822AF37-9092-4EA7-8A52-241BD7B52C31}"/>
    <cellStyle name="Input 3 2 2 28 3" xfId="27219" xr:uid="{FEB7756E-D1DA-437B-9403-170A689BA2F8}"/>
    <cellStyle name="Input 3 2 2 28 4" xfId="27220" xr:uid="{D7F8BB92-A6BF-4FB3-B660-250BB842E916}"/>
    <cellStyle name="Input 3 2 2 28 5" xfId="27221" xr:uid="{AEE0845F-808A-4BC0-9FBC-34C94CFC2569}"/>
    <cellStyle name="Input 3 2 2 28 6" xfId="27222" xr:uid="{E24E0FB2-FB25-43EA-8321-11ABEC692A7C}"/>
    <cellStyle name="Input 3 2 2 28 7" xfId="27223" xr:uid="{D34B30F0-7103-4915-94C0-F2A762EF35D3}"/>
    <cellStyle name="Input 3 2 2 29" xfId="1606" xr:uid="{23C0F51E-9ACF-4F3F-95A6-8191AA51E64F}"/>
    <cellStyle name="Input 3 2 2 29 2" xfId="12385" xr:uid="{8D5CAFA0-1BCE-4705-8BDF-2CD4667F8D07}"/>
    <cellStyle name="Input 3 2 2 29 2 2" xfId="27224" xr:uid="{259547FC-16FA-4B6C-A507-82B1B7B72114}"/>
    <cellStyle name="Input 3 2 2 29 2 3" xfId="27225" xr:uid="{005E601B-6D5B-4D9A-B39C-A839022979E8}"/>
    <cellStyle name="Input 3 2 2 29 2 4" xfId="27226" xr:uid="{5030A526-3DBD-4B02-88C8-BDFDDC62505E}"/>
    <cellStyle name="Input 3 2 2 29 2 5" xfId="27227" xr:uid="{FCE06964-F481-420C-8971-512AFD77FF89}"/>
    <cellStyle name="Input 3 2 2 29 2 6" xfId="27228" xr:uid="{30B9A495-08E4-4888-9A16-4C2AC48133F1}"/>
    <cellStyle name="Input 3 2 2 29 3" xfId="27229" xr:uid="{F1FEB9BC-1CA3-4EFC-A568-C04A030E9AB0}"/>
    <cellStyle name="Input 3 2 2 29 4" xfId="27230" xr:uid="{7918F7B0-EFDB-40DE-B13C-DEB84D08AE4A}"/>
    <cellStyle name="Input 3 2 2 29 5" xfId="27231" xr:uid="{A2C42081-F600-4F63-8F4C-C9DCF1D24F7D}"/>
    <cellStyle name="Input 3 2 2 29 6" xfId="27232" xr:uid="{6FE14894-06D3-46D7-82B9-65FA5CFAC956}"/>
    <cellStyle name="Input 3 2 2 29 7" xfId="27233" xr:uid="{68298BB2-3E76-4DA8-BD5A-E6CFA4AA224E}"/>
    <cellStyle name="Input 3 2 2 3" xfId="1607" xr:uid="{D2F4291C-775F-4811-97A2-AA7679B28FEC}"/>
    <cellStyle name="Input 3 2 2 3 2" xfId="10155" xr:uid="{EFE56253-C108-4AEA-804D-D5D748C1E42E}"/>
    <cellStyle name="Input 3 2 2 3 2 2" xfId="27234" xr:uid="{6F9F7EC9-4082-4E91-8A40-E9F80FE8B36D}"/>
    <cellStyle name="Input 3 2 2 3 2 3" xfId="27235" xr:uid="{987411E2-EA1F-4049-922D-5BAD0D742FCE}"/>
    <cellStyle name="Input 3 2 2 3 2 4" xfId="27236" xr:uid="{70E4E469-7752-4D7D-A2D6-3B11C9B5A294}"/>
    <cellStyle name="Input 3 2 2 3 2 5" xfId="27237" xr:uid="{D4C81B86-F29F-4577-85A0-D0B35286B559}"/>
    <cellStyle name="Input 3 2 2 3 2 6" xfId="27238" xr:uid="{41701D86-0CAA-495B-B273-4B9C8108514F}"/>
    <cellStyle name="Input 3 2 2 3 3" xfId="27239" xr:uid="{D3FE274A-A422-4303-B25A-D0112F3750BF}"/>
    <cellStyle name="Input 3 2 2 3 4" xfId="27240" xr:uid="{5E277939-44E9-42A9-9BAB-B4EC45FB803D}"/>
    <cellStyle name="Input 3 2 2 3 5" xfId="27241" xr:uid="{24504084-762D-42E6-BC9D-4D2A020E35C5}"/>
    <cellStyle name="Input 3 2 2 3 6" xfId="27242" xr:uid="{EEC35A2D-0637-4D8C-BC98-82A74F1424E5}"/>
    <cellStyle name="Input 3 2 2 3 7" xfId="27243" xr:uid="{74679A15-6C30-4D64-8AAA-C7760F978A6A}"/>
    <cellStyle name="Input 3 2 2 30" xfId="1608" xr:uid="{1C84A4F9-CA76-4AB5-817C-D84BAC630C7A}"/>
    <cellStyle name="Input 3 2 2 30 2" xfId="12464" xr:uid="{3F4C22EE-939A-4C60-AD74-D87EC6EEFDF1}"/>
    <cellStyle name="Input 3 2 2 30 2 2" xfId="27244" xr:uid="{6CCA32EE-26A4-47EB-9EBE-C0F79713BA76}"/>
    <cellStyle name="Input 3 2 2 30 2 3" xfId="27245" xr:uid="{5368CC1E-3433-470B-9F4E-5CFDCCB72FF5}"/>
    <cellStyle name="Input 3 2 2 30 2 4" xfId="27246" xr:uid="{8D753598-09EF-4CF0-88E3-7BD5FFF80642}"/>
    <cellStyle name="Input 3 2 2 30 2 5" xfId="27247" xr:uid="{8D4C11B8-68CA-4A51-9639-F020903B80B4}"/>
    <cellStyle name="Input 3 2 2 30 2 6" xfId="27248" xr:uid="{BB1EA9DE-E1C3-427D-B61B-B428C100F424}"/>
    <cellStyle name="Input 3 2 2 30 3" xfId="27249" xr:uid="{7033AA43-C631-4CD6-BC21-56BD993D5EFE}"/>
    <cellStyle name="Input 3 2 2 30 4" xfId="27250" xr:uid="{A031B061-5C1D-424F-8C21-0984361A87A3}"/>
    <cellStyle name="Input 3 2 2 30 5" xfId="27251" xr:uid="{C3648654-70C3-4740-BF2D-2DC1C43AE205}"/>
    <cellStyle name="Input 3 2 2 30 6" xfId="27252" xr:uid="{FDB5F08F-065C-4376-9A2C-F349849DF491}"/>
    <cellStyle name="Input 3 2 2 30 7" xfId="27253" xr:uid="{AF36AB5F-B585-46A2-8569-32E3D735EFBB}"/>
    <cellStyle name="Input 3 2 2 31" xfId="1609" xr:uid="{F836266F-B827-474E-BF31-FB0686E803E2}"/>
    <cellStyle name="Input 3 2 2 31 2" xfId="12543" xr:uid="{C6649C78-CBDE-4635-BEF1-60FA0F177CF3}"/>
    <cellStyle name="Input 3 2 2 31 2 2" xfId="27254" xr:uid="{6AF8DD96-AE36-4CE6-BE88-5DD6E5C7F32A}"/>
    <cellStyle name="Input 3 2 2 31 2 3" xfId="27255" xr:uid="{5D9EBE7D-A0FF-4714-B57C-2B4E02A53F07}"/>
    <cellStyle name="Input 3 2 2 31 2 4" xfId="27256" xr:uid="{AE3AA16C-D5FD-4E8E-8C74-1D4A241F3035}"/>
    <cellStyle name="Input 3 2 2 31 2 5" xfId="27257" xr:uid="{D62EC294-4DCD-44AE-811D-0098601F31E6}"/>
    <cellStyle name="Input 3 2 2 31 2 6" xfId="27258" xr:uid="{58850106-CFB7-4BED-96D6-374D95054C42}"/>
    <cellStyle name="Input 3 2 2 31 3" xfId="27259" xr:uid="{81038937-0442-418A-ABFE-8F2D3AAB5CB4}"/>
    <cellStyle name="Input 3 2 2 31 4" xfId="27260" xr:uid="{35D7FCC1-DD05-42D2-A93E-8DB82B9499FC}"/>
    <cellStyle name="Input 3 2 2 31 5" xfId="27261" xr:uid="{04375271-17C0-40A9-B7AC-FA4DA22033B5}"/>
    <cellStyle name="Input 3 2 2 31 6" xfId="27262" xr:uid="{A084D26F-B585-4B8D-84C0-6D109513E381}"/>
    <cellStyle name="Input 3 2 2 31 7" xfId="27263" xr:uid="{15E308F8-136B-4D79-9E2F-3F3BCD70DD21}"/>
    <cellStyle name="Input 3 2 2 32" xfId="1610" xr:uid="{436B278F-3CAA-4C00-8DAF-C67C3FF49621}"/>
    <cellStyle name="Input 3 2 2 32 2" xfId="12622" xr:uid="{044C12D3-3CBC-4C27-9213-B07E99623952}"/>
    <cellStyle name="Input 3 2 2 32 2 2" xfId="27264" xr:uid="{EED2AE0E-9D36-4F88-80D8-77D2BF50BBF5}"/>
    <cellStyle name="Input 3 2 2 32 2 3" xfId="27265" xr:uid="{B45BCDB1-5B0B-43F1-B67E-851C7B2B47FE}"/>
    <cellStyle name="Input 3 2 2 32 2 4" xfId="27266" xr:uid="{54C1D6E8-DBFB-441E-9193-C342C9D2115B}"/>
    <cellStyle name="Input 3 2 2 32 2 5" xfId="27267" xr:uid="{BA2F6F7F-DC53-4719-B38A-145CA59056DC}"/>
    <cellStyle name="Input 3 2 2 32 2 6" xfId="27268" xr:uid="{035CD684-0DE3-4CF3-97E1-49F22098D4D1}"/>
    <cellStyle name="Input 3 2 2 32 3" xfId="27269" xr:uid="{26C86E4D-063D-41F1-9411-135E19B682A4}"/>
    <cellStyle name="Input 3 2 2 32 4" xfId="27270" xr:uid="{A2D641DB-3BD0-4713-AC39-CC532A46F31C}"/>
    <cellStyle name="Input 3 2 2 32 5" xfId="27271" xr:uid="{03D96192-9ADE-42C1-A655-81E3874AF3AD}"/>
    <cellStyle name="Input 3 2 2 32 6" xfId="27272" xr:uid="{88C38BF6-8FED-4E7E-B24A-555F63EC31C1}"/>
    <cellStyle name="Input 3 2 2 32 7" xfId="27273" xr:uid="{6D47515F-F796-4AA8-AEC9-F9A9ED977F95}"/>
    <cellStyle name="Input 3 2 2 33" xfId="1611" xr:uid="{B3DC2C1A-1762-44FF-A523-CA316919F4C4}"/>
    <cellStyle name="Input 3 2 2 33 2" xfId="12701" xr:uid="{267DB7A0-A8AC-44E1-98F9-2F1C56D7B4F6}"/>
    <cellStyle name="Input 3 2 2 33 2 2" xfId="27274" xr:uid="{343A728A-BD72-43FB-A08B-4D8ACF7FC951}"/>
    <cellStyle name="Input 3 2 2 33 2 3" xfId="27275" xr:uid="{2282E44C-636D-4B18-9CEB-08B1E39DFA5D}"/>
    <cellStyle name="Input 3 2 2 33 2 4" xfId="27276" xr:uid="{1763E50E-CBA1-4AD6-9309-DB47894B3DDE}"/>
    <cellStyle name="Input 3 2 2 33 2 5" xfId="27277" xr:uid="{1394A8D1-64CA-466A-96E6-1AF9262334FC}"/>
    <cellStyle name="Input 3 2 2 33 2 6" xfId="27278" xr:uid="{E41A30E0-C93C-427D-BA42-A831D59A2992}"/>
    <cellStyle name="Input 3 2 2 33 3" xfId="27279" xr:uid="{56E97072-C75B-4113-BE30-3CEEDDFF8088}"/>
    <cellStyle name="Input 3 2 2 33 4" xfId="27280" xr:uid="{77C678F8-FF86-4F72-9C48-E15002B5F1E0}"/>
    <cellStyle name="Input 3 2 2 33 5" xfId="27281" xr:uid="{8B4AAB74-B37B-43CA-B045-5C31B2B8429E}"/>
    <cellStyle name="Input 3 2 2 33 6" xfId="27282" xr:uid="{05DEF747-123C-4AA0-8392-6BB75F78683D}"/>
    <cellStyle name="Input 3 2 2 33 7" xfId="27283" xr:uid="{A8EC873E-5DBA-41CB-962E-03DAFBD40811}"/>
    <cellStyle name="Input 3 2 2 34" xfId="1612" xr:uid="{71364DD5-6C0F-49EF-B817-8D2E87D54925}"/>
    <cellStyle name="Input 3 2 2 34 2" xfId="12785" xr:uid="{8F804FD1-108A-4EBA-B2DE-D6C91A10642A}"/>
    <cellStyle name="Input 3 2 2 34 2 2" xfId="27284" xr:uid="{F273BE60-10FD-4AB5-90E9-E7321DE5F7FC}"/>
    <cellStyle name="Input 3 2 2 34 2 3" xfId="27285" xr:uid="{1BDCEA70-4F87-4309-AB21-3F52510EAA05}"/>
    <cellStyle name="Input 3 2 2 34 2 4" xfId="27286" xr:uid="{FAC03574-FC39-4E59-9B29-CBE7C24076C4}"/>
    <cellStyle name="Input 3 2 2 34 2 5" xfId="27287" xr:uid="{C058B42B-0165-414E-B9B4-0D1163A30BF2}"/>
    <cellStyle name="Input 3 2 2 34 2 6" xfId="27288" xr:uid="{F14C49B6-3463-4C81-B76D-07D29C83C0D4}"/>
    <cellStyle name="Input 3 2 2 34 3" xfId="27289" xr:uid="{01619E8B-491B-421B-ACD4-E3494E7E6CF7}"/>
    <cellStyle name="Input 3 2 2 34 4" xfId="27290" xr:uid="{93AEC089-27E1-497A-8464-EC8BA522EF13}"/>
    <cellStyle name="Input 3 2 2 34 5" xfId="27291" xr:uid="{E0E71CDF-245B-4B45-952C-A2A9E42C8F38}"/>
    <cellStyle name="Input 3 2 2 34 6" xfId="27292" xr:uid="{10644BCC-F3F5-4E52-8DD5-46EC5D28CF4F}"/>
    <cellStyle name="Input 3 2 2 34 7" xfId="27293" xr:uid="{3266A53B-2158-412B-B338-858A95ABF4C0}"/>
    <cellStyle name="Input 3 2 2 35" xfId="9851" xr:uid="{71855454-79A1-4643-ADA7-757D747A9BA0}"/>
    <cellStyle name="Input 3 2 2 35 2" xfId="27294" xr:uid="{981F7031-41F7-4F44-9F37-9DE33E0A0111}"/>
    <cellStyle name="Input 3 2 2 35 3" xfId="27295" xr:uid="{D1A914EA-A3FF-459D-93F2-0DA21D6546B6}"/>
    <cellStyle name="Input 3 2 2 35 4" xfId="27296" xr:uid="{78C9A13D-303F-4263-A871-BCEC9A7213FF}"/>
    <cellStyle name="Input 3 2 2 35 5" xfId="27297" xr:uid="{359C063B-DB91-4C34-BFCD-E7C3EEA91FCB}"/>
    <cellStyle name="Input 3 2 2 35 6" xfId="27298" xr:uid="{78DEE6EC-320C-4BC2-88CC-1613029ABB71}"/>
    <cellStyle name="Input 3 2 2 36" xfId="27299" xr:uid="{01DFED6D-8446-4A7F-985F-BD21802CE301}"/>
    <cellStyle name="Input 3 2 2 37" xfId="27300" xr:uid="{0664ACB2-ED55-4EB7-B619-E0D260CF5577}"/>
    <cellStyle name="Input 3 2 2 38" xfId="27301" xr:uid="{8B544F48-F9B6-477B-BBF3-65E6AF64C2C4}"/>
    <cellStyle name="Input 3 2 2 39" xfId="27302" xr:uid="{3DB68176-83A0-42B5-8EE6-300CC92EC392}"/>
    <cellStyle name="Input 3 2 2 4" xfId="1613" xr:uid="{D766286B-0781-40CB-BA24-8A91E51BF196}"/>
    <cellStyle name="Input 3 2 2 4 2" xfId="10245" xr:uid="{8DDDADFB-4F40-408D-9EAC-EF59EED93379}"/>
    <cellStyle name="Input 3 2 2 4 2 2" xfId="27303" xr:uid="{B86ED7D1-EDF0-4081-BA4A-E454D811756D}"/>
    <cellStyle name="Input 3 2 2 4 2 3" xfId="27304" xr:uid="{D84A0A7A-1D90-47BD-AA88-B3A92944F071}"/>
    <cellStyle name="Input 3 2 2 4 2 4" xfId="27305" xr:uid="{B25D76D4-D951-4EC9-B948-A9A82D44698D}"/>
    <cellStyle name="Input 3 2 2 4 2 5" xfId="27306" xr:uid="{516D9120-DDAA-49BA-A78C-95CE24C943BB}"/>
    <cellStyle name="Input 3 2 2 4 2 6" xfId="27307" xr:uid="{563EF57B-830D-4473-99CC-BF14EE14755B}"/>
    <cellStyle name="Input 3 2 2 4 3" xfId="27308" xr:uid="{B05ABFAF-E6D6-4706-AF98-FB2C86836665}"/>
    <cellStyle name="Input 3 2 2 4 4" xfId="27309" xr:uid="{3BD4BCEC-4344-4E21-9DCA-316DE54FBB09}"/>
    <cellStyle name="Input 3 2 2 4 5" xfId="27310" xr:uid="{A68132FB-ED0E-4C7E-BCC4-323414F760E2}"/>
    <cellStyle name="Input 3 2 2 4 6" xfId="27311" xr:uid="{C5FD0605-390C-4433-8AFC-CD50B40CFF8B}"/>
    <cellStyle name="Input 3 2 2 4 7" xfId="27312" xr:uid="{138F984F-5124-489A-862B-1CBEA79CA588}"/>
    <cellStyle name="Input 3 2 2 40" xfId="27313" xr:uid="{53CCF6DC-A40D-4EE2-8E98-FFECF15818DA}"/>
    <cellStyle name="Input 3 2 2 5" xfId="1614" xr:uid="{BE4DAF87-4E93-4039-B118-E28133EE25CF}"/>
    <cellStyle name="Input 3 2 2 5 2" xfId="10331" xr:uid="{C7CCCEA7-F634-4809-902A-6F24CE3537C4}"/>
    <cellStyle name="Input 3 2 2 5 2 2" xfId="27314" xr:uid="{1EB4E750-7082-4FE6-978B-B36466F8AB48}"/>
    <cellStyle name="Input 3 2 2 5 2 3" xfId="27315" xr:uid="{5FCFB989-037D-450F-93AA-2BDD0379A2F1}"/>
    <cellStyle name="Input 3 2 2 5 2 4" xfId="27316" xr:uid="{F1CFAD77-9958-49F1-9DB3-782ABAA20F24}"/>
    <cellStyle name="Input 3 2 2 5 2 5" xfId="27317" xr:uid="{99AB5EE3-7BA6-446A-A9A2-0A9AB1DA0B8B}"/>
    <cellStyle name="Input 3 2 2 5 2 6" xfId="27318" xr:uid="{72143698-F28C-406F-9940-3D22989A7251}"/>
    <cellStyle name="Input 3 2 2 5 3" xfId="27319" xr:uid="{7B48832A-E13A-4AB4-8F97-D88501175E3A}"/>
    <cellStyle name="Input 3 2 2 5 4" xfId="27320" xr:uid="{91A60368-CE91-4CB8-B879-5DAC41A2112F}"/>
    <cellStyle name="Input 3 2 2 5 5" xfId="27321" xr:uid="{0DCAAE25-0EB0-4B69-ABAA-84EB515658AD}"/>
    <cellStyle name="Input 3 2 2 5 6" xfId="27322" xr:uid="{6C7B4EAF-6A14-427A-9EB8-48AF7B3164BF}"/>
    <cellStyle name="Input 3 2 2 5 7" xfId="27323" xr:uid="{77B8DAD4-5E38-43A3-AFDE-93B5883FD799}"/>
    <cellStyle name="Input 3 2 2 6" xfId="1615" xr:uid="{2E4B6DDC-6EBB-4486-A4AE-9437161AC2E0}"/>
    <cellStyle name="Input 3 2 2 6 2" xfId="10419" xr:uid="{3B2C9BB6-FB6C-483E-B85E-65823D13DEF5}"/>
    <cellStyle name="Input 3 2 2 6 2 2" xfId="27324" xr:uid="{535E97FA-74B5-4F5A-8B87-3A986245C932}"/>
    <cellStyle name="Input 3 2 2 6 2 3" xfId="27325" xr:uid="{12776954-750B-4C7C-892B-B093D02F69DA}"/>
    <cellStyle name="Input 3 2 2 6 2 4" xfId="27326" xr:uid="{0A094EC2-F8EF-4BE4-8A16-57A3CEA37C83}"/>
    <cellStyle name="Input 3 2 2 6 2 5" xfId="27327" xr:uid="{2D94427B-D7D1-4F00-82AB-A600D4D304C8}"/>
    <cellStyle name="Input 3 2 2 6 2 6" xfId="27328" xr:uid="{7D1ABFA3-FD53-4BA0-A17B-5A7DFDD519E5}"/>
    <cellStyle name="Input 3 2 2 6 3" xfId="27329" xr:uid="{D479F5AC-6A25-4A6A-967D-2C61D847258A}"/>
    <cellStyle name="Input 3 2 2 6 4" xfId="27330" xr:uid="{C8924960-F368-46F4-8744-841E6715950C}"/>
    <cellStyle name="Input 3 2 2 6 5" xfId="27331" xr:uid="{67C3D109-BA9E-462D-9FD0-E5B7C1773109}"/>
    <cellStyle name="Input 3 2 2 6 6" xfId="27332" xr:uid="{DC29E6F9-5CCB-4463-B4F9-7BE1DF3BB69A}"/>
    <cellStyle name="Input 3 2 2 6 7" xfId="27333" xr:uid="{60B21336-5FCB-41EF-BF6D-3B5D1D3AE0C5}"/>
    <cellStyle name="Input 3 2 2 7" xfId="1616" xr:uid="{D067C360-D920-4A78-8E8F-936DDDC1ECD4}"/>
    <cellStyle name="Input 3 2 2 7 2" xfId="10506" xr:uid="{1734B0C7-75A0-49C4-AAA6-A4361485EE54}"/>
    <cellStyle name="Input 3 2 2 7 2 2" xfId="27334" xr:uid="{D6AEF0F8-E098-4417-A4AB-616B342B8018}"/>
    <cellStyle name="Input 3 2 2 7 2 3" xfId="27335" xr:uid="{3A3274AC-6408-4E94-8570-E57FDAF9FFAB}"/>
    <cellStyle name="Input 3 2 2 7 2 4" xfId="27336" xr:uid="{02CA6D54-B83A-4FA0-A2E2-694F1AD4B4D9}"/>
    <cellStyle name="Input 3 2 2 7 2 5" xfId="27337" xr:uid="{0F9CD821-C580-41FB-A18C-58BA78045722}"/>
    <cellStyle name="Input 3 2 2 7 2 6" xfId="27338" xr:uid="{CC722584-F195-4ACF-94BA-70774481497E}"/>
    <cellStyle name="Input 3 2 2 7 3" xfId="27339" xr:uid="{CE57CCD1-56D3-4E61-BA28-26DA6DC07E19}"/>
    <cellStyle name="Input 3 2 2 7 4" xfId="27340" xr:uid="{72941A49-D5AC-42C6-AC8A-92E40BAC62CB}"/>
    <cellStyle name="Input 3 2 2 7 5" xfId="27341" xr:uid="{595BF507-58DA-4980-8D34-CCEAB568D339}"/>
    <cellStyle name="Input 3 2 2 7 6" xfId="27342" xr:uid="{777C9B29-3B9F-4F59-83BD-E112EB65E6ED}"/>
    <cellStyle name="Input 3 2 2 7 7" xfId="27343" xr:uid="{018D89B5-9419-441A-873A-3C3DDF8BBC34}"/>
    <cellStyle name="Input 3 2 2 8" xfId="1617" xr:uid="{08DFC093-D1EA-4A33-9D54-C72E267D2820}"/>
    <cellStyle name="Input 3 2 2 8 2" xfId="10594" xr:uid="{18B5E2CB-72E5-4D40-B0B0-3179F9CDA3EB}"/>
    <cellStyle name="Input 3 2 2 8 2 2" xfId="27344" xr:uid="{2FEE1469-C5B8-4780-B641-D9394CF303D8}"/>
    <cellStyle name="Input 3 2 2 8 2 3" xfId="27345" xr:uid="{21B90660-D05D-4C30-99DF-521C8AE8631F}"/>
    <cellStyle name="Input 3 2 2 8 2 4" xfId="27346" xr:uid="{10AD0839-D028-459D-81B2-D9A9EF4B8DD9}"/>
    <cellStyle name="Input 3 2 2 8 2 5" xfId="27347" xr:uid="{E70A362C-C6BD-4E0C-A81A-63BB012CEEB8}"/>
    <cellStyle name="Input 3 2 2 8 2 6" xfId="27348" xr:uid="{483CE6C2-BF5C-4798-A471-BE64FB9ECC0D}"/>
    <cellStyle name="Input 3 2 2 8 3" xfId="27349" xr:uid="{CB82184E-3F01-42A9-999D-7937D169278E}"/>
    <cellStyle name="Input 3 2 2 8 4" xfId="27350" xr:uid="{D713934E-63B1-40F5-A829-1BF9FC30A3EE}"/>
    <cellStyle name="Input 3 2 2 8 5" xfId="27351" xr:uid="{602AC2F8-0740-41C1-8C2D-B8D8912F307C}"/>
    <cellStyle name="Input 3 2 2 8 6" xfId="27352" xr:uid="{B5A8B2D7-77A3-4B4C-914D-479354E7C232}"/>
    <cellStyle name="Input 3 2 2 8 7" xfId="27353" xr:uid="{8C6DB166-49C5-4726-AE4A-92291ACC235D}"/>
    <cellStyle name="Input 3 2 2 9" xfId="1618" xr:uid="{4E74F08C-FE09-4E48-8572-6C744ECF6308}"/>
    <cellStyle name="Input 3 2 2 9 2" xfId="10676" xr:uid="{6CD8C31F-1C3C-4378-9442-2526B6655942}"/>
    <cellStyle name="Input 3 2 2 9 2 2" xfId="27354" xr:uid="{E1A58BC5-A802-4CB4-8EA5-9D289795952D}"/>
    <cellStyle name="Input 3 2 2 9 2 3" xfId="27355" xr:uid="{AAA9592B-492D-451C-9D35-FED10F6CD2AD}"/>
    <cellStyle name="Input 3 2 2 9 2 4" xfId="27356" xr:uid="{86AA495F-C36D-4283-9E71-74E6FF667132}"/>
    <cellStyle name="Input 3 2 2 9 2 5" xfId="27357" xr:uid="{0B8BB986-E767-4EC3-9C63-50ACFFCA9935}"/>
    <cellStyle name="Input 3 2 2 9 2 6" xfId="27358" xr:uid="{70F4489F-CD48-4748-96DD-96D672FD54E8}"/>
    <cellStyle name="Input 3 2 2 9 3" xfId="27359" xr:uid="{80ED04C3-3EAE-4D56-8830-FC6A14DE6DDF}"/>
    <cellStyle name="Input 3 2 2 9 4" xfId="27360" xr:uid="{39ADB48B-D811-44ED-82FA-DB71E430CDEF}"/>
    <cellStyle name="Input 3 2 2 9 5" xfId="27361" xr:uid="{8878FD77-C932-4867-8513-A5DB01E6664D}"/>
    <cellStyle name="Input 3 2 2 9 6" xfId="27362" xr:uid="{3E654E9F-2E24-473D-8A0C-BB30CC6DC0D8}"/>
    <cellStyle name="Input 3 2 2 9 7" xfId="27363" xr:uid="{9E22B93B-7ADD-4102-AAC3-9A6C9B899D95}"/>
    <cellStyle name="Input 3 2 20" xfId="1619" xr:uid="{20CFD87A-C769-4F50-82D0-3EB95A234EF0}"/>
    <cellStyle name="Input 3 2 20 2" xfId="11524" xr:uid="{4C4F1DD2-D5F0-4C25-8608-D4F7E208BBD5}"/>
    <cellStyle name="Input 3 2 20 2 2" xfId="27364" xr:uid="{7CC3685F-A015-4DAA-97FF-521EDF8D6627}"/>
    <cellStyle name="Input 3 2 20 2 3" xfId="27365" xr:uid="{08BEC414-CB50-4246-A203-493CB7FAE3DC}"/>
    <cellStyle name="Input 3 2 20 2 4" xfId="27366" xr:uid="{3ED63A75-F99D-416E-ACDB-0F071DB8249C}"/>
    <cellStyle name="Input 3 2 20 2 5" xfId="27367" xr:uid="{E30C09D0-76A7-4EFC-B9CD-D8CACAAFE76F}"/>
    <cellStyle name="Input 3 2 20 2 6" xfId="27368" xr:uid="{79F92575-5E91-4A6C-9372-CED1A431E654}"/>
    <cellStyle name="Input 3 2 20 3" xfId="27369" xr:uid="{16295F58-46B9-4E95-934C-372B87F99190}"/>
    <cellStyle name="Input 3 2 20 4" xfId="27370" xr:uid="{472CDE34-8775-450D-8133-22EAD223134C}"/>
    <cellStyle name="Input 3 2 20 5" xfId="27371" xr:uid="{0F0ED9DB-EFCA-4423-896A-7BAD62DA7A49}"/>
    <cellStyle name="Input 3 2 20 6" xfId="27372" xr:uid="{9FF3F3B2-0633-4450-9F7C-FB4191F90A8E}"/>
    <cellStyle name="Input 3 2 20 7" xfId="27373" xr:uid="{B395C580-4930-4F8C-8334-B55C227E5D76}"/>
    <cellStyle name="Input 3 2 21" xfId="1620" xr:uid="{0E493C32-2851-4BBE-AB2D-FEEEB6A9BBCF}"/>
    <cellStyle name="Input 3 2 21 2" xfId="11612" xr:uid="{C36D30F9-41C5-4066-A705-A4E3AB2A0435}"/>
    <cellStyle name="Input 3 2 21 2 2" xfId="27374" xr:uid="{0DEAE8EE-5A0C-424E-8EA2-C4CF26E52B42}"/>
    <cellStyle name="Input 3 2 21 2 3" xfId="27375" xr:uid="{AD72B2F9-564A-4482-8F9F-08CF82D24E12}"/>
    <cellStyle name="Input 3 2 21 2 4" xfId="27376" xr:uid="{011FCE40-13D6-468A-BDE3-C52E4A4031CB}"/>
    <cellStyle name="Input 3 2 21 2 5" xfId="27377" xr:uid="{FC33292B-382E-4966-91B4-18E201B9B244}"/>
    <cellStyle name="Input 3 2 21 2 6" xfId="27378" xr:uid="{AF681260-F71B-44C4-857C-3F96CA9680F2}"/>
    <cellStyle name="Input 3 2 21 3" xfId="27379" xr:uid="{186948BF-2F02-45BF-91D8-5806ABA60E4C}"/>
    <cellStyle name="Input 3 2 21 4" xfId="27380" xr:uid="{CAB6F02C-E265-434A-B6B7-972F11EF5D6A}"/>
    <cellStyle name="Input 3 2 21 5" xfId="27381" xr:uid="{1ECEEAE1-051F-4CB1-9A8A-21485D8FB364}"/>
    <cellStyle name="Input 3 2 21 6" xfId="27382" xr:uid="{DB6B61CB-20EE-46F8-B0B5-309B34B960AD}"/>
    <cellStyle name="Input 3 2 21 7" xfId="27383" xr:uid="{52729A89-BF7A-4EF2-80F5-992F69C30B0C}"/>
    <cellStyle name="Input 3 2 22" xfId="1621" xr:uid="{3821F0B8-0E4C-40F6-9275-6A8F65B63C0A}"/>
    <cellStyle name="Input 3 2 22 2" xfId="11696" xr:uid="{C1653A48-9F9D-44D9-BDFE-10E80A405790}"/>
    <cellStyle name="Input 3 2 22 2 2" xfId="27384" xr:uid="{1E7A3D22-0863-43EE-BB12-183DED33FFE2}"/>
    <cellStyle name="Input 3 2 22 2 3" xfId="27385" xr:uid="{B6A0080C-D4A7-4943-B77C-C6E90C660BDF}"/>
    <cellStyle name="Input 3 2 22 2 4" xfId="27386" xr:uid="{2E055918-1EE0-4C51-85ED-A71E0D0128E1}"/>
    <cellStyle name="Input 3 2 22 2 5" xfId="27387" xr:uid="{42FB382F-F2AD-4A84-945D-BB844080D706}"/>
    <cellStyle name="Input 3 2 22 2 6" xfId="27388" xr:uid="{225C8ACE-0C85-458E-9D77-4CDADD1A1F5D}"/>
    <cellStyle name="Input 3 2 22 3" xfId="27389" xr:uid="{D7C8E8AA-ADFE-4751-B96E-11956B9E79DD}"/>
    <cellStyle name="Input 3 2 22 4" xfId="27390" xr:uid="{2E07A589-3989-4301-9F12-E10E6AF13D0C}"/>
    <cellStyle name="Input 3 2 22 5" xfId="27391" xr:uid="{8A0008F1-14F5-4A03-B7BD-24F5B70680FD}"/>
    <cellStyle name="Input 3 2 22 6" xfId="27392" xr:uid="{CF8854F4-C9CE-4E66-AC23-3CD398C24FCC}"/>
    <cellStyle name="Input 3 2 22 7" xfId="27393" xr:uid="{8E9562EB-9F6E-4E8B-889E-B171D06B3F0F}"/>
    <cellStyle name="Input 3 2 23" xfId="1622" xr:uid="{B4114434-8B2B-41A8-835E-81E5E4B8DE42}"/>
    <cellStyle name="Input 3 2 23 2" xfId="11779" xr:uid="{9CABF618-4AD4-4FA5-9BB6-DBAD5EC90084}"/>
    <cellStyle name="Input 3 2 23 2 2" xfId="27394" xr:uid="{BA5E2961-E98E-4644-AB20-2E50806A0543}"/>
    <cellStyle name="Input 3 2 23 2 3" xfId="27395" xr:uid="{9B405D57-016E-41FF-9765-A6F16B54373B}"/>
    <cellStyle name="Input 3 2 23 2 4" xfId="27396" xr:uid="{22058CC6-BE03-4C05-80F1-6A59A864129D}"/>
    <cellStyle name="Input 3 2 23 2 5" xfId="27397" xr:uid="{B842B053-07F2-4355-AFA3-CBEC4F7B6369}"/>
    <cellStyle name="Input 3 2 23 2 6" xfId="27398" xr:uid="{E025557C-1F33-4AA6-8485-10A2D9E2E845}"/>
    <cellStyle name="Input 3 2 23 3" xfId="27399" xr:uid="{65102268-707B-445E-B784-AA4CAF346B03}"/>
    <cellStyle name="Input 3 2 23 4" xfId="27400" xr:uid="{71F09D18-65DE-4CC6-BC26-8A5BA8C799EA}"/>
    <cellStyle name="Input 3 2 23 5" xfId="27401" xr:uid="{F259A1E9-E96F-4DBD-BA08-A57B72F68EC7}"/>
    <cellStyle name="Input 3 2 23 6" xfId="27402" xr:uid="{F49BD3C4-1D1C-4352-937F-05BF5EDB7482}"/>
    <cellStyle name="Input 3 2 23 7" xfId="27403" xr:uid="{8144F518-6A1D-48DF-82AA-7363EA8A02ED}"/>
    <cellStyle name="Input 3 2 24" xfId="1623" xr:uid="{F29122C9-4836-4189-9AA2-9C26A848D4FF}"/>
    <cellStyle name="Input 3 2 24 2" xfId="11862" xr:uid="{134D3A19-2C34-4309-BD01-F1BA76EFD983}"/>
    <cellStyle name="Input 3 2 24 2 2" xfId="27404" xr:uid="{8F0D39F4-E41C-4CD3-B7FB-E7A521871DC2}"/>
    <cellStyle name="Input 3 2 24 2 3" xfId="27405" xr:uid="{C38CA9A1-67A0-43B2-9AA7-F4F07057FB27}"/>
    <cellStyle name="Input 3 2 24 2 4" xfId="27406" xr:uid="{3E773113-B57D-49F9-9CA7-5CDB2FCB7E6C}"/>
    <cellStyle name="Input 3 2 24 2 5" xfId="27407" xr:uid="{58BE8D43-1A20-464E-9780-694BCF51E59B}"/>
    <cellStyle name="Input 3 2 24 2 6" xfId="27408" xr:uid="{16ECD66A-12BD-43B5-A0E9-5CC1E5BA27AB}"/>
    <cellStyle name="Input 3 2 24 3" xfId="27409" xr:uid="{5B63D314-ADCB-4E62-A07A-E6E0863327EC}"/>
    <cellStyle name="Input 3 2 24 4" xfId="27410" xr:uid="{16B26C0F-D763-4A8B-8813-680A954915EB}"/>
    <cellStyle name="Input 3 2 24 5" xfId="27411" xr:uid="{37B1F4AF-EC72-4926-AF7F-8554FE2D6832}"/>
    <cellStyle name="Input 3 2 24 6" xfId="27412" xr:uid="{80DED16B-7074-4524-9635-B1DF1D9723DC}"/>
    <cellStyle name="Input 3 2 24 7" xfId="27413" xr:uid="{141D5CA1-228C-40FD-8F18-06E0E8908736}"/>
    <cellStyle name="Input 3 2 25" xfId="1624" xr:uid="{9E71903B-DCD5-4C20-A71C-6AB0114501F4}"/>
    <cellStyle name="Input 3 2 25 2" xfId="11946" xr:uid="{783C9990-FD4D-42A7-A41F-B9BAE82326DE}"/>
    <cellStyle name="Input 3 2 25 2 2" xfId="27414" xr:uid="{D93E0AB1-19A4-44C5-AA3E-40D3F61EDA45}"/>
    <cellStyle name="Input 3 2 25 2 3" xfId="27415" xr:uid="{847B52F2-0016-4436-893D-2E0E6960CEB2}"/>
    <cellStyle name="Input 3 2 25 2 4" xfId="27416" xr:uid="{DF0F3420-93FA-4D0D-9702-3FE7AE0CC3D9}"/>
    <cellStyle name="Input 3 2 25 2 5" xfId="27417" xr:uid="{A6889483-3FE1-4B50-AFD1-CA7EF17CAB4A}"/>
    <cellStyle name="Input 3 2 25 2 6" xfId="27418" xr:uid="{EC370909-913B-4A2B-BB6D-7C742E324BB4}"/>
    <cellStyle name="Input 3 2 25 3" xfId="27419" xr:uid="{4DB9CC3B-4419-4FC2-B1F9-C8D849528788}"/>
    <cellStyle name="Input 3 2 25 4" xfId="27420" xr:uid="{A4EA0B4C-C498-4CD6-9FB2-1FEF231EAC6F}"/>
    <cellStyle name="Input 3 2 25 5" xfId="27421" xr:uid="{88BE0AAC-E86D-4873-A90F-D817EE29B06E}"/>
    <cellStyle name="Input 3 2 25 6" xfId="27422" xr:uid="{A18E41E5-2E93-4AF3-A557-62301355CB98}"/>
    <cellStyle name="Input 3 2 25 7" xfId="27423" xr:uid="{5C50D291-47C1-4343-89DC-B81E5A05B8A3}"/>
    <cellStyle name="Input 3 2 26" xfId="1625" xr:uid="{DCED40F1-4860-4171-AD76-E53546DF3EB9}"/>
    <cellStyle name="Input 3 2 26 2" xfId="12029" xr:uid="{B83E9190-7648-4C7A-8FCA-D4613E83AF71}"/>
    <cellStyle name="Input 3 2 26 2 2" xfId="27424" xr:uid="{6EA0568F-BE00-4F77-8471-3006FC6BD9C6}"/>
    <cellStyle name="Input 3 2 26 2 3" xfId="27425" xr:uid="{A4EA6FF8-154F-44F4-AB24-EAEA4619E7E7}"/>
    <cellStyle name="Input 3 2 26 2 4" xfId="27426" xr:uid="{0BEE7F70-AE23-4916-8912-538AB473C952}"/>
    <cellStyle name="Input 3 2 26 2 5" xfId="27427" xr:uid="{BF73470B-3DCC-4B59-AB16-07265712824F}"/>
    <cellStyle name="Input 3 2 26 2 6" xfId="27428" xr:uid="{BBEFE680-1241-479F-9942-ADFEFBBFEA11}"/>
    <cellStyle name="Input 3 2 26 3" xfId="27429" xr:uid="{DD99A92F-0793-4D16-9B5D-D5E6BE8EF5EE}"/>
    <cellStyle name="Input 3 2 26 4" xfId="27430" xr:uid="{DA57B30A-1F5A-49E5-8B71-1CAE3759A996}"/>
    <cellStyle name="Input 3 2 26 5" xfId="27431" xr:uid="{FCC5F342-F64A-41F6-B701-AA9586268D83}"/>
    <cellStyle name="Input 3 2 26 6" xfId="27432" xr:uid="{9CE8DBFF-E0F8-4E09-B1DC-63D073B70ABF}"/>
    <cellStyle name="Input 3 2 26 7" xfId="27433" xr:uid="{083B274D-612C-4AB2-97DF-C19A8F24894F}"/>
    <cellStyle name="Input 3 2 27" xfId="1626" xr:uid="{77EBA623-8E25-45E4-BBEE-A8A5A64001D6}"/>
    <cellStyle name="Input 3 2 27 2" xfId="12112" xr:uid="{C26929CC-D837-428D-92CE-7D3796375269}"/>
    <cellStyle name="Input 3 2 27 2 2" xfId="27434" xr:uid="{4DD7DFA6-45C4-4291-B000-DF627F143258}"/>
    <cellStyle name="Input 3 2 27 2 3" xfId="27435" xr:uid="{3DE897EF-ABBD-49D7-A8B3-019D39D3FC33}"/>
    <cellStyle name="Input 3 2 27 2 4" xfId="27436" xr:uid="{0B008799-1D18-4717-ABB6-2F5044B64A37}"/>
    <cellStyle name="Input 3 2 27 2 5" xfId="27437" xr:uid="{ED15AE80-0234-4223-896B-80DE49911EF4}"/>
    <cellStyle name="Input 3 2 27 2 6" xfId="27438" xr:uid="{6D2EC0E3-8F64-4DA1-ADEA-D11CEA4E925C}"/>
    <cellStyle name="Input 3 2 27 3" xfId="27439" xr:uid="{C63EEF2A-F607-49D2-8304-4511FC116AB1}"/>
    <cellStyle name="Input 3 2 27 4" xfId="27440" xr:uid="{BE2A2D05-6BDB-43D2-8550-4CBC74F0C23B}"/>
    <cellStyle name="Input 3 2 27 5" xfId="27441" xr:uid="{53873F05-0F99-4FAC-B34B-40593BD56822}"/>
    <cellStyle name="Input 3 2 27 6" xfId="27442" xr:uid="{61EB129F-4DBF-46D8-BB71-D72AC63BBA11}"/>
    <cellStyle name="Input 3 2 27 7" xfId="27443" xr:uid="{BEB71D0F-1388-432F-8099-1941853BD36C}"/>
    <cellStyle name="Input 3 2 28" xfId="1627" xr:uid="{FD87ED57-B529-4E92-A7C8-BCF27F3CA38E}"/>
    <cellStyle name="Input 3 2 28 2" xfId="12194" xr:uid="{054002FB-7037-4045-84AC-53B0C6DFC9A0}"/>
    <cellStyle name="Input 3 2 28 2 2" xfId="27444" xr:uid="{0EE46B8A-9A5C-4668-A537-5D9E3AC16CDF}"/>
    <cellStyle name="Input 3 2 28 2 3" xfId="27445" xr:uid="{36B4F0E2-CC15-4FB8-8528-5AE8792EA196}"/>
    <cellStyle name="Input 3 2 28 2 4" xfId="27446" xr:uid="{1316F52B-B083-4848-86AC-6F1A590770AA}"/>
    <cellStyle name="Input 3 2 28 2 5" xfId="27447" xr:uid="{7ED37265-3F57-43B3-9A53-DA98B8D0C18A}"/>
    <cellStyle name="Input 3 2 28 2 6" xfId="27448" xr:uid="{AEFFE111-BAEF-4A5D-A1B7-9FFE36944267}"/>
    <cellStyle name="Input 3 2 28 3" xfId="27449" xr:uid="{7B9F1DC1-991D-4580-9E9A-574C5024B8AC}"/>
    <cellStyle name="Input 3 2 28 4" xfId="27450" xr:uid="{1AFC704E-C095-43F3-81DF-C70A7B70B88B}"/>
    <cellStyle name="Input 3 2 28 5" xfId="27451" xr:uid="{1F97D471-D1D4-415C-8EE2-075D8F17A1D1}"/>
    <cellStyle name="Input 3 2 28 6" xfId="27452" xr:uid="{85AD4157-F539-4FFF-8ED3-C6793A3B8B44}"/>
    <cellStyle name="Input 3 2 28 7" xfId="27453" xr:uid="{69B27ADB-7A0E-4614-B753-59DD93FCFC9C}"/>
    <cellStyle name="Input 3 2 29" xfId="1628" xr:uid="{51795165-1952-425C-BBAE-DC521875492A}"/>
    <cellStyle name="Input 3 2 29 2" xfId="12274" xr:uid="{B3D781FC-C9AD-4134-B64A-AA86150E0027}"/>
    <cellStyle name="Input 3 2 29 2 2" xfId="27454" xr:uid="{B9329141-18F0-43D7-9E30-91B06C0C4FE7}"/>
    <cellStyle name="Input 3 2 29 2 3" xfId="27455" xr:uid="{79FCC49C-C533-419C-AFC5-81C4C703EACF}"/>
    <cellStyle name="Input 3 2 29 2 4" xfId="27456" xr:uid="{83E6D549-6D94-41A2-A274-EAED4B5C9560}"/>
    <cellStyle name="Input 3 2 29 2 5" xfId="27457" xr:uid="{D3D6F750-368D-4DF5-8798-F30E7661CC0B}"/>
    <cellStyle name="Input 3 2 29 2 6" xfId="27458" xr:uid="{40E50633-2E95-49C0-9D62-D65A87289508}"/>
    <cellStyle name="Input 3 2 29 3" xfId="27459" xr:uid="{11987881-0263-440E-9700-78BEA514E48D}"/>
    <cellStyle name="Input 3 2 29 4" xfId="27460" xr:uid="{1C50C278-372C-4037-9BB6-9EE811D72B44}"/>
    <cellStyle name="Input 3 2 29 5" xfId="27461" xr:uid="{1BA15588-8D98-4E40-9643-32B80B5D3CCD}"/>
    <cellStyle name="Input 3 2 29 6" xfId="27462" xr:uid="{84D29D72-2535-42E1-A09D-681DCDAA29AC}"/>
    <cellStyle name="Input 3 2 29 7" xfId="27463" xr:uid="{ED97F009-F1CE-44C9-9FCF-037ADE008CB1}"/>
    <cellStyle name="Input 3 2 3" xfId="1629" xr:uid="{2983C259-FAC4-4C0F-9E09-B119341BC056}"/>
    <cellStyle name="Input 3 2 3 2" xfId="10031" xr:uid="{CCE51675-D066-4F48-B0AC-9B403CED3CD4}"/>
    <cellStyle name="Input 3 2 3 2 2" xfId="27464" xr:uid="{85CD2316-DA4C-44F7-8612-A9B6F0BDE419}"/>
    <cellStyle name="Input 3 2 3 2 3" xfId="27465" xr:uid="{4AE1BCED-0454-4BD5-B0A8-4F615C5BA0BC}"/>
    <cellStyle name="Input 3 2 3 2 4" xfId="27466" xr:uid="{C46744C3-DF5F-4237-8F05-7716B9DCB70A}"/>
    <cellStyle name="Input 3 2 3 2 5" xfId="27467" xr:uid="{92546F34-280D-4E92-B8A9-8692CC09A8ED}"/>
    <cellStyle name="Input 3 2 3 2 6" xfId="27468" xr:uid="{3195EE60-D35D-4FE6-93FF-66311B03082C}"/>
    <cellStyle name="Input 3 2 3 3" xfId="27469" xr:uid="{64F382BA-45C1-4B35-B934-901444FBFBFD}"/>
    <cellStyle name="Input 3 2 3 4" xfId="27470" xr:uid="{9AFD4419-A67C-4A01-9501-30911A54FA2B}"/>
    <cellStyle name="Input 3 2 3 5" xfId="27471" xr:uid="{442F71A9-40EC-466E-AA44-60F0A933410B}"/>
    <cellStyle name="Input 3 2 3 6" xfId="27472" xr:uid="{E5498DAB-94B8-4B38-9BF3-6791735A55DD}"/>
    <cellStyle name="Input 3 2 3 7" xfId="27473" xr:uid="{1559F6F0-56ED-447C-B463-93D58523F77D}"/>
    <cellStyle name="Input 3 2 30" xfId="1630" xr:uid="{AE160648-5D76-4221-A6C1-EBD3F820BDA2}"/>
    <cellStyle name="Input 3 2 30 2" xfId="12352" xr:uid="{498A7758-C3D9-4A4D-B3F4-E19E0C13B95B}"/>
    <cellStyle name="Input 3 2 30 2 2" xfId="27474" xr:uid="{229E64D6-B075-4BE6-855D-BF6934828320}"/>
    <cellStyle name="Input 3 2 30 2 3" xfId="27475" xr:uid="{B1CB81B9-A3B8-4825-BDD9-6C7A01926A4B}"/>
    <cellStyle name="Input 3 2 30 2 4" xfId="27476" xr:uid="{D316D838-7FF6-4505-A7F0-190EBAD46FF9}"/>
    <cellStyle name="Input 3 2 30 2 5" xfId="27477" xr:uid="{FDAA0BAB-33B7-4D10-A8F5-37807C871BAA}"/>
    <cellStyle name="Input 3 2 30 2 6" xfId="27478" xr:uid="{C5B69BDB-00F1-487E-AF81-557074D4ADB6}"/>
    <cellStyle name="Input 3 2 30 3" xfId="27479" xr:uid="{9B28FC6F-3D51-4DA4-873C-E7C9E554F62A}"/>
    <cellStyle name="Input 3 2 30 4" xfId="27480" xr:uid="{6E69C59C-FA49-479C-A650-BEA0DA02AA8C}"/>
    <cellStyle name="Input 3 2 30 5" xfId="27481" xr:uid="{DCDE0346-D9A5-4903-A94A-97337C33CB8A}"/>
    <cellStyle name="Input 3 2 30 6" xfId="27482" xr:uid="{77D9CFAD-BF2F-434C-9567-BC2F21B758A9}"/>
    <cellStyle name="Input 3 2 30 7" xfId="27483" xr:uid="{2E9608B2-1723-42CC-8200-B9C203311BFA}"/>
    <cellStyle name="Input 3 2 31" xfId="1631" xr:uid="{C06ACFFA-E111-4BE8-A835-D260F6A782B7}"/>
    <cellStyle name="Input 3 2 31 2" xfId="12431" xr:uid="{2DB45AAA-4440-480D-9ED8-F027F328D890}"/>
    <cellStyle name="Input 3 2 31 2 2" xfId="27484" xr:uid="{581E2CC3-4569-44C2-881A-78EC14702B25}"/>
    <cellStyle name="Input 3 2 31 2 3" xfId="27485" xr:uid="{614DF32A-1D77-43E6-8888-A8D3FBB368EE}"/>
    <cellStyle name="Input 3 2 31 2 4" xfId="27486" xr:uid="{01567071-6DF4-4770-B948-891BB23D03FD}"/>
    <cellStyle name="Input 3 2 31 2 5" xfId="27487" xr:uid="{051A4DCC-7645-4B45-8D55-B8AB8162681D}"/>
    <cellStyle name="Input 3 2 31 2 6" xfId="27488" xr:uid="{9CDF515C-1698-4042-9686-4DA3FF0BA760}"/>
    <cellStyle name="Input 3 2 31 3" xfId="27489" xr:uid="{70B8D366-6E72-407E-BDFA-3EC9D0368D98}"/>
    <cellStyle name="Input 3 2 31 4" xfId="27490" xr:uid="{E9DC6EF7-518C-4FA3-82BD-A388A082817B}"/>
    <cellStyle name="Input 3 2 31 5" xfId="27491" xr:uid="{1408C576-20D9-4B3D-88EE-37A8855C6C2D}"/>
    <cellStyle name="Input 3 2 31 6" xfId="27492" xr:uid="{D963F461-6757-40E0-9F35-E93C68D10B49}"/>
    <cellStyle name="Input 3 2 31 7" xfId="27493" xr:uid="{1FADCEC6-E52F-4348-8C5F-745BAFD9C6D6}"/>
    <cellStyle name="Input 3 2 32" xfId="1632" xr:uid="{A502D2CA-336A-4379-A3F4-54813EBE10AC}"/>
    <cellStyle name="Input 3 2 32 2" xfId="12510" xr:uid="{E8B3AB01-752E-4829-B7D0-1163D086AB3A}"/>
    <cellStyle name="Input 3 2 32 2 2" xfId="27494" xr:uid="{025E81DE-893D-4095-B62E-0840DFFEE5AE}"/>
    <cellStyle name="Input 3 2 32 2 3" xfId="27495" xr:uid="{0606D87D-C0D0-457C-92C2-B085F22FDAFB}"/>
    <cellStyle name="Input 3 2 32 2 4" xfId="27496" xr:uid="{AAE8CB26-0C1F-4D05-BAEA-6A6A9208FC3E}"/>
    <cellStyle name="Input 3 2 32 2 5" xfId="27497" xr:uid="{556BF2FB-B16B-413D-B986-073A3DFF1805}"/>
    <cellStyle name="Input 3 2 32 2 6" xfId="27498" xr:uid="{CB360848-623E-4DDA-9FB2-C9CD2D3B879B}"/>
    <cellStyle name="Input 3 2 32 3" xfId="27499" xr:uid="{CE252355-41DC-47D4-B37F-92E6C4D63FB6}"/>
    <cellStyle name="Input 3 2 32 4" xfId="27500" xr:uid="{5B7ED22A-0279-499F-A4C9-8F66609F2318}"/>
    <cellStyle name="Input 3 2 32 5" xfId="27501" xr:uid="{2BF0D55B-F1DD-4EDB-9B0C-50AF58EF577A}"/>
    <cellStyle name="Input 3 2 32 6" xfId="27502" xr:uid="{33C2D388-BFAC-4D7B-AECD-51CC9A180DED}"/>
    <cellStyle name="Input 3 2 32 7" xfId="27503" xr:uid="{8585B0DD-211C-4D6C-A35D-A98856A0E1F9}"/>
    <cellStyle name="Input 3 2 33" xfId="1633" xr:uid="{5E32E104-0E12-4601-9FC7-5DE188E42007}"/>
    <cellStyle name="Input 3 2 33 2" xfId="12589" xr:uid="{9E3307EA-0838-485E-B561-677D52BBE558}"/>
    <cellStyle name="Input 3 2 33 2 2" xfId="27504" xr:uid="{5966ACB9-7EAE-4B63-A1BA-771A7F54C4C0}"/>
    <cellStyle name="Input 3 2 33 2 3" xfId="27505" xr:uid="{309F711C-50C8-40D9-9A86-3D1395FE9551}"/>
    <cellStyle name="Input 3 2 33 2 4" xfId="27506" xr:uid="{39715565-C24B-44D2-A110-F252498415A9}"/>
    <cellStyle name="Input 3 2 33 2 5" xfId="27507" xr:uid="{B8337330-1BF9-4DC1-9B49-68A5656B897E}"/>
    <cellStyle name="Input 3 2 33 2 6" xfId="27508" xr:uid="{0FCB5FA9-B3AB-43DD-A5E1-7CF6CAFBBF64}"/>
    <cellStyle name="Input 3 2 33 3" xfId="27509" xr:uid="{14B64469-03E1-45A4-B80D-F808B2A49A45}"/>
    <cellStyle name="Input 3 2 33 4" xfId="27510" xr:uid="{1E6C72EE-9978-4F25-9900-B1B5D1566CA7}"/>
    <cellStyle name="Input 3 2 33 5" xfId="27511" xr:uid="{07631BD3-E24D-48C9-805C-B0A90E9C3E00}"/>
    <cellStyle name="Input 3 2 33 6" xfId="27512" xr:uid="{095D17B6-2141-436A-86C7-3AFF5965D6F7}"/>
    <cellStyle name="Input 3 2 33 7" xfId="27513" xr:uid="{B182BA0B-2418-427D-9CC4-CBC02F16DBC1}"/>
    <cellStyle name="Input 3 2 34" xfId="1634" xr:uid="{7D11574B-C64B-458D-9A94-EC4A8D5AB746}"/>
    <cellStyle name="Input 3 2 34 2" xfId="12668" xr:uid="{32C920DF-3F31-4265-975A-55BC285363A0}"/>
    <cellStyle name="Input 3 2 34 2 2" xfId="27514" xr:uid="{43DED382-5F2F-4E9A-8247-58C98A016674}"/>
    <cellStyle name="Input 3 2 34 2 3" xfId="27515" xr:uid="{FCAD5E5F-6011-4FDD-8E81-490DC6FF4F76}"/>
    <cellStyle name="Input 3 2 34 2 4" xfId="27516" xr:uid="{959CEC32-0766-4E32-82C2-916F1D488874}"/>
    <cellStyle name="Input 3 2 34 2 5" xfId="27517" xr:uid="{E98BF153-E142-40B3-A9C2-D137C596FF6D}"/>
    <cellStyle name="Input 3 2 34 2 6" xfId="27518" xr:uid="{7AE85168-E752-4EBB-B2F6-F8666A245F53}"/>
    <cellStyle name="Input 3 2 34 3" xfId="27519" xr:uid="{9B7B206F-6BE4-4FFE-94C3-826FAF8770E5}"/>
    <cellStyle name="Input 3 2 34 4" xfId="27520" xr:uid="{0EAA1B80-7CCC-4592-A7ED-15C24FF87609}"/>
    <cellStyle name="Input 3 2 34 5" xfId="27521" xr:uid="{114089C4-052E-4831-B218-9CA1A373722B}"/>
    <cellStyle name="Input 3 2 34 6" xfId="27522" xr:uid="{6888636A-C804-43D1-BFCF-C730528B118D}"/>
    <cellStyle name="Input 3 2 34 7" xfId="27523" xr:uid="{A7FEE481-9C9C-46D3-A443-A70A8714DEF1}"/>
    <cellStyle name="Input 3 2 35" xfId="1635" xr:uid="{21231224-B20B-4A97-B302-234B65828DD4}"/>
    <cellStyle name="Input 3 2 35 2" xfId="12752" xr:uid="{784066EB-5C82-49CC-A679-3AE8E0A24D7C}"/>
    <cellStyle name="Input 3 2 35 2 2" xfId="27524" xr:uid="{67FCEEB7-57FF-4EC5-8A5B-F19A63FC38B2}"/>
    <cellStyle name="Input 3 2 35 2 3" xfId="27525" xr:uid="{CE54F261-FD13-43E9-A5D9-C77427584389}"/>
    <cellStyle name="Input 3 2 35 2 4" xfId="27526" xr:uid="{CAB428E5-BCA0-497E-BD7C-3FC0C2B1F212}"/>
    <cellStyle name="Input 3 2 35 2 5" xfId="27527" xr:uid="{CA2DB4A2-3272-4217-85E7-5347D42A5E7D}"/>
    <cellStyle name="Input 3 2 35 2 6" xfId="27528" xr:uid="{3C6A513C-A225-4C57-ABAB-FD087E403E61}"/>
    <cellStyle name="Input 3 2 35 3" xfId="27529" xr:uid="{1300A538-21FD-4A00-9B06-3D8C6AA88BB9}"/>
    <cellStyle name="Input 3 2 35 4" xfId="27530" xr:uid="{41BAEEAB-1C91-4728-9ED5-3F3A33A6BE7F}"/>
    <cellStyle name="Input 3 2 35 5" xfId="27531" xr:uid="{1C569B04-0B69-4752-950F-9A9185DCB90B}"/>
    <cellStyle name="Input 3 2 35 6" xfId="27532" xr:uid="{CA88D982-77BA-4886-8E6C-417C90B9E768}"/>
    <cellStyle name="Input 3 2 35 7" xfId="27533" xr:uid="{83E026DA-8825-4B83-A96E-C07C76877B23}"/>
    <cellStyle name="Input 3 2 36" xfId="6923" xr:uid="{E24E0A10-3975-45E7-971C-0788121FFA6B}"/>
    <cellStyle name="Input 3 2 37" xfId="9818" xr:uid="{3E5EB377-0F81-48E7-BBAE-CAB1CBC239BE}"/>
    <cellStyle name="Input 3 2 37 2" xfId="27534" xr:uid="{4610554B-40DD-4972-991B-0844FD41BF13}"/>
    <cellStyle name="Input 3 2 37 3" xfId="27535" xr:uid="{DBD56834-F893-4C4F-843B-7085C318D570}"/>
    <cellStyle name="Input 3 2 37 4" xfId="27536" xr:uid="{7E5DCAB4-CEF8-4C84-99C9-3B4DD41956FB}"/>
    <cellStyle name="Input 3 2 37 5" xfId="27537" xr:uid="{B0E7E7A8-F8AC-4922-9D19-BE7204C3E98C}"/>
    <cellStyle name="Input 3 2 37 6" xfId="27538" xr:uid="{7D23E4AB-EF01-4D05-B041-2621D56A772B}"/>
    <cellStyle name="Input 3 2 38" xfId="27539" xr:uid="{0A14C185-6B8A-485B-9EA3-25EDAFA07E3A}"/>
    <cellStyle name="Input 3 2 39" xfId="27540" xr:uid="{C28E2A18-66C0-4F76-A164-74C5CE9B7A4E}"/>
    <cellStyle name="Input 3 2 4" xfId="1636" xr:uid="{513E593B-778E-430B-9F1B-E7241C0C3E55}"/>
    <cellStyle name="Input 3 2 4 2" xfId="10122" xr:uid="{8EDDF406-541D-4F1A-AB93-B8EC9D1C8F37}"/>
    <cellStyle name="Input 3 2 4 2 2" xfId="27541" xr:uid="{11D09A59-2A83-4EB3-8F2A-6EB7ABC8DDA0}"/>
    <cellStyle name="Input 3 2 4 2 3" xfId="27542" xr:uid="{E6ADD87F-5C31-48C1-B529-C8047004FF40}"/>
    <cellStyle name="Input 3 2 4 2 4" xfId="27543" xr:uid="{A236DA6C-C7B8-4432-BE67-56F7FC2C243F}"/>
    <cellStyle name="Input 3 2 4 2 5" xfId="27544" xr:uid="{C92B2631-2528-4712-912B-02C247F96DB9}"/>
    <cellStyle name="Input 3 2 4 2 6" xfId="27545" xr:uid="{E271ABB6-E034-4C81-B818-89094262764B}"/>
    <cellStyle name="Input 3 2 4 3" xfId="27546" xr:uid="{BABC2BA5-F45C-4BB7-AB1C-C2D52A2AAECA}"/>
    <cellStyle name="Input 3 2 4 4" xfId="27547" xr:uid="{D1C44F60-BB57-4C0B-9AF9-04B274E8CC84}"/>
    <cellStyle name="Input 3 2 4 5" xfId="27548" xr:uid="{1CCC5140-6B58-4FA9-A79D-5D8FB8AAC797}"/>
    <cellStyle name="Input 3 2 4 6" xfId="27549" xr:uid="{71AC9E62-6431-4FF6-9376-FD8F3469F18C}"/>
    <cellStyle name="Input 3 2 4 7" xfId="27550" xr:uid="{0CF084A9-60C5-4057-9A6D-708AFE2EB54F}"/>
    <cellStyle name="Input 3 2 40" xfId="27551" xr:uid="{DC4B8D82-5288-4380-BF7E-0EC95742AF52}"/>
    <cellStyle name="Input 3 2 41" xfId="27552" xr:uid="{2E1BBAAA-CA7A-447D-ABD6-2412BA988D35}"/>
    <cellStyle name="Input 3 2 42" xfId="27553" xr:uid="{A3D8C1C7-63BF-40A7-8865-015A94F6C6CB}"/>
    <cellStyle name="Input 3 2 5" xfId="1637" xr:uid="{652127DC-75F7-4733-9330-193DA1A9946B}"/>
    <cellStyle name="Input 3 2 5 2" xfId="10212" xr:uid="{66133BA8-DF31-44B5-9D0D-B4BD87FD03E7}"/>
    <cellStyle name="Input 3 2 5 2 2" xfId="27554" xr:uid="{63029771-B8D6-4811-820C-814504F5BF8D}"/>
    <cellStyle name="Input 3 2 5 2 3" xfId="27555" xr:uid="{662BDDF9-8E02-42C6-B67B-9403B870C5D6}"/>
    <cellStyle name="Input 3 2 5 2 4" xfId="27556" xr:uid="{28FEA47F-CE69-462F-BAD3-EB962859CCA1}"/>
    <cellStyle name="Input 3 2 5 2 5" xfId="27557" xr:uid="{455F6E39-34FA-46AD-AB19-8E2E4A14BFFC}"/>
    <cellStyle name="Input 3 2 5 2 6" xfId="27558" xr:uid="{F3ADDE0F-9946-4C4A-86F6-E210D87717AE}"/>
    <cellStyle name="Input 3 2 5 3" xfId="27559" xr:uid="{13810B6F-699A-46C5-B099-68BDB0CAA91D}"/>
    <cellStyle name="Input 3 2 5 4" xfId="27560" xr:uid="{0CF9611D-648C-485A-A671-4D99EDC95790}"/>
    <cellStyle name="Input 3 2 5 5" xfId="27561" xr:uid="{DC5B229F-5F5F-46B1-B807-28554600DB4E}"/>
    <cellStyle name="Input 3 2 5 6" xfId="27562" xr:uid="{130796B5-F799-410C-BD3D-77E09F5183AA}"/>
    <cellStyle name="Input 3 2 5 7" xfId="27563" xr:uid="{79F89C3B-FC6C-4525-9A76-08164DF4D71B}"/>
    <cellStyle name="Input 3 2 6" xfId="1638" xr:uid="{A081C78C-DA91-4576-86D6-47EE475FF27C}"/>
    <cellStyle name="Input 3 2 6 2" xfId="10298" xr:uid="{84580DD4-387D-4CFC-9DB9-46C0D069D52D}"/>
    <cellStyle name="Input 3 2 6 2 2" xfId="27564" xr:uid="{306A505C-2C4F-40F0-A1EF-F6E4DB9D0948}"/>
    <cellStyle name="Input 3 2 6 2 3" xfId="27565" xr:uid="{92DB79E7-64DA-458E-AF8E-540C7CD0762E}"/>
    <cellStyle name="Input 3 2 6 2 4" xfId="27566" xr:uid="{58BF7DE0-E6FA-4F16-9FE1-8EFD711C8DAF}"/>
    <cellStyle name="Input 3 2 6 2 5" xfId="27567" xr:uid="{3A9DE870-8CD8-432C-8393-86AF23D16CC8}"/>
    <cellStyle name="Input 3 2 6 2 6" xfId="27568" xr:uid="{1CA42C0F-2051-4C16-9805-778F8FE71B55}"/>
    <cellStyle name="Input 3 2 6 3" xfId="27569" xr:uid="{4572040E-ED8D-45E2-9850-82873BE74BFD}"/>
    <cellStyle name="Input 3 2 6 4" xfId="27570" xr:uid="{FED03191-0764-4B70-BD6E-3F0BF4CD5C28}"/>
    <cellStyle name="Input 3 2 6 5" xfId="27571" xr:uid="{843E9262-3EA5-4ED6-A601-CECC9C119B54}"/>
    <cellStyle name="Input 3 2 6 6" xfId="27572" xr:uid="{0281A763-526F-4087-8BAF-7092F30A718E}"/>
    <cellStyle name="Input 3 2 6 7" xfId="27573" xr:uid="{6E986483-8C90-4F30-B493-45E1F2A8B349}"/>
    <cellStyle name="Input 3 2 7" xfId="1639" xr:uid="{A825A6F7-90F8-498B-AE1E-935D1520F64A}"/>
    <cellStyle name="Input 3 2 7 2" xfId="10386" xr:uid="{1233D814-0FEF-4B34-B7BD-29D84C48690A}"/>
    <cellStyle name="Input 3 2 7 2 2" xfId="27574" xr:uid="{3BA4C2A9-E65A-4A2D-8C03-D60097B33713}"/>
    <cellStyle name="Input 3 2 7 2 3" xfId="27575" xr:uid="{3783151A-88A5-451E-B4E0-A4D91FF679D8}"/>
    <cellStyle name="Input 3 2 7 2 4" xfId="27576" xr:uid="{8267CA42-1633-4062-BE80-81A0777886F0}"/>
    <cellStyle name="Input 3 2 7 2 5" xfId="27577" xr:uid="{DDB70B66-596A-40B7-AD8A-C607743D68AF}"/>
    <cellStyle name="Input 3 2 7 2 6" xfId="27578" xr:uid="{35743083-1017-46B5-89DB-CF0DCE990D34}"/>
    <cellStyle name="Input 3 2 7 3" xfId="27579" xr:uid="{1D18725F-0903-4DED-B84F-C30D98ECD0B8}"/>
    <cellStyle name="Input 3 2 7 4" xfId="27580" xr:uid="{88BED162-2A01-4519-8736-C2CB4F9FEA5D}"/>
    <cellStyle name="Input 3 2 7 5" xfId="27581" xr:uid="{617A8696-8743-42F4-AC57-B20914EB76A6}"/>
    <cellStyle name="Input 3 2 7 6" xfId="27582" xr:uid="{39FB07B5-6627-4196-9C3C-708558C65FBB}"/>
    <cellStyle name="Input 3 2 7 7" xfId="27583" xr:uid="{70A1020F-AD69-4A41-A96C-0F236D5FD7E2}"/>
    <cellStyle name="Input 3 2 8" xfId="1640" xr:uid="{B695F876-428F-4ED3-9AA0-E40B9945E0E7}"/>
    <cellStyle name="Input 3 2 8 2" xfId="10473" xr:uid="{9BBF1BA5-3BF9-4FDA-817C-05E452B0EBB1}"/>
    <cellStyle name="Input 3 2 8 2 2" xfId="27584" xr:uid="{42DCE926-BF09-45FD-8805-F7CE52547A13}"/>
    <cellStyle name="Input 3 2 8 2 3" xfId="27585" xr:uid="{57D6CDD6-2381-4AE5-84B5-B32350F83854}"/>
    <cellStyle name="Input 3 2 8 2 4" xfId="27586" xr:uid="{C741AB12-EA36-4C19-8F05-ACE2130B6132}"/>
    <cellStyle name="Input 3 2 8 2 5" xfId="27587" xr:uid="{D3B9F6A4-C4AE-4117-967C-18EDFEF00899}"/>
    <cellStyle name="Input 3 2 8 2 6" xfId="27588" xr:uid="{F2937859-0FE2-43B1-9C8B-5564BE4CA3D9}"/>
    <cellStyle name="Input 3 2 8 3" xfId="27589" xr:uid="{CDC89EC7-19AD-41A9-BB45-840065FC6814}"/>
    <cellStyle name="Input 3 2 8 4" xfId="27590" xr:uid="{039EF41E-DB85-4D76-B0CC-ACD726F21EBC}"/>
    <cellStyle name="Input 3 2 8 5" xfId="27591" xr:uid="{BF13B8F1-2646-41DC-B9FF-51D4BA53DBA1}"/>
    <cellStyle name="Input 3 2 8 6" xfId="27592" xr:uid="{0CC488BE-158E-4CC6-B168-AB7A4E08320B}"/>
    <cellStyle name="Input 3 2 8 7" xfId="27593" xr:uid="{3FCD4385-4B2F-4396-9FAB-5FA52DBEBAAB}"/>
    <cellStyle name="Input 3 2 9" xfId="1641" xr:uid="{368C451C-E8FA-4988-A25F-FBF85B903853}"/>
    <cellStyle name="Input 3 2 9 2" xfId="10561" xr:uid="{E57595A8-9C3C-4F97-A738-F27039463D9E}"/>
    <cellStyle name="Input 3 2 9 2 2" xfId="27594" xr:uid="{802EC0D3-7CC4-4B3E-A6F5-97FE2EABAFE1}"/>
    <cellStyle name="Input 3 2 9 2 3" xfId="27595" xr:uid="{7F21B706-417B-42F0-BA44-81E4ED9976F6}"/>
    <cellStyle name="Input 3 2 9 2 4" xfId="27596" xr:uid="{ED51CC8A-4AD1-43A2-B534-235D9BB59B9A}"/>
    <cellStyle name="Input 3 2 9 2 5" xfId="27597" xr:uid="{621EC7CD-F11C-4D3A-95DF-61C9923E8193}"/>
    <cellStyle name="Input 3 2 9 2 6" xfId="27598" xr:uid="{7C08ECC1-A310-4828-81A1-5B075D8E145D}"/>
    <cellStyle name="Input 3 2 9 3" xfId="27599" xr:uid="{0B226AC1-8EC8-4983-9C89-B8AA128A1D8A}"/>
    <cellStyle name="Input 3 2 9 4" xfId="27600" xr:uid="{56FBD64D-592E-425E-A016-EE5AB3451265}"/>
    <cellStyle name="Input 3 2 9 5" xfId="27601" xr:uid="{C14871B4-61E8-42C1-9DE8-446676EB014B}"/>
    <cellStyle name="Input 3 2 9 6" xfId="27602" xr:uid="{C6A77329-9249-44A7-9DAF-26B8EEBB0381}"/>
    <cellStyle name="Input 3 2 9 7" xfId="27603" xr:uid="{9435259F-A43E-4E7E-969C-1D85C03671F6}"/>
    <cellStyle name="Input 3 20" xfId="1642" xr:uid="{D0EFBD03-351E-4BCD-8ABD-6088D0991EEC}"/>
    <cellStyle name="Input 3 20 2" xfId="10537" xr:uid="{18DBF99E-B325-41E7-8205-D4484435D6DA}"/>
    <cellStyle name="Input 3 20 2 2" xfId="27604" xr:uid="{E40BC3A7-EE53-4DCB-A28C-0375282425AF}"/>
    <cellStyle name="Input 3 20 2 3" xfId="27605" xr:uid="{5A4543E6-5740-4B6D-B11C-1821017EBC3F}"/>
    <cellStyle name="Input 3 20 2 4" xfId="27606" xr:uid="{F4EE9437-2184-4EED-8725-D6515A84FCEE}"/>
    <cellStyle name="Input 3 20 2 5" xfId="27607" xr:uid="{4588CD76-31E6-4217-9768-1EFEC472770D}"/>
    <cellStyle name="Input 3 20 2 6" xfId="27608" xr:uid="{FDDE066F-7BED-4EAA-B87A-599394DDD58F}"/>
    <cellStyle name="Input 3 20 3" xfId="27609" xr:uid="{587E2E2A-02CA-499A-846B-F75860BADB1E}"/>
    <cellStyle name="Input 3 20 4" xfId="27610" xr:uid="{627D12A0-B021-4768-B969-8F440997E622}"/>
    <cellStyle name="Input 3 20 5" xfId="27611" xr:uid="{71ADF6B3-C2A3-4725-9D30-9F4787C7E116}"/>
    <cellStyle name="Input 3 20 6" xfId="27612" xr:uid="{0BBCD07C-DCF6-4C54-A8D0-C5F144F02E3D}"/>
    <cellStyle name="Input 3 20 7" xfId="27613" xr:uid="{2ED12896-6AE7-4C3A-BCA6-7E42BB2BA2A6}"/>
    <cellStyle name="Input 3 21" xfId="1643" xr:uid="{29CC262D-2579-4E00-9711-6E5FC6F42008}"/>
    <cellStyle name="Input 3 21 2" xfId="11039" xr:uid="{4F4B1815-D216-4957-9E88-DE595ACEE293}"/>
    <cellStyle name="Input 3 21 2 2" xfId="27614" xr:uid="{C3DFF214-5CD1-40C3-8846-E83E025ECB12}"/>
    <cellStyle name="Input 3 21 2 3" xfId="27615" xr:uid="{36A6B91C-D7F1-4C63-AD9D-83498C6EDE08}"/>
    <cellStyle name="Input 3 21 2 4" xfId="27616" xr:uid="{6C2D63D5-3827-4625-97FB-D44419228D72}"/>
    <cellStyle name="Input 3 21 2 5" xfId="27617" xr:uid="{B201A7F6-09A7-4B53-B6D5-FE25B13E44C6}"/>
    <cellStyle name="Input 3 21 2 6" xfId="27618" xr:uid="{93C5F774-D912-498D-9145-3749EE4B7D8C}"/>
    <cellStyle name="Input 3 21 3" xfId="27619" xr:uid="{A2D97504-351B-4731-B366-7D446C1C280B}"/>
    <cellStyle name="Input 3 21 4" xfId="27620" xr:uid="{9DB02252-3EB5-4889-B60B-70F681259262}"/>
    <cellStyle name="Input 3 21 5" xfId="27621" xr:uid="{7A7B05F6-E628-45EA-A051-8886E6F682C2}"/>
    <cellStyle name="Input 3 21 6" xfId="27622" xr:uid="{54E2E5E9-F73F-431C-B863-AFE9EFC38625}"/>
    <cellStyle name="Input 3 21 7" xfId="27623" xr:uid="{B06C42FE-B727-4CB9-97DE-8C43947B66AA}"/>
    <cellStyle name="Input 3 22" xfId="1644" xr:uid="{0F9FE0C2-6F21-4873-AC2A-DE50C64AC7C7}"/>
    <cellStyle name="Input 3 22 2" xfId="11048" xr:uid="{3AD52558-14BF-43F6-9D15-D4C53CC6D4DB}"/>
    <cellStyle name="Input 3 22 2 2" xfId="27624" xr:uid="{C54589DD-01C9-47EC-AB03-010B6C95F458}"/>
    <cellStyle name="Input 3 22 2 3" xfId="27625" xr:uid="{95CE42FE-4AF3-4944-AB8E-7D41937BD9F6}"/>
    <cellStyle name="Input 3 22 2 4" xfId="27626" xr:uid="{A658F633-7FD0-4BB5-BB79-03B62442A67B}"/>
    <cellStyle name="Input 3 22 2 5" xfId="27627" xr:uid="{78560C13-72B1-403B-8324-1A39669151D0}"/>
    <cellStyle name="Input 3 22 2 6" xfId="27628" xr:uid="{901432B9-17C1-43BC-9CC2-7520A155286F}"/>
    <cellStyle name="Input 3 22 3" xfId="27629" xr:uid="{9A7D933E-71AE-4C03-842A-191B6C27D206}"/>
    <cellStyle name="Input 3 22 4" xfId="27630" xr:uid="{657870F6-28A9-4379-BDB9-1A1E05FE62BF}"/>
    <cellStyle name="Input 3 22 5" xfId="27631" xr:uid="{8A131A8A-9B1B-40C5-BF19-D5004A68DF96}"/>
    <cellStyle name="Input 3 22 6" xfId="27632" xr:uid="{96CED258-27FC-41D3-8F69-54D5EEECB946}"/>
    <cellStyle name="Input 3 22 7" xfId="27633" xr:uid="{29C1C71B-92DD-4824-AB2F-3DB1E11A35B3}"/>
    <cellStyle name="Input 3 23" xfId="1645" xr:uid="{EABFCBB6-54AB-438B-83D4-B65A02D00F03}"/>
    <cellStyle name="Input 3 23 2" xfId="10636" xr:uid="{8ABF7102-EA06-412B-834E-DC7EF047FD84}"/>
    <cellStyle name="Input 3 23 2 2" xfId="27634" xr:uid="{40836446-0302-4A2D-A866-8E9FBE19FA56}"/>
    <cellStyle name="Input 3 23 2 3" xfId="27635" xr:uid="{9FFD56A8-CEB1-4B84-8673-A075CE9D2936}"/>
    <cellStyle name="Input 3 23 2 4" xfId="27636" xr:uid="{71896FD5-C51A-4919-B671-AA9A9512A2B3}"/>
    <cellStyle name="Input 3 23 2 5" xfId="27637" xr:uid="{5A710086-68A0-445A-8239-13A87943B2BA}"/>
    <cellStyle name="Input 3 23 2 6" xfId="27638" xr:uid="{6BBCDCC7-2FA3-46B1-B76D-3ACEE96BDD1D}"/>
    <cellStyle name="Input 3 23 3" xfId="27639" xr:uid="{5BC17652-14BB-4E0C-B1F6-825ED0519DFC}"/>
    <cellStyle name="Input 3 23 4" xfId="27640" xr:uid="{1E321AB7-1148-4EA1-8DEA-34459D967385}"/>
    <cellStyle name="Input 3 23 5" xfId="27641" xr:uid="{BD46BD34-7063-41CE-90D4-9B999472F7FB}"/>
    <cellStyle name="Input 3 23 6" xfId="27642" xr:uid="{F8B8E887-7318-468C-85E5-AE3E659EB96B}"/>
    <cellStyle name="Input 3 23 7" xfId="27643" xr:uid="{E6D9B32D-F032-42E3-A94E-156DDE649785}"/>
    <cellStyle name="Input 3 24" xfId="1646" xr:uid="{A61E9C3E-18AA-46D8-8287-F4DC0E794CAD}"/>
    <cellStyle name="Input 3 24 2" xfId="11069" xr:uid="{3B14B513-8D06-423C-914C-601028B3F870}"/>
    <cellStyle name="Input 3 24 2 2" xfId="27644" xr:uid="{8E8A2ED4-38BF-4151-8F00-927BF3360602}"/>
    <cellStyle name="Input 3 24 2 3" xfId="27645" xr:uid="{A47FE4C6-2A31-44D4-BB90-E94F29F166CC}"/>
    <cellStyle name="Input 3 24 2 4" xfId="27646" xr:uid="{26655DC4-4732-46BC-AD1C-E7A0400A5241}"/>
    <cellStyle name="Input 3 24 2 5" xfId="27647" xr:uid="{9C329A0F-ADAF-411B-81F2-CCA09B6724FF}"/>
    <cellStyle name="Input 3 24 2 6" xfId="27648" xr:uid="{823877A4-CA0A-433D-9065-580B7E3D0807}"/>
    <cellStyle name="Input 3 24 3" xfId="27649" xr:uid="{63F993D9-FDC6-41C2-B984-572AF1BCADC5}"/>
    <cellStyle name="Input 3 24 4" xfId="27650" xr:uid="{A009F74B-CBEF-4F67-96AE-D3E20AA41D99}"/>
    <cellStyle name="Input 3 24 5" xfId="27651" xr:uid="{9B1ADD38-97FF-4D66-A563-B0F9958818DE}"/>
    <cellStyle name="Input 3 24 6" xfId="27652" xr:uid="{B777FC36-3212-4ABA-A363-C89A9879EC26}"/>
    <cellStyle name="Input 3 24 7" xfId="27653" xr:uid="{9F5D9870-B8BC-42B0-98DC-EADC329A7602}"/>
    <cellStyle name="Input 3 25" xfId="1647" xr:uid="{E19170FD-33F8-4267-A099-32C9B16B4CD7}"/>
    <cellStyle name="Input 3 25 2" xfId="9905" xr:uid="{01430B2E-5261-494E-91CF-C982187D4804}"/>
    <cellStyle name="Input 3 25 2 2" xfId="27654" xr:uid="{63B28101-A7F9-44C4-9B5F-19273B39E79F}"/>
    <cellStyle name="Input 3 25 2 3" xfId="27655" xr:uid="{1D5AD640-E941-4182-BCBA-BFDB972BE3C0}"/>
    <cellStyle name="Input 3 25 2 4" xfId="27656" xr:uid="{8D074045-C928-4D71-952B-E3C1E9751F57}"/>
    <cellStyle name="Input 3 25 2 5" xfId="27657" xr:uid="{00890FA5-4A18-46CC-ABC7-441DD1477718}"/>
    <cellStyle name="Input 3 25 2 6" xfId="27658" xr:uid="{F673C5CB-466D-4F7B-864F-E58C0342E8B9}"/>
    <cellStyle name="Input 3 25 3" xfId="27659" xr:uid="{98E87A17-5B37-45E6-81B4-36CB4A0DF291}"/>
    <cellStyle name="Input 3 25 4" xfId="27660" xr:uid="{8F9FBEFF-D04B-4306-86FC-445D10A580E4}"/>
    <cellStyle name="Input 3 25 5" xfId="27661" xr:uid="{44F953AE-024D-4896-AB14-5B79277D2FEA}"/>
    <cellStyle name="Input 3 25 6" xfId="27662" xr:uid="{95E10D22-C424-48D0-A64E-E41B90703B2D}"/>
    <cellStyle name="Input 3 25 7" xfId="27663" xr:uid="{096F646C-F63E-4464-85E4-0771CD20BCC3}"/>
    <cellStyle name="Input 3 26" xfId="1648" xr:uid="{FC0032E4-19D2-43F9-A14B-09CACD474906}"/>
    <cellStyle name="Input 3 26 2" xfId="11040" xr:uid="{CA7E94BA-4FF9-4492-9D0A-FF25103DFFC0}"/>
    <cellStyle name="Input 3 26 2 2" xfId="27664" xr:uid="{A0D423D2-7782-4BA4-97CE-0A780068D76E}"/>
    <cellStyle name="Input 3 26 2 3" xfId="27665" xr:uid="{A65B19E3-5660-4914-98BE-4E05C5C84F9A}"/>
    <cellStyle name="Input 3 26 2 4" xfId="27666" xr:uid="{6D490111-254C-4C2A-80BF-9924E02BDEC2}"/>
    <cellStyle name="Input 3 26 2 5" xfId="27667" xr:uid="{88A094DA-126C-4856-A94F-A4DA945739CF}"/>
    <cellStyle name="Input 3 26 2 6" xfId="27668" xr:uid="{936437A4-F9FC-443C-A21E-BBEEF70803F1}"/>
    <cellStyle name="Input 3 26 3" xfId="27669" xr:uid="{701432B6-F936-4649-A8B3-64A37B85AFCF}"/>
    <cellStyle name="Input 3 26 4" xfId="27670" xr:uid="{D6B7FE48-259A-4FE4-968E-29DB7652F5AE}"/>
    <cellStyle name="Input 3 26 5" xfId="27671" xr:uid="{DAE7B313-0999-48C9-ACD5-BDC903719852}"/>
    <cellStyle name="Input 3 26 6" xfId="27672" xr:uid="{395E817E-2C8C-4D13-BE1B-A78FF062AE97}"/>
    <cellStyle name="Input 3 26 7" xfId="27673" xr:uid="{5CF13730-58D8-42BF-8E1A-F1D96A46E1FB}"/>
    <cellStyle name="Input 3 27" xfId="1649" xr:uid="{BF4FFF6B-C219-49D2-A163-CD4497FF44D3}"/>
    <cellStyle name="Input 3 27 2" xfId="11476" xr:uid="{FB652BF5-06E9-4B20-A44C-256D1D32A024}"/>
    <cellStyle name="Input 3 27 2 2" xfId="27674" xr:uid="{6C2B0FD4-039D-47EC-9699-785FC692B939}"/>
    <cellStyle name="Input 3 27 2 3" xfId="27675" xr:uid="{5D4D0028-7815-4DFA-8DD8-88B09FB0EF55}"/>
    <cellStyle name="Input 3 27 2 4" xfId="27676" xr:uid="{22A6AE99-6B93-403C-ADCE-E0C2E4E24DB5}"/>
    <cellStyle name="Input 3 27 2 5" xfId="27677" xr:uid="{32F299BE-29C3-4746-A36D-1C3F7C0F0C20}"/>
    <cellStyle name="Input 3 27 2 6" xfId="27678" xr:uid="{2925524C-345E-4743-AFFC-F4C1C4ACB9F8}"/>
    <cellStyle name="Input 3 27 3" xfId="27679" xr:uid="{DE085F63-DEB5-4224-9CE4-4BA89F492B83}"/>
    <cellStyle name="Input 3 27 4" xfId="27680" xr:uid="{638D2093-E101-4AFD-B7CF-DC2A17C1806C}"/>
    <cellStyle name="Input 3 27 5" xfId="27681" xr:uid="{C0D67D80-239A-4180-9C58-B7834201856F}"/>
    <cellStyle name="Input 3 27 6" xfId="27682" xr:uid="{FFE9707F-5CD1-4C62-B1D4-276397716E89}"/>
    <cellStyle name="Input 3 27 7" xfId="27683" xr:uid="{DE373466-1823-4ADC-8E51-BFF5E37250F2}"/>
    <cellStyle name="Input 3 28" xfId="1650" xr:uid="{74F40077-4567-4FA2-BA15-3BA902A3214A}"/>
    <cellStyle name="Input 3 28 2" xfId="10339" xr:uid="{59357C51-203D-4DF4-B91D-ADF6FB191E6B}"/>
    <cellStyle name="Input 3 28 2 2" xfId="27684" xr:uid="{886846BA-B1FE-40AD-A7B6-E50073BCDBF3}"/>
    <cellStyle name="Input 3 28 2 3" xfId="27685" xr:uid="{0CAEEB83-03BB-4573-823F-19629B26BA54}"/>
    <cellStyle name="Input 3 28 2 4" xfId="27686" xr:uid="{D3FDAC04-D256-463C-8223-A2AFD705F520}"/>
    <cellStyle name="Input 3 28 2 5" xfId="27687" xr:uid="{7A41CAB7-8DEA-452E-9767-7C4BD428E9A0}"/>
    <cellStyle name="Input 3 28 2 6" xfId="27688" xr:uid="{C0A207EE-129A-4E39-B779-6B431F425A85}"/>
    <cellStyle name="Input 3 28 3" xfId="27689" xr:uid="{948C9B51-7FD3-456E-893F-4409E6785A83}"/>
    <cellStyle name="Input 3 28 4" xfId="27690" xr:uid="{4E5F2C97-A1EA-491D-9850-7335E321D3E7}"/>
    <cellStyle name="Input 3 28 5" xfId="27691" xr:uid="{2CDFB1FB-F9B9-45FF-9728-194B0071D357}"/>
    <cellStyle name="Input 3 28 6" xfId="27692" xr:uid="{C76ED26E-43A2-434D-8893-9B9B8C7E4FDD}"/>
    <cellStyle name="Input 3 28 7" xfId="27693" xr:uid="{13965C67-500A-4391-B46F-A95976DE0CE9}"/>
    <cellStyle name="Input 3 29" xfId="1651" xr:uid="{AC04B2FE-AAA9-407C-9B67-3093DE259E54}"/>
    <cellStyle name="Input 3 29 2" xfId="11563" xr:uid="{42CDB96E-915D-469A-A40E-996EDB56BFE2}"/>
    <cellStyle name="Input 3 29 2 2" xfId="27694" xr:uid="{5A196E96-7B78-4111-BA93-9B5FDECB79D2}"/>
    <cellStyle name="Input 3 29 2 3" xfId="27695" xr:uid="{50048952-8FC5-4263-B23A-5625911BB8C0}"/>
    <cellStyle name="Input 3 29 2 4" xfId="27696" xr:uid="{69C752B0-D00B-4032-B49E-E61FCB770FED}"/>
    <cellStyle name="Input 3 29 2 5" xfId="27697" xr:uid="{55F5776F-266B-4B82-A47A-1E5A48E43A7A}"/>
    <cellStyle name="Input 3 29 2 6" xfId="27698" xr:uid="{23ABA82F-4A62-4B1F-82B0-6C2652860D54}"/>
    <cellStyle name="Input 3 29 3" xfId="27699" xr:uid="{D99270D4-D585-40F2-9C5D-0D4D271AF669}"/>
    <cellStyle name="Input 3 29 4" xfId="27700" xr:uid="{9E594072-3308-4567-9242-67415E0FAA02}"/>
    <cellStyle name="Input 3 29 5" xfId="27701" xr:uid="{9D221E7C-73C9-41D4-9628-CF57F29B9696}"/>
    <cellStyle name="Input 3 29 6" xfId="27702" xr:uid="{1065E3DE-BC8F-4924-8725-C73D06330DBD}"/>
    <cellStyle name="Input 3 29 7" xfId="27703" xr:uid="{494BD53D-E82A-4A3A-8005-592A31B845B5}"/>
    <cellStyle name="Input 3 3" xfId="1652" xr:uid="{42C4645E-8425-4530-B1E2-D631E17554CB}"/>
    <cellStyle name="Input 3 3 10" xfId="1653" xr:uid="{D05F6217-B253-4FAA-AFC0-2092E9C9A310}"/>
    <cellStyle name="Input 3 3 10 2" xfId="10627" xr:uid="{8C8B5F63-579F-4901-9B22-3EE35CC46D45}"/>
    <cellStyle name="Input 3 3 10 2 2" xfId="27704" xr:uid="{AD9B377C-B977-4E79-AB3B-156DE5A77908}"/>
    <cellStyle name="Input 3 3 10 2 3" xfId="27705" xr:uid="{8A8E2929-E871-4DA7-9EAF-50C45E915DA1}"/>
    <cellStyle name="Input 3 3 10 2 4" xfId="27706" xr:uid="{B0A3C05F-9972-4E9B-8C30-1C90EF647AFD}"/>
    <cellStyle name="Input 3 3 10 2 5" xfId="27707" xr:uid="{D46F0A0D-F3FB-4E61-8BE0-4FDD9770D8C5}"/>
    <cellStyle name="Input 3 3 10 2 6" xfId="27708" xr:uid="{9E9EE2EA-D1B1-4341-9965-BB24CED8ABE8}"/>
    <cellStyle name="Input 3 3 10 3" xfId="27709" xr:uid="{5072D8D2-FBE6-45F3-BEC2-A510B08F48FA}"/>
    <cellStyle name="Input 3 3 10 4" xfId="27710" xr:uid="{D2805B24-F6BE-483C-A136-BE712B23F5EA}"/>
    <cellStyle name="Input 3 3 10 5" xfId="27711" xr:uid="{D794B356-2281-4EF5-B200-87B73AA103CF}"/>
    <cellStyle name="Input 3 3 10 6" xfId="27712" xr:uid="{B173A4C2-51BD-4EF0-8DAB-FDDEBC1D5D74}"/>
    <cellStyle name="Input 3 3 10 7" xfId="27713" xr:uid="{30CACF7D-3967-47D3-81F6-145F804F701B}"/>
    <cellStyle name="Input 3 3 11" xfId="1654" xr:uid="{9B17B903-339F-4925-BECB-33C07CFD82FA}"/>
    <cellStyle name="Input 3 3 11 2" xfId="10718" xr:uid="{7FB49B39-BE2F-4ED4-BFEF-077E8D821C3A}"/>
    <cellStyle name="Input 3 3 11 2 2" xfId="27714" xr:uid="{CBD59AB5-141D-4453-96B8-B6936453EB7D}"/>
    <cellStyle name="Input 3 3 11 2 3" xfId="27715" xr:uid="{6FBACCBE-FAE4-4D00-9D11-39773E62919E}"/>
    <cellStyle name="Input 3 3 11 2 4" xfId="27716" xr:uid="{5D89D277-D43F-454B-ACE2-54589799999D}"/>
    <cellStyle name="Input 3 3 11 2 5" xfId="27717" xr:uid="{A94317C8-83AD-4803-AF4B-928988EA82A2}"/>
    <cellStyle name="Input 3 3 11 2 6" xfId="27718" xr:uid="{550C065A-B11F-4687-92DC-9127184F2DDB}"/>
    <cellStyle name="Input 3 3 11 3" xfId="27719" xr:uid="{220E7290-4DFF-4086-BE88-E04ED17B3E93}"/>
    <cellStyle name="Input 3 3 11 4" xfId="27720" xr:uid="{B990AFC3-57C4-42F3-824D-D5CB947DDB91}"/>
    <cellStyle name="Input 3 3 11 5" xfId="27721" xr:uid="{779E93C6-DF0A-47D7-918D-2E5EBBE60BC6}"/>
    <cellStyle name="Input 3 3 11 6" xfId="27722" xr:uid="{4EE63EF1-D3F2-4C1A-9EC7-FC1BEB5CDB4F}"/>
    <cellStyle name="Input 3 3 11 7" xfId="27723" xr:uid="{1DEE8278-CB3D-4BEF-8C62-C27C152B46AA}"/>
    <cellStyle name="Input 3 3 12" xfId="1655" xr:uid="{88CC5033-E59B-416E-9295-D2A74C63ABF2}"/>
    <cellStyle name="Input 3 3 12 2" xfId="10806" xr:uid="{1534783D-CE24-4131-813E-90FDCA001D49}"/>
    <cellStyle name="Input 3 3 12 2 2" xfId="27724" xr:uid="{FB30A005-A8A3-4D82-AC46-43AAEEA1CD1E}"/>
    <cellStyle name="Input 3 3 12 2 3" xfId="27725" xr:uid="{EEBA435C-497B-49DA-BEB9-5598F178A1EB}"/>
    <cellStyle name="Input 3 3 12 2 4" xfId="27726" xr:uid="{FAC8009C-A858-41A0-8BB9-0D216FD63DBD}"/>
    <cellStyle name="Input 3 3 12 2 5" xfId="27727" xr:uid="{6667C14B-9F14-4524-9A0E-E8C280BAF913}"/>
    <cellStyle name="Input 3 3 12 2 6" xfId="27728" xr:uid="{521BAF3A-2E19-4CED-A6FA-9A48A4C23A5B}"/>
    <cellStyle name="Input 3 3 12 3" xfId="27729" xr:uid="{137EA2BB-FBA3-47B4-9867-E9B48DAD9402}"/>
    <cellStyle name="Input 3 3 12 4" xfId="27730" xr:uid="{23C86656-7036-4129-8AAA-A2C0055270D8}"/>
    <cellStyle name="Input 3 3 12 5" xfId="27731" xr:uid="{C3C2BE2C-2798-4158-921B-C6C8BA75C9CB}"/>
    <cellStyle name="Input 3 3 12 6" xfId="27732" xr:uid="{1FFD0B8B-0C37-4567-AE55-73185DF12457}"/>
    <cellStyle name="Input 3 3 12 7" xfId="27733" xr:uid="{5146D201-2894-496A-AACD-BFA38829297B}"/>
    <cellStyle name="Input 3 3 13" xfId="1656" xr:uid="{1C35CF7D-E40F-4DA4-BEB7-A97C6491DE12}"/>
    <cellStyle name="Input 3 3 13 2" xfId="10895" xr:uid="{059C5E1F-8AC3-43EF-A00F-ADAD14629FFD}"/>
    <cellStyle name="Input 3 3 13 2 2" xfId="27734" xr:uid="{084B5362-D8F9-408E-A37F-CC6B6F039959}"/>
    <cellStyle name="Input 3 3 13 2 3" xfId="27735" xr:uid="{138B9B04-BBCA-4CF5-B890-7C8E46B9E1AE}"/>
    <cellStyle name="Input 3 3 13 2 4" xfId="27736" xr:uid="{78232C72-6226-451D-B7AD-D29292F4E381}"/>
    <cellStyle name="Input 3 3 13 2 5" xfId="27737" xr:uid="{B02A39F7-DF0B-419A-80F8-0BFAC449DDC7}"/>
    <cellStyle name="Input 3 3 13 2 6" xfId="27738" xr:uid="{DBD26093-3411-49F9-AD8D-DC89E676B1C5}"/>
    <cellStyle name="Input 3 3 13 3" xfId="27739" xr:uid="{56CAA3F2-0B3E-42A6-BB0F-839CBEB7DDFB}"/>
    <cellStyle name="Input 3 3 13 4" xfId="27740" xr:uid="{245FF038-E9CC-4439-8EF2-93978F5CD29C}"/>
    <cellStyle name="Input 3 3 13 5" xfId="27741" xr:uid="{280E756E-2D07-4F8E-964C-2B8B423BE8C3}"/>
    <cellStyle name="Input 3 3 13 6" xfId="27742" xr:uid="{95FB0BFA-7C20-4AC9-9B84-5E540CBA481A}"/>
    <cellStyle name="Input 3 3 13 7" xfId="27743" xr:uid="{4D8DBF92-7731-4A71-83B6-6881F4A5069A}"/>
    <cellStyle name="Input 3 3 14" xfId="1657" xr:uid="{04897615-717B-4171-B1BF-F5165A9F71E4}"/>
    <cellStyle name="Input 3 3 14 2" xfId="10985" xr:uid="{BEA437A6-FD9F-4790-BA6B-3FF2882EF859}"/>
    <cellStyle name="Input 3 3 14 2 2" xfId="27744" xr:uid="{7A16CC17-C876-4EB6-970E-F28DB1D6FBAD}"/>
    <cellStyle name="Input 3 3 14 2 3" xfId="27745" xr:uid="{B9381578-4B2B-4329-BDB3-FB21F67B5AD3}"/>
    <cellStyle name="Input 3 3 14 2 4" xfId="27746" xr:uid="{8F307DE6-DF14-4412-90A3-D389C8B7221D}"/>
    <cellStyle name="Input 3 3 14 2 5" xfId="27747" xr:uid="{27ED04F4-6A32-4DD6-BB0C-3384F763404F}"/>
    <cellStyle name="Input 3 3 14 2 6" xfId="27748" xr:uid="{D3C16B4D-EC5C-4085-AEF2-6305D5E447CF}"/>
    <cellStyle name="Input 3 3 14 3" xfId="27749" xr:uid="{FC22F83E-A50F-4DBF-97C5-445EAB7FE31F}"/>
    <cellStyle name="Input 3 3 14 4" xfId="27750" xr:uid="{853D42D2-C8B9-4D07-B1E1-3D0D38FB168F}"/>
    <cellStyle name="Input 3 3 14 5" xfId="27751" xr:uid="{034D5B80-6B0E-4325-82F7-8778879EC623}"/>
    <cellStyle name="Input 3 3 14 6" xfId="27752" xr:uid="{B1016B68-B3A2-49C9-ACAE-371786636085}"/>
    <cellStyle name="Input 3 3 14 7" xfId="27753" xr:uid="{BFFF7DDD-7E64-4246-B536-4037A2198964}"/>
    <cellStyle name="Input 3 3 15" xfId="1658" xr:uid="{380710CB-6FA1-416E-8316-2E6068EEC82C}"/>
    <cellStyle name="Input 3 3 15 2" xfId="11076" xr:uid="{B72A6D3A-4274-4878-A114-D3EBD8C4C26E}"/>
    <cellStyle name="Input 3 3 15 2 2" xfId="27754" xr:uid="{BF78D611-A3A6-4BCF-8A96-562E580ED35D}"/>
    <cellStyle name="Input 3 3 15 2 3" xfId="27755" xr:uid="{053306A3-0FCE-411A-A3DE-54FC07ACD186}"/>
    <cellStyle name="Input 3 3 15 2 4" xfId="27756" xr:uid="{459ECE9A-E965-43B4-863C-4BC3BB6EFFEC}"/>
    <cellStyle name="Input 3 3 15 2 5" xfId="27757" xr:uid="{72F9B034-7AA0-4AA0-A7E0-B38A7D19A4E1}"/>
    <cellStyle name="Input 3 3 15 2 6" xfId="27758" xr:uid="{8B4048D1-F22B-410F-9CFF-7CE87F3DAD44}"/>
    <cellStyle name="Input 3 3 15 3" xfId="27759" xr:uid="{1D4DFA78-04D8-4746-8D76-C6B0814FD01C}"/>
    <cellStyle name="Input 3 3 15 4" xfId="27760" xr:uid="{7B287B5E-1527-430A-921B-D387A1CEC8C4}"/>
    <cellStyle name="Input 3 3 15 5" xfId="27761" xr:uid="{BB19FB0E-7C94-40E6-A321-88D73A1E8678}"/>
    <cellStyle name="Input 3 3 15 6" xfId="27762" xr:uid="{DBD7CC5A-9568-4D1C-8022-CAF36B78521C}"/>
    <cellStyle name="Input 3 3 15 7" xfId="27763" xr:uid="{018584AF-CA60-4D07-8957-48BCA647D676}"/>
    <cellStyle name="Input 3 3 16" xfId="1659" xr:uid="{6C20490C-8DF7-405D-BEC7-5064472D48F3}"/>
    <cellStyle name="Input 3 3 16 2" xfId="11159" xr:uid="{650258D5-0856-49DA-A3FD-F935A8234CAE}"/>
    <cellStyle name="Input 3 3 16 2 2" xfId="27764" xr:uid="{44C81998-8D34-484A-AD27-85CDA603B926}"/>
    <cellStyle name="Input 3 3 16 2 3" xfId="27765" xr:uid="{699D5E63-BA6F-4479-8654-BCAEF7E1E719}"/>
    <cellStyle name="Input 3 3 16 2 4" xfId="27766" xr:uid="{666FCB05-FF67-45DE-B543-D8CD88A43717}"/>
    <cellStyle name="Input 3 3 16 2 5" xfId="27767" xr:uid="{062FD783-A766-4E89-AB95-22B0C1CB2F0D}"/>
    <cellStyle name="Input 3 3 16 2 6" xfId="27768" xr:uid="{3A7C0C9A-6EA6-4269-8C01-260415E8D5EB}"/>
    <cellStyle name="Input 3 3 16 3" xfId="27769" xr:uid="{DF400826-E0D2-46D2-AC60-2A13471D22A2}"/>
    <cellStyle name="Input 3 3 16 4" xfId="27770" xr:uid="{B696A72D-4D9B-404D-A1AF-39DBA913E237}"/>
    <cellStyle name="Input 3 3 16 5" xfId="27771" xr:uid="{6BCDB799-68D4-4E29-827C-8784236018FE}"/>
    <cellStyle name="Input 3 3 16 6" xfId="27772" xr:uid="{31F55A1D-EA52-43C9-9274-8ED2FEB6FF51}"/>
    <cellStyle name="Input 3 3 16 7" xfId="27773" xr:uid="{4B40FDF9-7A40-40F5-A9A8-4CDBE3A66C95}"/>
    <cellStyle name="Input 3 3 17" xfId="1660" xr:uid="{1DF99217-6228-45E7-9E52-DBC1C1A61BF1}"/>
    <cellStyle name="Input 3 3 17 2" xfId="11249" xr:uid="{11294229-5B27-4CB2-A347-77289CEEC4DB}"/>
    <cellStyle name="Input 3 3 17 2 2" xfId="27774" xr:uid="{793B6513-F409-4E5F-A8FB-A2DD39201E9E}"/>
    <cellStyle name="Input 3 3 17 2 3" xfId="27775" xr:uid="{6C415740-D7C2-46DF-BDAB-A0E41711EDF6}"/>
    <cellStyle name="Input 3 3 17 2 4" xfId="27776" xr:uid="{4B1F974D-F35F-4109-804A-250026503BE2}"/>
    <cellStyle name="Input 3 3 17 2 5" xfId="27777" xr:uid="{1832FE71-3CF4-4ABD-8094-9A1EFF893AF8}"/>
    <cellStyle name="Input 3 3 17 2 6" xfId="27778" xr:uid="{5AB65731-5093-42AB-801F-DBF90A268EAD}"/>
    <cellStyle name="Input 3 3 17 3" xfId="27779" xr:uid="{2DB90BBF-86FA-430C-BE6A-384377856991}"/>
    <cellStyle name="Input 3 3 17 4" xfId="27780" xr:uid="{2F5C93BE-BF20-4702-BEEE-43723C9AD1FE}"/>
    <cellStyle name="Input 3 3 17 5" xfId="27781" xr:uid="{39730C6A-D378-4B89-8AF1-8D60600D1F03}"/>
    <cellStyle name="Input 3 3 17 6" xfId="27782" xr:uid="{9F9293B4-AF18-44CA-A99E-A21F9ABCEBC2}"/>
    <cellStyle name="Input 3 3 17 7" xfId="27783" xr:uid="{FCD2538F-85B2-4E97-8B9C-FDFC1BD12DA9}"/>
    <cellStyle name="Input 3 3 18" xfId="1661" xr:uid="{A11EBC31-C65C-4C09-B810-385A7FB93A80}"/>
    <cellStyle name="Input 3 3 18 2" xfId="11335" xr:uid="{E24183D3-E518-4D93-9E91-DBAD90B7F670}"/>
    <cellStyle name="Input 3 3 18 2 2" xfId="27784" xr:uid="{CFED253D-6094-4066-813E-EC6F108D1321}"/>
    <cellStyle name="Input 3 3 18 2 3" xfId="27785" xr:uid="{DEEE5FC9-19A6-44D5-8E7A-E36359585DE4}"/>
    <cellStyle name="Input 3 3 18 2 4" xfId="27786" xr:uid="{C7C11472-CAF5-4416-88B9-026C4C4C6792}"/>
    <cellStyle name="Input 3 3 18 2 5" xfId="27787" xr:uid="{EB0FC7F2-8A09-4BA1-87C9-F739AD5D6153}"/>
    <cellStyle name="Input 3 3 18 2 6" xfId="27788" xr:uid="{405D9D8B-BB88-4FE8-99E0-D85A64121117}"/>
    <cellStyle name="Input 3 3 18 3" xfId="27789" xr:uid="{DB3A9C48-093C-495D-8791-3284E19D58AD}"/>
    <cellStyle name="Input 3 3 18 4" xfId="27790" xr:uid="{2F0B5F18-7264-4EB7-BDA2-6B36FA3CF49A}"/>
    <cellStyle name="Input 3 3 18 5" xfId="27791" xr:uid="{A1549F88-4785-4EC4-BFFE-F260F0D1475F}"/>
    <cellStyle name="Input 3 3 18 6" xfId="27792" xr:uid="{FB704E30-90D2-4323-8F1E-1BDF76239B64}"/>
    <cellStyle name="Input 3 3 18 7" xfId="27793" xr:uid="{D95B35B1-F387-4123-9755-9C043F665AEA}"/>
    <cellStyle name="Input 3 3 19" xfId="1662" xr:uid="{1C751AD8-0C8F-4ED4-94D9-C1DD4608EBDB}"/>
    <cellStyle name="Input 3 3 19 2" xfId="11421" xr:uid="{5D0FCB0F-D2CA-4217-9A73-F9E2B33ABB96}"/>
    <cellStyle name="Input 3 3 19 2 2" xfId="27794" xr:uid="{07964D9A-9C8B-4A2C-BBEA-4FAAFA1776CE}"/>
    <cellStyle name="Input 3 3 19 2 3" xfId="27795" xr:uid="{2F629A0C-9802-473D-A96A-FCE9B7209D85}"/>
    <cellStyle name="Input 3 3 19 2 4" xfId="27796" xr:uid="{C1475E93-780C-4325-A93F-3F81536248C4}"/>
    <cellStyle name="Input 3 3 19 2 5" xfId="27797" xr:uid="{45CCB200-2FCC-4202-926B-4021D7D58E46}"/>
    <cellStyle name="Input 3 3 19 2 6" xfId="27798" xr:uid="{A2D8C467-DFD6-49FF-BC50-B7D6DEA9856F}"/>
    <cellStyle name="Input 3 3 19 3" xfId="27799" xr:uid="{6704E3CE-FE56-4F05-84CA-AAFAB74EA955}"/>
    <cellStyle name="Input 3 3 19 4" xfId="27800" xr:uid="{4B11C897-3CC1-437D-AEF1-A645BB0ED6B7}"/>
    <cellStyle name="Input 3 3 19 5" xfId="27801" xr:uid="{DF750790-D32B-4B16-B641-1EA3B23DE8C9}"/>
    <cellStyle name="Input 3 3 19 6" xfId="27802" xr:uid="{6F0B2AFE-7489-4194-AA51-4FD0C170E0C2}"/>
    <cellStyle name="Input 3 3 19 7" xfId="27803" xr:uid="{3630FD32-380F-4897-96A4-BFF6EEB064B4}"/>
    <cellStyle name="Input 3 3 2" xfId="1663" xr:uid="{C2E49E37-2988-45C4-96D8-87C1CBC391D6}"/>
    <cellStyle name="Input 3 3 2 10" xfId="1664" xr:uid="{E78AAC89-FCFA-430C-BC8E-3DACC38891D9}"/>
    <cellStyle name="Input 3 3 2 10 2" xfId="10752" xr:uid="{AC97CA4E-3172-482D-BAEE-025F3B302303}"/>
    <cellStyle name="Input 3 3 2 10 2 2" xfId="27804" xr:uid="{84BCDE2B-A273-42BB-B532-399D70629224}"/>
    <cellStyle name="Input 3 3 2 10 2 3" xfId="27805" xr:uid="{B50435CA-AD72-4B15-B383-B7D3AE84B4B0}"/>
    <cellStyle name="Input 3 3 2 10 2 4" xfId="27806" xr:uid="{FAE18540-A8A1-4980-A2F7-24B5FF664978}"/>
    <cellStyle name="Input 3 3 2 10 2 5" xfId="27807" xr:uid="{EBBA0B8A-7996-4116-9F82-736E70C37778}"/>
    <cellStyle name="Input 3 3 2 10 2 6" xfId="27808" xr:uid="{D2618889-1EDD-4B1F-BD32-50BE72D759AE}"/>
    <cellStyle name="Input 3 3 2 10 3" xfId="27809" xr:uid="{31227C94-1C48-4905-B8B0-44873061DBC7}"/>
    <cellStyle name="Input 3 3 2 10 4" xfId="27810" xr:uid="{62A00810-EBF0-4D7F-8D0C-EA6AC51D20AF}"/>
    <cellStyle name="Input 3 3 2 10 5" xfId="27811" xr:uid="{032C39DA-4917-497D-91EB-5876BEED8451}"/>
    <cellStyle name="Input 3 3 2 10 6" xfId="27812" xr:uid="{C04BEC0C-83FA-41E3-9A98-C569CA2B086C}"/>
    <cellStyle name="Input 3 3 2 10 7" xfId="27813" xr:uid="{7F23A189-16C6-4816-94C7-E08C1C8F3817}"/>
    <cellStyle name="Input 3 3 2 11" xfId="1665" xr:uid="{9EBBD7C4-D8E1-4E12-A06B-6C879A83EEC0}"/>
    <cellStyle name="Input 3 3 2 11 2" xfId="10840" xr:uid="{4AD2C87C-1404-4664-BD20-4F472F3F6D09}"/>
    <cellStyle name="Input 3 3 2 11 2 2" xfId="27814" xr:uid="{D23FD5CC-4313-408B-8648-310B02AE167C}"/>
    <cellStyle name="Input 3 3 2 11 2 3" xfId="27815" xr:uid="{D1E404BD-B2DE-4DA3-A385-E4A64DA26AF3}"/>
    <cellStyle name="Input 3 3 2 11 2 4" xfId="27816" xr:uid="{9EB6FDA7-BDBB-4FAF-A03C-626ACDE77E04}"/>
    <cellStyle name="Input 3 3 2 11 2 5" xfId="27817" xr:uid="{30550851-07C6-42BA-B36D-AF35FBEC47BF}"/>
    <cellStyle name="Input 3 3 2 11 2 6" xfId="27818" xr:uid="{C93967AC-46AB-41CC-9F27-4215DF5559FB}"/>
    <cellStyle name="Input 3 3 2 11 3" xfId="27819" xr:uid="{69CF5B86-D2C8-4F3D-99EC-98E3BF5A2AEF}"/>
    <cellStyle name="Input 3 3 2 11 4" xfId="27820" xr:uid="{0B6CCB98-ECA2-415D-8C9F-28EE82A1BBAE}"/>
    <cellStyle name="Input 3 3 2 11 5" xfId="27821" xr:uid="{A8747C93-A5D7-489A-B5C8-CE4208490A39}"/>
    <cellStyle name="Input 3 3 2 11 6" xfId="27822" xr:uid="{A6F0070C-4EBB-47E7-B0DD-865DB6136D99}"/>
    <cellStyle name="Input 3 3 2 11 7" xfId="27823" xr:uid="{D42B04F1-9282-4EF0-AF0C-D5B914FCE844}"/>
    <cellStyle name="Input 3 3 2 12" xfId="1666" xr:uid="{0AF83E83-FD29-4A3A-835B-81AEF4663319}"/>
    <cellStyle name="Input 3 3 2 12 2" xfId="10929" xr:uid="{940679C2-5D1A-42FA-B1F1-F68A056F387F}"/>
    <cellStyle name="Input 3 3 2 12 2 2" xfId="27824" xr:uid="{47BE7083-782C-4E94-8FA8-CD62CAF387C4}"/>
    <cellStyle name="Input 3 3 2 12 2 3" xfId="27825" xr:uid="{141D1F3B-8202-4480-95DB-D852A13C4E13}"/>
    <cellStyle name="Input 3 3 2 12 2 4" xfId="27826" xr:uid="{B0CE04A0-3A49-4FDF-9AF4-FC0B922A3EB9}"/>
    <cellStyle name="Input 3 3 2 12 2 5" xfId="27827" xr:uid="{7A867A09-0447-43B4-A3D1-6E83107C21B4}"/>
    <cellStyle name="Input 3 3 2 12 2 6" xfId="27828" xr:uid="{6233EA48-C849-4D56-9DA2-927C8448B6AA}"/>
    <cellStyle name="Input 3 3 2 12 3" xfId="27829" xr:uid="{EBEE7717-4BA7-466E-8433-429F52E5B725}"/>
    <cellStyle name="Input 3 3 2 12 4" xfId="27830" xr:uid="{8B4BBD00-9A51-450A-8E94-081758C1B5AE}"/>
    <cellStyle name="Input 3 3 2 12 5" xfId="27831" xr:uid="{20B15B0A-0526-447D-8607-B3BCAF923E1E}"/>
    <cellStyle name="Input 3 3 2 12 6" xfId="27832" xr:uid="{3254D5C7-B1E1-49F8-9492-0F53024AED0D}"/>
    <cellStyle name="Input 3 3 2 12 7" xfId="27833" xr:uid="{F5A467AB-01E6-4AAA-90CE-1DEA3EBDA5B6}"/>
    <cellStyle name="Input 3 3 2 13" xfId="1667" xr:uid="{680DF7F2-7F5C-4371-AAAE-DFC4C2683302}"/>
    <cellStyle name="Input 3 3 2 13 2" xfId="11019" xr:uid="{AA59C316-C521-4EF7-AE55-91E6248404F0}"/>
    <cellStyle name="Input 3 3 2 13 2 2" xfId="27834" xr:uid="{94AA01AC-49F9-401A-80BB-DD990146C2F3}"/>
    <cellStyle name="Input 3 3 2 13 2 3" xfId="27835" xr:uid="{10BB19F2-9D28-4808-9BDF-986206167620}"/>
    <cellStyle name="Input 3 3 2 13 2 4" xfId="27836" xr:uid="{92BE1E4C-392C-46E4-B17C-8C10EC7C47D7}"/>
    <cellStyle name="Input 3 3 2 13 2 5" xfId="27837" xr:uid="{9096D439-B9DB-42DC-BC95-4AC9F295BF09}"/>
    <cellStyle name="Input 3 3 2 13 2 6" xfId="27838" xr:uid="{B9A40827-8130-412B-BFCA-DE8FE26141BA}"/>
    <cellStyle name="Input 3 3 2 13 3" xfId="27839" xr:uid="{2C555CE3-5E51-40AE-B2BD-A568CB981397}"/>
    <cellStyle name="Input 3 3 2 13 4" xfId="27840" xr:uid="{43A0DA75-A04A-47F8-960B-21CFB14AC25C}"/>
    <cellStyle name="Input 3 3 2 13 5" xfId="27841" xr:uid="{F5EA87A6-2F94-4CB4-ADDA-1F547B0C9DA0}"/>
    <cellStyle name="Input 3 3 2 13 6" xfId="27842" xr:uid="{2EF74B3A-400C-4E9D-B17C-CA68B74EA0C5}"/>
    <cellStyle name="Input 3 3 2 13 7" xfId="27843" xr:uid="{4FF7A949-FFE9-4FB3-9451-D6AAF0D28A0F}"/>
    <cellStyle name="Input 3 3 2 14" xfId="1668" xr:uid="{A55F8D52-C298-4696-8518-C9804927A124}"/>
    <cellStyle name="Input 3 3 2 14 2" xfId="11109" xr:uid="{EAE80D5D-C5A2-49DB-A810-B9FCAFB83708}"/>
    <cellStyle name="Input 3 3 2 14 2 2" xfId="27844" xr:uid="{51831093-FB33-476D-B5F6-77E080FEB3DF}"/>
    <cellStyle name="Input 3 3 2 14 2 3" xfId="27845" xr:uid="{743BFC7F-52CB-4E4C-80C9-1BC23528B2ED}"/>
    <cellStyle name="Input 3 3 2 14 2 4" xfId="27846" xr:uid="{F2E24F35-C6E0-4D66-B5A8-D733DB1AAEE3}"/>
    <cellStyle name="Input 3 3 2 14 2 5" xfId="27847" xr:uid="{960D79F6-EB3F-4DDF-9FDB-166B26A8E689}"/>
    <cellStyle name="Input 3 3 2 14 2 6" xfId="27848" xr:uid="{2B1A04F8-A9BA-43C7-81A7-874377663930}"/>
    <cellStyle name="Input 3 3 2 14 3" xfId="27849" xr:uid="{7304B143-5502-414A-85C0-063D04F3EF40}"/>
    <cellStyle name="Input 3 3 2 14 4" xfId="27850" xr:uid="{A5220398-2632-4983-8BD6-41F6F9DE2BE3}"/>
    <cellStyle name="Input 3 3 2 14 5" xfId="27851" xr:uid="{763DA542-109B-4D95-A9B6-83F7945CB3F9}"/>
    <cellStyle name="Input 3 3 2 14 6" xfId="27852" xr:uid="{FF250B81-45FF-414F-B095-5ACDBF42A3C8}"/>
    <cellStyle name="Input 3 3 2 14 7" xfId="27853" xr:uid="{0177EE2D-7CC6-4E80-81FC-76C28C0E4B9B}"/>
    <cellStyle name="Input 3 3 2 15" xfId="1669" xr:uid="{8B5A1483-1D87-45C5-926E-02913C052047}"/>
    <cellStyle name="Input 3 3 2 15 2" xfId="11192" xr:uid="{B44448B4-4C10-436B-9332-60E5FBF48D5F}"/>
    <cellStyle name="Input 3 3 2 15 2 2" xfId="27854" xr:uid="{670095C6-DD39-4664-BD6A-F423BC5D2EE1}"/>
    <cellStyle name="Input 3 3 2 15 2 3" xfId="27855" xr:uid="{88A92915-A6B5-4797-8C6C-765DB7DEA69E}"/>
    <cellStyle name="Input 3 3 2 15 2 4" xfId="27856" xr:uid="{29CF4065-E730-49B1-B3FC-223151C25E5A}"/>
    <cellStyle name="Input 3 3 2 15 2 5" xfId="27857" xr:uid="{A59B8198-2DCD-4ACB-B986-F2CCF52390CA}"/>
    <cellStyle name="Input 3 3 2 15 2 6" xfId="27858" xr:uid="{8513C2EA-F595-4B09-BE94-19F4E50378A4}"/>
    <cellStyle name="Input 3 3 2 15 3" xfId="27859" xr:uid="{3B86A81D-B09E-479F-9A42-E989C17A720C}"/>
    <cellStyle name="Input 3 3 2 15 4" xfId="27860" xr:uid="{309D0300-1431-431D-82DF-8191DE28C31E}"/>
    <cellStyle name="Input 3 3 2 15 5" xfId="27861" xr:uid="{98EAC3C0-5A80-4463-9F7A-7B8FD0B7DBFC}"/>
    <cellStyle name="Input 3 3 2 15 6" xfId="27862" xr:uid="{FB157831-00B4-407C-9722-62196B094ECE}"/>
    <cellStyle name="Input 3 3 2 15 7" xfId="27863" xr:uid="{CD3C8A99-342E-48B0-BB69-71E32EEA115E}"/>
    <cellStyle name="Input 3 3 2 16" xfId="1670" xr:uid="{C9743BE4-90C2-46D3-B266-6248A54AE5B8}"/>
    <cellStyle name="Input 3 3 2 16 2" xfId="11282" xr:uid="{748CB489-E02E-4F7A-9500-18A130F3D64B}"/>
    <cellStyle name="Input 3 3 2 16 2 2" xfId="27864" xr:uid="{5D097165-9920-48F0-B534-67D1DBF9B519}"/>
    <cellStyle name="Input 3 3 2 16 2 3" xfId="27865" xr:uid="{82448B9B-93DA-474A-96F1-E22AD5A42FAA}"/>
    <cellStyle name="Input 3 3 2 16 2 4" xfId="27866" xr:uid="{D34B4E66-EA61-4D7D-B56B-BD17421C2253}"/>
    <cellStyle name="Input 3 3 2 16 2 5" xfId="27867" xr:uid="{6097F4FB-A454-47B1-A48A-0A20C2165C73}"/>
    <cellStyle name="Input 3 3 2 16 2 6" xfId="27868" xr:uid="{B3F6C108-B8FB-4A1B-A1EB-254848918125}"/>
    <cellStyle name="Input 3 3 2 16 3" xfId="27869" xr:uid="{F8CF2CA2-6F7B-462A-BFBD-4CB5A4F92694}"/>
    <cellStyle name="Input 3 3 2 16 4" xfId="27870" xr:uid="{91BEC84C-2DFC-41CF-AD7F-D613B6B87842}"/>
    <cellStyle name="Input 3 3 2 16 5" xfId="27871" xr:uid="{B963A6F9-5831-4AF5-A867-DCB64C84A43F}"/>
    <cellStyle name="Input 3 3 2 16 6" xfId="27872" xr:uid="{FD423D08-1F5B-4A7A-86E9-F3F6E6EE8029}"/>
    <cellStyle name="Input 3 3 2 16 7" xfId="27873" xr:uid="{317FC33E-39C9-45CF-A234-0FD9F969C676}"/>
    <cellStyle name="Input 3 3 2 17" xfId="1671" xr:uid="{553F0C8D-94FF-42AC-9532-14E75C4697DB}"/>
    <cellStyle name="Input 3 3 2 17 2" xfId="11368" xr:uid="{D8251D14-8A4B-4AC7-A7CC-7D019B9578EC}"/>
    <cellStyle name="Input 3 3 2 17 2 2" xfId="27874" xr:uid="{BCF1BA63-F90B-491B-AA4A-285FF7D19037}"/>
    <cellStyle name="Input 3 3 2 17 2 3" xfId="27875" xr:uid="{3F0CF24D-7561-41FB-B535-5F62491E2F30}"/>
    <cellStyle name="Input 3 3 2 17 2 4" xfId="27876" xr:uid="{E33CFA77-5446-4C91-A7BD-D2D0B1EF754E}"/>
    <cellStyle name="Input 3 3 2 17 2 5" xfId="27877" xr:uid="{DF8E895C-94BC-4851-872C-231964381636}"/>
    <cellStyle name="Input 3 3 2 17 2 6" xfId="27878" xr:uid="{0904D674-10F9-4FB1-B997-FAA7683E2524}"/>
    <cellStyle name="Input 3 3 2 17 3" xfId="27879" xr:uid="{59884F98-7807-4D1B-BFC6-FE0319BDF67C}"/>
    <cellStyle name="Input 3 3 2 17 4" xfId="27880" xr:uid="{81B23F55-A061-4919-B76C-802712387E90}"/>
    <cellStyle name="Input 3 3 2 17 5" xfId="27881" xr:uid="{4669F65F-00A1-4360-937F-36B3911D35A6}"/>
    <cellStyle name="Input 3 3 2 17 6" xfId="27882" xr:uid="{AAE305A9-C23B-40DD-8B74-51DC5D81AABC}"/>
    <cellStyle name="Input 3 3 2 17 7" xfId="27883" xr:uid="{6B7AD2A0-CCB3-4F74-BFB5-D9D8787C7461}"/>
    <cellStyle name="Input 3 3 2 18" xfId="1672" xr:uid="{85E4F136-CBB9-4845-A574-1E4D490CEEB5}"/>
    <cellStyle name="Input 3 3 2 18 2" xfId="11455" xr:uid="{26AC63F7-F979-48FE-99CB-A5D303FF7264}"/>
    <cellStyle name="Input 3 3 2 18 2 2" xfId="27884" xr:uid="{60C770FF-E8DD-4656-92F4-F7E772BAC246}"/>
    <cellStyle name="Input 3 3 2 18 2 3" xfId="27885" xr:uid="{1563D484-62C2-4D04-9213-D84197D712FB}"/>
    <cellStyle name="Input 3 3 2 18 2 4" xfId="27886" xr:uid="{2635BF33-0BF7-4C02-B1F4-835538AD6B65}"/>
    <cellStyle name="Input 3 3 2 18 2 5" xfId="27887" xr:uid="{742BD0C5-142A-4E45-B08C-E430DC40BC97}"/>
    <cellStyle name="Input 3 3 2 18 2 6" xfId="27888" xr:uid="{CA0A7EFB-EC2A-45A5-B7DE-2B4D85162AE3}"/>
    <cellStyle name="Input 3 3 2 18 3" xfId="27889" xr:uid="{0D921F15-E486-4F62-BC82-EBAE42077884}"/>
    <cellStyle name="Input 3 3 2 18 4" xfId="27890" xr:uid="{5465D7EC-07AF-45D5-A1BD-21F0D262DB20}"/>
    <cellStyle name="Input 3 3 2 18 5" xfId="27891" xr:uid="{F37AD39C-3F8A-4F9D-94A1-5B44894CEBFF}"/>
    <cellStyle name="Input 3 3 2 18 6" xfId="27892" xr:uid="{A0FBE9E9-3445-4E4C-A624-53EFB1390742}"/>
    <cellStyle name="Input 3 3 2 18 7" xfId="27893" xr:uid="{50550CA1-2C08-40EC-ADA9-95E91A3064BB}"/>
    <cellStyle name="Input 3 3 2 19" xfId="1673" xr:uid="{BDFFF5DA-61F9-44E5-9198-B2F59772E8A3}"/>
    <cellStyle name="Input 3 3 2 19 2" xfId="11542" xr:uid="{8FBCE216-EC1E-40FF-9670-09324DD63DF2}"/>
    <cellStyle name="Input 3 3 2 19 2 2" xfId="27894" xr:uid="{3A74D526-65AA-4849-ADED-100622C52755}"/>
    <cellStyle name="Input 3 3 2 19 2 3" xfId="27895" xr:uid="{D5D22DDB-A9A7-43BB-B837-9AB85F6DDB34}"/>
    <cellStyle name="Input 3 3 2 19 2 4" xfId="27896" xr:uid="{CF194E88-BF91-4B44-8CAC-A3FA6A22A0C4}"/>
    <cellStyle name="Input 3 3 2 19 2 5" xfId="27897" xr:uid="{3C5CC800-B50C-4EB1-A143-2CD029ABE51B}"/>
    <cellStyle name="Input 3 3 2 19 2 6" xfId="27898" xr:uid="{F7B13D44-4783-461A-83DD-50EA52B71301}"/>
    <cellStyle name="Input 3 3 2 19 3" xfId="27899" xr:uid="{8E518FD4-9218-44A8-ACDA-073C57C86AB9}"/>
    <cellStyle name="Input 3 3 2 19 4" xfId="27900" xr:uid="{0B167138-8BBD-4E3A-9B45-6B60E9023EC7}"/>
    <cellStyle name="Input 3 3 2 19 5" xfId="27901" xr:uid="{C1C1A25F-43C9-4C51-9F3D-93E1326B71B8}"/>
    <cellStyle name="Input 3 3 2 19 6" xfId="27902" xr:uid="{49B860C0-CD13-4926-BEF3-91B7179FA094}"/>
    <cellStyle name="Input 3 3 2 19 7" xfId="27903" xr:uid="{1F9D071A-D011-4735-AF6C-FC08A4FFEE88}"/>
    <cellStyle name="Input 3 3 2 2" xfId="1674" xr:uid="{3FBDE93A-ED8E-4ACC-9F99-269E22F0A81F}"/>
    <cellStyle name="Input 3 3 2 2 2" xfId="10049" xr:uid="{30F0E471-82CD-4391-B33E-DE8E5E59BA78}"/>
    <cellStyle name="Input 3 3 2 2 2 2" xfId="27904" xr:uid="{5D448726-FB55-4367-A09D-1C338A10F35E}"/>
    <cellStyle name="Input 3 3 2 2 2 3" xfId="27905" xr:uid="{025301B5-ED04-4632-8AEB-F681B1D4374F}"/>
    <cellStyle name="Input 3 3 2 2 2 4" xfId="27906" xr:uid="{DEBDC1C3-354D-4FEF-B778-1481995CF85C}"/>
    <cellStyle name="Input 3 3 2 2 2 5" xfId="27907" xr:uid="{31745334-90F0-48DC-BAE6-575C868E459D}"/>
    <cellStyle name="Input 3 3 2 2 2 6" xfId="27908" xr:uid="{DAA6798E-8CC9-4D0D-8B87-E0685D0925AB}"/>
    <cellStyle name="Input 3 3 2 2 3" xfId="27909" xr:uid="{431A4846-BFBF-4289-AEB0-985526F5BD7F}"/>
    <cellStyle name="Input 3 3 2 2 4" xfId="27910" xr:uid="{8DCD4F42-40CA-41D6-AE64-3223D5928F22}"/>
    <cellStyle name="Input 3 3 2 2 5" xfId="27911" xr:uid="{CB4FEE3D-480A-4441-B970-EA6C662FE2DB}"/>
    <cellStyle name="Input 3 3 2 2 6" xfId="27912" xr:uid="{6E9DB7F7-F3B4-4987-985E-6C96FE9BD5E5}"/>
    <cellStyle name="Input 3 3 2 2 7" xfId="27913" xr:uid="{96FC8B85-63DF-453F-AFD4-75A5D4E37BEE}"/>
    <cellStyle name="Input 3 3 2 20" xfId="1675" xr:uid="{944A4D90-0475-4732-B4B8-AE3C1FAA9776}"/>
    <cellStyle name="Input 3 3 2 20 2" xfId="11630" xr:uid="{3FC068D4-54D4-4059-8BF3-0B17E8EB4472}"/>
    <cellStyle name="Input 3 3 2 20 2 2" xfId="27914" xr:uid="{74EB267A-DF5D-4519-AC43-10B9C28ECC42}"/>
    <cellStyle name="Input 3 3 2 20 2 3" xfId="27915" xr:uid="{B0A929A1-4B60-41C6-B496-3D914AA73F13}"/>
    <cellStyle name="Input 3 3 2 20 2 4" xfId="27916" xr:uid="{84D4E0A9-D2D4-42AD-8560-93806A5276CD}"/>
    <cellStyle name="Input 3 3 2 20 2 5" xfId="27917" xr:uid="{E1B5F721-3301-4084-A6F6-7A143180A69F}"/>
    <cellStyle name="Input 3 3 2 20 2 6" xfId="27918" xr:uid="{141F13C9-0E4B-440F-9D2E-F8E93653B73A}"/>
    <cellStyle name="Input 3 3 2 20 3" xfId="27919" xr:uid="{D2C2C427-230C-4286-9541-E93DC766E87A}"/>
    <cellStyle name="Input 3 3 2 20 4" xfId="27920" xr:uid="{5243EC76-DF67-44E1-B5C4-CA9F550368E8}"/>
    <cellStyle name="Input 3 3 2 20 5" xfId="27921" xr:uid="{188EC207-74C7-4A02-9F16-4C42FAB48593}"/>
    <cellStyle name="Input 3 3 2 20 6" xfId="27922" xr:uid="{EA5208DD-BD0B-4EDC-AD05-988733C642E5}"/>
    <cellStyle name="Input 3 3 2 20 7" xfId="27923" xr:uid="{ADABF544-9C4F-4E83-93F2-6962BFB22201}"/>
    <cellStyle name="Input 3 3 2 21" xfId="1676" xr:uid="{3C98E572-A35A-48C7-B8C7-F4C4BA0F3908}"/>
    <cellStyle name="Input 3 3 2 21 2" xfId="11714" xr:uid="{DA9C51C7-6896-4C89-A797-534385397B32}"/>
    <cellStyle name="Input 3 3 2 21 2 2" xfId="27924" xr:uid="{FDF82CE8-0F44-490E-8EF1-6AC0DA11E16D}"/>
    <cellStyle name="Input 3 3 2 21 2 3" xfId="27925" xr:uid="{A15CB808-F4A3-4BB5-9283-7C26651E6C1F}"/>
    <cellStyle name="Input 3 3 2 21 2 4" xfId="27926" xr:uid="{B1F0DCD5-FBD0-4D27-BDFE-5941409E8F81}"/>
    <cellStyle name="Input 3 3 2 21 2 5" xfId="27927" xr:uid="{27E7FFFD-A355-473D-8895-3115D12EF233}"/>
    <cellStyle name="Input 3 3 2 21 2 6" xfId="27928" xr:uid="{FEA03241-D7BC-48F2-9445-B5DF7FB209F4}"/>
    <cellStyle name="Input 3 3 2 21 3" xfId="27929" xr:uid="{1A038D86-7415-4EF8-86CF-8D71A0E32646}"/>
    <cellStyle name="Input 3 3 2 21 4" xfId="27930" xr:uid="{4F740468-1249-4676-8E04-101289FDB3F9}"/>
    <cellStyle name="Input 3 3 2 21 5" xfId="27931" xr:uid="{23E7F7E8-9666-487C-9E7A-81A153CF2AAC}"/>
    <cellStyle name="Input 3 3 2 21 6" xfId="27932" xr:uid="{3D724237-609A-4C41-865B-B6D75B8B9172}"/>
    <cellStyle name="Input 3 3 2 21 7" xfId="27933" xr:uid="{3F4FE9FF-146F-4908-8B85-5AAC94178D4C}"/>
    <cellStyle name="Input 3 3 2 22" xfId="1677" xr:uid="{8663F1FF-42B8-4659-BCF2-D681C4ABF577}"/>
    <cellStyle name="Input 3 3 2 22 2" xfId="11797" xr:uid="{AAFCE102-5516-4CD5-89D3-36D6548ECB91}"/>
    <cellStyle name="Input 3 3 2 22 2 2" xfId="27934" xr:uid="{9918FA43-5CF2-439B-BB8F-6B1C27357B7C}"/>
    <cellStyle name="Input 3 3 2 22 2 3" xfId="27935" xr:uid="{5E3F9AE8-DB0A-44CD-B581-6A088A3FB3F4}"/>
    <cellStyle name="Input 3 3 2 22 2 4" xfId="27936" xr:uid="{CFFC4961-4F34-4B4C-AB11-EDE100417C0C}"/>
    <cellStyle name="Input 3 3 2 22 2 5" xfId="27937" xr:uid="{011B0FDA-835B-4D34-BD6F-79D5CF28995D}"/>
    <cellStyle name="Input 3 3 2 22 2 6" xfId="27938" xr:uid="{93C30182-B2B5-4A5B-A395-9D406529C8A8}"/>
    <cellStyle name="Input 3 3 2 22 3" xfId="27939" xr:uid="{9D04F590-00E1-4821-9C1B-CE7D037DA3C5}"/>
    <cellStyle name="Input 3 3 2 22 4" xfId="27940" xr:uid="{0F48CAEB-0012-44A5-8F44-E078D58F316F}"/>
    <cellStyle name="Input 3 3 2 22 5" xfId="27941" xr:uid="{C4124D19-E9B4-48F9-932E-F7E3CA7F1250}"/>
    <cellStyle name="Input 3 3 2 22 6" xfId="27942" xr:uid="{16C716C3-DB43-410F-891C-D384A73DDB4E}"/>
    <cellStyle name="Input 3 3 2 22 7" xfId="27943" xr:uid="{04CCA063-7D39-4278-A0D4-8962926ECE8B}"/>
    <cellStyle name="Input 3 3 2 23" xfId="1678" xr:uid="{21715433-7638-432D-BFEE-343422E3C66D}"/>
    <cellStyle name="Input 3 3 2 23 2" xfId="11880" xr:uid="{D15028A1-D372-410F-A4DC-8842A4D40651}"/>
    <cellStyle name="Input 3 3 2 23 2 2" xfId="27944" xr:uid="{675D2D36-4B14-4B4B-9EEF-5CCDBEF838EA}"/>
    <cellStyle name="Input 3 3 2 23 2 3" xfId="27945" xr:uid="{AC0ABC94-DD66-4555-A2C9-D652CEF4BE3F}"/>
    <cellStyle name="Input 3 3 2 23 2 4" xfId="27946" xr:uid="{E33DC391-96BE-464E-A29E-4678282D4B80}"/>
    <cellStyle name="Input 3 3 2 23 2 5" xfId="27947" xr:uid="{D6DA7D2B-14CF-4649-BBE5-A15F3A9307B9}"/>
    <cellStyle name="Input 3 3 2 23 2 6" xfId="27948" xr:uid="{56523686-3047-4327-8351-9B396A3A16A2}"/>
    <cellStyle name="Input 3 3 2 23 3" xfId="27949" xr:uid="{F1D1449D-1C4E-4DC6-A319-D37C550D96E6}"/>
    <cellStyle name="Input 3 3 2 23 4" xfId="27950" xr:uid="{5F775319-6448-407E-A89F-250E3CA6FFA6}"/>
    <cellStyle name="Input 3 3 2 23 5" xfId="27951" xr:uid="{698B99D1-8552-4109-A3FA-59BC9B3F85F7}"/>
    <cellStyle name="Input 3 3 2 23 6" xfId="27952" xr:uid="{6B82ADE4-E390-4F2B-9B00-5DE48477A8C4}"/>
    <cellStyle name="Input 3 3 2 23 7" xfId="27953" xr:uid="{08ABEEB1-0F3E-4843-B588-8E8B3B8D3CB4}"/>
    <cellStyle name="Input 3 3 2 24" xfId="1679" xr:uid="{76FA071E-F9E5-4AE5-A8D0-F75CE3BF410D}"/>
    <cellStyle name="Input 3 3 2 24 2" xfId="11964" xr:uid="{5BCA5A95-6989-47D9-84FC-6667A34FB922}"/>
    <cellStyle name="Input 3 3 2 24 2 2" xfId="27954" xr:uid="{5A10EDD4-3899-4566-920A-E2CE08DB87ED}"/>
    <cellStyle name="Input 3 3 2 24 2 3" xfId="27955" xr:uid="{1B8A1DA7-64C2-4740-924D-4622F2A83C1F}"/>
    <cellStyle name="Input 3 3 2 24 2 4" xfId="27956" xr:uid="{901918E9-5D75-43C0-840F-69DB373D5999}"/>
    <cellStyle name="Input 3 3 2 24 2 5" xfId="27957" xr:uid="{A43C06D5-1735-426C-AB98-D5CEC611D2C0}"/>
    <cellStyle name="Input 3 3 2 24 2 6" xfId="27958" xr:uid="{0C9C145B-77FE-4784-891A-B59295FE00E3}"/>
    <cellStyle name="Input 3 3 2 24 3" xfId="27959" xr:uid="{B1CABF63-2255-40F1-A287-65B06F96EBDA}"/>
    <cellStyle name="Input 3 3 2 24 4" xfId="27960" xr:uid="{E65A76C9-4A04-4221-BCF6-5F96F76C5D1A}"/>
    <cellStyle name="Input 3 3 2 24 5" xfId="27961" xr:uid="{7B84090A-F6A3-44C7-97BF-13D50AB6C2C8}"/>
    <cellStyle name="Input 3 3 2 24 6" xfId="27962" xr:uid="{0B27FE66-F645-4AEF-B8A5-6CAF396DFEAF}"/>
    <cellStyle name="Input 3 3 2 24 7" xfId="27963" xr:uid="{EC9686E3-D8D8-4073-8D26-0A9773C85331}"/>
    <cellStyle name="Input 3 3 2 25" xfId="1680" xr:uid="{307F7355-BFA8-4B01-81CA-71F2219713CA}"/>
    <cellStyle name="Input 3 3 2 25 2" xfId="12047" xr:uid="{47A2C67D-103F-43F3-87F3-EE64950C3A3A}"/>
    <cellStyle name="Input 3 3 2 25 2 2" xfId="27964" xr:uid="{EDE5E83C-CA4D-44B5-A777-D5F95228FB88}"/>
    <cellStyle name="Input 3 3 2 25 2 3" xfId="27965" xr:uid="{6D16F241-0F5D-42D1-929C-43C1DC7E9891}"/>
    <cellStyle name="Input 3 3 2 25 2 4" xfId="27966" xr:uid="{D670E0D7-4B02-4409-A65F-5B9C15B8DE53}"/>
    <cellStyle name="Input 3 3 2 25 2 5" xfId="27967" xr:uid="{426ACC80-96EF-4398-9A18-EAF85B1536CA}"/>
    <cellStyle name="Input 3 3 2 25 2 6" xfId="27968" xr:uid="{79EE2C26-2464-4630-9355-0FEBC084CE1A}"/>
    <cellStyle name="Input 3 3 2 25 3" xfId="27969" xr:uid="{20CA253C-C6B6-48D7-9D10-1BC1B2EF82BA}"/>
    <cellStyle name="Input 3 3 2 25 4" xfId="27970" xr:uid="{DAB88EA9-5C34-4651-96AD-50EA7F82BD62}"/>
    <cellStyle name="Input 3 3 2 25 5" xfId="27971" xr:uid="{A6C62880-0E68-4A02-8514-32FF5C467FB5}"/>
    <cellStyle name="Input 3 3 2 25 6" xfId="27972" xr:uid="{438AC0F1-9C01-4DB0-BE44-C6F5995D7EE5}"/>
    <cellStyle name="Input 3 3 2 25 7" xfId="27973" xr:uid="{3D7ACA93-ABF4-462F-8B31-2859016DA6FA}"/>
    <cellStyle name="Input 3 3 2 26" xfId="1681" xr:uid="{7DAD7CC8-DB15-401D-8CB9-CCF7E7400CDA}"/>
    <cellStyle name="Input 3 3 2 26 2" xfId="12130" xr:uid="{097703C8-A0E2-4507-8A02-36629FDF982D}"/>
    <cellStyle name="Input 3 3 2 26 2 2" xfId="27974" xr:uid="{5A177009-6BFA-422F-B603-4856DC7C75ED}"/>
    <cellStyle name="Input 3 3 2 26 2 3" xfId="27975" xr:uid="{DA29BAEA-F4F6-49E9-A6F1-A995577268C3}"/>
    <cellStyle name="Input 3 3 2 26 2 4" xfId="27976" xr:uid="{984CB8B3-C9F5-4266-9D31-46E7C05AF5F1}"/>
    <cellStyle name="Input 3 3 2 26 2 5" xfId="27977" xr:uid="{41ED61E1-B79F-4C7E-9D2D-08DA166394FB}"/>
    <cellStyle name="Input 3 3 2 26 2 6" xfId="27978" xr:uid="{EA7E575A-9D27-4E3B-A624-528DFC1F4901}"/>
    <cellStyle name="Input 3 3 2 26 3" xfId="27979" xr:uid="{C2D7D42D-8CE2-4D4B-8CAE-08D952773EA5}"/>
    <cellStyle name="Input 3 3 2 26 4" xfId="27980" xr:uid="{A7794F73-DD66-493D-A723-D0282B775C4A}"/>
    <cellStyle name="Input 3 3 2 26 5" xfId="27981" xr:uid="{FD7ACA9D-5795-464F-8614-8511FE94EACF}"/>
    <cellStyle name="Input 3 3 2 26 6" xfId="27982" xr:uid="{87CABB12-171D-410F-8119-68BD368E8BD2}"/>
    <cellStyle name="Input 3 3 2 26 7" xfId="27983" xr:uid="{E9FA1758-321B-4BC3-8497-9D043C2C61EF}"/>
    <cellStyle name="Input 3 3 2 27" xfId="1682" xr:uid="{BE36C574-8C74-4081-9070-A48D724B3654}"/>
    <cellStyle name="Input 3 3 2 27 2" xfId="12212" xr:uid="{7C6B84D5-135D-4F60-B4FE-8C8098045825}"/>
    <cellStyle name="Input 3 3 2 27 2 2" xfId="27984" xr:uid="{A746BE42-9A5C-4393-915F-4813E1027B83}"/>
    <cellStyle name="Input 3 3 2 27 2 3" xfId="27985" xr:uid="{AB524419-B93D-4EEE-8F06-888D75A3D8BB}"/>
    <cellStyle name="Input 3 3 2 27 2 4" xfId="27986" xr:uid="{07A2F3FA-CE90-4C3F-9AF3-FBBF4439B0B5}"/>
    <cellStyle name="Input 3 3 2 27 2 5" xfId="27987" xr:uid="{62F00B94-E28F-4E35-8184-6684C70BF14B}"/>
    <cellStyle name="Input 3 3 2 27 2 6" xfId="27988" xr:uid="{0133267E-E84A-45DE-B922-48A62B911E21}"/>
    <cellStyle name="Input 3 3 2 27 3" xfId="27989" xr:uid="{9113F376-9F99-409A-9F48-3B5F512E9F65}"/>
    <cellStyle name="Input 3 3 2 27 4" xfId="27990" xr:uid="{CAE35588-E753-4FE0-9111-6DA07112BA4E}"/>
    <cellStyle name="Input 3 3 2 27 5" xfId="27991" xr:uid="{FF36ACF1-A7A0-4F2B-A596-D87680BF1765}"/>
    <cellStyle name="Input 3 3 2 27 6" xfId="27992" xr:uid="{D71CA0E5-4997-4C2E-AEB8-2DBCDCCFEF7F}"/>
    <cellStyle name="Input 3 3 2 27 7" xfId="27993" xr:uid="{1FAB2C28-35CD-4539-A80E-28FAD7B2AD30}"/>
    <cellStyle name="Input 3 3 2 28" xfId="1683" xr:uid="{BFFAD797-4845-4FDB-A4D4-1950D906C1C1}"/>
    <cellStyle name="Input 3 3 2 28 2" xfId="12292" xr:uid="{BB8031CD-0BB6-401D-975D-D2D08BD5359E}"/>
    <cellStyle name="Input 3 3 2 28 2 2" xfId="27994" xr:uid="{2229DBEB-B571-4ACD-AFC2-E97F4EC4E335}"/>
    <cellStyle name="Input 3 3 2 28 2 3" xfId="27995" xr:uid="{628AF7F6-08D2-4AAA-9052-EC7C1E19C5AF}"/>
    <cellStyle name="Input 3 3 2 28 2 4" xfId="27996" xr:uid="{B13D2FA5-6CD0-4397-B7B9-F399A6DBCDB0}"/>
    <cellStyle name="Input 3 3 2 28 2 5" xfId="27997" xr:uid="{6FDDA704-D4BE-4D7A-9F20-745682D0D756}"/>
    <cellStyle name="Input 3 3 2 28 2 6" xfId="27998" xr:uid="{F0DD8971-2420-4F0B-AD80-DDE4836B9DEC}"/>
    <cellStyle name="Input 3 3 2 28 3" xfId="27999" xr:uid="{8F481747-A2C3-4B65-B7E6-798BFF92F355}"/>
    <cellStyle name="Input 3 3 2 28 4" xfId="28000" xr:uid="{1048DE5B-5549-42C0-82D0-0310B6DB59E6}"/>
    <cellStyle name="Input 3 3 2 28 5" xfId="28001" xr:uid="{472EAC54-0836-4DA9-AC11-C5ACEE8F86DF}"/>
    <cellStyle name="Input 3 3 2 28 6" xfId="28002" xr:uid="{7ED798A2-BB7B-4E6A-A42B-58B4A6026F92}"/>
    <cellStyle name="Input 3 3 2 28 7" xfId="28003" xr:uid="{7E58775D-7175-455E-8540-B393A0163E86}"/>
    <cellStyle name="Input 3 3 2 29" xfId="1684" xr:uid="{7C12A63D-871F-45B1-B943-D0366FC5A3F9}"/>
    <cellStyle name="Input 3 3 2 29 2" xfId="12370" xr:uid="{9DCC64C2-32F9-4707-8C86-5983324CB793}"/>
    <cellStyle name="Input 3 3 2 29 2 2" xfId="28004" xr:uid="{FEB4AC1F-1FE4-4004-8848-85DBFFB15B6C}"/>
    <cellStyle name="Input 3 3 2 29 2 3" xfId="28005" xr:uid="{84581BCD-8C71-46A5-A2C3-A95DD0293A1D}"/>
    <cellStyle name="Input 3 3 2 29 2 4" xfId="28006" xr:uid="{0B21DD8F-09CB-497E-B77B-F86649665EAD}"/>
    <cellStyle name="Input 3 3 2 29 2 5" xfId="28007" xr:uid="{A18840CA-C35F-4FD8-9BCB-60F6E5902A96}"/>
    <cellStyle name="Input 3 3 2 29 2 6" xfId="28008" xr:uid="{E352888B-671A-4693-955B-E1EB9B1891B7}"/>
    <cellStyle name="Input 3 3 2 29 3" xfId="28009" xr:uid="{BB00A3E0-311F-4940-8FF5-4D374B043CB5}"/>
    <cellStyle name="Input 3 3 2 29 4" xfId="28010" xr:uid="{7F970356-1F98-425C-BB18-82000569614A}"/>
    <cellStyle name="Input 3 3 2 29 5" xfId="28011" xr:uid="{1007B6CA-4BB8-42EF-9A3C-4C1E489008E2}"/>
    <cellStyle name="Input 3 3 2 29 6" xfId="28012" xr:uid="{4B7C4135-A58F-441A-941C-A36C457619B7}"/>
    <cellStyle name="Input 3 3 2 29 7" xfId="28013" xr:uid="{9790737F-858F-40EA-99D0-D75615742E91}"/>
    <cellStyle name="Input 3 3 2 3" xfId="1685" xr:uid="{B8A802CA-73BB-493E-BC4A-12881BE634BA}"/>
    <cellStyle name="Input 3 3 2 3 2" xfId="10140" xr:uid="{DF96B41E-DE8B-4049-8CD0-55E2CF1C0B68}"/>
    <cellStyle name="Input 3 3 2 3 2 2" xfId="28014" xr:uid="{20959AA2-56AD-484E-B56E-C94EA16882FA}"/>
    <cellStyle name="Input 3 3 2 3 2 3" xfId="28015" xr:uid="{5804E856-FECA-4D5D-B1E1-D147E466997A}"/>
    <cellStyle name="Input 3 3 2 3 2 4" xfId="28016" xr:uid="{DDFAADEE-B9D9-4648-A7A6-29FA95E7D227}"/>
    <cellStyle name="Input 3 3 2 3 2 5" xfId="28017" xr:uid="{AE126B13-8115-42DE-880B-82DFAD59E569}"/>
    <cellStyle name="Input 3 3 2 3 2 6" xfId="28018" xr:uid="{857B71F6-D236-4B6E-9E58-BA701ED94541}"/>
    <cellStyle name="Input 3 3 2 3 3" xfId="28019" xr:uid="{2D99FBFB-1443-4909-AF04-17835E79F856}"/>
    <cellStyle name="Input 3 3 2 3 4" xfId="28020" xr:uid="{764552A4-74D6-4412-8944-A7B9576FAA7A}"/>
    <cellStyle name="Input 3 3 2 3 5" xfId="28021" xr:uid="{7F020202-1AA2-43FE-8875-A8EA66EB1A7A}"/>
    <cellStyle name="Input 3 3 2 3 6" xfId="28022" xr:uid="{8AD1F5C4-59D1-4B95-86D1-1CC699DBBD73}"/>
    <cellStyle name="Input 3 3 2 3 7" xfId="28023" xr:uid="{1654A4C1-065B-452A-A7A5-F892464A8DB3}"/>
    <cellStyle name="Input 3 3 2 30" xfId="1686" xr:uid="{25ACE2F4-75C6-427C-811E-0B96EB36F665}"/>
    <cellStyle name="Input 3 3 2 30 2" xfId="12449" xr:uid="{58E90375-9E82-4FA5-A3C2-A57E7DA3CADC}"/>
    <cellStyle name="Input 3 3 2 30 2 2" xfId="28024" xr:uid="{0A109FC2-CCC1-4C90-AE15-D67810817611}"/>
    <cellStyle name="Input 3 3 2 30 2 3" xfId="28025" xr:uid="{62CC7571-E7E9-4B48-8BCD-AD2A8DE49AA8}"/>
    <cellStyle name="Input 3 3 2 30 2 4" xfId="28026" xr:uid="{523470E3-FA40-40B7-B1F0-9E9A40E9ED65}"/>
    <cellStyle name="Input 3 3 2 30 2 5" xfId="28027" xr:uid="{D6138E69-A90A-460D-B07B-4B6AA5A49B52}"/>
    <cellStyle name="Input 3 3 2 30 2 6" xfId="28028" xr:uid="{DD83A7FF-A425-4D76-97C9-7F81FC85F6C1}"/>
    <cellStyle name="Input 3 3 2 30 3" xfId="28029" xr:uid="{F00C50DD-5B3D-4DB0-B8C8-867D1783B332}"/>
    <cellStyle name="Input 3 3 2 30 4" xfId="28030" xr:uid="{D498C46C-B625-46C0-9777-32CB6242753D}"/>
    <cellStyle name="Input 3 3 2 30 5" xfId="28031" xr:uid="{34B733FE-1886-4A8E-84A3-89B898E2AA20}"/>
    <cellStyle name="Input 3 3 2 30 6" xfId="28032" xr:uid="{F1F42111-F626-41A4-8CC7-A06507748226}"/>
    <cellStyle name="Input 3 3 2 30 7" xfId="28033" xr:uid="{BBFBB94C-BEBC-4483-A0D3-957F577A946C}"/>
    <cellStyle name="Input 3 3 2 31" xfId="1687" xr:uid="{06BD8361-FB51-479D-9961-0226C4CCA3AD}"/>
    <cellStyle name="Input 3 3 2 31 2" xfId="12528" xr:uid="{106A2709-4E27-4DAD-985A-361FAA4379B3}"/>
    <cellStyle name="Input 3 3 2 31 2 2" xfId="28034" xr:uid="{56ADBBA0-C6BF-42B2-A497-B3258050262A}"/>
    <cellStyle name="Input 3 3 2 31 2 3" xfId="28035" xr:uid="{1E7D0CC4-4099-48E3-957C-760A8778A438}"/>
    <cellStyle name="Input 3 3 2 31 2 4" xfId="28036" xr:uid="{4740356B-6D93-4C5A-9384-F7ECD1861253}"/>
    <cellStyle name="Input 3 3 2 31 2 5" xfId="28037" xr:uid="{C9760250-8EC5-4C13-9C67-1FBCABE6C382}"/>
    <cellStyle name="Input 3 3 2 31 2 6" xfId="28038" xr:uid="{45BA50A0-DC2F-41BC-88F1-5E519BCE26C7}"/>
    <cellStyle name="Input 3 3 2 31 3" xfId="28039" xr:uid="{C0D3C97C-8195-4820-83AF-AC6BCB6B5BE3}"/>
    <cellStyle name="Input 3 3 2 31 4" xfId="28040" xr:uid="{237F6F3F-231A-4960-8A77-50B2A795B344}"/>
    <cellStyle name="Input 3 3 2 31 5" xfId="28041" xr:uid="{4A0D78FF-A75E-4066-BEB0-27DDD851087E}"/>
    <cellStyle name="Input 3 3 2 31 6" xfId="28042" xr:uid="{D6C56512-478A-46DE-910B-E59091FA46E5}"/>
    <cellStyle name="Input 3 3 2 31 7" xfId="28043" xr:uid="{DA4AECD0-FF08-43F8-9B50-20EB9BB81EE3}"/>
    <cellStyle name="Input 3 3 2 32" xfId="1688" xr:uid="{21352BF3-7B62-45E8-9080-CDBB19CD4841}"/>
    <cellStyle name="Input 3 3 2 32 2" xfId="12607" xr:uid="{8A7C81E0-17E8-4EC6-AD79-6B86533C98AF}"/>
    <cellStyle name="Input 3 3 2 32 2 2" xfId="28044" xr:uid="{4AC5CF93-9DB1-46AF-99D8-AEF801E0E1F4}"/>
    <cellStyle name="Input 3 3 2 32 2 3" xfId="28045" xr:uid="{E90DE73C-D5D6-4F33-BE49-6E255ABBDEBA}"/>
    <cellStyle name="Input 3 3 2 32 2 4" xfId="28046" xr:uid="{359FB2AE-F8DF-4B78-8205-ADC0FFC18D08}"/>
    <cellStyle name="Input 3 3 2 32 2 5" xfId="28047" xr:uid="{52C7D22E-8158-40F6-87B2-73A0846530B7}"/>
    <cellStyle name="Input 3 3 2 32 2 6" xfId="28048" xr:uid="{5E906104-4DCF-4E86-8B13-37B55B2FCB7B}"/>
    <cellStyle name="Input 3 3 2 32 3" xfId="28049" xr:uid="{0A58C22D-CD5F-49EA-BB0B-33812A24F4A7}"/>
    <cellStyle name="Input 3 3 2 32 4" xfId="28050" xr:uid="{CDA3006F-A96D-4DA6-BEE2-9938B94FF29C}"/>
    <cellStyle name="Input 3 3 2 32 5" xfId="28051" xr:uid="{98DAD6D7-8661-493F-8E0B-2922FE3886D3}"/>
    <cellStyle name="Input 3 3 2 32 6" xfId="28052" xr:uid="{DAB65806-9126-43E9-A7C7-0C0D8FF7128E}"/>
    <cellStyle name="Input 3 3 2 32 7" xfId="28053" xr:uid="{AAF109E4-CD58-445D-8CD1-2A590A4CD37D}"/>
    <cellStyle name="Input 3 3 2 33" xfId="1689" xr:uid="{1C5E81F8-F519-444E-B070-00A0070CC93C}"/>
    <cellStyle name="Input 3 3 2 33 2" xfId="12686" xr:uid="{070554D0-BAD6-46D2-B504-6DF179C1AACE}"/>
    <cellStyle name="Input 3 3 2 33 2 2" xfId="28054" xr:uid="{A5BEA99A-F57F-4415-9FF6-1D46D2F9E355}"/>
    <cellStyle name="Input 3 3 2 33 2 3" xfId="28055" xr:uid="{A3A02455-C9E5-489C-8AF2-01822B34BCCF}"/>
    <cellStyle name="Input 3 3 2 33 2 4" xfId="28056" xr:uid="{813F8AEA-D9C0-47B9-8590-BCC61E77FF66}"/>
    <cellStyle name="Input 3 3 2 33 2 5" xfId="28057" xr:uid="{1F2D3179-127D-4113-9DDB-905B9A09373C}"/>
    <cellStyle name="Input 3 3 2 33 2 6" xfId="28058" xr:uid="{B62D430E-1327-4F19-92BA-7018993F4B4B}"/>
    <cellStyle name="Input 3 3 2 33 3" xfId="28059" xr:uid="{63D695A3-895E-4D36-AAB4-39462B8805FE}"/>
    <cellStyle name="Input 3 3 2 33 4" xfId="28060" xr:uid="{52360B9B-CE77-4CCB-8182-177E6ED9C5C0}"/>
    <cellStyle name="Input 3 3 2 33 5" xfId="28061" xr:uid="{B3CBA98C-55E9-4F14-84DE-53F62536EB97}"/>
    <cellStyle name="Input 3 3 2 33 6" xfId="28062" xr:uid="{87446BB0-D80E-4F6A-8292-655AFB1CD94F}"/>
    <cellStyle name="Input 3 3 2 33 7" xfId="28063" xr:uid="{94412D6B-6025-46F9-9D4E-1FF2FFD593AC}"/>
    <cellStyle name="Input 3 3 2 34" xfId="1690" xr:uid="{8E68F89B-988E-4A02-AEE3-4C06F4587AFF}"/>
    <cellStyle name="Input 3 3 2 34 2" xfId="12770" xr:uid="{C3D61E51-3F9C-4D6B-901B-F418F2E9FA56}"/>
    <cellStyle name="Input 3 3 2 34 2 2" xfId="28064" xr:uid="{7F6160BD-B74B-44D7-9F7E-F9E3CA16AE57}"/>
    <cellStyle name="Input 3 3 2 34 2 3" xfId="28065" xr:uid="{479D5D7E-E571-4FD3-AE6A-A20577CAA084}"/>
    <cellStyle name="Input 3 3 2 34 2 4" xfId="28066" xr:uid="{D58600AE-D4F9-49D9-9E40-9FDECC56198B}"/>
    <cellStyle name="Input 3 3 2 34 2 5" xfId="28067" xr:uid="{8A4F9718-BCB2-427F-BA8E-DE6B429504F0}"/>
    <cellStyle name="Input 3 3 2 34 2 6" xfId="28068" xr:uid="{DFE4DB16-9041-4BD9-B02D-00CC75CBB339}"/>
    <cellStyle name="Input 3 3 2 34 3" xfId="28069" xr:uid="{20CD0560-5451-474D-A901-93A989175205}"/>
    <cellStyle name="Input 3 3 2 34 4" xfId="28070" xr:uid="{72AC0449-357A-4F40-A07F-605844BB1669}"/>
    <cellStyle name="Input 3 3 2 34 5" xfId="28071" xr:uid="{F951D53F-9699-42F8-AB8C-D3B9D8047DFE}"/>
    <cellStyle name="Input 3 3 2 35" xfId="9836" xr:uid="{8F4C792D-701F-49B1-BAF5-A6673CC0C8D0}"/>
    <cellStyle name="Input 3 3 2 35 2" xfId="28072" xr:uid="{1113959A-10CA-4050-8022-E0453FCDE6FA}"/>
    <cellStyle name="Input 3 3 2 35 3" xfId="28073" xr:uid="{2AA912CB-3C1A-40F9-92DA-CEBF18A4BAAF}"/>
    <cellStyle name="Input 3 3 2 35 4" xfId="28074" xr:uid="{E4F03766-B0C6-4589-923C-7F9E5C07A427}"/>
    <cellStyle name="Input 3 3 2 35 5" xfId="28075" xr:uid="{40B6E6BB-18F9-4941-9685-21D8FC1D5990}"/>
    <cellStyle name="Input 3 3 2 35 6" xfId="28076" xr:uid="{D8E0A2F7-B743-4B9E-9F64-197F00314E05}"/>
    <cellStyle name="Input 3 3 2 36" xfId="28077" xr:uid="{8E184DC5-C66B-43FB-BA9B-5BF753164A5E}"/>
    <cellStyle name="Input 3 3 2 37" xfId="28078" xr:uid="{A07C13F1-C314-48B6-985C-FF7348710EE3}"/>
    <cellStyle name="Input 3 3 2 38" xfId="28079" xr:uid="{2EF45639-28F9-4B49-AED5-93B9FEB873D0}"/>
    <cellStyle name="Input 3 3 2 4" xfId="1691" xr:uid="{F1A51EC1-1F77-47AF-98FB-9E0D0E0761AC}"/>
    <cellStyle name="Input 3 3 2 4 2" xfId="10230" xr:uid="{2B733D0B-0552-4E6D-A413-CCAA8237B287}"/>
    <cellStyle name="Input 3 3 2 4 2 2" xfId="28080" xr:uid="{1D96372B-0C38-4653-8ECB-621E845E5710}"/>
    <cellStyle name="Input 3 3 2 4 2 3" xfId="28081" xr:uid="{1394B73D-9FF2-45AA-9B70-D15D60B6BAD4}"/>
    <cellStyle name="Input 3 3 2 4 2 4" xfId="28082" xr:uid="{81E57B6D-A10C-42C6-9D45-C726D1F8CCDD}"/>
    <cellStyle name="Input 3 3 2 4 2 5" xfId="28083" xr:uid="{A2B58A85-76D2-4A61-8D54-7E716AC0D179}"/>
    <cellStyle name="Input 3 3 2 4 2 6" xfId="28084" xr:uid="{B1CC8D52-2647-4BAF-9E0D-11E1EAD2812F}"/>
    <cellStyle name="Input 3 3 2 4 3" xfId="28085" xr:uid="{77684984-4C78-4CFB-8B86-0F0589478E4C}"/>
    <cellStyle name="Input 3 3 2 4 4" xfId="28086" xr:uid="{2095F5A5-69DB-4DB8-A9CA-EB754A32EB23}"/>
    <cellStyle name="Input 3 3 2 4 5" xfId="28087" xr:uid="{0B4C3191-C3BF-44CA-BE70-81967ED91F53}"/>
    <cellStyle name="Input 3 3 2 4 6" xfId="28088" xr:uid="{AF3737F6-6AD3-4A07-8A40-77BC88CEC177}"/>
    <cellStyle name="Input 3 3 2 4 7" xfId="28089" xr:uid="{F4412678-08CA-4340-BC28-CE55A74CFF2D}"/>
    <cellStyle name="Input 3 3 2 5" xfId="1692" xr:uid="{EE0F4A0B-8009-4614-83A2-B4587FF945AC}"/>
    <cellStyle name="Input 3 3 2 5 2" xfId="10316" xr:uid="{90406575-828E-4EC0-AC68-30608D60C12D}"/>
    <cellStyle name="Input 3 3 2 5 2 2" xfId="28090" xr:uid="{19D74486-A803-44CB-BB99-5A9B715B5159}"/>
    <cellStyle name="Input 3 3 2 5 2 3" xfId="28091" xr:uid="{9F776DF2-C87E-4FD4-94F5-CD982FDEE257}"/>
    <cellStyle name="Input 3 3 2 5 2 4" xfId="28092" xr:uid="{477980EE-1A0A-40FE-A2D0-38CC5E9F4C6C}"/>
    <cellStyle name="Input 3 3 2 5 2 5" xfId="28093" xr:uid="{96B65FA0-E45F-44A1-AD6A-CD33DF4438B9}"/>
    <cellStyle name="Input 3 3 2 5 2 6" xfId="28094" xr:uid="{276228E9-44D5-4B00-8079-47AB1BDA84AA}"/>
    <cellStyle name="Input 3 3 2 5 3" xfId="28095" xr:uid="{BB04E8E9-8CF1-4C5E-9BCB-13D45BC6B44E}"/>
    <cellStyle name="Input 3 3 2 5 4" xfId="28096" xr:uid="{EE976E36-F2BC-476D-A558-13C85AFED27D}"/>
    <cellStyle name="Input 3 3 2 5 5" xfId="28097" xr:uid="{BEC52C00-C0D6-49A0-9B1C-A73CF2DD1CEA}"/>
    <cellStyle name="Input 3 3 2 5 6" xfId="28098" xr:uid="{E08306F4-B721-4156-A0EA-6E294DEF5C35}"/>
    <cellStyle name="Input 3 3 2 5 7" xfId="28099" xr:uid="{66113A71-A911-4B86-9D37-5213E963F4F6}"/>
    <cellStyle name="Input 3 3 2 6" xfId="1693" xr:uid="{F8FCDCA6-BCB0-44CD-BBF1-14A736CFE1C0}"/>
    <cellStyle name="Input 3 3 2 6 2" xfId="10404" xr:uid="{F3068AEE-7B35-4CD4-B1F9-ED08848FD1A2}"/>
    <cellStyle name="Input 3 3 2 6 2 2" xfId="28100" xr:uid="{F215D595-8403-4166-A7D2-3465A5BAB991}"/>
    <cellStyle name="Input 3 3 2 6 2 3" xfId="28101" xr:uid="{A7225808-0BE8-41F9-9EFC-8C8A493B8653}"/>
    <cellStyle name="Input 3 3 2 6 2 4" xfId="28102" xr:uid="{B524DB2C-E445-4985-B085-3F79FFA8E099}"/>
    <cellStyle name="Input 3 3 2 6 2 5" xfId="28103" xr:uid="{2E555D08-24D4-4014-9524-BD2DFBFE404D}"/>
    <cellStyle name="Input 3 3 2 6 2 6" xfId="28104" xr:uid="{FC29FD85-93C6-4862-9AC7-1015C9B68D6C}"/>
    <cellStyle name="Input 3 3 2 6 3" xfId="28105" xr:uid="{ADC3C6CF-F872-4D85-AC92-898B5E87A4CC}"/>
    <cellStyle name="Input 3 3 2 6 4" xfId="28106" xr:uid="{358A231B-41A6-46E9-95C1-6F77B530B424}"/>
    <cellStyle name="Input 3 3 2 6 5" xfId="28107" xr:uid="{24EEDD6F-F6FB-4E24-98FF-8BEA61A2EA9C}"/>
    <cellStyle name="Input 3 3 2 6 6" xfId="28108" xr:uid="{224FBFAB-EA20-4E36-868C-CE6FBC8D01F0}"/>
    <cellStyle name="Input 3 3 2 6 7" xfId="28109" xr:uid="{2A99CEA4-9D78-48CC-A9A8-08C48C92B9FA}"/>
    <cellStyle name="Input 3 3 2 7" xfId="1694" xr:uid="{3EDFA5C5-E690-46E4-93BE-A8F5C2294832}"/>
    <cellStyle name="Input 3 3 2 7 2" xfId="10491" xr:uid="{3B9B8A4B-42A9-41D7-ACDB-F016C9A2289D}"/>
    <cellStyle name="Input 3 3 2 7 2 2" xfId="28110" xr:uid="{D62F3D59-6017-4866-BBDF-962A6C5F0B31}"/>
    <cellStyle name="Input 3 3 2 7 2 3" xfId="28111" xr:uid="{BA2D7D36-CCEB-43BE-8068-A482AA619130}"/>
    <cellStyle name="Input 3 3 2 7 2 4" xfId="28112" xr:uid="{B8DB7D98-9CA2-4BAA-B7AA-88E9F3A5BC77}"/>
    <cellStyle name="Input 3 3 2 7 2 5" xfId="28113" xr:uid="{7E75ED45-CC03-4EDC-9C5D-BA88A3C1013A}"/>
    <cellStyle name="Input 3 3 2 7 2 6" xfId="28114" xr:uid="{92AB505D-B5DB-43D2-9991-8A26BDDAA451}"/>
    <cellStyle name="Input 3 3 2 7 3" xfId="28115" xr:uid="{19055249-3B95-4769-BBDD-A60523A3A77C}"/>
    <cellStyle name="Input 3 3 2 7 4" xfId="28116" xr:uid="{4619ABCF-D180-4000-8A1F-255772E5CC22}"/>
    <cellStyle name="Input 3 3 2 7 5" xfId="28117" xr:uid="{0EB3622C-0D95-42EF-8A35-E75C1534E7A1}"/>
    <cellStyle name="Input 3 3 2 7 6" xfId="28118" xr:uid="{243C49D7-FC0C-4CE0-91A7-7459CE3C763F}"/>
    <cellStyle name="Input 3 3 2 7 7" xfId="28119" xr:uid="{6019880D-BF65-4AEC-AEBF-EA75D6E70663}"/>
    <cellStyle name="Input 3 3 2 8" xfId="1695" xr:uid="{1AE29E30-7B77-4569-9B39-549F71CC5D53}"/>
    <cellStyle name="Input 3 3 2 8 2" xfId="10579" xr:uid="{4F025884-0A7E-4EA5-AA3A-2FEDA02C438A}"/>
    <cellStyle name="Input 3 3 2 8 2 2" xfId="28120" xr:uid="{C9D5B49E-C862-4448-9441-FD279621EB59}"/>
    <cellStyle name="Input 3 3 2 8 2 3" xfId="28121" xr:uid="{C8565737-E347-4D63-8C9E-E90F90C3D725}"/>
    <cellStyle name="Input 3 3 2 8 2 4" xfId="28122" xr:uid="{4B5629A1-D609-4A2B-A23B-216481704EB2}"/>
    <cellStyle name="Input 3 3 2 8 2 5" xfId="28123" xr:uid="{9254CFCF-0A3D-433C-9DEF-D6716F0CDCC7}"/>
    <cellStyle name="Input 3 3 2 8 2 6" xfId="28124" xr:uid="{89E76D70-956E-4CA9-8089-910DA11FA5C8}"/>
    <cellStyle name="Input 3 3 2 8 3" xfId="28125" xr:uid="{66E6AB5A-6FB4-4182-B888-619045024C41}"/>
    <cellStyle name="Input 3 3 2 8 4" xfId="28126" xr:uid="{A40767FC-F0FA-4086-AD60-486C89923BAB}"/>
    <cellStyle name="Input 3 3 2 8 5" xfId="28127" xr:uid="{BF4AFFE8-5D6F-473F-A026-330F8B757399}"/>
    <cellStyle name="Input 3 3 2 8 6" xfId="28128" xr:uid="{2F9F24DE-1815-45BB-B673-0B174F84D63B}"/>
    <cellStyle name="Input 3 3 2 8 7" xfId="28129" xr:uid="{F8FB5BC0-4AB9-4124-BBE1-0109FEDC5C03}"/>
    <cellStyle name="Input 3 3 2 9" xfId="1696" xr:uid="{B784DAE8-39AF-49A3-95FA-73FBC15C8A4C}"/>
    <cellStyle name="Input 3 3 2 9 2" xfId="10661" xr:uid="{E10BF378-5DC2-4E2E-9D5E-FB1FFC94574B}"/>
    <cellStyle name="Input 3 3 2 9 2 2" xfId="28130" xr:uid="{70053BFB-806D-4D1E-821F-4CFA32361422}"/>
    <cellStyle name="Input 3 3 2 9 2 3" xfId="28131" xr:uid="{5F24E038-5D7B-4302-8DA2-F92B9B996F2F}"/>
    <cellStyle name="Input 3 3 2 9 2 4" xfId="28132" xr:uid="{EF91F4CD-0260-4993-9A0B-13F4A82D185C}"/>
    <cellStyle name="Input 3 3 2 9 2 5" xfId="28133" xr:uid="{FBCB9ADC-39A7-4179-A886-213F356F0B1B}"/>
    <cellStyle name="Input 3 3 2 9 2 6" xfId="28134" xr:uid="{19EE6182-A60D-4F83-B75A-E0B02A962FDD}"/>
    <cellStyle name="Input 3 3 2 9 3" xfId="28135" xr:uid="{FBCAB040-99D2-40D0-A637-E8EFA8B6D4AF}"/>
    <cellStyle name="Input 3 3 2 9 4" xfId="28136" xr:uid="{9A72A9A7-1710-4A66-82AF-8D350F0C864A}"/>
    <cellStyle name="Input 3 3 2 9 5" xfId="28137" xr:uid="{59EC8FE1-6430-4F30-9BD0-F2C7AE37FF68}"/>
    <cellStyle name="Input 3 3 2 9 6" xfId="28138" xr:uid="{BAC17E8C-1DB4-460E-8366-969D8B42D79E}"/>
    <cellStyle name="Input 3 3 2 9 7" xfId="28139" xr:uid="{54AED806-9569-44AE-9F89-24352B00226B}"/>
    <cellStyle name="Input 3 3 20" xfId="1697" xr:uid="{6AEC0872-7BFD-4EBD-8930-368E198AA457}"/>
    <cellStyle name="Input 3 3 20 2" xfId="11508" xr:uid="{55B2C33C-17FD-4123-89BE-C589D668A884}"/>
    <cellStyle name="Input 3 3 20 2 2" xfId="28140" xr:uid="{D09F3F80-4235-4E1D-807C-CC95B6D26C25}"/>
    <cellStyle name="Input 3 3 20 2 3" xfId="28141" xr:uid="{351C4956-DC5E-4ADD-8EB2-92832E526EA1}"/>
    <cellStyle name="Input 3 3 20 2 4" xfId="28142" xr:uid="{E8FD3BF9-054A-4949-9489-4A54B8BC74BF}"/>
    <cellStyle name="Input 3 3 20 2 5" xfId="28143" xr:uid="{C43A0B13-455D-4B40-9AEC-6328D2BFA8CB}"/>
    <cellStyle name="Input 3 3 20 2 6" xfId="28144" xr:uid="{AB786916-5B31-42D2-A8A0-C95DD0F4540B}"/>
    <cellStyle name="Input 3 3 20 3" xfId="28145" xr:uid="{547703D9-42A0-4D58-B7EE-8042E9853834}"/>
    <cellStyle name="Input 3 3 20 4" xfId="28146" xr:uid="{42AE6185-9B6E-4F68-AADC-A0B955EB650C}"/>
    <cellStyle name="Input 3 3 20 5" xfId="28147" xr:uid="{21DA99CF-69ED-422C-BC1B-D22C50DE56D8}"/>
    <cellStyle name="Input 3 3 20 6" xfId="28148" xr:uid="{76D4D9EE-3D8F-4867-AF1F-4000B7EE981D}"/>
    <cellStyle name="Input 3 3 20 7" xfId="28149" xr:uid="{15373204-B12C-411E-8373-18A83C5A1D3A}"/>
    <cellStyle name="Input 3 3 21" xfId="1698" xr:uid="{8D4F4715-9D41-4883-A806-9904F4AC986C}"/>
    <cellStyle name="Input 3 3 21 2" xfId="11596" xr:uid="{6DF391B5-31EA-489A-B04B-293F8FD41F64}"/>
    <cellStyle name="Input 3 3 21 2 2" xfId="28150" xr:uid="{4BAB0386-C197-4ECA-AB11-6F3CD0BABA4F}"/>
    <cellStyle name="Input 3 3 21 2 3" xfId="28151" xr:uid="{678DCFDE-7FFC-408A-B9E7-9B1115A88EBF}"/>
    <cellStyle name="Input 3 3 21 2 4" xfId="28152" xr:uid="{B6906CE4-5007-4014-AE5D-345919BBD631}"/>
    <cellStyle name="Input 3 3 21 2 5" xfId="28153" xr:uid="{3AFDF2B3-FB07-414E-9A31-E0D31F0F84BD}"/>
    <cellStyle name="Input 3 3 21 2 6" xfId="28154" xr:uid="{0ACEEF0B-CBE8-4D0B-AE63-1269B629D7BF}"/>
    <cellStyle name="Input 3 3 21 3" xfId="28155" xr:uid="{02EA121F-15BC-40E1-9DEC-974CDBA7055D}"/>
    <cellStyle name="Input 3 3 21 4" xfId="28156" xr:uid="{2DE2C504-A93E-40F4-9524-ADF5082A1B36}"/>
    <cellStyle name="Input 3 3 21 5" xfId="28157" xr:uid="{A56F1CBF-7FCE-433B-8AA5-2BABF28348E9}"/>
    <cellStyle name="Input 3 3 21 6" xfId="28158" xr:uid="{C27617E2-B8C9-4553-8117-488DEEEA7AF8}"/>
    <cellStyle name="Input 3 3 21 7" xfId="28159" xr:uid="{AEBC0FE8-150D-45AE-B3BE-5962E2C66CF6}"/>
    <cellStyle name="Input 3 3 22" xfId="1699" xr:uid="{22FB3AEC-4937-4D28-852C-A24EF75CAB2E}"/>
    <cellStyle name="Input 3 3 22 2" xfId="11681" xr:uid="{5C1EEE87-93D0-48C5-BD42-CDD9E9F08317}"/>
    <cellStyle name="Input 3 3 22 2 2" xfId="28160" xr:uid="{A4B40648-FB4D-41DF-8872-ED329C622BEC}"/>
    <cellStyle name="Input 3 3 22 2 3" xfId="28161" xr:uid="{265A3504-7AE0-4184-AB92-6E68171B0523}"/>
    <cellStyle name="Input 3 3 22 2 4" xfId="28162" xr:uid="{0CF080DF-D9F3-452F-8B35-FB63986B68C3}"/>
    <cellStyle name="Input 3 3 22 2 5" xfId="28163" xr:uid="{5B70AB2C-084D-4CA9-A443-64BFF6932709}"/>
    <cellStyle name="Input 3 3 22 2 6" xfId="28164" xr:uid="{289F8D16-0FB5-45D2-A637-F6D25F4B1090}"/>
    <cellStyle name="Input 3 3 22 3" xfId="28165" xr:uid="{27E43654-E848-4165-90B2-4D104F76CCD5}"/>
    <cellStyle name="Input 3 3 22 4" xfId="28166" xr:uid="{ADDFCE3E-8009-423E-A7E5-D5AD69900C0E}"/>
    <cellStyle name="Input 3 3 22 5" xfId="28167" xr:uid="{1D98DBBC-12CF-488A-84CA-A21C7A356F41}"/>
    <cellStyle name="Input 3 3 22 6" xfId="28168" xr:uid="{14FDC121-EEC8-48A4-B90E-0F138B582192}"/>
    <cellStyle name="Input 3 3 22 7" xfId="28169" xr:uid="{1D9B9AF5-CFF6-4A32-AB25-19DCE5821503}"/>
    <cellStyle name="Input 3 3 23" xfId="1700" xr:uid="{B2FD7D64-8881-41A3-B140-6328A18D4DA3}"/>
    <cellStyle name="Input 3 3 23 2" xfId="11764" xr:uid="{78B72D94-18EA-4EEB-8DBE-3889AE269622}"/>
    <cellStyle name="Input 3 3 23 2 2" xfId="28170" xr:uid="{47FE2658-6BE6-4730-89DB-7744430B2AC4}"/>
    <cellStyle name="Input 3 3 23 2 3" xfId="28171" xr:uid="{84D3B054-2C63-4E32-ACA7-83BE43790A0F}"/>
    <cellStyle name="Input 3 3 23 2 4" xfId="28172" xr:uid="{9B498CBE-A507-4834-B7A4-E7BC07B3FAC6}"/>
    <cellStyle name="Input 3 3 23 2 5" xfId="28173" xr:uid="{91D3D3B9-06C8-4C1E-A6C3-9988B9B3E0AD}"/>
    <cellStyle name="Input 3 3 23 2 6" xfId="28174" xr:uid="{4487CEFF-6BB6-4A14-9F4F-D08E198EB3FC}"/>
    <cellStyle name="Input 3 3 23 3" xfId="28175" xr:uid="{2A1C6B68-FCAA-443F-9092-564B10571CF3}"/>
    <cellStyle name="Input 3 3 23 4" xfId="28176" xr:uid="{2DCE79EA-DD1E-4975-873F-A482B0F41CDC}"/>
    <cellStyle name="Input 3 3 23 5" xfId="28177" xr:uid="{3FB68E2E-C323-4BB0-958B-21CFF7E20DD4}"/>
    <cellStyle name="Input 3 3 23 6" xfId="28178" xr:uid="{132273A6-78C3-4CD1-AEBF-E0EDAA4B7AE3}"/>
    <cellStyle name="Input 3 3 23 7" xfId="28179" xr:uid="{F0FDD200-FCBC-47E1-BD39-5B371DCD0846}"/>
    <cellStyle name="Input 3 3 24" xfId="1701" xr:uid="{D3E4AC25-05D2-4EAC-90AD-BB1E845AF942}"/>
    <cellStyle name="Input 3 3 24 2" xfId="11846" xr:uid="{13F76B08-A183-4863-B6EA-E5625FA73C8F}"/>
    <cellStyle name="Input 3 3 24 2 2" xfId="28180" xr:uid="{4D097FB7-6622-4F14-8767-3218D8087555}"/>
    <cellStyle name="Input 3 3 24 2 3" xfId="28181" xr:uid="{C41533CF-66BC-4DF0-8D35-59E060120765}"/>
    <cellStyle name="Input 3 3 24 2 4" xfId="28182" xr:uid="{F2757709-8365-4395-9B90-1F8EFE0A5FFC}"/>
    <cellStyle name="Input 3 3 24 2 5" xfId="28183" xr:uid="{2CF23382-D630-4450-A46C-A86A6E7714CF}"/>
    <cellStyle name="Input 3 3 24 2 6" xfId="28184" xr:uid="{37AE8A89-E57F-4047-96E2-262A94703713}"/>
    <cellStyle name="Input 3 3 24 3" xfId="28185" xr:uid="{7A8FFB6C-206E-45E8-B190-1616A4AFB034}"/>
    <cellStyle name="Input 3 3 24 4" xfId="28186" xr:uid="{05C2D8A4-7094-42DB-9F19-A855D75B017A}"/>
    <cellStyle name="Input 3 3 24 5" xfId="28187" xr:uid="{29E2F5E7-ED94-45EA-B7FE-8D59E5DE4D64}"/>
    <cellStyle name="Input 3 3 24 6" xfId="28188" xr:uid="{B4E3216C-2F74-4229-80D2-2DA86231D4AC}"/>
    <cellStyle name="Input 3 3 24 7" xfId="28189" xr:uid="{B097497E-DABF-479D-B1A6-B8D3FE6ADA2C}"/>
    <cellStyle name="Input 3 3 25" xfId="1702" xr:uid="{706B80F5-AF14-470A-862F-985DDC596146}"/>
    <cellStyle name="Input 3 3 25 2" xfId="11930" xr:uid="{E2FEA22B-BCE4-4026-BCEA-D54F5A8646BF}"/>
    <cellStyle name="Input 3 3 25 2 2" xfId="28190" xr:uid="{1A52FEDD-953B-48A5-B0BD-38611F6A564B}"/>
    <cellStyle name="Input 3 3 25 2 3" xfId="28191" xr:uid="{11700E23-53EC-4DC7-92BC-DD96CB7E72F0}"/>
    <cellStyle name="Input 3 3 25 2 4" xfId="28192" xr:uid="{56F39654-F9D9-49E3-933D-7C4DFF2D68F5}"/>
    <cellStyle name="Input 3 3 25 2 5" xfId="28193" xr:uid="{B4B33F2A-1D6D-4DAF-B192-60CA92885F4A}"/>
    <cellStyle name="Input 3 3 25 2 6" xfId="28194" xr:uid="{9867A38D-E7D3-40B2-BAAB-2A7B1136D518}"/>
    <cellStyle name="Input 3 3 25 3" xfId="28195" xr:uid="{166EFA82-698F-43FB-9DA7-26A15B8FB3C4}"/>
    <cellStyle name="Input 3 3 25 4" xfId="28196" xr:uid="{A1CAF310-D575-4ADB-9371-A09CF3FF2063}"/>
    <cellStyle name="Input 3 3 25 5" xfId="28197" xr:uid="{55A14F5B-AB1E-493C-A768-54CB09F3D185}"/>
    <cellStyle name="Input 3 3 25 6" xfId="28198" xr:uid="{5C06C129-6BAF-4BD4-BBF3-F1D163502076}"/>
    <cellStyle name="Input 3 3 25 7" xfId="28199" xr:uid="{5E1BCB87-E745-4387-8BC9-7ADD5D116CC5}"/>
    <cellStyle name="Input 3 3 26" xfId="1703" xr:uid="{3CBCFEF0-6E81-4E0C-B69C-F218A738D95B}"/>
    <cellStyle name="Input 3 3 26 2" xfId="12014" xr:uid="{C599B677-8566-47D4-BCBE-A6A14436C009}"/>
    <cellStyle name="Input 3 3 26 2 2" xfId="28200" xr:uid="{30B9268E-08C8-4018-AA98-B39A1104BA4A}"/>
    <cellStyle name="Input 3 3 26 2 3" xfId="28201" xr:uid="{ED5B96F1-E97A-4A8C-AB75-8D5059102390}"/>
    <cellStyle name="Input 3 3 26 2 4" xfId="28202" xr:uid="{0A2A19AD-7EBE-455C-A9B4-7EC6DF9B4EBA}"/>
    <cellStyle name="Input 3 3 26 2 5" xfId="28203" xr:uid="{D9E1132A-670E-4B56-B812-ACAF2BBC035B}"/>
    <cellStyle name="Input 3 3 26 2 6" xfId="28204" xr:uid="{66FB8276-8A56-4B95-8C74-D78C7E960BF3}"/>
    <cellStyle name="Input 3 3 26 3" xfId="28205" xr:uid="{0E40FB58-46ED-48D9-A8B6-06732776CE7F}"/>
    <cellStyle name="Input 3 3 26 4" xfId="28206" xr:uid="{D36F4751-6308-45F8-BE20-4B5FA0DFD90D}"/>
    <cellStyle name="Input 3 3 26 5" xfId="28207" xr:uid="{506B2BAF-D958-4554-B0E3-D23DA35C5171}"/>
    <cellStyle name="Input 3 3 26 6" xfId="28208" xr:uid="{C5A38E64-046D-484B-879B-9B5697319785}"/>
    <cellStyle name="Input 3 3 26 7" xfId="28209" xr:uid="{2D5FC59A-49E0-4D36-866E-817E4D3F1861}"/>
    <cellStyle name="Input 3 3 27" xfId="1704" xr:uid="{19CA25F7-A4D9-4E83-9D63-E13F7A690FF0}"/>
    <cellStyle name="Input 3 3 27 2" xfId="12097" xr:uid="{7A90E620-0753-4CB2-B948-8B6D2A9ECFD3}"/>
    <cellStyle name="Input 3 3 27 2 2" xfId="28210" xr:uid="{747AAAAF-E296-40F9-BC05-6169035116F2}"/>
    <cellStyle name="Input 3 3 27 2 3" xfId="28211" xr:uid="{23A473FB-00E7-4A5E-92AA-84F6E831F927}"/>
    <cellStyle name="Input 3 3 27 2 4" xfId="28212" xr:uid="{284F43D4-E75D-47FA-81E1-ED0BDE9143A1}"/>
    <cellStyle name="Input 3 3 27 2 5" xfId="28213" xr:uid="{46C87BE1-B03C-4B60-AD5F-6BA1CB9825F7}"/>
    <cellStyle name="Input 3 3 27 2 6" xfId="28214" xr:uid="{7FD2DFA3-7E32-4F3D-A3C9-F4220BA72DBF}"/>
    <cellStyle name="Input 3 3 27 3" xfId="28215" xr:uid="{CA5A7B3A-F251-42D6-8C13-8F889327758F}"/>
    <cellStyle name="Input 3 3 27 4" xfId="28216" xr:uid="{096DCFC0-303A-4865-9612-6EACE7FFBF61}"/>
    <cellStyle name="Input 3 3 27 5" xfId="28217" xr:uid="{470225C5-FDE3-460A-97C7-CBE380A6C1E8}"/>
    <cellStyle name="Input 3 3 27 6" xfId="28218" xr:uid="{A3C60D92-F675-4167-835E-1DF495D4404A}"/>
    <cellStyle name="Input 3 3 27 7" xfId="28219" xr:uid="{2D59D1A3-524F-4FB9-AC35-DB03EF111655}"/>
    <cellStyle name="Input 3 3 28" xfId="1705" xr:uid="{6CBFEF02-324B-46EE-98F1-BFD57267CF9E}"/>
    <cellStyle name="Input 3 3 28 2" xfId="12179" xr:uid="{11B0ECE6-0E64-485C-812A-24C12574B3EA}"/>
    <cellStyle name="Input 3 3 28 2 2" xfId="28220" xr:uid="{65909ED5-6689-46E9-81BF-AEEA9302283A}"/>
    <cellStyle name="Input 3 3 28 2 3" xfId="28221" xr:uid="{53F1560A-F085-432E-A1ED-C9B9FC239F12}"/>
    <cellStyle name="Input 3 3 28 2 4" xfId="28222" xr:uid="{C7BA18D6-8FE3-4C46-B15F-EBF8CC7E0C61}"/>
    <cellStyle name="Input 3 3 28 2 5" xfId="28223" xr:uid="{F00B842F-7C9E-47A0-8226-5B2B0D1AEADA}"/>
    <cellStyle name="Input 3 3 28 2 6" xfId="28224" xr:uid="{9537EEE1-B390-4D2C-A4B3-565BF5015575}"/>
    <cellStyle name="Input 3 3 28 3" xfId="28225" xr:uid="{4F26F378-D7CB-4798-B6FA-B04D623F4631}"/>
    <cellStyle name="Input 3 3 28 4" xfId="28226" xr:uid="{A8A97F20-3736-49DB-AB5B-63A47EF25CD3}"/>
    <cellStyle name="Input 3 3 28 5" xfId="28227" xr:uid="{FED400FF-F42C-4101-9A8E-48181CE5343D}"/>
    <cellStyle name="Input 3 3 28 6" xfId="28228" xr:uid="{5F0C01C0-9778-49E4-8370-0CB3310AF671}"/>
    <cellStyle name="Input 3 3 28 7" xfId="28229" xr:uid="{EA986705-A30B-40BC-A9E8-BFE01949C51D}"/>
    <cellStyle name="Input 3 3 29" xfId="1706" xr:uid="{AA5857C2-A257-4E9E-AA1A-D22F4B8C9363}"/>
    <cellStyle name="Input 3 3 29 2" xfId="12259" xr:uid="{89CABFA3-3960-4A51-AE7D-0C0FB17ED5A4}"/>
    <cellStyle name="Input 3 3 29 2 2" xfId="28230" xr:uid="{2B6175AF-D6A3-49E9-B946-D0A8720D1037}"/>
    <cellStyle name="Input 3 3 29 2 3" xfId="28231" xr:uid="{64C679D7-0D72-4018-AC87-21BFCB169A86}"/>
    <cellStyle name="Input 3 3 29 2 4" xfId="28232" xr:uid="{A97CEA6A-B38C-4034-A300-61EDF9B8A320}"/>
    <cellStyle name="Input 3 3 29 2 5" xfId="28233" xr:uid="{AF7C90F7-7ACE-48AD-81A7-E7E8C7E042F7}"/>
    <cellStyle name="Input 3 3 29 2 6" xfId="28234" xr:uid="{E29EF067-0016-4D4D-97C5-2521E07AF096}"/>
    <cellStyle name="Input 3 3 29 3" xfId="28235" xr:uid="{907C82CB-2093-435E-A657-81D03CC20904}"/>
    <cellStyle name="Input 3 3 29 4" xfId="28236" xr:uid="{610F2B67-51A8-4104-A68C-014F57FF8320}"/>
    <cellStyle name="Input 3 3 29 5" xfId="28237" xr:uid="{34C10B1D-3878-43DC-834A-BFC15D882016}"/>
    <cellStyle name="Input 3 3 29 6" xfId="28238" xr:uid="{A66EDCC5-1A92-43DB-BF1E-D3CED6DE6999}"/>
    <cellStyle name="Input 3 3 29 7" xfId="28239" xr:uid="{93999053-1466-490D-AF47-B9740F8F91DE}"/>
    <cellStyle name="Input 3 3 3" xfId="1707" xr:uid="{468C7BD7-2BC8-4D4D-94B5-FD2AD42CBF8A}"/>
    <cellStyle name="Input 3 3 3 2" xfId="10015" xr:uid="{E55B04A3-17B4-4EB3-958C-6AB2241EB466}"/>
    <cellStyle name="Input 3 3 3 2 2" xfId="28240" xr:uid="{79C4C487-4A33-44CB-98DB-79315B4EFB8C}"/>
    <cellStyle name="Input 3 3 3 2 3" xfId="28241" xr:uid="{296D7CFD-49B1-4DE1-81DF-7BAF1CFC8BA8}"/>
    <cellStyle name="Input 3 3 3 2 4" xfId="28242" xr:uid="{7133DC4C-75B3-4C15-BB95-FCE25A26FF5F}"/>
    <cellStyle name="Input 3 3 3 2 5" xfId="28243" xr:uid="{B699C932-F9B0-45CC-B097-AB27B22B6998}"/>
    <cellStyle name="Input 3 3 3 2 6" xfId="28244" xr:uid="{629B5A67-312C-46C5-80A8-8613CAB6E121}"/>
    <cellStyle name="Input 3 3 3 3" xfId="28245" xr:uid="{9EC897AA-BAD5-451A-9510-CF23B2E18607}"/>
    <cellStyle name="Input 3 3 3 4" xfId="28246" xr:uid="{BB00160F-43ED-4FEE-9402-A2A98F72FF0C}"/>
    <cellStyle name="Input 3 3 3 5" xfId="28247" xr:uid="{49C60D54-EA56-4A69-995E-6D9BDE8E906C}"/>
    <cellStyle name="Input 3 3 3 6" xfId="28248" xr:uid="{06C50991-A838-47EC-BE76-51FAB774553E}"/>
    <cellStyle name="Input 3 3 3 7" xfId="28249" xr:uid="{04127F19-AE32-4B11-8A62-6F23151CB8AB}"/>
    <cellStyle name="Input 3 3 30" xfId="1708" xr:uid="{52E0C0C5-62B4-4FA2-AD8D-2EAAE932AC5B}"/>
    <cellStyle name="Input 3 3 30 2" xfId="12337" xr:uid="{D4A3182C-B636-44F8-A5A0-F4C9493022A0}"/>
    <cellStyle name="Input 3 3 30 2 2" xfId="28250" xr:uid="{6FFAC089-5894-4AF6-BB57-6F625BD81055}"/>
    <cellStyle name="Input 3 3 30 2 3" xfId="28251" xr:uid="{824295B6-5913-4659-B55B-9AFCA68F5E77}"/>
    <cellStyle name="Input 3 3 30 2 4" xfId="28252" xr:uid="{6FD10463-84D9-40B1-9440-2558A968AEC6}"/>
    <cellStyle name="Input 3 3 30 2 5" xfId="28253" xr:uid="{4743233F-4516-42F0-8F14-64E6A87F0CAA}"/>
    <cellStyle name="Input 3 3 30 2 6" xfId="28254" xr:uid="{D60A63BC-72F8-4EF2-9C6A-57B8BF6E4F61}"/>
    <cellStyle name="Input 3 3 30 3" xfId="28255" xr:uid="{93A763F1-31DD-44D8-B1C4-8FEF71B71AC7}"/>
    <cellStyle name="Input 3 3 30 4" xfId="28256" xr:uid="{1BBFB09F-6339-4895-872D-4434ACC8A2CB}"/>
    <cellStyle name="Input 3 3 30 5" xfId="28257" xr:uid="{CD8C1F8C-C56C-4EFA-A736-9664DD63B6E6}"/>
    <cellStyle name="Input 3 3 30 6" xfId="28258" xr:uid="{2CF9135A-0E68-4F7E-A5C8-7EC5227249AF}"/>
    <cellStyle name="Input 3 3 30 7" xfId="28259" xr:uid="{0D208B58-5580-45C7-A284-375E48BB47EF}"/>
    <cellStyle name="Input 3 3 31" xfId="1709" xr:uid="{C137C069-AA0A-448A-9008-6F0F9B1FFC02}"/>
    <cellStyle name="Input 3 3 31 2" xfId="12416" xr:uid="{C79F9FD9-0AAC-4CD7-9E55-E58A699A272A}"/>
    <cellStyle name="Input 3 3 31 2 2" xfId="28260" xr:uid="{2CC47674-BAA6-49AD-881E-B4F7F3AFEF63}"/>
    <cellStyle name="Input 3 3 31 2 3" xfId="28261" xr:uid="{C01F2D0D-836A-4D72-88AB-D98AAB23E00B}"/>
    <cellStyle name="Input 3 3 31 2 4" xfId="28262" xr:uid="{70943A45-2124-404F-9BE5-E62400C36614}"/>
    <cellStyle name="Input 3 3 31 2 5" xfId="28263" xr:uid="{7510A0A4-131F-4F08-96EA-AA433DDE5E40}"/>
    <cellStyle name="Input 3 3 31 2 6" xfId="28264" xr:uid="{50D671FB-8F7F-42D1-8A84-534318BCF456}"/>
    <cellStyle name="Input 3 3 31 3" xfId="28265" xr:uid="{9DAD5A7E-71CB-4E5B-B5BD-415A40AEFA6D}"/>
    <cellStyle name="Input 3 3 31 4" xfId="28266" xr:uid="{3619EFCE-0200-4EF4-A2B0-7E0DD386907D}"/>
    <cellStyle name="Input 3 3 31 5" xfId="28267" xr:uid="{7CC9F945-F75A-4BF5-AFE4-4BD99A1A4EDF}"/>
    <cellStyle name="Input 3 3 31 6" xfId="28268" xr:uid="{FC6833E9-CF4B-410B-9E40-B2ECE38798B8}"/>
    <cellStyle name="Input 3 3 31 7" xfId="28269" xr:uid="{CA42E89C-6124-4DB7-B2A8-969873EE74E5}"/>
    <cellStyle name="Input 3 3 32" xfId="1710" xr:uid="{91450C17-AAA0-4179-8794-66E72EDD79C4}"/>
    <cellStyle name="Input 3 3 32 2" xfId="12495" xr:uid="{8747465B-BF30-4D5D-B008-50991A2D5B64}"/>
    <cellStyle name="Input 3 3 32 2 2" xfId="28270" xr:uid="{BFC45EE4-C6AA-427A-B595-B9C07A191E33}"/>
    <cellStyle name="Input 3 3 32 2 3" xfId="28271" xr:uid="{3D79185A-FCDE-41F0-85A7-5219301F44FE}"/>
    <cellStyle name="Input 3 3 32 2 4" xfId="28272" xr:uid="{5D345670-3AF7-499B-A384-91EA41F3A83C}"/>
    <cellStyle name="Input 3 3 32 2 5" xfId="28273" xr:uid="{F44CBAAB-1DA5-429A-9A3E-1DDA9325C9BD}"/>
    <cellStyle name="Input 3 3 32 2 6" xfId="28274" xr:uid="{CAD1D8B4-839E-4F69-BBD2-8F01BBA2E6BD}"/>
    <cellStyle name="Input 3 3 32 3" xfId="28275" xr:uid="{6E43248E-989B-4D6B-8489-2EEC945357B0}"/>
    <cellStyle name="Input 3 3 32 4" xfId="28276" xr:uid="{243FA5A0-EC23-45A7-8BA9-4319896A167C}"/>
    <cellStyle name="Input 3 3 32 5" xfId="28277" xr:uid="{50A14A87-F6D1-44DB-8C7C-52734EA219C8}"/>
    <cellStyle name="Input 3 3 32 6" xfId="28278" xr:uid="{6FE27498-0FCA-48FA-B412-3B990AA88C5F}"/>
    <cellStyle name="Input 3 3 32 7" xfId="28279" xr:uid="{3A5575AE-5DD5-4544-A19F-DEBEA67B6806}"/>
    <cellStyle name="Input 3 3 33" xfId="1711" xr:uid="{7B37CE98-46F4-4557-8C0E-64B05D443D25}"/>
    <cellStyle name="Input 3 3 33 2" xfId="12574" xr:uid="{5CB0D126-A3D0-4405-B12E-40DA7EE71FA1}"/>
    <cellStyle name="Input 3 3 33 2 2" xfId="28280" xr:uid="{C3ED7986-AF8C-471C-BF83-D91642F20971}"/>
    <cellStyle name="Input 3 3 33 2 3" xfId="28281" xr:uid="{24B584EA-4732-43E8-B618-A4BAF30E929C}"/>
    <cellStyle name="Input 3 3 33 2 4" xfId="28282" xr:uid="{AC9CE457-7676-43E4-A074-1BFD687CC1D4}"/>
    <cellStyle name="Input 3 3 33 2 5" xfId="28283" xr:uid="{59E40308-8091-439D-8F52-7EB21E188C03}"/>
    <cellStyle name="Input 3 3 33 2 6" xfId="28284" xr:uid="{AA04EE61-AF91-46EC-97D9-5DC4AAB2DCC0}"/>
    <cellStyle name="Input 3 3 33 3" xfId="28285" xr:uid="{2B34C2C8-88B7-4AB9-A211-7A4A697294E8}"/>
    <cellStyle name="Input 3 3 33 4" xfId="28286" xr:uid="{ACE1C2D2-36D1-4509-BB89-666278445BDB}"/>
    <cellStyle name="Input 3 3 33 5" xfId="28287" xr:uid="{D35FC3C3-BA71-4446-85A9-F2F83278C2F2}"/>
    <cellStyle name="Input 3 3 33 6" xfId="28288" xr:uid="{998C7A55-4D08-4013-BA1B-237F67CB809E}"/>
    <cellStyle name="Input 3 3 33 7" xfId="28289" xr:uid="{5E90FA6D-E981-49CB-AFD0-2D40C1FF276C}"/>
    <cellStyle name="Input 3 3 34" xfId="1712" xr:uid="{44A9F6C1-41DA-48EC-8437-4E8F8E46FC14}"/>
    <cellStyle name="Input 3 3 34 2" xfId="12653" xr:uid="{1FF0AC6F-16A6-40FB-B012-374D3D09893E}"/>
    <cellStyle name="Input 3 3 34 2 2" xfId="28290" xr:uid="{4218C01D-EDFD-4005-B3FB-56305A743EEB}"/>
    <cellStyle name="Input 3 3 34 2 3" xfId="28291" xr:uid="{761E1CC2-B500-4100-B218-7F70FDD038DC}"/>
    <cellStyle name="Input 3 3 34 2 4" xfId="28292" xr:uid="{A3D24028-B96A-4C0C-8F61-F98EC62F9A2C}"/>
    <cellStyle name="Input 3 3 34 2 5" xfId="28293" xr:uid="{57BBFA2C-AA68-4FFC-9428-221375D48698}"/>
    <cellStyle name="Input 3 3 34 2 6" xfId="28294" xr:uid="{1AE167F2-815D-46DD-A4E8-B1450CFF75D5}"/>
    <cellStyle name="Input 3 3 34 3" xfId="28295" xr:uid="{6BEFD3ED-9923-4605-B16A-E99EA35720DA}"/>
    <cellStyle name="Input 3 3 34 4" xfId="28296" xr:uid="{30800CB0-833C-4047-9F2E-521DA731A712}"/>
    <cellStyle name="Input 3 3 34 5" xfId="28297" xr:uid="{1E06F4BB-7EED-475B-B25F-B1F28D4409CC}"/>
    <cellStyle name="Input 3 3 34 6" xfId="28298" xr:uid="{549606CE-5CC8-4DB4-BF07-7CE9E5117746}"/>
    <cellStyle name="Input 3 3 34 7" xfId="28299" xr:uid="{4876627C-D22C-428E-A3A8-CAC336A1C8A4}"/>
    <cellStyle name="Input 3 3 35" xfId="1713" xr:uid="{C035C5C1-CA6A-4B60-90ED-23EC23CE0379}"/>
    <cellStyle name="Input 3 3 35 2" xfId="12737" xr:uid="{07E69B44-5744-4871-8112-63655474BF19}"/>
    <cellStyle name="Input 3 3 35 2 2" xfId="28300" xr:uid="{B97965E2-F8A1-471C-AE62-5E1D0CFE6BD7}"/>
    <cellStyle name="Input 3 3 35 2 3" xfId="28301" xr:uid="{0D4348F1-6D90-492F-9228-290E90D88A3A}"/>
    <cellStyle name="Input 3 3 35 2 4" xfId="28302" xr:uid="{ED3BA8DE-194C-4235-A951-D743F380FF03}"/>
    <cellStyle name="Input 3 3 35 2 5" xfId="28303" xr:uid="{F467CB63-241A-41FD-B0EF-857D3FDF3BB2}"/>
    <cellStyle name="Input 3 3 35 2 6" xfId="28304" xr:uid="{863D3A50-DBC8-43DE-9B7E-555FDB4D47C6}"/>
    <cellStyle name="Input 3 3 35 3" xfId="28305" xr:uid="{A916C4DC-8312-4263-B450-055EF286D575}"/>
    <cellStyle name="Input 3 3 35 4" xfId="28306" xr:uid="{AF152335-B112-4FF3-B298-61BD8ABAFF16}"/>
    <cellStyle name="Input 3 3 35 5" xfId="28307" xr:uid="{7A9D47E1-634C-4D5E-A53E-E3443600F9D0}"/>
    <cellStyle name="Input 3 3 35 6" xfId="28308" xr:uid="{04D5FEEA-1FCB-40D6-BC11-841C49532A10}"/>
    <cellStyle name="Input 3 3 36" xfId="6924" xr:uid="{877D946F-D085-4EE2-8018-4E3D0CF75B9B}"/>
    <cellStyle name="Input 3 3 36 2" xfId="28309" xr:uid="{90788B4F-28EE-4329-8A33-82FE0E729C34}"/>
    <cellStyle name="Input 3 3 36 3" xfId="28310" xr:uid="{B3998BEC-CF94-48A1-9DC7-C631474E1DA8}"/>
    <cellStyle name="Input 3 3 36 4" xfId="28311" xr:uid="{ADECFA34-9560-4B37-88FA-BDB28D0D9C87}"/>
    <cellStyle name="Input 3 3 36 5" xfId="28312" xr:uid="{CE9BAC87-E957-4FC5-9721-92EFFCA741A3}"/>
    <cellStyle name="Input 3 3 36 6" xfId="28313" xr:uid="{7FAF1936-B595-4078-80F3-C904CBEB2B25}"/>
    <cellStyle name="Input 3 3 37" xfId="9802" xr:uid="{C31D7504-D42A-414D-B6CC-E75ED51E2931}"/>
    <cellStyle name="Input 3 3 37 2" xfId="28314" xr:uid="{1798052D-D715-42AF-9294-3DA65FD89417}"/>
    <cellStyle name="Input 3 3 37 3" xfId="28315" xr:uid="{356D2E0C-7479-4DE3-82F1-56DAFE6075BF}"/>
    <cellStyle name="Input 3 3 37 4" xfId="28316" xr:uid="{A21E9AC7-9E85-4438-84A2-FCB23383F9E1}"/>
    <cellStyle name="Input 3 3 37 5" xfId="28317" xr:uid="{D21ABE42-B555-4F3B-AF1C-1B029C931B8D}"/>
    <cellStyle name="Input 3 3 37 6" xfId="28318" xr:uid="{A9AB0D40-5958-4D80-88D9-4A3C81FDC92E}"/>
    <cellStyle name="Input 3 3 38" xfId="28319" xr:uid="{0F09DB73-D90F-4BED-A923-28CCE790AA55}"/>
    <cellStyle name="Input 3 3 39" xfId="28320" xr:uid="{254988E0-8E24-4627-978D-7D6C3F2617FE}"/>
    <cellStyle name="Input 3 3 4" xfId="1714" xr:uid="{295319EF-410D-4DF1-B918-27A393A9C647}"/>
    <cellStyle name="Input 3 3 4 2" xfId="10106" xr:uid="{5EE28F4B-7C4C-4103-A320-219FCEBF1A08}"/>
    <cellStyle name="Input 3 3 4 2 2" xfId="28321" xr:uid="{FF9226AF-9662-42FD-8E2E-4908939CD489}"/>
    <cellStyle name="Input 3 3 4 2 3" xfId="28322" xr:uid="{7CA140F1-793C-457D-A3F1-6E62AB2A6582}"/>
    <cellStyle name="Input 3 3 4 2 4" xfId="28323" xr:uid="{9D987CCD-F036-48BE-8097-AF48837E487E}"/>
    <cellStyle name="Input 3 3 4 2 5" xfId="28324" xr:uid="{9CD0C4EA-EDAB-465E-A356-B510A71F382B}"/>
    <cellStyle name="Input 3 3 4 2 6" xfId="28325" xr:uid="{08FC9C17-FB8F-407F-9E19-F25DC69432AC}"/>
    <cellStyle name="Input 3 3 4 3" xfId="28326" xr:uid="{1B109827-5993-4428-AE08-744CB9A39D64}"/>
    <cellStyle name="Input 3 3 4 4" xfId="28327" xr:uid="{77EB129E-2E56-4431-8FD2-AF26A76018D1}"/>
    <cellStyle name="Input 3 3 4 5" xfId="28328" xr:uid="{3F6A5E8B-0726-4886-8ABA-4E5AC8E7D4A1}"/>
    <cellStyle name="Input 3 3 4 6" xfId="28329" xr:uid="{3A949348-3ABC-403D-98D2-5BD058C19F70}"/>
    <cellStyle name="Input 3 3 4 7" xfId="28330" xr:uid="{F11D1769-3829-4865-8BE2-AF779CBB3D3B}"/>
    <cellStyle name="Input 3 3 5" xfId="1715" xr:uid="{779B99DD-7F76-47EE-945D-643C6E217A85}"/>
    <cellStyle name="Input 3 3 5 2" xfId="10196" xr:uid="{EC9C0157-8826-4483-BAFD-D6A281123FB7}"/>
    <cellStyle name="Input 3 3 5 2 2" xfId="28331" xr:uid="{738C3CD3-6C0B-4F29-83FF-402B9D1B34D3}"/>
    <cellStyle name="Input 3 3 5 2 3" xfId="28332" xr:uid="{DEAA9EAE-B680-40B2-9013-5A6C3B2EE8EC}"/>
    <cellStyle name="Input 3 3 5 2 4" xfId="28333" xr:uid="{C0F6ADB4-6F02-4084-AF32-8C42EA679550}"/>
    <cellStyle name="Input 3 3 5 2 5" xfId="28334" xr:uid="{0E0CA59E-9F30-45D3-9B43-22655DB7F5A4}"/>
    <cellStyle name="Input 3 3 5 2 6" xfId="28335" xr:uid="{678411F3-CC7C-4AB6-8546-C06C530A31EB}"/>
    <cellStyle name="Input 3 3 5 3" xfId="28336" xr:uid="{66700B5B-4EC3-4C52-B3B8-20B8BDE18738}"/>
    <cellStyle name="Input 3 3 5 4" xfId="28337" xr:uid="{3FC2826D-2C2F-4A64-92B9-9F7C4E6C139C}"/>
    <cellStyle name="Input 3 3 5 5" xfId="28338" xr:uid="{A875683F-7E58-464C-A27D-D3A16B746D23}"/>
    <cellStyle name="Input 3 3 5 6" xfId="28339" xr:uid="{85B82EED-176C-445D-8172-31970E957DC0}"/>
    <cellStyle name="Input 3 3 5 7" xfId="28340" xr:uid="{001969EF-A70F-47B1-964E-56D96FF8C037}"/>
    <cellStyle name="Input 3 3 6" xfId="1716" xr:uid="{642402D9-0FC2-40AC-BEE1-151339FC934A}"/>
    <cellStyle name="Input 3 3 6 2" xfId="10282" xr:uid="{230E278E-A714-4D9C-B8C3-04AAFE984D1B}"/>
    <cellStyle name="Input 3 3 6 2 2" xfId="28341" xr:uid="{AC00FB6C-F933-43F8-BFC7-F21ACC59EBAF}"/>
    <cellStyle name="Input 3 3 6 2 3" xfId="28342" xr:uid="{0CE4FB11-E46C-4EEB-AC0F-805DAA8597E2}"/>
    <cellStyle name="Input 3 3 6 2 4" xfId="28343" xr:uid="{0A251133-9530-4101-B8D5-16A74E0EF0A2}"/>
    <cellStyle name="Input 3 3 6 2 5" xfId="28344" xr:uid="{9DB9C0E5-AC97-4D91-859F-DB14FD27C65D}"/>
    <cellStyle name="Input 3 3 6 2 6" xfId="28345" xr:uid="{A0E962D1-3C75-42A9-9F70-1D582A69F3AA}"/>
    <cellStyle name="Input 3 3 6 3" xfId="28346" xr:uid="{5629EC8F-BE86-4A7E-9A4E-B43329A98F0D}"/>
    <cellStyle name="Input 3 3 6 4" xfId="28347" xr:uid="{9536A15D-0A4A-4FBB-A30E-C0C3EFB93149}"/>
    <cellStyle name="Input 3 3 6 5" xfId="28348" xr:uid="{930B1D18-8306-4550-8F3E-1CFAD151A4DE}"/>
    <cellStyle name="Input 3 3 6 6" xfId="28349" xr:uid="{A1629812-9686-49EF-B777-78F9FFEA96CC}"/>
    <cellStyle name="Input 3 3 6 7" xfId="28350" xr:uid="{7ACF82FE-8BBA-40F6-99B7-D0491741ADE5}"/>
    <cellStyle name="Input 3 3 7" xfId="1717" xr:uid="{ECF14E63-64BA-4D69-A669-968A806C5EDA}"/>
    <cellStyle name="Input 3 3 7 2" xfId="10370" xr:uid="{C591A8D8-61AF-4DA1-9179-ED91516EFCDB}"/>
    <cellStyle name="Input 3 3 7 2 2" xfId="28351" xr:uid="{42325CE6-EA9D-4BE2-BDBA-2C2042BADEB2}"/>
    <cellStyle name="Input 3 3 7 2 3" xfId="28352" xr:uid="{70E4051F-105A-49BE-8186-CC9AB3043847}"/>
    <cellStyle name="Input 3 3 7 2 4" xfId="28353" xr:uid="{A3233A2E-8CA0-41FE-8CFE-280676AAA2D5}"/>
    <cellStyle name="Input 3 3 7 2 5" xfId="28354" xr:uid="{4A7774AB-1C52-4510-BED5-79CACFCAE29F}"/>
    <cellStyle name="Input 3 3 7 2 6" xfId="28355" xr:uid="{F87AEDD7-62CB-4D13-A9C4-C119B8F3C40C}"/>
    <cellStyle name="Input 3 3 7 3" xfId="28356" xr:uid="{29DD94A8-9785-4518-ADA7-EC0F84D765DA}"/>
    <cellStyle name="Input 3 3 7 4" xfId="28357" xr:uid="{8E946459-7DC9-414D-A210-3C6CA900B1D5}"/>
    <cellStyle name="Input 3 3 7 5" xfId="28358" xr:uid="{103F6DF2-3C7A-4FDE-85A0-676003FE8DB2}"/>
    <cellStyle name="Input 3 3 7 6" xfId="28359" xr:uid="{28116C15-02DD-42DA-ACA9-C20ED8F13C26}"/>
    <cellStyle name="Input 3 3 7 7" xfId="28360" xr:uid="{397DE0CF-63E7-4213-8465-AA1EFE18822D}"/>
    <cellStyle name="Input 3 3 8" xfId="1718" xr:uid="{D4B88A7A-7E2E-461F-A32E-BB1121FEB4E7}"/>
    <cellStyle name="Input 3 3 8 2" xfId="10457" xr:uid="{635BC258-FE2B-4C59-86EB-95653093ADE0}"/>
    <cellStyle name="Input 3 3 8 2 2" xfId="28361" xr:uid="{F89313E7-F9CA-4796-9DD1-878F174FB079}"/>
    <cellStyle name="Input 3 3 8 2 3" xfId="28362" xr:uid="{A442B3A0-F2A1-4ED3-9960-B30080F8668A}"/>
    <cellStyle name="Input 3 3 8 2 4" xfId="28363" xr:uid="{2A7EC374-F8F3-442B-892C-DB783402D6D4}"/>
    <cellStyle name="Input 3 3 8 2 5" xfId="28364" xr:uid="{2C9FE970-EEED-4FDE-8619-DD42C0C495B5}"/>
    <cellStyle name="Input 3 3 8 2 6" xfId="28365" xr:uid="{5B5E9031-B771-4FAC-9E5E-5EBE73B5355B}"/>
    <cellStyle name="Input 3 3 8 3" xfId="28366" xr:uid="{0DAE18C6-3587-4B15-B8B1-7CDAD3C4D749}"/>
    <cellStyle name="Input 3 3 8 4" xfId="28367" xr:uid="{1F2DBC99-A3A9-491F-A3A6-F8C253056FA2}"/>
    <cellStyle name="Input 3 3 8 5" xfId="28368" xr:uid="{A2E7D810-BFF2-44C3-8948-0AE415CBEF63}"/>
    <cellStyle name="Input 3 3 8 6" xfId="28369" xr:uid="{C23F5191-15D8-4F4A-B1E6-FF19E718E724}"/>
    <cellStyle name="Input 3 3 8 7" xfId="28370" xr:uid="{E4E97C63-B195-478B-97FC-6EF065A7DFF1}"/>
    <cellStyle name="Input 3 3 9" xfId="1719" xr:uid="{8130D16B-75F0-40CE-B800-4575CFAD4F75}"/>
    <cellStyle name="Input 3 3 9 2" xfId="10546" xr:uid="{FF8FE042-CC58-4A3E-B87B-28D0359578AF}"/>
    <cellStyle name="Input 3 3 9 2 2" xfId="28371" xr:uid="{2CC186B9-A888-4A03-B4FD-8AFB605688DF}"/>
    <cellStyle name="Input 3 3 9 2 3" xfId="28372" xr:uid="{E9C2BAE4-6FBC-488B-9AD6-2D41AA3C4D3A}"/>
    <cellStyle name="Input 3 3 9 2 4" xfId="28373" xr:uid="{2D7AB8D4-5528-474A-ACAB-CEE021F8F7D8}"/>
    <cellStyle name="Input 3 3 9 2 5" xfId="28374" xr:uid="{873D3D84-3FA3-4C82-8696-B4E7A8C01C83}"/>
    <cellStyle name="Input 3 3 9 2 6" xfId="28375" xr:uid="{D2F348F4-5BA0-4DD7-B59C-C77A69AB22A3}"/>
    <cellStyle name="Input 3 3 9 3" xfId="28376" xr:uid="{A5C5C55A-66C8-4844-8CF8-5FC05564ACBF}"/>
    <cellStyle name="Input 3 3 9 4" xfId="28377" xr:uid="{0C05C7BC-8F71-4799-8EC1-436521CA971C}"/>
    <cellStyle name="Input 3 3 9 5" xfId="28378" xr:uid="{6B75FA6C-5DCB-4358-A06B-0ADB8B836A63}"/>
    <cellStyle name="Input 3 3 9 6" xfId="28379" xr:uid="{71BBBE31-F0DE-4AA3-9120-E5525486F105}"/>
    <cellStyle name="Input 3 3 9 7" xfId="28380" xr:uid="{85D4812A-14F5-4B4D-919B-1C9449C70C62}"/>
    <cellStyle name="Input 3 30" xfId="1720" xr:uid="{EB4A6E41-7889-4995-94F1-2ADABE0E0684}"/>
    <cellStyle name="Input 3 30 2" xfId="10098" xr:uid="{188033CB-0D71-46EA-947B-D29543E1EE22}"/>
    <cellStyle name="Input 3 30 2 2" xfId="28381" xr:uid="{8FE7B94B-BB75-48AA-9901-D26A85F239C6}"/>
    <cellStyle name="Input 3 30 2 3" xfId="28382" xr:uid="{364C56E7-D506-45D7-98DD-8266A677DD0A}"/>
    <cellStyle name="Input 3 30 2 4" xfId="28383" xr:uid="{6B99F182-D78F-4B44-80D3-C4963838EED9}"/>
    <cellStyle name="Input 3 30 2 5" xfId="28384" xr:uid="{77829A77-9982-44EA-97EC-F1C778D68F95}"/>
    <cellStyle name="Input 3 30 2 6" xfId="28385" xr:uid="{BE8D1CD2-684B-44F3-9ABF-B9C2D124EF4A}"/>
    <cellStyle name="Input 3 30 3" xfId="28386" xr:uid="{D05DF00E-9023-4AFE-8B5A-F749E5B53FC0}"/>
    <cellStyle name="Input 3 30 4" xfId="28387" xr:uid="{4ECCB52A-40F6-448A-82A9-2603257C563F}"/>
    <cellStyle name="Input 3 30 5" xfId="28388" xr:uid="{F974A832-B183-4746-B822-E42E659D342D}"/>
    <cellStyle name="Input 3 30 6" xfId="28389" xr:uid="{55CE3A6F-F277-4E5B-B131-3174F29DCC3D}"/>
    <cellStyle name="Input 3 30 7" xfId="28390" xr:uid="{5C379053-36F1-4E92-A652-7C7442A82FAA}"/>
    <cellStyle name="Input 3 31" xfId="1721" xr:uid="{EC4A92F2-4739-4664-81C2-98FBDD67B433}"/>
    <cellStyle name="Input 3 31 2" xfId="10779" xr:uid="{6DA4A119-63FD-41F5-8C0F-EEF4F80E2935}"/>
    <cellStyle name="Input 3 31 2 2" xfId="28391" xr:uid="{5D234FB0-633A-4836-9ECA-C486394443E1}"/>
    <cellStyle name="Input 3 31 2 3" xfId="28392" xr:uid="{4C233A35-0FAB-4E97-A3FD-4ED4B4FBB38D}"/>
    <cellStyle name="Input 3 31 2 4" xfId="28393" xr:uid="{2389D390-4DFE-43C8-8DB8-2C7BA6025608}"/>
    <cellStyle name="Input 3 31 2 5" xfId="28394" xr:uid="{3DC3F7FD-8A65-4546-B197-76441B708269}"/>
    <cellStyle name="Input 3 31 2 6" xfId="28395" xr:uid="{EF911D48-6F90-4DD5-9070-6C15E375C5F4}"/>
    <cellStyle name="Input 3 31 3" xfId="28396" xr:uid="{ACCA7E25-0850-4B56-88F1-17D230C4E904}"/>
    <cellStyle name="Input 3 31 4" xfId="28397" xr:uid="{83F0CF1B-DF7A-4BE1-861E-8FB346CF0E8D}"/>
    <cellStyle name="Input 3 31 5" xfId="28398" xr:uid="{B202BF52-A821-4BD3-822B-91F0D935F78C}"/>
    <cellStyle name="Input 3 31 6" xfId="28399" xr:uid="{7DC9B9BB-6079-4344-9906-784207B03AD5}"/>
    <cellStyle name="Input 3 31 7" xfId="28400" xr:uid="{77001CC5-F113-4FDC-93CF-E5AF37631252}"/>
    <cellStyle name="Input 3 32" xfId="1722" xr:uid="{B81C163A-124B-4C23-A68D-17F206350F9E}"/>
    <cellStyle name="Input 3 32 2" xfId="11569" xr:uid="{B40760EE-1BE4-46CB-874D-D2A55E7E9A5C}"/>
    <cellStyle name="Input 3 32 2 2" xfId="28401" xr:uid="{3A409A36-0EA0-41B7-A905-6FD41A7658D5}"/>
    <cellStyle name="Input 3 32 2 3" xfId="28402" xr:uid="{F00D0613-B4BF-40C9-8503-F9E1CC7404CF}"/>
    <cellStyle name="Input 3 32 2 4" xfId="28403" xr:uid="{44109AEB-737C-4BCF-865A-7766F3609623}"/>
    <cellStyle name="Input 3 32 2 5" xfId="28404" xr:uid="{4019DB17-4914-41D8-A69F-0B6C8D722E19}"/>
    <cellStyle name="Input 3 32 2 6" xfId="28405" xr:uid="{AE15A939-A1C2-40E7-9775-63C88731359E}"/>
    <cellStyle name="Input 3 32 3" xfId="28406" xr:uid="{775F28FB-5462-488E-B393-83026660DD27}"/>
    <cellStyle name="Input 3 32 4" xfId="28407" xr:uid="{1A1CC7CA-9C94-4FC4-B04D-C60DE1DA3FC1}"/>
    <cellStyle name="Input 3 32 5" xfId="28408" xr:uid="{1DCFF7CC-E0B2-4ABE-92B7-CB27C31413CF}"/>
    <cellStyle name="Input 3 32 6" xfId="28409" xr:uid="{F6FD35CF-3D4C-41DC-B74D-9FBADEA1B047}"/>
    <cellStyle name="Input 3 32 7" xfId="28410" xr:uid="{9AC70F59-7D36-49BF-830C-134FDE0862A9}"/>
    <cellStyle name="Input 3 33" xfId="1723" xr:uid="{B818300A-B0AA-423C-91D1-67D93A70FBD9}"/>
    <cellStyle name="Input 3 33 2" xfId="9947" xr:uid="{850113DD-86A4-46A5-8225-78DDA938E9F4}"/>
    <cellStyle name="Input 3 33 2 2" xfId="28411" xr:uid="{28E67D20-D9E7-4143-8C24-47D44D07CD44}"/>
    <cellStyle name="Input 3 33 2 3" xfId="28412" xr:uid="{29CA5D91-8CA2-4BEE-AAE7-0B1C3F224B6D}"/>
    <cellStyle name="Input 3 33 2 4" xfId="28413" xr:uid="{DA09BFA7-3F32-497A-BD30-2C52C2FED45E}"/>
    <cellStyle name="Input 3 33 2 5" xfId="28414" xr:uid="{95F4FF9B-2DAD-4199-8952-7B7ED164BB41}"/>
    <cellStyle name="Input 3 33 2 6" xfId="28415" xr:uid="{A40699C9-3688-4E95-A56A-25890D73477A}"/>
    <cellStyle name="Input 3 33 3" xfId="28416" xr:uid="{B4B23E3E-0AA2-434C-A233-304653F096FF}"/>
    <cellStyle name="Input 3 33 4" xfId="28417" xr:uid="{760560E2-FA47-4154-835A-E00919B14123}"/>
    <cellStyle name="Input 3 33 5" xfId="28418" xr:uid="{C105C4BC-3987-4BA2-8F4F-5386933808B9}"/>
    <cellStyle name="Input 3 33 6" xfId="28419" xr:uid="{D5DA66C9-C5C3-4171-835D-2461D9AF16D0}"/>
    <cellStyle name="Input 3 33 7" xfId="28420" xr:uid="{DA7E37C3-3292-4568-9AD4-3245F3518068}"/>
    <cellStyle name="Input 3 34" xfId="1724" xr:uid="{26658C61-8E21-4DB7-AC87-0EDD6B1085CF}"/>
    <cellStyle name="Input 3 34 2" xfId="11221" xr:uid="{5179FAA3-FC90-4278-939C-3A4A435A953B}"/>
    <cellStyle name="Input 3 34 2 2" xfId="28421" xr:uid="{ABA2791C-B481-4CDB-A457-62F27AD2A802}"/>
    <cellStyle name="Input 3 34 2 3" xfId="28422" xr:uid="{121A8CB3-49BF-456A-938E-A3D2C34A50ED}"/>
    <cellStyle name="Input 3 34 2 4" xfId="28423" xr:uid="{19DCFA79-3AF5-440C-B495-0677F078BB1A}"/>
    <cellStyle name="Input 3 34 2 5" xfId="28424" xr:uid="{9FAB773C-430C-4FD7-9D38-50EA6C59CB5C}"/>
    <cellStyle name="Input 3 34 2 6" xfId="28425" xr:uid="{410A8BF7-1128-4738-9FF8-0E5242045FBB}"/>
    <cellStyle name="Input 3 34 3" xfId="28426" xr:uid="{69FAECD0-287E-455D-875C-61F49B8E4B96}"/>
    <cellStyle name="Input 3 34 4" xfId="28427" xr:uid="{2A451686-7C0D-4E5C-9B82-84CD7474EEA7}"/>
    <cellStyle name="Input 3 34 5" xfId="28428" xr:uid="{7665C7A0-E55C-4886-B648-A8056FE5DAFE}"/>
    <cellStyle name="Input 3 34 6" xfId="28429" xr:uid="{EDC0BCAE-3375-4D80-9D5D-8A1F39534751}"/>
    <cellStyle name="Input 3 34 7" xfId="28430" xr:uid="{02E57202-CD54-41A0-A863-D31EF0870EA4}"/>
    <cellStyle name="Input 3 35" xfId="1725" xr:uid="{111FD925-8D29-48D9-8A7E-1028B26FF5CA}"/>
    <cellStyle name="Input 3 35 2" xfId="10075" xr:uid="{33EDBA44-87D7-460E-A8A4-ABDBD26E98A8}"/>
    <cellStyle name="Input 3 35 2 2" xfId="28431" xr:uid="{463C2AA6-20F3-40B7-8DF6-52FFBC4947BB}"/>
    <cellStyle name="Input 3 35 2 3" xfId="28432" xr:uid="{698E8CF2-E92B-48F0-B9E7-49C85BFF135F}"/>
    <cellStyle name="Input 3 35 2 4" xfId="28433" xr:uid="{0C34C970-6528-4FF0-8073-D7AAF458BC42}"/>
    <cellStyle name="Input 3 35 2 5" xfId="28434" xr:uid="{655D93E8-6585-41FA-8BBF-D19A25D124AB}"/>
    <cellStyle name="Input 3 35 2 6" xfId="28435" xr:uid="{0CAFC914-8ED2-4FDC-889E-937536D67D12}"/>
    <cellStyle name="Input 3 35 3" xfId="28436" xr:uid="{B12E7692-8CB8-4F5A-9B58-7D17CE30D85A}"/>
    <cellStyle name="Input 3 35 4" xfId="28437" xr:uid="{6A4C14D5-C375-4076-9F96-7F1BBA53E3CA}"/>
    <cellStyle name="Input 3 35 5" xfId="28438" xr:uid="{1F047266-0056-4FB7-B89D-69DD6B5B35D0}"/>
    <cellStyle name="Input 3 35 6" xfId="28439" xr:uid="{011E6A74-D945-4D1D-8A05-CC70C2DC5A84}"/>
    <cellStyle name="Input 3 35 7" xfId="28440" xr:uid="{ED249637-186F-4237-883C-390DBB7CDB75}"/>
    <cellStyle name="Input 3 36" xfId="1726" xr:uid="{5EB132F8-8A5A-49C8-874F-5E8BAD90C846}"/>
    <cellStyle name="Input 3 36 2" xfId="12007" xr:uid="{A9A7AEB2-81B7-47BF-A524-92DDE475E2AA}"/>
    <cellStyle name="Input 3 36 2 2" xfId="28441" xr:uid="{DDFD9EAC-CC70-48C3-A46B-51E5A66398DD}"/>
    <cellStyle name="Input 3 36 2 3" xfId="28442" xr:uid="{8811DB29-E4AB-423F-9642-3138BACE6224}"/>
    <cellStyle name="Input 3 36 2 4" xfId="28443" xr:uid="{2FB416FB-7F7A-442B-BFB0-D6944A462FCF}"/>
    <cellStyle name="Input 3 36 2 5" xfId="28444" xr:uid="{0537A011-B417-4345-BC98-C9715386062C}"/>
    <cellStyle name="Input 3 36 2 6" xfId="28445" xr:uid="{17E0F4BA-4F73-4BED-A51E-D2A70441921B}"/>
    <cellStyle name="Input 3 36 3" xfId="28446" xr:uid="{E86814B8-1677-4F61-8111-F006133B44AF}"/>
    <cellStyle name="Input 3 36 4" xfId="28447" xr:uid="{AEA5E74A-0BB4-4CFD-9E78-C95A735E4856}"/>
    <cellStyle name="Input 3 36 5" xfId="28448" xr:uid="{D65AEF15-E2FE-4334-9AF7-CE383D755998}"/>
    <cellStyle name="Input 3 36 6" xfId="28449" xr:uid="{CDFA0D7D-16F8-44F5-B6AB-03080F66F424}"/>
    <cellStyle name="Input 3 36 7" xfId="28450" xr:uid="{FBAC086D-78B7-4BE4-92D8-6E89B829C3DC}"/>
    <cellStyle name="Input 3 37" xfId="1727" xr:uid="{D7ED4EA9-E36F-4981-8FF2-4953978FA030}"/>
    <cellStyle name="Input 3 37 2" xfId="11839" xr:uid="{457EB4A8-439D-40CA-85AE-FE04C7726CD4}"/>
    <cellStyle name="Input 3 37 2 2" xfId="28451" xr:uid="{AF3194A5-140B-40C4-983E-66C1FC748B89}"/>
    <cellStyle name="Input 3 37 2 3" xfId="28452" xr:uid="{1CA2E42C-50E5-4484-9506-9AB6DBF2863A}"/>
    <cellStyle name="Input 3 37 2 4" xfId="28453" xr:uid="{267142D5-ED1F-4B19-A05A-226D35EF9151}"/>
    <cellStyle name="Input 3 37 2 5" xfId="28454" xr:uid="{DD6C3622-92FE-4E11-9701-70AE0A08347D}"/>
    <cellStyle name="Input 3 37 2 6" xfId="28455" xr:uid="{FAC59278-EF54-4FFA-A35C-78855E206ABE}"/>
    <cellStyle name="Input 3 37 3" xfId="28456" xr:uid="{E5B044C4-401F-41F7-8FFB-5D5825FFCC3D}"/>
    <cellStyle name="Input 3 37 4" xfId="28457" xr:uid="{CC926E63-9C79-4DDF-ABD6-EBE315A10C7A}"/>
    <cellStyle name="Input 3 37 5" xfId="28458" xr:uid="{1340E034-5EAA-4B64-942B-68F88F2B8A92}"/>
    <cellStyle name="Input 3 37 6" xfId="28459" xr:uid="{9A6EF546-0F60-452D-9653-7E69F7199A24}"/>
    <cellStyle name="Input 3 37 7" xfId="28460" xr:uid="{2A838439-8AE8-4271-B1CD-AC967AE35C37}"/>
    <cellStyle name="Input 3 38" xfId="1728" xr:uid="{4C780A99-FD2E-43B2-AA1C-AA58DDA1C6AD}"/>
    <cellStyle name="Input 3 38 2" xfId="9724" xr:uid="{9907FB85-BA82-4A12-92EF-BB33E79DFAB4}"/>
    <cellStyle name="Input 3 38 2 2" xfId="28461" xr:uid="{3BBB3A30-3C45-460A-B9F6-FEA939CF0FF6}"/>
    <cellStyle name="Input 3 38 2 3" xfId="28462" xr:uid="{486B92D4-47C5-4B12-8075-9891578243FF}"/>
    <cellStyle name="Input 3 38 2 4" xfId="28463" xr:uid="{7FCC1B8E-AD37-4C6D-AA31-B7125D19CEAF}"/>
    <cellStyle name="Input 3 38 2 5" xfId="28464" xr:uid="{FB080B5A-918B-49BB-B4E4-55DC331010CC}"/>
    <cellStyle name="Input 3 38 2 6" xfId="28465" xr:uid="{66BA403E-B364-40CE-B73F-07AC2A60F611}"/>
    <cellStyle name="Input 3 38 3" xfId="28466" xr:uid="{03D7D0F5-41CE-4161-BBFD-7711B062DA3A}"/>
    <cellStyle name="Input 3 38 4" xfId="28467" xr:uid="{8F66BF0C-721A-499D-981D-33828D614531}"/>
    <cellStyle name="Input 3 38 5" xfId="28468" xr:uid="{DB392EBC-7D9A-4D70-87D4-8414E19962BB}"/>
    <cellStyle name="Input 3 38 6" xfId="28469" xr:uid="{AD499171-2B59-4BE5-A568-BC29C6D1E411}"/>
    <cellStyle name="Input 3 39" xfId="6925" xr:uid="{988E715F-806D-430C-9F2E-DD35D47B0693}"/>
    <cellStyle name="Input 3 4" xfId="1729" xr:uid="{5A8B618F-FA97-49B1-B6DC-B973D69887D9}"/>
    <cellStyle name="Input 3 4 10" xfId="1730" xr:uid="{FF498DE0-A943-4CDF-B8FE-FB7BD7DBC961}"/>
    <cellStyle name="Input 3 4 10 2" xfId="10704" xr:uid="{26530BD3-6E74-4FA6-886F-CAF49E0D941F}"/>
    <cellStyle name="Input 3 4 10 2 2" xfId="28470" xr:uid="{A1FFB3C2-2DB7-431A-B306-D930B7FAC8E4}"/>
    <cellStyle name="Input 3 4 10 2 3" xfId="28471" xr:uid="{7C94C858-8D21-43CD-BA35-0B4D55E8B7FD}"/>
    <cellStyle name="Input 3 4 10 2 4" xfId="28472" xr:uid="{368782BB-2B75-4E54-92D2-280FA375DADF}"/>
    <cellStyle name="Input 3 4 10 2 5" xfId="28473" xr:uid="{160377A8-CEB7-4CFC-A8EB-422167C6FFE2}"/>
    <cellStyle name="Input 3 4 10 2 6" xfId="28474" xr:uid="{E09D0F23-B738-4855-8FB5-85CD4675D3C3}"/>
    <cellStyle name="Input 3 4 10 3" xfId="28475" xr:uid="{91959C69-E3DD-41EA-9FBE-1283E8717821}"/>
    <cellStyle name="Input 3 4 10 4" xfId="28476" xr:uid="{0B29EC95-40D4-45FC-AC1F-5EEFE1217F3D}"/>
    <cellStyle name="Input 3 4 10 5" xfId="28477" xr:uid="{BAD6BCED-2771-4A95-B223-E36B59559E60}"/>
    <cellStyle name="Input 3 4 10 6" xfId="28478" xr:uid="{8EFEDE21-CBF2-452B-901D-9BE1ECDA96A2}"/>
    <cellStyle name="Input 3 4 10 7" xfId="28479" xr:uid="{660D9EC7-6CE9-4FB3-8E01-59E944E9C4CE}"/>
    <cellStyle name="Input 3 4 11" xfId="1731" xr:uid="{BF0FE0BB-F29D-4A87-A068-0686FED31CC1}"/>
    <cellStyle name="Input 3 4 11 2" xfId="10795" xr:uid="{353EDDDA-F35B-474C-98D3-7A4E78D89BDD}"/>
    <cellStyle name="Input 3 4 11 2 2" xfId="28480" xr:uid="{1B6604D5-C794-4952-A7B6-6240742B7964}"/>
    <cellStyle name="Input 3 4 11 2 3" xfId="28481" xr:uid="{7857A22E-AFD4-417A-A01B-8B93EE96E0D1}"/>
    <cellStyle name="Input 3 4 11 2 4" xfId="28482" xr:uid="{129DB22A-4B72-4696-83D2-DBD44BF1325F}"/>
    <cellStyle name="Input 3 4 11 2 5" xfId="28483" xr:uid="{48F2B8E4-F8FA-48F8-8A88-DC150989A923}"/>
    <cellStyle name="Input 3 4 11 2 6" xfId="28484" xr:uid="{48BEEE3D-7FBF-4C04-8909-F46B2A3CE87A}"/>
    <cellStyle name="Input 3 4 11 3" xfId="28485" xr:uid="{C874F472-EEB4-496D-83EF-1924544056A4}"/>
    <cellStyle name="Input 3 4 11 4" xfId="28486" xr:uid="{667409E8-5E9F-44CF-A35C-09BC545C925C}"/>
    <cellStyle name="Input 3 4 11 5" xfId="28487" xr:uid="{0B61DE7E-A436-4610-953E-E97BA173CB00}"/>
    <cellStyle name="Input 3 4 11 6" xfId="28488" xr:uid="{F7DBE9D7-DFAA-4EAD-9B25-416A15BF81BF}"/>
    <cellStyle name="Input 3 4 11 7" xfId="28489" xr:uid="{3C8FB867-42E5-4875-864F-8F8EE484FB98}"/>
    <cellStyle name="Input 3 4 12" xfId="1732" xr:uid="{63B39C33-E5E0-4E11-B745-EAE909D74E97}"/>
    <cellStyle name="Input 3 4 12 2" xfId="10882" xr:uid="{3E8F8484-B516-4978-8ED0-6E6F8AC7993A}"/>
    <cellStyle name="Input 3 4 12 2 2" xfId="28490" xr:uid="{3AB528FB-0EEB-4A7C-AAEC-593D830BAE16}"/>
    <cellStyle name="Input 3 4 12 2 3" xfId="28491" xr:uid="{2D398601-EECB-4368-BB45-18E0B56A5C00}"/>
    <cellStyle name="Input 3 4 12 2 4" xfId="28492" xr:uid="{B400EEF0-E944-4EEB-9CF4-C74A81499105}"/>
    <cellStyle name="Input 3 4 12 2 5" xfId="28493" xr:uid="{3A6965CD-FB44-4945-B3EA-C1E9D1C8BAC2}"/>
    <cellStyle name="Input 3 4 12 2 6" xfId="28494" xr:uid="{FD846C55-F058-410B-9D99-ED9FFFCACE66}"/>
    <cellStyle name="Input 3 4 12 3" xfId="28495" xr:uid="{FE03DDA7-C0BA-49B1-AFD3-DC3BC3282776}"/>
    <cellStyle name="Input 3 4 12 4" xfId="28496" xr:uid="{75CE8801-04AC-4AE3-99D2-ACBCF843126A}"/>
    <cellStyle name="Input 3 4 12 5" xfId="28497" xr:uid="{A858149A-60DE-4FD6-AAA1-37A557EF2F78}"/>
    <cellStyle name="Input 3 4 12 6" xfId="28498" xr:uid="{C68FF8A3-2CC3-4ED6-8B9B-FFF3E91F0FAA}"/>
    <cellStyle name="Input 3 4 12 7" xfId="28499" xr:uid="{A99443D3-9C6E-4195-A805-B24D0379423E}"/>
    <cellStyle name="Input 3 4 13" xfId="1733" xr:uid="{CBDFC1F8-C74D-418D-AA5D-6C7BC33FBBDF}"/>
    <cellStyle name="Input 3 4 13 2" xfId="10971" xr:uid="{BB7ECCCD-A2A2-48C6-BCD5-480D69310187}"/>
    <cellStyle name="Input 3 4 13 2 2" xfId="28500" xr:uid="{0702BB6B-7BA9-440C-9A55-8B2676385480}"/>
    <cellStyle name="Input 3 4 13 2 3" xfId="28501" xr:uid="{785ABD02-EF92-4C26-B9F3-8632856C7A7E}"/>
    <cellStyle name="Input 3 4 13 2 4" xfId="28502" xr:uid="{505DE6B1-C639-42D7-8777-A82E216DD447}"/>
    <cellStyle name="Input 3 4 13 2 5" xfId="28503" xr:uid="{6854B35B-B31A-4FE7-BD54-0DF9DDB56F7E}"/>
    <cellStyle name="Input 3 4 13 2 6" xfId="28504" xr:uid="{056FE863-CDA8-4665-A172-DBA8C5029539}"/>
    <cellStyle name="Input 3 4 13 3" xfId="28505" xr:uid="{4284CA54-68D1-4B5E-845C-4F0B8F3A8D53}"/>
    <cellStyle name="Input 3 4 13 4" xfId="28506" xr:uid="{B1D7DB85-8BA8-4861-957F-FB58BDDF4B16}"/>
    <cellStyle name="Input 3 4 13 5" xfId="28507" xr:uid="{A55165EB-DFD3-45BA-8825-DD2110ECDDAA}"/>
    <cellStyle name="Input 3 4 13 6" xfId="28508" xr:uid="{CD3F795A-A1E0-443F-81F1-D1C366BAC716}"/>
    <cellStyle name="Input 3 4 13 7" xfId="28509" xr:uid="{31CA1913-CEA4-4491-B30A-7ADB46BAE1D8}"/>
    <cellStyle name="Input 3 4 14" xfId="1734" xr:uid="{3798BC7B-BA34-4A0C-AF92-ECB6DFC172A3}"/>
    <cellStyle name="Input 3 4 14 2" xfId="11063" xr:uid="{3F12D967-E999-4F66-AF30-D27993C674FD}"/>
    <cellStyle name="Input 3 4 14 2 2" xfId="28510" xr:uid="{287CCEB0-5E2D-42D8-89AA-8EF47289BE07}"/>
    <cellStyle name="Input 3 4 14 2 3" xfId="28511" xr:uid="{6A962FFB-2139-4D1B-8FF1-F4ACF7680064}"/>
    <cellStyle name="Input 3 4 14 2 4" xfId="28512" xr:uid="{C63A8C82-FEA3-4DD6-899E-DD4E48A1240F}"/>
    <cellStyle name="Input 3 4 14 2 5" xfId="28513" xr:uid="{EC8C29BD-9E10-4A33-A6F1-15649ABDDC19}"/>
    <cellStyle name="Input 3 4 14 2 6" xfId="28514" xr:uid="{D1169B79-E954-4EB9-9297-128E50555380}"/>
    <cellStyle name="Input 3 4 14 3" xfId="28515" xr:uid="{6723437E-C9B8-4AED-8EE7-394D33CFFC7E}"/>
    <cellStyle name="Input 3 4 14 4" xfId="28516" xr:uid="{7D239758-6494-432C-9F99-C68CF24E02C2}"/>
    <cellStyle name="Input 3 4 14 5" xfId="28517" xr:uid="{54CE7722-C66A-48A9-AB8B-46FA47CC414A}"/>
    <cellStyle name="Input 3 4 14 6" xfId="28518" xr:uid="{36B1AD03-C940-4AD2-863B-0154DB9F2EE4}"/>
    <cellStyle name="Input 3 4 14 7" xfId="28519" xr:uid="{02DB3765-5F03-467D-A00B-92794CD33D85}"/>
    <cellStyle name="Input 3 4 15" xfId="1735" xr:uid="{2B4E6C63-5D17-4738-840A-959F00D86BD6}"/>
    <cellStyle name="Input 3 4 15 2" xfId="11146" xr:uid="{C13DDAC3-333E-4E5E-8B54-E82441F65948}"/>
    <cellStyle name="Input 3 4 15 2 2" xfId="28520" xr:uid="{31D629D3-6981-466D-9F28-AA228B8AC893}"/>
    <cellStyle name="Input 3 4 15 2 3" xfId="28521" xr:uid="{4268D6BD-8F9D-451D-A9E2-E80DD909FA7B}"/>
    <cellStyle name="Input 3 4 15 2 4" xfId="28522" xr:uid="{DB1645A0-6565-4163-AB87-2D73D0217EFD}"/>
    <cellStyle name="Input 3 4 15 2 5" xfId="28523" xr:uid="{CC6262D0-8078-4BFA-BB45-430D8560B00E}"/>
    <cellStyle name="Input 3 4 15 2 6" xfId="28524" xr:uid="{5C4B4765-0C12-44E0-9330-3F34F20BB7F5}"/>
    <cellStyle name="Input 3 4 15 3" xfId="28525" xr:uid="{5F525A7E-7669-4051-BBDE-751899007F84}"/>
    <cellStyle name="Input 3 4 15 4" xfId="28526" xr:uid="{D794ECB6-504D-416F-B9CF-385F3236AE64}"/>
    <cellStyle name="Input 3 4 15 5" xfId="28527" xr:uid="{27D714EE-CAFD-411A-B621-B0AC5AF6F3CC}"/>
    <cellStyle name="Input 3 4 15 6" xfId="28528" xr:uid="{FDDD8BC9-069A-4C14-91C2-59398B67E383}"/>
    <cellStyle name="Input 3 4 15 7" xfId="28529" xr:uid="{E6A96313-16FD-4983-A7E2-E4E955696E34}"/>
    <cellStyle name="Input 3 4 16" xfId="1736" xr:uid="{82D14626-EC64-4883-B4F1-4187A042A1A9}"/>
    <cellStyle name="Input 3 4 16 2" xfId="11235" xr:uid="{26AA2376-8633-48B5-A1B6-128A36B70A8D}"/>
    <cellStyle name="Input 3 4 16 2 2" xfId="28530" xr:uid="{39DB8D8F-744C-48FE-877F-79DB7A731310}"/>
    <cellStyle name="Input 3 4 16 2 3" xfId="28531" xr:uid="{28F1FD48-700A-4C2F-8CF0-1AE53669DF1E}"/>
    <cellStyle name="Input 3 4 16 2 4" xfId="28532" xr:uid="{C0EACF59-4E03-4C32-955E-CF02FBF9A256}"/>
    <cellStyle name="Input 3 4 16 2 5" xfId="28533" xr:uid="{84176423-3AF7-46E8-BD49-85A9C9BBDC8F}"/>
    <cellStyle name="Input 3 4 16 2 6" xfId="28534" xr:uid="{3F50EE1B-B8FB-4F1A-A176-C4F282F354B2}"/>
    <cellStyle name="Input 3 4 16 3" xfId="28535" xr:uid="{52E0982F-CDB4-48A4-9CEF-E385B27E3098}"/>
    <cellStyle name="Input 3 4 16 4" xfId="28536" xr:uid="{DF3AEB82-B55C-48B3-A592-BE1C1676D824}"/>
    <cellStyle name="Input 3 4 16 5" xfId="28537" xr:uid="{9378295B-7CCF-45FB-B093-3FD741383B1A}"/>
    <cellStyle name="Input 3 4 16 6" xfId="28538" xr:uid="{5C8D9141-0C9F-4157-A8CF-99B2BC679B37}"/>
    <cellStyle name="Input 3 4 16 7" xfId="28539" xr:uid="{E8EDDDBC-05E2-48E1-9B1A-6A7F0AD7F119}"/>
    <cellStyle name="Input 3 4 17" xfId="1737" xr:uid="{A5380EBE-4A7F-4AB7-8486-0A7219DB9F49}"/>
    <cellStyle name="Input 3 4 17 2" xfId="11321" xr:uid="{EE5CC275-F58B-4977-978A-616B164966B0}"/>
    <cellStyle name="Input 3 4 17 2 2" xfId="28540" xr:uid="{F15E88CB-43F7-49F7-B88C-F2E63690D4D5}"/>
    <cellStyle name="Input 3 4 17 2 3" xfId="28541" xr:uid="{B25B2264-A503-45D8-9D73-85464FC49371}"/>
    <cellStyle name="Input 3 4 17 2 4" xfId="28542" xr:uid="{D22A7108-F9EB-4071-980C-DCAB0B542463}"/>
    <cellStyle name="Input 3 4 17 2 5" xfId="28543" xr:uid="{9103EAE8-3318-464A-9637-5EF2B398D11A}"/>
    <cellStyle name="Input 3 4 17 2 6" xfId="28544" xr:uid="{C84A87F3-C04D-4A47-B60B-77EEC1C8C70D}"/>
    <cellStyle name="Input 3 4 17 3" xfId="28545" xr:uid="{CF9A2214-28EB-48CB-B536-6AE3A78F95C0}"/>
    <cellStyle name="Input 3 4 17 4" xfId="28546" xr:uid="{0F8D30BC-D39E-4044-8188-BA146C0615FF}"/>
    <cellStyle name="Input 3 4 17 5" xfId="28547" xr:uid="{4B17F2E6-DBDA-4671-8A5D-3C0FC53FA512}"/>
    <cellStyle name="Input 3 4 17 6" xfId="28548" xr:uid="{77D6EC6C-B7DF-4B7B-9D26-6FF7AB0218FE}"/>
    <cellStyle name="Input 3 4 17 7" xfId="28549" xr:uid="{BFFF8E24-9EEC-4D1B-A1F7-8506C2A22F7A}"/>
    <cellStyle name="Input 3 4 18" xfId="1738" xr:uid="{AD5B1C7F-61CD-4002-986F-47654E5F516A}"/>
    <cellStyle name="Input 3 4 18 2" xfId="11408" xr:uid="{E398A816-720C-4767-BC3A-943EB4745188}"/>
    <cellStyle name="Input 3 4 18 2 2" xfId="28550" xr:uid="{A2356434-9ADF-4831-B99F-81050CBA7232}"/>
    <cellStyle name="Input 3 4 18 2 3" xfId="28551" xr:uid="{1A22CD35-0D21-417A-89A4-537972F9A34F}"/>
    <cellStyle name="Input 3 4 18 2 4" xfId="28552" xr:uid="{95146BF4-0248-41B6-8445-898BC36DC919}"/>
    <cellStyle name="Input 3 4 18 2 5" xfId="28553" xr:uid="{09E5A3B8-9E01-43E0-A470-7B8BD8B1E108}"/>
    <cellStyle name="Input 3 4 18 2 6" xfId="28554" xr:uid="{84C474DD-DFA5-45BB-AD38-CD6F57D315BA}"/>
    <cellStyle name="Input 3 4 18 3" xfId="28555" xr:uid="{2F17783B-6DEB-4738-B402-C43B94EFAEDB}"/>
    <cellStyle name="Input 3 4 18 4" xfId="28556" xr:uid="{9215A8F8-742C-41DC-AF14-40992850BCAF}"/>
    <cellStyle name="Input 3 4 18 5" xfId="28557" xr:uid="{7A99A2D2-ED87-40FD-9AE0-2EB55F5139E7}"/>
    <cellStyle name="Input 3 4 18 6" xfId="28558" xr:uid="{2D0C4C82-4F8A-430F-9EBB-9F27300417BF}"/>
    <cellStyle name="Input 3 4 18 7" xfId="28559" xr:uid="{7569F892-F818-40C4-8EC1-06D36B528A30}"/>
    <cellStyle name="Input 3 4 19" xfId="1739" xr:uid="{5428B7F2-93AB-4822-AAEC-C845E17FE340}"/>
    <cellStyle name="Input 3 4 19 2" xfId="11495" xr:uid="{9FB8C21A-0A57-4209-9006-81D62D9B4568}"/>
    <cellStyle name="Input 3 4 19 2 2" xfId="28560" xr:uid="{9BD121EE-EDF0-4AD6-804E-44236A427FC6}"/>
    <cellStyle name="Input 3 4 19 2 3" xfId="28561" xr:uid="{98336108-2AC2-4868-8111-C171D08201FD}"/>
    <cellStyle name="Input 3 4 19 2 4" xfId="28562" xr:uid="{27440966-275E-46F5-8B5A-FA9912669FA5}"/>
    <cellStyle name="Input 3 4 19 2 5" xfId="28563" xr:uid="{2BE6729D-680E-4C0E-BAD2-4D4CA39B554B}"/>
    <cellStyle name="Input 3 4 19 2 6" xfId="28564" xr:uid="{293AFDFC-4486-4A61-9518-58116ACCC657}"/>
    <cellStyle name="Input 3 4 19 3" xfId="28565" xr:uid="{878C059C-FF9A-469C-A42D-E50D90FE9DFB}"/>
    <cellStyle name="Input 3 4 19 4" xfId="28566" xr:uid="{DE5FFC2E-1513-4A7B-A6DA-1FD7191EB8D3}"/>
    <cellStyle name="Input 3 4 19 5" xfId="28567" xr:uid="{9E2A20BD-57EC-45C9-85EB-7E6FF29ECFE0}"/>
    <cellStyle name="Input 3 4 19 6" xfId="28568" xr:uid="{79EEEE8A-E801-4916-B03E-7CFDA25A5F09}"/>
    <cellStyle name="Input 3 4 19 7" xfId="28569" xr:uid="{90D4CB2E-243B-417E-B15D-8C7EBC79F3AF}"/>
    <cellStyle name="Input 3 4 2" xfId="1740" xr:uid="{4AEB47F6-75EB-41B7-A963-2FD41F5E3307}"/>
    <cellStyle name="Input 3 4 2 2" xfId="10001" xr:uid="{27C4F821-9255-41BF-81BD-5589C78354A5}"/>
    <cellStyle name="Input 3 4 2 2 2" xfId="28570" xr:uid="{6A976194-E01D-409A-B446-A4543D4B2A84}"/>
    <cellStyle name="Input 3 4 2 2 3" xfId="28571" xr:uid="{D7C8E831-ACC9-4EBA-A8DD-3656027F7763}"/>
    <cellStyle name="Input 3 4 2 2 4" xfId="28572" xr:uid="{A6374E52-B707-4894-8397-D571ACB51044}"/>
    <cellStyle name="Input 3 4 2 2 5" xfId="28573" xr:uid="{9A2AA0EF-E10A-4806-B926-3B38EE2FEE14}"/>
    <cellStyle name="Input 3 4 2 2 6" xfId="28574" xr:uid="{04332FAD-4308-4F20-B6EF-069A48702602}"/>
    <cellStyle name="Input 3 4 2 3" xfId="28575" xr:uid="{8D6B2D6A-9F43-49C2-BC3B-9C291D2DD4AA}"/>
    <cellStyle name="Input 3 4 2 4" xfId="28576" xr:uid="{660ECD75-04E1-4646-8716-990B52DF5566}"/>
    <cellStyle name="Input 3 4 2 5" xfId="28577" xr:uid="{94E38247-A81C-4FE1-A689-FC5437BC5154}"/>
    <cellStyle name="Input 3 4 2 6" xfId="28578" xr:uid="{77BBE100-3D74-4D27-B3F8-A90DFE626200}"/>
    <cellStyle name="Input 3 4 2 7" xfId="28579" xr:uid="{5A65792F-CD11-4BC4-9AB0-C7210502852A}"/>
    <cellStyle name="Input 3 4 20" xfId="1741" xr:uid="{6C156254-6AB3-4DE8-B603-EA4FF415C585}"/>
    <cellStyle name="Input 3 4 20 2" xfId="11583" xr:uid="{E0C6A8F8-6540-4478-8F75-59EC855D937F}"/>
    <cellStyle name="Input 3 4 20 2 2" xfId="28580" xr:uid="{92E3A1FC-4711-4C88-9DDE-78D66793EDD8}"/>
    <cellStyle name="Input 3 4 20 2 3" xfId="28581" xr:uid="{042FA89F-3CB9-4FBF-AF14-2BB599E246D9}"/>
    <cellStyle name="Input 3 4 20 2 4" xfId="28582" xr:uid="{69D70925-427F-4ED5-B427-01002ED944ED}"/>
    <cellStyle name="Input 3 4 20 2 5" xfId="28583" xr:uid="{99123188-9EA4-4572-A848-F4CECD1FF0F8}"/>
    <cellStyle name="Input 3 4 20 2 6" xfId="28584" xr:uid="{03D39DFF-4E7B-49CD-B238-6AB718FD33EF}"/>
    <cellStyle name="Input 3 4 20 3" xfId="28585" xr:uid="{1E4CD831-A48B-4615-A336-C3CCF7D7E841}"/>
    <cellStyle name="Input 3 4 20 4" xfId="28586" xr:uid="{2D492951-E584-4E26-9AD2-AD349D7E14D7}"/>
    <cellStyle name="Input 3 4 20 5" xfId="28587" xr:uid="{99730FDD-76EF-448C-9734-DCC985D584B9}"/>
    <cellStyle name="Input 3 4 20 6" xfId="28588" xr:uid="{21BCEB8E-AD41-457C-95F7-F128A7A90C82}"/>
    <cellStyle name="Input 3 4 20 7" xfId="28589" xr:uid="{B4BFA8CA-6E95-49B7-8179-F2FB36D628EF}"/>
    <cellStyle name="Input 3 4 21" xfId="1742" xr:uid="{852F9635-CB79-4F13-92EB-D010A1D5F071}"/>
    <cellStyle name="Input 3 4 21 2" xfId="11669" xr:uid="{38D2D892-5C55-47A0-870C-10601ECDF013}"/>
    <cellStyle name="Input 3 4 21 2 2" xfId="28590" xr:uid="{029C1295-F843-4920-B7FD-182E73038350}"/>
    <cellStyle name="Input 3 4 21 2 3" xfId="28591" xr:uid="{CCBA223F-5934-4CAD-B006-FD37FCEC2042}"/>
    <cellStyle name="Input 3 4 21 2 4" xfId="28592" xr:uid="{014DF33C-6CA4-48CF-813A-6B1CC7D57D71}"/>
    <cellStyle name="Input 3 4 21 2 5" xfId="28593" xr:uid="{1122020C-E695-4BD2-BC7E-9163A543D01F}"/>
    <cellStyle name="Input 3 4 21 2 6" xfId="28594" xr:uid="{4C931447-56F5-407E-BBBB-EBE31FF7E90E}"/>
    <cellStyle name="Input 3 4 21 3" xfId="28595" xr:uid="{2379137C-D09F-42D3-9602-170B209E9C05}"/>
    <cellStyle name="Input 3 4 21 4" xfId="28596" xr:uid="{68F682A4-9714-4FC4-AE1B-CB64D4C4FAE3}"/>
    <cellStyle name="Input 3 4 21 5" xfId="28597" xr:uid="{3DA16D34-0D1C-4F58-A351-9F6FD3070002}"/>
    <cellStyle name="Input 3 4 21 6" xfId="28598" xr:uid="{E403C84D-8C04-4559-BC12-0E6BBB16428F}"/>
    <cellStyle name="Input 3 4 21 7" xfId="28599" xr:uid="{B53BE8B7-93E8-47C3-AE28-CFCDC9A69BC7}"/>
    <cellStyle name="Input 3 4 22" xfId="1743" xr:uid="{229F5078-7985-460E-A827-3E4D550BE9D0}"/>
    <cellStyle name="Input 3 4 22 2" xfId="11752" xr:uid="{C742E40E-A379-4C69-9DD3-C49137C4020E}"/>
    <cellStyle name="Input 3 4 22 2 2" xfId="28600" xr:uid="{09BEB46D-51DA-4D0D-9832-826A296D39DA}"/>
    <cellStyle name="Input 3 4 22 2 3" xfId="28601" xr:uid="{9FA06602-BCEE-43E1-8F36-0ACDDDD91975}"/>
    <cellStyle name="Input 3 4 22 2 4" xfId="28602" xr:uid="{35739363-3AC7-46D0-A0FC-A3BA056F1D74}"/>
    <cellStyle name="Input 3 4 22 2 5" xfId="28603" xr:uid="{E6C1FB5D-3FA0-4D41-92E9-F14FFDD217BE}"/>
    <cellStyle name="Input 3 4 22 2 6" xfId="28604" xr:uid="{E3D599BA-ABC6-43E5-961C-31941952E48C}"/>
    <cellStyle name="Input 3 4 22 3" xfId="28605" xr:uid="{71E297BB-8FA0-4CFE-BB1F-0F6067017EF2}"/>
    <cellStyle name="Input 3 4 22 4" xfId="28606" xr:uid="{2311D1BB-DD1C-4BDB-97F0-6FB327B0D2A6}"/>
    <cellStyle name="Input 3 4 22 5" xfId="28607" xr:uid="{CEAF208C-3E40-41AA-96EE-CB3178738F0E}"/>
    <cellStyle name="Input 3 4 22 6" xfId="28608" xr:uid="{71835217-5B1C-423F-8EC3-DC67922C63D0}"/>
    <cellStyle name="Input 3 4 22 7" xfId="28609" xr:uid="{CB9A36F0-265C-44FC-857A-25046C7C6750}"/>
    <cellStyle name="Input 3 4 23" xfId="1744" xr:uid="{E2BB8B95-7BA3-406E-9EC1-AE1D58DF2D1E}"/>
    <cellStyle name="Input 3 4 23 2" xfId="11834" xr:uid="{A880E97C-FD93-43A6-8F73-F06E5BED470B}"/>
    <cellStyle name="Input 3 4 23 2 2" xfId="28610" xr:uid="{AF96CBDF-F4C9-4CFA-B2CC-38AD60FF6DCD}"/>
    <cellStyle name="Input 3 4 23 2 3" xfId="28611" xr:uid="{F6B13706-CA55-487C-B764-191477C5ECC0}"/>
    <cellStyle name="Input 3 4 23 2 4" xfId="28612" xr:uid="{62A8BC77-5178-4B6E-885E-1C43C248AD57}"/>
    <cellStyle name="Input 3 4 23 2 5" xfId="28613" xr:uid="{59827D81-0E58-45BE-9C74-4D671BC4EC0E}"/>
    <cellStyle name="Input 3 4 23 2 6" xfId="28614" xr:uid="{D08BADCE-2058-49BD-AB10-B06AF59E5C1E}"/>
    <cellStyle name="Input 3 4 23 3" xfId="28615" xr:uid="{54AFF79B-7469-4C3B-93B6-5C6F39224D46}"/>
    <cellStyle name="Input 3 4 23 4" xfId="28616" xr:uid="{3FEC848A-9595-40AD-86B8-602D5061659D}"/>
    <cellStyle name="Input 3 4 23 5" xfId="28617" xr:uid="{10A41B7C-00A9-48CD-B444-16D7DF2278A2}"/>
    <cellStyle name="Input 3 4 23 6" xfId="28618" xr:uid="{F2BBD3AD-C9DE-49CA-A8D7-C2C8EED0D904}"/>
    <cellStyle name="Input 3 4 23 7" xfId="28619" xr:uid="{FB270BB2-5C1B-464E-A42C-76D851E16170}"/>
    <cellStyle name="Input 3 4 24" xfId="1745" xr:uid="{BF613489-6AAF-4730-8849-E813CBEC63A8}"/>
    <cellStyle name="Input 3 4 24 2" xfId="11918" xr:uid="{DE8C6C2D-418F-46C1-95EB-C94ED1410A2A}"/>
    <cellStyle name="Input 3 4 24 2 2" xfId="28620" xr:uid="{B956706C-D854-4009-B8EF-4CD581843733}"/>
    <cellStyle name="Input 3 4 24 2 3" xfId="28621" xr:uid="{CD7D586A-FD29-43C1-A6C6-A74C4E5DE49E}"/>
    <cellStyle name="Input 3 4 24 2 4" xfId="28622" xr:uid="{5CEF2F52-71C7-4C76-8757-B715DDE2AB82}"/>
    <cellStyle name="Input 3 4 24 2 5" xfId="28623" xr:uid="{1140E05F-C380-411E-B701-2B5096869C2D}"/>
    <cellStyle name="Input 3 4 24 2 6" xfId="28624" xr:uid="{F972A9DF-6EAF-4C82-AB2A-96E04A20D289}"/>
    <cellStyle name="Input 3 4 24 3" xfId="28625" xr:uid="{67F81229-226B-4586-9474-0BF40BF950D3}"/>
    <cellStyle name="Input 3 4 24 4" xfId="28626" xr:uid="{88619623-F0F5-40AF-82DC-8770E3A3D0EE}"/>
    <cellStyle name="Input 3 4 24 5" xfId="28627" xr:uid="{EF0CCF97-3547-44DD-A9AD-531E95D00620}"/>
    <cellStyle name="Input 3 4 24 6" xfId="28628" xr:uid="{C6CBD17D-FCB6-40FC-B143-7F9CDA340696}"/>
    <cellStyle name="Input 3 4 24 7" xfId="28629" xr:uid="{DD9F3014-E2F3-4A40-B6E1-B4E8223E704A}"/>
    <cellStyle name="Input 3 4 25" xfId="1746" xr:uid="{ECDD20DC-A200-44B3-A875-65AA59B3CC4C}"/>
    <cellStyle name="Input 3 4 25 2" xfId="12002" xr:uid="{123E8E65-F302-4AA1-BF62-E312C6889898}"/>
    <cellStyle name="Input 3 4 25 2 2" xfId="28630" xr:uid="{E728FC7A-5597-459F-832A-69820EA1B126}"/>
    <cellStyle name="Input 3 4 25 2 3" xfId="28631" xr:uid="{EAB0D045-31D0-4A42-8CCF-DF5A780390D4}"/>
    <cellStyle name="Input 3 4 25 2 4" xfId="28632" xr:uid="{D5A17F69-2FD6-42D7-BCC5-B820DAD63D1B}"/>
    <cellStyle name="Input 3 4 25 2 5" xfId="28633" xr:uid="{C7459252-AA86-49CC-9592-B60A2ED84DB5}"/>
    <cellStyle name="Input 3 4 25 2 6" xfId="28634" xr:uid="{EB1E17D5-5299-4B78-8E9A-3CC23EC576C7}"/>
    <cellStyle name="Input 3 4 25 3" xfId="28635" xr:uid="{18D236F9-BA71-4F1A-A310-CC80FDEFB1CE}"/>
    <cellStyle name="Input 3 4 25 4" xfId="28636" xr:uid="{6CF8A194-D1B6-48C9-9F61-0302AA16F896}"/>
    <cellStyle name="Input 3 4 25 5" xfId="28637" xr:uid="{A509525E-6995-4841-A1AE-071E80FEF04F}"/>
    <cellStyle name="Input 3 4 25 6" xfId="28638" xr:uid="{47CDD620-BBE7-4A48-B3AE-4CA5E0A49A4A}"/>
    <cellStyle name="Input 3 4 25 7" xfId="28639" xr:uid="{B6E38F9C-AA6F-4996-986F-005E9B8928B7}"/>
    <cellStyle name="Input 3 4 26" xfId="1747" xr:uid="{A4079140-A853-4CD2-A9CA-2158D037D4B9}"/>
    <cellStyle name="Input 3 4 26 2" xfId="12085" xr:uid="{AFCD7513-59C6-425E-AC60-6CF75A5BEB99}"/>
    <cellStyle name="Input 3 4 26 2 2" xfId="28640" xr:uid="{2C432766-1262-468F-9189-348EA3ACD9FF}"/>
    <cellStyle name="Input 3 4 26 2 3" xfId="28641" xr:uid="{A554B4BE-BCA3-4030-A065-83C2DAF05834}"/>
    <cellStyle name="Input 3 4 26 2 4" xfId="28642" xr:uid="{EFC04EA9-4ADB-43FB-9D03-E2DE36D7E379}"/>
    <cellStyle name="Input 3 4 26 2 5" xfId="28643" xr:uid="{ED2E809D-9065-4155-B495-486E905BFB75}"/>
    <cellStyle name="Input 3 4 26 2 6" xfId="28644" xr:uid="{AFEF7A9B-F3E8-48AE-94B2-35716266D591}"/>
    <cellStyle name="Input 3 4 26 3" xfId="28645" xr:uid="{87D5BC37-9365-47B8-92FC-569D6F866EF4}"/>
    <cellStyle name="Input 3 4 26 4" xfId="28646" xr:uid="{B74AE444-BB4E-4E72-8BB4-7DB78C16F9E4}"/>
    <cellStyle name="Input 3 4 26 5" xfId="28647" xr:uid="{42AA2DB8-2D53-4B75-A116-B0AB7E590268}"/>
    <cellStyle name="Input 3 4 26 6" xfId="28648" xr:uid="{BDEBB4A1-0A12-4E58-8E56-491EE4BA4770}"/>
    <cellStyle name="Input 3 4 26 7" xfId="28649" xr:uid="{9D6FB996-1BBB-4606-8EE1-2E233009A0D9}"/>
    <cellStyle name="Input 3 4 27" xfId="1748" xr:uid="{9BBDE51F-3DC3-4607-99BE-B347F3F1EA86}"/>
    <cellStyle name="Input 3 4 27 2" xfId="12168" xr:uid="{5FEF8044-4DDC-4EB2-B22F-35F93DFB20A0}"/>
    <cellStyle name="Input 3 4 27 2 2" xfId="28650" xr:uid="{E6FD05E8-D6D1-480E-9769-46915B8DFB5D}"/>
    <cellStyle name="Input 3 4 27 2 3" xfId="28651" xr:uid="{2437EB23-6557-4FD7-A429-69E6178A3DE3}"/>
    <cellStyle name="Input 3 4 27 2 4" xfId="28652" xr:uid="{DA6784DC-7E58-4E7B-A140-93B0FAD17C38}"/>
    <cellStyle name="Input 3 4 27 2 5" xfId="28653" xr:uid="{B8331082-1E69-4728-8F63-253C90AD4D50}"/>
    <cellStyle name="Input 3 4 27 2 6" xfId="28654" xr:uid="{D1A20F85-88D9-4216-8264-9C68A6576E75}"/>
    <cellStyle name="Input 3 4 27 3" xfId="28655" xr:uid="{E9BEEE52-EDB0-49EC-84EB-0264A40BD581}"/>
    <cellStyle name="Input 3 4 27 4" xfId="28656" xr:uid="{250B68AD-276D-4B9B-9196-B5210BB5A5FA}"/>
    <cellStyle name="Input 3 4 27 5" xfId="28657" xr:uid="{8AC17DF5-8393-4411-996D-70AE78DBCCD0}"/>
    <cellStyle name="Input 3 4 27 6" xfId="28658" xr:uid="{44A975C6-03D3-47EC-AD3E-A5DB8C6973B4}"/>
    <cellStyle name="Input 3 4 27 7" xfId="28659" xr:uid="{4E6EA662-41D9-4948-A87A-72E76263BECC}"/>
    <cellStyle name="Input 3 4 28" xfId="1749" xr:uid="{D315221B-F50B-4290-883D-CC6F19971830}"/>
    <cellStyle name="Input 3 4 28 2" xfId="12247" xr:uid="{3A6BAC24-3C99-4984-8DFA-677A0AED2F59}"/>
    <cellStyle name="Input 3 4 28 2 2" xfId="28660" xr:uid="{B107F0AD-9365-40CE-9A30-478908B0C311}"/>
    <cellStyle name="Input 3 4 28 2 3" xfId="28661" xr:uid="{14B9CE5A-4CD8-4B65-9B01-0FDB0385EE95}"/>
    <cellStyle name="Input 3 4 28 2 4" xfId="28662" xr:uid="{B4C7A04F-89D4-4CCB-B923-89A645910A05}"/>
    <cellStyle name="Input 3 4 28 2 5" xfId="28663" xr:uid="{91F51D7E-9A5E-4C98-ADEA-57F55474363C}"/>
    <cellStyle name="Input 3 4 28 2 6" xfId="28664" xr:uid="{D1697781-E6C6-491B-A631-1F45DD42F78B}"/>
    <cellStyle name="Input 3 4 28 3" xfId="28665" xr:uid="{E27B0D6D-AAB5-4140-8EC2-880F1BD42D99}"/>
    <cellStyle name="Input 3 4 28 4" xfId="28666" xr:uid="{B49ADFC1-DEB4-46B7-929C-5386C4D14A9B}"/>
    <cellStyle name="Input 3 4 28 5" xfId="28667" xr:uid="{3E9D768C-E8BE-438F-A854-56BADB89D879}"/>
    <cellStyle name="Input 3 4 28 6" xfId="28668" xr:uid="{1D30D7AF-02B6-44B6-B92B-7A12C9FEA3D4}"/>
    <cellStyle name="Input 3 4 28 7" xfId="28669" xr:uid="{5CBA7B97-880A-4AD6-8C4F-E6A9DB0AC66E}"/>
    <cellStyle name="Input 3 4 29" xfId="1750" xr:uid="{8C11FF3A-31B1-4695-8A9A-CC2A69160FC5}"/>
    <cellStyle name="Input 3 4 29 2" xfId="12326" xr:uid="{E6BD0D42-4A33-4A17-9E79-5A2E5E532F67}"/>
    <cellStyle name="Input 3 4 29 2 2" xfId="28670" xr:uid="{74BC3400-912F-4EB6-9153-F928EE57D30F}"/>
    <cellStyle name="Input 3 4 29 2 3" xfId="28671" xr:uid="{4E689297-15A5-4D8B-8654-B8ED901EB15D}"/>
    <cellStyle name="Input 3 4 29 2 4" xfId="28672" xr:uid="{46544A4E-942A-4C30-8864-027DE1E2F442}"/>
    <cellStyle name="Input 3 4 29 2 5" xfId="28673" xr:uid="{D9984B71-1F16-4667-B3A8-0697A620BCFB}"/>
    <cellStyle name="Input 3 4 29 2 6" xfId="28674" xr:uid="{A9F8E245-5990-491E-88A1-876133C6A628}"/>
    <cellStyle name="Input 3 4 29 3" xfId="28675" xr:uid="{6954D9E7-7E51-4ED2-B365-1C47F01A2A0A}"/>
    <cellStyle name="Input 3 4 29 4" xfId="28676" xr:uid="{07C818E7-DD46-4AEB-9F49-6011257367F3}"/>
    <cellStyle name="Input 3 4 29 5" xfId="28677" xr:uid="{441D1534-0E06-4375-9FFB-F8AE48EF413D}"/>
    <cellStyle name="Input 3 4 29 6" xfId="28678" xr:uid="{2133EE2D-92F9-4B18-ADA7-1199B083C471}"/>
    <cellStyle name="Input 3 4 29 7" xfId="28679" xr:uid="{2F715834-8BC9-417C-999D-8DE7713E35D2}"/>
    <cellStyle name="Input 3 4 3" xfId="1751" xr:uid="{2B1933BC-84E8-40B5-8D11-DE5F3B77F53A}"/>
    <cellStyle name="Input 3 4 3 2" xfId="10092" xr:uid="{9E7A60F2-7C54-4C8F-B42F-17E3837ECBBD}"/>
    <cellStyle name="Input 3 4 3 2 2" xfId="28680" xr:uid="{0C0C4CF8-5A39-4CCE-8F45-E62212C4F5A3}"/>
    <cellStyle name="Input 3 4 3 2 3" xfId="28681" xr:uid="{198C5969-831D-4BFA-AB67-9EE77590C4C8}"/>
    <cellStyle name="Input 3 4 3 2 4" xfId="28682" xr:uid="{9D73C542-C446-4A05-859A-B1550F2556F4}"/>
    <cellStyle name="Input 3 4 3 2 5" xfId="28683" xr:uid="{93307E2B-5D80-4325-BC24-79A8431E8D18}"/>
    <cellStyle name="Input 3 4 3 2 6" xfId="28684" xr:uid="{0524E931-87EF-42CF-9D3C-943ADBC40FB7}"/>
    <cellStyle name="Input 3 4 3 3" xfId="28685" xr:uid="{4F4C4CA4-010D-480D-BA40-2DE083458C40}"/>
    <cellStyle name="Input 3 4 3 4" xfId="28686" xr:uid="{90D27726-4220-4FB2-AE06-21C1C65B7E20}"/>
    <cellStyle name="Input 3 4 3 5" xfId="28687" xr:uid="{84DEED88-7693-4446-AEC3-0E9284EB14E5}"/>
    <cellStyle name="Input 3 4 3 6" xfId="28688" xr:uid="{8412E81C-D013-4962-8638-1566C4EA5D30}"/>
    <cellStyle name="Input 3 4 3 7" xfId="28689" xr:uid="{E54C30BB-86D9-4846-BDF8-D0D534973C78}"/>
    <cellStyle name="Input 3 4 30" xfId="1752" xr:uid="{8639EE73-679F-4CA6-94A0-CC49A39AB264}"/>
    <cellStyle name="Input 3 4 30 2" xfId="12405" xr:uid="{3A4F84A0-7620-4E2B-B67D-E26AD7BF761C}"/>
    <cellStyle name="Input 3 4 30 2 2" xfId="28690" xr:uid="{9A96467D-35B1-4CC0-892F-3174FD02B462}"/>
    <cellStyle name="Input 3 4 30 2 3" xfId="28691" xr:uid="{861AF293-36C5-4AA3-BC8B-A441107C0873}"/>
    <cellStyle name="Input 3 4 30 2 4" xfId="28692" xr:uid="{1524D7F1-0798-49E6-9102-56EFC4C93F93}"/>
    <cellStyle name="Input 3 4 30 2 5" xfId="28693" xr:uid="{1D9C3574-85F2-4BD3-9B1A-8F50881281D7}"/>
    <cellStyle name="Input 3 4 30 2 6" xfId="28694" xr:uid="{8A30A597-A49E-4135-B0B0-1A8A9282A3F8}"/>
    <cellStyle name="Input 3 4 30 3" xfId="28695" xr:uid="{F21EF3FC-F365-41C6-ADA7-A9D4E7DE7D05}"/>
    <cellStyle name="Input 3 4 30 4" xfId="28696" xr:uid="{0D514C77-189A-47EA-BDB1-2C00086DF096}"/>
    <cellStyle name="Input 3 4 30 5" xfId="28697" xr:uid="{FA300C41-7C67-4E19-9DCC-8DF8BB0CC360}"/>
    <cellStyle name="Input 3 4 30 6" xfId="28698" xr:uid="{A932C24E-2459-449F-A987-B3C3E53F1341}"/>
    <cellStyle name="Input 3 4 30 7" xfId="28699" xr:uid="{7704ED3F-A5BB-44F4-AEBA-656F9323B55A}"/>
    <cellStyle name="Input 3 4 31" xfId="1753" xr:uid="{59E3995A-51F9-4C05-91F4-813F39208BB6}"/>
    <cellStyle name="Input 3 4 31 2" xfId="12484" xr:uid="{302265BF-BCE3-4312-A601-79DDBE832412}"/>
    <cellStyle name="Input 3 4 31 2 2" xfId="28700" xr:uid="{427F1CFF-8434-47EB-85FA-67B4AE0E88F7}"/>
    <cellStyle name="Input 3 4 31 2 3" xfId="28701" xr:uid="{92602922-F39C-4316-BFFA-B74C331D92C0}"/>
    <cellStyle name="Input 3 4 31 2 4" xfId="28702" xr:uid="{2BC40F35-878C-4A42-8CB4-75E53BC429DA}"/>
    <cellStyle name="Input 3 4 31 2 5" xfId="28703" xr:uid="{BA5D91F4-8FCE-4AAE-8FAA-11732AD9689C}"/>
    <cellStyle name="Input 3 4 31 2 6" xfId="28704" xr:uid="{211F56E1-D7FF-4D7A-B936-B422C866D203}"/>
    <cellStyle name="Input 3 4 31 3" xfId="28705" xr:uid="{65173B88-877A-401A-8F1D-18D6DFB56616}"/>
    <cellStyle name="Input 3 4 31 4" xfId="28706" xr:uid="{25BE85C0-769F-4DC8-B096-64ABFAEAE747}"/>
    <cellStyle name="Input 3 4 31 5" xfId="28707" xr:uid="{9F19DB2F-5903-4D99-A5DA-612649F3971D}"/>
    <cellStyle name="Input 3 4 31 6" xfId="28708" xr:uid="{7EDB21B3-CEAB-4E3B-B0BA-CD2572C449E7}"/>
    <cellStyle name="Input 3 4 31 7" xfId="28709" xr:uid="{117965EA-20E4-48A0-AAC7-7149079272DB}"/>
    <cellStyle name="Input 3 4 32" xfId="1754" xr:uid="{82F8D250-9D43-46F3-A1F0-B36AEB32BCDB}"/>
    <cellStyle name="Input 3 4 32 2" xfId="12563" xr:uid="{B0B23E4E-E737-4D5D-B1A6-DFFDFCEDEA7D}"/>
    <cellStyle name="Input 3 4 32 2 2" xfId="28710" xr:uid="{110D085D-4DEB-4A15-8439-7A966749F47A}"/>
    <cellStyle name="Input 3 4 32 2 3" xfId="28711" xr:uid="{FC469C8B-0875-4CD5-8B01-C37D686091EB}"/>
    <cellStyle name="Input 3 4 32 2 4" xfId="28712" xr:uid="{C7D8F97A-2F7A-4DFD-BD8E-2FFBB6954FC7}"/>
    <cellStyle name="Input 3 4 32 2 5" xfId="28713" xr:uid="{FBF06BC3-CE97-410B-96B1-ABED1D9DA628}"/>
    <cellStyle name="Input 3 4 32 2 6" xfId="28714" xr:uid="{7C46160F-F763-4799-9452-2EFDA67C0BAC}"/>
    <cellStyle name="Input 3 4 32 3" xfId="28715" xr:uid="{A0CE98C7-8E87-42AB-9A8C-51989200F7C0}"/>
    <cellStyle name="Input 3 4 32 4" xfId="28716" xr:uid="{4DBCBF26-85E8-494E-AB25-267427B69E2A}"/>
    <cellStyle name="Input 3 4 32 5" xfId="28717" xr:uid="{61CF8A84-B990-4CB1-BF4D-7D908B573A41}"/>
    <cellStyle name="Input 3 4 32 6" xfId="28718" xr:uid="{B621E994-C9B0-45FC-8A73-8A4292188BA8}"/>
    <cellStyle name="Input 3 4 32 7" xfId="28719" xr:uid="{7229D30D-D0A7-4E51-BA9B-BA9BE1BD8BA9}"/>
    <cellStyle name="Input 3 4 33" xfId="1755" xr:uid="{687C7206-5955-4F8F-A06C-500190951D47}"/>
    <cellStyle name="Input 3 4 33 2" xfId="12642" xr:uid="{84CC0A4B-9B83-4974-B684-201EDE8A9ED7}"/>
    <cellStyle name="Input 3 4 33 2 2" xfId="28720" xr:uid="{FFE25DE9-EC7B-42C1-A631-0F42A43E7881}"/>
    <cellStyle name="Input 3 4 33 2 3" xfId="28721" xr:uid="{952768C5-AB31-4A4F-A971-99FADA9C4922}"/>
    <cellStyle name="Input 3 4 33 2 4" xfId="28722" xr:uid="{7D333EF3-8153-4914-B5E3-224B10FA4551}"/>
    <cellStyle name="Input 3 4 33 2 5" xfId="28723" xr:uid="{0C703742-47AD-4B0A-8299-19F202D1A17D}"/>
    <cellStyle name="Input 3 4 33 2 6" xfId="28724" xr:uid="{D5B72C62-881C-4956-AD8C-BB332F62D3E1}"/>
    <cellStyle name="Input 3 4 33 3" xfId="28725" xr:uid="{1BB86D63-15D7-40F5-B062-3012773EE27B}"/>
    <cellStyle name="Input 3 4 33 4" xfId="28726" xr:uid="{CC49933D-30C2-477D-A6D6-E8DB966E9ABC}"/>
    <cellStyle name="Input 3 4 33 5" xfId="28727" xr:uid="{23F9C3DB-6B23-4821-9089-88233BC79176}"/>
    <cellStyle name="Input 3 4 33 6" xfId="28728" xr:uid="{1CCB8DB1-EFB5-4D17-AF30-580EA569EBC4}"/>
    <cellStyle name="Input 3 4 33 7" xfId="28729" xr:uid="{FC5491D6-8F1F-4595-8880-38736A8597C4}"/>
    <cellStyle name="Input 3 4 34" xfId="1756" xr:uid="{466F96F4-9124-4DC5-8499-6AD3D047CA5E}"/>
    <cellStyle name="Input 3 4 34 2" xfId="12726" xr:uid="{5DCFAFAF-0201-49D8-ABE8-A8CC68D19555}"/>
    <cellStyle name="Input 3 4 34 2 2" xfId="28730" xr:uid="{358924F8-31CD-4ECE-A22C-7ADBC3B46F06}"/>
    <cellStyle name="Input 3 4 34 2 3" xfId="28731" xr:uid="{BF72A772-8B32-49A6-B12B-0F5F8B9A64A4}"/>
    <cellStyle name="Input 3 4 34 2 4" xfId="28732" xr:uid="{DB229DFC-EAC2-4165-8D11-EA46DC0F0530}"/>
    <cellStyle name="Input 3 4 34 2 5" xfId="28733" xr:uid="{6A7A8B5B-2475-4FDB-9C2B-62215966A2E5}"/>
    <cellStyle name="Input 3 4 34 2 6" xfId="28734" xr:uid="{38201518-E3EA-421D-A733-0D36AF490309}"/>
    <cellStyle name="Input 3 4 34 3" xfId="28735" xr:uid="{2902AA41-6D1C-471F-9434-4E202348A49D}"/>
    <cellStyle name="Input 3 4 34 4" xfId="28736" xr:uid="{0A6FA76B-A293-44AE-A2D8-E0AF18853E7E}"/>
    <cellStyle name="Input 3 4 34 5" xfId="28737" xr:uid="{8D5DBB84-8082-49EC-B620-3BD530F31B18}"/>
    <cellStyle name="Input 3 4 34 6" xfId="28738" xr:uid="{0CA3D8D1-C578-407C-876E-184734545A50}"/>
    <cellStyle name="Input 3 4 35" xfId="6926" xr:uid="{C320CDA0-3EF8-48F2-B9F7-641B102E8BCC}"/>
    <cellStyle name="Input 3 4 35 2" xfId="28739" xr:uid="{4452AE1C-86BF-4C59-8397-A073089273A9}"/>
    <cellStyle name="Input 3 4 35 3" xfId="28740" xr:uid="{42BE0C8A-B376-46C8-BBE9-6EBB08F2B8DF}"/>
    <cellStyle name="Input 3 4 35 4" xfId="28741" xr:uid="{CEBF9AC3-CB29-4160-95D9-14D980C55C63}"/>
    <cellStyle name="Input 3 4 35 5" xfId="28742" xr:uid="{25CAA5FD-B260-4D78-A8CC-B3BF0B31F12A}"/>
    <cellStyle name="Input 3 4 35 6" xfId="28743" xr:uid="{F67709BB-878B-464B-9D2E-C694B3885750}"/>
    <cellStyle name="Input 3 4 36" xfId="9790" xr:uid="{B3A6BE04-B83A-4E42-870A-0B12432ADB68}"/>
    <cellStyle name="Input 3 4 36 2" xfId="28744" xr:uid="{9A8C365A-A272-42BD-BD2B-91515FE700FB}"/>
    <cellStyle name="Input 3 4 36 3" xfId="28745" xr:uid="{C0E8E0FE-636D-4CA5-8539-DD2A3C088F20}"/>
    <cellStyle name="Input 3 4 36 4" xfId="28746" xr:uid="{9BF53CEC-49A0-4FCF-9E1A-EAEE57C3D93E}"/>
    <cellStyle name="Input 3 4 36 5" xfId="28747" xr:uid="{DDFBD514-4C6B-4D68-81A6-7B18F0914A90}"/>
    <cellStyle name="Input 3 4 36 6" xfId="28748" xr:uid="{F202FB2F-BA47-45CD-A637-74991DED2722}"/>
    <cellStyle name="Input 3 4 37" xfId="28749" xr:uid="{49667E00-5782-4C40-B329-D40293629CE7}"/>
    <cellStyle name="Input 3 4 38" xfId="28750" xr:uid="{2FD7FEF4-CCF4-4012-89EC-FDC47521BEFC}"/>
    <cellStyle name="Input 3 4 39" xfId="28751" xr:uid="{52974A70-A4F9-46F7-8244-35B2A5DB2D1A}"/>
    <cellStyle name="Input 3 4 4" xfId="1757" xr:uid="{8C189779-5E73-454F-B6A1-170C2ABC9C96}"/>
    <cellStyle name="Input 3 4 4 2" xfId="10183" xr:uid="{16EA7364-5C6C-4262-99AD-77102DB8BE33}"/>
    <cellStyle name="Input 3 4 4 2 2" xfId="28752" xr:uid="{ED213E95-E1C1-4469-B9B2-AD8E3C8A63D9}"/>
    <cellStyle name="Input 3 4 4 2 3" xfId="28753" xr:uid="{BD7D3487-19D6-4891-8A21-851AD1A3FC0C}"/>
    <cellStyle name="Input 3 4 4 2 4" xfId="28754" xr:uid="{89191C42-4CE2-4642-9B2D-E159ADB2D917}"/>
    <cellStyle name="Input 3 4 4 2 5" xfId="28755" xr:uid="{43CC9FC3-04C6-45D3-A46D-5F7B987BA1E0}"/>
    <cellStyle name="Input 3 4 4 2 6" xfId="28756" xr:uid="{AF9241A4-47C8-4081-8320-C75F60FBA333}"/>
    <cellStyle name="Input 3 4 4 3" xfId="28757" xr:uid="{91FBF51B-9B33-4F81-85F9-F108154FC84F}"/>
    <cellStyle name="Input 3 4 4 4" xfId="28758" xr:uid="{9763EBF6-4A35-4CEE-A727-A416AE4B5831}"/>
    <cellStyle name="Input 3 4 4 5" xfId="28759" xr:uid="{8FA22204-C2F9-4FB0-8328-D2231DF84F57}"/>
    <cellStyle name="Input 3 4 4 6" xfId="28760" xr:uid="{0547A278-7CAE-43E7-9C84-4EAA27BDB774}"/>
    <cellStyle name="Input 3 4 4 7" xfId="28761" xr:uid="{7DD0F156-2FE9-4EC4-97F7-D694BA28A32C}"/>
    <cellStyle name="Input 3 4 40" xfId="28762" xr:uid="{560BE321-2E44-4254-AE8B-5E847A666F02}"/>
    <cellStyle name="Input 3 4 5" xfId="1758" xr:uid="{C0857BEB-2124-4CA4-AA25-6DF47A68618A}"/>
    <cellStyle name="Input 3 4 5 2" xfId="10271" xr:uid="{59D2D7BC-4CD8-4549-93D0-FBBEEB2CE0F1}"/>
    <cellStyle name="Input 3 4 5 2 2" xfId="28763" xr:uid="{4A320678-19B4-42FB-A6C5-DE53FA6A417F}"/>
    <cellStyle name="Input 3 4 5 2 3" xfId="28764" xr:uid="{128432F5-2327-4FBB-97A5-8852526C37CB}"/>
    <cellStyle name="Input 3 4 5 2 4" xfId="28765" xr:uid="{02AD1BF6-7182-4974-AA78-459600F175F5}"/>
    <cellStyle name="Input 3 4 5 2 5" xfId="28766" xr:uid="{A62D4F21-6405-47C9-BF1F-9CC280C7DE04}"/>
    <cellStyle name="Input 3 4 5 2 6" xfId="28767" xr:uid="{46A5846C-87B6-49D6-8279-AEF3E4006CE2}"/>
    <cellStyle name="Input 3 4 5 3" xfId="28768" xr:uid="{63782AB5-44F5-404B-BD8F-DA0E74346C85}"/>
    <cellStyle name="Input 3 4 5 4" xfId="28769" xr:uid="{7AAFAAA7-F0C3-4389-A526-E82683A73A7A}"/>
    <cellStyle name="Input 3 4 5 5" xfId="28770" xr:uid="{DD96DC60-7810-4EF4-B8FC-8FAB5FD4EFFA}"/>
    <cellStyle name="Input 3 4 5 6" xfId="28771" xr:uid="{DAAC4FC3-A287-49D1-91AC-ADEF09A2644D}"/>
    <cellStyle name="Input 3 4 5 7" xfId="28772" xr:uid="{5B46FC59-A6E0-45E3-945E-7FBE063DB9A2}"/>
    <cellStyle name="Input 3 4 6" xfId="1759" xr:uid="{C6A1CE3D-95D8-4ABF-94A6-2FAA2A821E82}"/>
    <cellStyle name="Input 3 4 6 2" xfId="10356" xr:uid="{F7B0B097-6E6C-472D-8CB4-8F0EE2FD9E67}"/>
    <cellStyle name="Input 3 4 6 2 2" xfId="28773" xr:uid="{B7C61B69-40E3-44EF-BC58-69D14155D0E3}"/>
    <cellStyle name="Input 3 4 6 2 3" xfId="28774" xr:uid="{C4D73E9E-6F3C-468C-BF4B-CC6A14727626}"/>
    <cellStyle name="Input 3 4 6 2 4" xfId="28775" xr:uid="{3C1944AF-34A5-4CD2-AB53-A59E8D3A9B61}"/>
    <cellStyle name="Input 3 4 6 2 5" xfId="28776" xr:uid="{07172DAC-DCB8-43D3-8217-866312208855}"/>
    <cellStyle name="Input 3 4 6 2 6" xfId="28777" xr:uid="{EEB380ED-11A7-4754-B07E-49D1CEBEB821}"/>
    <cellStyle name="Input 3 4 6 3" xfId="28778" xr:uid="{5564A23F-7ADC-4B46-800B-1EC8211B5E5D}"/>
    <cellStyle name="Input 3 4 6 4" xfId="28779" xr:uid="{3DFB40CD-94C5-47CC-88EC-2FDC21F3C3DD}"/>
    <cellStyle name="Input 3 4 6 5" xfId="28780" xr:uid="{CE563B68-D09D-4071-842F-40A1B2EAEA82}"/>
    <cellStyle name="Input 3 4 6 6" xfId="28781" xr:uid="{12031130-A04A-43AE-AB74-5AB2731B79C2}"/>
    <cellStyle name="Input 3 4 6 7" xfId="28782" xr:uid="{8032F7B5-D697-4772-8C8C-A5813F4A950F}"/>
    <cellStyle name="Input 3 4 7" xfId="1760" xr:uid="{DF87AEF2-44B1-4617-9261-CAD8FDB5E2D7}"/>
    <cellStyle name="Input 3 4 7 2" xfId="10443" xr:uid="{72E32CD1-B577-4D7C-9C5E-47698A1D484E}"/>
    <cellStyle name="Input 3 4 7 2 2" xfId="28783" xr:uid="{FB45A8D8-30CB-4E7B-A0F2-4A0992724233}"/>
    <cellStyle name="Input 3 4 7 2 3" xfId="28784" xr:uid="{82BA06C5-C9E2-4C5F-8180-E46316EC2939}"/>
    <cellStyle name="Input 3 4 7 2 4" xfId="28785" xr:uid="{C4B6B61E-B8E1-4A35-947F-64743840AF0C}"/>
    <cellStyle name="Input 3 4 7 2 5" xfId="28786" xr:uid="{6E63C0D4-CB03-4A18-96B5-CA62D2AE3C32}"/>
    <cellStyle name="Input 3 4 7 2 6" xfId="28787" xr:uid="{56B1CA79-8C46-43EB-B8C6-5F74FBAABAFE}"/>
    <cellStyle name="Input 3 4 7 3" xfId="28788" xr:uid="{BA58401A-4086-40D0-A0DC-5F392246BF71}"/>
    <cellStyle name="Input 3 4 7 4" xfId="28789" xr:uid="{9618F643-360B-4A45-AEA8-37069CDBBE86}"/>
    <cellStyle name="Input 3 4 7 5" xfId="28790" xr:uid="{6723680D-8BD2-4641-8A7A-CC28E98222A9}"/>
    <cellStyle name="Input 3 4 7 6" xfId="28791" xr:uid="{C2F2574F-DF77-42C6-8B26-CAA8AE039722}"/>
    <cellStyle name="Input 3 4 7 7" xfId="28792" xr:uid="{97DB3559-5BF0-46A6-BF2D-DFB3953FE3FA}"/>
    <cellStyle name="Input 3 4 8" xfId="1761" xr:uid="{976292C8-0F46-4566-A31E-DDE25EFFC994}"/>
    <cellStyle name="Input 3 4 8 2" xfId="10532" xr:uid="{34D47530-2ED3-4C73-A01B-E7806768D883}"/>
    <cellStyle name="Input 3 4 8 2 2" xfId="28793" xr:uid="{826EC5DE-787B-47FE-A907-A3618BE79203}"/>
    <cellStyle name="Input 3 4 8 2 3" xfId="28794" xr:uid="{B7738FA9-DAA5-4FB9-ABAB-CE52645F2420}"/>
    <cellStyle name="Input 3 4 8 2 4" xfId="28795" xr:uid="{91F44814-5D04-4493-8717-9D6A06C4E111}"/>
    <cellStyle name="Input 3 4 8 2 5" xfId="28796" xr:uid="{9E925F3B-AE57-436C-9787-676CE4754358}"/>
    <cellStyle name="Input 3 4 8 2 6" xfId="28797" xr:uid="{ADFC57B2-B23E-4911-A9BE-5883787CC076}"/>
    <cellStyle name="Input 3 4 8 3" xfId="28798" xr:uid="{5734E743-49D8-482E-A458-2C5CCBF06FEC}"/>
    <cellStyle name="Input 3 4 8 4" xfId="28799" xr:uid="{A7A405D3-B9BF-4658-B0B5-EF339B06C68F}"/>
    <cellStyle name="Input 3 4 8 5" xfId="28800" xr:uid="{FF0F3406-A754-4266-B43A-8BE21BE7C1FD}"/>
    <cellStyle name="Input 3 4 8 6" xfId="28801" xr:uid="{801D6B23-697A-464A-9758-AE82FBFD94BC}"/>
    <cellStyle name="Input 3 4 8 7" xfId="28802" xr:uid="{BE54FF7F-BF23-493A-9685-48F08245C5CF}"/>
    <cellStyle name="Input 3 4 9" xfId="1762" xr:uid="{E7B0BE52-3CC2-4B78-8195-8016AA77A9BA}"/>
    <cellStyle name="Input 3 4 9 2" xfId="10614" xr:uid="{7E0E0FB0-D73A-42AA-A7D4-E079D45B915F}"/>
    <cellStyle name="Input 3 4 9 2 2" xfId="28803" xr:uid="{C5AAF513-C8D4-47D2-A547-871A6721B8DF}"/>
    <cellStyle name="Input 3 4 9 2 3" xfId="28804" xr:uid="{405EF543-771D-46C6-853F-26172DD56EE1}"/>
    <cellStyle name="Input 3 4 9 2 4" xfId="28805" xr:uid="{2E9B295C-5A0B-42C8-9686-EBBA43D7D914}"/>
    <cellStyle name="Input 3 4 9 2 5" xfId="28806" xr:uid="{F23B355A-8226-4AE0-B482-CB581B186CFA}"/>
    <cellStyle name="Input 3 4 9 2 6" xfId="28807" xr:uid="{63A90AE3-0853-4642-97C8-76494A9C7522}"/>
    <cellStyle name="Input 3 4 9 3" xfId="28808" xr:uid="{2589866B-7162-4324-B91A-6B6B43EE41A5}"/>
    <cellStyle name="Input 3 4 9 4" xfId="28809" xr:uid="{A8781005-59CC-4522-A360-6F35BC19C694}"/>
    <cellStyle name="Input 3 4 9 5" xfId="28810" xr:uid="{76F3CC58-A075-4E01-B143-4E14717ACD3D}"/>
    <cellStyle name="Input 3 4 9 6" xfId="28811" xr:uid="{544F5351-0070-47A1-B0F8-F4DB934FAD0D}"/>
    <cellStyle name="Input 3 4 9 7" xfId="28812" xr:uid="{9F056C79-16EA-49E5-B5D7-D9274BA6FD8D}"/>
    <cellStyle name="Input 3 40" xfId="9768" xr:uid="{479D9D95-2B23-412C-8A2B-1B610E5F71C9}"/>
    <cellStyle name="Input 3 40 2" xfId="28813" xr:uid="{DE330275-3243-450C-BF2F-172F6EFC6CB0}"/>
    <cellStyle name="Input 3 40 3" xfId="28814" xr:uid="{90C42852-A1C5-41D4-A2B3-A3BF7C7A9627}"/>
    <cellStyle name="Input 3 40 4" xfId="28815" xr:uid="{C9A31C1F-8F1F-4E0C-A429-EA01D5B8246B}"/>
    <cellStyle name="Input 3 40 5" xfId="28816" xr:uid="{07BFE131-F459-48F9-8D80-68A7A975FAC1}"/>
    <cellStyle name="Input 3 40 6" xfId="28817" xr:uid="{E50F0AC9-B8E1-4B5B-8BFA-638F9F660499}"/>
    <cellStyle name="Input 3 5" xfId="1763" xr:uid="{39C87B24-950F-45D0-B1D4-484689EC94DE}"/>
    <cellStyle name="Input 3 5 10" xfId="1764" xr:uid="{EC0853AF-BF5D-4025-A19C-529420E654B0}"/>
    <cellStyle name="Input 3 5 10 2" xfId="10693" xr:uid="{D39628DD-49DE-4933-BF29-214D2D550E4A}"/>
    <cellStyle name="Input 3 5 10 2 2" xfId="28818" xr:uid="{6DD0D518-838E-44D2-BF4F-98151C2E6D46}"/>
    <cellStyle name="Input 3 5 10 2 3" xfId="28819" xr:uid="{C4F4E556-A2F6-425B-8F8E-4ACDBFAFFFA4}"/>
    <cellStyle name="Input 3 5 10 2 4" xfId="28820" xr:uid="{617A00EF-E1D4-44E0-88BF-7A9B1065E789}"/>
    <cellStyle name="Input 3 5 10 2 5" xfId="28821" xr:uid="{36E43DF2-F60C-4934-8751-A47012F52077}"/>
    <cellStyle name="Input 3 5 10 2 6" xfId="28822" xr:uid="{1CD3A626-A548-45FF-A769-F11621CC5CF0}"/>
    <cellStyle name="Input 3 5 10 3" xfId="28823" xr:uid="{DDBCC712-7F1B-495B-95C1-CD66E23CBB12}"/>
    <cellStyle name="Input 3 5 10 4" xfId="28824" xr:uid="{25084ECA-23ED-44A0-BEB6-ABBCD440887E}"/>
    <cellStyle name="Input 3 5 10 5" xfId="28825" xr:uid="{708C200B-C9C7-4D9E-9EFA-FFCB0C3B012E}"/>
    <cellStyle name="Input 3 5 10 6" xfId="28826" xr:uid="{7CF540E5-87B5-4B9E-8CDF-AA75945F4E3D}"/>
    <cellStyle name="Input 3 5 10 7" xfId="28827" xr:uid="{3FC9B9B1-4C3C-4C8C-AB1B-F7FA9B304FBB}"/>
    <cellStyle name="Input 3 5 11" xfId="1765" xr:uid="{4D5C831D-6AD2-41C0-8A6C-79AFA43C771D}"/>
    <cellStyle name="Input 3 5 11 2" xfId="10784" xr:uid="{DAE90673-8160-416D-8E5D-DBC53D50B687}"/>
    <cellStyle name="Input 3 5 11 2 2" xfId="28828" xr:uid="{B006E6DC-4334-4E36-85BC-77128E18FD30}"/>
    <cellStyle name="Input 3 5 11 2 3" xfId="28829" xr:uid="{68EBBFFF-9A54-4D19-B107-D5CD4A2B9856}"/>
    <cellStyle name="Input 3 5 11 2 4" xfId="28830" xr:uid="{03C08DDF-10C5-47BE-B426-EBEB10C256DC}"/>
    <cellStyle name="Input 3 5 11 2 5" xfId="28831" xr:uid="{EBA4AE9A-6B14-469D-8145-67AA8FDEAC19}"/>
    <cellStyle name="Input 3 5 11 2 6" xfId="28832" xr:uid="{51C5C3E7-A083-447A-97F6-AC949A068A1F}"/>
    <cellStyle name="Input 3 5 11 3" xfId="28833" xr:uid="{7F60D315-F252-4BF2-B4FA-3D8C53167662}"/>
    <cellStyle name="Input 3 5 11 4" xfId="28834" xr:uid="{8CE9F4A9-87CD-41F7-9F7D-67B2D25D750C}"/>
    <cellStyle name="Input 3 5 11 5" xfId="28835" xr:uid="{784DB821-6D02-4017-B0C7-48CD0F48A329}"/>
    <cellStyle name="Input 3 5 11 6" xfId="28836" xr:uid="{A2CA271D-CAEE-4387-8C0E-FD9E2C298C9F}"/>
    <cellStyle name="Input 3 5 11 7" xfId="28837" xr:uid="{F7C78F91-CDF2-4B94-B92A-8F8EF89C296E}"/>
    <cellStyle name="Input 3 5 12" xfId="1766" xr:uid="{56559C8B-70D9-44A4-9F23-4383560611EE}"/>
    <cellStyle name="Input 3 5 12 2" xfId="10871" xr:uid="{7D8E5E67-CD8F-4FA1-8755-100C3C7A777A}"/>
    <cellStyle name="Input 3 5 12 2 2" xfId="28838" xr:uid="{83B136BD-F44F-4942-A44F-1C6D9CE9A422}"/>
    <cellStyle name="Input 3 5 12 2 3" xfId="28839" xr:uid="{CC70FD9B-B56F-40BD-AE95-0ED046A3A240}"/>
    <cellStyle name="Input 3 5 12 2 4" xfId="28840" xr:uid="{2C565F26-6DB6-49F4-A350-7CD04EE86FF0}"/>
    <cellStyle name="Input 3 5 12 2 5" xfId="28841" xr:uid="{09853FDD-CF7E-4D41-BEC2-E221825B9484}"/>
    <cellStyle name="Input 3 5 12 2 6" xfId="28842" xr:uid="{BB4EDEC1-8278-4B53-9F6B-FE7E6473A768}"/>
    <cellStyle name="Input 3 5 12 3" xfId="28843" xr:uid="{A0985C01-CBAA-43EF-BF77-AD01B1A402F6}"/>
    <cellStyle name="Input 3 5 12 4" xfId="28844" xr:uid="{3929879F-8467-4470-BD28-F46C66EF98B4}"/>
    <cellStyle name="Input 3 5 12 5" xfId="28845" xr:uid="{BD966D2C-4EC0-4EF1-B1E5-E00AD571FDC5}"/>
    <cellStyle name="Input 3 5 12 6" xfId="28846" xr:uid="{8D9E59A7-9CC5-4654-AEF7-99E5FF9FFAAC}"/>
    <cellStyle name="Input 3 5 12 7" xfId="28847" xr:uid="{25363EAD-ECCD-4782-B9F8-F1FC8F647D77}"/>
    <cellStyle name="Input 3 5 13" xfId="1767" xr:uid="{4AFF8BEF-D25C-420B-9193-3AE65F385C8A}"/>
    <cellStyle name="Input 3 5 13 2" xfId="10960" xr:uid="{61C4E332-5AE6-46D0-86C4-8B2BABF967F4}"/>
    <cellStyle name="Input 3 5 13 2 2" xfId="28848" xr:uid="{FEA55C0F-2CFC-4E5F-95FF-F5CC5E39F227}"/>
    <cellStyle name="Input 3 5 13 2 3" xfId="28849" xr:uid="{68D74825-6A09-4FBE-80F5-195876A5ABD7}"/>
    <cellStyle name="Input 3 5 13 2 4" xfId="28850" xr:uid="{A696D1C5-6817-43AF-BC23-0272F3E7B5BE}"/>
    <cellStyle name="Input 3 5 13 2 5" xfId="28851" xr:uid="{039FCC99-47A7-48CD-AA01-3E539D1C83FD}"/>
    <cellStyle name="Input 3 5 13 2 6" xfId="28852" xr:uid="{5A9B4D9C-9A48-41C1-85F7-73AB0D5F9AFF}"/>
    <cellStyle name="Input 3 5 13 3" xfId="28853" xr:uid="{FFC428B3-69DF-4D43-A40D-38FA193DF716}"/>
    <cellStyle name="Input 3 5 13 4" xfId="28854" xr:uid="{1F571DE9-8CFE-4B57-9785-170F3D980DBC}"/>
    <cellStyle name="Input 3 5 13 5" xfId="28855" xr:uid="{B16C4B11-1B12-46B0-8B0B-3CE2443F685D}"/>
    <cellStyle name="Input 3 5 13 6" xfId="28856" xr:uid="{E95A8CE5-F7E7-4271-B166-A3687813B546}"/>
    <cellStyle name="Input 3 5 13 7" xfId="28857" xr:uid="{4A1B414E-5C12-42F4-80A1-154F1066416C}"/>
    <cellStyle name="Input 3 5 14" xfId="1768" xr:uid="{59B737BA-A9E2-4ADA-8EC4-DD6F5358560D}"/>
    <cellStyle name="Input 3 5 14 2" xfId="11052" xr:uid="{7858FD7D-132A-4E48-A61F-CB9A82A5D772}"/>
    <cellStyle name="Input 3 5 14 2 2" xfId="28858" xr:uid="{C1FECDED-6934-4702-BB9D-19B5B673C88C}"/>
    <cellStyle name="Input 3 5 14 2 3" xfId="28859" xr:uid="{BDE42476-7B83-4D2F-8694-B15B9318CE16}"/>
    <cellStyle name="Input 3 5 14 2 4" xfId="28860" xr:uid="{9EF89D13-B9B0-40DD-A7B9-5B69CDA4E6B5}"/>
    <cellStyle name="Input 3 5 14 2 5" xfId="28861" xr:uid="{E34A2550-5FEA-4B06-9802-253C0E9C2004}"/>
    <cellStyle name="Input 3 5 14 2 6" xfId="28862" xr:uid="{C6B1BA01-FABA-4969-9036-7B6021651230}"/>
    <cellStyle name="Input 3 5 14 3" xfId="28863" xr:uid="{257501B9-F806-4532-BBC3-3DFA3C6859B4}"/>
    <cellStyle name="Input 3 5 14 4" xfId="28864" xr:uid="{571D15CF-F3CF-43B7-A8FF-B4372157E391}"/>
    <cellStyle name="Input 3 5 14 5" xfId="28865" xr:uid="{89E823F4-D5F2-41D3-ABEC-20A8222929BE}"/>
    <cellStyle name="Input 3 5 14 6" xfId="28866" xr:uid="{FDF61FA4-3C00-4BF4-A891-C78D5F82B194}"/>
    <cellStyle name="Input 3 5 14 7" xfId="28867" xr:uid="{95336C8D-9ABA-4261-A1BB-2E5994B25744}"/>
    <cellStyle name="Input 3 5 15" xfId="1769" xr:uid="{221E32A0-6679-4CB2-BF6F-CD39B20F63D0}"/>
    <cellStyle name="Input 3 5 15 2" xfId="11135" xr:uid="{56123B52-A6F2-4CD8-9D37-9946ACF48463}"/>
    <cellStyle name="Input 3 5 15 2 2" xfId="28868" xr:uid="{CB9ECDB3-A957-4585-B39A-E0D2C3D59581}"/>
    <cellStyle name="Input 3 5 15 2 3" xfId="28869" xr:uid="{2C2704F5-5277-4F3A-93A9-DD0D7F70AFF4}"/>
    <cellStyle name="Input 3 5 15 2 4" xfId="28870" xr:uid="{A6B42F80-37F4-425F-BA8E-16C8B5451C59}"/>
    <cellStyle name="Input 3 5 15 2 5" xfId="28871" xr:uid="{D57FB01E-5092-4F91-B3D7-A3B7B546A3F2}"/>
    <cellStyle name="Input 3 5 15 2 6" xfId="28872" xr:uid="{9A37D631-3ABA-4A8E-AF02-F0BEEFDF9B33}"/>
    <cellStyle name="Input 3 5 15 3" xfId="28873" xr:uid="{8B4A06EA-3B6F-49A1-929C-B29DE1242216}"/>
    <cellStyle name="Input 3 5 15 4" xfId="28874" xr:uid="{728D3802-67EE-405F-A047-C696FF13ADA2}"/>
    <cellStyle name="Input 3 5 15 5" xfId="28875" xr:uid="{18B10FB4-EC8F-40FF-85BF-4832889F53C7}"/>
    <cellStyle name="Input 3 5 15 6" xfId="28876" xr:uid="{8E1F288E-FCD1-4021-AA1D-60762947CD28}"/>
    <cellStyle name="Input 3 5 15 7" xfId="28877" xr:uid="{0912F34C-624F-4612-B306-FBA719B10BC6}"/>
    <cellStyle name="Input 3 5 16" xfId="1770" xr:uid="{C95696DE-467F-4047-8210-E2FC86CBDD3E}"/>
    <cellStyle name="Input 3 5 16 2" xfId="11224" xr:uid="{EDB7811D-DC41-4DE8-A009-5434A2C5E0BD}"/>
    <cellStyle name="Input 3 5 16 2 2" xfId="28878" xr:uid="{16CA87B0-CAD7-4967-8EF0-5F181BB8A5F3}"/>
    <cellStyle name="Input 3 5 16 2 3" xfId="28879" xr:uid="{21CFBDCC-4D25-4364-9B0D-A9EB904DD000}"/>
    <cellStyle name="Input 3 5 16 2 4" xfId="28880" xr:uid="{691A269F-E7BC-4EB7-8E63-69591213F7EA}"/>
    <cellStyle name="Input 3 5 16 2 5" xfId="28881" xr:uid="{882E6AD9-3421-4EF3-A991-21E46245CD4C}"/>
    <cellStyle name="Input 3 5 16 2 6" xfId="28882" xr:uid="{094CD9AD-1164-4929-BBC1-1B25D96C3994}"/>
    <cellStyle name="Input 3 5 16 3" xfId="28883" xr:uid="{BB6F9940-A88E-4B67-8447-158D73C3AE76}"/>
    <cellStyle name="Input 3 5 16 4" xfId="28884" xr:uid="{68ADF3B2-0592-44C9-85B8-FD71188EBC30}"/>
    <cellStyle name="Input 3 5 16 5" xfId="28885" xr:uid="{4C25302F-20E4-4704-AFC6-E26BBE73BD67}"/>
    <cellStyle name="Input 3 5 16 6" xfId="28886" xr:uid="{4BE023BB-6635-4B84-BAA4-E6297A3B3BEE}"/>
    <cellStyle name="Input 3 5 16 7" xfId="28887" xr:uid="{5AAB78BA-3CAB-4C13-9DBC-EF5D08747483}"/>
    <cellStyle name="Input 3 5 17" xfId="1771" xr:uid="{78A16DEF-FD10-4AE3-A741-E365707AC16B}"/>
    <cellStyle name="Input 3 5 17 2" xfId="11310" xr:uid="{ADAFE944-87CD-4B3E-BBB3-4B77A92C8437}"/>
    <cellStyle name="Input 3 5 17 2 2" xfId="28888" xr:uid="{A42E1425-EB90-4BA9-9844-CEB2D1819DEF}"/>
    <cellStyle name="Input 3 5 17 2 3" xfId="28889" xr:uid="{5F1F8B6F-8449-4F83-851D-BD52D2C20FCF}"/>
    <cellStyle name="Input 3 5 17 2 4" xfId="28890" xr:uid="{E34CBC99-9E0F-47FD-B8B8-D766E9694BB4}"/>
    <cellStyle name="Input 3 5 17 2 5" xfId="28891" xr:uid="{73032362-8EA5-40AB-A4A7-4456E27732B9}"/>
    <cellStyle name="Input 3 5 17 2 6" xfId="28892" xr:uid="{918ACA9E-CF1D-4839-A41B-0D888B3EDC0B}"/>
    <cellStyle name="Input 3 5 17 3" xfId="28893" xr:uid="{C4C085B5-ACC7-4239-A4E6-AC1CB028E9D8}"/>
    <cellStyle name="Input 3 5 17 4" xfId="28894" xr:uid="{C27A6D65-30AC-4CFF-9089-C07852964FB1}"/>
    <cellStyle name="Input 3 5 17 5" xfId="28895" xr:uid="{035F92A7-69F9-4F66-9816-ED457316CDE9}"/>
    <cellStyle name="Input 3 5 17 6" xfId="28896" xr:uid="{F897FAEE-621C-4D7B-9838-5F631BDF4AFB}"/>
    <cellStyle name="Input 3 5 17 7" xfId="28897" xr:uid="{716C2990-65AC-46E9-A3CA-880E0948E627}"/>
    <cellStyle name="Input 3 5 18" xfId="1772" xr:uid="{E84B951B-F13C-4882-8CE6-28084F528735}"/>
    <cellStyle name="Input 3 5 18 2" xfId="11397" xr:uid="{4AE1BEB7-390F-4EDC-9E68-7BF199B467FF}"/>
    <cellStyle name="Input 3 5 18 2 2" xfId="28898" xr:uid="{27C17813-D846-4C10-B4F0-648B82766DC3}"/>
    <cellStyle name="Input 3 5 18 2 3" xfId="28899" xr:uid="{A85F6461-9C18-4029-A84B-8158D2B93CDF}"/>
    <cellStyle name="Input 3 5 18 2 4" xfId="28900" xr:uid="{44B0078E-FA1A-478A-A0A8-F4EB5F034378}"/>
    <cellStyle name="Input 3 5 18 2 5" xfId="28901" xr:uid="{1C190EEC-5BC9-444F-868F-C4ABA369B4D4}"/>
    <cellStyle name="Input 3 5 18 2 6" xfId="28902" xr:uid="{945FC0F2-BC51-4A14-9408-6510B575B29A}"/>
    <cellStyle name="Input 3 5 18 3" xfId="28903" xr:uid="{55F3F54E-4A21-4EBA-A2B6-DA60EB221EA2}"/>
    <cellStyle name="Input 3 5 18 4" xfId="28904" xr:uid="{B7E6B2D8-3E2F-49D6-A47B-517BA30954EC}"/>
    <cellStyle name="Input 3 5 18 5" xfId="28905" xr:uid="{013E38D7-7836-47E9-9B26-5A4FD2111A09}"/>
    <cellStyle name="Input 3 5 18 6" xfId="28906" xr:uid="{8B3B2E8D-7A14-409C-B415-5906F6E1D540}"/>
    <cellStyle name="Input 3 5 18 7" xfId="28907" xr:uid="{392ECD7A-F8B9-4A9E-99C1-97829A4DCA46}"/>
    <cellStyle name="Input 3 5 19" xfId="1773" xr:uid="{524B17A6-6A53-4376-994D-B767AFB9F0B6}"/>
    <cellStyle name="Input 3 5 19 2" xfId="11484" xr:uid="{063C9391-2F5B-414F-999F-AE22D1D97834}"/>
    <cellStyle name="Input 3 5 19 2 2" xfId="28908" xr:uid="{0EC275A8-6629-4E18-96FD-243133EE3B90}"/>
    <cellStyle name="Input 3 5 19 2 3" xfId="28909" xr:uid="{C7A31B89-BF65-4226-A9EA-DB621C48F31D}"/>
    <cellStyle name="Input 3 5 19 2 4" xfId="28910" xr:uid="{D7822E10-1A29-4EE3-A220-283579F507AB}"/>
    <cellStyle name="Input 3 5 19 2 5" xfId="28911" xr:uid="{11C65850-4F9E-4D79-B962-58C068856C0F}"/>
    <cellStyle name="Input 3 5 19 2 6" xfId="28912" xr:uid="{F6D0DF65-0324-46DF-AECE-D30D1B24C98C}"/>
    <cellStyle name="Input 3 5 19 3" xfId="28913" xr:uid="{B1503222-FAD4-4F38-818F-FF6A9C873F56}"/>
    <cellStyle name="Input 3 5 19 4" xfId="28914" xr:uid="{5BD697D7-1E91-46A7-9B42-2C839B2536D7}"/>
    <cellStyle name="Input 3 5 19 5" xfId="28915" xr:uid="{3EAFC2AB-1D8D-445E-804E-A014231B3014}"/>
    <cellStyle name="Input 3 5 19 6" xfId="28916" xr:uid="{46FA208D-B14F-42A0-863A-51EFA85A39D6}"/>
    <cellStyle name="Input 3 5 19 7" xfId="28917" xr:uid="{786F5F90-A2F6-4AE2-B1DA-C1282C24F563}"/>
    <cellStyle name="Input 3 5 2" xfId="1774" xr:uid="{216F765D-569A-40E1-83F5-72650EED2E21}"/>
    <cellStyle name="Input 3 5 2 2" xfId="9990" xr:uid="{47892943-2C81-4D71-AEF9-75D94CF29E51}"/>
    <cellStyle name="Input 3 5 2 2 2" xfId="28918" xr:uid="{A109B8CE-0CD4-4C4E-9EA5-974DFF6A1F33}"/>
    <cellStyle name="Input 3 5 2 2 3" xfId="28919" xr:uid="{E8B87F48-F168-4D91-924E-C38CD8DB841D}"/>
    <cellStyle name="Input 3 5 2 2 4" xfId="28920" xr:uid="{83E15DA2-F123-4C57-9B54-F66A6ABB4A00}"/>
    <cellStyle name="Input 3 5 2 2 5" xfId="28921" xr:uid="{DEECB6AA-595F-4F83-A581-2EA43A941CD5}"/>
    <cellStyle name="Input 3 5 2 2 6" xfId="28922" xr:uid="{D772A778-BBC0-4A9E-9CC4-56536E449DAE}"/>
    <cellStyle name="Input 3 5 2 3" xfId="28923" xr:uid="{12C5B5FA-2967-4C99-955A-3E0B0A780F82}"/>
    <cellStyle name="Input 3 5 2 4" xfId="28924" xr:uid="{EA3711C4-A09C-4149-87CC-7F191FC2C94A}"/>
    <cellStyle name="Input 3 5 2 5" xfId="28925" xr:uid="{25D111AE-5BE3-4545-B27D-F980984C1010}"/>
    <cellStyle name="Input 3 5 2 6" xfId="28926" xr:uid="{D46F3613-BB18-4DE0-B611-F6101EBC59F4}"/>
    <cellStyle name="Input 3 5 2 7" xfId="28927" xr:uid="{E04BAA4B-BACE-4C70-9EF3-676F1EEB9C81}"/>
    <cellStyle name="Input 3 5 20" xfId="1775" xr:uid="{0822D05D-604D-4D32-89C7-2BDEEFF54E01}"/>
    <cellStyle name="Input 3 5 20 2" xfId="11572" xr:uid="{DA27EC87-466C-4A96-A36C-2801E57F50EE}"/>
    <cellStyle name="Input 3 5 20 2 2" xfId="28928" xr:uid="{857AAFA5-EDF9-4BD3-B51D-0EE454AF60BE}"/>
    <cellStyle name="Input 3 5 20 2 3" xfId="28929" xr:uid="{8358C1DC-31F8-4592-A474-74DB256C6EBC}"/>
    <cellStyle name="Input 3 5 20 2 4" xfId="28930" xr:uid="{6B404590-B41D-4C90-B5CB-5A05EFC37016}"/>
    <cellStyle name="Input 3 5 20 2 5" xfId="28931" xr:uid="{D75E015D-D9F0-477E-85BD-E7164976AD68}"/>
    <cellStyle name="Input 3 5 20 2 6" xfId="28932" xr:uid="{D024087B-CDBB-4E54-BEAF-D82FA7960A5E}"/>
    <cellStyle name="Input 3 5 20 3" xfId="28933" xr:uid="{A9A4F1C4-7DC3-490A-9A5B-C63365575185}"/>
    <cellStyle name="Input 3 5 20 4" xfId="28934" xr:uid="{57EF92E0-C0FF-4D1E-8832-0B1C1A1407E7}"/>
    <cellStyle name="Input 3 5 20 5" xfId="28935" xr:uid="{90961602-F119-47A8-B17A-39BBEBC58621}"/>
    <cellStyle name="Input 3 5 20 6" xfId="28936" xr:uid="{A80D036E-83FD-46F0-9AF8-B664AB02FFEC}"/>
    <cellStyle name="Input 3 5 20 7" xfId="28937" xr:uid="{170AFD39-F86C-4AF6-8741-9E2CE9BF91AC}"/>
    <cellStyle name="Input 3 5 21" xfId="1776" xr:uid="{609515FC-34BD-4A79-973E-F081F5749FB0}"/>
    <cellStyle name="Input 3 5 21 2" xfId="11658" xr:uid="{AA7683AE-2BB5-4586-8C0D-DBEA85B28BD1}"/>
    <cellStyle name="Input 3 5 21 2 2" xfId="28938" xr:uid="{C2BBCFB4-7B21-458A-AAFA-480219E46B12}"/>
    <cellStyle name="Input 3 5 21 2 3" xfId="28939" xr:uid="{D35D98F9-CB4E-454F-92A7-C8B8C9F58FF6}"/>
    <cellStyle name="Input 3 5 21 2 4" xfId="28940" xr:uid="{88BEA98F-4DEC-4BED-A5D2-48434B2A6E07}"/>
    <cellStyle name="Input 3 5 21 2 5" xfId="28941" xr:uid="{04ADAF6B-FA3F-4365-941A-65C77C63DB27}"/>
    <cellStyle name="Input 3 5 21 2 6" xfId="28942" xr:uid="{502783E6-E69B-42D5-A579-711338D05C55}"/>
    <cellStyle name="Input 3 5 21 3" xfId="28943" xr:uid="{483A804E-BF1D-4226-A779-881B45AD8C95}"/>
    <cellStyle name="Input 3 5 21 4" xfId="28944" xr:uid="{D2D3ECB3-8F73-4374-AC7F-10B88B2F788A}"/>
    <cellStyle name="Input 3 5 21 5" xfId="28945" xr:uid="{085846B2-4B8C-4804-9492-349FB785C7FD}"/>
    <cellStyle name="Input 3 5 21 6" xfId="28946" xr:uid="{E916D181-9AEB-40D4-9032-20FEDC7BD901}"/>
    <cellStyle name="Input 3 5 21 7" xfId="28947" xr:uid="{9DD88F6E-BEA7-460D-B9EC-1AB399C51FD3}"/>
    <cellStyle name="Input 3 5 22" xfId="1777" xr:uid="{7CD40179-AA57-4FDF-BF05-5B320F57B5B0}"/>
    <cellStyle name="Input 3 5 22 2" xfId="11741" xr:uid="{8172AC7E-4547-4826-930D-06269E4BD025}"/>
    <cellStyle name="Input 3 5 22 2 2" xfId="28948" xr:uid="{C54DA37C-1ABD-4C99-9C07-ADD35C7A2F87}"/>
    <cellStyle name="Input 3 5 22 2 3" xfId="28949" xr:uid="{AF8C43F0-28AE-4474-974F-335C2E9ABD2D}"/>
    <cellStyle name="Input 3 5 22 2 4" xfId="28950" xr:uid="{265078FA-6302-4793-87CC-780262E5F554}"/>
    <cellStyle name="Input 3 5 22 2 5" xfId="28951" xr:uid="{D1A5FDF8-DF86-4800-8365-37F6B3D7BD1C}"/>
    <cellStyle name="Input 3 5 22 2 6" xfId="28952" xr:uid="{AFCADE6C-DF31-4410-A23F-CD05F240B6EF}"/>
    <cellStyle name="Input 3 5 22 3" xfId="28953" xr:uid="{997F3D5B-A29A-4A42-B1D5-6FD2769B5634}"/>
    <cellStyle name="Input 3 5 22 4" xfId="28954" xr:uid="{427ED134-68FB-40B6-8175-0CEDD443EBA5}"/>
    <cellStyle name="Input 3 5 22 5" xfId="28955" xr:uid="{C81413EE-B9B1-4EEB-A525-E8CC81E08ABD}"/>
    <cellStyle name="Input 3 5 22 6" xfId="28956" xr:uid="{83271A23-1A21-43A8-A9FC-E96D1273831A}"/>
    <cellStyle name="Input 3 5 22 7" xfId="28957" xr:uid="{7262C3A6-EC78-4032-AB59-BA659367FF6F}"/>
    <cellStyle name="Input 3 5 23" xfId="1778" xr:uid="{01E50793-0E4D-41D0-AFDF-11BAA3B03A31}"/>
    <cellStyle name="Input 3 5 23 2" xfId="11823" xr:uid="{4930555E-FCAD-4411-BB3F-5502E48C8E71}"/>
    <cellStyle name="Input 3 5 23 2 2" xfId="28958" xr:uid="{2264776F-2B3D-449C-B52E-DF623F2EF366}"/>
    <cellStyle name="Input 3 5 23 2 3" xfId="28959" xr:uid="{64BB5567-9904-4AD2-9023-ECE4FB993838}"/>
    <cellStyle name="Input 3 5 23 2 4" xfId="28960" xr:uid="{D26F206A-A853-476E-95E9-6255D45D7568}"/>
    <cellStyle name="Input 3 5 23 2 5" xfId="28961" xr:uid="{8F925D74-D8B0-43B1-BA69-AF5471BD68ED}"/>
    <cellStyle name="Input 3 5 23 2 6" xfId="28962" xr:uid="{6F47418E-EF41-4EFC-86A9-585E982729E3}"/>
    <cellStyle name="Input 3 5 23 3" xfId="28963" xr:uid="{A04B4934-D7D0-452A-ACE2-1DB8E6D789BD}"/>
    <cellStyle name="Input 3 5 23 4" xfId="28964" xr:uid="{431FC03B-A098-4FE1-9BBD-5D1794F64CF0}"/>
    <cellStyle name="Input 3 5 23 5" xfId="28965" xr:uid="{92CDC224-2A01-49CC-832D-B2ABF36C3330}"/>
    <cellStyle name="Input 3 5 23 6" xfId="28966" xr:uid="{D45BD2F4-8891-4E97-8B33-B8D944ACD76A}"/>
    <cellStyle name="Input 3 5 23 7" xfId="28967" xr:uid="{0FA15191-7649-4CDE-95D9-010488720C55}"/>
    <cellStyle name="Input 3 5 24" xfId="1779" xr:uid="{EABA6043-29A1-4086-A8C4-9696944F6B1C}"/>
    <cellStyle name="Input 3 5 24 2" xfId="11907" xr:uid="{86C3A893-B910-43B4-9733-6B82FB8989A6}"/>
    <cellStyle name="Input 3 5 24 2 2" xfId="28968" xr:uid="{BF7A310C-996F-431F-93A7-AC5EA1FC4DFD}"/>
    <cellStyle name="Input 3 5 24 2 3" xfId="28969" xr:uid="{6E3B0F03-2263-4524-AC0A-ED506F2EE4DC}"/>
    <cellStyle name="Input 3 5 24 2 4" xfId="28970" xr:uid="{CA18E0FE-9AD9-4065-AE89-E1935AA12B16}"/>
    <cellStyle name="Input 3 5 24 2 5" xfId="28971" xr:uid="{DD25C768-B3EB-4DD3-B4BA-2988AB34AE6F}"/>
    <cellStyle name="Input 3 5 24 2 6" xfId="28972" xr:uid="{F62376F1-DC4C-427B-8FD6-A00CD2DA6DE8}"/>
    <cellStyle name="Input 3 5 24 3" xfId="28973" xr:uid="{EAA1D34E-02C6-48E2-9626-FEC987C444CC}"/>
    <cellStyle name="Input 3 5 24 4" xfId="28974" xr:uid="{3BD5FEF9-716D-408E-9833-E8A3D1F68FCE}"/>
    <cellStyle name="Input 3 5 24 5" xfId="28975" xr:uid="{C4FBD794-303E-4CDE-A331-EEF17C941755}"/>
    <cellStyle name="Input 3 5 24 6" xfId="28976" xr:uid="{80CE82FC-5BD1-4A10-8109-5D7A15A08A45}"/>
    <cellStyle name="Input 3 5 24 7" xfId="28977" xr:uid="{4EAEF97E-A069-423E-BDF4-BDE2CF5B8169}"/>
    <cellStyle name="Input 3 5 25" xfId="1780" xr:uid="{083F7B7E-4217-4B44-A31E-6331B3BD2A0B}"/>
    <cellStyle name="Input 3 5 25 2" xfId="11991" xr:uid="{4EF5CC8E-860C-40EB-BB67-CFBDBB463838}"/>
    <cellStyle name="Input 3 5 25 2 2" xfId="28978" xr:uid="{FF652D47-62F8-46C3-876D-3B2E972E68C5}"/>
    <cellStyle name="Input 3 5 25 2 3" xfId="28979" xr:uid="{BD8B2EF6-F65A-4A92-B3D4-BE2130609EC5}"/>
    <cellStyle name="Input 3 5 25 2 4" xfId="28980" xr:uid="{514CB5FE-7F7E-4950-A6D9-46D994167F11}"/>
    <cellStyle name="Input 3 5 25 2 5" xfId="28981" xr:uid="{50732932-5EFF-4314-822E-BECEB264C510}"/>
    <cellStyle name="Input 3 5 25 2 6" xfId="28982" xr:uid="{9BC59326-332D-4421-9777-3FD96970C8B8}"/>
    <cellStyle name="Input 3 5 25 3" xfId="28983" xr:uid="{DED60D28-3832-4BA2-A3A3-C914103176B8}"/>
    <cellStyle name="Input 3 5 25 4" xfId="28984" xr:uid="{432550F7-2582-486B-B448-394072D7FD85}"/>
    <cellStyle name="Input 3 5 25 5" xfId="28985" xr:uid="{992E4FEF-5F39-424A-BBDD-D9DB39599019}"/>
    <cellStyle name="Input 3 5 25 6" xfId="28986" xr:uid="{A623A495-3E95-4E3D-811B-D8237C032A15}"/>
    <cellStyle name="Input 3 5 25 7" xfId="28987" xr:uid="{9EAD9419-0E18-470F-8186-F110D0E374E9}"/>
    <cellStyle name="Input 3 5 26" xfId="1781" xr:uid="{64E9C958-957E-4A17-BD3E-2038BAD58690}"/>
    <cellStyle name="Input 3 5 26 2" xfId="12074" xr:uid="{64A6DF30-613F-4CA9-B198-8256AC045EDD}"/>
    <cellStyle name="Input 3 5 26 2 2" xfId="28988" xr:uid="{18F34DF2-949F-475F-97BF-037A3CB07DAC}"/>
    <cellStyle name="Input 3 5 26 2 3" xfId="28989" xr:uid="{BDB14579-D6E8-4716-83D1-2A4E822A8BB6}"/>
    <cellStyle name="Input 3 5 26 2 4" xfId="28990" xr:uid="{D1240C3D-CA20-41A2-9C98-DEF98235D58B}"/>
    <cellStyle name="Input 3 5 26 2 5" xfId="28991" xr:uid="{06CF583F-81F4-4DF7-BB63-C1A1CE6C86A2}"/>
    <cellStyle name="Input 3 5 26 2 6" xfId="28992" xr:uid="{FA99FF52-AB8A-4A92-986A-2FF1C76181C2}"/>
    <cellStyle name="Input 3 5 26 3" xfId="28993" xr:uid="{146E7C46-AC04-4BCD-84D7-0F410429563D}"/>
    <cellStyle name="Input 3 5 26 4" xfId="28994" xr:uid="{D2E68AF9-C4A4-4D7A-8FE5-59035B1A1097}"/>
    <cellStyle name="Input 3 5 26 5" xfId="28995" xr:uid="{9B5F77A9-A7DB-47E1-BCA4-F74F6C861AF2}"/>
    <cellStyle name="Input 3 5 26 6" xfId="28996" xr:uid="{4AF99A86-ADEF-4B43-950D-AF2ED31E71AB}"/>
    <cellStyle name="Input 3 5 26 7" xfId="28997" xr:uid="{5A162E8C-66A9-4A0A-86FD-92230082E927}"/>
    <cellStyle name="Input 3 5 27" xfId="1782" xr:uid="{2D9F0541-EB51-4E40-ACD2-22C03358E2A0}"/>
    <cellStyle name="Input 3 5 27 2" xfId="12157" xr:uid="{70746EA5-E4E4-4BA7-A10E-C2EEA9E00C85}"/>
    <cellStyle name="Input 3 5 27 2 2" xfId="28998" xr:uid="{79BDC52E-DCF0-4C35-A3DB-D51380DD76A8}"/>
    <cellStyle name="Input 3 5 27 2 3" xfId="28999" xr:uid="{79D8EA01-09B5-448A-B151-AAD048AD6348}"/>
    <cellStyle name="Input 3 5 27 2 4" xfId="29000" xr:uid="{46631584-4BAD-4127-9086-7C01D982970A}"/>
    <cellStyle name="Input 3 5 27 2 5" xfId="29001" xr:uid="{D9B24FD9-B28D-4161-85ED-209DADD06E0F}"/>
    <cellStyle name="Input 3 5 27 2 6" xfId="29002" xr:uid="{5C901F61-EA63-449D-9393-9B9C5612B161}"/>
    <cellStyle name="Input 3 5 27 3" xfId="29003" xr:uid="{0F698932-AC41-4C01-A8E4-5C9F168ED8F4}"/>
    <cellStyle name="Input 3 5 27 4" xfId="29004" xr:uid="{7717A287-7C92-41F5-B0D3-14EA6D1C72B4}"/>
    <cellStyle name="Input 3 5 27 5" xfId="29005" xr:uid="{9E42B732-5691-4D23-9634-1F99E87D210F}"/>
    <cellStyle name="Input 3 5 27 6" xfId="29006" xr:uid="{FB0CA666-4332-4317-B651-234652DFD0E7}"/>
    <cellStyle name="Input 3 5 27 7" xfId="29007" xr:uid="{454FF5EB-D6F3-4900-9F04-5FAF136320E8}"/>
    <cellStyle name="Input 3 5 28" xfId="1783" xr:uid="{7EA38E48-716C-4FC5-8362-696B4C94AF7B}"/>
    <cellStyle name="Input 3 5 28 2" xfId="12236" xr:uid="{908501E8-51EC-440B-9368-9EC10B75C326}"/>
    <cellStyle name="Input 3 5 28 2 2" xfId="29008" xr:uid="{83B8639D-34F8-490E-9367-21ADE6215547}"/>
    <cellStyle name="Input 3 5 28 2 3" xfId="29009" xr:uid="{8D68650A-9FCF-464B-B3C1-DC3619DF26A2}"/>
    <cellStyle name="Input 3 5 28 2 4" xfId="29010" xr:uid="{6A64B7E6-84BC-4A93-855D-E15D0C84EA12}"/>
    <cellStyle name="Input 3 5 28 2 5" xfId="29011" xr:uid="{C5988DA0-13B0-4E4D-9BD9-1A2ABF2A0E4D}"/>
    <cellStyle name="Input 3 5 28 2 6" xfId="29012" xr:uid="{C1F7B599-6CB0-4EF7-BA34-B6E23C28B979}"/>
    <cellStyle name="Input 3 5 28 3" xfId="29013" xr:uid="{EEEA84EB-BD35-44FB-AEAE-87763139C3BC}"/>
    <cellStyle name="Input 3 5 28 4" xfId="29014" xr:uid="{894D42BD-EB11-4A11-8A59-086A1728EBFC}"/>
    <cellStyle name="Input 3 5 28 5" xfId="29015" xr:uid="{B47944EB-4103-420A-9F7D-0C5AF637D865}"/>
    <cellStyle name="Input 3 5 28 6" xfId="29016" xr:uid="{6BB72E0C-8381-4971-8232-B33A3C203CDF}"/>
    <cellStyle name="Input 3 5 28 7" xfId="29017" xr:uid="{98CC3257-2F29-47B0-BCF3-C8AC3502974B}"/>
    <cellStyle name="Input 3 5 29" xfId="1784" xr:uid="{602C8057-3115-4E52-B40C-8DB42F48946B}"/>
    <cellStyle name="Input 3 5 29 2" xfId="12315" xr:uid="{4ECABB6A-0C77-4C74-87BF-D835A17A6F07}"/>
    <cellStyle name="Input 3 5 29 2 2" xfId="29018" xr:uid="{B566E625-5469-474A-842F-652A597E28CA}"/>
    <cellStyle name="Input 3 5 29 2 3" xfId="29019" xr:uid="{2ED669BE-F4A5-408B-9CE3-72B594688908}"/>
    <cellStyle name="Input 3 5 29 2 4" xfId="29020" xr:uid="{D508A039-240E-4EF5-976A-94ADB4DFF000}"/>
    <cellStyle name="Input 3 5 29 2 5" xfId="29021" xr:uid="{29FE7D73-6526-4AA9-9A87-D40421863EB7}"/>
    <cellStyle name="Input 3 5 29 2 6" xfId="29022" xr:uid="{FC447269-D0C0-4B32-8831-BC60274FCF35}"/>
    <cellStyle name="Input 3 5 29 3" xfId="29023" xr:uid="{12654983-1620-4FB5-A8BE-97779A50F66A}"/>
    <cellStyle name="Input 3 5 29 4" xfId="29024" xr:uid="{DA32369D-2D58-4D41-8AC6-90BBBECB61D0}"/>
    <cellStyle name="Input 3 5 29 5" xfId="29025" xr:uid="{2927B976-8CF9-4F28-8962-73AB0365FACB}"/>
    <cellStyle name="Input 3 5 29 6" xfId="29026" xr:uid="{6506F00B-7C98-4769-99BB-059B8A9148F0}"/>
    <cellStyle name="Input 3 5 29 7" xfId="29027" xr:uid="{F8703A8A-7501-4DD4-9AA5-E9621E69E83F}"/>
    <cellStyle name="Input 3 5 3" xfId="1785" xr:uid="{CDDE2D7F-3E6A-4E08-8F4D-D693D44C07F1}"/>
    <cellStyle name="Input 3 5 3 2" xfId="10081" xr:uid="{49131AB8-679F-4956-AAC9-6147259FECE1}"/>
    <cellStyle name="Input 3 5 3 2 2" xfId="29028" xr:uid="{EDF86209-5F15-4DD6-90D5-80754556462C}"/>
    <cellStyle name="Input 3 5 3 2 3" xfId="29029" xr:uid="{F04CEC23-4F47-4353-AA8C-C9B548738101}"/>
    <cellStyle name="Input 3 5 3 2 4" xfId="29030" xr:uid="{C4D7613F-9280-4BA1-B68C-91C653CF6514}"/>
    <cellStyle name="Input 3 5 3 2 5" xfId="29031" xr:uid="{43E08283-57A5-449D-B45C-10F8ED11A958}"/>
    <cellStyle name="Input 3 5 3 2 6" xfId="29032" xr:uid="{C2310C86-5B14-4E5E-B2B0-D62352F27739}"/>
    <cellStyle name="Input 3 5 3 3" xfId="29033" xr:uid="{A401A54E-17F7-4E5E-8680-C928331B157C}"/>
    <cellStyle name="Input 3 5 3 4" xfId="29034" xr:uid="{D7B91EB5-5417-49DC-B464-D05F98255E19}"/>
    <cellStyle name="Input 3 5 3 5" xfId="29035" xr:uid="{E01E59D5-93D2-4EA6-A664-045169430BBD}"/>
    <cellStyle name="Input 3 5 3 6" xfId="29036" xr:uid="{9EC9F80A-4421-48C6-890B-53291BEDBFD7}"/>
    <cellStyle name="Input 3 5 3 7" xfId="29037" xr:uid="{15A606FF-C366-4989-9912-52C9437CEC42}"/>
    <cellStyle name="Input 3 5 30" xfId="1786" xr:uid="{556AACA6-DE90-4998-95B4-EEDDF28282F6}"/>
    <cellStyle name="Input 3 5 30 2" xfId="12394" xr:uid="{31819FD9-3DD1-49AF-9608-06B6098B1C76}"/>
    <cellStyle name="Input 3 5 30 2 2" xfId="29038" xr:uid="{CD174EEB-722E-4B4A-9E13-52096278D50E}"/>
    <cellStyle name="Input 3 5 30 2 3" xfId="29039" xr:uid="{54486AFA-C536-4BEF-9B54-A4FFFD261263}"/>
    <cellStyle name="Input 3 5 30 2 4" xfId="29040" xr:uid="{9181502B-BC4C-450B-B4A8-417213FDB7A3}"/>
    <cellStyle name="Input 3 5 30 2 5" xfId="29041" xr:uid="{C207867C-E976-4AB4-B80C-C91EC1C51706}"/>
    <cellStyle name="Input 3 5 30 2 6" xfId="29042" xr:uid="{32D53B5F-938A-4E6D-8BEB-52E03DA09B92}"/>
    <cellStyle name="Input 3 5 30 3" xfId="29043" xr:uid="{4594EB68-1602-4FA7-814D-9405047A40E3}"/>
    <cellStyle name="Input 3 5 30 4" xfId="29044" xr:uid="{02127025-39E7-49E7-B5A8-D1FF59094D89}"/>
    <cellStyle name="Input 3 5 30 5" xfId="29045" xr:uid="{E2868BF0-F552-486F-ACEE-B75421EF7D38}"/>
    <cellStyle name="Input 3 5 30 6" xfId="29046" xr:uid="{AE928A1E-BE20-45DE-9EBE-93D53AE77A36}"/>
    <cellStyle name="Input 3 5 30 7" xfId="29047" xr:uid="{ECE5E21B-6FD8-42A5-8B58-B21DF92F6768}"/>
    <cellStyle name="Input 3 5 31" xfId="1787" xr:uid="{1A1CCA07-5436-43D0-86AE-BE89C0754649}"/>
    <cellStyle name="Input 3 5 31 2" xfId="12473" xr:uid="{7C1161AE-8063-47D4-B612-967C81576CC3}"/>
    <cellStyle name="Input 3 5 31 2 2" xfId="29048" xr:uid="{53E9FC4C-17CE-43B2-9C3B-828107E05885}"/>
    <cellStyle name="Input 3 5 31 2 3" xfId="29049" xr:uid="{8E6B982A-35CF-4456-BBF0-E03DA279975A}"/>
    <cellStyle name="Input 3 5 31 2 4" xfId="29050" xr:uid="{66F26839-AF36-4512-9851-6E48753181C9}"/>
    <cellStyle name="Input 3 5 31 2 5" xfId="29051" xr:uid="{B706449C-C496-46E5-B3BD-63F767AEAE40}"/>
    <cellStyle name="Input 3 5 31 2 6" xfId="29052" xr:uid="{DED537E3-0DD7-4FC3-86DE-2FE3FB2A8002}"/>
    <cellStyle name="Input 3 5 31 3" xfId="29053" xr:uid="{098B03A0-797C-402A-9456-415209E2BB17}"/>
    <cellStyle name="Input 3 5 31 4" xfId="29054" xr:uid="{EFB4027B-78E8-45D6-96B2-9D4C3A995057}"/>
    <cellStyle name="Input 3 5 31 5" xfId="29055" xr:uid="{B31610CD-FB70-48DD-AFED-F461FEA60946}"/>
    <cellStyle name="Input 3 5 31 6" xfId="29056" xr:uid="{B2228B5C-FB3F-40FA-83E6-86D5F348B76A}"/>
    <cellStyle name="Input 3 5 31 7" xfId="29057" xr:uid="{0180FC2E-74DD-4914-9935-ECD3CF93BD3E}"/>
    <cellStyle name="Input 3 5 32" xfId="1788" xr:uid="{0A088B53-0F4C-4CC3-8285-603CE1128DE3}"/>
    <cellStyle name="Input 3 5 32 2" xfId="12552" xr:uid="{9934B0B5-9EF3-40FF-9627-D569A54598BA}"/>
    <cellStyle name="Input 3 5 32 2 2" xfId="29058" xr:uid="{D816835D-5A10-4B6B-85FE-59C60E514278}"/>
    <cellStyle name="Input 3 5 32 2 3" xfId="29059" xr:uid="{141CAE3E-C1B3-4588-AD4F-E81A0354DF88}"/>
    <cellStyle name="Input 3 5 32 2 4" xfId="29060" xr:uid="{0109BF5E-B1C4-4DFA-9CE5-7723EBF486C5}"/>
    <cellStyle name="Input 3 5 32 2 5" xfId="29061" xr:uid="{382DC717-A2E0-4DC4-AC9F-0999111AFA6D}"/>
    <cellStyle name="Input 3 5 32 2 6" xfId="29062" xr:uid="{18A300BE-D2C9-4DFB-B5E8-07A974DEF09B}"/>
    <cellStyle name="Input 3 5 32 3" xfId="29063" xr:uid="{8AD57290-5EBE-434C-A612-123BFB65F781}"/>
    <cellStyle name="Input 3 5 32 4" xfId="29064" xr:uid="{BCEFE479-A9D7-4854-A5CA-486C891C1CEB}"/>
    <cellStyle name="Input 3 5 32 5" xfId="29065" xr:uid="{8521A72D-C143-4965-A2C8-4EF733947211}"/>
    <cellStyle name="Input 3 5 32 6" xfId="29066" xr:uid="{4A07C8F6-3366-4CCC-BF6E-92D4619B84EA}"/>
    <cellStyle name="Input 3 5 32 7" xfId="29067" xr:uid="{B1B0302C-46E8-4FFA-BBE8-09E543C8E40C}"/>
    <cellStyle name="Input 3 5 33" xfId="1789" xr:uid="{3DD60627-38D1-43EC-98E4-BAE2824D87F2}"/>
    <cellStyle name="Input 3 5 33 2" xfId="12631" xr:uid="{76577124-028B-41AA-AC1F-5F9DAD2AEE79}"/>
    <cellStyle name="Input 3 5 33 2 2" xfId="29068" xr:uid="{23989937-FC1E-49E9-92A2-AE91841B93C5}"/>
    <cellStyle name="Input 3 5 33 2 3" xfId="29069" xr:uid="{4D1A6B3E-A37D-405A-84C2-D1BE94F211D7}"/>
    <cellStyle name="Input 3 5 33 2 4" xfId="29070" xr:uid="{F2EC246A-D93B-4FB3-8CB3-FA5106178AAA}"/>
    <cellStyle name="Input 3 5 33 2 5" xfId="29071" xr:uid="{AF2F7D53-1B7D-4F3C-A9CE-3E395A2673F6}"/>
    <cellStyle name="Input 3 5 33 2 6" xfId="29072" xr:uid="{AE1B479D-9F32-4E39-AD52-B261F5E8E63D}"/>
    <cellStyle name="Input 3 5 33 3" xfId="29073" xr:uid="{4A97CE42-B9A7-4077-A043-A38C011D2624}"/>
    <cellStyle name="Input 3 5 33 4" xfId="29074" xr:uid="{FC13E248-F52F-4777-8043-744F64FB7E6B}"/>
    <cellStyle name="Input 3 5 33 5" xfId="29075" xr:uid="{1781A80A-971D-4FED-965E-FAB8AF544755}"/>
    <cellStyle name="Input 3 5 33 6" xfId="29076" xr:uid="{827AA870-BAA8-4F08-977B-D4E3B16C8BEC}"/>
    <cellStyle name="Input 3 5 33 7" xfId="29077" xr:uid="{E5BB429B-4863-4BCC-801B-63ED106B0540}"/>
    <cellStyle name="Input 3 5 34" xfId="1790" xr:uid="{042892A2-1A9B-4648-AB1A-EF64A0F50604}"/>
    <cellStyle name="Input 3 5 34 2" xfId="12715" xr:uid="{E3794F08-3851-467A-9697-D52CF991AEF3}"/>
    <cellStyle name="Input 3 5 34 2 2" xfId="29078" xr:uid="{361B2070-976F-4E41-A835-81338CDB9EC3}"/>
    <cellStyle name="Input 3 5 34 2 3" xfId="29079" xr:uid="{5C570315-C22E-4C26-9743-C61090F085AD}"/>
    <cellStyle name="Input 3 5 34 2 4" xfId="29080" xr:uid="{92F45876-A3B9-4952-A984-175EE2AC5BFB}"/>
    <cellStyle name="Input 3 5 34 2 5" xfId="29081" xr:uid="{7DFD5235-FD73-4EAC-A59A-BBBEBDA4A1FD}"/>
    <cellStyle name="Input 3 5 34 2 6" xfId="29082" xr:uid="{30D39CDD-7FD5-4872-B333-6A6097F68444}"/>
    <cellStyle name="Input 3 5 34 3" xfId="29083" xr:uid="{F14112A0-DA64-4920-A7E5-4E31596C3C25}"/>
    <cellStyle name="Input 3 5 34 4" xfId="29084" xr:uid="{C864DB22-E949-4475-9C3B-729148A7B2D2}"/>
    <cellStyle name="Input 3 5 34 5" xfId="29085" xr:uid="{BF3075F1-6388-4F9F-A83F-309FADE6B951}"/>
    <cellStyle name="Input 3 5 34 6" xfId="29086" xr:uid="{B4C3D387-446C-46C1-98D1-614F9AFB46F5}"/>
    <cellStyle name="Input 3 5 35" xfId="9779" xr:uid="{46001A5C-DFD6-41F2-A7BE-244580076602}"/>
    <cellStyle name="Input 3 5 35 2" xfId="29087" xr:uid="{4C501402-3604-4FF9-AAD4-5BCB7C2B763A}"/>
    <cellStyle name="Input 3 5 35 3" xfId="29088" xr:uid="{62BFB236-3801-46DC-980E-7F4F3649C084}"/>
    <cellStyle name="Input 3 5 35 4" xfId="29089" xr:uid="{EB506B37-2AA6-48E0-9412-CBFAE9C1E883}"/>
    <cellStyle name="Input 3 5 35 5" xfId="29090" xr:uid="{B643E84A-1A94-4238-8873-935752039CF1}"/>
    <cellStyle name="Input 3 5 35 6" xfId="29091" xr:uid="{20EA2CCE-1042-44A1-8E5B-5F22D51A3499}"/>
    <cellStyle name="Input 3 5 36" xfId="29092" xr:uid="{D35EA4C1-7E99-407A-B5D9-093B63380132}"/>
    <cellStyle name="Input 3 5 37" xfId="29093" xr:uid="{20F50AE3-7EB6-4E18-8E87-A267BA48725C}"/>
    <cellStyle name="Input 3 5 38" xfId="29094" xr:uid="{F1CEF8D1-829E-47F0-AADC-C795DF522EC0}"/>
    <cellStyle name="Input 3 5 39" xfId="29095" xr:uid="{54C30A90-774E-4DCE-9B64-B76FA190231B}"/>
    <cellStyle name="Input 3 5 4" xfId="1791" xr:uid="{8AC1AA7F-3FBE-4D23-982F-E63987FEB194}"/>
    <cellStyle name="Input 3 5 4 2" xfId="10172" xr:uid="{7F53E266-77F3-4643-8F9C-4E02FC13CE04}"/>
    <cellStyle name="Input 3 5 4 2 2" xfId="29096" xr:uid="{BD5CCFE4-8EDD-451B-8D10-62055F6182D1}"/>
    <cellStyle name="Input 3 5 4 2 3" xfId="29097" xr:uid="{2C7094C9-1701-4644-B8D0-BB4C1CE08214}"/>
    <cellStyle name="Input 3 5 4 2 4" xfId="29098" xr:uid="{A7C2D538-6816-40DF-BB42-BCF6336AD3E5}"/>
    <cellStyle name="Input 3 5 4 2 5" xfId="29099" xr:uid="{5DC31DFB-B8D9-4ECE-91C2-0D0C286A9B45}"/>
    <cellStyle name="Input 3 5 4 2 6" xfId="29100" xr:uid="{71D48A79-864C-48ED-B3DF-FC38B7D4613B}"/>
    <cellStyle name="Input 3 5 4 3" xfId="29101" xr:uid="{157CC928-1573-4B9D-AEE6-F8E785A0C0BF}"/>
    <cellStyle name="Input 3 5 4 4" xfId="29102" xr:uid="{CAFE98CC-3848-403D-8131-F7FBCFFC4E3C}"/>
    <cellStyle name="Input 3 5 4 5" xfId="29103" xr:uid="{929A7C05-86E9-42A6-B468-EDC5414E502D}"/>
    <cellStyle name="Input 3 5 4 6" xfId="29104" xr:uid="{81C6E9F2-8ED1-4D57-BC07-3D674A2BDACB}"/>
    <cellStyle name="Input 3 5 4 7" xfId="29105" xr:uid="{3DE9720F-1FD8-495B-814E-3AD6C58A0A54}"/>
    <cellStyle name="Input 3 5 5" xfId="1792" xr:uid="{25315522-30D4-4C56-AF81-2CFBA1A2EE0B}"/>
    <cellStyle name="Input 3 5 5 2" xfId="10260" xr:uid="{E5E14DB6-0BFE-4C6C-BFD2-0E47472E7455}"/>
    <cellStyle name="Input 3 5 5 2 2" xfId="29106" xr:uid="{8EAE082B-3BB5-4C63-AAC1-BE370287FEB1}"/>
    <cellStyle name="Input 3 5 5 2 3" xfId="29107" xr:uid="{6DB675BF-180D-40A4-99FE-C04F0B35179F}"/>
    <cellStyle name="Input 3 5 5 2 4" xfId="29108" xr:uid="{DFA6D8E5-ABAD-4266-B83C-97018E480E69}"/>
    <cellStyle name="Input 3 5 5 2 5" xfId="29109" xr:uid="{718FE8E2-AC1A-42E1-A4C6-F635F7ACF60C}"/>
    <cellStyle name="Input 3 5 5 2 6" xfId="29110" xr:uid="{ED765E2D-1F05-4456-9974-49BC1894ACD1}"/>
    <cellStyle name="Input 3 5 5 3" xfId="29111" xr:uid="{FC822EB3-9CD2-4F33-8BC8-6B5B15F5167B}"/>
    <cellStyle name="Input 3 5 5 4" xfId="29112" xr:uid="{455BB3E8-9369-46BF-B9ED-DAADA09C0F1B}"/>
    <cellStyle name="Input 3 5 5 5" xfId="29113" xr:uid="{C3AACB77-2EF0-4769-AE6F-7A244F9768D9}"/>
    <cellStyle name="Input 3 5 5 6" xfId="29114" xr:uid="{904E4F06-AC7D-4280-AEC9-A60022567A71}"/>
    <cellStyle name="Input 3 5 5 7" xfId="29115" xr:uid="{3A61ED12-6AF6-4C1B-A4CC-822745C5FC95}"/>
    <cellStyle name="Input 3 5 6" xfId="1793" xr:uid="{DCE2A67D-0935-4E04-AC5E-D82028B8E0B3}"/>
    <cellStyle name="Input 3 5 6 2" xfId="10345" xr:uid="{54A56A68-2371-4DF7-8FC0-11F9BE130127}"/>
    <cellStyle name="Input 3 5 6 2 2" xfId="29116" xr:uid="{53FAA34F-51DA-42B2-A34A-DD6664943CF1}"/>
    <cellStyle name="Input 3 5 6 2 3" xfId="29117" xr:uid="{D90F8229-B640-4EBA-8A38-0F9FDFFC5BDE}"/>
    <cellStyle name="Input 3 5 6 2 4" xfId="29118" xr:uid="{8D87364D-C62F-4DA6-B19C-2FCA2C48D11D}"/>
    <cellStyle name="Input 3 5 6 2 5" xfId="29119" xr:uid="{88A727F1-841E-45FD-894F-883679C88539}"/>
    <cellStyle name="Input 3 5 6 2 6" xfId="29120" xr:uid="{7A85D22B-E917-4B75-A05C-709E4730D1B9}"/>
    <cellStyle name="Input 3 5 6 3" xfId="29121" xr:uid="{49A618D8-673A-47DF-9D3C-DF6044BC5E3C}"/>
    <cellStyle name="Input 3 5 6 4" xfId="29122" xr:uid="{4099929B-B27B-487D-A251-2BC16D7A3A28}"/>
    <cellStyle name="Input 3 5 6 5" xfId="29123" xr:uid="{346BF363-4A38-4E44-A141-8025F98A5E2D}"/>
    <cellStyle name="Input 3 5 6 6" xfId="29124" xr:uid="{13946A65-5C57-4C27-B909-1E0260939B05}"/>
    <cellStyle name="Input 3 5 6 7" xfId="29125" xr:uid="{D8F22336-3958-4462-80DC-A34E92DDAA79}"/>
    <cellStyle name="Input 3 5 7" xfId="1794" xr:uid="{58033204-6B0B-474C-A724-F853A6A1B335}"/>
    <cellStyle name="Input 3 5 7 2" xfId="10432" xr:uid="{A4021D1A-C016-4F11-8F3D-1D373DEF1C69}"/>
    <cellStyle name="Input 3 5 7 2 2" xfId="29126" xr:uid="{28A96372-F5AF-4FC1-B2B7-FB0D463EFF48}"/>
    <cellStyle name="Input 3 5 7 2 3" xfId="29127" xr:uid="{697A7A80-E878-4747-B71B-21C3F15B440F}"/>
    <cellStyle name="Input 3 5 7 2 4" xfId="29128" xr:uid="{D7F0B1D0-93E3-42D1-B80D-71802D03679F}"/>
    <cellStyle name="Input 3 5 7 2 5" xfId="29129" xr:uid="{63CD96C7-2019-4986-A24E-05AB0FB0077B}"/>
    <cellStyle name="Input 3 5 7 2 6" xfId="29130" xr:uid="{D81AD0A9-97A5-48A7-817D-E51990F656D8}"/>
    <cellStyle name="Input 3 5 7 3" xfId="29131" xr:uid="{30475D4D-51AD-415F-AE6E-6FD705AD2C22}"/>
    <cellStyle name="Input 3 5 7 4" xfId="29132" xr:uid="{9AE4B1D4-55FF-492E-9738-C4B8C33A30B2}"/>
    <cellStyle name="Input 3 5 7 5" xfId="29133" xr:uid="{0F179C0E-67EA-42E8-BB11-EC4EE2EA653F}"/>
    <cellStyle name="Input 3 5 7 6" xfId="29134" xr:uid="{FD81B2CC-9DE3-45AB-A6BA-EEAA3591FFAA}"/>
    <cellStyle name="Input 3 5 7 7" xfId="29135" xr:uid="{A2E0FD34-3A10-4833-A156-BE4460D0A2CE}"/>
    <cellStyle name="Input 3 5 8" xfId="1795" xr:uid="{A62C696C-E6D1-47B7-AEB7-424C625260DA}"/>
    <cellStyle name="Input 3 5 8 2" xfId="10521" xr:uid="{ECD58B03-CCDD-4DD5-8C00-E0AA6D4661F4}"/>
    <cellStyle name="Input 3 5 8 2 2" xfId="29136" xr:uid="{65ABFDCD-F987-4618-9223-0D12FAAF7D68}"/>
    <cellStyle name="Input 3 5 8 2 3" xfId="29137" xr:uid="{5A399DF0-F54A-46AE-A7A8-7554C36EE6AA}"/>
    <cellStyle name="Input 3 5 8 2 4" xfId="29138" xr:uid="{F838A426-73E6-456D-816F-131D4D2A7319}"/>
    <cellStyle name="Input 3 5 8 2 5" xfId="29139" xr:uid="{FEA95D9E-9F8D-4698-B937-6B035FBB2448}"/>
    <cellStyle name="Input 3 5 8 2 6" xfId="29140" xr:uid="{9B7BF437-383F-4B84-8700-127D477E4353}"/>
    <cellStyle name="Input 3 5 8 3" xfId="29141" xr:uid="{C4FF9347-04AC-4CF4-A010-6E38BCF75963}"/>
    <cellStyle name="Input 3 5 8 4" xfId="29142" xr:uid="{3A5D8E81-47F5-4A3E-A300-961E536DE1A6}"/>
    <cellStyle name="Input 3 5 8 5" xfId="29143" xr:uid="{34EE44CF-4A5C-4C56-970F-E928961D7FBB}"/>
    <cellStyle name="Input 3 5 8 6" xfId="29144" xr:uid="{74FBB039-D0E9-495E-A154-210B7920A9DB}"/>
    <cellStyle name="Input 3 5 8 7" xfId="29145" xr:uid="{11E97695-E7E3-45E7-96A9-9C5C827D5082}"/>
    <cellStyle name="Input 3 5 9" xfId="1796" xr:uid="{D7C4A49E-D0BE-4171-A578-B80ADB3F4B50}"/>
    <cellStyle name="Input 3 5 9 2" xfId="10603" xr:uid="{7934DB6B-4661-4A8B-8CB1-E7FE8CAE315D}"/>
    <cellStyle name="Input 3 5 9 2 2" xfId="29146" xr:uid="{32AAEC28-7C32-4357-88B6-FE3256EF8BFC}"/>
    <cellStyle name="Input 3 5 9 2 3" xfId="29147" xr:uid="{AB82BA53-3D89-4865-B47A-0057702FB5C4}"/>
    <cellStyle name="Input 3 5 9 2 4" xfId="29148" xr:uid="{9C42E67A-435B-46C5-BB80-B715C28EA8A4}"/>
    <cellStyle name="Input 3 5 9 2 5" xfId="29149" xr:uid="{D4BFBB9F-01CD-4582-BB0D-96E6ADA4BC3F}"/>
    <cellStyle name="Input 3 5 9 2 6" xfId="29150" xr:uid="{439010D4-8243-4D38-ADF1-B952BDDDE977}"/>
    <cellStyle name="Input 3 5 9 3" xfId="29151" xr:uid="{526F3A19-6E2E-43EC-9B27-9F312D0A5D02}"/>
    <cellStyle name="Input 3 5 9 4" xfId="29152" xr:uid="{EFDDF23A-5DD6-4C11-8E2B-670357B32298}"/>
    <cellStyle name="Input 3 5 9 5" xfId="29153" xr:uid="{FA58C841-5B6D-4018-B5E3-70B539B74462}"/>
    <cellStyle name="Input 3 5 9 6" xfId="29154" xr:uid="{7DC71A72-272A-41FB-B3DC-BA22BEB0CACA}"/>
    <cellStyle name="Input 3 5 9 7" xfId="29155" xr:uid="{580C31CE-1CD8-44CB-97AF-7E020E2CF56D}"/>
    <cellStyle name="Input 3 6" xfId="1797" xr:uid="{86FA1511-4BC1-4635-BD07-64A669D46373}"/>
    <cellStyle name="Input 3 6 2" xfId="9960" xr:uid="{9CEB9710-8B10-4FF5-AEC8-2DB76F3B23E0}"/>
    <cellStyle name="Input 3 6 2 2" xfId="29156" xr:uid="{289A059C-D381-4721-9C0A-25C128AAA4B1}"/>
    <cellStyle name="Input 3 6 2 3" xfId="29157" xr:uid="{572B31E9-8C02-459A-9341-DAC7F9C07796}"/>
    <cellStyle name="Input 3 6 2 4" xfId="29158" xr:uid="{E3348CDE-D0DB-4989-A119-955350BDB5EF}"/>
    <cellStyle name="Input 3 6 2 5" xfId="29159" xr:uid="{47079920-5053-4FCC-A23E-A972310D091B}"/>
    <cellStyle name="Input 3 6 2 6" xfId="29160" xr:uid="{0837F694-C4E7-4026-BF06-377766D34E56}"/>
    <cellStyle name="Input 3 6 3" xfId="29161" xr:uid="{9B2ECBA2-FAF4-4C26-B07D-0F0B1CA4B48A}"/>
    <cellStyle name="Input 3 6 4" xfId="29162" xr:uid="{CE3396A9-90B8-4328-8D5C-A187C78920E8}"/>
    <cellStyle name="Input 3 6 5" xfId="29163" xr:uid="{0A1E4FCF-CF3E-4266-8EFD-87EA4C5ED276}"/>
    <cellStyle name="Input 3 6 6" xfId="29164" xr:uid="{58E4DB98-5FAA-4951-B51A-61841F635116}"/>
    <cellStyle name="Input 3 6 7" xfId="29165" xr:uid="{9F8145B8-0A40-4E5F-93B6-65606EC845FC}"/>
    <cellStyle name="Input 3 7" xfId="1798" xr:uid="{4A4F70A1-AB17-45E8-9F02-96DC7209E8AB}"/>
    <cellStyle name="Input 3 7 2" xfId="9887" xr:uid="{6EACD760-1710-4626-AF1A-68F1405982A7}"/>
    <cellStyle name="Input 3 7 2 2" xfId="29166" xr:uid="{7DB4EAD8-7F28-43E4-9655-D72F543D3F48}"/>
    <cellStyle name="Input 3 7 2 3" xfId="29167" xr:uid="{9BF66953-C7D1-49CA-A787-BC0AB80C9AC2}"/>
    <cellStyle name="Input 3 7 2 4" xfId="29168" xr:uid="{69EAC34F-BE2D-4E0F-A12B-95B2425232FD}"/>
    <cellStyle name="Input 3 7 2 5" xfId="29169" xr:uid="{4658FAD0-1245-4612-BB09-BC626FA25399}"/>
    <cellStyle name="Input 3 7 2 6" xfId="29170" xr:uid="{E332724C-38A5-46C5-913F-D4EB7D83BA81}"/>
    <cellStyle name="Input 3 7 3" xfId="29171" xr:uid="{390A7F02-6773-4DCE-BE67-A6C517224EEE}"/>
    <cellStyle name="Input 3 7 4" xfId="29172" xr:uid="{3572322D-3860-442F-B72D-2D12A4FED3E0}"/>
    <cellStyle name="Input 3 7 5" xfId="29173" xr:uid="{E907E2E5-9011-40FE-8BD9-701642693A88}"/>
    <cellStyle name="Input 3 7 6" xfId="29174" xr:uid="{27A6AC10-BE4C-482F-B1D8-83F33B1188F8}"/>
    <cellStyle name="Input 3 7 7" xfId="29175" xr:uid="{E3D5BEF9-2724-470D-A202-BC4E84850FD6}"/>
    <cellStyle name="Input 3 8" xfId="1799" xr:uid="{5C6C0C41-781D-4FE5-8F1B-69A55EE8E41A}"/>
    <cellStyle name="Input 3 8 2" xfId="9939" xr:uid="{A3A9E8A0-ED53-4B0C-84B3-713F617D0324}"/>
    <cellStyle name="Input 3 8 2 2" xfId="29176" xr:uid="{159B3BE5-49F8-44AF-B3A0-7A8271098755}"/>
    <cellStyle name="Input 3 8 2 3" xfId="29177" xr:uid="{D6F42DCE-2053-43FE-A1B1-206BA5422AD3}"/>
    <cellStyle name="Input 3 8 2 4" xfId="29178" xr:uid="{AB5A5EFE-B567-4A3F-BED1-F1E11F6A2D58}"/>
    <cellStyle name="Input 3 8 2 5" xfId="29179" xr:uid="{E1854EB8-227E-4A4C-9C5F-169909AD8A90}"/>
    <cellStyle name="Input 3 8 2 6" xfId="29180" xr:uid="{292BA827-5AD7-4E2E-97EC-7E589BF8097A}"/>
    <cellStyle name="Input 3 8 3" xfId="29181" xr:uid="{8C23C598-4171-4159-90EC-DE1A2CEC6623}"/>
    <cellStyle name="Input 3 8 4" xfId="29182" xr:uid="{4883E435-17E0-460C-A835-DD188A90AD40}"/>
    <cellStyle name="Input 3 8 5" xfId="29183" xr:uid="{6443637B-5E55-4AB2-8ED7-5C0AEE871944}"/>
    <cellStyle name="Input 3 8 6" xfId="29184" xr:uid="{6F722101-E9F9-42E8-BD09-8831F47470A3}"/>
    <cellStyle name="Input 3 8 7" xfId="29185" xr:uid="{02F1FFD1-E0EB-457E-80D6-005315D3B741}"/>
    <cellStyle name="Input 3 9" xfId="1800" xr:uid="{ACFFF6DB-7D4B-484F-9897-FBBD97A20C18}"/>
    <cellStyle name="Input 3 9 2" xfId="9963" xr:uid="{6FB9DD7A-D149-48E9-907B-249B8B60FD75}"/>
    <cellStyle name="Input 3 9 2 2" xfId="29186" xr:uid="{BF16CA3F-CB91-4962-86A1-61383876ADC5}"/>
    <cellStyle name="Input 3 9 2 3" xfId="29187" xr:uid="{8CA103E0-BBD5-41F5-9D7C-1BCFD84D4AE7}"/>
    <cellStyle name="Input 3 9 2 4" xfId="29188" xr:uid="{B41618A0-3699-409C-844F-29503E9809BB}"/>
    <cellStyle name="Input 3 9 2 5" xfId="29189" xr:uid="{BEEC237C-E152-4785-919B-BCA7067D3DF6}"/>
    <cellStyle name="Input 3 9 2 6" xfId="29190" xr:uid="{EDA9BBDC-AB21-4204-81C1-DBD93584E2E1}"/>
    <cellStyle name="Input 3 9 3" xfId="29191" xr:uid="{38A0DC6D-49BA-4CDF-8DA7-11AE936447E8}"/>
    <cellStyle name="Input 3 9 4" xfId="29192" xr:uid="{A8BA151E-FFC9-4C53-9DB8-32B63F10F599}"/>
    <cellStyle name="Input 3 9 5" xfId="29193" xr:uid="{EC3A26F9-D73E-4D19-A08F-D971F5807FD6}"/>
    <cellStyle name="Input 3 9 6" xfId="29194" xr:uid="{D44BA726-28CC-41D4-B758-463053E44616}"/>
    <cellStyle name="Input 3 9 7" xfId="29195" xr:uid="{47A07403-8826-4164-84CB-2D9B0A7E6724}"/>
    <cellStyle name="Input 30" xfId="44374" xr:uid="{2BD91AA3-10F3-4A4C-9B81-5A50EF447FD0}"/>
    <cellStyle name="Input 31" xfId="44375" xr:uid="{7889C113-99F9-4C91-AADE-B420861F85D5}"/>
    <cellStyle name="Input 32" xfId="44376" xr:uid="{519071EE-32B6-4847-950B-EE6D5AAF379C}"/>
    <cellStyle name="Input 33" xfId="44377" xr:uid="{A304CCCC-D90C-4562-ABC1-0B61C94549F2}"/>
    <cellStyle name="Input 34" xfId="44378" xr:uid="{4C4CA98B-AA19-4814-B095-FED015564864}"/>
    <cellStyle name="Input 35" xfId="44379" xr:uid="{1D5CB895-13F0-480A-9376-D0CF42338A9C}"/>
    <cellStyle name="Input 36" xfId="44380" xr:uid="{C6EA06FD-79B9-48E5-9152-CAA204C248CB}"/>
    <cellStyle name="Input 37" xfId="44381" xr:uid="{14860745-3C3E-4DA4-B20B-2543186DCA24}"/>
    <cellStyle name="Input 38" xfId="44382" xr:uid="{F488F8DE-D8E8-4C19-ACAF-8A63C7488E6D}"/>
    <cellStyle name="Input 39" xfId="44383" xr:uid="{58DA0C5F-4BE9-4648-BD77-E26742225611}"/>
    <cellStyle name="Input 4" xfId="1801" xr:uid="{86DD4C21-6A1B-40D4-BE4B-9CFDA288F7E2}"/>
    <cellStyle name="Input 4 10" xfId="1802" xr:uid="{1C90F67C-76D1-439C-AD6E-B0A83D32E53C}"/>
    <cellStyle name="Input 4 10 2" xfId="9861" xr:uid="{F6919DFD-45A9-477A-9D28-71A2AEA2CDFB}"/>
    <cellStyle name="Input 4 10 2 2" xfId="29196" xr:uid="{7ADF6D29-A2DC-4A71-B618-62E3539D0733}"/>
    <cellStyle name="Input 4 10 2 3" xfId="29197" xr:uid="{D571D257-3652-4F76-ABA4-7C1F2F785758}"/>
    <cellStyle name="Input 4 10 2 4" xfId="29198" xr:uid="{D107F544-A44A-4F3E-8D95-0E23659AF23D}"/>
    <cellStyle name="Input 4 10 2 5" xfId="29199" xr:uid="{C9D56C43-9124-4C67-9D54-68DB7D4D3339}"/>
    <cellStyle name="Input 4 10 2 6" xfId="29200" xr:uid="{2F978898-52D1-4122-8800-D34B43E94E9A}"/>
    <cellStyle name="Input 4 10 3" xfId="29201" xr:uid="{3AC0D86D-F811-48E8-9CD4-8DC1847867CF}"/>
    <cellStyle name="Input 4 10 4" xfId="29202" xr:uid="{1A8B35AA-FD1E-4098-A63F-690BB8ACA121}"/>
    <cellStyle name="Input 4 10 5" xfId="29203" xr:uid="{EA58174D-14A9-498D-9A5D-AFD92A348658}"/>
    <cellStyle name="Input 4 10 6" xfId="29204" xr:uid="{AC6A4C52-1331-4A99-A8D5-3E9F99657D12}"/>
    <cellStyle name="Input 4 10 7" xfId="29205" xr:uid="{543E6E2C-8928-4218-8146-D38109010CEA}"/>
    <cellStyle name="Input 4 11" xfId="1803" xr:uid="{89509D4A-0BDE-4838-9750-316A7C5426A6}"/>
    <cellStyle name="Input 4 11 2" xfId="9968" xr:uid="{44DF8D1E-D224-4A89-BB56-AC152BACBAB3}"/>
    <cellStyle name="Input 4 11 2 2" xfId="29206" xr:uid="{051DD62A-BE35-4BDF-B64E-FBE2FE65FCD0}"/>
    <cellStyle name="Input 4 11 2 3" xfId="29207" xr:uid="{C9A240CD-8C47-474E-9824-E9D602839FAD}"/>
    <cellStyle name="Input 4 11 2 4" xfId="29208" xr:uid="{D679C00A-9994-48A0-9D9C-79C928D047F1}"/>
    <cellStyle name="Input 4 11 2 5" xfId="29209" xr:uid="{39340C12-E9BB-411E-B3FB-484BD9A27374}"/>
    <cellStyle name="Input 4 11 2 6" xfId="29210" xr:uid="{30AD683A-8E45-4B78-8BA7-E148FB92623B}"/>
    <cellStyle name="Input 4 11 3" xfId="29211" xr:uid="{DD79761A-4917-40C9-BA17-E61C4BF92AE5}"/>
    <cellStyle name="Input 4 11 4" xfId="29212" xr:uid="{FE6D2288-C57F-4558-AC10-EED79DCE9AF1}"/>
    <cellStyle name="Input 4 11 5" xfId="29213" xr:uid="{4F072F1E-90A9-4109-9247-FD317D668831}"/>
    <cellStyle name="Input 4 11 6" xfId="29214" xr:uid="{7C8D22EB-5244-4C15-9773-66276EE13AFE}"/>
    <cellStyle name="Input 4 11 7" xfId="29215" xr:uid="{360C0F1C-E921-48F9-9BEC-3E3A4C60FD31}"/>
    <cellStyle name="Input 4 12" xfId="1804" xr:uid="{A3B0D676-A216-4B0B-8237-28E5F63A360F}"/>
    <cellStyle name="Input 4 12 2" xfId="9907" xr:uid="{3D4D952D-FDF0-4D8D-BC08-6846FEA81E31}"/>
    <cellStyle name="Input 4 12 2 2" xfId="29216" xr:uid="{00A73996-C3C2-4349-B43D-0F1367284112}"/>
    <cellStyle name="Input 4 12 2 3" xfId="29217" xr:uid="{14B4F47E-7AAA-4602-987C-5C41D60E78A5}"/>
    <cellStyle name="Input 4 12 2 4" xfId="29218" xr:uid="{DA7C477B-82A5-440D-A746-9E7FBEF90E03}"/>
    <cellStyle name="Input 4 12 2 5" xfId="29219" xr:uid="{21BF0496-5519-4E74-81B2-3B5A1272C53C}"/>
    <cellStyle name="Input 4 12 2 6" xfId="29220" xr:uid="{1DE7CA31-D0AE-494B-8447-9B5A6B7BE044}"/>
    <cellStyle name="Input 4 12 3" xfId="29221" xr:uid="{9F42600B-885B-4E66-BD0C-4033F6DF578B}"/>
    <cellStyle name="Input 4 12 4" xfId="29222" xr:uid="{AD299C84-FE81-4002-A10A-1E7888251489}"/>
    <cellStyle name="Input 4 12 5" xfId="29223" xr:uid="{7570069B-2622-45CF-A55E-ED45911BE027}"/>
    <cellStyle name="Input 4 12 6" xfId="29224" xr:uid="{B0BA4CA3-319B-412A-9225-C6B1E9C46157}"/>
    <cellStyle name="Input 4 12 7" xfId="29225" xr:uid="{CAAD75F8-9AE6-4799-B7D0-833F885BC7F0}"/>
    <cellStyle name="Input 4 13" xfId="1805" xr:uid="{12287425-79A6-4D74-847E-3D980A8E6828}"/>
    <cellStyle name="Input 4 13 2" xfId="9748" xr:uid="{D0256787-7D9F-4A34-B2F3-2AFA9B811231}"/>
    <cellStyle name="Input 4 13 2 2" xfId="29226" xr:uid="{A0F8C397-B142-4221-9EA8-51E10746CB9F}"/>
    <cellStyle name="Input 4 13 2 3" xfId="29227" xr:uid="{F288AE3A-8900-4501-B3AC-9A6039993D9A}"/>
    <cellStyle name="Input 4 13 2 4" xfId="29228" xr:uid="{BC610BC1-E818-43E9-8301-1E1DCEDDF455}"/>
    <cellStyle name="Input 4 13 2 5" xfId="29229" xr:uid="{C47E79F7-1BA1-4CBE-9748-4011E5ACC1D8}"/>
    <cellStyle name="Input 4 13 2 6" xfId="29230" xr:uid="{C2CFD0CE-C3CE-4E47-B24E-1477F0FAA2D7}"/>
    <cellStyle name="Input 4 13 3" xfId="29231" xr:uid="{FDC22880-55AF-4F24-B30E-DBAB30EDA1CC}"/>
    <cellStyle name="Input 4 13 4" xfId="29232" xr:uid="{48B60570-B3B5-4042-B432-A80845BBA68C}"/>
    <cellStyle name="Input 4 13 5" xfId="29233" xr:uid="{9DC5AD4A-DBD3-41D8-A7E0-93E71B3BD1AB}"/>
    <cellStyle name="Input 4 13 6" xfId="29234" xr:uid="{F025E2A9-E894-4414-9935-D0BD159274E7}"/>
    <cellStyle name="Input 4 13 7" xfId="29235" xr:uid="{86BBAB98-3B26-49B6-AF72-C69D0AECE55E}"/>
    <cellStyle name="Input 4 14" xfId="1806" xr:uid="{CC5DDD5B-D0DC-4851-B283-EA2B86925CED}"/>
    <cellStyle name="Input 4 14 2" xfId="9858" xr:uid="{2A66DE2C-F1BF-42A0-B408-D5205CFCDC9F}"/>
    <cellStyle name="Input 4 14 2 2" xfId="29236" xr:uid="{F1E4B554-67ED-4651-8281-4145C28BFEFF}"/>
    <cellStyle name="Input 4 14 2 3" xfId="29237" xr:uid="{6032C706-B39C-4CA7-82C1-130A850EBD5A}"/>
    <cellStyle name="Input 4 14 2 4" xfId="29238" xr:uid="{C13C8CBE-4CBD-409B-AA03-C699BE1E00FD}"/>
    <cellStyle name="Input 4 14 2 5" xfId="29239" xr:uid="{94B50520-BDB0-4A55-8F31-AA35525D8623}"/>
    <cellStyle name="Input 4 14 2 6" xfId="29240" xr:uid="{2FBD2AA8-698E-48F2-BB2E-C39E91A5A41B}"/>
    <cellStyle name="Input 4 14 3" xfId="29241" xr:uid="{3B7AF0BB-CB68-41C5-B38B-17633F3D8E4E}"/>
    <cellStyle name="Input 4 14 4" xfId="29242" xr:uid="{FD770D3A-F7EA-47D5-B385-2412AA8A2437}"/>
    <cellStyle name="Input 4 14 5" xfId="29243" xr:uid="{812832A0-6C98-4AC5-953D-427A22E5129D}"/>
    <cellStyle name="Input 4 14 6" xfId="29244" xr:uid="{387E93AD-96CC-46B6-97D5-7C0EF633A1B3}"/>
    <cellStyle name="Input 4 14 7" xfId="29245" xr:uid="{C5AFB637-BC1E-41CB-9B04-CA87BC8F7F77}"/>
    <cellStyle name="Input 4 15" xfId="1807" xr:uid="{4CC83216-6C2A-4F4D-988C-DA5A40D4B587}"/>
    <cellStyle name="Input 4 15 2" xfId="10427" xr:uid="{E015DE09-1B3D-4E9B-B105-AF20469787C0}"/>
    <cellStyle name="Input 4 15 2 2" xfId="29246" xr:uid="{B372D218-DA44-4580-A180-B6DC5F520919}"/>
    <cellStyle name="Input 4 15 2 3" xfId="29247" xr:uid="{D240411A-F580-415A-81DC-4D101A6FC1DD}"/>
    <cellStyle name="Input 4 15 2 4" xfId="29248" xr:uid="{9419297D-5F3F-4340-999D-9A50C369274E}"/>
    <cellStyle name="Input 4 15 2 5" xfId="29249" xr:uid="{9DCAE2F9-E739-4F4C-B370-521BFC0D3BC9}"/>
    <cellStyle name="Input 4 15 2 6" xfId="29250" xr:uid="{576AD5D5-8E64-4310-9182-D543A2EB4107}"/>
    <cellStyle name="Input 4 15 3" xfId="29251" xr:uid="{E7D40F65-6C49-4877-A97F-31644A6485F7}"/>
    <cellStyle name="Input 4 15 4" xfId="29252" xr:uid="{F7FFBB45-07B5-48FE-A006-3437DAD3918E}"/>
    <cellStyle name="Input 4 15 5" xfId="29253" xr:uid="{8710969E-E3D5-42F8-8DAA-815BF03E0A64}"/>
    <cellStyle name="Input 4 15 6" xfId="29254" xr:uid="{910E119E-EC07-4A93-8D6B-CD500FE67C3A}"/>
    <cellStyle name="Input 4 15 7" xfId="29255" xr:uid="{4D7332D4-66FC-4FDF-BDF2-536D78B3856C}"/>
    <cellStyle name="Input 4 16" xfId="1808" xr:uid="{64BC9744-BBAC-40AE-AE4A-1D724CD605A3}"/>
    <cellStyle name="Input 4 16 2" xfId="10250" xr:uid="{590F9DE0-A1F6-46D1-B54C-532A5D2845FC}"/>
    <cellStyle name="Input 4 16 2 2" xfId="29256" xr:uid="{50D4E50D-3055-4B63-B522-348F3F038991}"/>
    <cellStyle name="Input 4 16 2 3" xfId="29257" xr:uid="{1AD1586E-201A-4371-B117-D3538022F924}"/>
    <cellStyle name="Input 4 16 2 4" xfId="29258" xr:uid="{33313545-E120-415B-B94C-45FBCC3AADCD}"/>
    <cellStyle name="Input 4 16 2 5" xfId="29259" xr:uid="{ABD2F9D9-8025-47F7-80D6-FD74AC3D67E8}"/>
    <cellStyle name="Input 4 16 2 6" xfId="29260" xr:uid="{B003C2CA-4334-4C4F-B1E9-E9B430D2E0E5}"/>
    <cellStyle name="Input 4 16 3" xfId="29261" xr:uid="{57A5D0E6-54E7-4D1E-92E1-39CCDFE20E10}"/>
    <cellStyle name="Input 4 16 4" xfId="29262" xr:uid="{A4446ECA-E9F2-44D1-9B6E-F53FD904B076}"/>
    <cellStyle name="Input 4 16 5" xfId="29263" xr:uid="{A23008C1-EA44-46EC-B036-6908A7444BC5}"/>
    <cellStyle name="Input 4 16 6" xfId="29264" xr:uid="{4D9907EA-6AFD-494F-9CA0-5107C24309D4}"/>
    <cellStyle name="Input 4 16 7" xfId="29265" xr:uid="{2B3B9DB7-D6EC-437C-9E47-E0C5A6B2BEED}"/>
    <cellStyle name="Input 4 17" xfId="1809" xr:uid="{013330AE-5E6D-42A8-8E9B-2253A2BF47DF}"/>
    <cellStyle name="Input 4 17 2" xfId="10168" xr:uid="{8C65C81C-E9C5-4D31-98EF-BAAF96F1CBBC}"/>
    <cellStyle name="Input 4 17 2 2" xfId="29266" xr:uid="{25351A5B-30D1-4C15-98D9-952F02AF0EFE}"/>
    <cellStyle name="Input 4 17 2 3" xfId="29267" xr:uid="{64E57388-7E70-41F9-A370-2BFDD502DE9D}"/>
    <cellStyle name="Input 4 17 2 4" xfId="29268" xr:uid="{6D580953-6027-4055-9178-EAB74C4D8203}"/>
    <cellStyle name="Input 4 17 2 5" xfId="29269" xr:uid="{BBF89825-80B2-4625-A3CC-648F02BA023E}"/>
    <cellStyle name="Input 4 17 2 6" xfId="29270" xr:uid="{BC1F2158-E585-434B-B783-002626C2638F}"/>
    <cellStyle name="Input 4 17 3" xfId="29271" xr:uid="{99BB524F-A25F-4188-894F-6C532E893643}"/>
    <cellStyle name="Input 4 17 4" xfId="29272" xr:uid="{822DB76C-1152-4910-AB9D-EA7125D67C6A}"/>
    <cellStyle name="Input 4 17 5" xfId="29273" xr:uid="{238E1E73-4D1E-4D0A-858E-6DF00AEE4EC1}"/>
    <cellStyle name="Input 4 17 6" xfId="29274" xr:uid="{8AC29845-F6CB-46CF-9058-D3CE1C1DE106}"/>
    <cellStyle name="Input 4 17 7" xfId="29275" xr:uid="{D3E31FDF-6322-42AC-AB90-87C33B050F1B}"/>
    <cellStyle name="Input 4 18" xfId="1810" xr:uid="{B8BCA6DF-E093-4DFD-8294-7BD8F1FE798E}"/>
    <cellStyle name="Input 4 18 2" xfId="9732" xr:uid="{C8879F12-068F-4517-A742-E3075E977B89}"/>
    <cellStyle name="Input 4 18 2 2" xfId="29276" xr:uid="{BE75CAA2-BEDA-4D9E-9E11-EF558A21804A}"/>
    <cellStyle name="Input 4 18 2 3" xfId="29277" xr:uid="{BF8E3986-53BA-43E1-A7A0-9A56A57D8930}"/>
    <cellStyle name="Input 4 18 2 4" xfId="29278" xr:uid="{0572B57D-4B66-4295-9ED6-BB7E751F126D}"/>
    <cellStyle name="Input 4 18 2 5" xfId="29279" xr:uid="{627B7307-2081-49BC-AD24-B2C0CED909E6}"/>
    <cellStyle name="Input 4 18 2 6" xfId="29280" xr:uid="{63E3D9DC-4EE5-43C5-9F70-A4023356DF9B}"/>
    <cellStyle name="Input 4 18 3" xfId="29281" xr:uid="{DAF61BD3-993C-488A-AA5E-6F57FD7712FB}"/>
    <cellStyle name="Input 4 18 4" xfId="29282" xr:uid="{C1249817-064F-4533-B15E-66255EA428CE}"/>
    <cellStyle name="Input 4 18 5" xfId="29283" xr:uid="{DB75F42D-FE32-43B6-9086-1C809EF01B7F}"/>
    <cellStyle name="Input 4 18 6" xfId="29284" xr:uid="{D5F7407F-C615-45CE-89E0-9FFF4FCB6E89}"/>
    <cellStyle name="Input 4 18 7" xfId="29285" xr:uid="{75E5EA9A-760B-4E56-B6C3-00BD05A0722B}"/>
    <cellStyle name="Input 4 19" xfId="1811" xr:uid="{3E5D80E5-6EBF-471C-945D-FC1376C2ECD6}"/>
    <cellStyle name="Input 4 19 2" xfId="9868" xr:uid="{3DC50661-3445-4053-BCF9-34A8DEF80701}"/>
    <cellStyle name="Input 4 19 2 2" xfId="29286" xr:uid="{9E54EACB-01B3-4D6F-84DA-9B94F6B425AE}"/>
    <cellStyle name="Input 4 19 2 3" xfId="29287" xr:uid="{61F3467C-704F-4776-AB28-7CDD4DCC8C83}"/>
    <cellStyle name="Input 4 19 2 4" xfId="29288" xr:uid="{FEF03F61-4603-4394-801E-B006F3AFECAE}"/>
    <cellStyle name="Input 4 19 2 5" xfId="29289" xr:uid="{74D951EA-455C-422B-A6DA-50B983EBEBF9}"/>
    <cellStyle name="Input 4 19 2 6" xfId="29290" xr:uid="{F2C6B4FD-AB68-4AB0-913E-D265F4028EEF}"/>
    <cellStyle name="Input 4 19 3" xfId="29291" xr:uid="{2B85A5B3-6E82-4FAC-8AF5-EC499341B91B}"/>
    <cellStyle name="Input 4 19 4" xfId="29292" xr:uid="{2DC60A0E-2A8D-4BAE-83EA-95868D9FF3F2}"/>
    <cellStyle name="Input 4 19 5" xfId="29293" xr:uid="{9608343F-C031-4B18-A49D-E723EBAB293A}"/>
    <cellStyle name="Input 4 19 6" xfId="29294" xr:uid="{596C9657-EB98-44ED-9ADA-D6B8E688DFF6}"/>
    <cellStyle name="Input 4 19 7" xfId="29295" xr:uid="{8E099882-FF7F-49A7-9B38-60F9F7984B99}"/>
    <cellStyle name="Input 4 2" xfId="1812" xr:uid="{B2114465-B987-415A-8932-D20FED7CC475}"/>
    <cellStyle name="Input 4 2 10" xfId="1813" xr:uid="{2685DF04-B019-40DA-959C-AF54F165C3A1}"/>
    <cellStyle name="Input 4 2 10 2" xfId="10644" xr:uid="{926B7E56-1E84-4C35-81CA-76BD734FA11C}"/>
    <cellStyle name="Input 4 2 10 2 2" xfId="29296" xr:uid="{EED93859-E63F-4DCD-ACE0-11A27D631D38}"/>
    <cellStyle name="Input 4 2 10 2 3" xfId="29297" xr:uid="{6EA90B0A-5C00-4A38-9C77-FFD63A0C8D21}"/>
    <cellStyle name="Input 4 2 10 2 4" xfId="29298" xr:uid="{6BAA859C-E955-4C60-B82B-298A804F105E}"/>
    <cellStyle name="Input 4 2 10 2 5" xfId="29299" xr:uid="{9386F536-47BE-4410-9E00-ECB4DB6F38F6}"/>
    <cellStyle name="Input 4 2 10 2 6" xfId="29300" xr:uid="{F9DEFCD6-D396-45CF-A511-E04C8DFA160E}"/>
    <cellStyle name="Input 4 2 10 3" xfId="29301" xr:uid="{5F7D4A0B-E57A-40F3-8CAC-F2422DAED840}"/>
    <cellStyle name="Input 4 2 10 4" xfId="29302" xr:uid="{70370533-4DD1-41C7-B4EE-22A1CF6A22C7}"/>
    <cellStyle name="Input 4 2 10 5" xfId="29303" xr:uid="{57FD091F-0571-4FDE-8268-DE9162695FFD}"/>
    <cellStyle name="Input 4 2 10 6" xfId="29304" xr:uid="{46544E13-DFD1-4086-9895-007A8CFAF68E}"/>
    <cellStyle name="Input 4 2 10 7" xfId="29305" xr:uid="{F8DE3E57-5984-4FEE-89C8-D87A27C9036A}"/>
    <cellStyle name="Input 4 2 11" xfId="1814" xr:uid="{60ED2D65-4844-4D16-B89F-50205609E89B}"/>
    <cellStyle name="Input 4 2 11 2" xfId="10735" xr:uid="{6AE5C483-5D11-4269-9B36-29313346D660}"/>
    <cellStyle name="Input 4 2 11 2 2" xfId="29306" xr:uid="{BB877375-78DE-45AE-AF86-C0CCDAD74D0A}"/>
    <cellStyle name="Input 4 2 11 2 3" xfId="29307" xr:uid="{D08DA14F-5502-4A67-AB64-189F9A1B3959}"/>
    <cellStyle name="Input 4 2 11 2 4" xfId="29308" xr:uid="{1C9926A3-866C-4F09-9B62-93047FB776D8}"/>
    <cellStyle name="Input 4 2 11 2 5" xfId="29309" xr:uid="{BD9A0C0A-860E-472B-9CC9-15EE46F0F546}"/>
    <cellStyle name="Input 4 2 11 2 6" xfId="29310" xr:uid="{2510D32C-4C70-4782-B4FA-3A54247122E6}"/>
    <cellStyle name="Input 4 2 11 3" xfId="29311" xr:uid="{4F85B003-EFA6-46E8-B7F5-9FCD40DA84BD}"/>
    <cellStyle name="Input 4 2 11 4" xfId="29312" xr:uid="{1A8BBDBE-3FE2-4CFC-B288-14721964C722}"/>
    <cellStyle name="Input 4 2 11 5" xfId="29313" xr:uid="{AE1DF288-44E1-4C62-A09E-14655A48ADF0}"/>
    <cellStyle name="Input 4 2 11 6" xfId="29314" xr:uid="{04B9F856-3A4F-4A2B-98F9-4FB9DBDC4E18}"/>
    <cellStyle name="Input 4 2 11 7" xfId="29315" xr:uid="{1F0EAE7E-5FD2-40AC-A39D-708CECE4B9CD}"/>
    <cellStyle name="Input 4 2 12" xfId="1815" xr:uid="{72F22B6B-7D2D-4E98-A7BE-D0228B3D7F98}"/>
    <cellStyle name="Input 4 2 12 2" xfId="10823" xr:uid="{A1E9CEEE-7B23-4599-9722-8689AB5C92A2}"/>
    <cellStyle name="Input 4 2 12 2 2" xfId="29316" xr:uid="{471C5A9C-09B0-4C60-9336-93DA4102D1CF}"/>
    <cellStyle name="Input 4 2 12 2 3" xfId="29317" xr:uid="{C9617981-4E52-4B23-9BD2-27F87D87EB3D}"/>
    <cellStyle name="Input 4 2 12 2 4" xfId="29318" xr:uid="{1FC424CD-5626-4B07-B51F-45D8F061D7D5}"/>
    <cellStyle name="Input 4 2 12 2 5" xfId="29319" xr:uid="{650A486B-CF42-4739-8ECA-BFF45A07AA52}"/>
    <cellStyle name="Input 4 2 12 2 6" xfId="29320" xr:uid="{32A29271-4CB0-493F-9DD4-65B455C257B2}"/>
    <cellStyle name="Input 4 2 12 3" xfId="29321" xr:uid="{A2EA455B-4CC5-43BF-8715-D5D93F9FB6E3}"/>
    <cellStyle name="Input 4 2 12 4" xfId="29322" xr:uid="{E0ED7531-7D37-4BC2-A88C-C2F876011257}"/>
    <cellStyle name="Input 4 2 12 5" xfId="29323" xr:uid="{E4D16CC7-8C46-43C4-B06C-921023363E57}"/>
    <cellStyle name="Input 4 2 12 6" xfId="29324" xr:uid="{2DF9ADB4-E5E3-4970-AA52-4977B7C4152A}"/>
    <cellStyle name="Input 4 2 12 7" xfId="29325" xr:uid="{F80795C0-0C18-4AC9-813A-7CCF18EAA8A2}"/>
    <cellStyle name="Input 4 2 13" xfId="1816" xr:uid="{9A5D5F68-121F-4BD7-BE76-A9DFC0CBAA23}"/>
    <cellStyle name="Input 4 2 13 2" xfId="10912" xr:uid="{4D1D0D3B-61F9-4B4B-84F6-5C6138A52A33}"/>
    <cellStyle name="Input 4 2 13 2 2" xfId="29326" xr:uid="{8A5CD562-8DB6-4F7C-B1D7-A47F81705998}"/>
    <cellStyle name="Input 4 2 13 2 3" xfId="29327" xr:uid="{FE7899A9-92C8-4BC8-91E8-5C113E02B84C}"/>
    <cellStyle name="Input 4 2 13 2 4" xfId="29328" xr:uid="{9AF21F17-6CBE-43A5-BCD1-04FEB9E29D2F}"/>
    <cellStyle name="Input 4 2 13 2 5" xfId="29329" xr:uid="{0AA61468-968E-4F95-AFB1-75AE9469E4D8}"/>
    <cellStyle name="Input 4 2 13 2 6" xfId="29330" xr:uid="{CBCEA0EE-394D-4386-88E5-60F07D082C41}"/>
    <cellStyle name="Input 4 2 13 3" xfId="29331" xr:uid="{06B630AB-9FB2-4951-A749-807AD6528463}"/>
    <cellStyle name="Input 4 2 13 4" xfId="29332" xr:uid="{F72BDF2E-B7FC-492B-AAAE-EA24A0376053}"/>
    <cellStyle name="Input 4 2 13 5" xfId="29333" xr:uid="{6E7C1E19-1D82-4382-B233-DFAF811BFFB0}"/>
    <cellStyle name="Input 4 2 13 6" xfId="29334" xr:uid="{109EFDEF-5AC9-4023-A92C-863475D30040}"/>
    <cellStyle name="Input 4 2 13 7" xfId="29335" xr:uid="{C612F17B-011D-407E-888E-48DB292629CB}"/>
    <cellStyle name="Input 4 2 14" xfId="1817" xr:uid="{1B3E7991-7289-49BD-9DF8-1B64B85855AA}"/>
    <cellStyle name="Input 4 2 14 2" xfId="11002" xr:uid="{3C152BBD-05E5-4F5D-B0E4-052928E32CC3}"/>
    <cellStyle name="Input 4 2 14 2 2" xfId="29336" xr:uid="{CB45BD9D-5C6F-4F80-9BF2-1F4F0E63138D}"/>
    <cellStyle name="Input 4 2 14 2 3" xfId="29337" xr:uid="{01F96CF9-6359-40A6-B25A-504B37659736}"/>
    <cellStyle name="Input 4 2 14 2 4" xfId="29338" xr:uid="{60425236-0C7D-465C-A8FF-013375B1F610}"/>
    <cellStyle name="Input 4 2 14 2 5" xfId="29339" xr:uid="{BAA002A9-E3C8-4B08-8955-36AD91105A4F}"/>
    <cellStyle name="Input 4 2 14 2 6" xfId="29340" xr:uid="{9A254FEF-2003-48A3-A787-D89CDFC63565}"/>
    <cellStyle name="Input 4 2 14 3" xfId="29341" xr:uid="{644354C6-3CC9-4E3C-8BEC-379174E2FE8E}"/>
    <cellStyle name="Input 4 2 14 4" xfId="29342" xr:uid="{AB57C9E7-E1CF-422B-A042-796AE5F7B498}"/>
    <cellStyle name="Input 4 2 14 5" xfId="29343" xr:uid="{8A171699-7A41-4F73-82AE-557DD4576DC1}"/>
    <cellStyle name="Input 4 2 14 6" xfId="29344" xr:uid="{932AA0D2-5CB1-4493-9072-C223A185418D}"/>
    <cellStyle name="Input 4 2 14 7" xfId="29345" xr:uid="{E26ED089-BC04-4040-B564-6DA9EB9D437E}"/>
    <cellStyle name="Input 4 2 15" xfId="1818" xr:uid="{50180D46-E3D4-479A-91C0-B5FEDC8F2F8D}"/>
    <cellStyle name="Input 4 2 15 2" xfId="11092" xr:uid="{AC11654C-1093-408B-8AB5-858D613DABF3}"/>
    <cellStyle name="Input 4 2 15 2 2" xfId="29346" xr:uid="{5C337FF1-9517-4AD0-85ED-B3B996A57C8F}"/>
    <cellStyle name="Input 4 2 15 2 3" xfId="29347" xr:uid="{2B9E247C-5C71-4479-A4A5-08568A061D5D}"/>
    <cellStyle name="Input 4 2 15 2 4" xfId="29348" xr:uid="{34416557-663B-4706-B2FD-36F7FA65C026}"/>
    <cellStyle name="Input 4 2 15 2 5" xfId="29349" xr:uid="{73EC6D80-4D6F-44B2-9D6C-961437EAEEE8}"/>
    <cellStyle name="Input 4 2 15 2 6" xfId="29350" xr:uid="{0F3FC2FF-1B6C-4792-A1AF-98C982840904}"/>
    <cellStyle name="Input 4 2 15 3" xfId="29351" xr:uid="{B9551A76-03BF-42EB-AEB6-54FE938D2B64}"/>
    <cellStyle name="Input 4 2 15 4" xfId="29352" xr:uid="{FBE3714B-DCEE-4CEC-83F1-0681A3485C30}"/>
    <cellStyle name="Input 4 2 15 5" xfId="29353" xr:uid="{20C387D2-045E-4B62-86CC-53DA6B460D84}"/>
    <cellStyle name="Input 4 2 15 6" xfId="29354" xr:uid="{FFFF5736-2C92-4ED6-9CCE-34BCEB2F4AC0}"/>
    <cellStyle name="Input 4 2 15 7" xfId="29355" xr:uid="{A925B5D7-4DF3-42C7-8A8C-1DB301596B4B}"/>
    <cellStyle name="Input 4 2 16" xfId="1819" xr:uid="{EC59041F-28E8-4A26-9486-F5CFA1DA0895}"/>
    <cellStyle name="Input 4 2 16 2" xfId="11175" xr:uid="{AE605B77-C28D-4C0E-A942-A3555DE1F1C9}"/>
    <cellStyle name="Input 4 2 16 2 2" xfId="29356" xr:uid="{DEA571D9-720E-444F-8CA9-4201081EE7D7}"/>
    <cellStyle name="Input 4 2 16 2 3" xfId="29357" xr:uid="{C4A97360-E0C2-4C67-925C-1EEE26CC73D9}"/>
    <cellStyle name="Input 4 2 16 2 4" xfId="29358" xr:uid="{CCEF6F1C-1EC5-4812-BC8B-7713195EEEDF}"/>
    <cellStyle name="Input 4 2 16 2 5" xfId="29359" xr:uid="{A3445C31-6B7D-4EFF-954F-5C76823DDB9E}"/>
    <cellStyle name="Input 4 2 16 2 6" xfId="29360" xr:uid="{6792B8FB-51C4-48EA-ABD0-761A54A40C64}"/>
    <cellStyle name="Input 4 2 16 3" xfId="29361" xr:uid="{ED0EB1EF-A725-4FEC-8E9A-8D1BAB978E53}"/>
    <cellStyle name="Input 4 2 16 4" xfId="29362" xr:uid="{2632206E-945E-4DB7-A0AF-03D75AB55255}"/>
    <cellStyle name="Input 4 2 16 5" xfId="29363" xr:uid="{3EE30738-1CDD-458D-979F-D4C3A3963F31}"/>
    <cellStyle name="Input 4 2 16 6" xfId="29364" xr:uid="{8E797D42-A96C-4B86-84BB-FFCBE2D33641}"/>
    <cellStyle name="Input 4 2 16 7" xfId="29365" xr:uid="{56723763-86CD-4BCC-9A4A-835E4A6BC1F1}"/>
    <cellStyle name="Input 4 2 17" xfId="1820" xr:uid="{329067B1-B021-43FA-848A-2FCBBE02A824}"/>
    <cellStyle name="Input 4 2 17 2" xfId="11265" xr:uid="{714581E1-4FAD-4DF1-AF99-CED02F2C859C}"/>
    <cellStyle name="Input 4 2 17 2 2" xfId="29366" xr:uid="{3AA1D96B-11EF-443C-8EE8-4829722C87AA}"/>
    <cellStyle name="Input 4 2 17 2 3" xfId="29367" xr:uid="{3787721F-AD76-4774-83D3-0E0152B388EB}"/>
    <cellStyle name="Input 4 2 17 2 4" xfId="29368" xr:uid="{3859FD78-F672-41CA-93F6-2AB87812E894}"/>
    <cellStyle name="Input 4 2 17 2 5" xfId="29369" xr:uid="{55865DDC-C7D4-4FEE-A525-56D9B2A0363B}"/>
    <cellStyle name="Input 4 2 17 2 6" xfId="29370" xr:uid="{4C7C0FC4-0FB9-4630-BA8F-F28516D22FC5}"/>
    <cellStyle name="Input 4 2 17 3" xfId="29371" xr:uid="{5D25305F-2923-4EF3-97DD-D97A434D7A65}"/>
    <cellStyle name="Input 4 2 17 4" xfId="29372" xr:uid="{8183C567-ADF4-4C92-BDE8-F7BD89F26D80}"/>
    <cellStyle name="Input 4 2 17 5" xfId="29373" xr:uid="{AF901EA5-50E5-43BF-95ED-52B8A33BF6E4}"/>
    <cellStyle name="Input 4 2 17 6" xfId="29374" xr:uid="{4949C32A-7331-4B1F-BA5C-C59C7D52A363}"/>
    <cellStyle name="Input 4 2 17 7" xfId="29375" xr:uid="{9E0A6231-D0CD-4129-9FE7-3FC81F30C4CB}"/>
    <cellStyle name="Input 4 2 18" xfId="1821" xr:uid="{BAB374AB-5155-4565-AE56-8CD8FB71B36F}"/>
    <cellStyle name="Input 4 2 18 2" xfId="11351" xr:uid="{5C877A1A-4C7C-4334-B64C-A0D6525EB43E}"/>
    <cellStyle name="Input 4 2 18 2 2" xfId="29376" xr:uid="{B23F58F9-4AE5-4AE6-A2DC-D19E2E3734FD}"/>
    <cellStyle name="Input 4 2 18 2 3" xfId="29377" xr:uid="{92F5E87D-00E4-41CA-8BFD-18B5D858A40A}"/>
    <cellStyle name="Input 4 2 18 2 4" xfId="29378" xr:uid="{15892749-E788-4679-99F5-1F5DAD3AB416}"/>
    <cellStyle name="Input 4 2 18 2 5" xfId="29379" xr:uid="{0E9A21FB-DF2F-4A60-8113-BDD10109FDC9}"/>
    <cellStyle name="Input 4 2 18 2 6" xfId="29380" xr:uid="{A6B1E6F4-6B10-49BB-A6CF-41FE6018B90A}"/>
    <cellStyle name="Input 4 2 18 3" xfId="29381" xr:uid="{D2E46184-0C11-4D55-90C8-3BB803AF7AE1}"/>
    <cellStyle name="Input 4 2 18 4" xfId="29382" xr:uid="{0FDE549C-8050-40D4-A8E0-CC266BB0C210}"/>
    <cellStyle name="Input 4 2 18 5" xfId="29383" xr:uid="{5E0E1163-E6A5-44E2-B4F0-234BEF964E13}"/>
    <cellStyle name="Input 4 2 18 6" xfId="29384" xr:uid="{1D5A030C-7DBC-4FB1-AAB2-09F2FD3447F2}"/>
    <cellStyle name="Input 4 2 18 7" xfId="29385" xr:uid="{11C0A2C2-0E01-4080-AF55-30D337D8A832}"/>
    <cellStyle name="Input 4 2 19" xfId="1822" xr:uid="{764E565E-B7ED-48FC-A52C-43A7E47736B4}"/>
    <cellStyle name="Input 4 2 19 2" xfId="11438" xr:uid="{BD033721-90B6-4A3C-AF68-6110DBDA8742}"/>
    <cellStyle name="Input 4 2 19 2 2" xfId="29386" xr:uid="{77E53201-7A4B-4F59-9B41-A55A20F58E32}"/>
    <cellStyle name="Input 4 2 19 2 3" xfId="29387" xr:uid="{07A25B3E-6714-451D-9967-7B1963B5417F}"/>
    <cellStyle name="Input 4 2 19 2 4" xfId="29388" xr:uid="{89EF5C0E-686E-4784-B993-E2132FCA3241}"/>
    <cellStyle name="Input 4 2 19 2 5" xfId="29389" xr:uid="{679DB4AB-4E34-4BA5-B944-34DA2155F8D1}"/>
    <cellStyle name="Input 4 2 19 2 6" xfId="29390" xr:uid="{E80A0F62-5F2D-41C3-B0E2-3FEA43AEC0FD}"/>
    <cellStyle name="Input 4 2 19 3" xfId="29391" xr:uid="{DA702D4B-5660-48C5-8FD4-A74BD82A8172}"/>
    <cellStyle name="Input 4 2 19 4" xfId="29392" xr:uid="{8937A9FA-F444-4BD0-8619-965EA09BF6BD}"/>
    <cellStyle name="Input 4 2 19 5" xfId="29393" xr:uid="{26ED9922-C6CA-4A1D-8640-5B3DBEA20201}"/>
    <cellStyle name="Input 4 2 19 6" xfId="29394" xr:uid="{60081E12-C76B-458D-9B61-6A677F4FEC4A}"/>
    <cellStyle name="Input 4 2 19 7" xfId="29395" xr:uid="{ABB971BF-D87A-4336-B3F2-4C119787AC5F}"/>
    <cellStyle name="Input 4 2 2" xfId="1823" xr:uid="{0B1CBB93-70CC-489D-88FF-5F14538A44B5}"/>
    <cellStyle name="Input 4 2 2 10" xfId="1824" xr:uid="{73508276-34C1-4050-B880-D659F4E1F2DD}"/>
    <cellStyle name="Input 4 2 2 10 2" xfId="10768" xr:uid="{4ADB9C3C-33A7-439B-B67B-794F4B678AF1}"/>
    <cellStyle name="Input 4 2 2 10 2 2" xfId="29396" xr:uid="{328D05A4-14DD-432E-A904-B7633B39CF92}"/>
    <cellStyle name="Input 4 2 2 10 2 3" xfId="29397" xr:uid="{3AD1893B-9047-446F-B099-213A04F6883F}"/>
    <cellStyle name="Input 4 2 2 10 2 4" xfId="29398" xr:uid="{0ADB2343-9C66-4600-813D-EFF492FA20F0}"/>
    <cellStyle name="Input 4 2 2 10 2 5" xfId="29399" xr:uid="{299E757E-C330-48D9-994A-C8987D1360BE}"/>
    <cellStyle name="Input 4 2 2 10 2 6" xfId="29400" xr:uid="{A02FDE9B-AC51-42F1-835D-F3AAC802A582}"/>
    <cellStyle name="Input 4 2 2 10 3" xfId="29401" xr:uid="{A9B496F9-3C6E-463D-8FFE-C96BFFA1BE8B}"/>
    <cellStyle name="Input 4 2 2 10 4" xfId="29402" xr:uid="{9948C62D-EA6D-420E-8AEC-3BA1257CF412}"/>
    <cellStyle name="Input 4 2 2 10 5" xfId="29403" xr:uid="{5C3D1936-AF90-40E8-A3FB-B02A4169A3DA}"/>
    <cellStyle name="Input 4 2 2 10 6" xfId="29404" xr:uid="{947B07E5-2C43-44A3-AF4D-AE2156B16A2B}"/>
    <cellStyle name="Input 4 2 2 10 7" xfId="29405" xr:uid="{8EBB70F8-6161-4C40-A076-F0713AC5A30E}"/>
    <cellStyle name="Input 4 2 2 11" xfId="1825" xr:uid="{F87C61B9-92EB-42CD-9C6F-7840D78CBB48}"/>
    <cellStyle name="Input 4 2 2 11 2" xfId="10856" xr:uid="{485B1B89-940A-4AFE-B16F-5CF4E45E3B69}"/>
    <cellStyle name="Input 4 2 2 11 2 2" xfId="29406" xr:uid="{0F3A3D49-A5F6-4F91-9F75-CF537456D5F9}"/>
    <cellStyle name="Input 4 2 2 11 2 3" xfId="29407" xr:uid="{DCFAA7B8-084F-4270-BFC6-ECE3E47BC67C}"/>
    <cellStyle name="Input 4 2 2 11 2 4" xfId="29408" xr:uid="{C960D401-0FD9-4D13-8FF6-DE164F871211}"/>
    <cellStyle name="Input 4 2 2 11 2 5" xfId="29409" xr:uid="{D658D76A-3FA2-43D6-A6E5-4E881D7C7098}"/>
    <cellStyle name="Input 4 2 2 11 2 6" xfId="29410" xr:uid="{53442336-639D-4A8B-B010-0426F4964ED2}"/>
    <cellStyle name="Input 4 2 2 11 3" xfId="29411" xr:uid="{ABD165B3-0AF9-4297-BCCE-CF7883541E1F}"/>
    <cellStyle name="Input 4 2 2 11 4" xfId="29412" xr:uid="{5FCB8EEC-BA16-44E7-8A29-793CD006B080}"/>
    <cellStyle name="Input 4 2 2 11 5" xfId="29413" xr:uid="{0744CBAC-F536-401F-BB03-71AEE4CBE576}"/>
    <cellStyle name="Input 4 2 2 11 6" xfId="29414" xr:uid="{A7DB57B7-28B3-4D81-8D60-F1C51AEFFDD0}"/>
    <cellStyle name="Input 4 2 2 11 7" xfId="29415" xr:uid="{D498A19D-5F48-4A37-9818-93B20BB03350}"/>
    <cellStyle name="Input 4 2 2 12" xfId="1826" xr:uid="{3071B9B8-B79B-42EE-AAE9-1DF7262763A5}"/>
    <cellStyle name="Input 4 2 2 12 2" xfId="10945" xr:uid="{088B3A21-A2D1-4D66-A29A-29F3B4D14683}"/>
    <cellStyle name="Input 4 2 2 12 2 2" xfId="29416" xr:uid="{FFDDAE6F-8B17-47EF-857D-FBD4ECD9D8E7}"/>
    <cellStyle name="Input 4 2 2 12 2 3" xfId="29417" xr:uid="{F63B2B06-AF9F-444F-BDB4-E1FE1DE5D689}"/>
    <cellStyle name="Input 4 2 2 12 2 4" xfId="29418" xr:uid="{A4116B47-CEAE-465D-920D-1C22CAA3AD84}"/>
    <cellStyle name="Input 4 2 2 12 2 5" xfId="29419" xr:uid="{D72193F9-9799-4DD7-8414-8DA842AF4F93}"/>
    <cellStyle name="Input 4 2 2 12 2 6" xfId="29420" xr:uid="{5EA90F80-9B0B-4FE3-8924-C8525E7551F3}"/>
    <cellStyle name="Input 4 2 2 12 3" xfId="29421" xr:uid="{CCA2B0A0-314C-456C-B424-053F2E67E9C0}"/>
    <cellStyle name="Input 4 2 2 12 4" xfId="29422" xr:uid="{7705DF04-B2C9-47CC-9B2A-BB3B3CB102C9}"/>
    <cellStyle name="Input 4 2 2 12 5" xfId="29423" xr:uid="{7EB65FD1-8681-44F7-9CBE-17FE7DBE6C76}"/>
    <cellStyle name="Input 4 2 2 12 6" xfId="29424" xr:uid="{8DAFFAED-9058-4988-A063-2AF5F978198B}"/>
    <cellStyle name="Input 4 2 2 12 7" xfId="29425" xr:uid="{B65A47B7-9734-488A-B58F-AD61B7AB3019}"/>
    <cellStyle name="Input 4 2 2 13" xfId="1827" xr:uid="{C12E9005-192C-4E4A-9BAC-1AB5BE30E4AA}"/>
    <cellStyle name="Input 4 2 2 13 2" xfId="11035" xr:uid="{8CF57ACA-31BD-4DAD-85F8-17013AC2C9D3}"/>
    <cellStyle name="Input 4 2 2 13 2 2" xfId="29426" xr:uid="{8280F0BE-443C-44CF-8F0E-CAC2F797E435}"/>
    <cellStyle name="Input 4 2 2 13 2 3" xfId="29427" xr:uid="{7F1B9EC9-7E87-40E1-982F-1250FD433739}"/>
    <cellStyle name="Input 4 2 2 13 2 4" xfId="29428" xr:uid="{16A7B003-0D13-42CB-A58E-93DDD6CCBC66}"/>
    <cellStyle name="Input 4 2 2 13 2 5" xfId="29429" xr:uid="{C55BD2AB-FA7A-42FD-AA86-B2D257142E39}"/>
    <cellStyle name="Input 4 2 2 13 2 6" xfId="29430" xr:uid="{89C6F89F-53EB-4B07-B86A-26245B2F9C23}"/>
    <cellStyle name="Input 4 2 2 13 3" xfId="29431" xr:uid="{EDFBACC2-7E73-4DF5-8875-4D0C59EB48D4}"/>
    <cellStyle name="Input 4 2 2 13 4" xfId="29432" xr:uid="{5BF6A66F-58FE-4E3C-BC6E-0F7979962A04}"/>
    <cellStyle name="Input 4 2 2 13 5" xfId="29433" xr:uid="{A5F4B709-12F9-4ECD-B82A-B87023DAE59C}"/>
    <cellStyle name="Input 4 2 2 13 6" xfId="29434" xr:uid="{AFA62837-E8DC-4482-96B9-565F532B5E26}"/>
    <cellStyle name="Input 4 2 2 13 7" xfId="29435" xr:uid="{95761F48-DE58-4DD5-B310-7BE2076E24D3}"/>
    <cellStyle name="Input 4 2 2 14" xfId="1828" xr:uid="{2ECB8D5E-7A2C-4633-A1E9-D044CEB8F97F}"/>
    <cellStyle name="Input 4 2 2 14 2" xfId="11125" xr:uid="{6F5BFCD5-A691-4662-9824-3E75CA726BFC}"/>
    <cellStyle name="Input 4 2 2 14 2 2" xfId="29436" xr:uid="{0F9BE50D-F5E2-4313-A235-16EABA399164}"/>
    <cellStyle name="Input 4 2 2 14 2 3" xfId="29437" xr:uid="{DFCC59B8-C8A6-4FE4-BB8F-8267665909ED}"/>
    <cellStyle name="Input 4 2 2 14 2 4" xfId="29438" xr:uid="{4886F49D-4654-4142-8584-3D5AB877DC2A}"/>
    <cellStyle name="Input 4 2 2 14 2 5" xfId="29439" xr:uid="{39AD0BEA-B4C1-4D9F-995E-935DEF24671B}"/>
    <cellStyle name="Input 4 2 2 14 2 6" xfId="29440" xr:uid="{CDA10CF6-9C82-4005-B444-4A7366786CD0}"/>
    <cellStyle name="Input 4 2 2 14 3" xfId="29441" xr:uid="{946804E6-1CAB-46AA-BAAC-E07924E1DB54}"/>
    <cellStyle name="Input 4 2 2 14 4" xfId="29442" xr:uid="{77C56D2E-8489-4AA2-A157-1997E86ACCF9}"/>
    <cellStyle name="Input 4 2 2 14 5" xfId="29443" xr:uid="{90FBB3AE-BC58-4978-AB61-85E2B4E6BDC3}"/>
    <cellStyle name="Input 4 2 2 14 6" xfId="29444" xr:uid="{4E6EAFF6-C917-4F3A-A733-A3EB6A617C43}"/>
    <cellStyle name="Input 4 2 2 14 7" xfId="29445" xr:uid="{2F124BA7-5606-435A-B5D9-EAAE10CA53F5}"/>
    <cellStyle name="Input 4 2 2 15" xfId="1829" xr:uid="{792CBD3B-0EAB-48B2-82A6-00735799C439}"/>
    <cellStyle name="Input 4 2 2 15 2" xfId="11208" xr:uid="{BC2EB563-4CC8-4EAD-8602-B19BDD55E948}"/>
    <cellStyle name="Input 4 2 2 15 2 2" xfId="29446" xr:uid="{670EEAAE-6F0D-4D5D-9B31-2816E48A5AA3}"/>
    <cellStyle name="Input 4 2 2 15 2 3" xfId="29447" xr:uid="{B762C0A1-8B20-42CF-9B1F-E023DF42906B}"/>
    <cellStyle name="Input 4 2 2 15 2 4" xfId="29448" xr:uid="{6E0B43FA-4391-42E2-B615-F67C78B5B32B}"/>
    <cellStyle name="Input 4 2 2 15 2 5" xfId="29449" xr:uid="{1FAFDE41-4C72-44D4-A615-9D96DBA19DCD}"/>
    <cellStyle name="Input 4 2 2 15 2 6" xfId="29450" xr:uid="{CB40B879-095D-48CE-A6A5-39598A80A522}"/>
    <cellStyle name="Input 4 2 2 15 3" xfId="29451" xr:uid="{4A562368-9486-4637-BA17-48DA58AACA46}"/>
    <cellStyle name="Input 4 2 2 15 4" xfId="29452" xr:uid="{4FCE71CB-FE20-4D77-93E1-1AC987396BD3}"/>
    <cellStyle name="Input 4 2 2 15 5" xfId="29453" xr:uid="{93CB9CD6-B40D-4795-921D-9E741206A9AF}"/>
    <cellStyle name="Input 4 2 2 15 6" xfId="29454" xr:uid="{6E259C9B-D31C-40B2-8F99-EBEBAD7C47A2}"/>
    <cellStyle name="Input 4 2 2 15 7" xfId="29455" xr:uid="{3B374F8E-EB6E-4DB9-8AA5-49768F564100}"/>
    <cellStyle name="Input 4 2 2 16" xfId="1830" xr:uid="{9366C709-F185-4E73-AD33-74B76A0980B0}"/>
    <cellStyle name="Input 4 2 2 16 2" xfId="11298" xr:uid="{F2433A82-D2FC-4F86-A135-1592A3F3C0D4}"/>
    <cellStyle name="Input 4 2 2 16 2 2" xfId="29456" xr:uid="{05FE14B7-F13D-478D-90B0-4484B7FF7CF3}"/>
    <cellStyle name="Input 4 2 2 16 2 3" xfId="29457" xr:uid="{3B3D8659-AA05-4061-81C0-61A9FF0E4533}"/>
    <cellStyle name="Input 4 2 2 16 2 4" xfId="29458" xr:uid="{F985F888-9446-4D00-8003-08B34F5D7286}"/>
    <cellStyle name="Input 4 2 2 16 2 5" xfId="29459" xr:uid="{FC90E9F8-8291-4B22-A3ED-120686ABFAA0}"/>
    <cellStyle name="Input 4 2 2 16 2 6" xfId="29460" xr:uid="{A9E3A3EB-420D-4CE0-856C-69B70C6CCB57}"/>
    <cellStyle name="Input 4 2 2 16 3" xfId="29461" xr:uid="{2ABC03EC-C2BB-4973-8DAA-428F23B3B249}"/>
    <cellStyle name="Input 4 2 2 16 4" xfId="29462" xr:uid="{B0032E08-260E-4DE3-A8FB-85A9DD62344B}"/>
    <cellStyle name="Input 4 2 2 16 5" xfId="29463" xr:uid="{DCC2B931-9DE8-4F62-AD20-2DFFD23BC3ED}"/>
    <cellStyle name="Input 4 2 2 16 6" xfId="29464" xr:uid="{C09AF5F6-4DD6-4522-8BEA-25CA0ED6B51E}"/>
    <cellStyle name="Input 4 2 2 16 7" xfId="29465" xr:uid="{28FCA9D6-4E7F-4AC2-8F65-DCABE44C4C6B}"/>
    <cellStyle name="Input 4 2 2 17" xfId="1831" xr:uid="{4B697E86-70D6-4790-9D7E-764BB70636F3}"/>
    <cellStyle name="Input 4 2 2 17 2" xfId="11384" xr:uid="{4C13456F-EF87-43FD-96FD-ABE51C83D814}"/>
    <cellStyle name="Input 4 2 2 17 2 2" xfId="29466" xr:uid="{9EA3B0C6-184E-4C5F-AC02-54C46B3F5C25}"/>
    <cellStyle name="Input 4 2 2 17 2 3" xfId="29467" xr:uid="{6BDE70F4-F6AC-4D36-AF21-7558EAFF1C2D}"/>
    <cellStyle name="Input 4 2 2 17 2 4" xfId="29468" xr:uid="{D5A08F99-85A3-44A0-A1AC-CA35BFF3F69A}"/>
    <cellStyle name="Input 4 2 2 17 2 5" xfId="29469" xr:uid="{CF9C978B-D3B2-445E-8CFC-BA3CB06729C6}"/>
    <cellStyle name="Input 4 2 2 17 2 6" xfId="29470" xr:uid="{BF28F5A0-0669-4CA2-8BF8-CC9D8A0B6F4B}"/>
    <cellStyle name="Input 4 2 2 17 3" xfId="29471" xr:uid="{2A3B5165-1EBF-48CC-98B6-58BFDE2186FB}"/>
    <cellStyle name="Input 4 2 2 17 4" xfId="29472" xr:uid="{E1DBF6DA-C9A3-403C-ACBC-194B60FE05E1}"/>
    <cellStyle name="Input 4 2 2 17 5" xfId="29473" xr:uid="{B05943FA-53A9-40C8-AD58-68A9F248492E}"/>
    <cellStyle name="Input 4 2 2 17 6" xfId="29474" xr:uid="{AB750652-8662-4824-BC3E-64951D1364CE}"/>
    <cellStyle name="Input 4 2 2 17 7" xfId="29475" xr:uid="{273C3B02-4417-420F-A8F2-7E26CF560F8E}"/>
    <cellStyle name="Input 4 2 2 18" xfId="1832" xr:uid="{ACB1CBD1-0A29-48B3-8FDB-BA58FCB7194F}"/>
    <cellStyle name="Input 4 2 2 18 2" xfId="11471" xr:uid="{85AE43FA-E1B0-40F7-B7BF-BE5B5E16C246}"/>
    <cellStyle name="Input 4 2 2 18 2 2" xfId="29476" xr:uid="{1B8EEEE7-4EC3-4C4E-92C9-71919929AC2C}"/>
    <cellStyle name="Input 4 2 2 18 2 3" xfId="29477" xr:uid="{126ED9B3-603B-4CD5-B095-F1251CFC7545}"/>
    <cellStyle name="Input 4 2 2 18 2 4" xfId="29478" xr:uid="{006847D6-9964-4E3C-BCCA-9388C0F70DD5}"/>
    <cellStyle name="Input 4 2 2 18 2 5" xfId="29479" xr:uid="{F77F1CC3-BDA6-4B56-83FC-74C04DE05518}"/>
    <cellStyle name="Input 4 2 2 18 2 6" xfId="29480" xr:uid="{D4CEFE23-44B6-42DA-89A6-F4DA2D884BB1}"/>
    <cellStyle name="Input 4 2 2 18 3" xfId="29481" xr:uid="{8518D48B-FF6E-436F-B2E0-24186EF5B77C}"/>
    <cellStyle name="Input 4 2 2 18 4" xfId="29482" xr:uid="{C91C4A4D-6438-4D19-8F18-2D60848F4977}"/>
    <cellStyle name="Input 4 2 2 18 5" xfId="29483" xr:uid="{161B6659-FE7A-4344-BE22-345CCF2F47D6}"/>
    <cellStyle name="Input 4 2 2 18 6" xfId="29484" xr:uid="{E97B1793-CF59-47D8-94F8-5836C2AA28C5}"/>
    <cellStyle name="Input 4 2 2 18 7" xfId="29485" xr:uid="{0CD8AA37-EAD4-47A8-8D32-0D830E4C3B05}"/>
    <cellStyle name="Input 4 2 2 19" xfId="1833" xr:uid="{166DD334-F4B5-4B1B-AF17-E767C0E5AE5F}"/>
    <cellStyle name="Input 4 2 2 19 2" xfId="11558" xr:uid="{F8A51372-ADE9-40DF-BD60-E2B63AE0E266}"/>
    <cellStyle name="Input 4 2 2 19 2 2" xfId="29486" xr:uid="{9A228AF4-E827-45A7-92AB-E3CB2AE64E31}"/>
    <cellStyle name="Input 4 2 2 19 2 3" xfId="29487" xr:uid="{66E0FE03-D288-43DD-9CD0-F1DF7F86AA0E}"/>
    <cellStyle name="Input 4 2 2 19 2 4" xfId="29488" xr:uid="{0A9E077D-E358-46D1-B4A5-5C079267A6C1}"/>
    <cellStyle name="Input 4 2 2 19 2 5" xfId="29489" xr:uid="{FF8FCFC5-5262-4DA7-B431-9E131AA81995}"/>
    <cellStyle name="Input 4 2 2 19 2 6" xfId="29490" xr:uid="{759BD765-034F-4CBE-9858-2ED48426A0F2}"/>
    <cellStyle name="Input 4 2 2 19 3" xfId="29491" xr:uid="{25C874FE-25F3-4C32-B06B-36CAAAA3564A}"/>
    <cellStyle name="Input 4 2 2 19 4" xfId="29492" xr:uid="{FBCEE3C8-8BE2-438D-A099-70CDC00A2B09}"/>
    <cellStyle name="Input 4 2 2 19 5" xfId="29493" xr:uid="{7C379365-DA82-4AB2-AEC1-3AE24A2D84C7}"/>
    <cellStyle name="Input 4 2 2 19 6" xfId="29494" xr:uid="{01CA6338-3AEE-496F-8774-16D0FB900D99}"/>
    <cellStyle name="Input 4 2 2 19 7" xfId="29495" xr:uid="{8BA4BF2D-5ED8-463A-A807-75AF5B5E94B7}"/>
    <cellStyle name="Input 4 2 2 2" xfId="1834" xr:uid="{24379BED-B1AC-46CA-B86E-6DEF1B14582A}"/>
    <cellStyle name="Input 4 2 2 2 2" xfId="10065" xr:uid="{E799C554-6ECF-4349-BCAE-C3C5ABFEF384}"/>
    <cellStyle name="Input 4 2 2 2 2 2" xfId="29496" xr:uid="{391D0DEF-8416-4592-AABB-6302D252497C}"/>
    <cellStyle name="Input 4 2 2 2 2 3" xfId="29497" xr:uid="{E18BD1A5-93C4-4C19-9B27-AD375940A6C8}"/>
    <cellStyle name="Input 4 2 2 2 2 4" xfId="29498" xr:uid="{0D51019B-6F1D-4193-B489-BFF71F3EF7E6}"/>
    <cellStyle name="Input 4 2 2 2 2 5" xfId="29499" xr:uid="{467D33F1-6327-48EE-8AF7-966A3BE8982F}"/>
    <cellStyle name="Input 4 2 2 2 2 6" xfId="29500" xr:uid="{B4E4FD5B-B717-4743-B2E7-461F6D2E408E}"/>
    <cellStyle name="Input 4 2 2 2 3" xfId="29501" xr:uid="{9B5C8E1C-85A7-4498-917B-18C1995C00E5}"/>
    <cellStyle name="Input 4 2 2 2 4" xfId="29502" xr:uid="{000EF733-1F9B-4B17-9FD4-73BA6D550C87}"/>
    <cellStyle name="Input 4 2 2 2 5" xfId="29503" xr:uid="{646E20D1-9205-4548-9EDD-E7D56014F456}"/>
    <cellStyle name="Input 4 2 2 2 6" xfId="29504" xr:uid="{4316C7EE-FB18-423B-8C01-C35CDE591F87}"/>
    <cellStyle name="Input 4 2 2 2 7" xfId="29505" xr:uid="{8A30FB75-32D0-4F8D-A447-99B148C99B3F}"/>
    <cellStyle name="Input 4 2 2 20" xfId="1835" xr:uid="{9DB0ACDB-3E55-4284-8504-41B8C2829D26}"/>
    <cellStyle name="Input 4 2 2 20 2" xfId="11646" xr:uid="{9822F0A1-AB79-4615-A493-77A12EB53C5F}"/>
    <cellStyle name="Input 4 2 2 20 2 2" xfId="29506" xr:uid="{2B3E8185-C51D-438C-BFA5-64CF455C8F0F}"/>
    <cellStyle name="Input 4 2 2 20 2 3" xfId="29507" xr:uid="{D6F94A28-B18F-4785-B38F-BB3576BE574D}"/>
    <cellStyle name="Input 4 2 2 20 2 4" xfId="29508" xr:uid="{D0EBE165-26A9-4A97-B293-E049CF45D2C2}"/>
    <cellStyle name="Input 4 2 2 20 2 5" xfId="29509" xr:uid="{C592BD7F-A2BE-461A-BEF6-EE0D78BC706B}"/>
    <cellStyle name="Input 4 2 2 20 2 6" xfId="29510" xr:uid="{37CC227B-181C-41A2-ADE6-C856B0A92CBA}"/>
    <cellStyle name="Input 4 2 2 20 3" xfId="29511" xr:uid="{A71B85D1-9F29-4485-A707-A4BAE4BA1DE2}"/>
    <cellStyle name="Input 4 2 2 20 4" xfId="29512" xr:uid="{D3DAE7DB-F183-43A2-9B76-4B4B3977786A}"/>
    <cellStyle name="Input 4 2 2 20 5" xfId="29513" xr:uid="{6E56BDE0-C1B2-40D3-A1C3-0BE901A42613}"/>
    <cellStyle name="Input 4 2 2 20 6" xfId="29514" xr:uid="{12FE303A-7EAC-4646-B2A8-4B061B2E4884}"/>
    <cellStyle name="Input 4 2 2 20 7" xfId="29515" xr:uid="{2A05F33F-BC28-422E-B0B7-D425AC5EE950}"/>
    <cellStyle name="Input 4 2 2 21" xfId="1836" xr:uid="{A1C3AC10-DB31-4001-B814-AF4F4606A958}"/>
    <cellStyle name="Input 4 2 2 21 2" xfId="11730" xr:uid="{97CA6170-B6E2-45A1-9AE0-207598D9020D}"/>
    <cellStyle name="Input 4 2 2 21 2 2" xfId="29516" xr:uid="{DBCCCC91-7DE3-4B46-BFAC-9036FA4BFDCB}"/>
    <cellStyle name="Input 4 2 2 21 2 3" xfId="29517" xr:uid="{8834F4B9-8793-48CA-994A-41B4E6BB5DF2}"/>
    <cellStyle name="Input 4 2 2 21 2 4" xfId="29518" xr:uid="{ABE2B5D0-9CB2-43DA-9B61-9D687EFB02C9}"/>
    <cellStyle name="Input 4 2 2 21 2 5" xfId="29519" xr:uid="{66E6F1A3-4F28-457B-B544-59B1A676B1B1}"/>
    <cellStyle name="Input 4 2 2 21 2 6" xfId="29520" xr:uid="{ACF51F36-2B6B-40C4-BCE4-87B5E7DA1E1A}"/>
    <cellStyle name="Input 4 2 2 21 3" xfId="29521" xr:uid="{C0742F24-3EA2-42F9-8EF2-602DC89E558F}"/>
    <cellStyle name="Input 4 2 2 21 4" xfId="29522" xr:uid="{B119DFCF-C5BD-47E5-B029-1CDAA6278C36}"/>
    <cellStyle name="Input 4 2 2 21 5" xfId="29523" xr:uid="{1C959457-4FA4-4C28-834F-E03B7C541E5F}"/>
    <cellStyle name="Input 4 2 2 21 6" xfId="29524" xr:uid="{59C243AA-9C57-429D-8F6F-3E2792F81FC6}"/>
    <cellStyle name="Input 4 2 2 21 7" xfId="29525" xr:uid="{07914A38-FABC-4738-B5E3-670F9A87948E}"/>
    <cellStyle name="Input 4 2 2 22" xfId="1837" xr:uid="{D2DAA00D-4348-4655-83D2-EE7D4B33BF65}"/>
    <cellStyle name="Input 4 2 2 22 2" xfId="11813" xr:uid="{8EC235CD-06E9-4B8F-9EF9-F9A1DB0390AE}"/>
    <cellStyle name="Input 4 2 2 22 2 2" xfId="29526" xr:uid="{F77739B5-C07F-452B-BCB5-879C8694277D}"/>
    <cellStyle name="Input 4 2 2 22 2 3" xfId="29527" xr:uid="{C96A6783-9FD0-4491-BFDD-A82FCCEF014B}"/>
    <cellStyle name="Input 4 2 2 22 2 4" xfId="29528" xr:uid="{06DD4000-52AC-451C-89AF-673029C05BD2}"/>
    <cellStyle name="Input 4 2 2 22 2 5" xfId="29529" xr:uid="{357762C8-B3B0-4FA8-A77D-817AFE402C80}"/>
    <cellStyle name="Input 4 2 2 22 2 6" xfId="29530" xr:uid="{02D044C3-292C-45BC-89B6-981030CBFBFB}"/>
    <cellStyle name="Input 4 2 2 22 3" xfId="29531" xr:uid="{2D14E4CF-D6C9-4FEA-9680-72B3A88A32BE}"/>
    <cellStyle name="Input 4 2 2 22 4" xfId="29532" xr:uid="{31605165-262F-4F83-8AF5-DBAC3862391A}"/>
    <cellStyle name="Input 4 2 2 22 5" xfId="29533" xr:uid="{9A1B3087-DD19-4B50-B868-B3FB65AA51D1}"/>
    <cellStyle name="Input 4 2 2 22 6" xfId="29534" xr:uid="{6CE6EF96-C9A9-4D2F-ABAF-A89838E84AFD}"/>
    <cellStyle name="Input 4 2 2 22 7" xfId="29535" xr:uid="{E8246CA9-FFE7-4279-8108-322D47D4E768}"/>
    <cellStyle name="Input 4 2 2 23" xfId="1838" xr:uid="{E366380D-DF7F-4386-BBDC-75EC29CB5088}"/>
    <cellStyle name="Input 4 2 2 23 2" xfId="11896" xr:uid="{D6FA1BAC-DDC9-4F91-9702-D7C4D3EC0E89}"/>
    <cellStyle name="Input 4 2 2 23 2 2" xfId="29536" xr:uid="{E0280635-C0E7-466D-8922-36D77F733D9A}"/>
    <cellStyle name="Input 4 2 2 23 2 3" xfId="29537" xr:uid="{F04AF6E5-2B42-42BD-9C65-DF85C68D1574}"/>
    <cellStyle name="Input 4 2 2 23 2 4" xfId="29538" xr:uid="{3795DEA3-78A0-462A-8DC2-DF1125D3FD0F}"/>
    <cellStyle name="Input 4 2 2 23 2 5" xfId="29539" xr:uid="{6742C54D-E303-48E9-8C3B-1E8C691853FD}"/>
    <cellStyle name="Input 4 2 2 23 2 6" xfId="29540" xr:uid="{870AB608-8B52-4FEF-85DE-AA66AD2D0AD3}"/>
    <cellStyle name="Input 4 2 2 23 3" xfId="29541" xr:uid="{86777EED-1B2C-4F44-B46E-2E9678D3D0A5}"/>
    <cellStyle name="Input 4 2 2 23 4" xfId="29542" xr:uid="{E69D9169-B0BB-413C-9E85-89F51B92BD63}"/>
    <cellStyle name="Input 4 2 2 23 5" xfId="29543" xr:uid="{84729B82-EE6A-4BA3-896C-D17EA553FBF6}"/>
    <cellStyle name="Input 4 2 2 23 6" xfId="29544" xr:uid="{9B8ABE47-D6B1-4C40-A5B4-FAAB85951171}"/>
    <cellStyle name="Input 4 2 2 23 7" xfId="29545" xr:uid="{73981809-56F5-43DA-857D-048EBE646EBD}"/>
    <cellStyle name="Input 4 2 2 24" xfId="1839" xr:uid="{292FD52A-8E78-4987-A424-F53AF9B55FC2}"/>
    <cellStyle name="Input 4 2 2 24 2" xfId="11980" xr:uid="{3A5CEF97-B13C-461F-98BA-7239D5750F4B}"/>
    <cellStyle name="Input 4 2 2 24 2 2" xfId="29546" xr:uid="{EA51DD38-63E0-432F-80E9-78CBDFCBB5A8}"/>
    <cellStyle name="Input 4 2 2 24 2 3" xfId="29547" xr:uid="{F14F1A75-33CD-47B6-B4B0-266DD96A5FB8}"/>
    <cellStyle name="Input 4 2 2 24 2 4" xfId="29548" xr:uid="{6DC5E873-8166-4452-8BC2-43B9FA25FB1A}"/>
    <cellStyle name="Input 4 2 2 24 2 5" xfId="29549" xr:uid="{33E61917-6E2D-4FEB-B2BE-0B4CA172C5F3}"/>
    <cellStyle name="Input 4 2 2 24 2 6" xfId="29550" xr:uid="{69A5CE62-F0C8-477F-8377-FC2859986EA4}"/>
    <cellStyle name="Input 4 2 2 24 3" xfId="29551" xr:uid="{0AD9AB1C-28F3-4981-A28A-BF8EA4B0B177}"/>
    <cellStyle name="Input 4 2 2 24 4" xfId="29552" xr:uid="{49039A05-C537-4A37-BD7A-D124B3F68378}"/>
    <cellStyle name="Input 4 2 2 24 5" xfId="29553" xr:uid="{40B0991B-8D3F-4501-ADE2-7461B781F148}"/>
    <cellStyle name="Input 4 2 2 24 6" xfId="29554" xr:uid="{50DCBD06-4318-4EC5-9344-A266A616D7EA}"/>
    <cellStyle name="Input 4 2 2 24 7" xfId="29555" xr:uid="{3BFB6976-BAEE-4CF8-94BC-07C1DB537DFA}"/>
    <cellStyle name="Input 4 2 2 25" xfId="1840" xr:uid="{C5A687FC-C3FD-4FEB-8CF4-F2AA78EE847F}"/>
    <cellStyle name="Input 4 2 2 25 2" xfId="12063" xr:uid="{53F24473-0361-437B-AB10-C4EDF3E9E0E3}"/>
    <cellStyle name="Input 4 2 2 25 2 2" xfId="29556" xr:uid="{C11A8C7B-C23D-4950-9ABD-A41F135FE3B4}"/>
    <cellStyle name="Input 4 2 2 25 2 3" xfId="29557" xr:uid="{0F9DBCB2-4A5E-42C3-AA41-6277E520B5E9}"/>
    <cellStyle name="Input 4 2 2 25 2 4" xfId="29558" xr:uid="{849F7B8E-C5B6-4251-8A50-A7E10650BCAB}"/>
    <cellStyle name="Input 4 2 2 25 2 5" xfId="29559" xr:uid="{E5141DE3-80B5-4284-ACA0-50611D913AA9}"/>
    <cellStyle name="Input 4 2 2 25 2 6" xfId="29560" xr:uid="{51A94148-6B07-4131-B835-1DCB0887E0EE}"/>
    <cellStyle name="Input 4 2 2 25 3" xfId="29561" xr:uid="{5DDE98AE-D0DF-471A-845F-0C668AED23EB}"/>
    <cellStyle name="Input 4 2 2 25 4" xfId="29562" xr:uid="{02FFB7BE-C05F-4823-981A-B1A7F863849F}"/>
    <cellStyle name="Input 4 2 2 25 5" xfId="29563" xr:uid="{308E7BDC-5A6F-45E8-B9E7-C9116A8604ED}"/>
    <cellStyle name="Input 4 2 2 25 6" xfId="29564" xr:uid="{6AE141D8-02D4-4381-A7F0-1F6F40D6F80C}"/>
    <cellStyle name="Input 4 2 2 25 7" xfId="29565" xr:uid="{C204D406-A1B3-4EE7-893D-FA9B6D9F8D2E}"/>
    <cellStyle name="Input 4 2 2 26" xfId="1841" xr:uid="{647591DA-9432-4DE3-B7F6-AF971CDFCD71}"/>
    <cellStyle name="Input 4 2 2 26 2" xfId="12146" xr:uid="{1D803564-5579-4985-B008-6968DCDC294F}"/>
    <cellStyle name="Input 4 2 2 26 2 2" xfId="29566" xr:uid="{BC182BDB-2C27-4AB1-87C7-365456F42B33}"/>
    <cellStyle name="Input 4 2 2 26 2 3" xfId="29567" xr:uid="{64FBB77A-57B0-4DF0-A449-97EBA059F705}"/>
    <cellStyle name="Input 4 2 2 26 2 4" xfId="29568" xr:uid="{4B35DA8A-98D7-4AD1-AC66-45878C4B432A}"/>
    <cellStyle name="Input 4 2 2 26 2 5" xfId="29569" xr:uid="{D9C8212C-491B-41C6-9A1D-0D25AB0295FA}"/>
    <cellStyle name="Input 4 2 2 26 2 6" xfId="29570" xr:uid="{53528B54-9FDF-4626-B880-47EB99BC562C}"/>
    <cellStyle name="Input 4 2 2 26 3" xfId="29571" xr:uid="{30247737-93CC-4329-959B-A3367B102648}"/>
    <cellStyle name="Input 4 2 2 26 4" xfId="29572" xr:uid="{61733DAF-96DF-4E16-BE85-3550F7943F10}"/>
    <cellStyle name="Input 4 2 2 26 5" xfId="29573" xr:uid="{061C65F3-AFD6-4C79-8181-8C7319313819}"/>
    <cellStyle name="Input 4 2 2 26 6" xfId="29574" xr:uid="{322F2B06-4479-4583-9A27-3664F8E82A48}"/>
    <cellStyle name="Input 4 2 2 26 7" xfId="29575" xr:uid="{78E74EFB-36C3-4ADE-85F3-EDAD9F61C526}"/>
    <cellStyle name="Input 4 2 2 27" xfId="1842" xr:uid="{9453890F-0C0B-4833-BF30-3D1B329E9A98}"/>
    <cellStyle name="Input 4 2 2 27 2" xfId="12228" xr:uid="{0915F3DF-A476-46C9-B36F-8469CC522614}"/>
    <cellStyle name="Input 4 2 2 27 2 2" xfId="29576" xr:uid="{2D363E5E-A8F1-4541-BCC1-8900752265D5}"/>
    <cellStyle name="Input 4 2 2 27 2 3" xfId="29577" xr:uid="{315D0DBC-73AF-47B3-8730-ED226D8DA3CE}"/>
    <cellStyle name="Input 4 2 2 27 2 4" xfId="29578" xr:uid="{AABA34E3-5C73-41AD-B95F-F87DC715605B}"/>
    <cellStyle name="Input 4 2 2 27 2 5" xfId="29579" xr:uid="{82EC8A86-7A1C-4E72-92BF-F7285959305D}"/>
    <cellStyle name="Input 4 2 2 27 2 6" xfId="29580" xr:uid="{155B3C7B-DC25-4ABF-BE8B-6742A9FA6877}"/>
    <cellStyle name="Input 4 2 2 27 3" xfId="29581" xr:uid="{0B06202B-8214-41C2-82F8-06DD069C5386}"/>
    <cellStyle name="Input 4 2 2 27 4" xfId="29582" xr:uid="{93C82470-81D6-4336-A7C4-C6E2DDE0DE56}"/>
    <cellStyle name="Input 4 2 2 27 5" xfId="29583" xr:uid="{514D1FFB-D4FC-49ED-B484-3ABD3ABEF1B1}"/>
    <cellStyle name="Input 4 2 2 27 6" xfId="29584" xr:uid="{7A8BD045-802A-458B-9F44-D6A76572C4BC}"/>
    <cellStyle name="Input 4 2 2 27 7" xfId="29585" xr:uid="{50F08490-3A6A-4ED0-9036-80ADD932A922}"/>
    <cellStyle name="Input 4 2 2 28" xfId="1843" xr:uid="{459EC333-B516-4EDA-BFE4-14939E46631C}"/>
    <cellStyle name="Input 4 2 2 28 2" xfId="12308" xr:uid="{B7AE0BDD-75B5-4550-AD91-9D5FC002629E}"/>
    <cellStyle name="Input 4 2 2 28 2 2" xfId="29586" xr:uid="{B76B837C-EC53-484B-8A88-47C8415EB550}"/>
    <cellStyle name="Input 4 2 2 28 2 3" xfId="29587" xr:uid="{EAF13C5A-FFF0-420C-9936-4D021A2CB9D5}"/>
    <cellStyle name="Input 4 2 2 28 2 4" xfId="29588" xr:uid="{D4AE8182-BB1F-4DE5-8950-4267AE1EE852}"/>
    <cellStyle name="Input 4 2 2 28 2 5" xfId="29589" xr:uid="{A860A19C-D3FE-4EC7-948D-6753C0025EC5}"/>
    <cellStyle name="Input 4 2 2 28 2 6" xfId="29590" xr:uid="{B3FFD973-6344-4D6E-BAAA-55806DC51410}"/>
    <cellStyle name="Input 4 2 2 28 3" xfId="29591" xr:uid="{AF196B7A-8EEB-4BC4-877A-0A3144C44DBC}"/>
    <cellStyle name="Input 4 2 2 28 4" xfId="29592" xr:uid="{81CAF9D0-F3E3-49A5-A34C-186177A69F23}"/>
    <cellStyle name="Input 4 2 2 28 5" xfId="29593" xr:uid="{C5AA4535-D563-4B50-9286-D8E7031E8447}"/>
    <cellStyle name="Input 4 2 2 28 6" xfId="29594" xr:uid="{A961522A-6D16-4453-A8B2-4632A60304E9}"/>
    <cellStyle name="Input 4 2 2 28 7" xfId="29595" xr:uid="{B0F57350-9BD0-41D2-92D5-558E79DF8DDE}"/>
    <cellStyle name="Input 4 2 2 29" xfId="1844" xr:uid="{CA95CF18-1DFD-4B62-9178-E15425907003}"/>
    <cellStyle name="Input 4 2 2 29 2" xfId="12386" xr:uid="{04DB1DE9-2ACC-4A7A-A186-B1E2C9D8B065}"/>
    <cellStyle name="Input 4 2 2 29 2 2" xfId="29596" xr:uid="{1903D56F-7DDD-47CD-BCDE-D52CC43EFC2D}"/>
    <cellStyle name="Input 4 2 2 29 2 3" xfId="29597" xr:uid="{BA7BBE1D-0830-430E-ADD5-A5FD9271C6C9}"/>
    <cellStyle name="Input 4 2 2 29 2 4" xfId="29598" xr:uid="{E3A69B15-D521-46A9-BEE1-7C6DFE076F9A}"/>
    <cellStyle name="Input 4 2 2 29 2 5" xfId="29599" xr:uid="{CC3338C4-C3BB-4BD6-AB70-C113FCDD7769}"/>
    <cellStyle name="Input 4 2 2 29 2 6" xfId="29600" xr:uid="{367F17A6-01BA-461A-ABD5-B6B0D61B0CF3}"/>
    <cellStyle name="Input 4 2 2 29 3" xfId="29601" xr:uid="{DDE28F4A-4AD8-4A6D-A950-3128502CCA3F}"/>
    <cellStyle name="Input 4 2 2 29 4" xfId="29602" xr:uid="{4794CAA8-F605-4D0C-B14D-DD33AD432FF9}"/>
    <cellStyle name="Input 4 2 2 29 5" xfId="29603" xr:uid="{8B482F29-524C-4153-8ED6-E95CE746D1BE}"/>
    <cellStyle name="Input 4 2 2 29 6" xfId="29604" xr:uid="{93AA002F-63FB-4CC2-8D4C-BA1C765236A2}"/>
    <cellStyle name="Input 4 2 2 29 7" xfId="29605" xr:uid="{A3D57797-8DA4-43C2-9789-7FE1DE6058BF}"/>
    <cellStyle name="Input 4 2 2 3" xfId="1845" xr:uid="{655EA080-A8EC-4711-813A-D73AB146C388}"/>
    <cellStyle name="Input 4 2 2 3 2" xfId="10156" xr:uid="{BF17017A-D72C-4527-B872-9E6FFEA7CF2D}"/>
    <cellStyle name="Input 4 2 2 3 2 2" xfId="29606" xr:uid="{B5B9DA50-99EA-4D7F-8B9A-9D84696D4D10}"/>
    <cellStyle name="Input 4 2 2 3 2 3" xfId="29607" xr:uid="{EB63B0F3-8A9C-4E2D-9A3E-0BEA41A8B546}"/>
    <cellStyle name="Input 4 2 2 3 2 4" xfId="29608" xr:uid="{A567031C-77EB-4DF5-A5C5-7CAF2C5B2E62}"/>
    <cellStyle name="Input 4 2 2 3 2 5" xfId="29609" xr:uid="{82246867-11BE-45FD-965C-50BEFAC9A5BC}"/>
    <cellStyle name="Input 4 2 2 3 2 6" xfId="29610" xr:uid="{40B29CD5-0DAA-48CF-991B-F157CEA47104}"/>
    <cellStyle name="Input 4 2 2 3 3" xfId="29611" xr:uid="{D3471EC8-A488-4A65-81FF-8E22D88A9348}"/>
    <cellStyle name="Input 4 2 2 3 4" xfId="29612" xr:uid="{781D912C-8634-4D73-AF33-0428BD0CD571}"/>
    <cellStyle name="Input 4 2 2 3 5" xfId="29613" xr:uid="{E3092D39-B326-47D3-9015-3AB7B5CB2AF4}"/>
    <cellStyle name="Input 4 2 2 3 6" xfId="29614" xr:uid="{272F56DF-6AC9-429B-9F0C-85626ACDB85A}"/>
    <cellStyle name="Input 4 2 2 3 7" xfId="29615" xr:uid="{6C046B68-C66C-4341-B36C-D97D7CC708FA}"/>
    <cellStyle name="Input 4 2 2 30" xfId="1846" xr:uid="{166AD02C-6B75-44E7-8783-D90571888403}"/>
    <cellStyle name="Input 4 2 2 30 2" xfId="12465" xr:uid="{A2F66B2E-641F-4654-98C1-581B7602271B}"/>
    <cellStyle name="Input 4 2 2 30 2 2" xfId="29616" xr:uid="{751E6331-E5A1-4996-82D9-4FA55E1A5B9F}"/>
    <cellStyle name="Input 4 2 2 30 2 3" xfId="29617" xr:uid="{84FEC36C-AC30-4E42-9717-2D3A83413A0C}"/>
    <cellStyle name="Input 4 2 2 30 2 4" xfId="29618" xr:uid="{0DB6FC47-C00C-4EF9-94BF-7C2539A046D9}"/>
    <cellStyle name="Input 4 2 2 30 2 5" xfId="29619" xr:uid="{8683C070-B3CB-4116-A7D3-EACD80EB0C23}"/>
    <cellStyle name="Input 4 2 2 30 2 6" xfId="29620" xr:uid="{F8CA66F5-6803-470E-AECD-C8F21D628DBE}"/>
    <cellStyle name="Input 4 2 2 30 3" xfId="29621" xr:uid="{D39FEF0D-9B87-4930-812A-0EB21FD19506}"/>
    <cellStyle name="Input 4 2 2 30 4" xfId="29622" xr:uid="{86E8E29D-E5BA-4F18-8704-B982FAF23E1F}"/>
    <cellStyle name="Input 4 2 2 30 5" xfId="29623" xr:uid="{4AFA7E48-B549-4781-BF10-5508F40311FF}"/>
    <cellStyle name="Input 4 2 2 30 6" xfId="29624" xr:uid="{1E1D91EA-A987-429B-AABF-91BFC6F4F4BB}"/>
    <cellStyle name="Input 4 2 2 30 7" xfId="29625" xr:uid="{1FB50BB2-12D0-4CD6-BAFF-647105224F69}"/>
    <cellStyle name="Input 4 2 2 31" xfId="1847" xr:uid="{065AD380-A6DD-40ED-A564-BB7BB8DB2EA0}"/>
    <cellStyle name="Input 4 2 2 31 2" xfId="12544" xr:uid="{4AF1292B-E3B9-410C-B67F-BD0D741A7236}"/>
    <cellStyle name="Input 4 2 2 31 2 2" xfId="29626" xr:uid="{F8F73FE0-BE87-4368-A276-8843456E98C0}"/>
    <cellStyle name="Input 4 2 2 31 2 3" xfId="29627" xr:uid="{7EEFB42F-3DE3-46BC-BED7-22D7D33CBC60}"/>
    <cellStyle name="Input 4 2 2 31 2 4" xfId="29628" xr:uid="{3306AAE3-25E5-43F7-8D0F-3DFB30380962}"/>
    <cellStyle name="Input 4 2 2 31 2 5" xfId="29629" xr:uid="{A1A1410B-297A-49C3-A867-6110C53B1DFD}"/>
    <cellStyle name="Input 4 2 2 31 2 6" xfId="29630" xr:uid="{21F5AA84-6725-423E-8F12-D5F856A16317}"/>
    <cellStyle name="Input 4 2 2 31 3" xfId="29631" xr:uid="{CE010A7B-E934-446D-8A37-248FBDE2F6DD}"/>
    <cellStyle name="Input 4 2 2 31 4" xfId="29632" xr:uid="{7303F804-CDAF-4D2C-B325-613FD94F6A2D}"/>
    <cellStyle name="Input 4 2 2 31 5" xfId="29633" xr:uid="{36ECF094-C12A-4184-9A99-4650B5668810}"/>
    <cellStyle name="Input 4 2 2 31 6" xfId="29634" xr:uid="{0E7C541A-3DD0-4468-B490-0C36382D70DC}"/>
    <cellStyle name="Input 4 2 2 31 7" xfId="29635" xr:uid="{7D63F24D-4E82-41D3-AF39-2DF3D6B917AB}"/>
    <cellStyle name="Input 4 2 2 32" xfId="1848" xr:uid="{B124A612-03E2-4A91-8E9E-64AEF53C1F89}"/>
    <cellStyle name="Input 4 2 2 32 2" xfId="12623" xr:uid="{57FA8570-78A7-4AFE-98EA-DD5813B3AAB0}"/>
    <cellStyle name="Input 4 2 2 32 2 2" xfId="29636" xr:uid="{CBB7A050-650D-4FFE-BD39-28377A5B7A4D}"/>
    <cellStyle name="Input 4 2 2 32 2 3" xfId="29637" xr:uid="{F8519549-72FB-43E4-9B0B-7F3A9CDA7FCA}"/>
    <cellStyle name="Input 4 2 2 32 2 4" xfId="29638" xr:uid="{49710EBF-5E21-42A8-9E10-10A8C005EDA4}"/>
    <cellStyle name="Input 4 2 2 32 2 5" xfId="29639" xr:uid="{8F37957F-58DD-45EC-987D-328990AD7733}"/>
    <cellStyle name="Input 4 2 2 32 2 6" xfId="29640" xr:uid="{9B633014-B816-4FDA-8DCF-8B43C327895E}"/>
    <cellStyle name="Input 4 2 2 32 3" xfId="29641" xr:uid="{46729316-4AFE-4D87-8D99-6A5FC3B693E1}"/>
    <cellStyle name="Input 4 2 2 32 4" xfId="29642" xr:uid="{F0CA0723-50B5-4CBA-9BEB-AAE329CFC4DF}"/>
    <cellStyle name="Input 4 2 2 32 5" xfId="29643" xr:uid="{18F8B635-565E-41D8-9CBE-387CD6D78AEF}"/>
    <cellStyle name="Input 4 2 2 32 6" xfId="29644" xr:uid="{D1C11FF6-3CF0-4C9A-A777-383C77446D88}"/>
    <cellStyle name="Input 4 2 2 32 7" xfId="29645" xr:uid="{C1FB4E34-9EB7-4430-AC1E-B9467849BDAC}"/>
    <cellStyle name="Input 4 2 2 33" xfId="1849" xr:uid="{32746DF8-3DDC-4F84-9256-5EE3BB3342CF}"/>
    <cellStyle name="Input 4 2 2 33 2" xfId="12702" xr:uid="{F3CB7A5A-60E2-463F-AE58-5F16268F1548}"/>
    <cellStyle name="Input 4 2 2 33 2 2" xfId="29646" xr:uid="{5CAF59C8-36B4-4023-8FB8-953F15330C7B}"/>
    <cellStyle name="Input 4 2 2 33 2 3" xfId="29647" xr:uid="{B0ADE014-D345-4674-974C-D29500159650}"/>
    <cellStyle name="Input 4 2 2 33 2 4" xfId="29648" xr:uid="{B3D6B2BD-2E28-4E02-A891-140CCFE353EA}"/>
    <cellStyle name="Input 4 2 2 33 2 5" xfId="29649" xr:uid="{28580363-F4C4-418F-BE3B-C9AF5D6697FB}"/>
    <cellStyle name="Input 4 2 2 33 2 6" xfId="29650" xr:uid="{421404F6-2506-439A-9814-EEEBFAA0E84C}"/>
    <cellStyle name="Input 4 2 2 33 3" xfId="29651" xr:uid="{F8A1D163-8474-4A69-B484-8909D605BC3E}"/>
    <cellStyle name="Input 4 2 2 33 4" xfId="29652" xr:uid="{455AF7CE-F1EF-4710-A20D-BAB1B5242F40}"/>
    <cellStyle name="Input 4 2 2 33 5" xfId="29653" xr:uid="{90CA8431-AD16-42C5-A4DA-6F6F3BE749EB}"/>
    <cellStyle name="Input 4 2 2 33 6" xfId="29654" xr:uid="{DB6F1BEA-19E9-4355-83E9-6F2ECF4AD91D}"/>
    <cellStyle name="Input 4 2 2 33 7" xfId="29655" xr:uid="{D5A58CD5-0CCB-483A-9340-4FA29317B69A}"/>
    <cellStyle name="Input 4 2 2 34" xfId="1850" xr:uid="{FF5B73D3-ADAD-4581-A7FD-A50E90444CBF}"/>
    <cellStyle name="Input 4 2 2 34 2" xfId="12786" xr:uid="{EC1DB91B-329B-4ED2-91BD-5D47DB3329C4}"/>
    <cellStyle name="Input 4 2 2 34 2 2" xfId="29656" xr:uid="{0F6D3B44-C6E4-49AA-AE45-2BD9A87005D0}"/>
    <cellStyle name="Input 4 2 2 34 2 3" xfId="29657" xr:uid="{F3C14E39-10B2-4594-862D-62A3BB8032DE}"/>
    <cellStyle name="Input 4 2 2 34 2 4" xfId="29658" xr:uid="{CB78C1D6-12A8-40E3-B9BF-86462ECC6BBC}"/>
    <cellStyle name="Input 4 2 2 34 2 5" xfId="29659" xr:uid="{5D7BA7E6-6B8A-4AC6-B335-E89F4749156C}"/>
    <cellStyle name="Input 4 2 2 34 2 6" xfId="29660" xr:uid="{8B4209F3-4545-45BA-86BF-B4E076A70037}"/>
    <cellStyle name="Input 4 2 2 34 3" xfId="29661" xr:uid="{35EA8B13-AF6B-4D36-84BD-8C5D3F39DB7B}"/>
    <cellStyle name="Input 4 2 2 34 4" xfId="29662" xr:uid="{4104E730-5AE0-4D6C-B4FE-6C5EA94AF208}"/>
    <cellStyle name="Input 4 2 2 34 5" xfId="29663" xr:uid="{23AD447F-E4CF-4A80-8E6A-E99BE179A471}"/>
    <cellStyle name="Input 4 2 2 34 6" xfId="29664" xr:uid="{56405B7C-6CA4-497B-BFA4-7CBDD6AA372C}"/>
    <cellStyle name="Input 4 2 2 34 7" xfId="29665" xr:uid="{E5DC76CC-CACA-4359-8D15-92C7D12C1CCE}"/>
    <cellStyle name="Input 4 2 2 35" xfId="9852" xr:uid="{D83AA00A-33B0-4C47-BFE2-64119E999CC2}"/>
    <cellStyle name="Input 4 2 2 35 2" xfId="29666" xr:uid="{3EE046D7-7878-401F-9BDF-64C91AB14D81}"/>
    <cellStyle name="Input 4 2 2 35 3" xfId="29667" xr:uid="{01247603-8E8B-4BEA-B626-196F53A861FA}"/>
    <cellStyle name="Input 4 2 2 35 4" xfId="29668" xr:uid="{E3855157-72FB-45D1-9718-29BD0DE30449}"/>
    <cellStyle name="Input 4 2 2 35 5" xfId="29669" xr:uid="{D21AD992-50A1-44D8-AB2B-E876381FD87A}"/>
    <cellStyle name="Input 4 2 2 35 6" xfId="29670" xr:uid="{613C1772-90A9-45D7-A679-0144BAE17C70}"/>
    <cellStyle name="Input 4 2 2 36" xfId="29671" xr:uid="{DBD591A4-8D98-4D62-A78F-A8E661768AAB}"/>
    <cellStyle name="Input 4 2 2 37" xfId="29672" xr:uid="{5C1CEFEF-ACC2-4474-B91D-87D2A5E5572A}"/>
    <cellStyle name="Input 4 2 2 38" xfId="29673" xr:uid="{67EF2B6B-C7DF-414F-860A-C9F0827AB50A}"/>
    <cellStyle name="Input 4 2 2 39" xfId="29674" xr:uid="{A6F1DE33-798B-4761-A137-EBA376AC69AF}"/>
    <cellStyle name="Input 4 2 2 4" xfId="1851" xr:uid="{52E59785-E6F9-4344-A077-220936E2E10E}"/>
    <cellStyle name="Input 4 2 2 4 2" xfId="10246" xr:uid="{3223E9CB-975A-4C4F-B644-132DEBDB3D3A}"/>
    <cellStyle name="Input 4 2 2 4 2 2" xfId="29675" xr:uid="{2F4C2E98-9409-4659-9C50-FE8A78EB0CCB}"/>
    <cellStyle name="Input 4 2 2 4 2 3" xfId="29676" xr:uid="{A4BFB7F1-82DA-43E6-9671-C946DE5F20DA}"/>
    <cellStyle name="Input 4 2 2 4 2 4" xfId="29677" xr:uid="{EC402F87-F048-406B-B609-D6C901C6B682}"/>
    <cellStyle name="Input 4 2 2 4 2 5" xfId="29678" xr:uid="{2F77364A-F892-43A5-8D1B-C8094EAB463B}"/>
    <cellStyle name="Input 4 2 2 4 2 6" xfId="29679" xr:uid="{D8CCB93A-31D1-4CC6-AE27-390DC7280886}"/>
    <cellStyle name="Input 4 2 2 4 3" xfId="29680" xr:uid="{87A88DED-C8AF-483E-ADE6-A716B0EF8839}"/>
    <cellStyle name="Input 4 2 2 4 4" xfId="29681" xr:uid="{42519B35-AF03-4228-AB33-0A24BC1F8F77}"/>
    <cellStyle name="Input 4 2 2 4 5" xfId="29682" xr:uid="{8E338227-C59E-4401-85B4-BD8DF8780181}"/>
    <cellStyle name="Input 4 2 2 4 6" xfId="29683" xr:uid="{367E2F5B-CABF-4F4A-BCF0-FCDC70B425A8}"/>
    <cellStyle name="Input 4 2 2 4 7" xfId="29684" xr:uid="{F4A67F51-D297-4FCC-9CEB-7A2FDAA4CC0B}"/>
    <cellStyle name="Input 4 2 2 40" xfId="29685" xr:uid="{F5338085-A30B-48C2-B8D4-6228C1E34B70}"/>
    <cellStyle name="Input 4 2 2 5" xfId="1852" xr:uid="{D538DCE1-4FB0-4009-88A0-1EA9B29007D4}"/>
    <cellStyle name="Input 4 2 2 5 2" xfId="10332" xr:uid="{6CD44A2B-41D5-4C34-B404-A9ADBDA658ED}"/>
    <cellStyle name="Input 4 2 2 5 2 2" xfId="29686" xr:uid="{38315F8C-C44A-4232-8B99-530D9C22BDB9}"/>
    <cellStyle name="Input 4 2 2 5 2 3" xfId="29687" xr:uid="{1ADC42C0-0A4F-44DA-9BF2-8C1797591B8F}"/>
    <cellStyle name="Input 4 2 2 5 2 4" xfId="29688" xr:uid="{43F2C6E9-9CE5-4BC0-B399-CA45C3E1D62F}"/>
    <cellStyle name="Input 4 2 2 5 2 5" xfId="29689" xr:uid="{A547675F-99FB-41F3-A6F1-01C472BACDAD}"/>
    <cellStyle name="Input 4 2 2 5 2 6" xfId="29690" xr:uid="{185A8CD5-9275-42CA-A13C-3CF3E36E567A}"/>
    <cellStyle name="Input 4 2 2 5 3" xfId="29691" xr:uid="{5DDFFFD2-13A9-41C9-900D-C74D1994C536}"/>
    <cellStyle name="Input 4 2 2 5 4" xfId="29692" xr:uid="{B675892A-4D66-40F0-87C1-DA17E882974E}"/>
    <cellStyle name="Input 4 2 2 5 5" xfId="29693" xr:uid="{DF8EB30B-49FA-4952-B19F-807205935E30}"/>
    <cellStyle name="Input 4 2 2 5 6" xfId="29694" xr:uid="{CF2DB7F6-5E84-4517-938B-13CC3823DD50}"/>
    <cellStyle name="Input 4 2 2 5 7" xfId="29695" xr:uid="{9A878C49-19AE-4A69-A235-8D3532C12F51}"/>
    <cellStyle name="Input 4 2 2 6" xfId="1853" xr:uid="{CC0F81EA-9834-471F-AA9B-E9A912976257}"/>
    <cellStyle name="Input 4 2 2 6 2" xfId="10420" xr:uid="{F9D68DF1-C82C-4ECC-93DD-17AE7A96968B}"/>
    <cellStyle name="Input 4 2 2 6 2 2" xfId="29696" xr:uid="{706B7E4D-64C6-40AC-9752-699AB5925A4A}"/>
    <cellStyle name="Input 4 2 2 6 2 3" xfId="29697" xr:uid="{1750FF71-5BEA-480D-AB5B-6217C1D3987A}"/>
    <cellStyle name="Input 4 2 2 6 2 4" xfId="29698" xr:uid="{31D7639B-675E-4601-A685-CB297B45A149}"/>
    <cellStyle name="Input 4 2 2 6 2 5" xfId="29699" xr:uid="{A120BBBC-F6DD-4F00-A28C-D26E5698CD4D}"/>
    <cellStyle name="Input 4 2 2 6 2 6" xfId="29700" xr:uid="{F999D5B8-63C7-4482-97CC-7E08F76519F6}"/>
    <cellStyle name="Input 4 2 2 6 3" xfId="29701" xr:uid="{B57C0A73-461B-4E6F-AB91-AA9C5113C754}"/>
    <cellStyle name="Input 4 2 2 6 4" xfId="29702" xr:uid="{F72A0F79-50A9-474B-9B30-87F68541E714}"/>
    <cellStyle name="Input 4 2 2 6 5" xfId="29703" xr:uid="{ADEC8DC7-8A2D-4F60-9E35-08889116AC15}"/>
    <cellStyle name="Input 4 2 2 6 6" xfId="29704" xr:uid="{F890E52F-CCA7-40D5-A3FA-D77D61B807B3}"/>
    <cellStyle name="Input 4 2 2 6 7" xfId="29705" xr:uid="{E0279219-3E7E-4854-B12F-6CE507A64EDB}"/>
    <cellStyle name="Input 4 2 2 7" xfId="1854" xr:uid="{16EAC147-9A83-4AB4-8305-C1B2845854E1}"/>
    <cellStyle name="Input 4 2 2 7 2" xfId="10507" xr:uid="{74D8B721-F44F-4D2D-87B6-8179951682BA}"/>
    <cellStyle name="Input 4 2 2 7 2 2" xfId="29706" xr:uid="{07FBDC83-9163-41F5-852B-5ADF34AF7CA8}"/>
    <cellStyle name="Input 4 2 2 7 2 3" xfId="29707" xr:uid="{36CC09F5-91CE-4AAE-AE5D-112724422C0E}"/>
    <cellStyle name="Input 4 2 2 7 2 4" xfId="29708" xr:uid="{E32A9EED-2B60-4993-96E2-22F5AD2D040C}"/>
    <cellStyle name="Input 4 2 2 7 2 5" xfId="29709" xr:uid="{9588E734-5747-4A33-8B9C-BDC70EDC9791}"/>
    <cellStyle name="Input 4 2 2 7 2 6" xfId="29710" xr:uid="{E9DEA972-7E8F-4E6E-BB8B-60F7F08D37A4}"/>
    <cellStyle name="Input 4 2 2 7 3" xfId="29711" xr:uid="{F3CA6A5D-12A2-48EC-9706-FFE8F3646B1B}"/>
    <cellStyle name="Input 4 2 2 7 4" xfId="29712" xr:uid="{B4FD7DB3-309A-4A44-B705-7637B42739EB}"/>
    <cellStyle name="Input 4 2 2 7 5" xfId="29713" xr:uid="{0D67BC22-0F75-4CC0-97BC-48C04FDB362E}"/>
    <cellStyle name="Input 4 2 2 7 6" xfId="29714" xr:uid="{0BDC307E-1BD0-45BA-B2AB-8BB44B36E3DB}"/>
    <cellStyle name="Input 4 2 2 7 7" xfId="29715" xr:uid="{DFC3430D-80CE-4232-A8BF-F48AB9E2AEE9}"/>
    <cellStyle name="Input 4 2 2 8" xfId="1855" xr:uid="{C893EED0-8E4A-406A-B231-FA49B1FE3D42}"/>
    <cellStyle name="Input 4 2 2 8 2" xfId="10595" xr:uid="{851BF886-FA47-4825-871D-953373C072D1}"/>
    <cellStyle name="Input 4 2 2 8 2 2" xfId="29716" xr:uid="{CC5328EF-0283-4ACE-AFDB-E1F247F9964B}"/>
    <cellStyle name="Input 4 2 2 8 2 3" xfId="29717" xr:uid="{49ADBA97-2A75-40CE-8703-53A61A515B03}"/>
    <cellStyle name="Input 4 2 2 8 2 4" xfId="29718" xr:uid="{44A3E667-F6C9-4412-82C0-1A7DB39D1871}"/>
    <cellStyle name="Input 4 2 2 8 2 5" xfId="29719" xr:uid="{532A02ED-9E80-47BF-8E00-1A270EEFA549}"/>
    <cellStyle name="Input 4 2 2 8 2 6" xfId="29720" xr:uid="{72664EAA-D9A1-4546-8017-3E2AA8CE3891}"/>
    <cellStyle name="Input 4 2 2 8 3" xfId="29721" xr:uid="{DFB9F5CD-350B-473D-A6EB-DBD85E0271FA}"/>
    <cellStyle name="Input 4 2 2 8 4" xfId="29722" xr:uid="{EA88DCC0-642D-4382-A160-362418148064}"/>
    <cellStyle name="Input 4 2 2 8 5" xfId="29723" xr:uid="{A5389715-12E6-495E-980E-D46840BBF32C}"/>
    <cellStyle name="Input 4 2 2 8 6" xfId="29724" xr:uid="{73FE8631-2EF4-46DB-9561-C0B988C63F3C}"/>
    <cellStyle name="Input 4 2 2 8 7" xfId="29725" xr:uid="{75459351-BDC4-4CEB-8550-746369D59D08}"/>
    <cellStyle name="Input 4 2 2 9" xfId="1856" xr:uid="{073F3912-E3FA-411F-BC79-8CEF2EEDF989}"/>
    <cellStyle name="Input 4 2 2 9 2" xfId="10677" xr:uid="{2FBB4BEC-7D66-4344-A740-C8F5D5F2F394}"/>
    <cellStyle name="Input 4 2 2 9 2 2" xfId="29726" xr:uid="{F62D2AF4-ED7F-4C00-9ADC-7A7280DD5AF6}"/>
    <cellStyle name="Input 4 2 2 9 2 3" xfId="29727" xr:uid="{3B87A2D6-2239-426B-9521-990D18EC8912}"/>
    <cellStyle name="Input 4 2 2 9 2 4" xfId="29728" xr:uid="{CBDEADE8-FD64-4439-8F98-DBDA025D108B}"/>
    <cellStyle name="Input 4 2 2 9 2 5" xfId="29729" xr:uid="{229AC3FD-49FE-4EA0-9C5A-1D8E724A950F}"/>
    <cellStyle name="Input 4 2 2 9 2 6" xfId="29730" xr:uid="{03544706-94AE-498A-808A-3789D252309D}"/>
    <cellStyle name="Input 4 2 2 9 3" xfId="29731" xr:uid="{33836C54-B360-4EEB-BED1-681D8488B854}"/>
    <cellStyle name="Input 4 2 2 9 4" xfId="29732" xr:uid="{02BAC0B9-DE57-416C-B0DD-4C07568156A8}"/>
    <cellStyle name="Input 4 2 2 9 5" xfId="29733" xr:uid="{870958A2-CA7E-4617-8759-4DCD5D8B8CBB}"/>
    <cellStyle name="Input 4 2 2 9 6" xfId="29734" xr:uid="{334C0DEA-D02B-4478-836E-CEF87ACF3A1B}"/>
    <cellStyle name="Input 4 2 2 9 7" xfId="29735" xr:uid="{3877918D-2278-4AEC-91CF-1E633B902D11}"/>
    <cellStyle name="Input 4 2 20" xfId="1857" xr:uid="{BF0D62E3-8FC9-42DF-BE30-4715F3EBE7B9}"/>
    <cellStyle name="Input 4 2 20 2" xfId="11525" xr:uid="{E470D00D-1CF3-45B9-905E-36FB293A480E}"/>
    <cellStyle name="Input 4 2 20 2 2" xfId="29736" xr:uid="{824E56E8-98DB-48A5-84C0-DA6FBDCC69D7}"/>
    <cellStyle name="Input 4 2 20 2 3" xfId="29737" xr:uid="{C2ACA9DB-B2BD-4CAD-9D3E-9F18674466EB}"/>
    <cellStyle name="Input 4 2 20 2 4" xfId="29738" xr:uid="{05034752-F88B-4626-B7CE-EDFF659DBD25}"/>
    <cellStyle name="Input 4 2 20 2 5" xfId="29739" xr:uid="{01A53739-C515-45B9-B568-F7E57111FA3C}"/>
    <cellStyle name="Input 4 2 20 2 6" xfId="29740" xr:uid="{93726A48-A677-42B3-BEE8-A0A3A0B2A74A}"/>
    <cellStyle name="Input 4 2 20 3" xfId="29741" xr:uid="{087FC0CC-F9F2-45B1-9AA9-77136669690E}"/>
    <cellStyle name="Input 4 2 20 4" xfId="29742" xr:uid="{B21FEF9B-9D23-431A-B813-70D528390D1C}"/>
    <cellStyle name="Input 4 2 20 5" xfId="29743" xr:uid="{965D5C86-4C49-4AFB-ACC1-0D3F33E0C2FD}"/>
    <cellStyle name="Input 4 2 20 6" xfId="29744" xr:uid="{837CF82B-6C45-4105-AA2F-ECD83BE4E06F}"/>
    <cellStyle name="Input 4 2 20 7" xfId="29745" xr:uid="{B2E2612B-A889-4C25-9B66-D389C5B5C921}"/>
    <cellStyle name="Input 4 2 21" xfId="1858" xr:uid="{DDDBFB5D-6FDD-426F-B282-2B3E2B7595ED}"/>
    <cellStyle name="Input 4 2 21 2" xfId="11613" xr:uid="{FDE2D7B9-610B-483F-9569-6C8FC293644C}"/>
    <cellStyle name="Input 4 2 21 2 2" xfId="29746" xr:uid="{E4A7CB9C-4398-44DE-8940-3F1C8714D518}"/>
    <cellStyle name="Input 4 2 21 2 3" xfId="29747" xr:uid="{B1096CCB-BB21-4882-ADED-5C2C0AA87DAC}"/>
    <cellStyle name="Input 4 2 21 2 4" xfId="29748" xr:uid="{C99BAEE8-1457-4921-898C-04BD314C2691}"/>
    <cellStyle name="Input 4 2 21 2 5" xfId="29749" xr:uid="{E9F563DE-F486-4E1A-9237-5094B5BFB8E9}"/>
    <cellStyle name="Input 4 2 21 2 6" xfId="29750" xr:uid="{2DDEEF5D-FEAF-48C4-A032-21764725A8A0}"/>
    <cellStyle name="Input 4 2 21 3" xfId="29751" xr:uid="{33034B3F-1D4F-4FC6-B76C-86643EE4F41C}"/>
    <cellStyle name="Input 4 2 21 4" xfId="29752" xr:uid="{D04F5E7E-DE56-41E3-B0D6-30A263CDB9D1}"/>
    <cellStyle name="Input 4 2 21 5" xfId="29753" xr:uid="{93D3AC34-6DAE-4941-8BA4-DC3C85D0DC1B}"/>
    <cellStyle name="Input 4 2 21 6" xfId="29754" xr:uid="{6FE68EA1-CC40-4277-9C3B-914E6A515887}"/>
    <cellStyle name="Input 4 2 21 7" xfId="29755" xr:uid="{6268CCDC-D7D0-44E5-A1E3-E11F064FCE8B}"/>
    <cellStyle name="Input 4 2 22" xfId="1859" xr:uid="{4C6B949B-2847-475C-88B6-9CC53F7ECF20}"/>
    <cellStyle name="Input 4 2 22 2" xfId="11697" xr:uid="{345EB6DC-85D5-427E-9933-524B7CA40B2F}"/>
    <cellStyle name="Input 4 2 22 2 2" xfId="29756" xr:uid="{5D1B3B19-BDF1-4817-B73E-7A74B05CEC76}"/>
    <cellStyle name="Input 4 2 22 2 3" xfId="29757" xr:uid="{F66902C1-2BB2-428F-861C-12EEDC50C509}"/>
    <cellStyle name="Input 4 2 22 2 4" xfId="29758" xr:uid="{19E4F8B3-102C-49B2-98C0-EDEE7946D70F}"/>
    <cellStyle name="Input 4 2 22 2 5" xfId="29759" xr:uid="{AA0CD0A7-F724-4D2A-AAA0-930C74D47419}"/>
    <cellStyle name="Input 4 2 22 2 6" xfId="29760" xr:uid="{12757030-F946-4B20-B624-7809A027266A}"/>
    <cellStyle name="Input 4 2 22 3" xfId="29761" xr:uid="{12B31944-0E28-4A77-9301-4083135894C3}"/>
    <cellStyle name="Input 4 2 22 4" xfId="29762" xr:uid="{57400DF5-1189-486D-BF96-7720CB2FA79F}"/>
    <cellStyle name="Input 4 2 22 5" xfId="29763" xr:uid="{8DE1C90D-AC21-41B2-99DD-7D8725B689B8}"/>
    <cellStyle name="Input 4 2 22 6" xfId="29764" xr:uid="{88392EF5-4351-4867-816C-3E01B119831B}"/>
    <cellStyle name="Input 4 2 22 7" xfId="29765" xr:uid="{F04A5666-5E97-42EC-AE21-A00BFE051766}"/>
    <cellStyle name="Input 4 2 23" xfId="1860" xr:uid="{5CBE1C79-481E-41AA-B8A8-396EDD19155A}"/>
    <cellStyle name="Input 4 2 23 2" xfId="11780" xr:uid="{18361438-3FCE-440A-95C9-A407AC2AA1D7}"/>
    <cellStyle name="Input 4 2 23 2 2" xfId="29766" xr:uid="{10A829B1-96AC-4029-84AD-060D792E160E}"/>
    <cellStyle name="Input 4 2 23 2 3" xfId="29767" xr:uid="{D90B7128-7D4E-40BA-84EA-82E438F31537}"/>
    <cellStyle name="Input 4 2 23 2 4" xfId="29768" xr:uid="{C545EF92-AC8D-49F8-93C5-239924495F44}"/>
    <cellStyle name="Input 4 2 23 2 5" xfId="29769" xr:uid="{14F10798-FA46-450E-80C5-7009B8EC84A9}"/>
    <cellStyle name="Input 4 2 23 2 6" xfId="29770" xr:uid="{7B781001-3D3A-49CB-A04B-0E8C2B401FAA}"/>
    <cellStyle name="Input 4 2 23 3" xfId="29771" xr:uid="{0AD7C343-4314-40A6-B412-B46F9BEE622A}"/>
    <cellStyle name="Input 4 2 23 4" xfId="29772" xr:uid="{00ED318C-849B-4154-93F9-D2D9FDEAE648}"/>
    <cellStyle name="Input 4 2 23 5" xfId="29773" xr:uid="{083A48CC-E1E0-4BAA-9A00-44F58C1B8F11}"/>
    <cellStyle name="Input 4 2 23 6" xfId="29774" xr:uid="{6AAA22F6-A398-42F0-934F-33153F461798}"/>
    <cellStyle name="Input 4 2 23 7" xfId="29775" xr:uid="{DF45B2B7-8920-4517-AA58-05FD0A0A4C13}"/>
    <cellStyle name="Input 4 2 24" xfId="1861" xr:uid="{EA7A1723-4B84-4D86-9CFE-E01AD9A8BAD4}"/>
    <cellStyle name="Input 4 2 24 2" xfId="11863" xr:uid="{2F3C6A70-DE78-4EB2-9077-34C9B5FDE7F4}"/>
    <cellStyle name="Input 4 2 24 2 2" xfId="29776" xr:uid="{DB587741-6CC4-470E-90B3-98C7EC124853}"/>
    <cellStyle name="Input 4 2 24 2 3" xfId="29777" xr:uid="{8F0417DC-E1C7-4B2B-B179-547E133D217A}"/>
    <cellStyle name="Input 4 2 24 2 4" xfId="29778" xr:uid="{023CC12A-D753-4D12-8EF4-C944373FD722}"/>
    <cellStyle name="Input 4 2 24 2 5" xfId="29779" xr:uid="{10882814-7E89-429F-867E-4AA3B3B72B69}"/>
    <cellStyle name="Input 4 2 24 2 6" xfId="29780" xr:uid="{D4FAA1B7-4385-4EB7-863D-C390B8A117C3}"/>
    <cellStyle name="Input 4 2 24 3" xfId="29781" xr:uid="{B957B06E-4EEE-4BBA-8A3E-0E3D3A565E76}"/>
    <cellStyle name="Input 4 2 24 4" xfId="29782" xr:uid="{D1FC80AF-1ADA-4C9F-A106-2C84FC43A59B}"/>
    <cellStyle name="Input 4 2 24 5" xfId="29783" xr:uid="{E3714603-C15E-49A7-8F8C-EF5BE93DB6B9}"/>
    <cellStyle name="Input 4 2 24 6" xfId="29784" xr:uid="{BCC0767F-9AED-4EE4-93D7-C814EAF72C71}"/>
    <cellStyle name="Input 4 2 24 7" xfId="29785" xr:uid="{844106A5-1DB8-4270-BD57-B959BD2ACA6D}"/>
    <cellStyle name="Input 4 2 25" xfId="1862" xr:uid="{8E4F30C4-F6DC-45DA-9ACE-5B6F99960756}"/>
    <cellStyle name="Input 4 2 25 2" xfId="11947" xr:uid="{D1FB30A2-F691-422E-A749-04A058A6FF81}"/>
    <cellStyle name="Input 4 2 25 2 2" xfId="29786" xr:uid="{0798CF6E-CF8C-46D9-93C0-0C73CC1FC50E}"/>
    <cellStyle name="Input 4 2 25 2 3" xfId="29787" xr:uid="{1445862C-CCC0-47DF-A3CA-11C18A213A8C}"/>
    <cellStyle name="Input 4 2 25 2 4" xfId="29788" xr:uid="{C1826451-AB6D-4A3B-8C05-1FBEF0EED505}"/>
    <cellStyle name="Input 4 2 25 2 5" xfId="29789" xr:uid="{DCAC1EFF-F722-4FA1-B6DD-94EFB7E21000}"/>
    <cellStyle name="Input 4 2 25 2 6" xfId="29790" xr:uid="{FB8C4279-B48A-4AC0-A518-DD36CB56058E}"/>
    <cellStyle name="Input 4 2 25 3" xfId="29791" xr:uid="{42044C76-E4B9-4AE4-ACF6-D7F5C00E1B1B}"/>
    <cellStyle name="Input 4 2 25 4" xfId="29792" xr:uid="{AE65EB45-B48D-479C-A772-F92719C597E5}"/>
    <cellStyle name="Input 4 2 25 5" xfId="29793" xr:uid="{BA0AFED8-8175-4F97-A460-E93FE3BE6156}"/>
    <cellStyle name="Input 4 2 25 6" xfId="29794" xr:uid="{14B6A56D-9E11-4BD1-9EDC-41DBABC23299}"/>
    <cellStyle name="Input 4 2 25 7" xfId="29795" xr:uid="{FA38E7EE-FF52-4E15-B948-FCA13DCC86F9}"/>
    <cellStyle name="Input 4 2 26" xfId="1863" xr:uid="{9910D414-358E-4CCB-A766-554A6E51058B}"/>
    <cellStyle name="Input 4 2 26 2" xfId="12030" xr:uid="{960A548F-7CF9-4DC6-AFC1-DCD2AD335C86}"/>
    <cellStyle name="Input 4 2 26 2 2" xfId="29796" xr:uid="{3A88E17C-CFA9-4F22-AB5E-1654AA73334D}"/>
    <cellStyle name="Input 4 2 26 2 3" xfId="29797" xr:uid="{D01EE95E-4FE0-4D2F-8BF1-0E50753CA626}"/>
    <cellStyle name="Input 4 2 26 2 4" xfId="29798" xr:uid="{AF04CB95-EBA4-4938-8FBF-CA7AF958206B}"/>
    <cellStyle name="Input 4 2 26 2 5" xfId="29799" xr:uid="{6DF6D185-DA82-4AEC-BCDA-CDFC74990076}"/>
    <cellStyle name="Input 4 2 26 2 6" xfId="29800" xr:uid="{902937E6-9321-427D-B4CA-5088865B1FF1}"/>
    <cellStyle name="Input 4 2 26 3" xfId="29801" xr:uid="{B1F25483-8029-46D1-A0EF-7E311C7716E1}"/>
    <cellStyle name="Input 4 2 26 4" xfId="29802" xr:uid="{842C4973-DA9E-4E6B-ACF4-397BEF01C8F0}"/>
    <cellStyle name="Input 4 2 26 5" xfId="29803" xr:uid="{ABDD3F86-B7A6-469B-AE93-20100E0C5033}"/>
    <cellStyle name="Input 4 2 26 6" xfId="29804" xr:uid="{05D1FA65-9006-45AC-97BE-C549C20CF0D5}"/>
    <cellStyle name="Input 4 2 26 7" xfId="29805" xr:uid="{C129CF3F-1D06-4D93-AFD5-75A3CCBDB3CD}"/>
    <cellStyle name="Input 4 2 27" xfId="1864" xr:uid="{A51D3C04-B838-4279-A19B-CC5CCBC21F9D}"/>
    <cellStyle name="Input 4 2 27 2" xfId="12113" xr:uid="{4A10F95F-A147-4FA5-9D6A-D3A9EBB0C4FD}"/>
    <cellStyle name="Input 4 2 27 2 2" xfId="29806" xr:uid="{8FD52826-FF73-4172-96D4-5D8B89FC0FC0}"/>
    <cellStyle name="Input 4 2 27 2 3" xfId="29807" xr:uid="{48901F09-EA8E-40A2-BBD9-7A7F4B3711A5}"/>
    <cellStyle name="Input 4 2 27 2 4" xfId="29808" xr:uid="{72E3730A-90B9-4BD4-9A51-75468AC9D9E7}"/>
    <cellStyle name="Input 4 2 27 2 5" xfId="29809" xr:uid="{D467CAF2-35B0-4779-999E-AFAB542CF915}"/>
    <cellStyle name="Input 4 2 27 2 6" xfId="29810" xr:uid="{1D59113A-130E-43B5-A8D3-5F739808C231}"/>
    <cellStyle name="Input 4 2 27 3" xfId="29811" xr:uid="{538E8210-CBBE-4CCF-8F32-990D300507BD}"/>
    <cellStyle name="Input 4 2 27 4" xfId="29812" xr:uid="{F909F6B2-C374-4DBA-B0B0-6FECDC35D27B}"/>
    <cellStyle name="Input 4 2 27 5" xfId="29813" xr:uid="{1E46EB8F-4EFA-4FD6-979A-181ACB967A43}"/>
    <cellStyle name="Input 4 2 27 6" xfId="29814" xr:uid="{16948FC3-354A-420D-A712-005D7B1B8C92}"/>
    <cellStyle name="Input 4 2 27 7" xfId="29815" xr:uid="{30DE659F-19D9-4F2F-BEE6-A2B9BD64E2FB}"/>
    <cellStyle name="Input 4 2 28" xfId="1865" xr:uid="{0E0D4B73-0B08-471D-B86E-63F95AF7B1A3}"/>
    <cellStyle name="Input 4 2 28 2" xfId="12195" xr:uid="{243DEEC1-EA88-465B-B52F-CFC6A0037DEF}"/>
    <cellStyle name="Input 4 2 28 2 2" xfId="29816" xr:uid="{001E5866-74AB-4734-B40A-1B27ED91220E}"/>
    <cellStyle name="Input 4 2 28 2 3" xfId="29817" xr:uid="{2EF867C0-57E0-48A9-BCF8-C4FA36305967}"/>
    <cellStyle name="Input 4 2 28 2 4" xfId="29818" xr:uid="{6A1BB0B0-71AD-4FEE-8FD2-AA49690E8FA8}"/>
    <cellStyle name="Input 4 2 28 2 5" xfId="29819" xr:uid="{D34BF2B0-510F-4B20-87D4-CF568201F707}"/>
    <cellStyle name="Input 4 2 28 2 6" xfId="29820" xr:uid="{50E59AA4-0F9F-4970-B051-4F418BE19747}"/>
    <cellStyle name="Input 4 2 28 3" xfId="29821" xr:uid="{E55B06C3-FC2C-45D4-B0D5-D570621B1CB8}"/>
    <cellStyle name="Input 4 2 28 4" xfId="29822" xr:uid="{CAACFB70-856F-4D01-ADB9-77025F051337}"/>
    <cellStyle name="Input 4 2 28 5" xfId="29823" xr:uid="{2CE8BE8E-9AF2-4392-ACA6-6D905846F4C2}"/>
    <cellStyle name="Input 4 2 28 6" xfId="29824" xr:uid="{3749BA2E-ACAA-4258-91D2-BF8D6D458F0B}"/>
    <cellStyle name="Input 4 2 28 7" xfId="29825" xr:uid="{CDCC2AC6-0713-40B0-B7D6-48C2897153E2}"/>
    <cellStyle name="Input 4 2 29" xfId="1866" xr:uid="{35E55A61-9032-45E8-960B-03D68BED1A6A}"/>
    <cellStyle name="Input 4 2 29 2" xfId="12275" xr:uid="{659576BD-3F0D-455C-80B5-68DCDE57AA22}"/>
    <cellStyle name="Input 4 2 29 2 2" xfId="29826" xr:uid="{91D55A7A-8BE2-4ABF-803D-6B59C5EA8212}"/>
    <cellStyle name="Input 4 2 29 2 3" xfId="29827" xr:uid="{A591B59A-F3E1-41DC-AF46-C5CD3FE51CEB}"/>
    <cellStyle name="Input 4 2 29 2 4" xfId="29828" xr:uid="{03834542-7B3C-4E64-A5C8-C8A0C0BBB598}"/>
    <cellStyle name="Input 4 2 29 2 5" xfId="29829" xr:uid="{7EA317B7-0FD1-4B4C-8FE8-51025274E8D6}"/>
    <cellStyle name="Input 4 2 29 2 6" xfId="29830" xr:uid="{A837B460-C070-4DB6-BD71-4469797590E9}"/>
    <cellStyle name="Input 4 2 29 3" xfId="29831" xr:uid="{85D3690D-A9F6-49C7-9240-90A695999601}"/>
    <cellStyle name="Input 4 2 29 4" xfId="29832" xr:uid="{AA8EE23C-789E-4646-AC6E-CC37EB0E2D6B}"/>
    <cellStyle name="Input 4 2 29 5" xfId="29833" xr:uid="{8E62C9B1-90D2-4806-98CC-75EE1542BF20}"/>
    <cellStyle name="Input 4 2 29 6" xfId="29834" xr:uid="{DB0F1096-A6EC-483E-BA79-4057EF041DD5}"/>
    <cellStyle name="Input 4 2 29 7" xfId="29835" xr:uid="{759DB2CF-7A40-46F1-92C4-23E69AC23A70}"/>
    <cellStyle name="Input 4 2 3" xfId="1867" xr:uid="{6C3215B5-CC02-44E8-A840-1B48303F6F9B}"/>
    <cellStyle name="Input 4 2 3 2" xfId="10032" xr:uid="{2C3EECCA-4F10-4F38-BD97-B51FAB1D9C3A}"/>
    <cellStyle name="Input 4 2 3 2 2" xfId="29836" xr:uid="{F65631AB-8B70-4C93-99C4-74A682016009}"/>
    <cellStyle name="Input 4 2 3 2 3" xfId="29837" xr:uid="{DDD66FA2-32F0-447C-B006-6CA59B3C0B95}"/>
    <cellStyle name="Input 4 2 3 2 4" xfId="29838" xr:uid="{AC4FDDB6-5E90-4BC4-BA9C-CB13C0D94159}"/>
    <cellStyle name="Input 4 2 3 2 5" xfId="29839" xr:uid="{408CC5BA-3594-400D-9B92-16CD86D7346E}"/>
    <cellStyle name="Input 4 2 3 2 6" xfId="29840" xr:uid="{DDBF5101-B403-427B-9CF7-A24467DD3792}"/>
    <cellStyle name="Input 4 2 3 3" xfId="29841" xr:uid="{E49802CF-B0DF-4A99-AC64-370C86BD1765}"/>
    <cellStyle name="Input 4 2 3 4" xfId="29842" xr:uid="{58E801D6-A465-4418-8A47-D7266F48A615}"/>
    <cellStyle name="Input 4 2 3 5" xfId="29843" xr:uid="{75960078-28C2-4406-BE24-4C643C06C300}"/>
    <cellStyle name="Input 4 2 3 6" xfId="29844" xr:uid="{6B973BC9-29E3-4B3A-A27F-9B58F3A0FEE1}"/>
    <cellStyle name="Input 4 2 3 7" xfId="29845" xr:uid="{85E62C82-8F15-4E22-8B4E-96798897FFAC}"/>
    <cellStyle name="Input 4 2 30" xfId="1868" xr:uid="{88DA4DD1-8993-4A66-825C-641CEB9B354E}"/>
    <cellStyle name="Input 4 2 30 2" xfId="12353" xr:uid="{748B95DE-07C8-4002-9659-CF930176B8A0}"/>
    <cellStyle name="Input 4 2 30 2 2" xfId="29846" xr:uid="{BBB2D0FE-40A7-4B86-B646-F3106D119C3D}"/>
    <cellStyle name="Input 4 2 30 2 3" xfId="29847" xr:uid="{E5F2DD2C-F528-4B7E-A430-26270DF5C24F}"/>
    <cellStyle name="Input 4 2 30 2 4" xfId="29848" xr:uid="{A63F57C1-794F-4F69-9D77-8338C2D45271}"/>
    <cellStyle name="Input 4 2 30 2 5" xfId="29849" xr:uid="{181A6101-A056-4166-9B52-CF603E6E87BB}"/>
    <cellStyle name="Input 4 2 30 2 6" xfId="29850" xr:uid="{3BD8852C-B09E-4C32-A031-BABEF84F29C0}"/>
    <cellStyle name="Input 4 2 30 3" xfId="29851" xr:uid="{A78A20CC-9DF5-4570-AA19-B6CA53C3F306}"/>
    <cellStyle name="Input 4 2 30 4" xfId="29852" xr:uid="{0CA44D54-3FAD-428E-AABB-DFF389F84FC0}"/>
    <cellStyle name="Input 4 2 30 5" xfId="29853" xr:uid="{3B0D73D6-64DC-4A17-9279-B7D49BAEE80E}"/>
    <cellStyle name="Input 4 2 30 6" xfId="29854" xr:uid="{15FC1129-E536-4908-9659-09E3740A674D}"/>
    <cellStyle name="Input 4 2 30 7" xfId="29855" xr:uid="{AADEB3B4-0994-474E-AEFF-635143851439}"/>
    <cellStyle name="Input 4 2 31" xfId="1869" xr:uid="{51221899-DA62-4A40-B3A5-B63D37AF64DF}"/>
    <cellStyle name="Input 4 2 31 2" xfId="12432" xr:uid="{A3E02FB5-3EBA-4CEB-A4DB-17104896E7FE}"/>
    <cellStyle name="Input 4 2 31 2 2" xfId="29856" xr:uid="{97DF8728-4ACB-4AA7-AE51-9A1996BADDCB}"/>
    <cellStyle name="Input 4 2 31 2 3" xfId="29857" xr:uid="{E0432161-4D2D-4792-8867-1E4CC64A7D86}"/>
    <cellStyle name="Input 4 2 31 2 4" xfId="29858" xr:uid="{BC756DE9-4BF8-458D-9B5E-923F2930F5A0}"/>
    <cellStyle name="Input 4 2 31 2 5" xfId="29859" xr:uid="{F248101C-7133-4B8D-AAD7-E2A8E0D7563A}"/>
    <cellStyle name="Input 4 2 31 2 6" xfId="29860" xr:uid="{79E5D078-AC88-4F8B-BBDE-4BA88687B160}"/>
    <cellStyle name="Input 4 2 31 3" xfId="29861" xr:uid="{1BA20111-DC30-4695-BDFA-944ADB0A2E44}"/>
    <cellStyle name="Input 4 2 31 4" xfId="29862" xr:uid="{DC0F6597-BA4B-4131-A02F-B19E335F74DB}"/>
    <cellStyle name="Input 4 2 31 5" xfId="29863" xr:uid="{80911A02-72FB-4A65-9CBE-60955C930786}"/>
    <cellStyle name="Input 4 2 31 6" xfId="29864" xr:uid="{E98E5C54-C272-4EE0-80E6-D95291229C70}"/>
    <cellStyle name="Input 4 2 31 7" xfId="29865" xr:uid="{B29C56A8-7F67-4541-A097-F5A9B4F5876F}"/>
    <cellStyle name="Input 4 2 32" xfId="1870" xr:uid="{5FBAAEBB-56A0-404C-A27C-4CD6881FE00B}"/>
    <cellStyle name="Input 4 2 32 2" xfId="12511" xr:uid="{FEF42F9E-ACD9-4348-91F2-493063773849}"/>
    <cellStyle name="Input 4 2 32 2 2" xfId="29866" xr:uid="{ED09E627-7C5F-44C1-A7B9-EF1ACA7E8FE9}"/>
    <cellStyle name="Input 4 2 32 2 3" xfId="29867" xr:uid="{C7051E7B-3778-49B9-A299-30BF1B2EB154}"/>
    <cellStyle name="Input 4 2 32 2 4" xfId="29868" xr:uid="{1AE801FC-FF63-493F-B544-92419FE0A848}"/>
    <cellStyle name="Input 4 2 32 2 5" xfId="29869" xr:uid="{9D7E6F9B-6AA5-4EA4-AB97-03F8DB6AE2D0}"/>
    <cellStyle name="Input 4 2 32 2 6" xfId="29870" xr:uid="{B9BB55AF-0795-4B48-B949-BAED1457ABF0}"/>
    <cellStyle name="Input 4 2 32 3" xfId="29871" xr:uid="{63F493A8-2235-4E91-A729-4FF85D2A5527}"/>
    <cellStyle name="Input 4 2 32 4" xfId="29872" xr:uid="{536AB641-6C3F-49F9-9AAF-019E5CF0A555}"/>
    <cellStyle name="Input 4 2 32 5" xfId="29873" xr:uid="{95A8834F-44C2-4D2E-8478-845BA57FC0B0}"/>
    <cellStyle name="Input 4 2 32 6" xfId="29874" xr:uid="{3B6493F9-2E6F-4261-9EC9-4295C449EF9C}"/>
    <cellStyle name="Input 4 2 32 7" xfId="29875" xr:uid="{8CD6F729-C155-4B9F-A91A-D41DF4766095}"/>
    <cellStyle name="Input 4 2 33" xfId="1871" xr:uid="{9A54F0C2-73E7-48EC-A6D4-470E7347A6C2}"/>
    <cellStyle name="Input 4 2 33 2" xfId="12590" xr:uid="{B2C8998F-6D20-455F-9E02-C718708E93AD}"/>
    <cellStyle name="Input 4 2 33 2 2" xfId="29876" xr:uid="{19BB1A36-518E-4AA3-8C05-2640BBB9CA15}"/>
    <cellStyle name="Input 4 2 33 2 3" xfId="29877" xr:uid="{1715BB3C-2B06-411D-BA75-334C3D6339FE}"/>
    <cellStyle name="Input 4 2 33 2 4" xfId="29878" xr:uid="{C01DD42F-806D-4AEB-948E-C93B45154305}"/>
    <cellStyle name="Input 4 2 33 2 5" xfId="29879" xr:uid="{A5DD06A2-D6CE-496D-8E1B-8394343C7889}"/>
    <cellStyle name="Input 4 2 33 2 6" xfId="29880" xr:uid="{92C36666-8ADC-467E-9BFD-5656E0BC5837}"/>
    <cellStyle name="Input 4 2 33 3" xfId="29881" xr:uid="{B1DBA07A-732F-4A0C-A0C8-AA98CC557439}"/>
    <cellStyle name="Input 4 2 33 4" xfId="29882" xr:uid="{C53501AA-4873-4E78-8992-21718DE4327A}"/>
    <cellStyle name="Input 4 2 33 5" xfId="29883" xr:uid="{9F99C165-D736-49FF-B5D4-9A488F844D72}"/>
    <cellStyle name="Input 4 2 33 6" xfId="29884" xr:uid="{39152CFA-0ACD-4CC8-AB56-3112A126F0CE}"/>
    <cellStyle name="Input 4 2 33 7" xfId="29885" xr:uid="{85925B7E-C4E4-4D98-AB2A-080E892E2676}"/>
    <cellStyle name="Input 4 2 34" xfId="1872" xr:uid="{8D44ED83-0210-4683-BD0C-B632138E3072}"/>
    <cellStyle name="Input 4 2 34 2" xfId="12669" xr:uid="{C9A11F0D-4103-450B-9532-2D013E999110}"/>
    <cellStyle name="Input 4 2 34 2 2" xfId="29886" xr:uid="{B148EB13-F51C-4512-B842-42B4BEA8B796}"/>
    <cellStyle name="Input 4 2 34 2 3" xfId="29887" xr:uid="{8AC314E4-EB18-4899-A4A1-658519FBA314}"/>
    <cellStyle name="Input 4 2 34 2 4" xfId="29888" xr:uid="{FBEB71CD-F399-4B08-AFCF-0BFD5891417B}"/>
    <cellStyle name="Input 4 2 34 2 5" xfId="29889" xr:uid="{53F26DA9-DA87-4B77-81C2-FE961439983A}"/>
    <cellStyle name="Input 4 2 34 2 6" xfId="29890" xr:uid="{ED29FF0C-F31E-47AF-8214-0F2F3DBC8D9F}"/>
    <cellStyle name="Input 4 2 34 3" xfId="29891" xr:uid="{30C06CA3-F357-46B7-BC81-58FA0D9384DF}"/>
    <cellStyle name="Input 4 2 34 4" xfId="29892" xr:uid="{FE8A6FB7-F912-49E3-851E-C9579EFC65E2}"/>
    <cellStyle name="Input 4 2 34 5" xfId="29893" xr:uid="{3CD3D891-598D-4BFD-805E-7E0E560CD664}"/>
    <cellStyle name="Input 4 2 34 6" xfId="29894" xr:uid="{34A032BC-0F4F-460F-B1F0-EA717900517A}"/>
    <cellStyle name="Input 4 2 34 7" xfId="29895" xr:uid="{61ADC9D8-381D-4F99-8206-6F90C62CAF38}"/>
    <cellStyle name="Input 4 2 35" xfId="1873" xr:uid="{B5FFB0CC-E725-4B33-A068-654B9EFD3F2E}"/>
    <cellStyle name="Input 4 2 35 2" xfId="12753" xr:uid="{B3A16FA5-4926-46BD-992B-86A4C12480B9}"/>
    <cellStyle name="Input 4 2 35 2 2" xfId="29896" xr:uid="{336006DE-0AA8-4608-8B93-4379B10EE203}"/>
    <cellStyle name="Input 4 2 35 2 3" xfId="29897" xr:uid="{794927B8-BEC0-4E95-840C-8A7187FF554F}"/>
    <cellStyle name="Input 4 2 35 2 4" xfId="29898" xr:uid="{83EBA561-EEE4-4361-8FE5-84579FE60E0D}"/>
    <cellStyle name="Input 4 2 35 2 5" xfId="29899" xr:uid="{D0DAB44C-86A3-4328-81E0-475E27703FD2}"/>
    <cellStyle name="Input 4 2 35 2 6" xfId="29900" xr:uid="{3C81F1C1-1187-428E-89BE-6A59A6C54469}"/>
    <cellStyle name="Input 4 2 35 3" xfId="29901" xr:uid="{1164F8FA-3E68-4024-9034-71376CF8A643}"/>
    <cellStyle name="Input 4 2 35 4" xfId="29902" xr:uid="{0DD78709-4025-4962-B7C6-C69E4145FCB2}"/>
    <cellStyle name="Input 4 2 35 5" xfId="29903" xr:uid="{43179D9F-EFA7-4C3E-BD9C-E4429603FD72}"/>
    <cellStyle name="Input 4 2 35 6" xfId="29904" xr:uid="{67A010D7-C880-4EA6-8CFA-421EC64CC26A}"/>
    <cellStyle name="Input 4 2 35 7" xfId="29905" xr:uid="{60050D26-03BE-43D0-A4E4-DAD5B46760B9}"/>
    <cellStyle name="Input 4 2 36" xfId="9819" xr:uid="{AC0D14BE-4AC0-4398-835C-F85683AFF6A1}"/>
    <cellStyle name="Input 4 2 36 2" xfId="29906" xr:uid="{9790D4FC-4664-441F-9F87-21EADB0C66C3}"/>
    <cellStyle name="Input 4 2 36 3" xfId="29907" xr:uid="{B982FF8F-ECA3-4BA2-9803-F55CF73C7BE0}"/>
    <cellStyle name="Input 4 2 36 4" xfId="29908" xr:uid="{DF860B3C-8C3F-45B7-A1B2-57853336EEFB}"/>
    <cellStyle name="Input 4 2 36 5" xfId="29909" xr:uid="{038A6AC4-A5F2-404E-B06E-C833D75E96FC}"/>
    <cellStyle name="Input 4 2 36 6" xfId="29910" xr:uid="{133AA066-356B-42DE-83F6-D3A7D05933F7}"/>
    <cellStyle name="Input 4 2 37" xfId="29911" xr:uid="{7BC6C96E-5170-4944-89E2-EE41934CDFBA}"/>
    <cellStyle name="Input 4 2 38" xfId="29912" xr:uid="{6C6717CC-3BC8-4A95-A692-2A1ECFFA56E5}"/>
    <cellStyle name="Input 4 2 39" xfId="29913" xr:uid="{FA3BC466-E0A3-427D-AD05-0F7294CD6496}"/>
    <cellStyle name="Input 4 2 4" xfId="1874" xr:uid="{3B293CBD-9B73-4936-9D3D-2255FDB8CEC7}"/>
    <cellStyle name="Input 4 2 4 2" xfId="10123" xr:uid="{A175525A-8897-4BC8-A098-2C51FC8B85C1}"/>
    <cellStyle name="Input 4 2 4 2 2" xfId="29914" xr:uid="{B9C22F68-E9B0-430B-9FE9-27551EEDF5DA}"/>
    <cellStyle name="Input 4 2 4 2 3" xfId="29915" xr:uid="{575F1FE8-DB1F-4CFA-8058-4E5B44DC36D1}"/>
    <cellStyle name="Input 4 2 4 2 4" xfId="29916" xr:uid="{38CA5E31-6538-4AB4-A494-019ED66C702D}"/>
    <cellStyle name="Input 4 2 4 2 5" xfId="29917" xr:uid="{CF29E428-9A8A-427F-881B-A723C1742077}"/>
    <cellStyle name="Input 4 2 4 2 6" xfId="29918" xr:uid="{4635AF1B-63CC-4432-820F-D27757E4B03E}"/>
    <cellStyle name="Input 4 2 4 3" xfId="29919" xr:uid="{4D8B9244-C25B-437A-9065-7E98C37FFCCF}"/>
    <cellStyle name="Input 4 2 4 4" xfId="29920" xr:uid="{BDF439EE-0DD5-47DA-80F2-ECCEBCE63F43}"/>
    <cellStyle name="Input 4 2 4 5" xfId="29921" xr:uid="{56799F5E-5BF2-4783-8328-B0C4690A9275}"/>
    <cellStyle name="Input 4 2 4 6" xfId="29922" xr:uid="{D4DF7CC4-FD43-4C07-A2F0-EDADBA0562A9}"/>
    <cellStyle name="Input 4 2 4 7" xfId="29923" xr:uid="{E7473F41-F782-4704-B2D5-4962D1EFD5B7}"/>
    <cellStyle name="Input 4 2 40" xfId="29924" xr:uid="{BBD6E451-DA6D-40B3-AE55-7B7D2ADDFD5B}"/>
    <cellStyle name="Input 4 2 41" xfId="29925" xr:uid="{0146BCCD-0298-4DFA-9132-E9388D69F7F4}"/>
    <cellStyle name="Input 4 2 5" xfId="1875" xr:uid="{C2830D2C-5507-4CEE-9590-FD399C1FED02}"/>
    <cellStyle name="Input 4 2 5 2" xfId="10213" xr:uid="{1B06B8D3-443E-49A3-9233-4F5DFA922535}"/>
    <cellStyle name="Input 4 2 5 2 2" xfId="29926" xr:uid="{E56A1D6A-A525-48E7-82CC-5749C446AE6D}"/>
    <cellStyle name="Input 4 2 5 2 3" xfId="29927" xr:uid="{FDE2DC39-3D52-4AC5-8FCA-121A1E9FCBFD}"/>
    <cellStyle name="Input 4 2 5 2 4" xfId="29928" xr:uid="{84A241D3-F47F-4C99-B5C1-F4AE52C9133A}"/>
    <cellStyle name="Input 4 2 5 2 5" xfId="29929" xr:uid="{CC6EF4BB-B8AA-4B60-AF76-09D767EF0A8C}"/>
    <cellStyle name="Input 4 2 5 2 6" xfId="29930" xr:uid="{F2BE93E0-F75C-46D6-A77F-ADE34F0EA8AF}"/>
    <cellStyle name="Input 4 2 5 3" xfId="29931" xr:uid="{AE57D821-1818-40F5-98CE-DD2C9BB1E05C}"/>
    <cellStyle name="Input 4 2 5 4" xfId="29932" xr:uid="{0ECA1DEE-E859-4795-9AC8-14AC0A6F551B}"/>
    <cellStyle name="Input 4 2 5 5" xfId="29933" xr:uid="{0192E366-001C-4E9E-A1CD-FF7425CBCAFB}"/>
    <cellStyle name="Input 4 2 5 6" xfId="29934" xr:uid="{577DEBF0-9743-47D9-88C1-BE92C7D3E292}"/>
    <cellStyle name="Input 4 2 5 7" xfId="29935" xr:uid="{186CCC83-A7B5-445D-B4E4-7EDD94BA2E73}"/>
    <cellStyle name="Input 4 2 6" xfId="1876" xr:uid="{08FF5D04-F174-415E-BF08-3A8A27E5E85B}"/>
    <cellStyle name="Input 4 2 6 2" xfId="10299" xr:uid="{BF3F094F-3352-4817-9844-A3BD7B97F8CC}"/>
    <cellStyle name="Input 4 2 6 2 2" xfId="29936" xr:uid="{34627485-5051-415A-8217-C1EE2533BC75}"/>
    <cellStyle name="Input 4 2 6 2 3" xfId="29937" xr:uid="{947D5D46-7D18-4E83-9730-913CD40AC2B0}"/>
    <cellStyle name="Input 4 2 6 2 4" xfId="29938" xr:uid="{9BD6BE79-7FED-4C7E-B88C-A10C83090B73}"/>
    <cellStyle name="Input 4 2 6 2 5" xfId="29939" xr:uid="{314479C9-0F3F-4F57-A314-3F2A14F3BD13}"/>
    <cellStyle name="Input 4 2 6 2 6" xfId="29940" xr:uid="{5145DBB4-7974-4E50-9234-6913965C4203}"/>
    <cellStyle name="Input 4 2 6 3" xfId="29941" xr:uid="{D137C1EE-DA23-4D86-9B50-AAB5DDC5EC11}"/>
    <cellStyle name="Input 4 2 6 4" xfId="29942" xr:uid="{FFEF92EA-9673-4C44-BA3B-69CCC1D63911}"/>
    <cellStyle name="Input 4 2 6 5" xfId="29943" xr:uid="{324EE32B-64F6-45CE-ADE0-5A3604474036}"/>
    <cellStyle name="Input 4 2 6 6" xfId="29944" xr:uid="{9B0E914C-A96D-4D40-9C6B-48CC1D3EF25D}"/>
    <cellStyle name="Input 4 2 6 7" xfId="29945" xr:uid="{5670BE8F-2C74-4D85-96EE-00C844B640BA}"/>
    <cellStyle name="Input 4 2 7" xfId="1877" xr:uid="{A656B39E-E567-48CC-8A3E-8CF01508229F}"/>
    <cellStyle name="Input 4 2 7 2" xfId="10387" xr:uid="{79532AB2-BE36-4612-A39C-ACAEED78ABAA}"/>
    <cellStyle name="Input 4 2 7 2 2" xfId="29946" xr:uid="{F78E9091-E9A9-46FB-A1C8-7722F82A3A2A}"/>
    <cellStyle name="Input 4 2 7 2 3" xfId="29947" xr:uid="{21870272-04AD-4133-B973-711771C3A622}"/>
    <cellStyle name="Input 4 2 7 2 4" xfId="29948" xr:uid="{FE4EF5BD-7364-4D8A-8AE2-D861DB23CC3A}"/>
    <cellStyle name="Input 4 2 7 2 5" xfId="29949" xr:uid="{2D784252-60EE-4942-A6AD-65F15C07622E}"/>
    <cellStyle name="Input 4 2 7 2 6" xfId="29950" xr:uid="{5054CC2D-CC3A-4C8D-9D5A-971D2A13C473}"/>
    <cellStyle name="Input 4 2 7 3" xfId="29951" xr:uid="{6C9E26FA-E31D-4C83-88D4-C34971CC0DE4}"/>
    <cellStyle name="Input 4 2 7 4" xfId="29952" xr:uid="{076F31A9-87EA-4226-A63F-ACB4CFAC32FE}"/>
    <cellStyle name="Input 4 2 7 5" xfId="29953" xr:uid="{C3F53108-E46F-4869-8B85-57DE0E4B29DA}"/>
    <cellStyle name="Input 4 2 7 6" xfId="29954" xr:uid="{2CAF9CFF-E8F6-434F-9AB5-AD6B9D5AAFD7}"/>
    <cellStyle name="Input 4 2 7 7" xfId="29955" xr:uid="{EBE267B2-18D8-4117-A739-C8065726F918}"/>
    <cellStyle name="Input 4 2 8" xfId="1878" xr:uid="{E3E927EA-DBA2-4CDE-AA36-A63CAD13D381}"/>
    <cellStyle name="Input 4 2 8 2" xfId="10474" xr:uid="{AD592B57-CFE4-4816-98B5-7E06D635DDCD}"/>
    <cellStyle name="Input 4 2 8 2 2" xfId="29956" xr:uid="{EC6EBAF2-0E03-459B-8A4A-8AB5AE95F391}"/>
    <cellStyle name="Input 4 2 8 2 3" xfId="29957" xr:uid="{522E974C-9A1E-430B-AA14-D6C4A44AAB41}"/>
    <cellStyle name="Input 4 2 8 2 4" xfId="29958" xr:uid="{5A018E99-B6BC-4B2D-9F39-C6EE7C0EECEA}"/>
    <cellStyle name="Input 4 2 8 2 5" xfId="29959" xr:uid="{75202717-6699-4EFC-AD22-A41D2D0A9E64}"/>
    <cellStyle name="Input 4 2 8 2 6" xfId="29960" xr:uid="{07A43ADB-1D67-4545-AD27-D523AF324DF5}"/>
    <cellStyle name="Input 4 2 8 3" xfId="29961" xr:uid="{6700927E-FDFB-45BD-9B7E-3B2F1B9106D7}"/>
    <cellStyle name="Input 4 2 8 4" xfId="29962" xr:uid="{BFBA4CBF-36A4-4970-BCCB-63FEA95F0E50}"/>
    <cellStyle name="Input 4 2 8 5" xfId="29963" xr:uid="{0D656358-6B38-418B-BDC0-D5CCC5408D21}"/>
    <cellStyle name="Input 4 2 8 6" xfId="29964" xr:uid="{00C07A0E-7FB0-4781-9950-3CF3C8CC8D02}"/>
    <cellStyle name="Input 4 2 8 7" xfId="29965" xr:uid="{27BA288D-84D2-49FF-9902-77F1C2EBAD2B}"/>
    <cellStyle name="Input 4 2 9" xfId="1879" xr:uid="{EAFE84CB-E635-4E9B-A454-8296F60289B0}"/>
    <cellStyle name="Input 4 2 9 2" xfId="10562" xr:uid="{5E7E0622-1D28-4BD4-8A75-39834B68DEBE}"/>
    <cellStyle name="Input 4 2 9 2 2" xfId="29966" xr:uid="{F92C5724-2113-4D2A-89D3-BDE3DEC102CB}"/>
    <cellStyle name="Input 4 2 9 2 3" xfId="29967" xr:uid="{B47F2BF4-445D-4A58-AA25-C11E4F003046}"/>
    <cellStyle name="Input 4 2 9 2 4" xfId="29968" xr:uid="{984DFC73-2A9B-436C-B873-4C6A6BA108DA}"/>
    <cellStyle name="Input 4 2 9 2 5" xfId="29969" xr:uid="{708E7BB4-AACC-4DE4-A2E3-58140EA737CA}"/>
    <cellStyle name="Input 4 2 9 2 6" xfId="29970" xr:uid="{371DBD61-7F34-408C-8950-84EBF396EF5E}"/>
    <cellStyle name="Input 4 2 9 3" xfId="29971" xr:uid="{6A941811-9C22-4DAB-BD85-21D5487BE730}"/>
    <cellStyle name="Input 4 2 9 4" xfId="29972" xr:uid="{62BCCA27-CCD8-4F86-919B-76B5E6832ECE}"/>
    <cellStyle name="Input 4 2 9 5" xfId="29973" xr:uid="{97294D18-EAB2-42BD-9071-CCA6307C0594}"/>
    <cellStyle name="Input 4 2 9 6" xfId="29974" xr:uid="{147AA4BB-A792-4B4A-B4E6-ACA70FDB3ADE}"/>
    <cellStyle name="Input 4 2 9 7" xfId="29975" xr:uid="{92961DE8-2E2F-4DAE-B854-18F84268F0B8}"/>
    <cellStyle name="Input 4 20" xfId="1880" xr:uid="{7C555234-70EB-4CD3-A5EC-4CCD7268BEB2}"/>
    <cellStyle name="Input 4 20 2" xfId="10689" xr:uid="{F8B1D8CF-402B-44C7-99E5-08859387E25D}"/>
    <cellStyle name="Input 4 20 2 2" xfId="29976" xr:uid="{87960EE9-7D83-4FF5-919B-8CD13DEDBDF4}"/>
    <cellStyle name="Input 4 20 2 3" xfId="29977" xr:uid="{E94088FE-CCFA-47EC-A278-D9AF3A4DF2AB}"/>
    <cellStyle name="Input 4 20 2 4" xfId="29978" xr:uid="{08CF5564-E046-4BCD-AB8C-CA80AD11CD88}"/>
    <cellStyle name="Input 4 20 2 5" xfId="29979" xr:uid="{E0DEEDB5-9E69-4526-A55B-7D5B3E5F653B}"/>
    <cellStyle name="Input 4 20 2 6" xfId="29980" xr:uid="{5ED3E5A5-0834-4CD6-86A5-ED26E33BB4D3}"/>
    <cellStyle name="Input 4 20 3" xfId="29981" xr:uid="{D2E626F6-61DD-4C2B-815B-1624AC6FECD3}"/>
    <cellStyle name="Input 4 20 4" xfId="29982" xr:uid="{A69D4CF1-4E6B-4602-B720-EC716958F2D8}"/>
    <cellStyle name="Input 4 20 5" xfId="29983" xr:uid="{19F23A88-E2E3-4A0A-AE81-414031DF156B}"/>
    <cellStyle name="Input 4 20 6" xfId="29984" xr:uid="{91C83F15-6405-4411-9900-47BFB1E89380}"/>
    <cellStyle name="Input 4 20 7" xfId="29985" xr:uid="{975E7ED5-B1EE-47E4-A45C-DBBC117F1EF5}"/>
    <cellStyle name="Input 4 21" xfId="1881" xr:uid="{40B491E9-CE7C-4B12-9F0C-9A3D2B080A28}"/>
    <cellStyle name="Input 4 21 2" xfId="10690" xr:uid="{08A0D916-198D-4896-A8E4-5C26BBBB04C8}"/>
    <cellStyle name="Input 4 21 2 2" xfId="29986" xr:uid="{9AE36880-53EF-4B6C-ADDB-FA27FFBA571D}"/>
    <cellStyle name="Input 4 21 2 3" xfId="29987" xr:uid="{0ECAF654-E1FE-4E13-B6B2-5F87341D3325}"/>
    <cellStyle name="Input 4 21 2 4" xfId="29988" xr:uid="{D9AB1CFE-2BFE-497E-8689-95F024E1C5AB}"/>
    <cellStyle name="Input 4 21 2 5" xfId="29989" xr:uid="{7708B2EC-AA0A-4DD8-914E-CDADAE8478AF}"/>
    <cellStyle name="Input 4 21 2 6" xfId="29990" xr:uid="{2E954F0E-8711-4EB8-8468-CEF919033793}"/>
    <cellStyle name="Input 4 21 3" xfId="29991" xr:uid="{7B135059-BA8C-4155-8327-7849613FD627}"/>
    <cellStyle name="Input 4 21 4" xfId="29992" xr:uid="{7BC67DFE-FB78-4BB0-95DA-15A14EC592ED}"/>
    <cellStyle name="Input 4 21 5" xfId="29993" xr:uid="{36E6AEF5-D78C-4813-84ED-9974C07AF3E1}"/>
    <cellStyle name="Input 4 21 6" xfId="29994" xr:uid="{81A9CC2F-BC41-49A1-8F5B-6C4B104CB457}"/>
    <cellStyle name="Input 4 21 7" xfId="29995" xr:uid="{46C94C1C-284E-42C9-9750-FE35B812154C}"/>
    <cellStyle name="Input 4 22" xfId="1882" xr:uid="{2855A5A0-D3FA-4B64-8C52-A6A739F5CCBC}"/>
    <cellStyle name="Input 4 22 2" xfId="10954" xr:uid="{67CE1328-05C2-4400-8177-7DFDCC5C2456}"/>
    <cellStyle name="Input 4 22 2 2" xfId="29996" xr:uid="{5F868130-457F-4343-ACA2-F531ABBD0E78}"/>
    <cellStyle name="Input 4 22 2 3" xfId="29997" xr:uid="{427D0622-52AF-4EF3-B96E-5BBF749213FA}"/>
    <cellStyle name="Input 4 22 2 4" xfId="29998" xr:uid="{69105F71-42E2-4824-AF76-519B0EF18DA7}"/>
    <cellStyle name="Input 4 22 2 5" xfId="29999" xr:uid="{E761459C-30AA-421A-A3D5-321A74ECBD7B}"/>
    <cellStyle name="Input 4 22 2 6" xfId="30000" xr:uid="{A3465CE4-652F-4DD0-82C1-2EFEAFA81185}"/>
    <cellStyle name="Input 4 22 3" xfId="30001" xr:uid="{3B6110C5-90EB-424F-9CAD-5CFE334223E2}"/>
    <cellStyle name="Input 4 22 4" xfId="30002" xr:uid="{E7EBC57F-6BF2-4490-91A7-26B048839F22}"/>
    <cellStyle name="Input 4 22 5" xfId="30003" xr:uid="{62CCC59B-62D4-4B68-9A48-E9D1CB26D7CD}"/>
    <cellStyle name="Input 4 22 6" xfId="30004" xr:uid="{BF77D506-E75F-4CBA-B490-B5C823414DEC}"/>
    <cellStyle name="Input 4 22 7" xfId="30005" xr:uid="{36C577C8-AC8B-4152-8B23-F494D7096AFB}"/>
    <cellStyle name="Input 4 23" xfId="1883" xr:uid="{E5CD9AB2-DEC9-43E5-9820-846720ED60F8}"/>
    <cellStyle name="Input 4 23 2" xfId="9729" xr:uid="{2EC28D5A-5D51-41BC-9E66-3414380F1ECD}"/>
    <cellStyle name="Input 4 23 2 2" xfId="30006" xr:uid="{83AE4921-83A7-4EFF-B473-FF55C1940F9D}"/>
    <cellStyle name="Input 4 23 2 3" xfId="30007" xr:uid="{55616B7C-6021-4F1E-9474-06B9646448B2}"/>
    <cellStyle name="Input 4 23 2 4" xfId="30008" xr:uid="{B6ABBB34-72D8-47B0-97C1-9A45EE8D9EED}"/>
    <cellStyle name="Input 4 23 2 5" xfId="30009" xr:uid="{2997BA0D-5CE9-4F9C-B875-999097842C69}"/>
    <cellStyle name="Input 4 23 2 6" xfId="30010" xr:uid="{B10C9A7D-AA47-4CCF-BDC7-0F3BA6346AC3}"/>
    <cellStyle name="Input 4 23 3" xfId="30011" xr:uid="{7BF8D13C-3016-4997-A832-F8130AB14CA3}"/>
    <cellStyle name="Input 4 23 4" xfId="30012" xr:uid="{7BFD92C5-2A05-436B-A7CC-D696BDB6F14A}"/>
    <cellStyle name="Input 4 23 5" xfId="30013" xr:uid="{720FFAAE-A33F-4D3D-AA69-39ABDD0DA9E8}"/>
    <cellStyle name="Input 4 23 6" xfId="30014" xr:uid="{80B8A031-E49D-45DF-A0CF-1B8CCC9E0A26}"/>
    <cellStyle name="Input 4 23 7" xfId="30015" xr:uid="{B81CD57D-DE9C-434C-B2D9-9896607A5F4E}"/>
    <cellStyle name="Input 4 24" xfId="1884" xr:uid="{9CF5C514-F63F-4EFF-9A85-37B17E167E53}"/>
    <cellStyle name="Input 4 24 2" xfId="11217" xr:uid="{BAD2962F-5002-4AED-B4F0-67957D618CEE}"/>
    <cellStyle name="Input 4 24 2 2" xfId="30016" xr:uid="{9651D3B4-26C1-4BE8-A148-2A0933ADEFE7}"/>
    <cellStyle name="Input 4 24 2 3" xfId="30017" xr:uid="{3E70A889-8248-405D-90C6-D1FC93D6A215}"/>
    <cellStyle name="Input 4 24 2 4" xfId="30018" xr:uid="{047CD88F-5A59-4716-8654-52BB0C3E57C1}"/>
    <cellStyle name="Input 4 24 2 5" xfId="30019" xr:uid="{45789D22-EB56-4DF2-8234-DBFCCBD57BB0}"/>
    <cellStyle name="Input 4 24 2 6" xfId="30020" xr:uid="{3F169743-EB1F-44B5-B43C-011919555910}"/>
    <cellStyle name="Input 4 24 3" xfId="30021" xr:uid="{BA087339-C77E-4293-B39B-1887F9EE09BF}"/>
    <cellStyle name="Input 4 24 4" xfId="30022" xr:uid="{5A34BAB2-9DAB-40B9-9193-F560DB57FEE7}"/>
    <cellStyle name="Input 4 24 5" xfId="30023" xr:uid="{C5E6BC58-7D5F-4151-9069-09DA2A891010}"/>
    <cellStyle name="Input 4 24 6" xfId="30024" xr:uid="{518F363A-8DCC-4F2B-9344-6D7A6077F2CD}"/>
    <cellStyle name="Input 4 24 7" xfId="30025" xr:uid="{52CB9ED0-941D-4D24-90D0-74C5DB21BFAE}"/>
    <cellStyle name="Input 4 25" xfId="1885" xr:uid="{C228B59D-D8E7-4C9E-80AD-8B1B154B61DB}"/>
    <cellStyle name="Input 4 25 2" xfId="10686" xr:uid="{7255A1A0-3D34-4BED-9D1A-40D7F82E8AFB}"/>
    <cellStyle name="Input 4 25 2 2" xfId="30026" xr:uid="{8F44FECC-6775-4FCD-8A9C-6B5B2BADC499}"/>
    <cellStyle name="Input 4 25 2 3" xfId="30027" xr:uid="{2E1023B0-3C68-470C-B080-14C4D77ACC8B}"/>
    <cellStyle name="Input 4 25 2 4" xfId="30028" xr:uid="{5483189D-D296-43C3-9734-C26BF88C46C9}"/>
    <cellStyle name="Input 4 25 2 5" xfId="30029" xr:uid="{308605F6-0E13-4B2B-9D9E-8C8E8B292AEE}"/>
    <cellStyle name="Input 4 25 2 6" xfId="30030" xr:uid="{C3701459-9C28-4E71-A2E5-E7BE772DA1E8}"/>
    <cellStyle name="Input 4 25 3" xfId="30031" xr:uid="{7286BEF3-00D2-4277-8C88-C4D031D2FFEA}"/>
    <cellStyle name="Input 4 25 4" xfId="30032" xr:uid="{9CEC5193-A822-4F28-B905-DBE01CA3DB74}"/>
    <cellStyle name="Input 4 25 5" xfId="30033" xr:uid="{92B1AEF3-ACEC-4A72-A181-5B05FF9B31FB}"/>
    <cellStyle name="Input 4 25 6" xfId="30034" xr:uid="{4150C55A-EA76-4A3B-B384-E7E35D6F3EDE}"/>
    <cellStyle name="Input 4 25 7" xfId="30035" xr:uid="{C651EC78-7221-4834-AF76-AE5C4D9A3A3D}"/>
    <cellStyle name="Input 4 26" xfId="1886" xr:uid="{8051233F-B945-4F83-B042-17158906D54C}"/>
    <cellStyle name="Input 4 26 2" xfId="9964" xr:uid="{4EF88CF0-C68B-4BE0-AD89-DEF0CCE41C4C}"/>
    <cellStyle name="Input 4 26 2 2" xfId="30036" xr:uid="{0BBC91C7-34D3-4D60-8C14-AD8751D57E38}"/>
    <cellStyle name="Input 4 26 2 3" xfId="30037" xr:uid="{2E52DED3-57DC-405E-9306-9E15C6A2A80E}"/>
    <cellStyle name="Input 4 26 2 4" xfId="30038" xr:uid="{7FF86980-8234-42F3-B151-695FC9552577}"/>
    <cellStyle name="Input 4 26 2 5" xfId="30039" xr:uid="{FF39E040-756E-462B-98BC-9760277BA2F5}"/>
    <cellStyle name="Input 4 26 2 6" xfId="30040" xr:uid="{688EA306-132A-4B2D-B058-33FE2B58499A}"/>
    <cellStyle name="Input 4 26 3" xfId="30041" xr:uid="{8E8F7A0C-538E-4A27-AF32-91F41501D660}"/>
    <cellStyle name="Input 4 26 4" xfId="30042" xr:uid="{24DAC972-775F-4FEC-98CD-73BFF5729DB8}"/>
    <cellStyle name="Input 4 26 5" xfId="30043" xr:uid="{8A4832BC-DBD1-425A-8E02-B17AA3B4E23F}"/>
    <cellStyle name="Input 4 26 6" xfId="30044" xr:uid="{029D4389-5237-40CE-B403-8578CB9C9129}"/>
    <cellStyle name="Input 4 26 7" xfId="30045" xr:uid="{1B06FB00-4CAD-4906-950D-013D386CA48F}"/>
    <cellStyle name="Input 4 27" xfId="1887" xr:uid="{B47AADDD-98D4-4801-A6AC-CA8D5E7F7837}"/>
    <cellStyle name="Input 4 27 2" xfId="10428" xr:uid="{371B360B-4B73-4ACE-8DA4-B2A03B4BB4C1}"/>
    <cellStyle name="Input 4 27 2 2" xfId="30046" xr:uid="{3E04CF6F-6F6F-4045-88F4-64680FE20E84}"/>
    <cellStyle name="Input 4 27 2 3" xfId="30047" xr:uid="{066F1F7D-3C04-430F-8AD2-6ECA5B1084D4}"/>
    <cellStyle name="Input 4 27 2 4" xfId="30048" xr:uid="{709A7322-2C3C-49BC-AA48-682E358F467D}"/>
    <cellStyle name="Input 4 27 2 5" xfId="30049" xr:uid="{E9723827-CEFD-487F-966B-6D9D207A5373}"/>
    <cellStyle name="Input 4 27 2 6" xfId="30050" xr:uid="{E5FAA497-195B-4980-A1B4-7D80BB7931F4}"/>
    <cellStyle name="Input 4 27 3" xfId="30051" xr:uid="{50FC8C3C-147E-4754-8C02-827ED82D8E16}"/>
    <cellStyle name="Input 4 27 4" xfId="30052" xr:uid="{79176DBA-BCC0-494E-849E-8C421A5EB684}"/>
    <cellStyle name="Input 4 27 5" xfId="30053" xr:uid="{45952E10-982B-4E83-BB19-3FBB7489B4A6}"/>
    <cellStyle name="Input 4 27 6" xfId="30054" xr:uid="{AB82503E-F035-46CD-A51F-D169D67E4CCB}"/>
    <cellStyle name="Input 4 27 7" xfId="30055" xr:uid="{4448A632-8C14-4303-91F5-359CA4387FF2}"/>
    <cellStyle name="Input 4 28" xfId="1888" xr:uid="{E1A111DC-FD20-478B-A0E9-A40EC70B3449}"/>
    <cellStyle name="Input 4 28 2" xfId="11327" xr:uid="{2021082A-0640-45C2-8676-5B8B73D20B93}"/>
    <cellStyle name="Input 4 28 2 2" xfId="30056" xr:uid="{0CF860ED-6CD6-4D8B-92C7-D0146709526C}"/>
    <cellStyle name="Input 4 28 2 3" xfId="30057" xr:uid="{01064740-1B97-4505-A871-B896E9821907}"/>
    <cellStyle name="Input 4 28 2 4" xfId="30058" xr:uid="{AA5B8B11-C03F-4064-91C8-42C0785904E9}"/>
    <cellStyle name="Input 4 28 2 5" xfId="30059" xr:uid="{D7BF8896-8605-4747-9DCD-2D6774600717}"/>
    <cellStyle name="Input 4 28 2 6" xfId="30060" xr:uid="{4CD7EE77-A55B-44E8-9A58-C5F97E1F11FD}"/>
    <cellStyle name="Input 4 28 3" xfId="30061" xr:uid="{E108ED34-8A95-46DA-8B7A-366F8924DB57}"/>
    <cellStyle name="Input 4 28 4" xfId="30062" xr:uid="{3B51EA7C-388C-4489-A8ED-A92B976402F9}"/>
    <cellStyle name="Input 4 28 5" xfId="30063" xr:uid="{43BBDC40-FDC6-4C88-B988-5DDBE6754C4C}"/>
    <cellStyle name="Input 4 28 6" xfId="30064" xr:uid="{2C331F92-FB0D-4C54-8E95-19F2744FA366}"/>
    <cellStyle name="Input 4 28 7" xfId="30065" xr:uid="{3CBD419C-5A5F-480B-A2FA-7211BA62BC3C}"/>
    <cellStyle name="Input 4 29" xfId="1889" xr:uid="{5D87F75E-79BE-416E-AD7C-D14269442FB6}"/>
    <cellStyle name="Input 4 29 2" xfId="10341" xr:uid="{99D94FFE-9E47-4597-B2B1-6E8023ACFEC9}"/>
    <cellStyle name="Input 4 29 2 2" xfId="30066" xr:uid="{49AFC55A-411F-4F90-B1A5-794A9F9EE186}"/>
    <cellStyle name="Input 4 29 2 3" xfId="30067" xr:uid="{DABA9D89-88E7-4F6F-ABE3-857B650A4C31}"/>
    <cellStyle name="Input 4 29 2 4" xfId="30068" xr:uid="{A2B14294-4DB1-4AED-82E1-8D98BA5B45AB}"/>
    <cellStyle name="Input 4 29 2 5" xfId="30069" xr:uid="{B95D06E8-EE51-4547-BCFD-BC65B266723E}"/>
    <cellStyle name="Input 4 29 2 6" xfId="30070" xr:uid="{71A71451-42C8-47FF-8E3C-D97223BE35F4}"/>
    <cellStyle name="Input 4 29 3" xfId="30071" xr:uid="{071A0C44-7691-4E05-B257-53E6E091059F}"/>
    <cellStyle name="Input 4 29 4" xfId="30072" xr:uid="{FFB0D834-E384-4E6B-A9E3-598C956275AE}"/>
    <cellStyle name="Input 4 29 5" xfId="30073" xr:uid="{B93284B0-EBAC-488D-A79D-48D62ED3CE86}"/>
    <cellStyle name="Input 4 29 6" xfId="30074" xr:uid="{1985A25F-F27E-43AC-9C16-9A1F28F6EEEF}"/>
    <cellStyle name="Input 4 29 7" xfId="30075" xr:uid="{485CFEB9-2B24-46C2-B8B8-DBA84E06316F}"/>
    <cellStyle name="Input 4 3" xfId="1890" xr:uid="{AA4DE6D2-EED0-46AB-A9B6-B7CFF1E9AA96}"/>
    <cellStyle name="Input 4 3 10" xfId="1891" xr:uid="{5F072978-DB65-4497-BD6D-1597F0A7820A}"/>
    <cellStyle name="Input 4 3 10 2" xfId="10628" xr:uid="{9B456939-2151-426B-83C2-BB1BE8834D3F}"/>
    <cellStyle name="Input 4 3 10 2 2" xfId="30076" xr:uid="{92E99022-0ECB-4A1E-B202-E4BBE013B404}"/>
    <cellStyle name="Input 4 3 10 2 3" xfId="30077" xr:uid="{8F1F2155-FB51-4251-B36D-1184462B43EC}"/>
    <cellStyle name="Input 4 3 10 2 4" xfId="30078" xr:uid="{9104DECF-D8BC-49CB-9933-DAFE354B2598}"/>
    <cellStyle name="Input 4 3 10 2 5" xfId="30079" xr:uid="{8736AC25-BF31-420B-9396-9CF8ACFCBBF4}"/>
    <cellStyle name="Input 4 3 10 2 6" xfId="30080" xr:uid="{0A339FA4-F006-4E6F-BFD5-B659DD1EBE0D}"/>
    <cellStyle name="Input 4 3 10 3" xfId="30081" xr:uid="{2DF0FF1F-071E-45BE-BFAC-B1E80A1DEFDB}"/>
    <cellStyle name="Input 4 3 10 4" xfId="30082" xr:uid="{31390D8C-F4B5-4747-8EA4-53291A343FBB}"/>
    <cellStyle name="Input 4 3 10 5" xfId="30083" xr:uid="{D8238DDB-8F4D-4FFD-B674-BC78A5A425A5}"/>
    <cellStyle name="Input 4 3 10 6" xfId="30084" xr:uid="{15B00429-2C87-4010-90AF-E1037F9105F3}"/>
    <cellStyle name="Input 4 3 10 7" xfId="30085" xr:uid="{48B92611-82E9-46B7-B812-2C127B01DEA8}"/>
    <cellStyle name="Input 4 3 11" xfId="1892" xr:uid="{F9A7A4C8-2940-449E-8DE2-88969CD0415F}"/>
    <cellStyle name="Input 4 3 11 2" xfId="10719" xr:uid="{9CAA2E40-6B9E-44C8-835B-FB74937094E8}"/>
    <cellStyle name="Input 4 3 11 2 2" xfId="30086" xr:uid="{44EFE26B-99D7-4952-88C1-E38ECA6E3DA3}"/>
    <cellStyle name="Input 4 3 11 2 3" xfId="30087" xr:uid="{5CACF0A3-996D-4581-8495-5920DB319032}"/>
    <cellStyle name="Input 4 3 11 2 4" xfId="30088" xr:uid="{F6CABE37-9F86-4831-BE9B-B2C4F937231F}"/>
    <cellStyle name="Input 4 3 11 2 5" xfId="30089" xr:uid="{25703EF7-5D89-49BA-910B-9D60700DB2D9}"/>
    <cellStyle name="Input 4 3 11 2 6" xfId="30090" xr:uid="{D5E9FCAB-E134-4A23-8DCA-F8580F0E1BD9}"/>
    <cellStyle name="Input 4 3 11 3" xfId="30091" xr:uid="{E188A166-5CE3-4852-AF1C-BAC02D5FAB1F}"/>
    <cellStyle name="Input 4 3 11 4" xfId="30092" xr:uid="{05D563B0-1748-45C3-B793-9BD267A79938}"/>
    <cellStyle name="Input 4 3 11 5" xfId="30093" xr:uid="{A7B2679C-F0AE-4740-AD4D-2870AFF0AB9E}"/>
    <cellStyle name="Input 4 3 11 6" xfId="30094" xr:uid="{3F6FCA1C-A184-4021-A17A-A60E118BF896}"/>
    <cellStyle name="Input 4 3 11 7" xfId="30095" xr:uid="{8A1A21D7-4537-426E-924D-500B60F987AC}"/>
    <cellStyle name="Input 4 3 12" xfId="1893" xr:uid="{F117EFDF-3312-4DF2-99B8-D1AA91FC4CEC}"/>
    <cellStyle name="Input 4 3 12 2" xfId="10807" xr:uid="{B70A8647-A612-4C41-A85B-5D3D8B8F5763}"/>
    <cellStyle name="Input 4 3 12 2 2" xfId="30096" xr:uid="{09D2BD1B-150F-4A21-A89A-947FA6BC01CE}"/>
    <cellStyle name="Input 4 3 12 2 3" xfId="30097" xr:uid="{6CD979B5-F0C6-49A5-B363-BB2950C09CBF}"/>
    <cellStyle name="Input 4 3 12 2 4" xfId="30098" xr:uid="{356ECBFA-44E7-4CAA-BD28-5DFE0FB3E2E9}"/>
    <cellStyle name="Input 4 3 12 2 5" xfId="30099" xr:uid="{177E3039-7F48-49D9-BFB7-9CD12B876338}"/>
    <cellStyle name="Input 4 3 12 2 6" xfId="30100" xr:uid="{DE4D6129-FC13-41EF-BCC0-E41253CF0122}"/>
    <cellStyle name="Input 4 3 12 3" xfId="30101" xr:uid="{F1608263-C781-4BEF-B8ED-B587EBA5CDA0}"/>
    <cellStyle name="Input 4 3 12 4" xfId="30102" xr:uid="{75155704-0F66-4CCB-9102-AD161B284382}"/>
    <cellStyle name="Input 4 3 12 5" xfId="30103" xr:uid="{48E5BDC8-9DDE-4DFB-A05A-6D47AFFAD939}"/>
    <cellStyle name="Input 4 3 12 6" xfId="30104" xr:uid="{05319C8A-40C5-41D2-AAA1-95AF71882CFF}"/>
    <cellStyle name="Input 4 3 12 7" xfId="30105" xr:uid="{3206DD5B-3000-4839-A997-11AFB9F7EBC8}"/>
    <cellStyle name="Input 4 3 13" xfId="1894" xr:uid="{CCF860F9-B446-493D-8DCB-3FA54E66B73E}"/>
    <cellStyle name="Input 4 3 13 2" xfId="10896" xr:uid="{6926B158-73A9-4145-8B48-C478957FAED3}"/>
    <cellStyle name="Input 4 3 13 2 2" xfId="30106" xr:uid="{F8D858AB-870A-4F0C-9D84-0B11F355AE3A}"/>
    <cellStyle name="Input 4 3 13 2 3" xfId="30107" xr:uid="{987A870D-8FEA-41F1-91A3-CCB1F4CE4171}"/>
    <cellStyle name="Input 4 3 13 2 4" xfId="30108" xr:uid="{6242EC21-5A9F-4E67-8784-A7374DAFA8C9}"/>
    <cellStyle name="Input 4 3 13 2 5" xfId="30109" xr:uid="{BB51CB73-F038-4F08-BAE2-364DE238C80D}"/>
    <cellStyle name="Input 4 3 13 2 6" xfId="30110" xr:uid="{1A36805C-2B7F-4F44-B017-557F5AEA6D24}"/>
    <cellStyle name="Input 4 3 13 3" xfId="30111" xr:uid="{7065EC3C-0A63-4579-878B-4B90D33FB648}"/>
    <cellStyle name="Input 4 3 13 4" xfId="30112" xr:uid="{136E6225-99C5-4D6B-A382-0E4AC2F04743}"/>
    <cellStyle name="Input 4 3 13 5" xfId="30113" xr:uid="{5D48EF45-92C1-4A49-AAB1-65766B16D651}"/>
    <cellStyle name="Input 4 3 13 6" xfId="30114" xr:uid="{3F72EE9A-F789-4363-AFA9-9EFF84DA07FC}"/>
    <cellStyle name="Input 4 3 13 7" xfId="30115" xr:uid="{DCA5E067-A0A4-49B8-8952-5A399CC8FCC3}"/>
    <cellStyle name="Input 4 3 14" xfId="1895" xr:uid="{44124DC5-9AC0-4EDE-9B1F-3D564B63ADB4}"/>
    <cellStyle name="Input 4 3 14 2" xfId="10986" xr:uid="{90627973-8A12-4BD6-B9E0-FD88C63666B1}"/>
    <cellStyle name="Input 4 3 14 2 2" xfId="30116" xr:uid="{1A1E8A81-0FF0-4E7D-B1F4-8A361DB5ACCC}"/>
    <cellStyle name="Input 4 3 14 2 3" xfId="30117" xr:uid="{5F4D514A-29C1-4C95-84C7-FA4F62871224}"/>
    <cellStyle name="Input 4 3 14 2 4" xfId="30118" xr:uid="{036BE15D-5C24-4464-B16F-09B3A3E14B30}"/>
    <cellStyle name="Input 4 3 14 2 5" xfId="30119" xr:uid="{FF80B0C1-F100-42E3-ADAD-FE953A4DFA18}"/>
    <cellStyle name="Input 4 3 14 2 6" xfId="30120" xr:uid="{C6901648-EB68-4879-B478-5091124DB12C}"/>
    <cellStyle name="Input 4 3 14 3" xfId="30121" xr:uid="{10086314-A1B9-4490-8C14-A1500EE4A7F6}"/>
    <cellStyle name="Input 4 3 14 4" xfId="30122" xr:uid="{4E0C260B-150F-4831-9C9C-2A10E8B66145}"/>
    <cellStyle name="Input 4 3 14 5" xfId="30123" xr:uid="{427AC869-5833-4892-946A-A7D98E69891B}"/>
    <cellStyle name="Input 4 3 14 6" xfId="30124" xr:uid="{1D61D07C-352C-4408-A5C9-B302107D0350}"/>
    <cellStyle name="Input 4 3 14 7" xfId="30125" xr:uid="{CBA7069C-4A17-4E30-9781-467ACE1AA738}"/>
    <cellStyle name="Input 4 3 15" xfId="1896" xr:uid="{5A1DC737-EAF2-42F2-82E5-390370C8F623}"/>
    <cellStyle name="Input 4 3 15 2" xfId="11077" xr:uid="{29D7CA1B-B420-4A5B-9AB8-4C66EBCBDFF0}"/>
    <cellStyle name="Input 4 3 15 2 2" xfId="30126" xr:uid="{C9754F75-9652-4185-825A-AF3BECBE0361}"/>
    <cellStyle name="Input 4 3 15 2 3" xfId="30127" xr:uid="{340A9EF6-B552-49D6-83D4-928765466C83}"/>
    <cellStyle name="Input 4 3 15 2 4" xfId="30128" xr:uid="{4354C177-79B6-4CCA-A7E2-34E2E422A8E5}"/>
    <cellStyle name="Input 4 3 15 2 5" xfId="30129" xr:uid="{3310630A-0303-459F-818C-7F10B577EC3C}"/>
    <cellStyle name="Input 4 3 15 2 6" xfId="30130" xr:uid="{8A73CAA1-5D0B-4C37-BB0B-57896C65D22A}"/>
    <cellStyle name="Input 4 3 15 3" xfId="30131" xr:uid="{7732A1AB-0C44-4B29-B31C-FA0A942ABF48}"/>
    <cellStyle name="Input 4 3 15 4" xfId="30132" xr:uid="{91B563E0-B272-4087-91B7-DC49AB4913AE}"/>
    <cellStyle name="Input 4 3 15 5" xfId="30133" xr:uid="{98CD3825-1313-4D7A-B52E-DED401BC4B63}"/>
    <cellStyle name="Input 4 3 15 6" xfId="30134" xr:uid="{D8A38D4E-6043-4C31-B4A5-530097081870}"/>
    <cellStyle name="Input 4 3 15 7" xfId="30135" xr:uid="{67AEF59F-333C-442F-862A-0024A8BF0766}"/>
    <cellStyle name="Input 4 3 16" xfId="1897" xr:uid="{85BCE1B2-E530-4A43-A71C-E8C92B5A29A8}"/>
    <cellStyle name="Input 4 3 16 2" xfId="11160" xr:uid="{662028C0-F8E6-497E-8412-4261686827E4}"/>
    <cellStyle name="Input 4 3 16 2 2" xfId="30136" xr:uid="{151E435C-1C15-498B-9617-481C42D63A12}"/>
    <cellStyle name="Input 4 3 16 2 3" xfId="30137" xr:uid="{757EE6C8-D9E5-4482-849F-CF10A5E44395}"/>
    <cellStyle name="Input 4 3 16 2 4" xfId="30138" xr:uid="{DC20C07A-EA0C-42E1-9250-63099E94D416}"/>
    <cellStyle name="Input 4 3 16 2 5" xfId="30139" xr:uid="{6B083A26-5504-4D7A-9F39-99C6FF0A7849}"/>
    <cellStyle name="Input 4 3 16 2 6" xfId="30140" xr:uid="{6EE10817-93BB-4CB4-A185-5F34C22E77FB}"/>
    <cellStyle name="Input 4 3 16 3" xfId="30141" xr:uid="{5904A196-8481-4F09-8EBB-D7CF82CDD3C7}"/>
    <cellStyle name="Input 4 3 16 4" xfId="30142" xr:uid="{A6A3D6CB-50A8-4F73-9204-53DBEAE081C2}"/>
    <cellStyle name="Input 4 3 16 5" xfId="30143" xr:uid="{CFB73096-CB7D-486F-B9EF-F71EB808070E}"/>
    <cellStyle name="Input 4 3 16 6" xfId="30144" xr:uid="{20F988D3-DF03-4055-AACC-3736B79FCAB1}"/>
    <cellStyle name="Input 4 3 16 7" xfId="30145" xr:uid="{01785537-C984-471B-ABA1-108DA0D80598}"/>
    <cellStyle name="Input 4 3 17" xfId="1898" xr:uid="{88D5ABA1-E830-46A7-A789-2D0875E0685B}"/>
    <cellStyle name="Input 4 3 17 2" xfId="11250" xr:uid="{17BFFD55-DF9E-4EA6-B6ED-F4D45184D761}"/>
    <cellStyle name="Input 4 3 17 2 2" xfId="30146" xr:uid="{8214B2CD-7A5D-490E-8DE8-4D9E4D11DCA9}"/>
    <cellStyle name="Input 4 3 17 2 3" xfId="30147" xr:uid="{1B4381C2-B515-4323-A634-11C672E338B2}"/>
    <cellStyle name="Input 4 3 17 2 4" xfId="30148" xr:uid="{B0B75E14-B545-477C-8AFD-5AA76F339FC5}"/>
    <cellStyle name="Input 4 3 17 2 5" xfId="30149" xr:uid="{63DB6E91-763C-458C-A2E4-0AF96D3F9745}"/>
    <cellStyle name="Input 4 3 17 2 6" xfId="30150" xr:uid="{4F9072C7-D903-4B88-B6AA-9EA1217308A1}"/>
    <cellStyle name="Input 4 3 17 3" xfId="30151" xr:uid="{D0E65269-99C3-4A64-8B4A-5ADA604B2E59}"/>
    <cellStyle name="Input 4 3 17 4" xfId="30152" xr:uid="{EF52D2D5-E6E3-435D-BDE0-75BC7FFA0009}"/>
    <cellStyle name="Input 4 3 17 5" xfId="30153" xr:uid="{9AB46B80-86C9-4F07-B4FF-6948C5EDB11E}"/>
    <cellStyle name="Input 4 3 17 6" xfId="30154" xr:uid="{2549675B-F29C-46E9-9462-7218C11E55B3}"/>
    <cellStyle name="Input 4 3 17 7" xfId="30155" xr:uid="{5017547A-99E4-477C-87F5-4BD5EEAA086F}"/>
    <cellStyle name="Input 4 3 18" xfId="1899" xr:uid="{3146BE27-63E3-402D-84DE-38376380538E}"/>
    <cellStyle name="Input 4 3 18 2" xfId="11336" xr:uid="{C6FD62C8-75A3-4734-B37E-17D9E7A6012C}"/>
    <cellStyle name="Input 4 3 18 2 2" xfId="30156" xr:uid="{E04DCC60-5989-4234-8A3C-D4C784090F08}"/>
    <cellStyle name="Input 4 3 18 2 3" xfId="30157" xr:uid="{201817B8-CCD1-48AB-AC0D-C2CFDA8FCFB9}"/>
    <cellStyle name="Input 4 3 18 2 4" xfId="30158" xr:uid="{A5D2398D-1D6D-435A-BAD9-5EEF2EEF1C93}"/>
    <cellStyle name="Input 4 3 18 2 5" xfId="30159" xr:uid="{7265A7F7-7B8F-429E-81B0-242A77006CE3}"/>
    <cellStyle name="Input 4 3 18 2 6" xfId="30160" xr:uid="{A639F810-8338-470D-966B-75B0CDCA3F81}"/>
    <cellStyle name="Input 4 3 18 3" xfId="30161" xr:uid="{E90409E5-D56B-47CF-83CC-D2B9B0BD16DF}"/>
    <cellStyle name="Input 4 3 18 4" xfId="30162" xr:uid="{233B90FB-2EB6-4CC3-BB5C-C76F617A0720}"/>
    <cellStyle name="Input 4 3 18 5" xfId="30163" xr:uid="{687E065E-04B6-4728-980F-967846E623F9}"/>
    <cellStyle name="Input 4 3 18 6" xfId="30164" xr:uid="{5A40BE2B-CACE-4A92-B9ED-199A85CC237C}"/>
    <cellStyle name="Input 4 3 18 7" xfId="30165" xr:uid="{745C9081-8229-410D-92DD-DDD66620BEC1}"/>
    <cellStyle name="Input 4 3 19" xfId="1900" xr:uid="{C1D6E7A7-1738-49F8-9BEE-4AFD01EB30A0}"/>
    <cellStyle name="Input 4 3 19 2" xfId="11422" xr:uid="{0F2808E9-EEB7-40BA-8607-14586658C205}"/>
    <cellStyle name="Input 4 3 19 2 2" xfId="30166" xr:uid="{68F2603A-DD7F-48DA-A3BA-6659DF3E482F}"/>
    <cellStyle name="Input 4 3 19 2 3" xfId="30167" xr:uid="{30D54129-F0AF-41C5-87E5-E659DB3F0B2C}"/>
    <cellStyle name="Input 4 3 19 2 4" xfId="30168" xr:uid="{486075B1-0EF6-4D66-BB6F-6AFCA51B8D8C}"/>
    <cellStyle name="Input 4 3 19 2 5" xfId="30169" xr:uid="{6F50EB04-4910-4405-A243-A9505D2DBA77}"/>
    <cellStyle name="Input 4 3 19 2 6" xfId="30170" xr:uid="{3620EA8F-680B-45BF-A953-3E02DDE32E5B}"/>
    <cellStyle name="Input 4 3 19 3" xfId="30171" xr:uid="{39385DAE-CF5D-43B6-A58B-B6E7CCC52217}"/>
    <cellStyle name="Input 4 3 19 4" xfId="30172" xr:uid="{239353BF-5D06-45F7-972F-03176E811382}"/>
    <cellStyle name="Input 4 3 19 5" xfId="30173" xr:uid="{29DAA1D3-4B17-4F34-A1A6-C3F482C4D487}"/>
    <cellStyle name="Input 4 3 19 6" xfId="30174" xr:uid="{108BA660-EEB8-486A-A89F-A0192BC7DFA0}"/>
    <cellStyle name="Input 4 3 19 7" xfId="30175" xr:uid="{4E42DA6F-D375-49C8-8913-A30563A16416}"/>
    <cellStyle name="Input 4 3 2" xfId="1901" xr:uid="{E4BCE02E-2AF5-4E83-AF4A-932AE278DD36}"/>
    <cellStyle name="Input 4 3 2 10" xfId="1902" xr:uid="{5A53BA68-9326-4053-BBE3-746850846FFF}"/>
    <cellStyle name="Input 4 3 2 10 2" xfId="10753" xr:uid="{C8329B89-804E-4B51-B0CE-C400FE1918BC}"/>
    <cellStyle name="Input 4 3 2 10 2 2" xfId="30176" xr:uid="{74611F47-8BD0-447C-82E1-F94A414A0D8A}"/>
    <cellStyle name="Input 4 3 2 10 2 3" xfId="30177" xr:uid="{D3A868C9-432E-4639-8C2D-48F9BDD81162}"/>
    <cellStyle name="Input 4 3 2 10 2 4" xfId="30178" xr:uid="{B030F3F8-E9F4-49F9-8A51-4762DE08F632}"/>
    <cellStyle name="Input 4 3 2 10 2 5" xfId="30179" xr:uid="{1B1A194F-FF03-4536-9708-B20A6501248B}"/>
    <cellStyle name="Input 4 3 2 10 2 6" xfId="30180" xr:uid="{2645147D-F4BE-4C42-9B63-9061F7824BF7}"/>
    <cellStyle name="Input 4 3 2 10 3" xfId="30181" xr:uid="{8D6A4797-E143-47CE-BB30-83EF0C57B8C3}"/>
    <cellStyle name="Input 4 3 2 10 4" xfId="30182" xr:uid="{619C852C-70A8-4C72-AD4E-25C208F01271}"/>
    <cellStyle name="Input 4 3 2 10 5" xfId="30183" xr:uid="{43004F7F-ABB5-40FC-8720-EAB52B6DD22B}"/>
    <cellStyle name="Input 4 3 2 10 6" xfId="30184" xr:uid="{29C8EA8F-4987-4750-9CD8-3500451FB662}"/>
    <cellStyle name="Input 4 3 2 10 7" xfId="30185" xr:uid="{95CF3C76-A5B9-4360-8B3A-58D5619BAA18}"/>
    <cellStyle name="Input 4 3 2 11" xfId="1903" xr:uid="{A35158B6-6E7E-4DA5-B710-AF4844E1D3DD}"/>
    <cellStyle name="Input 4 3 2 11 2" xfId="10841" xr:uid="{642D7923-FD8D-4CF8-8974-3480D5E5D001}"/>
    <cellStyle name="Input 4 3 2 11 2 2" xfId="30186" xr:uid="{1627B63B-9F2B-4AEB-B4E8-42CC51F56DCF}"/>
    <cellStyle name="Input 4 3 2 11 2 3" xfId="30187" xr:uid="{ACF42840-63A2-47D8-9886-3EDB0FC43E43}"/>
    <cellStyle name="Input 4 3 2 11 2 4" xfId="30188" xr:uid="{54CC182E-2742-4DC4-92CA-2E2301093768}"/>
    <cellStyle name="Input 4 3 2 11 2 5" xfId="30189" xr:uid="{51E293DE-DD6C-40B7-842C-E0B743C26142}"/>
    <cellStyle name="Input 4 3 2 11 2 6" xfId="30190" xr:uid="{B427196E-7DAF-4A3B-99AA-77A0E0B6E7DA}"/>
    <cellStyle name="Input 4 3 2 11 3" xfId="30191" xr:uid="{B41F672A-F70D-4D7C-B599-71944218AE1F}"/>
    <cellStyle name="Input 4 3 2 11 4" xfId="30192" xr:uid="{C4A550FC-51EC-4614-B72B-9BE914DB9733}"/>
    <cellStyle name="Input 4 3 2 11 5" xfId="30193" xr:uid="{DE69099B-E913-4384-A71E-E2AC38CB091F}"/>
    <cellStyle name="Input 4 3 2 11 6" xfId="30194" xr:uid="{78B2EC8D-21F7-4302-97F1-315A56B3E469}"/>
    <cellStyle name="Input 4 3 2 11 7" xfId="30195" xr:uid="{25C90AED-6BB5-4C7A-8AD4-8A394B539D76}"/>
    <cellStyle name="Input 4 3 2 12" xfId="1904" xr:uid="{C11CC15E-040B-4745-8D65-B646667E03D8}"/>
    <cellStyle name="Input 4 3 2 12 2" xfId="10930" xr:uid="{2438F986-2626-497D-8A2E-38C2DD53F8EB}"/>
    <cellStyle name="Input 4 3 2 12 2 2" xfId="30196" xr:uid="{BB234A58-3D07-4DE7-A86A-7B4B84AE9EA3}"/>
    <cellStyle name="Input 4 3 2 12 2 3" xfId="30197" xr:uid="{635D5913-0CF8-4BE5-9C62-F5EE712A23F3}"/>
    <cellStyle name="Input 4 3 2 12 2 4" xfId="30198" xr:uid="{0AA47DEE-819B-4C8A-AD91-6CFA7B5B471C}"/>
    <cellStyle name="Input 4 3 2 12 2 5" xfId="30199" xr:uid="{70C54028-4786-41DC-8549-2A52D86FF8FD}"/>
    <cellStyle name="Input 4 3 2 12 2 6" xfId="30200" xr:uid="{3E2DFC1E-FD66-4D8D-89D3-9EA39886FC20}"/>
    <cellStyle name="Input 4 3 2 12 3" xfId="30201" xr:uid="{B11F7862-A400-4D3E-9260-31BB6A121B01}"/>
    <cellStyle name="Input 4 3 2 12 4" xfId="30202" xr:uid="{ECA619F9-9A75-428E-8728-280B81EA9E8E}"/>
    <cellStyle name="Input 4 3 2 12 5" xfId="30203" xr:uid="{59A98C50-6C46-4BE8-BF39-25AFFDAB72C5}"/>
    <cellStyle name="Input 4 3 2 12 6" xfId="30204" xr:uid="{829DD337-D183-471D-B564-9326119A17EE}"/>
    <cellStyle name="Input 4 3 2 12 7" xfId="30205" xr:uid="{3CEEA53E-3BA4-44B5-A53F-4A4AF05EF155}"/>
    <cellStyle name="Input 4 3 2 13" xfId="1905" xr:uid="{44A624CC-96D0-4674-B24B-D45A3D64A6E0}"/>
    <cellStyle name="Input 4 3 2 13 2" xfId="11020" xr:uid="{537C4E01-47F5-4D56-83AC-DCE63E15B182}"/>
    <cellStyle name="Input 4 3 2 13 2 2" xfId="30206" xr:uid="{67DE8790-E570-48DF-BE9D-1DC79C2A04E9}"/>
    <cellStyle name="Input 4 3 2 13 2 3" xfId="30207" xr:uid="{AA4A22FD-4F09-4BDB-9617-A0DB72605B59}"/>
    <cellStyle name="Input 4 3 2 13 2 4" xfId="30208" xr:uid="{FC601859-0F61-4FC2-AC90-5D84691042AF}"/>
    <cellStyle name="Input 4 3 2 13 2 5" xfId="30209" xr:uid="{A4DA2745-BEA1-4461-8ED8-E150ECE91E5C}"/>
    <cellStyle name="Input 4 3 2 13 2 6" xfId="30210" xr:uid="{AA13B875-C71F-4D10-AF72-F8F6858CEBB0}"/>
    <cellStyle name="Input 4 3 2 13 3" xfId="30211" xr:uid="{5B64E37E-BB65-45EA-9FAB-6D4C3014A729}"/>
    <cellStyle name="Input 4 3 2 13 4" xfId="30212" xr:uid="{EF136DDC-CEB6-407C-B9F5-95EBF6807232}"/>
    <cellStyle name="Input 4 3 2 13 5" xfId="30213" xr:uid="{0BBFF3A1-4D3D-46EE-8781-A26AD6BB9679}"/>
    <cellStyle name="Input 4 3 2 13 6" xfId="30214" xr:uid="{182AABEB-3EB4-4BEA-B111-83C6741A0D1C}"/>
    <cellStyle name="Input 4 3 2 13 7" xfId="30215" xr:uid="{AE9AF253-0AA7-4252-BFFD-0C2126B46144}"/>
    <cellStyle name="Input 4 3 2 14" xfId="1906" xr:uid="{B4ECDAC6-0BCC-43FB-B3B2-8E4A1F0A4C6A}"/>
    <cellStyle name="Input 4 3 2 14 2" xfId="11110" xr:uid="{BCAC0E2E-1398-48DF-AE59-C65FAF29298D}"/>
    <cellStyle name="Input 4 3 2 14 2 2" xfId="30216" xr:uid="{0435DD57-BA0A-40CC-9D32-7BEE73D1CB09}"/>
    <cellStyle name="Input 4 3 2 14 2 3" xfId="30217" xr:uid="{B1133940-E813-46BA-B2EC-1A9DD7F10EA3}"/>
    <cellStyle name="Input 4 3 2 14 2 4" xfId="30218" xr:uid="{80C53A0E-0E1D-4961-9782-1173DEADB805}"/>
    <cellStyle name="Input 4 3 2 14 2 5" xfId="30219" xr:uid="{9DFA054F-D6E2-417B-A30C-2DDC5A8BBEE6}"/>
    <cellStyle name="Input 4 3 2 14 2 6" xfId="30220" xr:uid="{A51CAA25-E637-4A07-BB3C-3BBABF4756F8}"/>
    <cellStyle name="Input 4 3 2 14 3" xfId="30221" xr:uid="{10F75F30-7250-4AB6-BE0F-6B5B76EAE299}"/>
    <cellStyle name="Input 4 3 2 14 4" xfId="30222" xr:uid="{5CDAF9C9-579A-4940-9082-1B258C26801F}"/>
    <cellStyle name="Input 4 3 2 14 5" xfId="30223" xr:uid="{8A619B91-6D3F-4A62-ACE4-ADFF871B1108}"/>
    <cellStyle name="Input 4 3 2 14 6" xfId="30224" xr:uid="{BFD32B5F-4825-4CFA-BA18-80DA5B6576C7}"/>
    <cellStyle name="Input 4 3 2 14 7" xfId="30225" xr:uid="{30C6F728-AE5E-4896-99D7-E883404EF917}"/>
    <cellStyle name="Input 4 3 2 15" xfId="1907" xr:uid="{35E2010F-6812-4F93-8ABC-5359AEEC4E2E}"/>
    <cellStyle name="Input 4 3 2 15 2" xfId="11193" xr:uid="{5376C5A8-027F-4981-AE39-557018F008C4}"/>
    <cellStyle name="Input 4 3 2 15 2 2" xfId="30226" xr:uid="{8969694A-9F74-48E8-80AF-B3E818DB325A}"/>
    <cellStyle name="Input 4 3 2 15 2 3" xfId="30227" xr:uid="{2D18D2D4-F0A8-41CA-BFBA-54ACEC010DCC}"/>
    <cellStyle name="Input 4 3 2 15 2 4" xfId="30228" xr:uid="{A846FB8E-C265-408C-B8CC-248F1EA8EA1A}"/>
    <cellStyle name="Input 4 3 2 15 2 5" xfId="30229" xr:uid="{71B23718-C952-4CB4-899F-BCFDEC0194C0}"/>
    <cellStyle name="Input 4 3 2 15 2 6" xfId="30230" xr:uid="{79471C27-E3BC-4CDF-8AE9-7D6267CFBEA7}"/>
    <cellStyle name="Input 4 3 2 15 3" xfId="30231" xr:uid="{9AA588F5-2A6C-4AC2-83B2-FCFA9A9D795D}"/>
    <cellStyle name="Input 4 3 2 15 4" xfId="30232" xr:uid="{77F78341-6EE4-4787-9CC0-05110443EC4A}"/>
    <cellStyle name="Input 4 3 2 15 5" xfId="30233" xr:uid="{91080B76-ECE2-4BA0-8736-5E8DA4AD8CC7}"/>
    <cellStyle name="Input 4 3 2 15 6" xfId="30234" xr:uid="{626F35E9-0222-4F81-BD33-7BBCA0ECD4A1}"/>
    <cellStyle name="Input 4 3 2 15 7" xfId="30235" xr:uid="{CDFEE197-00A9-42A2-9522-C6B7409586B3}"/>
    <cellStyle name="Input 4 3 2 16" xfId="1908" xr:uid="{47AFE63E-948A-48D0-9C6E-9A95181E8BDF}"/>
    <cellStyle name="Input 4 3 2 16 2" xfId="11283" xr:uid="{22FE73E9-069F-41FB-BFC9-9A31C64CCC74}"/>
    <cellStyle name="Input 4 3 2 16 2 2" xfId="30236" xr:uid="{9CF595A2-1803-4400-9209-C4C0DA3278C4}"/>
    <cellStyle name="Input 4 3 2 16 2 3" xfId="30237" xr:uid="{C1FAFD32-11DF-4FF0-A386-CD1EEC6F9FAB}"/>
    <cellStyle name="Input 4 3 2 16 2 4" xfId="30238" xr:uid="{692A8AC5-2BC0-4BE8-BFE9-F7FD220A51E8}"/>
    <cellStyle name="Input 4 3 2 16 2 5" xfId="30239" xr:uid="{4AB7D734-374F-4423-8A97-370014C816B5}"/>
    <cellStyle name="Input 4 3 2 16 2 6" xfId="30240" xr:uid="{39739411-5A2D-4AEE-8B9C-AB5986B91C2F}"/>
    <cellStyle name="Input 4 3 2 16 3" xfId="30241" xr:uid="{0BC1B911-37FB-4483-9428-17C29F3C80D3}"/>
    <cellStyle name="Input 4 3 2 16 4" xfId="30242" xr:uid="{13394D51-AB23-4AE1-9F12-DF675970C178}"/>
    <cellStyle name="Input 4 3 2 16 5" xfId="30243" xr:uid="{AC15E511-FE90-42B9-8AB9-062A9E5B0714}"/>
    <cellStyle name="Input 4 3 2 16 6" xfId="30244" xr:uid="{BBA7CF88-ACF5-41DD-9FEC-C03940F591AD}"/>
    <cellStyle name="Input 4 3 2 16 7" xfId="30245" xr:uid="{80EC104E-77CD-4116-97E4-7BAAFDD5BDDD}"/>
    <cellStyle name="Input 4 3 2 17" xfId="1909" xr:uid="{AFBD5C42-E9F3-48EE-9290-42E2ECB690A8}"/>
    <cellStyle name="Input 4 3 2 17 2" xfId="11369" xr:uid="{B8626735-5696-4D74-8AF4-805AE930FDE2}"/>
    <cellStyle name="Input 4 3 2 17 2 2" xfId="30246" xr:uid="{DA8B887E-EECB-4E3C-9557-E710EF4A716C}"/>
    <cellStyle name="Input 4 3 2 17 2 3" xfId="30247" xr:uid="{35F669F4-3BA2-496A-926F-5573D84DD71A}"/>
    <cellStyle name="Input 4 3 2 17 2 4" xfId="30248" xr:uid="{FDBE48F7-4539-4768-B975-CBEEC067CBA3}"/>
    <cellStyle name="Input 4 3 2 17 2 5" xfId="30249" xr:uid="{36FE0A2E-58FF-481B-8556-8F013190BB25}"/>
    <cellStyle name="Input 4 3 2 17 2 6" xfId="30250" xr:uid="{5C6E390C-B216-44CB-80E5-45F8C4745DA9}"/>
    <cellStyle name="Input 4 3 2 17 3" xfId="30251" xr:uid="{36464579-29E8-429E-8841-3F2C6A717A38}"/>
    <cellStyle name="Input 4 3 2 17 4" xfId="30252" xr:uid="{CE856CCF-C680-4448-8E80-4CCFF75FCF99}"/>
    <cellStyle name="Input 4 3 2 17 5" xfId="30253" xr:uid="{C24A4E16-27AB-459A-AC25-A6DDC3E8E76C}"/>
    <cellStyle name="Input 4 3 2 17 6" xfId="30254" xr:uid="{3B20D210-06E0-4F87-A254-6CF426B87848}"/>
    <cellStyle name="Input 4 3 2 17 7" xfId="30255" xr:uid="{3DA3B0DF-52D1-4DE6-8207-CFA179458248}"/>
    <cellStyle name="Input 4 3 2 18" xfId="1910" xr:uid="{BBB40C7A-DCCD-4E23-A77D-A195FB30E650}"/>
    <cellStyle name="Input 4 3 2 18 2" xfId="11456" xr:uid="{E3A52CFF-33BC-42AD-844E-C37A974A9EC9}"/>
    <cellStyle name="Input 4 3 2 18 2 2" xfId="30256" xr:uid="{CF8872DC-4CBD-4070-8917-11EC172A6037}"/>
    <cellStyle name="Input 4 3 2 18 2 3" xfId="30257" xr:uid="{47D04DAE-8200-4E90-8752-73FC91C494B2}"/>
    <cellStyle name="Input 4 3 2 18 2 4" xfId="30258" xr:uid="{60D529D4-F291-4A6E-9543-F4A79BC5D5B4}"/>
    <cellStyle name="Input 4 3 2 18 2 5" xfId="30259" xr:uid="{A80AC606-9F9D-472E-9227-3D9E48E6FC65}"/>
    <cellStyle name="Input 4 3 2 18 2 6" xfId="30260" xr:uid="{016CE83C-3582-4F3F-B115-CFB8D71048AF}"/>
    <cellStyle name="Input 4 3 2 18 3" xfId="30261" xr:uid="{F878C894-5AC7-4A86-9953-26D24C4E27F6}"/>
    <cellStyle name="Input 4 3 2 18 4" xfId="30262" xr:uid="{42DFAB5A-9E39-48EF-B92C-D632B866C9DC}"/>
    <cellStyle name="Input 4 3 2 18 5" xfId="30263" xr:uid="{E212BF46-C953-41EF-B56A-77B84075CF09}"/>
    <cellStyle name="Input 4 3 2 18 6" xfId="30264" xr:uid="{EEEB8292-C85F-4F1E-B759-06A742EAA744}"/>
    <cellStyle name="Input 4 3 2 18 7" xfId="30265" xr:uid="{EB75123A-DB74-4345-AD8A-B34A409F48BF}"/>
    <cellStyle name="Input 4 3 2 19" xfId="1911" xr:uid="{DE150FEA-7819-4971-8AD4-77FF55D4E493}"/>
    <cellStyle name="Input 4 3 2 19 2" xfId="11543" xr:uid="{C7614C23-6D7E-4C0F-8D49-C72F5CB1A363}"/>
    <cellStyle name="Input 4 3 2 19 2 2" xfId="30266" xr:uid="{CE72BBAB-2506-4910-A08F-6969C1083ED0}"/>
    <cellStyle name="Input 4 3 2 19 2 3" xfId="30267" xr:uid="{950A0970-2737-4E38-9B96-685966C43F3F}"/>
    <cellStyle name="Input 4 3 2 19 2 4" xfId="30268" xr:uid="{5802CF0C-A026-4FA4-A6FC-46FA355DEB59}"/>
    <cellStyle name="Input 4 3 2 19 2 5" xfId="30269" xr:uid="{BDC2359D-4D9D-4B4E-973A-7AB6B62A587D}"/>
    <cellStyle name="Input 4 3 2 19 2 6" xfId="30270" xr:uid="{2076BE5C-7D7E-4204-8FE5-841C6832270A}"/>
    <cellStyle name="Input 4 3 2 19 3" xfId="30271" xr:uid="{0C9BC298-E593-42F9-B877-DB4DE9A8CA96}"/>
    <cellStyle name="Input 4 3 2 19 4" xfId="30272" xr:uid="{9FAB6EC0-5C85-474A-85CF-A3BDCB53FEFB}"/>
    <cellStyle name="Input 4 3 2 19 5" xfId="30273" xr:uid="{8FD795A7-E1F9-4254-A7B3-E511636F9A4B}"/>
    <cellStyle name="Input 4 3 2 19 6" xfId="30274" xr:uid="{39A81C4E-E30D-42FA-89DF-7499F1F16CE2}"/>
    <cellStyle name="Input 4 3 2 19 7" xfId="30275" xr:uid="{BAA28E6A-CE28-4FD8-82B4-E70FC28DAD12}"/>
    <cellStyle name="Input 4 3 2 2" xfId="1912" xr:uid="{188A87A9-36A0-47EA-AA71-4FB8FEA0B42E}"/>
    <cellStyle name="Input 4 3 2 2 2" xfId="10050" xr:uid="{B38713DF-1844-4F75-BEE4-93DD0BE59D51}"/>
    <cellStyle name="Input 4 3 2 2 2 2" xfId="30276" xr:uid="{A6B53847-01E1-4CDB-B16E-0360B700A11F}"/>
    <cellStyle name="Input 4 3 2 2 2 3" xfId="30277" xr:uid="{22B4CAA5-D28C-4F5D-8582-EA361E3A6B7A}"/>
    <cellStyle name="Input 4 3 2 2 2 4" xfId="30278" xr:uid="{9928B8F8-54D0-457A-83D4-CB775447D4EC}"/>
    <cellStyle name="Input 4 3 2 2 2 5" xfId="30279" xr:uid="{4F296A20-5102-45B0-A0BA-2DCD945A5D00}"/>
    <cellStyle name="Input 4 3 2 2 2 6" xfId="30280" xr:uid="{BBB1483E-EB41-42E4-BE48-5CC2A4D2F592}"/>
    <cellStyle name="Input 4 3 2 2 3" xfId="30281" xr:uid="{1461B5C3-9540-4E11-8A85-C91DC8D09EB0}"/>
    <cellStyle name="Input 4 3 2 2 4" xfId="30282" xr:uid="{5C530056-3485-48C8-8CC6-A6D5EA6F3506}"/>
    <cellStyle name="Input 4 3 2 2 5" xfId="30283" xr:uid="{E0B2B1BA-832F-4905-9E64-38B6EAE1E59D}"/>
    <cellStyle name="Input 4 3 2 2 6" xfId="30284" xr:uid="{93072B6B-AA8C-4522-870F-C623C229375D}"/>
    <cellStyle name="Input 4 3 2 2 7" xfId="30285" xr:uid="{DB5E3D7F-464D-4C6A-A10F-55E4E982E466}"/>
    <cellStyle name="Input 4 3 2 20" xfId="1913" xr:uid="{28E4EA95-B557-47E3-9F13-650978E344A2}"/>
    <cellStyle name="Input 4 3 2 20 2" xfId="11631" xr:uid="{A83D9BEB-26F3-421E-ABB3-1C322294C2A8}"/>
    <cellStyle name="Input 4 3 2 20 2 2" xfId="30286" xr:uid="{9846AD02-B9EA-4D5F-9A1D-C181D6034789}"/>
    <cellStyle name="Input 4 3 2 20 2 3" xfId="30287" xr:uid="{2431F557-ED5E-4D24-A2FA-EAD2FAAC269B}"/>
    <cellStyle name="Input 4 3 2 20 2 4" xfId="30288" xr:uid="{9769649A-9EF9-4FD1-827B-77C1CC98269A}"/>
    <cellStyle name="Input 4 3 2 20 2 5" xfId="30289" xr:uid="{86E76D3A-F553-4DB9-B056-957F2BDF12AD}"/>
    <cellStyle name="Input 4 3 2 20 2 6" xfId="30290" xr:uid="{C9C704EB-AA12-4422-9B40-33F7E8DAD75E}"/>
    <cellStyle name="Input 4 3 2 20 3" xfId="30291" xr:uid="{00A98FA4-95B8-4198-A400-23EFDBDC7FC7}"/>
    <cellStyle name="Input 4 3 2 20 4" xfId="30292" xr:uid="{8ABFC8E1-B6C9-475C-909E-5CE9CDC5B223}"/>
    <cellStyle name="Input 4 3 2 20 5" xfId="30293" xr:uid="{7F7B3969-5876-41CF-8635-9DD24E004424}"/>
    <cellStyle name="Input 4 3 2 20 6" xfId="30294" xr:uid="{4DDABE9E-1BBE-49B5-A43E-CBF4FA927DBE}"/>
    <cellStyle name="Input 4 3 2 20 7" xfId="30295" xr:uid="{AD13E8DD-0E77-482B-BDF0-58925EDF867B}"/>
    <cellStyle name="Input 4 3 2 21" xfId="1914" xr:uid="{B54C9D81-9A0F-4579-9013-A7BBEFED9BB7}"/>
    <cellStyle name="Input 4 3 2 21 2" xfId="11715" xr:uid="{8F110E0A-9DF3-4464-88D0-270E135FB329}"/>
    <cellStyle name="Input 4 3 2 21 2 2" xfId="30296" xr:uid="{4293696B-8044-4022-8896-C0A8EC20C245}"/>
    <cellStyle name="Input 4 3 2 21 2 3" xfId="30297" xr:uid="{B8FD88AA-732F-4A91-8906-4E0699D878F9}"/>
    <cellStyle name="Input 4 3 2 21 2 4" xfId="30298" xr:uid="{24CCF387-9A58-48C6-A265-04B5188B1A4B}"/>
    <cellStyle name="Input 4 3 2 21 2 5" xfId="30299" xr:uid="{6325ABB5-83D9-49A4-A67D-3C6532AC9B56}"/>
    <cellStyle name="Input 4 3 2 21 2 6" xfId="30300" xr:uid="{40F10D01-DFAA-4AC2-8DB9-72C77E90D59E}"/>
    <cellStyle name="Input 4 3 2 21 3" xfId="30301" xr:uid="{3B0E8F58-559D-40A5-935A-ACCB1CE2B2BF}"/>
    <cellStyle name="Input 4 3 2 21 4" xfId="30302" xr:uid="{57537FD5-5A10-4D02-A991-65642508E6B7}"/>
    <cellStyle name="Input 4 3 2 21 5" xfId="30303" xr:uid="{9FEE0869-8743-47DF-8117-5AAA06EB4F37}"/>
    <cellStyle name="Input 4 3 2 21 6" xfId="30304" xr:uid="{D5E8BD71-377A-4712-9984-AE02B1413EBA}"/>
    <cellStyle name="Input 4 3 2 21 7" xfId="30305" xr:uid="{900A8EA9-906D-42E6-9D9F-6981F01306F1}"/>
    <cellStyle name="Input 4 3 2 22" xfId="1915" xr:uid="{F9CDBEBE-A082-4B76-A7CB-ADF8806249F0}"/>
    <cellStyle name="Input 4 3 2 22 2" xfId="11798" xr:uid="{9E8668E0-9A95-4C1A-8B6A-B3FDF18E6A21}"/>
    <cellStyle name="Input 4 3 2 22 2 2" xfId="30306" xr:uid="{C989A307-11B5-4BB9-AB41-FC2213058772}"/>
    <cellStyle name="Input 4 3 2 22 2 3" xfId="30307" xr:uid="{1842D8EE-4AE4-4332-834E-D5C8C30DB1E6}"/>
    <cellStyle name="Input 4 3 2 22 2 4" xfId="30308" xr:uid="{AE6D9353-3597-46C4-BBEA-B98D8F0B720B}"/>
    <cellStyle name="Input 4 3 2 22 2 5" xfId="30309" xr:uid="{0E4C3F5F-A819-4CF0-A1C0-ECBEBD435A62}"/>
    <cellStyle name="Input 4 3 2 22 2 6" xfId="30310" xr:uid="{133E148A-0000-469B-8228-56F681EA780E}"/>
    <cellStyle name="Input 4 3 2 22 3" xfId="30311" xr:uid="{D69F7F59-6582-4D5B-B8BE-0D0156E38357}"/>
    <cellStyle name="Input 4 3 2 22 4" xfId="30312" xr:uid="{0E525F94-B6A4-4E2B-8A40-D5735BC123F4}"/>
    <cellStyle name="Input 4 3 2 22 5" xfId="30313" xr:uid="{A2918CC6-8ABE-4124-BE1D-C4538C491B29}"/>
    <cellStyle name="Input 4 3 2 22 6" xfId="30314" xr:uid="{102DE81E-446A-4BF4-872E-C890DBB36E95}"/>
    <cellStyle name="Input 4 3 2 22 7" xfId="30315" xr:uid="{79D9E745-E2CF-45F7-A98E-611E52BF4B88}"/>
    <cellStyle name="Input 4 3 2 23" xfId="1916" xr:uid="{7999A7C9-52B0-4000-8D29-136FA35860C1}"/>
    <cellStyle name="Input 4 3 2 23 2" xfId="11881" xr:uid="{0132F4EF-DD96-487E-9F2E-EE8A42C60634}"/>
    <cellStyle name="Input 4 3 2 23 2 2" xfId="30316" xr:uid="{E22F0675-B04F-4BBC-971C-B61DA58C1772}"/>
    <cellStyle name="Input 4 3 2 23 2 3" xfId="30317" xr:uid="{6F723AFB-BA90-467A-8F46-F6CB6C67DFC7}"/>
    <cellStyle name="Input 4 3 2 23 2 4" xfId="30318" xr:uid="{AD7B1484-C765-4AEF-8431-CC7C4B29DFF0}"/>
    <cellStyle name="Input 4 3 2 23 2 5" xfId="30319" xr:uid="{2B97B2BD-C984-4395-BDBF-2849FED1241E}"/>
    <cellStyle name="Input 4 3 2 23 2 6" xfId="30320" xr:uid="{A573A68D-F23E-4236-B599-09F143BE6AAE}"/>
    <cellStyle name="Input 4 3 2 23 3" xfId="30321" xr:uid="{54702EE2-672D-4BF0-AA09-AF92E4E2950A}"/>
    <cellStyle name="Input 4 3 2 23 4" xfId="30322" xr:uid="{3FFC55DE-9DD8-478B-B2E7-46D833BA43BD}"/>
    <cellStyle name="Input 4 3 2 23 5" xfId="30323" xr:uid="{6993DBE7-28E8-4120-B50D-AE54F0872E42}"/>
    <cellStyle name="Input 4 3 2 23 6" xfId="30324" xr:uid="{49B03631-48C9-487E-92F0-F05278C44FCA}"/>
    <cellStyle name="Input 4 3 2 23 7" xfId="30325" xr:uid="{7EF63EEB-7B7A-4476-B23E-C08FBF23C42C}"/>
    <cellStyle name="Input 4 3 2 24" xfId="1917" xr:uid="{D0A04565-8462-4470-A145-9D9AF694A92F}"/>
    <cellStyle name="Input 4 3 2 24 2" xfId="11965" xr:uid="{E21ABE73-0030-4EEA-9DAF-D8BB5FDD9058}"/>
    <cellStyle name="Input 4 3 2 24 2 2" xfId="30326" xr:uid="{DB9FAF33-5B12-419D-BC2B-CC2363613048}"/>
    <cellStyle name="Input 4 3 2 24 2 3" xfId="30327" xr:uid="{8804EA36-D885-4B8B-BD06-16DEE7E7793B}"/>
    <cellStyle name="Input 4 3 2 24 2 4" xfId="30328" xr:uid="{D10B7F9A-20C5-411F-A79D-23CEFBB38143}"/>
    <cellStyle name="Input 4 3 2 24 2 5" xfId="30329" xr:uid="{EDC34905-E756-4C47-9EF3-E6A3B7A7C0FC}"/>
    <cellStyle name="Input 4 3 2 24 2 6" xfId="30330" xr:uid="{1D0FA0A3-955C-4A9B-A84D-4B9A56D8F958}"/>
    <cellStyle name="Input 4 3 2 24 3" xfId="30331" xr:uid="{F3E90EEE-CF83-41B4-B11F-A6D0B052123B}"/>
    <cellStyle name="Input 4 3 2 24 4" xfId="30332" xr:uid="{1117A414-B2B6-411B-9CDD-D0AD4F33F5ED}"/>
    <cellStyle name="Input 4 3 2 24 5" xfId="30333" xr:uid="{F602C05B-C5AC-4F9C-AC8B-D5760C60DFE4}"/>
    <cellStyle name="Input 4 3 2 24 6" xfId="30334" xr:uid="{ADB6D248-EABF-4DE1-9B72-752BAB04D297}"/>
    <cellStyle name="Input 4 3 2 24 7" xfId="30335" xr:uid="{2C57AAB2-FAD7-4603-A11C-8C1E1EF4A3AA}"/>
    <cellStyle name="Input 4 3 2 25" xfId="1918" xr:uid="{A86A6250-48A9-474B-B16B-A0096AA63E68}"/>
    <cellStyle name="Input 4 3 2 25 2" xfId="12048" xr:uid="{FA736908-056C-4C96-A9B9-721559B0E935}"/>
    <cellStyle name="Input 4 3 2 25 2 2" xfId="30336" xr:uid="{AE4EAACE-0103-41AA-8E98-3C783F3322DC}"/>
    <cellStyle name="Input 4 3 2 25 2 3" xfId="30337" xr:uid="{999125A2-26F3-4576-8BA5-0821201DB9E9}"/>
    <cellStyle name="Input 4 3 2 25 2 4" xfId="30338" xr:uid="{2B18AA4D-7842-477D-9310-BCDAC73F4799}"/>
    <cellStyle name="Input 4 3 2 25 2 5" xfId="30339" xr:uid="{95E992C8-FAC2-4CEE-8556-14D741AC8BA5}"/>
    <cellStyle name="Input 4 3 2 25 2 6" xfId="30340" xr:uid="{CCAD3D3C-5DE1-483E-A0FD-B2834C542644}"/>
    <cellStyle name="Input 4 3 2 25 3" xfId="30341" xr:uid="{9F6C946E-E74C-4796-A917-5C38C380C0A8}"/>
    <cellStyle name="Input 4 3 2 25 4" xfId="30342" xr:uid="{38D26D99-E3EF-4DAC-A1E1-EFCF54F974CA}"/>
    <cellStyle name="Input 4 3 2 25 5" xfId="30343" xr:uid="{DD33E7D2-446B-4DA7-A157-21AD5CAC8132}"/>
    <cellStyle name="Input 4 3 2 25 6" xfId="30344" xr:uid="{550B49F6-D656-49DB-825D-2764B2BE0536}"/>
    <cellStyle name="Input 4 3 2 25 7" xfId="30345" xr:uid="{669A9CE5-885D-4975-9C67-6F7B87519A20}"/>
    <cellStyle name="Input 4 3 2 26" xfId="1919" xr:uid="{6731C9A4-4D21-4F42-A6B8-2F1273185353}"/>
    <cellStyle name="Input 4 3 2 26 2" xfId="12131" xr:uid="{A4EAC80D-C80A-4259-9EE6-3DFADC4BDFC2}"/>
    <cellStyle name="Input 4 3 2 26 2 2" xfId="30346" xr:uid="{262042F4-3777-434B-A497-A137EA7D034C}"/>
    <cellStyle name="Input 4 3 2 26 2 3" xfId="30347" xr:uid="{6C539BA5-56AD-49E6-848B-E40097057992}"/>
    <cellStyle name="Input 4 3 2 26 2 4" xfId="30348" xr:uid="{AD3BE707-0134-4EF6-9FE7-5B88B38C2865}"/>
    <cellStyle name="Input 4 3 2 26 2 5" xfId="30349" xr:uid="{47ADF002-39D4-4F0C-B8D8-DB0C02AA1F04}"/>
    <cellStyle name="Input 4 3 2 26 2 6" xfId="30350" xr:uid="{31FD0DA9-1A22-4C47-A8C8-2E2EC4A65663}"/>
    <cellStyle name="Input 4 3 2 26 3" xfId="30351" xr:uid="{92744425-1811-4432-9BE4-A1588EE1292E}"/>
    <cellStyle name="Input 4 3 2 26 4" xfId="30352" xr:uid="{93667A30-EC99-4137-B687-EEDB7A437087}"/>
    <cellStyle name="Input 4 3 2 26 5" xfId="30353" xr:uid="{E9B8C120-99FE-426F-9B3E-9F5B943EABB0}"/>
    <cellStyle name="Input 4 3 2 26 6" xfId="30354" xr:uid="{AFCB8252-AB14-454E-8156-CFE280FB42F8}"/>
    <cellStyle name="Input 4 3 2 26 7" xfId="30355" xr:uid="{C03E6F95-19EC-40C6-9B72-761CC3C21908}"/>
    <cellStyle name="Input 4 3 2 27" xfId="1920" xr:uid="{B3AF598F-7F03-415D-AE96-17C45BEA1EE7}"/>
    <cellStyle name="Input 4 3 2 27 2" xfId="12213" xr:uid="{13C8986B-4FDC-4A81-A3D7-E89511F6C8DE}"/>
    <cellStyle name="Input 4 3 2 27 2 2" xfId="30356" xr:uid="{D14DDFFA-343E-42BD-8368-AF5FE208426B}"/>
    <cellStyle name="Input 4 3 2 27 2 3" xfId="30357" xr:uid="{8C21AB42-3F9C-4344-83DB-4E9E92FD3411}"/>
    <cellStyle name="Input 4 3 2 27 2 4" xfId="30358" xr:uid="{BA4AE5FD-8E1E-47FF-BEE8-27E16EDE7A28}"/>
    <cellStyle name="Input 4 3 2 27 2 5" xfId="30359" xr:uid="{934BE54D-F3ED-409B-9ADA-9887844E084C}"/>
    <cellStyle name="Input 4 3 2 27 2 6" xfId="30360" xr:uid="{5EBD9543-C7AE-4676-8859-CCC4C096DB7D}"/>
    <cellStyle name="Input 4 3 2 27 3" xfId="30361" xr:uid="{40479BD4-321E-4720-BA8D-B0CCBB09003F}"/>
    <cellStyle name="Input 4 3 2 27 4" xfId="30362" xr:uid="{0F5DF08F-E4AF-4999-8560-93B017783070}"/>
    <cellStyle name="Input 4 3 2 27 5" xfId="30363" xr:uid="{CE41FB61-D08E-4181-A9EE-5CBEA21D6AE3}"/>
    <cellStyle name="Input 4 3 2 27 6" xfId="30364" xr:uid="{25160717-5176-45A9-A922-0B60065AE398}"/>
    <cellStyle name="Input 4 3 2 27 7" xfId="30365" xr:uid="{74360091-191C-4BB2-89AF-AE826EE2BD98}"/>
    <cellStyle name="Input 4 3 2 28" xfId="1921" xr:uid="{03149A43-BD1B-4AAD-B74F-3E51E93AC27E}"/>
    <cellStyle name="Input 4 3 2 28 2" xfId="12293" xr:uid="{6BB749E0-1C36-48EC-B797-2A9B0415E937}"/>
    <cellStyle name="Input 4 3 2 28 2 2" xfId="30366" xr:uid="{AA27EB81-81AD-46E6-BE35-4FE2815D7854}"/>
    <cellStyle name="Input 4 3 2 28 2 3" xfId="30367" xr:uid="{7CBF3CED-8B61-4AD3-8B2C-EEDDDD974D46}"/>
    <cellStyle name="Input 4 3 2 28 2 4" xfId="30368" xr:uid="{53BB7F23-816E-458A-A1D3-EF2B77097945}"/>
    <cellStyle name="Input 4 3 2 28 2 5" xfId="30369" xr:uid="{880971DD-1492-4C58-B410-DE3534AF4B9F}"/>
    <cellStyle name="Input 4 3 2 28 2 6" xfId="30370" xr:uid="{E89EB542-8848-4E69-8071-39044099FEDA}"/>
    <cellStyle name="Input 4 3 2 28 3" xfId="30371" xr:uid="{8C53EC83-7183-4865-9376-99E9DBD5BC51}"/>
    <cellStyle name="Input 4 3 2 28 4" xfId="30372" xr:uid="{17BA2E26-0DE6-4068-A2B1-DF126B2D7E1D}"/>
    <cellStyle name="Input 4 3 2 28 5" xfId="30373" xr:uid="{E9D37B91-0A39-4FBF-B671-B2D4C5DB6F81}"/>
    <cellStyle name="Input 4 3 2 28 6" xfId="30374" xr:uid="{B6B5E771-D7D4-4266-87F4-46B043BA7092}"/>
    <cellStyle name="Input 4 3 2 28 7" xfId="30375" xr:uid="{F6C0D27A-AC5B-4188-8DF3-1CA0BF507BC9}"/>
    <cellStyle name="Input 4 3 2 29" xfId="1922" xr:uid="{88908EFD-E5FF-448C-8B77-B21CA2CA5BFE}"/>
    <cellStyle name="Input 4 3 2 29 2" xfId="12371" xr:uid="{302B82A4-B11D-4EFC-99AE-E05CDC3331F9}"/>
    <cellStyle name="Input 4 3 2 29 2 2" xfId="30376" xr:uid="{281A9A27-026B-491F-821E-73E70A5FF6E4}"/>
    <cellStyle name="Input 4 3 2 29 2 3" xfId="30377" xr:uid="{8E3DC918-C1F5-4C4C-BDF2-3A3045117F73}"/>
    <cellStyle name="Input 4 3 2 29 2 4" xfId="30378" xr:uid="{E75C266A-0E15-4307-831F-3C00A9B0201E}"/>
    <cellStyle name="Input 4 3 2 29 2 5" xfId="30379" xr:uid="{9E70FAFC-68D2-4162-A21C-C34889B30388}"/>
    <cellStyle name="Input 4 3 2 29 2 6" xfId="30380" xr:uid="{2726B69D-4E10-48EF-B76D-0FE48C41738E}"/>
    <cellStyle name="Input 4 3 2 29 3" xfId="30381" xr:uid="{FF69209C-2BA2-4999-A7DA-189C2CF3433E}"/>
    <cellStyle name="Input 4 3 2 29 4" xfId="30382" xr:uid="{9EE09B10-544F-49E8-B8FC-0B708765FC6A}"/>
    <cellStyle name="Input 4 3 2 29 5" xfId="30383" xr:uid="{3EB40E56-AF13-49C5-88BB-DA1B8DEC2383}"/>
    <cellStyle name="Input 4 3 2 29 6" xfId="30384" xr:uid="{41E5EBCC-FD59-4537-8A8C-546AB6B34908}"/>
    <cellStyle name="Input 4 3 2 29 7" xfId="30385" xr:uid="{CEB2F0E5-2A02-4329-87F6-DD836B724AB7}"/>
    <cellStyle name="Input 4 3 2 3" xfId="1923" xr:uid="{87DEFCDB-EDDC-4F41-96C9-3BFA5D70A558}"/>
    <cellStyle name="Input 4 3 2 3 2" xfId="10141" xr:uid="{3B88D7FD-9CB3-42BA-82A8-328C2A471CCB}"/>
    <cellStyle name="Input 4 3 2 3 2 2" xfId="30386" xr:uid="{5C0DB62B-9945-4854-813E-85268703A9A8}"/>
    <cellStyle name="Input 4 3 2 3 2 3" xfId="30387" xr:uid="{3F7F386F-F95B-4BB0-AE26-5EDBCDA89F15}"/>
    <cellStyle name="Input 4 3 2 3 2 4" xfId="30388" xr:uid="{B57A12B9-01B6-4980-A1E1-0E63E4E423D2}"/>
    <cellStyle name="Input 4 3 2 3 2 5" xfId="30389" xr:uid="{7DFF47D8-E547-4529-8399-E7072F6AD69D}"/>
    <cellStyle name="Input 4 3 2 3 2 6" xfId="30390" xr:uid="{FFFCF855-2237-4F5A-9A4E-F2E8E3651BC3}"/>
    <cellStyle name="Input 4 3 2 3 3" xfId="30391" xr:uid="{121AD82B-D507-4DA0-A776-0C8A48305EDE}"/>
    <cellStyle name="Input 4 3 2 3 4" xfId="30392" xr:uid="{8A1BAEFC-BB90-4FA0-807E-08D2621743FF}"/>
    <cellStyle name="Input 4 3 2 3 5" xfId="30393" xr:uid="{C634A5C9-F057-4210-9E42-2D5D75AE5EB3}"/>
    <cellStyle name="Input 4 3 2 3 6" xfId="30394" xr:uid="{F5835D05-CEC0-4817-9E9A-61D84D7E382F}"/>
    <cellStyle name="Input 4 3 2 3 7" xfId="30395" xr:uid="{C2608BA0-2175-4623-867C-58AD2927EF9C}"/>
    <cellStyle name="Input 4 3 2 30" xfId="1924" xr:uid="{10BFFB18-D84C-4E7B-B644-800391D6C0AF}"/>
    <cellStyle name="Input 4 3 2 30 2" xfId="12450" xr:uid="{83170122-2CFC-4838-B9C9-13356B8642D3}"/>
    <cellStyle name="Input 4 3 2 30 2 2" xfId="30396" xr:uid="{A706EF5E-6EE2-4540-B0AD-3D2354D12684}"/>
    <cellStyle name="Input 4 3 2 30 2 3" xfId="30397" xr:uid="{3F459B40-94B8-40CC-A2B7-72710197C1DD}"/>
    <cellStyle name="Input 4 3 2 30 2 4" xfId="30398" xr:uid="{B8398B0D-24AC-49A2-8511-F7E24F0483B9}"/>
    <cellStyle name="Input 4 3 2 30 2 5" xfId="30399" xr:uid="{8B3DAA65-F003-4595-9189-DB207BC1397D}"/>
    <cellStyle name="Input 4 3 2 30 2 6" xfId="30400" xr:uid="{C159EE0F-BBDF-4B33-8BED-6CAAF259B9F3}"/>
    <cellStyle name="Input 4 3 2 30 3" xfId="30401" xr:uid="{8AD8AAB5-244B-4176-A585-977B454913C8}"/>
    <cellStyle name="Input 4 3 2 30 4" xfId="30402" xr:uid="{7079DF20-2AAC-40D4-AF9E-9D7FAF99C135}"/>
    <cellStyle name="Input 4 3 2 30 5" xfId="30403" xr:uid="{8D2AF606-0F5A-4BD6-AE75-4E91A7FA64E5}"/>
    <cellStyle name="Input 4 3 2 30 6" xfId="30404" xr:uid="{2E444400-6D0D-48E0-B900-7EA4AF70C3A1}"/>
    <cellStyle name="Input 4 3 2 30 7" xfId="30405" xr:uid="{B277CC23-831B-4A52-BEEA-2FB8C0FF234A}"/>
    <cellStyle name="Input 4 3 2 31" xfId="1925" xr:uid="{9591A9AF-65AE-41C7-8110-D9E8B1601FD8}"/>
    <cellStyle name="Input 4 3 2 31 2" xfId="12529" xr:uid="{E45E6F50-02EE-49A7-BF61-7570D501A784}"/>
    <cellStyle name="Input 4 3 2 31 2 2" xfId="30406" xr:uid="{CB42028C-BDCE-44CB-B4D1-3FC6980FB387}"/>
    <cellStyle name="Input 4 3 2 31 2 3" xfId="30407" xr:uid="{19A93A34-2F5A-4CEB-A920-32274E1AA35C}"/>
    <cellStyle name="Input 4 3 2 31 2 4" xfId="30408" xr:uid="{ADA16233-B8C2-4E0E-ACDB-EA26CEE6C503}"/>
    <cellStyle name="Input 4 3 2 31 2 5" xfId="30409" xr:uid="{9A88E2F5-A0E5-4A87-A53C-CD241ABDE7CF}"/>
    <cellStyle name="Input 4 3 2 31 2 6" xfId="30410" xr:uid="{8E6149A5-9946-4C5A-8970-CA55751E42BC}"/>
    <cellStyle name="Input 4 3 2 31 3" xfId="30411" xr:uid="{B300CE06-BD95-41C9-9A3A-838D1574BD51}"/>
    <cellStyle name="Input 4 3 2 31 4" xfId="30412" xr:uid="{F9AE6BAC-9A4C-4041-8BAA-2B1514FF2ACC}"/>
    <cellStyle name="Input 4 3 2 31 5" xfId="30413" xr:uid="{BDF381B4-7181-48E4-B2CD-291DC8ABA732}"/>
    <cellStyle name="Input 4 3 2 31 6" xfId="30414" xr:uid="{5A0E9743-76A5-4232-BC27-EF9C8B30125B}"/>
    <cellStyle name="Input 4 3 2 31 7" xfId="30415" xr:uid="{72F97DD2-6EA0-4119-967B-5A5CD50DF77B}"/>
    <cellStyle name="Input 4 3 2 32" xfId="1926" xr:uid="{206259B0-D0B0-4FB2-9152-2DAFA4B7C807}"/>
    <cellStyle name="Input 4 3 2 32 2" xfId="12608" xr:uid="{36A85A02-E997-406E-9D04-0A162F782198}"/>
    <cellStyle name="Input 4 3 2 32 2 2" xfId="30416" xr:uid="{82B6E59C-D401-41F3-86B6-357695045771}"/>
    <cellStyle name="Input 4 3 2 32 2 3" xfId="30417" xr:uid="{81ECA3AD-BC02-4A5A-B672-7219D9F212EB}"/>
    <cellStyle name="Input 4 3 2 32 2 4" xfId="30418" xr:uid="{CE29ACC8-AF33-4438-8439-2BA785926D7F}"/>
    <cellStyle name="Input 4 3 2 32 2 5" xfId="30419" xr:uid="{4ABBB06D-D665-4D38-AD83-96A7284A8337}"/>
    <cellStyle name="Input 4 3 2 32 2 6" xfId="30420" xr:uid="{99213D81-1783-4AA5-AC15-4D4A5461CE80}"/>
    <cellStyle name="Input 4 3 2 32 3" xfId="30421" xr:uid="{415AC8A7-AA6D-41FA-B720-2B89B9F93246}"/>
    <cellStyle name="Input 4 3 2 32 4" xfId="30422" xr:uid="{D6B3670C-0DC4-465E-A3B2-5520BFDBACE4}"/>
    <cellStyle name="Input 4 3 2 32 5" xfId="30423" xr:uid="{7F026FF3-3CDF-4579-8CC2-D78E4E8153BC}"/>
    <cellStyle name="Input 4 3 2 32 6" xfId="30424" xr:uid="{CCA929C1-BD6E-4220-BABB-3E0B9B01F6DA}"/>
    <cellStyle name="Input 4 3 2 32 7" xfId="30425" xr:uid="{CADEC9F8-40B0-42E7-AA69-D6808D256E67}"/>
    <cellStyle name="Input 4 3 2 33" xfId="1927" xr:uid="{64E9034B-2FE1-4A68-960F-851F914A02AE}"/>
    <cellStyle name="Input 4 3 2 33 2" xfId="12687" xr:uid="{0860FABA-E465-4C95-8F34-40E96F7B6AF6}"/>
    <cellStyle name="Input 4 3 2 33 2 2" xfId="30426" xr:uid="{0DD1E8A8-AB72-4CEE-BDD5-C525CDDC09AB}"/>
    <cellStyle name="Input 4 3 2 33 2 3" xfId="30427" xr:uid="{25D306A9-EFF1-477A-B948-D39C858E4A2A}"/>
    <cellStyle name="Input 4 3 2 33 2 4" xfId="30428" xr:uid="{7DD0BDD2-7C87-4D4D-B652-51E4EC9C4104}"/>
    <cellStyle name="Input 4 3 2 33 2 5" xfId="30429" xr:uid="{557EC8E8-A9F8-470F-8E6F-38ADD50175D5}"/>
    <cellStyle name="Input 4 3 2 33 2 6" xfId="30430" xr:uid="{D9F51428-B05D-4708-9E0E-36B57588D31B}"/>
    <cellStyle name="Input 4 3 2 33 3" xfId="30431" xr:uid="{33371CA8-FF0D-4F56-BE45-B4D045E0B8C1}"/>
    <cellStyle name="Input 4 3 2 33 4" xfId="30432" xr:uid="{F396BA79-C851-4C70-9C91-C36B97E613E2}"/>
    <cellStyle name="Input 4 3 2 33 5" xfId="30433" xr:uid="{77EBD807-C815-4698-BC50-FEE3F23F8CFC}"/>
    <cellStyle name="Input 4 3 2 33 6" xfId="30434" xr:uid="{3175B7D0-50EF-468A-BB3B-3800D7C55E51}"/>
    <cellStyle name="Input 4 3 2 33 7" xfId="30435" xr:uid="{2DC04859-FD3F-4B17-ACAE-3610061DCB59}"/>
    <cellStyle name="Input 4 3 2 34" xfId="1928" xr:uid="{70B010BA-D648-47E6-8B05-1CF277F3D706}"/>
    <cellStyle name="Input 4 3 2 34 2" xfId="12771" xr:uid="{8E5DC2B3-8A62-4014-A6E2-0EA3407766A8}"/>
    <cellStyle name="Input 4 3 2 34 2 2" xfId="30436" xr:uid="{7F199989-A965-47C8-AB7C-97B75701C703}"/>
    <cellStyle name="Input 4 3 2 34 2 3" xfId="30437" xr:uid="{CD29F56E-AF98-46A0-90A9-387263B8E92A}"/>
    <cellStyle name="Input 4 3 2 34 2 4" xfId="30438" xr:uid="{C390AE79-6789-4F45-9D97-D076D7357A13}"/>
    <cellStyle name="Input 4 3 2 34 2 5" xfId="30439" xr:uid="{050E12E7-9E0D-46E8-8805-8B2D7BCC03A5}"/>
    <cellStyle name="Input 4 3 2 34 2 6" xfId="30440" xr:uid="{E6393DCA-07A0-47B8-8A0D-06B44195E61C}"/>
    <cellStyle name="Input 4 3 2 34 3" xfId="30441" xr:uid="{AEFD8CFE-FAAB-40FC-84D8-CA4CB1384463}"/>
    <cellStyle name="Input 4 3 2 34 4" xfId="30442" xr:uid="{6364ED3F-19CD-402F-854E-A5220FB36954}"/>
    <cellStyle name="Input 4 3 2 34 5" xfId="30443" xr:uid="{9BC5C659-C3EB-45F7-BE85-3A2492A15619}"/>
    <cellStyle name="Input 4 3 2 35" xfId="9837" xr:uid="{B71D46B1-47BF-4EF0-992F-59E360117C40}"/>
    <cellStyle name="Input 4 3 2 35 2" xfId="30444" xr:uid="{BF393418-83E7-4F76-87D2-AD43F6117D57}"/>
    <cellStyle name="Input 4 3 2 35 3" xfId="30445" xr:uid="{135A3C5F-7323-4D7D-BECC-3AC83A16F904}"/>
    <cellStyle name="Input 4 3 2 35 4" xfId="30446" xr:uid="{E2B835DF-9228-427F-BF73-17D6376D1A9A}"/>
    <cellStyle name="Input 4 3 2 35 5" xfId="30447" xr:uid="{C2BE7335-7EE6-4FC6-832A-10B4FAE6B261}"/>
    <cellStyle name="Input 4 3 2 35 6" xfId="30448" xr:uid="{DFD11974-CB7B-4C42-9AEE-0C053DA6DDB2}"/>
    <cellStyle name="Input 4 3 2 36" xfId="30449" xr:uid="{55254F61-C6F9-4258-A448-925653375F64}"/>
    <cellStyle name="Input 4 3 2 37" xfId="30450" xr:uid="{C9A2ED71-8434-4CAE-8B1A-018A3446CE8C}"/>
    <cellStyle name="Input 4 3 2 38" xfId="30451" xr:uid="{FD688A39-9C75-4E20-861C-50940F28C5B5}"/>
    <cellStyle name="Input 4 3 2 4" xfId="1929" xr:uid="{75E0B7B6-CF72-4D1C-BFF7-FD8378371F83}"/>
    <cellStyle name="Input 4 3 2 4 2" xfId="10231" xr:uid="{21537338-5394-4144-B4EE-81304EFBF02A}"/>
    <cellStyle name="Input 4 3 2 4 2 2" xfId="30452" xr:uid="{B7B73BCC-724F-40E7-8C76-7B1F3491256A}"/>
    <cellStyle name="Input 4 3 2 4 2 3" xfId="30453" xr:uid="{E590BA3E-6AFE-4458-9E1E-4110C339AF88}"/>
    <cellStyle name="Input 4 3 2 4 2 4" xfId="30454" xr:uid="{00741AE9-F277-4299-A322-E4D9990AA6BC}"/>
    <cellStyle name="Input 4 3 2 4 2 5" xfId="30455" xr:uid="{A82B9087-F08C-4439-B9E0-A8B5497543F6}"/>
    <cellStyle name="Input 4 3 2 4 2 6" xfId="30456" xr:uid="{F2F9C8CB-BD18-44D6-9488-AAF2D6DBA7B2}"/>
    <cellStyle name="Input 4 3 2 4 3" xfId="30457" xr:uid="{F966E66F-B2E8-4C06-8B71-B2125D03668F}"/>
    <cellStyle name="Input 4 3 2 4 4" xfId="30458" xr:uid="{3D95D2A7-D4E3-4CFC-AEBE-76FC7B18E3F7}"/>
    <cellStyle name="Input 4 3 2 4 5" xfId="30459" xr:uid="{C16B7E45-5809-44A1-B191-175AC540E5CB}"/>
    <cellStyle name="Input 4 3 2 4 6" xfId="30460" xr:uid="{408E3A2B-5415-47EB-9C15-97A091E39B3E}"/>
    <cellStyle name="Input 4 3 2 4 7" xfId="30461" xr:uid="{D92AEB6A-412A-4312-B535-053E48649396}"/>
    <cellStyle name="Input 4 3 2 5" xfId="1930" xr:uid="{47B0ECD9-A184-4E8C-A02D-FB9C714E4017}"/>
    <cellStyle name="Input 4 3 2 5 2" xfId="10317" xr:uid="{6073404D-165E-44F7-BB05-78758E8CBEFD}"/>
    <cellStyle name="Input 4 3 2 5 2 2" xfId="30462" xr:uid="{CE757C0D-2F52-430E-B24B-CE3B7C602972}"/>
    <cellStyle name="Input 4 3 2 5 2 3" xfId="30463" xr:uid="{03AA2D33-0A34-47F5-BB7F-D1980775A415}"/>
    <cellStyle name="Input 4 3 2 5 2 4" xfId="30464" xr:uid="{38117DAE-8A1B-4060-8215-0970AD8E4AAE}"/>
    <cellStyle name="Input 4 3 2 5 2 5" xfId="30465" xr:uid="{662F2FA9-B945-44D6-B646-4DF9D3EFE230}"/>
    <cellStyle name="Input 4 3 2 5 2 6" xfId="30466" xr:uid="{1679B56F-0C01-4169-87B8-3605D7F3BE97}"/>
    <cellStyle name="Input 4 3 2 5 3" xfId="30467" xr:uid="{48F3C21C-003E-4C00-B666-894286DFD0E3}"/>
    <cellStyle name="Input 4 3 2 5 4" xfId="30468" xr:uid="{7B6D5344-0C06-4C5B-B5EA-7CDEB67E3DAB}"/>
    <cellStyle name="Input 4 3 2 5 5" xfId="30469" xr:uid="{B53B5938-E8F9-4C87-9DE7-559B181ABD6D}"/>
    <cellStyle name="Input 4 3 2 5 6" xfId="30470" xr:uid="{E4426886-F008-414F-8354-495FD79725DB}"/>
    <cellStyle name="Input 4 3 2 5 7" xfId="30471" xr:uid="{5945F3C4-6819-431B-B513-47984FAE2C4F}"/>
    <cellStyle name="Input 4 3 2 6" xfId="1931" xr:uid="{60BA7E16-5731-4A46-9CCD-743CD4DFDF3F}"/>
    <cellStyle name="Input 4 3 2 6 2" xfId="10405" xr:uid="{13B3D529-B49B-4A7F-BC9E-136956CFB91C}"/>
    <cellStyle name="Input 4 3 2 6 2 2" xfId="30472" xr:uid="{A88F2C00-6CAC-46C8-970A-C914012285B7}"/>
    <cellStyle name="Input 4 3 2 6 2 3" xfId="30473" xr:uid="{B25E70AD-5555-4D00-B113-5D4D534F1BC3}"/>
    <cellStyle name="Input 4 3 2 6 2 4" xfId="30474" xr:uid="{10B6A258-E7EC-42AE-A7FD-30BBB100E1BE}"/>
    <cellStyle name="Input 4 3 2 6 2 5" xfId="30475" xr:uid="{A0D81633-DDB2-4554-AFF3-F0B2F59B5A34}"/>
    <cellStyle name="Input 4 3 2 6 2 6" xfId="30476" xr:uid="{F67F5A92-9862-4ABB-9162-2B864B489072}"/>
    <cellStyle name="Input 4 3 2 6 3" xfId="30477" xr:uid="{8AF58729-CE95-4843-AF38-46ABD3BEE826}"/>
    <cellStyle name="Input 4 3 2 6 4" xfId="30478" xr:uid="{D6FF85CB-F050-4F50-A7EE-7B6840A1CAFF}"/>
    <cellStyle name="Input 4 3 2 6 5" xfId="30479" xr:uid="{04751F47-87E6-4984-B293-9FC68124BACD}"/>
    <cellStyle name="Input 4 3 2 6 6" xfId="30480" xr:uid="{30DD99D7-4C3F-45A9-849E-223FE84AD105}"/>
    <cellStyle name="Input 4 3 2 6 7" xfId="30481" xr:uid="{947CFBC6-7F56-46EE-84FE-56198465D582}"/>
    <cellStyle name="Input 4 3 2 7" xfId="1932" xr:uid="{448ED7F9-3D32-4685-B9F9-846872796076}"/>
    <cellStyle name="Input 4 3 2 7 2" xfId="10492" xr:uid="{1AF10394-B1E8-44CF-AC19-430F2426E127}"/>
    <cellStyle name="Input 4 3 2 7 2 2" xfId="30482" xr:uid="{24C05980-7B68-416B-AD56-1BFE1BE16557}"/>
    <cellStyle name="Input 4 3 2 7 2 3" xfId="30483" xr:uid="{BE5B87E8-C001-4F83-8554-1BD3762F89D8}"/>
    <cellStyle name="Input 4 3 2 7 2 4" xfId="30484" xr:uid="{AB377B4C-F866-44F7-8C2D-E7F6CFDC9B17}"/>
    <cellStyle name="Input 4 3 2 7 2 5" xfId="30485" xr:uid="{F7D6321A-7125-4289-AEC1-8030AB821E3E}"/>
    <cellStyle name="Input 4 3 2 7 2 6" xfId="30486" xr:uid="{1DBFB3B8-B9D4-4F0C-B2C9-DB601C0F7463}"/>
    <cellStyle name="Input 4 3 2 7 3" xfId="30487" xr:uid="{F3A7B83D-A474-4B37-AB0F-860740C9B073}"/>
    <cellStyle name="Input 4 3 2 7 4" xfId="30488" xr:uid="{3C1C11EA-E5B0-4155-B067-4D13437BFAA3}"/>
    <cellStyle name="Input 4 3 2 7 5" xfId="30489" xr:uid="{4CEF16F4-B623-474F-8513-AFD4317CDE92}"/>
    <cellStyle name="Input 4 3 2 7 6" xfId="30490" xr:uid="{933175A4-1476-4442-8FA2-CB499185C2A4}"/>
    <cellStyle name="Input 4 3 2 7 7" xfId="30491" xr:uid="{AD98ECFF-5413-454D-9A5C-6F11F94C6D7D}"/>
    <cellStyle name="Input 4 3 2 8" xfId="1933" xr:uid="{CAF0F48C-9D0C-4C1D-8AA7-B895129F01F4}"/>
    <cellStyle name="Input 4 3 2 8 2" xfId="10580" xr:uid="{99E9179D-C613-487E-99BC-149293A44280}"/>
    <cellStyle name="Input 4 3 2 8 2 2" xfId="30492" xr:uid="{1ADAA131-9453-4A9F-A1AE-D68197E7D8F9}"/>
    <cellStyle name="Input 4 3 2 8 2 3" xfId="30493" xr:uid="{9EA77F08-2431-41A4-8BE4-DF1AD3404515}"/>
    <cellStyle name="Input 4 3 2 8 2 4" xfId="30494" xr:uid="{72754DD1-3ABA-4BBC-9EE6-7B31A2426CB2}"/>
    <cellStyle name="Input 4 3 2 8 2 5" xfId="30495" xr:uid="{147CA28F-F700-4D2A-9747-806F4A48E727}"/>
    <cellStyle name="Input 4 3 2 8 2 6" xfId="30496" xr:uid="{15B58AE8-FB5B-4C1D-9284-6560BAD647AB}"/>
    <cellStyle name="Input 4 3 2 8 3" xfId="30497" xr:uid="{57CC8694-C2EA-497D-AFF9-5BBD2EED4867}"/>
    <cellStyle name="Input 4 3 2 8 4" xfId="30498" xr:uid="{3C587E72-2314-4090-9DFD-AFF9AB6C8C97}"/>
    <cellStyle name="Input 4 3 2 8 5" xfId="30499" xr:uid="{49E907C8-D293-48F7-9024-0273265F092D}"/>
    <cellStyle name="Input 4 3 2 8 6" xfId="30500" xr:uid="{2B83A09F-DD20-492D-ABD5-A42FD4705A2A}"/>
    <cellStyle name="Input 4 3 2 8 7" xfId="30501" xr:uid="{27BA3A5A-CA30-49FA-B34E-D78B040B0928}"/>
    <cellStyle name="Input 4 3 2 9" xfId="1934" xr:uid="{FD0F5386-261B-4D68-96A7-DF3133FA5687}"/>
    <cellStyle name="Input 4 3 2 9 2" xfId="10662" xr:uid="{2EE12400-7AFB-437B-A0C0-F3AA654F8749}"/>
    <cellStyle name="Input 4 3 2 9 2 2" xfId="30502" xr:uid="{FFD2D37D-A566-4C85-A58D-FD26909DD15A}"/>
    <cellStyle name="Input 4 3 2 9 2 3" xfId="30503" xr:uid="{AC3148AA-9F82-4E69-8F2D-BEFBA7E74909}"/>
    <cellStyle name="Input 4 3 2 9 2 4" xfId="30504" xr:uid="{9BF64334-E6AC-4C73-BB9C-17A05B48104C}"/>
    <cellStyle name="Input 4 3 2 9 2 5" xfId="30505" xr:uid="{D29FDC22-FCC3-4B6F-9AAB-0388195D6E7E}"/>
    <cellStyle name="Input 4 3 2 9 2 6" xfId="30506" xr:uid="{16CB2C42-0EB7-4F65-9145-027493799E10}"/>
    <cellStyle name="Input 4 3 2 9 3" xfId="30507" xr:uid="{3A4E0E2D-7832-4BEB-BE88-32056D4ADE9C}"/>
    <cellStyle name="Input 4 3 2 9 4" xfId="30508" xr:uid="{4F2F89F4-D9A4-45F2-BFD9-B53591ABEAFE}"/>
    <cellStyle name="Input 4 3 2 9 5" xfId="30509" xr:uid="{3838615D-A413-4C73-B194-3C0721186319}"/>
    <cellStyle name="Input 4 3 2 9 6" xfId="30510" xr:uid="{E387A85C-6B12-4D1E-928C-F3A1623F1713}"/>
    <cellStyle name="Input 4 3 2 9 7" xfId="30511" xr:uid="{974BC998-BF3E-4194-A73E-B828E4B96358}"/>
    <cellStyle name="Input 4 3 20" xfId="1935" xr:uid="{54EDBCA5-F922-4113-ADE9-2C8432A6BECB}"/>
    <cellStyle name="Input 4 3 20 2" xfId="11509" xr:uid="{1ADE62D1-6236-4DA8-8F79-4AB261FD23DD}"/>
    <cellStyle name="Input 4 3 20 2 2" xfId="30512" xr:uid="{73637515-C206-4740-AA34-BF709F6E143B}"/>
    <cellStyle name="Input 4 3 20 2 3" xfId="30513" xr:uid="{F9D860C6-19A7-4952-8C1C-37AF761A5129}"/>
    <cellStyle name="Input 4 3 20 2 4" xfId="30514" xr:uid="{D8758FFE-6F9E-4CE3-8303-33BA3E749A87}"/>
    <cellStyle name="Input 4 3 20 2 5" xfId="30515" xr:uid="{288B39F3-E0B3-4528-AF9F-EB1BAA3C7808}"/>
    <cellStyle name="Input 4 3 20 2 6" xfId="30516" xr:uid="{79B3CF7F-59B9-4D8B-8801-A4E48B0AEE24}"/>
    <cellStyle name="Input 4 3 20 3" xfId="30517" xr:uid="{27A663B6-CDD8-41E2-82C6-50C924403467}"/>
    <cellStyle name="Input 4 3 20 4" xfId="30518" xr:uid="{1573B42F-5876-425B-9456-793136C05FEE}"/>
    <cellStyle name="Input 4 3 20 5" xfId="30519" xr:uid="{A63BC98C-6185-49A0-AEC9-4FDB790AC5AF}"/>
    <cellStyle name="Input 4 3 20 6" xfId="30520" xr:uid="{53FB7EA8-1EF1-409F-A0FB-063669C97B65}"/>
    <cellStyle name="Input 4 3 20 7" xfId="30521" xr:uid="{D3D5C7C5-308D-4931-91A6-4B375BADA8A9}"/>
    <cellStyle name="Input 4 3 21" xfId="1936" xr:uid="{B3D0CF3C-1000-4F6F-A4F8-D1FEAE780CC7}"/>
    <cellStyle name="Input 4 3 21 2" xfId="11597" xr:uid="{FA2E3CB5-1C65-415B-A3C3-AB37F6500C09}"/>
    <cellStyle name="Input 4 3 21 2 2" xfId="30522" xr:uid="{C3DCE088-3C2B-4624-BBA7-9A0CDD29FEFA}"/>
    <cellStyle name="Input 4 3 21 2 3" xfId="30523" xr:uid="{1672EAD7-FA92-4821-B1DA-4E52DB177A61}"/>
    <cellStyle name="Input 4 3 21 2 4" xfId="30524" xr:uid="{16852305-82E5-4ED3-993F-1172437A7EA5}"/>
    <cellStyle name="Input 4 3 21 2 5" xfId="30525" xr:uid="{64277A40-1B1E-4ACF-8ADC-76AB7625EF3F}"/>
    <cellStyle name="Input 4 3 21 2 6" xfId="30526" xr:uid="{E683B9F8-01D3-4B34-B1ED-4C9CDC9BF7F7}"/>
    <cellStyle name="Input 4 3 21 3" xfId="30527" xr:uid="{4D09A82F-D0E3-4B00-8EF1-B88DCBA32865}"/>
    <cellStyle name="Input 4 3 21 4" xfId="30528" xr:uid="{628EDE16-2C21-4E57-AC60-15CA1E548CAC}"/>
    <cellStyle name="Input 4 3 21 5" xfId="30529" xr:uid="{85ED6E6C-7CEA-4690-9077-0750B01817B0}"/>
    <cellStyle name="Input 4 3 21 6" xfId="30530" xr:uid="{3F516C62-6B68-47DB-85B1-7AFE19321029}"/>
    <cellStyle name="Input 4 3 21 7" xfId="30531" xr:uid="{357A457C-20ED-4DD5-8756-B19DBCA7BE2E}"/>
    <cellStyle name="Input 4 3 22" xfId="1937" xr:uid="{2CA56F72-AF6E-4B7A-AD23-558BDD8725A8}"/>
    <cellStyle name="Input 4 3 22 2" xfId="11682" xr:uid="{20812168-5C42-42AF-9CEB-DCD71D0189AE}"/>
    <cellStyle name="Input 4 3 22 2 2" xfId="30532" xr:uid="{DFC6CBEC-CB5E-4475-87CE-1B8D713F3E67}"/>
    <cellStyle name="Input 4 3 22 2 3" xfId="30533" xr:uid="{3540E5E5-05C9-40A6-B2BA-5D57F3BD3436}"/>
    <cellStyle name="Input 4 3 22 2 4" xfId="30534" xr:uid="{FEABB5D3-3A4D-422C-8C5D-5E3C4EEE8A86}"/>
    <cellStyle name="Input 4 3 22 2 5" xfId="30535" xr:uid="{CE0071B1-09DB-445D-B89C-DC049A4818C8}"/>
    <cellStyle name="Input 4 3 22 2 6" xfId="30536" xr:uid="{DB26ABA5-D602-4539-983E-A86566AB1531}"/>
    <cellStyle name="Input 4 3 22 3" xfId="30537" xr:uid="{E4559BBC-9877-4350-9B47-5F8B9A1FE179}"/>
    <cellStyle name="Input 4 3 22 4" xfId="30538" xr:uid="{8E3FB710-FF1C-4A1F-99D4-78BAFFE46ED9}"/>
    <cellStyle name="Input 4 3 22 5" xfId="30539" xr:uid="{A02614B9-04BD-4A81-A953-C503FF0C90E7}"/>
    <cellStyle name="Input 4 3 22 6" xfId="30540" xr:uid="{73FD01DB-D83B-43DB-B5B4-E3BD6FE1C541}"/>
    <cellStyle name="Input 4 3 22 7" xfId="30541" xr:uid="{749094AB-2C29-44F5-89DC-62433E025B72}"/>
    <cellStyle name="Input 4 3 23" xfId="1938" xr:uid="{540A663F-E457-495D-92FF-185F6A427AE2}"/>
    <cellStyle name="Input 4 3 23 2" xfId="11765" xr:uid="{429966EB-5428-4CD6-99D4-B0BC5A14CCF0}"/>
    <cellStyle name="Input 4 3 23 2 2" xfId="30542" xr:uid="{39C01CE3-EC19-4B8F-953A-E0AB6148BD06}"/>
    <cellStyle name="Input 4 3 23 2 3" xfId="30543" xr:uid="{8CFCD4BD-BB75-4C9B-AB52-366B9D98D516}"/>
    <cellStyle name="Input 4 3 23 2 4" xfId="30544" xr:uid="{57BA010D-19B9-4A74-8815-EF983F9452B4}"/>
    <cellStyle name="Input 4 3 23 2 5" xfId="30545" xr:uid="{2D22CE52-B83B-465E-90FC-6784443B2161}"/>
    <cellStyle name="Input 4 3 23 2 6" xfId="30546" xr:uid="{0D718146-BD7F-4CD2-A024-F28FE348F766}"/>
    <cellStyle name="Input 4 3 23 3" xfId="30547" xr:uid="{003E9B94-7F73-4CCE-BD03-CF8BBBFE3062}"/>
    <cellStyle name="Input 4 3 23 4" xfId="30548" xr:uid="{64732AB9-FEA7-4694-B35C-78E7BB2B167F}"/>
    <cellStyle name="Input 4 3 23 5" xfId="30549" xr:uid="{95148E4E-C7B9-4EBE-BFC5-D043DE1CE1DB}"/>
    <cellStyle name="Input 4 3 23 6" xfId="30550" xr:uid="{BF32BAC6-0C8F-48B1-8C4F-CE0DDDC24B18}"/>
    <cellStyle name="Input 4 3 23 7" xfId="30551" xr:uid="{038D58CE-5C1B-466B-9E19-4717EE70C0BD}"/>
    <cellStyle name="Input 4 3 24" xfId="1939" xr:uid="{5E192279-0C1C-40CD-91C7-7960A154F758}"/>
    <cellStyle name="Input 4 3 24 2" xfId="11847" xr:uid="{AD74B79E-A6FC-475C-95F8-68A6428640EE}"/>
    <cellStyle name="Input 4 3 24 2 2" xfId="30552" xr:uid="{96A45B3E-B88C-49EF-B4D1-E337E320960F}"/>
    <cellStyle name="Input 4 3 24 2 3" xfId="30553" xr:uid="{0F768137-A1D3-4FC1-A6DB-FCFA6C418843}"/>
    <cellStyle name="Input 4 3 24 2 4" xfId="30554" xr:uid="{2DEF9F19-397B-4BB2-BFBA-636077729C85}"/>
    <cellStyle name="Input 4 3 24 2 5" xfId="30555" xr:uid="{DE40EEEE-14DC-41A4-8694-04DCF979144F}"/>
    <cellStyle name="Input 4 3 24 2 6" xfId="30556" xr:uid="{2ECAEDA0-3209-4F16-8C2B-E3A015EE0501}"/>
    <cellStyle name="Input 4 3 24 3" xfId="30557" xr:uid="{CEFCB171-E205-4465-BA9A-0D39B8B84D04}"/>
    <cellStyle name="Input 4 3 24 4" xfId="30558" xr:uid="{19161AAD-EB0D-4961-AC55-62C74AFFFF9A}"/>
    <cellStyle name="Input 4 3 24 5" xfId="30559" xr:uid="{CCFA4E14-8167-4CD2-9F56-8442E50FDBAC}"/>
    <cellStyle name="Input 4 3 24 6" xfId="30560" xr:uid="{22DE96B9-C1AA-4AE0-98EE-8D67334AAC40}"/>
    <cellStyle name="Input 4 3 24 7" xfId="30561" xr:uid="{2D712AFB-B028-44F5-8872-6B127E0164FF}"/>
    <cellStyle name="Input 4 3 25" xfId="1940" xr:uid="{AB04BA5C-99AB-4580-8A16-A9EAB83F2A9B}"/>
    <cellStyle name="Input 4 3 25 2" xfId="11931" xr:uid="{896EE508-8466-49E9-B902-2B415ECAFC32}"/>
    <cellStyle name="Input 4 3 25 2 2" xfId="30562" xr:uid="{42122BC8-54E1-4C99-8363-912AC86A0863}"/>
    <cellStyle name="Input 4 3 25 2 3" xfId="30563" xr:uid="{0CFA96F7-4BBB-4179-A5A6-C54E44F7DBA9}"/>
    <cellStyle name="Input 4 3 25 2 4" xfId="30564" xr:uid="{BFF85E5D-EB2C-45A4-BCDE-6C24121DB0ED}"/>
    <cellStyle name="Input 4 3 25 2 5" xfId="30565" xr:uid="{6286044B-0991-4B11-BCD2-FB3BFE3153EC}"/>
    <cellStyle name="Input 4 3 25 2 6" xfId="30566" xr:uid="{02E1DF1B-2F84-4403-85C0-CFC853545132}"/>
    <cellStyle name="Input 4 3 25 3" xfId="30567" xr:uid="{AD40F18C-425E-4DD4-B77F-0DCD44C851DE}"/>
    <cellStyle name="Input 4 3 25 4" xfId="30568" xr:uid="{1F45F0B5-312A-4ACA-98C4-CBF4DA77D967}"/>
    <cellStyle name="Input 4 3 25 5" xfId="30569" xr:uid="{A27762CF-6D40-4B7D-BBF6-DA780B31058B}"/>
    <cellStyle name="Input 4 3 25 6" xfId="30570" xr:uid="{3B3B93FB-069B-4E43-9660-608E3414DDFF}"/>
    <cellStyle name="Input 4 3 25 7" xfId="30571" xr:uid="{DEC77DFF-1DF8-437F-807B-2FFDF9480416}"/>
    <cellStyle name="Input 4 3 26" xfId="1941" xr:uid="{9CC6E564-067D-4938-AEA4-04FABF6465C1}"/>
    <cellStyle name="Input 4 3 26 2" xfId="12015" xr:uid="{603672BA-C2AB-4B2D-9D68-4762850F5C34}"/>
    <cellStyle name="Input 4 3 26 2 2" xfId="30572" xr:uid="{09ADBCF6-B8D0-42E7-A89F-8E328F4ED5B1}"/>
    <cellStyle name="Input 4 3 26 2 3" xfId="30573" xr:uid="{C371F77F-556D-434D-BD95-DC27336AC43B}"/>
    <cellStyle name="Input 4 3 26 2 4" xfId="30574" xr:uid="{0F9EBC75-4ABA-41F8-8F09-21DB71404BA8}"/>
    <cellStyle name="Input 4 3 26 2 5" xfId="30575" xr:uid="{EDF1FDC2-24F9-4339-A44A-CDB25D26886C}"/>
    <cellStyle name="Input 4 3 26 2 6" xfId="30576" xr:uid="{64CD2BC7-29E0-42F1-8546-652930F3F19A}"/>
    <cellStyle name="Input 4 3 26 3" xfId="30577" xr:uid="{45499C66-145D-4BA4-819D-9EC13C6C0427}"/>
    <cellStyle name="Input 4 3 26 4" xfId="30578" xr:uid="{7F52D4B9-9668-4EF1-998B-0D95FAF7E4E8}"/>
    <cellStyle name="Input 4 3 26 5" xfId="30579" xr:uid="{FE159D26-5856-4BDC-B038-EFC5D6A48E6F}"/>
    <cellStyle name="Input 4 3 26 6" xfId="30580" xr:uid="{8D2F6D04-CDD3-4BE6-8813-FECB04304A8E}"/>
    <cellStyle name="Input 4 3 26 7" xfId="30581" xr:uid="{222B3DCB-8B67-41EF-B239-9141AE5C7943}"/>
    <cellStyle name="Input 4 3 27" xfId="1942" xr:uid="{6B58F087-535F-4731-A262-BAD9088F7A78}"/>
    <cellStyle name="Input 4 3 27 2" xfId="12098" xr:uid="{F6E08394-5F41-4DED-B809-DC04B3CEC625}"/>
    <cellStyle name="Input 4 3 27 2 2" xfId="30582" xr:uid="{CDFF117D-107F-4F86-8949-0CC73ADD7EF6}"/>
    <cellStyle name="Input 4 3 27 2 3" xfId="30583" xr:uid="{DF333248-7EA9-4A68-A8C8-24C8E88FF57F}"/>
    <cellStyle name="Input 4 3 27 2 4" xfId="30584" xr:uid="{8C3D9658-5C78-49D9-BCF0-DFEB79F40A05}"/>
    <cellStyle name="Input 4 3 27 2 5" xfId="30585" xr:uid="{A0168256-4F4D-453B-86D9-5EA80044A549}"/>
    <cellStyle name="Input 4 3 27 2 6" xfId="30586" xr:uid="{87B69F68-1244-4D86-A570-9D99A30AE8D1}"/>
    <cellStyle name="Input 4 3 27 3" xfId="30587" xr:uid="{114C160F-B62E-47F4-99FD-E4075E22A7B7}"/>
    <cellStyle name="Input 4 3 27 4" xfId="30588" xr:uid="{FF9F5037-77ED-4C1D-92C5-8EA761D74427}"/>
    <cellStyle name="Input 4 3 27 5" xfId="30589" xr:uid="{9BA005D5-92C6-4ABF-9825-60CBFD5F6A2E}"/>
    <cellStyle name="Input 4 3 27 6" xfId="30590" xr:uid="{CDAE2480-1318-4B69-B8B5-DF2DD3F98559}"/>
    <cellStyle name="Input 4 3 27 7" xfId="30591" xr:uid="{494BA5CE-F46D-4127-AAA7-FC35DE3E7001}"/>
    <cellStyle name="Input 4 3 28" xfId="1943" xr:uid="{9BE087C7-DCBB-4E21-951E-0C9C25C3FCE5}"/>
    <cellStyle name="Input 4 3 28 2" xfId="12180" xr:uid="{EF533EED-70E4-40FC-ACA9-81F37B96D8A8}"/>
    <cellStyle name="Input 4 3 28 2 2" xfId="30592" xr:uid="{B85E3848-C2D0-4238-BEBF-D7D3FBFA7A49}"/>
    <cellStyle name="Input 4 3 28 2 3" xfId="30593" xr:uid="{31DAAF28-9996-46B0-9921-E5B96D11B235}"/>
    <cellStyle name="Input 4 3 28 2 4" xfId="30594" xr:uid="{AEB468D6-0435-4A4E-96C9-55C273863ACE}"/>
    <cellStyle name="Input 4 3 28 2 5" xfId="30595" xr:uid="{70868615-3F64-4A86-99FE-B06FC4E06031}"/>
    <cellStyle name="Input 4 3 28 2 6" xfId="30596" xr:uid="{900413F1-220F-4B1C-8BDD-CC99343448D9}"/>
    <cellStyle name="Input 4 3 28 3" xfId="30597" xr:uid="{E4F0FE10-6ADD-4C48-B393-3313C5042CF5}"/>
    <cellStyle name="Input 4 3 28 4" xfId="30598" xr:uid="{BED7A151-C5A9-4824-A1E6-E6370C5C93FE}"/>
    <cellStyle name="Input 4 3 28 5" xfId="30599" xr:uid="{E8D17C44-996A-4D7F-B7FC-72FF9E06549E}"/>
    <cellStyle name="Input 4 3 28 6" xfId="30600" xr:uid="{856B1CA1-81A5-4ED9-9D1A-B52A50E98117}"/>
    <cellStyle name="Input 4 3 28 7" xfId="30601" xr:uid="{5BBA706E-7417-4CFA-B57C-51E088779809}"/>
    <cellStyle name="Input 4 3 29" xfId="1944" xr:uid="{809BF55E-F632-42C7-93C2-A752D213C7E7}"/>
    <cellStyle name="Input 4 3 29 2" xfId="12260" xr:uid="{354D9A28-F9E2-4684-ADE8-75DA98F1C967}"/>
    <cellStyle name="Input 4 3 29 2 2" xfId="30602" xr:uid="{0D8C9074-C91E-43D0-9135-0438C1DFFE7D}"/>
    <cellStyle name="Input 4 3 29 2 3" xfId="30603" xr:uid="{A7313CD0-2666-40A0-A281-AECF2D725D92}"/>
    <cellStyle name="Input 4 3 29 2 4" xfId="30604" xr:uid="{F3931B17-D710-4572-8446-3BB82A6A46C7}"/>
    <cellStyle name="Input 4 3 29 2 5" xfId="30605" xr:uid="{6271AE92-1769-4556-BB16-D9776BE8040F}"/>
    <cellStyle name="Input 4 3 29 2 6" xfId="30606" xr:uid="{076E84FE-2EF6-4ADE-8FD6-2FE44C483595}"/>
    <cellStyle name="Input 4 3 29 3" xfId="30607" xr:uid="{718E6FDD-B6FC-4643-99A1-35A0EED2540E}"/>
    <cellStyle name="Input 4 3 29 4" xfId="30608" xr:uid="{D4CE7865-AEB8-43FA-A34A-12AE33637908}"/>
    <cellStyle name="Input 4 3 29 5" xfId="30609" xr:uid="{A7E98566-43C9-4152-8CF0-9600C55434B1}"/>
    <cellStyle name="Input 4 3 29 6" xfId="30610" xr:uid="{0E785886-1E08-444F-BF3B-7784EDBFA13E}"/>
    <cellStyle name="Input 4 3 29 7" xfId="30611" xr:uid="{7FF0DC68-75F7-4CF3-9056-6E1C7657673C}"/>
    <cellStyle name="Input 4 3 3" xfId="1945" xr:uid="{8409DB4B-7E4F-4C46-B6B7-A68D6CDD292F}"/>
    <cellStyle name="Input 4 3 3 2" xfId="10016" xr:uid="{C7835DAB-1C48-41C8-8CE3-4EE6F638D8F1}"/>
    <cellStyle name="Input 4 3 3 2 2" xfId="30612" xr:uid="{EA61B6D0-06A7-4071-A6B8-E2591BD396DC}"/>
    <cellStyle name="Input 4 3 3 2 3" xfId="30613" xr:uid="{9C195E72-0E02-46C5-A2FD-E485A38EFA0B}"/>
    <cellStyle name="Input 4 3 3 2 4" xfId="30614" xr:uid="{BC80908A-3631-4B36-AB04-C46E71C64158}"/>
    <cellStyle name="Input 4 3 3 2 5" xfId="30615" xr:uid="{1E511AD5-9753-4F8F-A89A-D12A1E38E73A}"/>
    <cellStyle name="Input 4 3 3 2 6" xfId="30616" xr:uid="{0F64C70B-F780-4698-87C8-CB6CE9B0DD07}"/>
    <cellStyle name="Input 4 3 3 3" xfId="30617" xr:uid="{BAA4F586-D491-4FAF-B4D2-D218408E20FF}"/>
    <cellStyle name="Input 4 3 3 4" xfId="30618" xr:uid="{FDD48D89-713D-4A0E-931E-33D2E9A16722}"/>
    <cellStyle name="Input 4 3 3 5" xfId="30619" xr:uid="{A7AC205C-8554-442B-ACF0-9486ED1AD085}"/>
    <cellStyle name="Input 4 3 3 6" xfId="30620" xr:uid="{190C29B2-5317-4A75-8BB2-8390DD838CE6}"/>
    <cellStyle name="Input 4 3 3 7" xfId="30621" xr:uid="{34991624-A17B-4FB8-B695-A7333A396EE5}"/>
    <cellStyle name="Input 4 3 30" xfId="1946" xr:uid="{1C974C75-9DD8-4284-96D7-A99B69874B84}"/>
    <cellStyle name="Input 4 3 30 2" xfId="12338" xr:uid="{EF0AF69F-90FC-4384-AC76-B498864AE0DE}"/>
    <cellStyle name="Input 4 3 30 2 2" xfId="30622" xr:uid="{79F47D91-2BFE-45F7-8E4D-C3FA2375EEF3}"/>
    <cellStyle name="Input 4 3 30 2 3" xfId="30623" xr:uid="{0AB98E51-C517-4563-9A6E-C34308ECE1C6}"/>
    <cellStyle name="Input 4 3 30 2 4" xfId="30624" xr:uid="{17273907-EF34-4932-8DAB-22552E2F7E76}"/>
    <cellStyle name="Input 4 3 30 2 5" xfId="30625" xr:uid="{59C12D3A-EBC8-488F-8330-FFA9296A6670}"/>
    <cellStyle name="Input 4 3 30 2 6" xfId="30626" xr:uid="{E6B12A16-1BAD-4A70-A5C8-371644F1B8DE}"/>
    <cellStyle name="Input 4 3 30 3" xfId="30627" xr:uid="{D15285B9-CC46-49DD-A73B-C5B49E364532}"/>
    <cellStyle name="Input 4 3 30 4" xfId="30628" xr:uid="{CF63A9C9-F9DE-4BA7-BC8A-7D1000F3CABC}"/>
    <cellStyle name="Input 4 3 30 5" xfId="30629" xr:uid="{E2E9FA6B-936A-4485-97A5-601299477C22}"/>
    <cellStyle name="Input 4 3 30 6" xfId="30630" xr:uid="{2A3D87E4-E84E-4A4C-A24B-9CE35D7D357D}"/>
    <cellStyle name="Input 4 3 30 7" xfId="30631" xr:uid="{CDE2C38A-EE87-4D3C-8E61-5954683557C0}"/>
    <cellStyle name="Input 4 3 31" xfId="1947" xr:uid="{F3A75176-536C-4989-BFBA-9DC042490267}"/>
    <cellStyle name="Input 4 3 31 2" xfId="12417" xr:uid="{7B1EC885-8598-4C97-BB44-006B7C44E3A9}"/>
    <cellStyle name="Input 4 3 31 2 2" xfId="30632" xr:uid="{B83C9749-38F4-4378-BE0C-ADE9D7120C9B}"/>
    <cellStyle name="Input 4 3 31 2 3" xfId="30633" xr:uid="{3C0C2664-F237-48D4-862F-DAF3F0E7F337}"/>
    <cellStyle name="Input 4 3 31 2 4" xfId="30634" xr:uid="{DA62903A-8F58-474A-856B-F683D3BBD26C}"/>
    <cellStyle name="Input 4 3 31 2 5" xfId="30635" xr:uid="{66472B76-9AE2-4D13-BBF8-151252DB6FB8}"/>
    <cellStyle name="Input 4 3 31 2 6" xfId="30636" xr:uid="{9253AE2B-C3A9-4FC3-BB78-30FDCD94F6ED}"/>
    <cellStyle name="Input 4 3 31 3" xfId="30637" xr:uid="{2D4C8C0A-CEE8-4DA1-941A-677712EFD000}"/>
    <cellStyle name="Input 4 3 31 4" xfId="30638" xr:uid="{17EC809C-3FA1-4585-8177-314055D1117A}"/>
    <cellStyle name="Input 4 3 31 5" xfId="30639" xr:uid="{6E581DC3-D610-4A84-A29A-339E6EEEBE50}"/>
    <cellStyle name="Input 4 3 31 6" xfId="30640" xr:uid="{ACF68408-EBE0-4143-A4AE-67644F8B7DCF}"/>
    <cellStyle name="Input 4 3 31 7" xfId="30641" xr:uid="{8F88F41D-75BD-4096-AAC2-1E87CD9BE53F}"/>
    <cellStyle name="Input 4 3 32" xfId="1948" xr:uid="{8EB7E758-ECCD-4C4B-ADE0-FBB835987E94}"/>
    <cellStyle name="Input 4 3 32 2" xfId="12496" xr:uid="{7F57574A-4DE5-4CCA-9F53-DA9AEA770972}"/>
    <cellStyle name="Input 4 3 32 2 2" xfId="30642" xr:uid="{2B16FCC5-A1E1-4920-BCE8-2BC47421174E}"/>
    <cellStyle name="Input 4 3 32 2 3" xfId="30643" xr:uid="{79DDA656-E711-461C-AE1D-BABCD74FBB6A}"/>
    <cellStyle name="Input 4 3 32 2 4" xfId="30644" xr:uid="{BEDD99AB-BEC6-4C7B-B740-B477D0A2EA08}"/>
    <cellStyle name="Input 4 3 32 2 5" xfId="30645" xr:uid="{774F09D3-4938-4432-BD3D-E707985B932B}"/>
    <cellStyle name="Input 4 3 32 2 6" xfId="30646" xr:uid="{59139665-1C40-4080-8BB7-61CB338F143B}"/>
    <cellStyle name="Input 4 3 32 3" xfId="30647" xr:uid="{254AAC2C-8E4F-4EBA-BCC2-830C25BDCB61}"/>
    <cellStyle name="Input 4 3 32 4" xfId="30648" xr:uid="{049CDA70-90D1-407D-80D8-26D443F9326F}"/>
    <cellStyle name="Input 4 3 32 5" xfId="30649" xr:uid="{11CA5458-7944-4741-B3ED-1B40D08938CB}"/>
    <cellStyle name="Input 4 3 32 6" xfId="30650" xr:uid="{6BBD046B-AFB4-47BA-8D4F-595BAEA31E70}"/>
    <cellStyle name="Input 4 3 32 7" xfId="30651" xr:uid="{D4E592DA-7938-4134-9EBE-46F6DE7328EB}"/>
    <cellStyle name="Input 4 3 33" xfId="1949" xr:uid="{A6621CF5-A334-40DC-8935-3ED7CB8A85EA}"/>
    <cellStyle name="Input 4 3 33 2" xfId="12575" xr:uid="{3AF9125E-149F-44D6-9219-046A51CB8033}"/>
    <cellStyle name="Input 4 3 33 2 2" xfId="30652" xr:uid="{6456525B-86CA-4CB2-AFC3-32FA37E2907B}"/>
    <cellStyle name="Input 4 3 33 2 3" xfId="30653" xr:uid="{72A6E928-6AAB-49D8-9C59-EE8D2AFA7AC1}"/>
    <cellStyle name="Input 4 3 33 2 4" xfId="30654" xr:uid="{5D13ADC8-052B-442E-849D-8049FD6EBDFA}"/>
    <cellStyle name="Input 4 3 33 2 5" xfId="30655" xr:uid="{5B8F1C7E-E20D-4E70-83C1-9C5847999791}"/>
    <cellStyle name="Input 4 3 33 2 6" xfId="30656" xr:uid="{9F884EAE-84B8-4168-8C89-72814863CD2D}"/>
    <cellStyle name="Input 4 3 33 3" xfId="30657" xr:uid="{B6850E21-FFE1-429B-AD0E-D35ADFFFF5D6}"/>
    <cellStyle name="Input 4 3 33 4" xfId="30658" xr:uid="{27B9FC49-821C-44C4-B4C1-3D1D40C51D4B}"/>
    <cellStyle name="Input 4 3 33 5" xfId="30659" xr:uid="{CA04D0E0-470A-4046-ABC0-A0C8A8D7E5FC}"/>
    <cellStyle name="Input 4 3 33 6" xfId="30660" xr:uid="{13294148-C61C-4FEF-8B7F-098BE4C6007F}"/>
    <cellStyle name="Input 4 3 33 7" xfId="30661" xr:uid="{F67BB826-E998-44D6-9706-F10D5080B268}"/>
    <cellStyle name="Input 4 3 34" xfId="1950" xr:uid="{368EB5C0-5761-4E7C-AB14-2EACBF7FE190}"/>
    <cellStyle name="Input 4 3 34 2" xfId="12654" xr:uid="{2ECF0686-0E64-4FA9-B7DB-EC65D6577AD2}"/>
    <cellStyle name="Input 4 3 34 2 2" xfId="30662" xr:uid="{F721ADAA-CF45-4C4D-AEAA-EEE310640937}"/>
    <cellStyle name="Input 4 3 34 2 3" xfId="30663" xr:uid="{B3AE1D03-9034-45AB-BD0B-016273322F60}"/>
    <cellStyle name="Input 4 3 34 2 4" xfId="30664" xr:uid="{DBFE31F7-1556-484F-A196-1CB7921DCF2E}"/>
    <cellStyle name="Input 4 3 34 2 5" xfId="30665" xr:uid="{5F01E308-7567-44B1-B580-2C6D55EC86E6}"/>
    <cellStyle name="Input 4 3 34 2 6" xfId="30666" xr:uid="{285E3898-11E2-420A-8D7C-5EE203F4FB56}"/>
    <cellStyle name="Input 4 3 34 3" xfId="30667" xr:uid="{D274A069-C528-41D3-86B7-C2053F28F292}"/>
    <cellStyle name="Input 4 3 34 4" xfId="30668" xr:uid="{1F1EC7B1-A731-44C1-BEFD-D144963BCCFC}"/>
    <cellStyle name="Input 4 3 34 5" xfId="30669" xr:uid="{6BF1CBCF-977B-4353-8F09-1B75244940E7}"/>
    <cellStyle name="Input 4 3 34 6" xfId="30670" xr:uid="{B7C4CC0D-6EA3-413B-972D-18893E570576}"/>
    <cellStyle name="Input 4 3 34 7" xfId="30671" xr:uid="{75AE10FC-43E6-43A0-8C99-0947874DE77D}"/>
    <cellStyle name="Input 4 3 35" xfId="1951" xr:uid="{025F3A63-2A9B-431F-A880-A5F1F6EED29D}"/>
    <cellStyle name="Input 4 3 35 2" xfId="12738" xr:uid="{F611599E-D34E-4972-9218-08366C862956}"/>
    <cellStyle name="Input 4 3 35 2 2" xfId="30672" xr:uid="{760AA5E6-42FD-4CE1-8A3E-4D60C3AB0D93}"/>
    <cellStyle name="Input 4 3 35 2 3" xfId="30673" xr:uid="{91BAE8FF-4C09-427A-9920-27815A9644B0}"/>
    <cellStyle name="Input 4 3 35 2 4" xfId="30674" xr:uid="{067DBFCB-77FD-42BC-840B-27A27ADF7498}"/>
    <cellStyle name="Input 4 3 35 2 5" xfId="30675" xr:uid="{0E82B8CC-6304-448D-92A0-1BE93BE4BEF0}"/>
    <cellStyle name="Input 4 3 35 2 6" xfId="30676" xr:uid="{8AFE6CCA-726B-4F0A-9D78-BA353A324208}"/>
    <cellStyle name="Input 4 3 35 3" xfId="30677" xr:uid="{9FD9C07B-EED7-46AF-8E3F-32626CA98CBD}"/>
    <cellStyle name="Input 4 3 35 4" xfId="30678" xr:uid="{B49E0364-5338-433F-9272-C62CC49247A3}"/>
    <cellStyle name="Input 4 3 35 5" xfId="30679" xr:uid="{489F5041-E8DA-48CE-AFFD-E7ECFDC58BFE}"/>
    <cellStyle name="Input 4 3 35 6" xfId="30680" xr:uid="{587A8970-2C37-4655-8FFE-86E90D90DB98}"/>
    <cellStyle name="Input 4 3 36" xfId="9803" xr:uid="{375F2644-E2E7-4635-9B0F-BBDE5D262F59}"/>
    <cellStyle name="Input 4 3 36 2" xfId="30681" xr:uid="{9A25AEC7-C968-477A-B9C6-859F39900335}"/>
    <cellStyle name="Input 4 3 36 3" xfId="30682" xr:uid="{B8CCD113-FC49-4325-91ED-14A9D420F1E2}"/>
    <cellStyle name="Input 4 3 36 4" xfId="30683" xr:uid="{623ADE9A-D3CC-47FB-A022-1B1F79FC18F1}"/>
    <cellStyle name="Input 4 3 36 5" xfId="30684" xr:uid="{64324EE5-027B-406C-A625-3EB68D310F96}"/>
    <cellStyle name="Input 4 3 36 6" xfId="30685" xr:uid="{69F2B99F-7AAA-4995-81A3-BDBCFB31A0B7}"/>
    <cellStyle name="Input 4 3 37" xfId="30686" xr:uid="{6CCFF60F-3ED3-4FFB-9931-E968360CFFBD}"/>
    <cellStyle name="Input 4 3 38" xfId="30687" xr:uid="{BEB4408D-7F36-446C-B8E4-21F6C5F88D2F}"/>
    <cellStyle name="Input 4 3 4" xfId="1952" xr:uid="{318D1652-97D8-42AC-8977-BF6A4EFB64B6}"/>
    <cellStyle name="Input 4 3 4 2" xfId="10107" xr:uid="{4B14280D-7E27-4C9D-8EBC-FCE0BA50AAED}"/>
    <cellStyle name="Input 4 3 4 2 2" xfId="30688" xr:uid="{0D3BD58F-A784-4352-86A2-822B4BB0E70D}"/>
    <cellStyle name="Input 4 3 4 2 3" xfId="30689" xr:uid="{4B882166-4B6E-4499-BBE1-2C5663F24E1E}"/>
    <cellStyle name="Input 4 3 4 2 4" xfId="30690" xr:uid="{01D2140D-1613-4DAC-96DE-4CD8B287D32E}"/>
    <cellStyle name="Input 4 3 4 2 5" xfId="30691" xr:uid="{E5C9EB70-27C8-412D-A3A4-E9D62A64198F}"/>
    <cellStyle name="Input 4 3 4 2 6" xfId="30692" xr:uid="{59D746E9-3216-4C30-B252-A739643B50F7}"/>
    <cellStyle name="Input 4 3 4 3" xfId="30693" xr:uid="{BB1193A6-2D09-47CC-B6C0-DE23011B5883}"/>
    <cellStyle name="Input 4 3 4 4" xfId="30694" xr:uid="{44648015-A9D3-439D-ADAF-8DC7B9A12D14}"/>
    <cellStyle name="Input 4 3 4 5" xfId="30695" xr:uid="{72FA9C03-1940-43DD-B2FF-B9DD5D95EA4E}"/>
    <cellStyle name="Input 4 3 4 6" xfId="30696" xr:uid="{B2304A94-FA58-4EAA-99C8-D09D283054B5}"/>
    <cellStyle name="Input 4 3 4 7" xfId="30697" xr:uid="{4EDF160A-E563-4EC1-9CFB-871683C9E5B2}"/>
    <cellStyle name="Input 4 3 5" xfId="1953" xr:uid="{9D0626AF-4DBF-4FEA-B7CD-EB2CCCABDCBE}"/>
    <cellStyle name="Input 4 3 5 2" xfId="10197" xr:uid="{5323F31F-55D8-4901-BD1D-8032319EC660}"/>
    <cellStyle name="Input 4 3 5 2 2" xfId="30698" xr:uid="{42709F05-E860-48B3-8073-79EDFCED4C2E}"/>
    <cellStyle name="Input 4 3 5 2 3" xfId="30699" xr:uid="{4CC2C2CC-860F-43DD-8214-1ED60A3CE336}"/>
    <cellStyle name="Input 4 3 5 2 4" xfId="30700" xr:uid="{DD22E890-7379-4CB8-A55D-FB59D64B8A23}"/>
    <cellStyle name="Input 4 3 5 2 5" xfId="30701" xr:uid="{D257F23D-1BB5-40C4-85BF-1A610070696E}"/>
    <cellStyle name="Input 4 3 5 2 6" xfId="30702" xr:uid="{625E656D-CF9A-472A-B585-E5E1FD5AAD31}"/>
    <cellStyle name="Input 4 3 5 3" xfId="30703" xr:uid="{A831EBD6-2C4A-4B70-A6E1-96565AEAB549}"/>
    <cellStyle name="Input 4 3 5 4" xfId="30704" xr:uid="{D78721AB-F636-4463-BD9D-B0A97CA95463}"/>
    <cellStyle name="Input 4 3 5 5" xfId="30705" xr:uid="{D2F5C87D-FA50-47FC-987D-EFC843586D36}"/>
    <cellStyle name="Input 4 3 5 6" xfId="30706" xr:uid="{A7C93D89-4965-4100-AB36-67D64C0B0F90}"/>
    <cellStyle name="Input 4 3 5 7" xfId="30707" xr:uid="{9E7CE234-B660-4A15-8F5A-C7AA49152075}"/>
    <cellStyle name="Input 4 3 6" xfId="1954" xr:uid="{934D9ED1-2105-4810-8418-161EF221B9BF}"/>
    <cellStyle name="Input 4 3 6 2" xfId="10283" xr:uid="{A169B485-4216-490E-B90A-B5FA5DBDC065}"/>
    <cellStyle name="Input 4 3 6 2 2" xfId="30708" xr:uid="{003E0468-AAD1-4904-83E0-2656AB9077D7}"/>
    <cellStyle name="Input 4 3 6 2 3" xfId="30709" xr:uid="{DA66EE53-ECA4-4CDA-9316-1C9B18B62765}"/>
    <cellStyle name="Input 4 3 6 2 4" xfId="30710" xr:uid="{A1936EE7-B10F-4C08-B6D8-53E65451F347}"/>
    <cellStyle name="Input 4 3 6 2 5" xfId="30711" xr:uid="{1C438940-EF35-4FBD-AA08-B049DA20F9BE}"/>
    <cellStyle name="Input 4 3 6 2 6" xfId="30712" xr:uid="{8DD8D9BB-78CF-45F1-AD81-02CC5416789B}"/>
    <cellStyle name="Input 4 3 6 3" xfId="30713" xr:uid="{6E959FE8-8EEA-429F-97C0-1371C426A321}"/>
    <cellStyle name="Input 4 3 6 4" xfId="30714" xr:uid="{B04D759F-F770-4696-85CA-F531B3FDC04D}"/>
    <cellStyle name="Input 4 3 6 5" xfId="30715" xr:uid="{286C4580-20FC-41A3-AC5F-BFC230A9BF52}"/>
    <cellStyle name="Input 4 3 6 6" xfId="30716" xr:uid="{33923841-5254-4A66-803E-A750A3B22247}"/>
    <cellStyle name="Input 4 3 6 7" xfId="30717" xr:uid="{1DD1F716-E4DA-4603-8A6C-37CA2742DF71}"/>
    <cellStyle name="Input 4 3 7" xfId="1955" xr:uid="{B7C3964E-180F-4A00-BFC3-0A82793247B9}"/>
    <cellStyle name="Input 4 3 7 2" xfId="10371" xr:uid="{9B60D9C8-0F4F-4301-8CD5-E46FE5CB18D3}"/>
    <cellStyle name="Input 4 3 7 2 2" xfId="30718" xr:uid="{062E9594-532D-4104-B3DD-8AA453AF8080}"/>
    <cellStyle name="Input 4 3 7 2 3" xfId="30719" xr:uid="{3DCBECDE-B0DC-4CBF-9B83-E5689463FF6D}"/>
    <cellStyle name="Input 4 3 7 2 4" xfId="30720" xr:uid="{F1AD9A8A-EB04-4655-BFF6-042D8D97A574}"/>
    <cellStyle name="Input 4 3 7 2 5" xfId="30721" xr:uid="{1A9D5481-FA6D-478C-B912-C17C60973D9E}"/>
    <cellStyle name="Input 4 3 7 2 6" xfId="30722" xr:uid="{97623AE6-6763-47E8-B694-4EFFB03DDD65}"/>
    <cellStyle name="Input 4 3 7 3" xfId="30723" xr:uid="{7103867C-04F3-4E86-9C2B-AFD39F67876B}"/>
    <cellStyle name="Input 4 3 7 4" xfId="30724" xr:uid="{FB20E6A4-79CC-4146-ABFE-51299A4EAA67}"/>
    <cellStyle name="Input 4 3 7 5" xfId="30725" xr:uid="{FCE9D36C-199A-4D85-9014-D637BAEFF9F1}"/>
    <cellStyle name="Input 4 3 7 6" xfId="30726" xr:uid="{FD27971A-0DA0-4E1D-BECE-F2272BC42E8E}"/>
    <cellStyle name="Input 4 3 7 7" xfId="30727" xr:uid="{EC9F344E-87EA-4ADB-8B24-94D200841A4B}"/>
    <cellStyle name="Input 4 3 8" xfId="1956" xr:uid="{F0A9B722-716D-4153-86CC-FE217C777DA4}"/>
    <cellStyle name="Input 4 3 8 2" xfId="10458" xr:uid="{E8313F7D-7EF3-428F-BF8E-ACFF4E16DB16}"/>
    <cellStyle name="Input 4 3 8 2 2" xfId="30728" xr:uid="{EDA94733-A56E-45DF-B033-809CB62C20AD}"/>
    <cellStyle name="Input 4 3 8 2 3" xfId="30729" xr:uid="{AA22B011-9CD2-4264-AF01-F79C036B37A7}"/>
    <cellStyle name="Input 4 3 8 2 4" xfId="30730" xr:uid="{5B562F46-DC63-47C2-84CE-98CED786695E}"/>
    <cellStyle name="Input 4 3 8 2 5" xfId="30731" xr:uid="{A49DE56E-4ACF-41A8-8051-9859B4C472CA}"/>
    <cellStyle name="Input 4 3 8 2 6" xfId="30732" xr:uid="{50E6A0DC-5467-4C8B-8A86-F27D65073E60}"/>
    <cellStyle name="Input 4 3 8 3" xfId="30733" xr:uid="{A73B10B7-0668-4DF1-93A7-310227B5DDB2}"/>
    <cellStyle name="Input 4 3 8 4" xfId="30734" xr:uid="{6334C73C-4956-4865-A984-E482D0B1FD72}"/>
    <cellStyle name="Input 4 3 8 5" xfId="30735" xr:uid="{86C4D67C-170A-40EB-B716-382D823DC542}"/>
    <cellStyle name="Input 4 3 8 6" xfId="30736" xr:uid="{BFA5444C-EF59-4A4F-9D6D-E59E13385320}"/>
    <cellStyle name="Input 4 3 8 7" xfId="30737" xr:uid="{23B6441F-5ADD-4931-9630-AD517ECBC119}"/>
    <cellStyle name="Input 4 3 9" xfId="1957" xr:uid="{8E5F1DAD-6503-4EF4-B971-17197EC87663}"/>
    <cellStyle name="Input 4 3 9 2" xfId="10547" xr:uid="{C2A51CC6-D23E-45D6-95E6-F81ABCD634D6}"/>
    <cellStyle name="Input 4 3 9 2 2" xfId="30738" xr:uid="{F536A6EF-56D2-4B28-B756-D7FDB73C30F3}"/>
    <cellStyle name="Input 4 3 9 2 3" xfId="30739" xr:uid="{6D16E2B6-7266-42D1-B56D-60257BE46F5B}"/>
    <cellStyle name="Input 4 3 9 2 4" xfId="30740" xr:uid="{A041D593-7F86-4BA0-B079-5BC900C2C0CC}"/>
    <cellStyle name="Input 4 3 9 2 5" xfId="30741" xr:uid="{DD2E408F-B2F8-41D0-8E4F-656605858147}"/>
    <cellStyle name="Input 4 3 9 2 6" xfId="30742" xr:uid="{7FC74649-6096-457E-A1B0-AFC8912F8D0C}"/>
    <cellStyle name="Input 4 3 9 3" xfId="30743" xr:uid="{52068F93-6D66-438C-A082-0128F722ECD3}"/>
    <cellStyle name="Input 4 3 9 4" xfId="30744" xr:uid="{9921507B-F6E2-4661-A76F-C7737B07E70D}"/>
    <cellStyle name="Input 4 3 9 5" xfId="30745" xr:uid="{AA91DBDC-0303-4BF0-A4E3-5CFF8F71F250}"/>
    <cellStyle name="Input 4 3 9 6" xfId="30746" xr:uid="{57336DC2-329D-41CE-966F-422C32695017}"/>
    <cellStyle name="Input 4 3 9 7" xfId="30747" xr:uid="{C6C262CB-46DD-460F-9D0A-5609F90AD8D6}"/>
    <cellStyle name="Input 4 30" xfId="1958" xr:uid="{841675C8-A605-47B1-859B-D04D35BB7121}"/>
    <cellStyle name="Input 4 30 2" xfId="10977" xr:uid="{1136D63F-C691-4417-A28D-83D3870D22D0}"/>
    <cellStyle name="Input 4 30 2 2" xfId="30748" xr:uid="{2A30C3B7-0E73-4566-90EA-D74C041066B5}"/>
    <cellStyle name="Input 4 30 2 3" xfId="30749" xr:uid="{D013D095-12BA-48F1-9F4F-5BBBEE4A1DAC}"/>
    <cellStyle name="Input 4 30 2 4" xfId="30750" xr:uid="{89C20FD9-E16B-4CDE-B2C9-B42587C6497C}"/>
    <cellStyle name="Input 4 30 2 5" xfId="30751" xr:uid="{2EC35D95-F4DD-4245-9B3D-07AAC130850E}"/>
    <cellStyle name="Input 4 30 2 6" xfId="30752" xr:uid="{BC5E1D9C-F11E-47E3-B7F5-31DDEC958226}"/>
    <cellStyle name="Input 4 30 3" xfId="30753" xr:uid="{B5E03962-D3EB-464F-8B75-D0AFAD216EF3}"/>
    <cellStyle name="Input 4 30 4" xfId="30754" xr:uid="{3EA37990-F6EC-4E96-8A23-A040302041C0}"/>
    <cellStyle name="Input 4 30 5" xfId="30755" xr:uid="{2E86BCB5-E9D1-4022-A78E-865D87CD6A40}"/>
    <cellStyle name="Input 4 30 6" xfId="30756" xr:uid="{C96D77BF-F68B-4516-96C7-0C6025BA2922}"/>
    <cellStyle name="Input 4 30 7" xfId="30757" xr:uid="{8232256F-1DFB-4D5D-BB01-1A5D165C846C}"/>
    <cellStyle name="Input 4 31" xfId="1959" xr:uid="{93CF3C84-B2C6-4F28-8D47-A873944209F0}"/>
    <cellStyle name="Input 4 31 2" xfId="11500" xr:uid="{CADD076F-5FB0-4973-A137-ECCDBEAFCFC8}"/>
    <cellStyle name="Input 4 31 2 2" xfId="30758" xr:uid="{2967545D-D35A-4057-B08C-A123A957D846}"/>
    <cellStyle name="Input 4 31 2 3" xfId="30759" xr:uid="{9E778410-3988-4D7B-A4DD-68E2B688CA5E}"/>
    <cellStyle name="Input 4 31 2 4" xfId="30760" xr:uid="{168F969A-183D-4566-8301-A35B363E8A6F}"/>
    <cellStyle name="Input 4 31 2 5" xfId="30761" xr:uid="{ACEB1B66-2F12-462A-B7A4-4FA005F210F6}"/>
    <cellStyle name="Input 4 31 2 6" xfId="30762" xr:uid="{99EF5816-F87B-4A0A-B3EA-11176EAAF08E}"/>
    <cellStyle name="Input 4 31 3" xfId="30763" xr:uid="{868C6F7A-ADCA-43BA-AE31-08F4AC0512C2}"/>
    <cellStyle name="Input 4 31 4" xfId="30764" xr:uid="{29A1796E-1744-4B62-9CBA-81AF36244509}"/>
    <cellStyle name="Input 4 31 5" xfId="30765" xr:uid="{C79F67AE-9F2A-4FC1-8987-CEE811F3A62A}"/>
    <cellStyle name="Input 4 31 6" xfId="30766" xr:uid="{2E7A102E-EC26-4669-820F-C346E35D3472}"/>
    <cellStyle name="Input 4 31 7" xfId="30767" xr:uid="{3562AD01-1F8D-4E99-BD0C-8ABF5564388E}"/>
    <cellStyle name="Input 4 32" xfId="1960" xr:uid="{7C712B0B-310E-4EB0-AD94-F4BA93359292}"/>
    <cellStyle name="Input 4 32 2" xfId="9881" xr:uid="{82371727-6591-4873-B280-509EFEC0D805}"/>
    <cellStyle name="Input 4 32 2 2" xfId="30768" xr:uid="{9E9A1BBE-DBDC-4E04-9014-3074C7E51367}"/>
    <cellStyle name="Input 4 32 2 3" xfId="30769" xr:uid="{F9CBD31D-AD9B-4631-B5F6-16A1C8198098}"/>
    <cellStyle name="Input 4 32 2 4" xfId="30770" xr:uid="{7D876BBA-77E3-4501-A7C0-969612230839}"/>
    <cellStyle name="Input 4 32 2 5" xfId="30771" xr:uid="{F9C6E685-B596-46B1-9513-19B16AF249D7}"/>
    <cellStyle name="Input 4 32 2 6" xfId="30772" xr:uid="{2BEF99C8-7A26-4362-AF95-A1D159326182}"/>
    <cellStyle name="Input 4 32 3" xfId="30773" xr:uid="{F4A1BE21-F1EA-4A80-8E74-DD0FDD14CBC9}"/>
    <cellStyle name="Input 4 32 4" xfId="30774" xr:uid="{37969986-9069-401E-BC0B-74AE24576ED4}"/>
    <cellStyle name="Input 4 32 5" xfId="30775" xr:uid="{FABF3E92-0207-4F37-A1E4-5B06441156FB}"/>
    <cellStyle name="Input 4 32 6" xfId="30776" xr:uid="{013DDA04-E7AB-4BD9-8848-AEB83E731ED2}"/>
    <cellStyle name="Input 4 32 7" xfId="30777" xr:uid="{E9A631BD-CF6F-42AB-AC23-87A2117B5555}"/>
    <cellStyle name="Input 4 33" xfId="1961" xr:uid="{24CBF851-DDDF-45DB-BCF9-107862134012}"/>
    <cellStyle name="Input 4 33 2" xfId="10619" xr:uid="{862F9305-593C-48FD-884E-7DEE8CDFC443}"/>
    <cellStyle name="Input 4 33 2 2" xfId="30778" xr:uid="{7ED8DEE8-772F-476B-8783-B86DD973D878}"/>
    <cellStyle name="Input 4 33 2 3" xfId="30779" xr:uid="{63F85C4C-EAAD-40AA-9BC6-7544A7E7A0D2}"/>
    <cellStyle name="Input 4 33 2 4" xfId="30780" xr:uid="{3E4B6D04-961C-4ADF-A7A5-ACB50A3863A0}"/>
    <cellStyle name="Input 4 33 2 5" xfId="30781" xr:uid="{45EF8495-F207-4E70-801A-84D0A4D737C0}"/>
    <cellStyle name="Input 4 33 2 6" xfId="30782" xr:uid="{4AACCEFE-B27E-4468-84AD-5A910A484EA9}"/>
    <cellStyle name="Input 4 33 3" xfId="30783" xr:uid="{E4B5DB15-03D3-4565-AEEB-B3E4A885F533}"/>
    <cellStyle name="Input 4 33 4" xfId="30784" xr:uid="{EC729569-DD15-40F0-B170-463A768A5BC3}"/>
    <cellStyle name="Input 4 33 5" xfId="30785" xr:uid="{C8F063CE-D335-4917-B218-6EA1C36FF7ED}"/>
    <cellStyle name="Input 4 33 6" xfId="30786" xr:uid="{F8921B84-0195-419A-8882-2D1015090A70}"/>
    <cellStyle name="Input 4 33 7" xfId="30787" xr:uid="{B1E3F6DA-108B-43FB-A381-8915D0B9953D}"/>
    <cellStyle name="Input 4 34" xfId="1962" xr:uid="{ED94E678-4B19-4DC5-A10F-8014088002E2}"/>
    <cellStyle name="Input 4 34 2" xfId="10955" xr:uid="{244973F3-6946-43C7-A13C-802BF4610DAA}"/>
    <cellStyle name="Input 4 34 2 2" xfId="30788" xr:uid="{1C8F072D-42A6-4411-B7FA-B389A5BA2079}"/>
    <cellStyle name="Input 4 34 2 3" xfId="30789" xr:uid="{0D1EDD1F-5981-4E32-B2E5-1D873A2E77AE}"/>
    <cellStyle name="Input 4 34 2 4" xfId="30790" xr:uid="{7E03FA98-CACD-4EE8-80DB-9634D7FD9481}"/>
    <cellStyle name="Input 4 34 2 5" xfId="30791" xr:uid="{1067E4C9-A1F4-4629-A735-C2ED0E0696F5}"/>
    <cellStyle name="Input 4 34 2 6" xfId="30792" xr:uid="{7320773C-499F-4D5A-BCF8-9D251D399CE4}"/>
    <cellStyle name="Input 4 34 3" xfId="30793" xr:uid="{071B8855-8C43-448A-8724-8B4E3C73CE9E}"/>
    <cellStyle name="Input 4 34 4" xfId="30794" xr:uid="{C3D8A2B0-DB15-4226-B926-3C7C771D246C}"/>
    <cellStyle name="Input 4 34 5" xfId="30795" xr:uid="{38A2CAC4-1BBB-4DE0-B163-16ABE7D49D07}"/>
    <cellStyle name="Input 4 34 6" xfId="30796" xr:uid="{4B142920-B8E8-4C6D-8835-3627EDB5FD30}"/>
    <cellStyle name="Input 4 34 7" xfId="30797" xr:uid="{8302CA95-427A-40ED-8CE5-6B48A3F649F0}"/>
    <cellStyle name="Input 4 35" xfId="1963" xr:uid="{A74265E1-166B-4A59-9E19-1F5D4E5FF33B}"/>
    <cellStyle name="Input 4 35 2" xfId="11654" xr:uid="{E2F4F16E-806E-4E60-9372-5135B27A5A3F}"/>
    <cellStyle name="Input 4 35 2 2" xfId="30798" xr:uid="{0B175819-7690-4C08-A057-DE4AD4BA1417}"/>
    <cellStyle name="Input 4 35 2 3" xfId="30799" xr:uid="{47B973C2-4095-4B3B-999F-752B4DE6EDFB}"/>
    <cellStyle name="Input 4 35 2 4" xfId="30800" xr:uid="{F1260A46-9C43-491F-98E8-AEE10CCC94B4}"/>
    <cellStyle name="Input 4 35 2 5" xfId="30801" xr:uid="{9599C6DD-93E2-4CAB-8811-884F76255851}"/>
    <cellStyle name="Input 4 35 2 6" xfId="30802" xr:uid="{074660D2-2C78-4B9E-81E3-0B0723641C69}"/>
    <cellStyle name="Input 4 35 3" xfId="30803" xr:uid="{774EFAFB-E622-4EF9-9065-2D7869BBD6D1}"/>
    <cellStyle name="Input 4 35 4" xfId="30804" xr:uid="{FBDEE920-40F0-4606-B53F-6AF0A1A43935}"/>
    <cellStyle name="Input 4 35 5" xfId="30805" xr:uid="{C2D34EB9-8A64-44B6-B58B-513AB491DB71}"/>
    <cellStyle name="Input 4 35 6" xfId="30806" xr:uid="{06D38B37-C5F8-4A8B-942F-87155959B6B1}"/>
    <cellStyle name="Input 4 35 7" xfId="30807" xr:uid="{4C8D257E-8E96-4BC4-90EF-795149D74ADD}"/>
    <cellStyle name="Input 4 36" xfId="1964" xr:uid="{A3496A19-7963-4DEF-9785-99A58ACA497A}"/>
    <cellStyle name="Input 4 36 2" xfId="11389" xr:uid="{C832FDF0-4A61-45C4-9A3A-D89E570CDAB9}"/>
    <cellStyle name="Input 4 36 2 2" xfId="30808" xr:uid="{88E547E1-6D79-47B8-9747-903BA3B0F22F}"/>
    <cellStyle name="Input 4 36 2 3" xfId="30809" xr:uid="{B333DDAB-9E41-4DD7-8922-11002FA4C647}"/>
    <cellStyle name="Input 4 36 2 4" xfId="30810" xr:uid="{3829B18A-5ECC-4BD6-9A38-BE81F0CF865F}"/>
    <cellStyle name="Input 4 36 2 5" xfId="30811" xr:uid="{7D368B4C-3D3F-40F1-BE30-7B904767A64F}"/>
    <cellStyle name="Input 4 36 2 6" xfId="30812" xr:uid="{915A8DA7-E1D7-4452-AE5E-5D9DEF38120E}"/>
    <cellStyle name="Input 4 36 3" xfId="30813" xr:uid="{8B612024-8247-4457-82F2-D6F58CE36FB0}"/>
    <cellStyle name="Input 4 36 4" xfId="30814" xr:uid="{5FC6560F-3B07-4E82-88BC-430AD57929F0}"/>
    <cellStyle name="Input 4 36 5" xfId="30815" xr:uid="{1B617640-0E73-4E48-8589-FF91FEA043F8}"/>
    <cellStyle name="Input 4 36 6" xfId="30816" xr:uid="{C12B9D8E-B60A-45E8-AD71-FB0497E6DE35}"/>
    <cellStyle name="Input 4 36 7" xfId="30817" xr:uid="{E717CB80-8002-405C-B10B-D4622AD2ECB3}"/>
    <cellStyle name="Input 4 37" xfId="1965" xr:uid="{9DFE5DB8-71CE-4E92-9FE0-7398E5056B9A}"/>
    <cellStyle name="Input 4 37 2" xfId="10863" xr:uid="{0B65B908-CC6C-4362-8380-F3FE5ACEAF94}"/>
    <cellStyle name="Input 4 37 2 2" xfId="30818" xr:uid="{7EC333AF-9BDE-486C-8E6E-6B7E4858E036}"/>
    <cellStyle name="Input 4 37 2 3" xfId="30819" xr:uid="{29FBC510-2230-4ACF-BD45-83479EC6C973}"/>
    <cellStyle name="Input 4 37 2 4" xfId="30820" xr:uid="{6F568D47-C46A-4E6C-84EC-85563E9FA8D8}"/>
    <cellStyle name="Input 4 37 2 5" xfId="30821" xr:uid="{A2EE45E4-3A9D-42F9-B85F-A1822B1CFFBC}"/>
    <cellStyle name="Input 4 37 2 6" xfId="30822" xr:uid="{B8C007AD-2E1D-4456-8911-67AC9448E65F}"/>
    <cellStyle name="Input 4 37 3" xfId="30823" xr:uid="{0495614E-1A44-4629-B0CB-29B7146B7A97}"/>
    <cellStyle name="Input 4 37 4" xfId="30824" xr:uid="{E5FB76AC-EE81-47DB-934C-584ADA13D272}"/>
    <cellStyle name="Input 4 37 5" xfId="30825" xr:uid="{D0C64E43-6637-4D04-97B4-458B35A9F5AD}"/>
    <cellStyle name="Input 4 37 6" xfId="30826" xr:uid="{99C231C3-07EC-487D-8312-16D0938A3FC0}"/>
    <cellStyle name="Input 4 37 7" xfId="30827" xr:uid="{27605B83-C68B-4E65-83AE-638AC562F133}"/>
    <cellStyle name="Input 4 38" xfId="1966" xr:uid="{5CB7CA74-5050-4C58-A307-30692005B852}"/>
    <cellStyle name="Input 4 38 2" xfId="12252" xr:uid="{982B72C9-8E23-4076-8E0C-E5F6050F5228}"/>
    <cellStyle name="Input 4 38 2 2" xfId="30828" xr:uid="{C0F4436A-D71B-4F2F-A6EB-77CA1108DD10}"/>
    <cellStyle name="Input 4 38 2 3" xfId="30829" xr:uid="{24911751-C7BF-49A3-94E2-7A52CEE5D188}"/>
    <cellStyle name="Input 4 38 2 4" xfId="30830" xr:uid="{820C278C-E68C-4091-8509-99D427276E49}"/>
    <cellStyle name="Input 4 38 2 5" xfId="30831" xr:uid="{1E6A792E-66A2-4E36-81D4-C05414420663}"/>
    <cellStyle name="Input 4 38 2 6" xfId="30832" xr:uid="{181DC7E7-1F64-4E1D-80C1-C966DE4CC84C}"/>
    <cellStyle name="Input 4 38 3" xfId="30833" xr:uid="{ED9A6000-684F-4D50-AFEB-7511016AB25F}"/>
    <cellStyle name="Input 4 38 4" xfId="30834" xr:uid="{E2C3E42B-2375-4613-ACD2-EA601FFA032F}"/>
    <cellStyle name="Input 4 38 5" xfId="30835" xr:uid="{D7726A33-42CA-4EDF-BB7B-9CB89EDA378E}"/>
    <cellStyle name="Input 4 38 6" xfId="30836" xr:uid="{24F94A8D-A1E5-4978-A788-C37CE5ADC8E8}"/>
    <cellStyle name="Input 4 39" xfId="9769" xr:uid="{E361E63B-3133-4C59-B129-89718BF21650}"/>
    <cellStyle name="Input 4 39 2" xfId="30837" xr:uid="{70E0C89D-624D-4B85-A96A-959B737A98ED}"/>
    <cellStyle name="Input 4 39 3" xfId="30838" xr:uid="{2A6FFC76-5D2D-4182-936F-C9A26F584557}"/>
    <cellStyle name="Input 4 39 4" xfId="30839" xr:uid="{F753CC34-B5D7-4F92-A96C-469F2106B733}"/>
    <cellStyle name="Input 4 39 5" xfId="30840" xr:uid="{C42BF9B2-B31A-4D78-A907-23E3974DD0FB}"/>
    <cellStyle name="Input 4 39 6" xfId="30841" xr:uid="{A9993616-022D-4FCB-BBDD-0CE975DE0891}"/>
    <cellStyle name="Input 4 4" xfId="1967" xr:uid="{A5ACC549-EB6F-49C7-B333-9EA95C1C55D4}"/>
    <cellStyle name="Input 4 4 10" xfId="1968" xr:uid="{C57D85E5-D427-46EA-B10F-1AFF4614CB04}"/>
    <cellStyle name="Input 4 4 10 2" xfId="10705" xr:uid="{4AA7CEA8-369D-4FF3-AC5F-6B7542D781CC}"/>
    <cellStyle name="Input 4 4 10 2 2" xfId="30842" xr:uid="{922ECCD8-BF0A-4F62-B8A3-887E84FE9F2E}"/>
    <cellStyle name="Input 4 4 10 2 3" xfId="30843" xr:uid="{20F600DE-4504-43DA-AF1D-C830791941F1}"/>
    <cellStyle name="Input 4 4 10 2 4" xfId="30844" xr:uid="{D2CF5F43-57EB-40D3-A8F5-D802A68F073B}"/>
    <cellStyle name="Input 4 4 10 2 5" xfId="30845" xr:uid="{70F21F06-90CB-46F9-8041-8950964F5CF4}"/>
    <cellStyle name="Input 4 4 10 2 6" xfId="30846" xr:uid="{06E0CD60-BCB6-48BB-8A32-191CD283F1BB}"/>
    <cellStyle name="Input 4 4 10 3" xfId="30847" xr:uid="{EE03873D-9FAA-4E1C-8F52-513264F0E35F}"/>
    <cellStyle name="Input 4 4 10 4" xfId="30848" xr:uid="{F8792120-CF76-4B0C-84D0-59BB8BAF8C0F}"/>
    <cellStyle name="Input 4 4 10 5" xfId="30849" xr:uid="{D9AD1507-720E-42F5-A7D1-630412193130}"/>
    <cellStyle name="Input 4 4 10 6" xfId="30850" xr:uid="{4AF645F1-6238-475A-9987-F5C0F49B41FE}"/>
    <cellStyle name="Input 4 4 10 7" xfId="30851" xr:uid="{2DCAB6CD-2286-4AEA-80D3-62C7464624C1}"/>
    <cellStyle name="Input 4 4 11" xfId="1969" xr:uid="{AFE1E445-95BD-435C-BE05-7240DCC2C484}"/>
    <cellStyle name="Input 4 4 11 2" xfId="10796" xr:uid="{FFAD72A4-AA02-414A-81A9-57CBE5EB0326}"/>
    <cellStyle name="Input 4 4 11 2 2" xfId="30852" xr:uid="{3B50C27F-DDE6-480A-9F24-8DC68CC2FA19}"/>
    <cellStyle name="Input 4 4 11 2 3" xfId="30853" xr:uid="{B053E48F-C47E-46DB-B833-5FC4098C09D4}"/>
    <cellStyle name="Input 4 4 11 2 4" xfId="30854" xr:uid="{FBFF9346-8D8E-4FB8-9223-09D1483017F8}"/>
    <cellStyle name="Input 4 4 11 2 5" xfId="30855" xr:uid="{32B7F8AF-C2E3-4495-BBD1-73C336E00FD4}"/>
    <cellStyle name="Input 4 4 11 2 6" xfId="30856" xr:uid="{77A4DFF1-C247-4461-A473-8C18E1FD58C5}"/>
    <cellStyle name="Input 4 4 11 3" xfId="30857" xr:uid="{51C256E8-A7FB-4D69-8072-C95C02FB41F5}"/>
    <cellStyle name="Input 4 4 11 4" xfId="30858" xr:uid="{BF51A9E5-E61E-4CAD-87BD-BE296132F033}"/>
    <cellStyle name="Input 4 4 11 5" xfId="30859" xr:uid="{5DD36CAC-14DB-433D-B764-01DDC2F1EAA8}"/>
    <cellStyle name="Input 4 4 11 6" xfId="30860" xr:uid="{DE77C16D-E1CF-416B-8DF8-4E583B2B47E4}"/>
    <cellStyle name="Input 4 4 11 7" xfId="30861" xr:uid="{A9E4D352-0801-4D3E-91DD-7A212F9944E6}"/>
    <cellStyle name="Input 4 4 12" xfId="1970" xr:uid="{A178B006-968D-477A-B71D-FA613CF3AAFB}"/>
    <cellStyle name="Input 4 4 12 2" xfId="10883" xr:uid="{4EF789C9-09E9-4D09-80B1-D5FC34E5E4A8}"/>
    <cellStyle name="Input 4 4 12 2 2" xfId="30862" xr:uid="{F1394FDE-68C3-4DF1-919C-23C7325CA62E}"/>
    <cellStyle name="Input 4 4 12 2 3" xfId="30863" xr:uid="{B6442249-3A29-414D-81B8-B1197B9753AC}"/>
    <cellStyle name="Input 4 4 12 2 4" xfId="30864" xr:uid="{B7C5C118-817D-4FEB-8F83-1AB8B47A3B2E}"/>
    <cellStyle name="Input 4 4 12 2 5" xfId="30865" xr:uid="{73AD3B74-ED2C-4FED-9575-33E535C71967}"/>
    <cellStyle name="Input 4 4 12 2 6" xfId="30866" xr:uid="{32205A79-DBB9-4789-BCA0-B6231A2F35CD}"/>
    <cellStyle name="Input 4 4 12 3" xfId="30867" xr:uid="{AE0CE783-A24B-4030-9E0E-D561A0F06FC8}"/>
    <cellStyle name="Input 4 4 12 4" xfId="30868" xr:uid="{D14C6B02-8660-4B20-83B7-B18A0CE1E017}"/>
    <cellStyle name="Input 4 4 12 5" xfId="30869" xr:uid="{932720AD-B174-4B55-AEBC-A398E147EE2C}"/>
    <cellStyle name="Input 4 4 12 6" xfId="30870" xr:uid="{5BA92A30-1A57-42A8-A47D-EA221320428C}"/>
    <cellStyle name="Input 4 4 12 7" xfId="30871" xr:uid="{D578FD39-03E6-4A49-8E08-6BF2428722D7}"/>
    <cellStyle name="Input 4 4 13" xfId="1971" xr:uid="{BEF8A690-B88E-4E4E-847C-29E1B6D59247}"/>
    <cellStyle name="Input 4 4 13 2" xfId="10972" xr:uid="{F68296C1-2872-442C-86F7-957602EB5FC9}"/>
    <cellStyle name="Input 4 4 13 2 2" xfId="30872" xr:uid="{1A09725D-6149-479F-8808-7D7288895967}"/>
    <cellStyle name="Input 4 4 13 2 3" xfId="30873" xr:uid="{0C6193FB-BDD7-484A-97BC-365A87E873F9}"/>
    <cellStyle name="Input 4 4 13 2 4" xfId="30874" xr:uid="{583CC436-5CF5-41A4-96D4-38CC619EF38B}"/>
    <cellStyle name="Input 4 4 13 2 5" xfId="30875" xr:uid="{AD02D9B0-549C-49E2-9CA8-680D88D0EA91}"/>
    <cellStyle name="Input 4 4 13 2 6" xfId="30876" xr:uid="{9D5AB40E-3750-4542-8D0F-97026514E67C}"/>
    <cellStyle name="Input 4 4 13 3" xfId="30877" xr:uid="{8E60F2B2-CCBF-486C-B4AE-81C7AC913C92}"/>
    <cellStyle name="Input 4 4 13 4" xfId="30878" xr:uid="{68C88A9A-4863-488C-B2FC-F49D8B02440E}"/>
    <cellStyle name="Input 4 4 13 5" xfId="30879" xr:uid="{1DE462AF-5B57-49A0-9251-8646D93FEF52}"/>
    <cellStyle name="Input 4 4 13 6" xfId="30880" xr:uid="{EA284F8E-2D37-48E4-A9F2-549E5444FDAC}"/>
    <cellStyle name="Input 4 4 13 7" xfId="30881" xr:uid="{D23DCFED-AEE8-462F-90BE-4FA5443A5394}"/>
    <cellStyle name="Input 4 4 14" xfId="1972" xr:uid="{7BD30768-4429-4FCE-961A-9B702CBD007B}"/>
    <cellStyle name="Input 4 4 14 2" xfId="11064" xr:uid="{EA19FA21-2828-4252-BB75-DD6213B8A33E}"/>
    <cellStyle name="Input 4 4 14 2 2" xfId="30882" xr:uid="{E004C883-7518-4CAF-A6DA-4AEA90783E9A}"/>
    <cellStyle name="Input 4 4 14 2 3" xfId="30883" xr:uid="{B9A4ACF3-847A-4D7B-95F5-C209B912A36E}"/>
    <cellStyle name="Input 4 4 14 2 4" xfId="30884" xr:uid="{52EE8C63-44C8-4ECD-8D36-44E1C439A29A}"/>
    <cellStyle name="Input 4 4 14 2 5" xfId="30885" xr:uid="{53CA8EC4-326A-42E0-AF87-6F0D0CBDD623}"/>
    <cellStyle name="Input 4 4 14 2 6" xfId="30886" xr:uid="{1E444375-6AE9-4519-B047-5344B0E96CAC}"/>
    <cellStyle name="Input 4 4 14 3" xfId="30887" xr:uid="{F00FDDF6-C9AA-4542-A162-787F2F582EB5}"/>
    <cellStyle name="Input 4 4 14 4" xfId="30888" xr:uid="{326BBFFF-DA66-43B6-B751-888017F84D3C}"/>
    <cellStyle name="Input 4 4 14 5" xfId="30889" xr:uid="{46691D31-C1BC-466A-A9C3-48AFCE118F22}"/>
    <cellStyle name="Input 4 4 14 6" xfId="30890" xr:uid="{F6833F24-07EE-48B7-9600-8C205822BAF8}"/>
    <cellStyle name="Input 4 4 14 7" xfId="30891" xr:uid="{D84F43FC-01CE-4583-A5EA-6400F9A2B426}"/>
    <cellStyle name="Input 4 4 15" xfId="1973" xr:uid="{8491063B-4789-4C78-87A3-B70B9E5D73D1}"/>
    <cellStyle name="Input 4 4 15 2" xfId="11147" xr:uid="{A0CB05C2-291D-4453-B71B-8E6C6F9497F6}"/>
    <cellStyle name="Input 4 4 15 2 2" xfId="30892" xr:uid="{CA143BA4-3AF0-46E4-AB82-24514031ADFD}"/>
    <cellStyle name="Input 4 4 15 2 3" xfId="30893" xr:uid="{612AAEBF-700A-40F3-92CC-4EB1538114A4}"/>
    <cellStyle name="Input 4 4 15 2 4" xfId="30894" xr:uid="{D1F572BE-B56C-4337-ADA5-3BD64022B130}"/>
    <cellStyle name="Input 4 4 15 2 5" xfId="30895" xr:uid="{388E18A7-D387-4816-87AA-A575ADA28EA9}"/>
    <cellStyle name="Input 4 4 15 2 6" xfId="30896" xr:uid="{E2691AC0-0B71-41D1-A7B0-B38A7FD084A4}"/>
    <cellStyle name="Input 4 4 15 3" xfId="30897" xr:uid="{AE86D6B6-BF8C-4D96-8D2B-C6244F3DDC18}"/>
    <cellStyle name="Input 4 4 15 4" xfId="30898" xr:uid="{0CE8317A-39E7-47D6-AD2B-FE46BB1A9CF8}"/>
    <cellStyle name="Input 4 4 15 5" xfId="30899" xr:uid="{AD1184B8-4233-427B-A8BD-A8D648217B13}"/>
    <cellStyle name="Input 4 4 15 6" xfId="30900" xr:uid="{A434AD84-0E9F-4DC4-A649-37B1E6E0B9B9}"/>
    <cellStyle name="Input 4 4 15 7" xfId="30901" xr:uid="{DD6762CB-9FD9-4E1A-A29E-A388E3E77C73}"/>
    <cellStyle name="Input 4 4 16" xfId="1974" xr:uid="{525BBF51-1606-4A89-A79B-C41A630561E3}"/>
    <cellStyle name="Input 4 4 16 2" xfId="11236" xr:uid="{6A136EC0-C174-45C7-90DB-BB68731D16BA}"/>
    <cellStyle name="Input 4 4 16 2 2" xfId="30902" xr:uid="{3AEF3A63-061D-40BB-BFC4-588F69D6C325}"/>
    <cellStyle name="Input 4 4 16 2 3" xfId="30903" xr:uid="{C803E86F-2722-4470-B266-6137CA118F5F}"/>
    <cellStyle name="Input 4 4 16 2 4" xfId="30904" xr:uid="{51B3E14B-C91C-4C55-B345-994073A776D0}"/>
    <cellStyle name="Input 4 4 16 2 5" xfId="30905" xr:uid="{0DD7C0E9-561B-468A-932D-4B9267F99A8B}"/>
    <cellStyle name="Input 4 4 16 2 6" xfId="30906" xr:uid="{33125350-A150-48AB-841A-6AA583729A97}"/>
    <cellStyle name="Input 4 4 16 3" xfId="30907" xr:uid="{2CA6BD65-1830-42FB-B295-7BAEEA3D1612}"/>
    <cellStyle name="Input 4 4 16 4" xfId="30908" xr:uid="{261249CD-E512-4730-9677-D6AA52D45CE4}"/>
    <cellStyle name="Input 4 4 16 5" xfId="30909" xr:uid="{E9E1786C-6CF2-46D4-8EA1-0D661D8D006A}"/>
    <cellStyle name="Input 4 4 16 6" xfId="30910" xr:uid="{D542311B-A04A-46B9-8094-584E90B4D115}"/>
    <cellStyle name="Input 4 4 16 7" xfId="30911" xr:uid="{6E328EA4-43DC-453E-AB4B-C47E5B17C38A}"/>
    <cellStyle name="Input 4 4 17" xfId="1975" xr:uid="{31E68FE8-1DB3-4270-ADF9-5C698D196B3D}"/>
    <cellStyle name="Input 4 4 17 2" xfId="11322" xr:uid="{0CF2603C-73AF-4C17-A7A9-0D8478E6BA29}"/>
    <cellStyle name="Input 4 4 17 2 2" xfId="30912" xr:uid="{1B568C44-4F57-46EB-AB96-6743E8DC95EA}"/>
    <cellStyle name="Input 4 4 17 2 3" xfId="30913" xr:uid="{4891CB6A-4701-4848-84AB-A5F628A4E832}"/>
    <cellStyle name="Input 4 4 17 2 4" xfId="30914" xr:uid="{0A01782B-FB32-4BDD-9995-409942D5523C}"/>
    <cellStyle name="Input 4 4 17 2 5" xfId="30915" xr:uid="{A4D53FDA-9AEF-4C9B-8320-57B0ED5426C8}"/>
    <cellStyle name="Input 4 4 17 2 6" xfId="30916" xr:uid="{6EB5A36D-D88D-4961-A8ED-0A650FC7D5EA}"/>
    <cellStyle name="Input 4 4 17 3" xfId="30917" xr:uid="{BE73C697-F49B-4C34-87BA-75B23B7864C8}"/>
    <cellStyle name="Input 4 4 17 4" xfId="30918" xr:uid="{7EC3687A-31BD-44C8-ABF3-063F4DEB8749}"/>
    <cellStyle name="Input 4 4 17 5" xfId="30919" xr:uid="{80130228-084C-48BC-B626-BDAA80FA7D72}"/>
    <cellStyle name="Input 4 4 17 6" xfId="30920" xr:uid="{BC025923-C64D-4663-BBA1-91324F6B2668}"/>
    <cellStyle name="Input 4 4 17 7" xfId="30921" xr:uid="{B39D6DEE-4C45-4D21-A5D8-C89752A951F9}"/>
    <cellStyle name="Input 4 4 18" xfId="1976" xr:uid="{EAC8392C-FAF0-4E22-B4A1-A01F278F8820}"/>
    <cellStyle name="Input 4 4 18 2" xfId="11409" xr:uid="{391D75E7-09FF-4C5C-9853-E34049D256EA}"/>
    <cellStyle name="Input 4 4 18 2 2" xfId="30922" xr:uid="{E426468B-79A6-4783-81C2-F5283519FE01}"/>
    <cellStyle name="Input 4 4 18 2 3" xfId="30923" xr:uid="{72118AB2-1A61-4780-B088-AF61B6B53D33}"/>
    <cellStyle name="Input 4 4 18 2 4" xfId="30924" xr:uid="{1B26B44D-D479-4638-AF58-3A4CC89550BD}"/>
    <cellStyle name="Input 4 4 18 2 5" xfId="30925" xr:uid="{76D2A1E3-943F-4773-9FFD-E0DFE6337259}"/>
    <cellStyle name="Input 4 4 18 2 6" xfId="30926" xr:uid="{8C0B82C3-1921-4CF4-BED7-C763BA69ECCF}"/>
    <cellStyle name="Input 4 4 18 3" xfId="30927" xr:uid="{6749C4E7-C754-4E5E-A682-9656A6C59141}"/>
    <cellStyle name="Input 4 4 18 4" xfId="30928" xr:uid="{5EA7CF56-8804-4601-9044-5CEE9968457A}"/>
    <cellStyle name="Input 4 4 18 5" xfId="30929" xr:uid="{38233E9A-7071-45C6-AA00-35C39986218F}"/>
    <cellStyle name="Input 4 4 18 6" xfId="30930" xr:uid="{51F61737-3251-46E4-BA52-AF3A97C08290}"/>
    <cellStyle name="Input 4 4 18 7" xfId="30931" xr:uid="{E32F9369-18CE-48A8-B684-868955F51356}"/>
    <cellStyle name="Input 4 4 19" xfId="1977" xr:uid="{F39DF070-17A1-4970-A39E-2BDE5F3F1541}"/>
    <cellStyle name="Input 4 4 19 2" xfId="11496" xr:uid="{1F2D9C78-F9AD-4B5D-8601-E731806FAE96}"/>
    <cellStyle name="Input 4 4 19 2 2" xfId="30932" xr:uid="{9BECCF21-5857-43D2-9F67-8ED44961E430}"/>
    <cellStyle name="Input 4 4 19 2 3" xfId="30933" xr:uid="{FE6156A4-1377-4AB4-B090-8FB5F1C16D8A}"/>
    <cellStyle name="Input 4 4 19 2 4" xfId="30934" xr:uid="{9A927FB1-2A4F-4154-8777-452F50764F45}"/>
    <cellStyle name="Input 4 4 19 2 5" xfId="30935" xr:uid="{94220BCB-C88B-42EC-A37C-EAFDE47CC6A7}"/>
    <cellStyle name="Input 4 4 19 2 6" xfId="30936" xr:uid="{555A3169-BD20-4BC1-B4A8-85BAE507B1C3}"/>
    <cellStyle name="Input 4 4 19 3" xfId="30937" xr:uid="{F14FDBDF-80DA-4B5C-9CAD-7C320824541C}"/>
    <cellStyle name="Input 4 4 19 4" xfId="30938" xr:uid="{4C5ECBE8-813E-4E85-AF2D-4F6447AB90A2}"/>
    <cellStyle name="Input 4 4 19 5" xfId="30939" xr:uid="{56F15FD3-97D9-44DF-BC8F-D591C8467FE5}"/>
    <cellStyle name="Input 4 4 19 6" xfId="30940" xr:uid="{A0D900A8-E288-4DCB-B071-EF06AAA973E1}"/>
    <cellStyle name="Input 4 4 19 7" xfId="30941" xr:uid="{8EC2DFEB-42AE-4E95-9728-3E364D3E85A9}"/>
    <cellStyle name="Input 4 4 2" xfId="1978" xr:uid="{CB02B2C8-BDB0-4BA0-A7B8-A07BA6C59072}"/>
    <cellStyle name="Input 4 4 2 2" xfId="10002" xr:uid="{2DB25AB0-CDEF-44B2-82FF-EF6A69AE1273}"/>
    <cellStyle name="Input 4 4 2 2 2" xfId="30942" xr:uid="{194A6E72-6ADA-461E-B751-F831BC74E288}"/>
    <cellStyle name="Input 4 4 2 2 3" xfId="30943" xr:uid="{21829C88-8F7C-46FE-AB27-8051FED0835D}"/>
    <cellStyle name="Input 4 4 2 2 4" xfId="30944" xr:uid="{411E38EF-0D20-42B6-A0E8-E175F9171240}"/>
    <cellStyle name="Input 4 4 2 2 5" xfId="30945" xr:uid="{DD8BA9CC-69E6-4727-ABA1-89131E21E71D}"/>
    <cellStyle name="Input 4 4 2 2 6" xfId="30946" xr:uid="{03385D03-8F54-4009-8584-E25F95988CBF}"/>
    <cellStyle name="Input 4 4 2 3" xfId="30947" xr:uid="{3F29B09E-1618-483C-A51B-7C06F44C7B4A}"/>
    <cellStyle name="Input 4 4 2 4" xfId="30948" xr:uid="{EBE3A840-B530-42B9-BEBC-5003B76BF0BB}"/>
    <cellStyle name="Input 4 4 2 5" xfId="30949" xr:uid="{EE5D7178-61C4-4873-88D0-B28C346C6409}"/>
    <cellStyle name="Input 4 4 2 6" xfId="30950" xr:uid="{F8D58CF0-5F80-4977-86F4-6F00F9075B8B}"/>
    <cellStyle name="Input 4 4 2 7" xfId="30951" xr:uid="{B8E8DA0C-612C-4F6D-A07A-187755385EA9}"/>
    <cellStyle name="Input 4 4 20" xfId="1979" xr:uid="{562E0347-AFE6-4FC0-B04E-00166036355E}"/>
    <cellStyle name="Input 4 4 20 2" xfId="11584" xr:uid="{D1D87E0C-640D-4795-A6F4-323396A5902D}"/>
    <cellStyle name="Input 4 4 20 2 2" xfId="30952" xr:uid="{56F8CAFF-C410-4E4A-8912-A68D4CA4E92C}"/>
    <cellStyle name="Input 4 4 20 2 3" xfId="30953" xr:uid="{71DF54B1-28BA-4BD4-9B90-C8821CCC0014}"/>
    <cellStyle name="Input 4 4 20 2 4" xfId="30954" xr:uid="{7F5A0EBE-9C90-45D6-B7E0-6BA79B44A3F1}"/>
    <cellStyle name="Input 4 4 20 2 5" xfId="30955" xr:uid="{992129CE-C691-44B7-9D6D-8B0D24810C41}"/>
    <cellStyle name="Input 4 4 20 2 6" xfId="30956" xr:uid="{6DC491B0-86EE-48B5-8753-8BA8E858B851}"/>
    <cellStyle name="Input 4 4 20 3" xfId="30957" xr:uid="{25B5CAF4-E4C2-4F89-AA37-91F937EF8AB1}"/>
    <cellStyle name="Input 4 4 20 4" xfId="30958" xr:uid="{079C2C99-1675-4FEF-8D4F-2EAE93F22DD6}"/>
    <cellStyle name="Input 4 4 20 5" xfId="30959" xr:uid="{565D66D9-D4B8-4E69-B457-1FE7F4BDFAFA}"/>
    <cellStyle name="Input 4 4 20 6" xfId="30960" xr:uid="{0ACD1367-B130-4EB8-B29B-D9BF451CC9B3}"/>
    <cellStyle name="Input 4 4 20 7" xfId="30961" xr:uid="{1D0C403F-3CB3-45EC-B1C8-82950A4A3891}"/>
    <cellStyle name="Input 4 4 21" xfId="1980" xr:uid="{1AE50550-8201-400E-ACE1-CB6E66EF636B}"/>
    <cellStyle name="Input 4 4 21 2" xfId="11670" xr:uid="{CE703B76-6871-4D6C-A2C4-F00D6E0281D7}"/>
    <cellStyle name="Input 4 4 21 2 2" xfId="30962" xr:uid="{D4775FF5-2B9E-4807-9843-3E494E712C05}"/>
    <cellStyle name="Input 4 4 21 2 3" xfId="30963" xr:uid="{DF5B850F-589E-48F7-9936-FF21123DE8F3}"/>
    <cellStyle name="Input 4 4 21 2 4" xfId="30964" xr:uid="{BC4FF66E-C524-4885-9B04-7D300B14CB04}"/>
    <cellStyle name="Input 4 4 21 2 5" xfId="30965" xr:uid="{4CD9E10F-7DA3-4DD4-9152-AAE200589540}"/>
    <cellStyle name="Input 4 4 21 2 6" xfId="30966" xr:uid="{3F6104B4-2499-47FA-82DF-0276871444D1}"/>
    <cellStyle name="Input 4 4 21 3" xfId="30967" xr:uid="{06E2D49E-8389-45ED-BC58-40336B8305C6}"/>
    <cellStyle name="Input 4 4 21 4" xfId="30968" xr:uid="{448D0B1B-8EAC-45ED-BA72-CD8049D52D25}"/>
    <cellStyle name="Input 4 4 21 5" xfId="30969" xr:uid="{F24119AE-3994-4A3A-A030-786189E77E7C}"/>
    <cellStyle name="Input 4 4 21 6" xfId="30970" xr:uid="{DC13968B-D31C-4D55-AC13-5E87D261A505}"/>
    <cellStyle name="Input 4 4 21 7" xfId="30971" xr:uid="{9BD81C0C-3BA0-4B7D-B7EA-60624787A0A9}"/>
    <cellStyle name="Input 4 4 22" xfId="1981" xr:uid="{E1FFE3BD-FA26-43C2-8235-CE97C9C6418D}"/>
    <cellStyle name="Input 4 4 22 2" xfId="11753" xr:uid="{1DCB1D76-DC38-4F89-BEDB-F7CC104566F0}"/>
    <cellStyle name="Input 4 4 22 2 2" xfId="30972" xr:uid="{CC06EF70-B30C-4184-AFCE-1D42BE7D7234}"/>
    <cellStyle name="Input 4 4 22 2 3" xfId="30973" xr:uid="{7F66F9C1-70AE-47A4-84DC-6992025580A7}"/>
    <cellStyle name="Input 4 4 22 2 4" xfId="30974" xr:uid="{B7925FE3-9BAE-4F64-B5BC-A418D9FCD9F9}"/>
    <cellStyle name="Input 4 4 22 2 5" xfId="30975" xr:uid="{FE4809C0-B822-4BAA-9EE4-D4AD78FE6D77}"/>
    <cellStyle name="Input 4 4 22 2 6" xfId="30976" xr:uid="{BE2A2B4C-30BE-4520-A3C8-78DDE9004EB1}"/>
    <cellStyle name="Input 4 4 22 3" xfId="30977" xr:uid="{9BDBB09C-F9D3-4E6D-9B26-B5F59FB3AE35}"/>
    <cellStyle name="Input 4 4 22 4" xfId="30978" xr:uid="{C5E520D9-6A33-437D-A8D9-19D676ED8918}"/>
    <cellStyle name="Input 4 4 22 5" xfId="30979" xr:uid="{0EEA1E9E-8879-41C7-A56B-F3D7672764CE}"/>
    <cellStyle name="Input 4 4 22 6" xfId="30980" xr:uid="{3D107CAC-02FE-4899-B297-5F476406B1E3}"/>
    <cellStyle name="Input 4 4 22 7" xfId="30981" xr:uid="{F6025F77-B4C1-4EE9-814E-E9015DF5A59E}"/>
    <cellStyle name="Input 4 4 23" xfId="1982" xr:uid="{880C0743-C914-4A70-AB7C-9A745271C657}"/>
    <cellStyle name="Input 4 4 23 2" xfId="11835" xr:uid="{17682E13-10C4-445B-ADF0-8845F4B3EC23}"/>
    <cellStyle name="Input 4 4 23 2 2" xfId="30982" xr:uid="{1102BCE6-2F7E-4249-9F89-6D214380603E}"/>
    <cellStyle name="Input 4 4 23 2 3" xfId="30983" xr:uid="{12321FAA-6C79-497E-88AF-A8329D674B70}"/>
    <cellStyle name="Input 4 4 23 2 4" xfId="30984" xr:uid="{D2EECCC1-5AB6-4D22-96C0-8C600BE21A15}"/>
    <cellStyle name="Input 4 4 23 2 5" xfId="30985" xr:uid="{8958C394-2417-4105-B2D5-03B0F00DF260}"/>
    <cellStyle name="Input 4 4 23 2 6" xfId="30986" xr:uid="{1BCE5CC3-DBED-4D8D-8DEC-64B8D54F87B3}"/>
    <cellStyle name="Input 4 4 23 3" xfId="30987" xr:uid="{707BD7CB-575D-4038-870C-B615BE4749E0}"/>
    <cellStyle name="Input 4 4 23 4" xfId="30988" xr:uid="{3B097189-1163-4926-B237-220C72852E3D}"/>
    <cellStyle name="Input 4 4 23 5" xfId="30989" xr:uid="{D260C926-9A0B-4103-A65A-02200B86E0D3}"/>
    <cellStyle name="Input 4 4 23 6" xfId="30990" xr:uid="{A39B0B47-96D3-447C-B3CA-F433540CC025}"/>
    <cellStyle name="Input 4 4 23 7" xfId="30991" xr:uid="{1097BBD0-3466-4A23-87CD-388F4F5001F1}"/>
    <cellStyle name="Input 4 4 24" xfId="1983" xr:uid="{4997A610-7524-4E5E-935A-CBE9C4AF7DFB}"/>
    <cellStyle name="Input 4 4 24 2" xfId="11919" xr:uid="{0613CDE1-0C36-4D3D-ACCF-A272FA2BDC74}"/>
    <cellStyle name="Input 4 4 24 2 2" xfId="30992" xr:uid="{EBFE8DEE-B03B-4436-BA21-1E834A72C947}"/>
    <cellStyle name="Input 4 4 24 2 3" xfId="30993" xr:uid="{D2AEA467-2E32-4B4E-805F-5450922449CC}"/>
    <cellStyle name="Input 4 4 24 2 4" xfId="30994" xr:uid="{C4F92799-3AD3-46EF-A8EB-64AD7D0B2365}"/>
    <cellStyle name="Input 4 4 24 2 5" xfId="30995" xr:uid="{DDA53134-E922-430C-9EB3-DC8D83C617A0}"/>
    <cellStyle name="Input 4 4 24 2 6" xfId="30996" xr:uid="{85C9A0E2-6F80-4FF8-8962-A82758A50732}"/>
    <cellStyle name="Input 4 4 24 3" xfId="30997" xr:uid="{62178EB0-DE8F-445A-B62E-164C5688AAA6}"/>
    <cellStyle name="Input 4 4 24 4" xfId="30998" xr:uid="{A28D873C-B381-4C8F-AA82-1B945BF94AD0}"/>
    <cellStyle name="Input 4 4 24 5" xfId="30999" xr:uid="{C9CEEEB6-4444-415E-9477-01F986E666C6}"/>
    <cellStyle name="Input 4 4 24 6" xfId="31000" xr:uid="{916A7F1D-A502-44C8-9196-A4000E562D3B}"/>
    <cellStyle name="Input 4 4 24 7" xfId="31001" xr:uid="{6ABDD6D6-E20C-45D5-A0D9-A4DAE07833BA}"/>
    <cellStyle name="Input 4 4 25" xfId="1984" xr:uid="{CADCBA32-4B32-4AE7-85A8-89C162A4A6E1}"/>
    <cellStyle name="Input 4 4 25 2" xfId="12003" xr:uid="{BC6A96BC-4856-45EA-A71B-CF9C2060D9B6}"/>
    <cellStyle name="Input 4 4 25 2 2" xfId="31002" xr:uid="{BF8DB63A-9981-45CA-9B51-63A3AF25CA2C}"/>
    <cellStyle name="Input 4 4 25 2 3" xfId="31003" xr:uid="{7A03C4A4-501A-4C39-B49B-BCA3AF6B4106}"/>
    <cellStyle name="Input 4 4 25 2 4" xfId="31004" xr:uid="{C577151D-6BA5-4DB4-A1DE-91C8544EEA79}"/>
    <cellStyle name="Input 4 4 25 2 5" xfId="31005" xr:uid="{E0048E2F-BAB8-47FE-BDAC-6853AC93470B}"/>
    <cellStyle name="Input 4 4 25 2 6" xfId="31006" xr:uid="{695123E4-AA41-4439-B027-DE33E1B5F3FC}"/>
    <cellStyle name="Input 4 4 25 3" xfId="31007" xr:uid="{10CE1A7E-D0E7-400F-B285-D65F2E8DAC57}"/>
    <cellStyle name="Input 4 4 25 4" xfId="31008" xr:uid="{81AD2D73-FE60-40F5-9A65-47A367C9086D}"/>
    <cellStyle name="Input 4 4 25 5" xfId="31009" xr:uid="{A9E53789-14DE-4C8E-AE48-964DA5268A7A}"/>
    <cellStyle name="Input 4 4 25 6" xfId="31010" xr:uid="{9AF8F644-469F-46D1-B503-9943A3EFCE95}"/>
    <cellStyle name="Input 4 4 25 7" xfId="31011" xr:uid="{370D22A9-2C8D-43BC-BD32-FC447DA39EB4}"/>
    <cellStyle name="Input 4 4 26" xfId="1985" xr:uid="{D68D9BEA-880C-48D7-8FA1-1A2053D1AD54}"/>
    <cellStyle name="Input 4 4 26 2" xfId="12086" xr:uid="{8B6AD63C-5132-47F4-B415-29734F92DB28}"/>
    <cellStyle name="Input 4 4 26 2 2" xfId="31012" xr:uid="{2D48A0FD-82C8-4ADA-A088-A0F346F7B98E}"/>
    <cellStyle name="Input 4 4 26 2 3" xfId="31013" xr:uid="{1185405B-2A2E-406B-A5B0-D0789DF287B7}"/>
    <cellStyle name="Input 4 4 26 2 4" xfId="31014" xr:uid="{9BE8EA59-D31B-405B-A651-918921C05779}"/>
    <cellStyle name="Input 4 4 26 2 5" xfId="31015" xr:uid="{E8A9B457-EFEE-4EAA-83BE-CFB7F46355BB}"/>
    <cellStyle name="Input 4 4 26 2 6" xfId="31016" xr:uid="{00D36D37-D3BA-4BCE-AA7D-2221F76B4084}"/>
    <cellStyle name="Input 4 4 26 3" xfId="31017" xr:uid="{9ECEE1C0-1E72-49E0-8E14-ECA1D5A221E8}"/>
    <cellStyle name="Input 4 4 26 4" xfId="31018" xr:uid="{596D73EE-80A6-4E0F-B5B8-2A1F293446F0}"/>
    <cellStyle name="Input 4 4 26 5" xfId="31019" xr:uid="{97505AF0-DD87-4DFB-A1F3-A801F0CB8C74}"/>
    <cellStyle name="Input 4 4 26 6" xfId="31020" xr:uid="{AE2F2899-0B61-42E6-964B-C3EDC5D07274}"/>
    <cellStyle name="Input 4 4 26 7" xfId="31021" xr:uid="{60C5DE86-41B3-486C-BE8C-1F02D2C5B2EF}"/>
    <cellStyle name="Input 4 4 27" xfId="1986" xr:uid="{359EF5AF-ED23-4BE2-BE03-B7A0A66C1FCB}"/>
    <cellStyle name="Input 4 4 27 2" xfId="12169" xr:uid="{65A7B6E0-551C-476A-A27A-1D46E18325CC}"/>
    <cellStyle name="Input 4 4 27 2 2" xfId="31022" xr:uid="{E8EE3E3D-ECB1-422B-9045-ADEAFF6370FD}"/>
    <cellStyle name="Input 4 4 27 2 3" xfId="31023" xr:uid="{77B96246-747F-45A9-8769-D5D5D8E9469C}"/>
    <cellStyle name="Input 4 4 27 2 4" xfId="31024" xr:uid="{69042AEF-7947-430B-AEBF-A22FE0D0CF20}"/>
    <cellStyle name="Input 4 4 27 2 5" xfId="31025" xr:uid="{7E6ED7AE-8DE9-49AE-80F4-F34D4D8A403B}"/>
    <cellStyle name="Input 4 4 27 2 6" xfId="31026" xr:uid="{BA34193B-995F-4EBD-B301-5920588B4EC7}"/>
    <cellStyle name="Input 4 4 27 3" xfId="31027" xr:uid="{2860835D-E2B7-4D74-B355-ABF8934A579A}"/>
    <cellStyle name="Input 4 4 27 4" xfId="31028" xr:uid="{A1BBEA5C-66D0-47CC-80E2-A0FD42275FE8}"/>
    <cellStyle name="Input 4 4 27 5" xfId="31029" xr:uid="{E7FD2575-290F-4682-A8D1-3155AF94F110}"/>
    <cellStyle name="Input 4 4 27 6" xfId="31030" xr:uid="{80EC8012-3869-4115-9602-40B3FE2D8435}"/>
    <cellStyle name="Input 4 4 27 7" xfId="31031" xr:uid="{915B1CB4-0EA7-46EF-ADEA-DB9BE76EB514}"/>
    <cellStyle name="Input 4 4 28" xfId="1987" xr:uid="{2E477F03-088C-4960-928F-35E94DF565E7}"/>
    <cellStyle name="Input 4 4 28 2" xfId="12248" xr:uid="{B787B326-46EB-4551-B1BA-3C8A92301FFC}"/>
    <cellStyle name="Input 4 4 28 2 2" xfId="31032" xr:uid="{194D3DBE-09B6-451C-8420-0DBC5AAEEBDE}"/>
    <cellStyle name="Input 4 4 28 2 3" xfId="31033" xr:uid="{196A5470-AEC5-438B-AD2D-02AA052C6FBE}"/>
    <cellStyle name="Input 4 4 28 2 4" xfId="31034" xr:uid="{D0B3115C-F71C-4BA8-9D73-1AB6CFCE017F}"/>
    <cellStyle name="Input 4 4 28 2 5" xfId="31035" xr:uid="{FF502815-6D06-4732-A6C3-DA4F555B9F4E}"/>
    <cellStyle name="Input 4 4 28 2 6" xfId="31036" xr:uid="{8855AD97-B0AB-414B-8373-D0425B20B5E4}"/>
    <cellStyle name="Input 4 4 28 3" xfId="31037" xr:uid="{1B19A424-AD6A-46EE-8F1A-06046B562AB3}"/>
    <cellStyle name="Input 4 4 28 4" xfId="31038" xr:uid="{BC4E0BC2-A76E-4131-933F-5E9C1C8C5F42}"/>
    <cellStyle name="Input 4 4 28 5" xfId="31039" xr:uid="{7C2AE073-0E10-436C-81C8-D0F4D47D2F0B}"/>
    <cellStyle name="Input 4 4 28 6" xfId="31040" xr:uid="{8897193A-3DA3-4D9B-B92D-DAA3169A31E7}"/>
    <cellStyle name="Input 4 4 28 7" xfId="31041" xr:uid="{FE461FD2-ACF9-4223-A34C-2207554DAC3E}"/>
    <cellStyle name="Input 4 4 29" xfId="1988" xr:uid="{A42243B8-A3BA-4380-8560-9F14E4C06D47}"/>
    <cellStyle name="Input 4 4 29 2" xfId="12327" xr:uid="{159DD9E2-6391-420C-B30A-188141F4155A}"/>
    <cellStyle name="Input 4 4 29 2 2" xfId="31042" xr:uid="{ADBB489F-D776-4478-A49B-9D5024215F4A}"/>
    <cellStyle name="Input 4 4 29 2 3" xfId="31043" xr:uid="{E075BDD2-82F5-4F3B-94E9-E17956157DFA}"/>
    <cellStyle name="Input 4 4 29 2 4" xfId="31044" xr:uid="{A085FF49-32BA-4489-B3C5-BA346D6EE65E}"/>
    <cellStyle name="Input 4 4 29 2 5" xfId="31045" xr:uid="{BB0AD997-8276-4B35-AC60-0F23C6BD3C66}"/>
    <cellStyle name="Input 4 4 29 2 6" xfId="31046" xr:uid="{92168D35-069A-4B21-A424-C1ACB202892A}"/>
    <cellStyle name="Input 4 4 29 3" xfId="31047" xr:uid="{18CD3211-3349-4BB4-B158-1782524B43AA}"/>
    <cellStyle name="Input 4 4 29 4" xfId="31048" xr:uid="{C6AF2D6F-DC30-4A51-A6AF-A29429B8E335}"/>
    <cellStyle name="Input 4 4 29 5" xfId="31049" xr:uid="{C61F01BF-8954-4682-8A83-942BCE919CAD}"/>
    <cellStyle name="Input 4 4 29 6" xfId="31050" xr:uid="{159AC132-5794-48CB-8798-677E6641E69E}"/>
    <cellStyle name="Input 4 4 29 7" xfId="31051" xr:uid="{A336C762-03F8-41F5-940F-F4F2133C6FEE}"/>
    <cellStyle name="Input 4 4 3" xfId="1989" xr:uid="{144810F3-C947-4B57-8F19-1E4C292FB659}"/>
    <cellStyle name="Input 4 4 3 2" xfId="10093" xr:uid="{5B02E72C-BBB1-4775-AF19-7882771A3FA4}"/>
    <cellStyle name="Input 4 4 3 2 2" xfId="31052" xr:uid="{19956EE2-96B9-4276-8496-032744C62AEC}"/>
    <cellStyle name="Input 4 4 3 2 3" xfId="31053" xr:uid="{8BFB0E2D-4CFB-4649-9506-A33F49E0A71E}"/>
    <cellStyle name="Input 4 4 3 2 4" xfId="31054" xr:uid="{4740E37F-D007-4A62-9882-6FE08976509B}"/>
    <cellStyle name="Input 4 4 3 2 5" xfId="31055" xr:uid="{7AA14145-6D37-4023-A71B-3E25CD0E4B5E}"/>
    <cellStyle name="Input 4 4 3 2 6" xfId="31056" xr:uid="{21C87BF4-A8E5-4CFC-8734-A11CBFE7B92A}"/>
    <cellStyle name="Input 4 4 3 3" xfId="31057" xr:uid="{F979483D-A5D3-4BFD-BF99-08E2B5E6D23C}"/>
    <cellStyle name="Input 4 4 3 4" xfId="31058" xr:uid="{70E6CBE3-1A6B-4CBD-B906-4ABA11C0C9ED}"/>
    <cellStyle name="Input 4 4 3 5" xfId="31059" xr:uid="{6E1ED632-D3ED-4826-95C8-B8C275A1E8C2}"/>
    <cellStyle name="Input 4 4 3 6" xfId="31060" xr:uid="{884BD4FA-435A-48CD-919D-6E325C81B90E}"/>
    <cellStyle name="Input 4 4 3 7" xfId="31061" xr:uid="{48E374A0-A61F-4C04-B91D-79773010943D}"/>
    <cellStyle name="Input 4 4 30" xfId="1990" xr:uid="{46120E14-B2C1-49C1-998E-093335B5E782}"/>
    <cellStyle name="Input 4 4 30 2" xfId="12406" xr:uid="{26215456-2FFA-4872-B493-B6F97A1017B1}"/>
    <cellStyle name="Input 4 4 30 2 2" xfId="31062" xr:uid="{AE3D6114-C805-4CD7-A107-95F23482B6D3}"/>
    <cellStyle name="Input 4 4 30 2 3" xfId="31063" xr:uid="{9AE83339-AF66-4978-9E58-0770DC76736D}"/>
    <cellStyle name="Input 4 4 30 2 4" xfId="31064" xr:uid="{4DD69E68-BB2D-42D1-B59E-0E1003F746A0}"/>
    <cellStyle name="Input 4 4 30 2 5" xfId="31065" xr:uid="{00767F11-0D8E-4F4F-8CC3-B6109F8531FF}"/>
    <cellStyle name="Input 4 4 30 2 6" xfId="31066" xr:uid="{42282E42-15E4-40DF-94E6-F0A41F36E870}"/>
    <cellStyle name="Input 4 4 30 3" xfId="31067" xr:uid="{3044FC4C-A48F-48EC-B318-93F64B61251F}"/>
    <cellStyle name="Input 4 4 30 4" xfId="31068" xr:uid="{DA176A54-BD39-4758-908A-A87266693CF3}"/>
    <cellStyle name="Input 4 4 30 5" xfId="31069" xr:uid="{2F0EE239-FFAE-4B94-9D49-35CFAFDBEA98}"/>
    <cellStyle name="Input 4 4 30 6" xfId="31070" xr:uid="{52A5BD25-7986-44EA-8DDD-09B4D9A2495A}"/>
    <cellStyle name="Input 4 4 30 7" xfId="31071" xr:uid="{CA657F28-F42E-4CAD-B972-FACD52726335}"/>
    <cellStyle name="Input 4 4 31" xfId="1991" xr:uid="{B3BC6760-FB36-4985-B525-7608986F4300}"/>
    <cellStyle name="Input 4 4 31 2" xfId="12485" xr:uid="{71304552-149E-4EC3-8D65-34FCA11D095F}"/>
    <cellStyle name="Input 4 4 31 2 2" xfId="31072" xr:uid="{F7115ECE-294C-4679-B5BF-2CF97E27F3BA}"/>
    <cellStyle name="Input 4 4 31 2 3" xfId="31073" xr:uid="{70FD6E58-3E12-4388-A0E8-F9F7C66B8368}"/>
    <cellStyle name="Input 4 4 31 2 4" xfId="31074" xr:uid="{0166813F-9ABB-4F10-A9F2-0FECD0BCC51C}"/>
    <cellStyle name="Input 4 4 31 2 5" xfId="31075" xr:uid="{572DE82A-3CC9-481A-B770-E3EAF94E3DCE}"/>
    <cellStyle name="Input 4 4 31 2 6" xfId="31076" xr:uid="{55776794-EC61-462E-AF9D-39DEA052F0E8}"/>
    <cellStyle name="Input 4 4 31 3" xfId="31077" xr:uid="{05E96214-EFAE-4301-AB79-2679E9A20D8C}"/>
    <cellStyle name="Input 4 4 31 4" xfId="31078" xr:uid="{347B4029-2EF7-4E74-A8CB-16610476B86B}"/>
    <cellStyle name="Input 4 4 31 5" xfId="31079" xr:uid="{8F8F2C2D-8B9C-4B6D-8E3C-46113B2B0A1C}"/>
    <cellStyle name="Input 4 4 31 6" xfId="31080" xr:uid="{2C26E08D-19D9-4B47-9455-BA001E90A4DE}"/>
    <cellStyle name="Input 4 4 31 7" xfId="31081" xr:uid="{D8283289-0D68-4327-8766-32D8DB8B38E3}"/>
    <cellStyle name="Input 4 4 32" xfId="1992" xr:uid="{37F30BC1-468C-4B4C-B9B8-3F4AA4446656}"/>
    <cellStyle name="Input 4 4 32 2" xfId="12564" xr:uid="{82CBAC95-8CB8-404F-A55F-E3B6EEAA20AF}"/>
    <cellStyle name="Input 4 4 32 2 2" xfId="31082" xr:uid="{E3C39F8F-D342-4317-9C25-0A97A0331FB3}"/>
    <cellStyle name="Input 4 4 32 2 3" xfId="31083" xr:uid="{69EA7243-DD38-4D7D-AEE1-312E6FC081EE}"/>
    <cellStyle name="Input 4 4 32 2 4" xfId="31084" xr:uid="{8B8C01C6-6EDE-49E9-A385-4C4C539C7331}"/>
    <cellStyle name="Input 4 4 32 2 5" xfId="31085" xr:uid="{6156B6C9-A1D1-4358-BFBE-9DE736432A35}"/>
    <cellStyle name="Input 4 4 32 2 6" xfId="31086" xr:uid="{6A952534-2A8F-4114-AC75-D1CD3C8FB88F}"/>
    <cellStyle name="Input 4 4 32 3" xfId="31087" xr:uid="{1677721D-0F40-4B80-9D21-55E67225D0C1}"/>
    <cellStyle name="Input 4 4 32 4" xfId="31088" xr:uid="{361615DC-A78F-42D3-8EF3-1BCBAECA04A2}"/>
    <cellStyle name="Input 4 4 32 5" xfId="31089" xr:uid="{E1086BE9-8FB6-4337-9EB1-7E4BDB9AB6E9}"/>
    <cellStyle name="Input 4 4 32 6" xfId="31090" xr:uid="{BD54D4FB-6428-40B8-ADD8-4A29448B06BF}"/>
    <cellStyle name="Input 4 4 32 7" xfId="31091" xr:uid="{CE956C97-62CE-4C89-A76E-E6DCD1F80156}"/>
    <cellStyle name="Input 4 4 33" xfId="1993" xr:uid="{CC5D544B-7B18-4733-8AA2-543A9EAD4632}"/>
    <cellStyle name="Input 4 4 33 2" xfId="12643" xr:uid="{DEBD288D-99CC-4D3B-A5F3-CB5D0CD72BDF}"/>
    <cellStyle name="Input 4 4 33 2 2" xfId="31092" xr:uid="{EAB9D263-AA30-4B78-9E88-B0C64205DC92}"/>
    <cellStyle name="Input 4 4 33 2 3" xfId="31093" xr:uid="{4FF18CAC-8F98-4275-AA5C-AF726CD847AE}"/>
    <cellStyle name="Input 4 4 33 2 4" xfId="31094" xr:uid="{B1675A59-04C0-475C-9599-AF2FD53A74A1}"/>
    <cellStyle name="Input 4 4 33 2 5" xfId="31095" xr:uid="{FFD99AC0-E3E8-42CD-8CAC-90C053E1EF5C}"/>
    <cellStyle name="Input 4 4 33 2 6" xfId="31096" xr:uid="{EE32AB59-0686-4730-ABC8-8E715D29E582}"/>
    <cellStyle name="Input 4 4 33 3" xfId="31097" xr:uid="{23696E12-F751-4919-B180-7E4EA907DB52}"/>
    <cellStyle name="Input 4 4 33 4" xfId="31098" xr:uid="{48016CC8-B081-4FD0-82E0-33C11BAA4F38}"/>
    <cellStyle name="Input 4 4 33 5" xfId="31099" xr:uid="{2F132E9D-1B0F-49CD-BFDC-32B61BBC7A1A}"/>
    <cellStyle name="Input 4 4 33 6" xfId="31100" xr:uid="{04E33297-6E6E-47DE-96A1-32711783FF3E}"/>
    <cellStyle name="Input 4 4 33 7" xfId="31101" xr:uid="{15540A94-744B-4BB4-9778-8DD5A2AEB6AA}"/>
    <cellStyle name="Input 4 4 34" xfId="1994" xr:uid="{73AB343C-3E40-4E73-B782-BEBDC9EB1541}"/>
    <cellStyle name="Input 4 4 34 2" xfId="12727" xr:uid="{B7483162-9FD9-4F7D-9C9A-DC85C4854086}"/>
    <cellStyle name="Input 4 4 34 2 2" xfId="31102" xr:uid="{805EE1AA-A99D-4480-83B3-501B26B03B6B}"/>
    <cellStyle name="Input 4 4 34 2 3" xfId="31103" xr:uid="{B0FE5185-89F7-4B17-926E-A1AAF37BD47E}"/>
    <cellStyle name="Input 4 4 34 2 4" xfId="31104" xr:uid="{CDEBD8EB-A990-47C3-B110-4D27B7E5BB2E}"/>
    <cellStyle name="Input 4 4 34 2 5" xfId="31105" xr:uid="{5C96B65A-73AA-4FDE-9547-12B920DC85CD}"/>
    <cellStyle name="Input 4 4 34 2 6" xfId="31106" xr:uid="{5859FB41-85E2-4E3C-BAFA-2939023F8B69}"/>
    <cellStyle name="Input 4 4 34 3" xfId="31107" xr:uid="{D843CB0F-AE85-4BCD-8739-B695C08A8848}"/>
    <cellStyle name="Input 4 4 34 4" xfId="31108" xr:uid="{91D5C9E9-C3B3-40EB-B40F-15973B5084B7}"/>
    <cellStyle name="Input 4 4 34 5" xfId="31109" xr:uid="{B596A5B8-0AA7-4A2D-9312-4115FBE9BD36}"/>
    <cellStyle name="Input 4 4 34 6" xfId="31110" xr:uid="{60143473-18F4-4A9C-AF7F-EED10032CA42}"/>
    <cellStyle name="Input 4 4 35" xfId="9791" xr:uid="{9BF168D0-B6E9-4B1B-A5D6-2594C2EFD797}"/>
    <cellStyle name="Input 4 4 35 2" xfId="31111" xr:uid="{BB4B13CE-5610-4B51-A92C-20A57B605A77}"/>
    <cellStyle name="Input 4 4 35 3" xfId="31112" xr:uid="{C98A78CF-4BCF-499C-AF45-92890A58E9A1}"/>
    <cellStyle name="Input 4 4 35 4" xfId="31113" xr:uid="{6422AC56-D125-42CE-9895-551131E34AA5}"/>
    <cellStyle name="Input 4 4 35 5" xfId="31114" xr:uid="{CEC73C9C-4172-4693-8FCA-EE6737E704E9}"/>
    <cellStyle name="Input 4 4 35 6" xfId="31115" xr:uid="{67967579-D5B7-4F09-9702-BD6720C5EEFD}"/>
    <cellStyle name="Input 4 4 36" xfId="31116" xr:uid="{5E2CE019-A0B6-4EF0-B4EC-51C64951CE28}"/>
    <cellStyle name="Input 4 4 37" xfId="31117" xr:uid="{0FE66A07-FC6A-4A3E-B803-5C558BBDAE6B}"/>
    <cellStyle name="Input 4 4 38" xfId="31118" xr:uid="{A82C0F0B-6B72-465E-B575-805A1DE29769}"/>
    <cellStyle name="Input 4 4 39" xfId="31119" xr:uid="{7C49369C-605B-457A-912A-60AE0AA193DE}"/>
    <cellStyle name="Input 4 4 4" xfId="1995" xr:uid="{E1AE3A4A-41DE-48A2-ADCE-B1AD4DAC7DE8}"/>
    <cellStyle name="Input 4 4 4 2" xfId="10184" xr:uid="{FD9E3DA8-733A-47E2-936A-7CD0960E500C}"/>
    <cellStyle name="Input 4 4 4 2 2" xfId="31120" xr:uid="{F317BA7B-2E65-4AD5-83E8-F28AFD9EA797}"/>
    <cellStyle name="Input 4 4 4 2 3" xfId="31121" xr:uid="{32D8803E-C6CC-4107-A09E-91A9B2AFBB75}"/>
    <cellStyle name="Input 4 4 4 2 4" xfId="31122" xr:uid="{A6FA8085-7360-4622-8CBA-CB6EFB5B16D9}"/>
    <cellStyle name="Input 4 4 4 2 5" xfId="31123" xr:uid="{19EBA71B-C186-4EC6-8E04-5F444BFA2B60}"/>
    <cellStyle name="Input 4 4 4 2 6" xfId="31124" xr:uid="{B7A9E380-92A2-4522-857D-5C1B2A98F05A}"/>
    <cellStyle name="Input 4 4 4 3" xfId="31125" xr:uid="{BB0EB3BC-BEEF-4592-8823-6A91A6D7F529}"/>
    <cellStyle name="Input 4 4 4 4" xfId="31126" xr:uid="{5D6666D8-8B69-41E9-B94F-3E4054E69FCB}"/>
    <cellStyle name="Input 4 4 4 5" xfId="31127" xr:uid="{BE5569D4-4A6D-42C1-9932-717707DFFD49}"/>
    <cellStyle name="Input 4 4 4 6" xfId="31128" xr:uid="{1AE4D759-847D-4F02-8ED8-976705BCE5B7}"/>
    <cellStyle name="Input 4 4 4 7" xfId="31129" xr:uid="{47EB643A-9DF3-4D86-B227-78EFE5B16978}"/>
    <cellStyle name="Input 4 4 5" xfId="1996" xr:uid="{57364994-F652-4BF7-899D-0C5CE8946694}"/>
    <cellStyle name="Input 4 4 5 2" xfId="10272" xr:uid="{03A5B980-CA42-4C0C-AB46-4537B6528A2A}"/>
    <cellStyle name="Input 4 4 5 2 2" xfId="31130" xr:uid="{D3A7B25A-99D5-46F8-9287-F0F559FA02AE}"/>
    <cellStyle name="Input 4 4 5 2 3" xfId="31131" xr:uid="{46F3B48C-6E8D-4E22-8980-FB75B4000C72}"/>
    <cellStyle name="Input 4 4 5 2 4" xfId="31132" xr:uid="{D529EC6E-0ABC-490F-AE34-FA11465416B9}"/>
    <cellStyle name="Input 4 4 5 2 5" xfId="31133" xr:uid="{65FCD53C-97C4-489D-8510-A2DC1FEC4C68}"/>
    <cellStyle name="Input 4 4 5 2 6" xfId="31134" xr:uid="{ADFF8EE8-C82B-4D6B-AE9F-33952848DC6C}"/>
    <cellStyle name="Input 4 4 5 3" xfId="31135" xr:uid="{805167D5-DE78-40EB-99A5-0A3FA737BD32}"/>
    <cellStyle name="Input 4 4 5 4" xfId="31136" xr:uid="{7859D748-AC03-4AC7-BDFC-B7404C248248}"/>
    <cellStyle name="Input 4 4 5 5" xfId="31137" xr:uid="{8AB47951-200A-468B-AA2A-09E796DD65DB}"/>
    <cellStyle name="Input 4 4 5 6" xfId="31138" xr:uid="{7615364A-42DD-4A67-BBA6-9B9D461B31A7}"/>
    <cellStyle name="Input 4 4 5 7" xfId="31139" xr:uid="{FDC99DB5-6D17-4057-8CB9-416729F96E33}"/>
    <cellStyle name="Input 4 4 6" xfId="1997" xr:uid="{DC6043F5-F81D-40BC-AD75-9721560EE2DE}"/>
    <cellStyle name="Input 4 4 6 2" xfId="10357" xr:uid="{8FD851D4-2B42-419F-B8F4-2B5E490AF98B}"/>
    <cellStyle name="Input 4 4 6 2 2" xfId="31140" xr:uid="{D7C64677-8DD7-4237-8010-733EB7F3AE63}"/>
    <cellStyle name="Input 4 4 6 2 3" xfId="31141" xr:uid="{D1B7D3BA-73E4-4771-8557-1F91BC8026C9}"/>
    <cellStyle name="Input 4 4 6 2 4" xfId="31142" xr:uid="{8FFE2264-A760-4CC6-BC9B-AA70D2998565}"/>
    <cellStyle name="Input 4 4 6 2 5" xfId="31143" xr:uid="{3F12955F-5702-43B9-A3B1-DEF60A0B71AB}"/>
    <cellStyle name="Input 4 4 6 2 6" xfId="31144" xr:uid="{1BB36044-42BD-4F37-B9B5-0EC6BB8CDEA8}"/>
    <cellStyle name="Input 4 4 6 3" xfId="31145" xr:uid="{0B0282F4-9BE4-4333-B461-EF1341CEC303}"/>
    <cellStyle name="Input 4 4 6 4" xfId="31146" xr:uid="{58F7B6A4-8A12-4C36-BCB4-E15E0797ABAF}"/>
    <cellStyle name="Input 4 4 6 5" xfId="31147" xr:uid="{D108B1B7-5D77-4B47-A60D-0FA88DBD9A80}"/>
    <cellStyle name="Input 4 4 6 6" xfId="31148" xr:uid="{94F00841-DA91-4AA2-9F75-8048B115746A}"/>
    <cellStyle name="Input 4 4 6 7" xfId="31149" xr:uid="{11A054FF-0501-48ED-85A9-A4D6D5CB1DA3}"/>
    <cellStyle name="Input 4 4 7" xfId="1998" xr:uid="{60D039AC-AE32-4344-8280-A781B5E95A59}"/>
    <cellStyle name="Input 4 4 7 2" xfId="10444" xr:uid="{FB69F321-6D1A-4C09-B27B-487942A9502A}"/>
    <cellStyle name="Input 4 4 7 2 2" xfId="31150" xr:uid="{2DAC060F-3D56-4EEA-B1DF-B19413D23480}"/>
    <cellStyle name="Input 4 4 7 2 3" xfId="31151" xr:uid="{483A0E6D-DC7D-4644-BCAA-EE3D2900CA48}"/>
    <cellStyle name="Input 4 4 7 2 4" xfId="31152" xr:uid="{3E0C404E-9973-41F3-A2C7-7C951B314C31}"/>
    <cellStyle name="Input 4 4 7 2 5" xfId="31153" xr:uid="{5D335155-EC20-4012-A9F3-FA5A27BED879}"/>
    <cellStyle name="Input 4 4 7 2 6" xfId="31154" xr:uid="{E17B78B0-308E-4894-B293-27F101579ECA}"/>
    <cellStyle name="Input 4 4 7 3" xfId="31155" xr:uid="{D674B8D0-7958-41DD-9FCE-4A51FBFC6E91}"/>
    <cellStyle name="Input 4 4 7 4" xfId="31156" xr:uid="{3E3448ED-CEA2-4AAD-9DC7-568ABB1322BF}"/>
    <cellStyle name="Input 4 4 7 5" xfId="31157" xr:uid="{38E35AEE-D3D7-4198-B4C8-D4BA07E7FF5B}"/>
    <cellStyle name="Input 4 4 7 6" xfId="31158" xr:uid="{A8C223B5-5C85-4AE0-8D88-1E298AB18860}"/>
    <cellStyle name="Input 4 4 7 7" xfId="31159" xr:uid="{8B3F34AC-BDA9-46F3-9934-CD3ECA28E8B7}"/>
    <cellStyle name="Input 4 4 8" xfId="1999" xr:uid="{8A225360-BF69-49F5-A1AD-4D6572DB4455}"/>
    <cellStyle name="Input 4 4 8 2" xfId="10533" xr:uid="{5156F1C3-3B3C-4502-B590-ED4CDBD0B9BE}"/>
    <cellStyle name="Input 4 4 8 2 2" xfId="31160" xr:uid="{8A68390C-B56E-497C-B738-85F5E722C191}"/>
    <cellStyle name="Input 4 4 8 2 3" xfId="31161" xr:uid="{E0321343-7759-4BB0-A9E9-C72785FAEFD9}"/>
    <cellStyle name="Input 4 4 8 2 4" xfId="31162" xr:uid="{EDB89C8C-49D1-48D9-B19A-680CD780F198}"/>
    <cellStyle name="Input 4 4 8 2 5" xfId="31163" xr:uid="{57137AF4-A9B6-41A1-BDD4-6B3F33B3DEC7}"/>
    <cellStyle name="Input 4 4 8 2 6" xfId="31164" xr:uid="{7E7033FB-23F9-48E3-A705-8D561C605AD9}"/>
    <cellStyle name="Input 4 4 8 3" xfId="31165" xr:uid="{1DA0B644-88EB-4F71-850C-3917A73D01DA}"/>
    <cellStyle name="Input 4 4 8 4" xfId="31166" xr:uid="{881F78EC-F9B5-4A3A-9AFE-AC7A33826A70}"/>
    <cellStyle name="Input 4 4 8 5" xfId="31167" xr:uid="{F2DEA693-5D7B-48CC-8E46-A8368C98A5F9}"/>
    <cellStyle name="Input 4 4 8 6" xfId="31168" xr:uid="{10DEFA08-5CE9-4674-8820-1A47F5B3622D}"/>
    <cellStyle name="Input 4 4 8 7" xfId="31169" xr:uid="{5FEF6126-D487-4E38-897F-2706C151B493}"/>
    <cellStyle name="Input 4 4 9" xfId="2000" xr:uid="{0AEC7A4E-7DD6-44D3-B823-C18CD262AAA6}"/>
    <cellStyle name="Input 4 4 9 2" xfId="10615" xr:uid="{F9DEDF0B-DDE8-4055-9278-53C80B2AD2EC}"/>
    <cellStyle name="Input 4 4 9 2 2" xfId="31170" xr:uid="{EC40C7CE-4D84-42A6-BE29-B1D7679F59CA}"/>
    <cellStyle name="Input 4 4 9 2 3" xfId="31171" xr:uid="{D6EACAC6-65FE-47B4-B524-293EAC1102D6}"/>
    <cellStyle name="Input 4 4 9 2 4" xfId="31172" xr:uid="{02B77CB9-1D19-465C-BA76-ED115A3AD62D}"/>
    <cellStyle name="Input 4 4 9 2 5" xfId="31173" xr:uid="{E9538650-40A3-4CC5-B2C6-BC12C74754CE}"/>
    <cellStyle name="Input 4 4 9 2 6" xfId="31174" xr:uid="{A145C4BE-EF7A-4A3A-B4F5-AF5B6F45AEF7}"/>
    <cellStyle name="Input 4 4 9 3" xfId="31175" xr:uid="{85C79295-961D-4F94-BDB4-5989F916F18B}"/>
    <cellStyle name="Input 4 4 9 4" xfId="31176" xr:uid="{25DF4570-22F8-4C4F-99C0-6879658392ED}"/>
    <cellStyle name="Input 4 4 9 5" xfId="31177" xr:uid="{A8104DAF-F4A8-47BA-AB86-09A7DD50D2EF}"/>
    <cellStyle name="Input 4 4 9 6" xfId="31178" xr:uid="{D781990F-09F2-42D8-A6CB-12A6900E25EE}"/>
    <cellStyle name="Input 4 4 9 7" xfId="31179" xr:uid="{94CEB3A8-80C0-4960-8822-F83B7DD78BF0}"/>
    <cellStyle name="Input 4 5" xfId="2001" xr:uid="{43C18FF8-3838-442A-B08E-C07CF829D108}"/>
    <cellStyle name="Input 4 5 10" xfId="2002" xr:uid="{31A9800B-CE01-43E6-9920-F247A626469C}"/>
    <cellStyle name="Input 4 5 10 2" xfId="10692" xr:uid="{30B62B4D-4EB5-4C16-A573-D21A75BE6B3A}"/>
    <cellStyle name="Input 4 5 10 2 2" xfId="31180" xr:uid="{3B8D2964-0CB4-4EB8-8CF2-FDB43E348809}"/>
    <cellStyle name="Input 4 5 10 2 3" xfId="31181" xr:uid="{73E400B0-6205-419F-B57E-F8063D0FAA7E}"/>
    <cellStyle name="Input 4 5 10 2 4" xfId="31182" xr:uid="{C036941A-B557-4D81-B7C1-4D712424F9D5}"/>
    <cellStyle name="Input 4 5 10 2 5" xfId="31183" xr:uid="{59B871B2-77B4-48B6-AED2-999B4261E52A}"/>
    <cellStyle name="Input 4 5 10 2 6" xfId="31184" xr:uid="{79A397F3-879A-4AB4-B364-1177BB469BBE}"/>
    <cellStyle name="Input 4 5 10 3" xfId="31185" xr:uid="{242F2097-0034-4079-903A-917041959672}"/>
    <cellStyle name="Input 4 5 10 4" xfId="31186" xr:uid="{988B9607-4D7C-4E42-8109-43E11CDDE9D1}"/>
    <cellStyle name="Input 4 5 10 5" xfId="31187" xr:uid="{30552D76-060E-481D-A1EF-3A7C22FFCFC7}"/>
    <cellStyle name="Input 4 5 10 6" xfId="31188" xr:uid="{C00B1B9E-2F8A-4A4B-A3C6-EB6ED55DFAB8}"/>
    <cellStyle name="Input 4 5 10 7" xfId="31189" xr:uid="{779D6F90-7453-4B04-840D-E5BBEB8F1095}"/>
    <cellStyle name="Input 4 5 11" xfId="2003" xr:uid="{CF5C5E5C-D827-4B1F-A867-88393250D013}"/>
    <cellStyle name="Input 4 5 11 2" xfId="10783" xr:uid="{DCB60B8D-B150-4C30-A95A-4DF867885ED9}"/>
    <cellStyle name="Input 4 5 11 2 2" xfId="31190" xr:uid="{DCA40E4F-ED45-4783-8394-5EB0D459750C}"/>
    <cellStyle name="Input 4 5 11 2 3" xfId="31191" xr:uid="{077CBA7D-D7A5-4279-950B-4B2AA4FFA3DA}"/>
    <cellStyle name="Input 4 5 11 2 4" xfId="31192" xr:uid="{927F175D-C5C2-4B88-BF50-860E826561E9}"/>
    <cellStyle name="Input 4 5 11 2 5" xfId="31193" xr:uid="{02191E00-9182-478E-BD78-501AB6B8FB08}"/>
    <cellStyle name="Input 4 5 11 2 6" xfId="31194" xr:uid="{6C258564-D149-4D2B-9AEF-2C41D6D7C8B4}"/>
    <cellStyle name="Input 4 5 11 3" xfId="31195" xr:uid="{18CDC865-757B-4470-8DBB-0C044085DE6F}"/>
    <cellStyle name="Input 4 5 11 4" xfId="31196" xr:uid="{566391DF-FEBE-4D32-B4F4-0138669E429F}"/>
    <cellStyle name="Input 4 5 11 5" xfId="31197" xr:uid="{7383FC0A-CF70-45D6-97B8-C3CB19512959}"/>
    <cellStyle name="Input 4 5 11 6" xfId="31198" xr:uid="{ED726EBF-7666-4F45-898E-97FC9476E806}"/>
    <cellStyle name="Input 4 5 11 7" xfId="31199" xr:uid="{150D609F-898B-42FB-AF8D-73475150B846}"/>
    <cellStyle name="Input 4 5 12" xfId="2004" xr:uid="{EC8EF210-A7DC-4AE9-B3AA-54250A3B4678}"/>
    <cellStyle name="Input 4 5 12 2" xfId="10870" xr:uid="{A4B6B047-CC87-41C0-96FE-403B3CD9FFEC}"/>
    <cellStyle name="Input 4 5 12 2 2" xfId="31200" xr:uid="{A4A758FF-8E66-4156-989A-1FAB429A2F21}"/>
    <cellStyle name="Input 4 5 12 2 3" xfId="31201" xr:uid="{1C0281D4-588E-48DE-BF40-69BBA2185C6E}"/>
    <cellStyle name="Input 4 5 12 2 4" xfId="31202" xr:uid="{00CCEDF6-78EA-4B6B-91F5-F29B865EE998}"/>
    <cellStyle name="Input 4 5 12 2 5" xfId="31203" xr:uid="{24EC9050-143D-4991-95FF-CD8D2AAB78D2}"/>
    <cellStyle name="Input 4 5 12 2 6" xfId="31204" xr:uid="{ED339AE6-FAC7-467B-8AB1-84960CB14218}"/>
    <cellStyle name="Input 4 5 12 3" xfId="31205" xr:uid="{CF75B04E-CE58-47BC-9D68-1E0691914214}"/>
    <cellStyle name="Input 4 5 12 4" xfId="31206" xr:uid="{2B9DF02D-5961-40A8-9AC3-F6B5EEB57C1C}"/>
    <cellStyle name="Input 4 5 12 5" xfId="31207" xr:uid="{5E40DD8E-36CB-4E04-AD42-D4442B0E4BE3}"/>
    <cellStyle name="Input 4 5 12 6" xfId="31208" xr:uid="{D279D352-4731-4BF5-A320-12752E0F64EE}"/>
    <cellStyle name="Input 4 5 12 7" xfId="31209" xr:uid="{D75EC653-2A4C-4DBD-AE73-8CBF8FE38905}"/>
    <cellStyle name="Input 4 5 13" xfId="2005" xr:uid="{D81574B0-A495-41AC-82E3-A4D45152D452}"/>
    <cellStyle name="Input 4 5 13 2" xfId="10959" xr:uid="{B94532F9-11A3-4417-92BB-E296889F0133}"/>
    <cellStyle name="Input 4 5 13 2 2" xfId="31210" xr:uid="{AE84EE9C-A9AA-4C4C-85DD-E5D515C16DF9}"/>
    <cellStyle name="Input 4 5 13 2 3" xfId="31211" xr:uid="{65D192B8-EE38-48DE-90B1-3B6069152E05}"/>
    <cellStyle name="Input 4 5 13 2 4" xfId="31212" xr:uid="{A34B8670-D275-4392-8B0E-1C3DF66A1AE6}"/>
    <cellStyle name="Input 4 5 13 2 5" xfId="31213" xr:uid="{B295FEFC-344F-46F2-8DC8-C7C6BAFBF21D}"/>
    <cellStyle name="Input 4 5 13 2 6" xfId="31214" xr:uid="{A1FC80DA-74A4-43D3-B340-38F69214F643}"/>
    <cellStyle name="Input 4 5 13 3" xfId="31215" xr:uid="{22C9A7B4-0902-4CF8-9BB2-CB0AFE237D04}"/>
    <cellStyle name="Input 4 5 13 4" xfId="31216" xr:uid="{3CDD06AA-EF84-44C1-8E52-7DDB0E74B2A2}"/>
    <cellStyle name="Input 4 5 13 5" xfId="31217" xr:uid="{3F53DE0E-709E-49A2-B72F-B4F0BCE65B44}"/>
    <cellStyle name="Input 4 5 13 6" xfId="31218" xr:uid="{0165C483-05B9-44A9-A484-399504C4D96A}"/>
    <cellStyle name="Input 4 5 13 7" xfId="31219" xr:uid="{E39A7B3E-E984-4C86-81B5-DEB244F05E2C}"/>
    <cellStyle name="Input 4 5 14" xfId="2006" xr:uid="{48AE6479-D50C-497F-9793-D085132B5630}"/>
    <cellStyle name="Input 4 5 14 2" xfId="11051" xr:uid="{A58E65CB-B5F7-48DE-979E-1555BAEA8675}"/>
    <cellStyle name="Input 4 5 14 2 2" xfId="31220" xr:uid="{E2402B5F-1947-4E15-AC91-A40742DCBFD5}"/>
    <cellStyle name="Input 4 5 14 2 3" xfId="31221" xr:uid="{D6FFCA41-F2B3-458B-8B38-A88B9DD8D6E6}"/>
    <cellStyle name="Input 4 5 14 2 4" xfId="31222" xr:uid="{F1661A88-6186-4D5C-BB7D-F833B5553D72}"/>
    <cellStyle name="Input 4 5 14 2 5" xfId="31223" xr:uid="{F7E5BBDB-A7C3-4773-BDC0-15300BCDB7DD}"/>
    <cellStyle name="Input 4 5 14 2 6" xfId="31224" xr:uid="{9D145AC6-DC3A-403E-B89B-86EB7F92E4D6}"/>
    <cellStyle name="Input 4 5 14 3" xfId="31225" xr:uid="{9D959512-1D19-473D-A4E0-B512289342B5}"/>
    <cellStyle name="Input 4 5 14 4" xfId="31226" xr:uid="{0463C5B6-6D1A-4A32-8CBE-C55FE12D79FB}"/>
    <cellStyle name="Input 4 5 14 5" xfId="31227" xr:uid="{B7280930-2535-4AB6-B118-A9BB50707E17}"/>
    <cellStyle name="Input 4 5 14 6" xfId="31228" xr:uid="{BAF3E86E-0E7B-416B-9608-5BCAAFDFF63A}"/>
    <cellStyle name="Input 4 5 14 7" xfId="31229" xr:uid="{C301CE16-F7C3-4CB1-8D9D-9752F96ECD71}"/>
    <cellStyle name="Input 4 5 15" xfId="2007" xr:uid="{5DCD39B6-6DEA-40A2-A2D4-A2BA864BD826}"/>
    <cellStyle name="Input 4 5 15 2" xfId="11134" xr:uid="{8E920CFE-BEC9-421F-B36B-183B91525973}"/>
    <cellStyle name="Input 4 5 15 2 2" xfId="31230" xr:uid="{2F57AD48-EE94-4C53-8249-69DD9A4A0D45}"/>
    <cellStyle name="Input 4 5 15 2 3" xfId="31231" xr:uid="{7CAE8CD1-FC25-4987-8F46-8B5E1D639A0D}"/>
    <cellStyle name="Input 4 5 15 2 4" xfId="31232" xr:uid="{60B3CFA6-2A86-49CD-8D3A-8B9416564E66}"/>
    <cellStyle name="Input 4 5 15 2 5" xfId="31233" xr:uid="{45A98AD9-BD34-4032-8522-6B5DC4E4D60B}"/>
    <cellStyle name="Input 4 5 15 2 6" xfId="31234" xr:uid="{7DB1359C-CB67-44DD-9C34-A5D6072EDAAD}"/>
    <cellStyle name="Input 4 5 15 3" xfId="31235" xr:uid="{BE419440-1A11-44D8-A624-B2CD3B4B3ECF}"/>
    <cellStyle name="Input 4 5 15 4" xfId="31236" xr:uid="{70CE889B-5301-4A6D-B03F-9E3750F4D183}"/>
    <cellStyle name="Input 4 5 15 5" xfId="31237" xr:uid="{8B6E5132-29FF-4A03-979F-297B383C1573}"/>
    <cellStyle name="Input 4 5 15 6" xfId="31238" xr:uid="{5917FB13-DEF9-4406-91F6-D6075F206D73}"/>
    <cellStyle name="Input 4 5 15 7" xfId="31239" xr:uid="{E2A18880-A0B2-4A93-9AB6-F52476F8061F}"/>
    <cellStyle name="Input 4 5 16" xfId="2008" xr:uid="{4FCE5009-6870-41BC-A136-4AD0BF607ABD}"/>
    <cellStyle name="Input 4 5 16 2" xfId="11223" xr:uid="{9DB3DD3A-AB10-42E7-BABC-6B8E8D6BB2BA}"/>
    <cellStyle name="Input 4 5 16 2 2" xfId="31240" xr:uid="{58E523B9-7D21-4CB9-B5AF-534758D90845}"/>
    <cellStyle name="Input 4 5 16 2 3" xfId="31241" xr:uid="{DD67B547-DBD2-4E8A-8A3E-389EB6578A18}"/>
    <cellStyle name="Input 4 5 16 2 4" xfId="31242" xr:uid="{63805527-BD61-41A5-AEA7-C8B55FAC84FF}"/>
    <cellStyle name="Input 4 5 16 2 5" xfId="31243" xr:uid="{D92867AE-0FEB-4EE6-91CA-0EB846BACBC0}"/>
    <cellStyle name="Input 4 5 16 2 6" xfId="31244" xr:uid="{DB63767B-4D91-4C64-B221-081407B01AE1}"/>
    <cellStyle name="Input 4 5 16 3" xfId="31245" xr:uid="{08C0434F-784F-4666-A7DE-8119FC04EAE3}"/>
    <cellStyle name="Input 4 5 16 4" xfId="31246" xr:uid="{975C82C8-DE89-4A21-BF13-0A7800ADB8F1}"/>
    <cellStyle name="Input 4 5 16 5" xfId="31247" xr:uid="{C1239C36-2A62-4909-B16E-C4D2144BADA3}"/>
    <cellStyle name="Input 4 5 16 6" xfId="31248" xr:uid="{C0E60771-E850-4E6D-8CB9-0E1706BB67FF}"/>
    <cellStyle name="Input 4 5 16 7" xfId="31249" xr:uid="{F2C24891-D2E3-4C2C-8556-7A7DFAF2DF8B}"/>
    <cellStyle name="Input 4 5 17" xfId="2009" xr:uid="{55FB92A0-93AF-487B-855B-D2786FAA52E5}"/>
    <cellStyle name="Input 4 5 17 2" xfId="11309" xr:uid="{90722F71-7376-441D-9404-5F3508BC5969}"/>
    <cellStyle name="Input 4 5 17 2 2" xfId="31250" xr:uid="{E6E495D7-29AF-4DBD-92DE-499F600F2C43}"/>
    <cellStyle name="Input 4 5 17 2 3" xfId="31251" xr:uid="{B7599B3A-835B-4AB5-AB3F-DEB4DD968BEB}"/>
    <cellStyle name="Input 4 5 17 2 4" xfId="31252" xr:uid="{AC1105E0-6140-4BEA-A53D-37C4D3A9BB34}"/>
    <cellStyle name="Input 4 5 17 2 5" xfId="31253" xr:uid="{493C5A3E-E6A0-4727-86CD-405A8F74C09B}"/>
    <cellStyle name="Input 4 5 17 2 6" xfId="31254" xr:uid="{72A19DFE-468C-4C81-B692-9C44E87C91DC}"/>
    <cellStyle name="Input 4 5 17 3" xfId="31255" xr:uid="{C2982FD1-86D9-4B76-9069-26E14F0F4D0B}"/>
    <cellStyle name="Input 4 5 17 4" xfId="31256" xr:uid="{3B09D044-5E94-47C8-BAD4-F9B7A3E59FD5}"/>
    <cellStyle name="Input 4 5 17 5" xfId="31257" xr:uid="{6E2D721A-1800-4258-A635-96A1FB45A285}"/>
    <cellStyle name="Input 4 5 17 6" xfId="31258" xr:uid="{EA9E3EBE-1B85-4EA8-ACAC-44EE03EEE7C4}"/>
    <cellStyle name="Input 4 5 17 7" xfId="31259" xr:uid="{5EE0EA48-1144-4151-B09A-A17099F084AB}"/>
    <cellStyle name="Input 4 5 18" xfId="2010" xr:uid="{344BF788-9679-4C82-B35C-CC2A3F5434AF}"/>
    <cellStyle name="Input 4 5 18 2" xfId="11396" xr:uid="{3EA28AE6-03E8-4148-9E2D-4E2071ED2A6C}"/>
    <cellStyle name="Input 4 5 18 2 2" xfId="31260" xr:uid="{942DC8C7-0A14-4A0F-94F5-E9294555C268}"/>
    <cellStyle name="Input 4 5 18 2 3" xfId="31261" xr:uid="{DC798E1E-D759-4A5E-82B7-988506CA17E5}"/>
    <cellStyle name="Input 4 5 18 2 4" xfId="31262" xr:uid="{54F46359-8C64-4AA2-95F3-8148FA257D43}"/>
    <cellStyle name="Input 4 5 18 2 5" xfId="31263" xr:uid="{E8C9B3E1-C2AE-49CC-954F-BC3B62603831}"/>
    <cellStyle name="Input 4 5 18 2 6" xfId="31264" xr:uid="{3C84B425-BF60-46EE-B80B-FFB4A28042FB}"/>
    <cellStyle name="Input 4 5 18 3" xfId="31265" xr:uid="{D8A4CDCE-47EC-4ED5-8C40-BE66D24895F7}"/>
    <cellStyle name="Input 4 5 18 4" xfId="31266" xr:uid="{0106688D-CB26-41DA-B0A7-867CB8B68242}"/>
    <cellStyle name="Input 4 5 18 5" xfId="31267" xr:uid="{0ED43D8A-AB11-48F9-B5A6-069DF31D7551}"/>
    <cellStyle name="Input 4 5 18 6" xfId="31268" xr:uid="{D07947CA-A37D-48D6-A6E6-4AC94B045934}"/>
    <cellStyle name="Input 4 5 18 7" xfId="31269" xr:uid="{240BDB15-10A9-475F-B089-691625D9397E}"/>
    <cellStyle name="Input 4 5 19" xfId="2011" xr:uid="{9E115E39-7C9D-4752-BCB6-F0140EEFD5D1}"/>
    <cellStyle name="Input 4 5 19 2" xfId="11483" xr:uid="{A2C1816A-1D61-446E-92A8-8DF7AB752375}"/>
    <cellStyle name="Input 4 5 19 2 2" xfId="31270" xr:uid="{6B5D0E11-1E15-4886-858C-0958C384F549}"/>
    <cellStyle name="Input 4 5 19 2 3" xfId="31271" xr:uid="{B781DABB-8458-49EA-93F0-B97AD4829452}"/>
    <cellStyle name="Input 4 5 19 2 4" xfId="31272" xr:uid="{EA5EEFA0-D33F-4CC6-8978-D5B40505716B}"/>
    <cellStyle name="Input 4 5 19 2 5" xfId="31273" xr:uid="{3F0D5B9B-99DC-43E3-9320-3E4219E88CD1}"/>
    <cellStyle name="Input 4 5 19 2 6" xfId="31274" xr:uid="{8723303E-E25D-4D61-9507-DA4BBD418C09}"/>
    <cellStyle name="Input 4 5 19 3" xfId="31275" xr:uid="{3B61DA2B-2BD2-4A00-B2AF-7C9854FBF348}"/>
    <cellStyle name="Input 4 5 19 4" xfId="31276" xr:uid="{049B00EF-0D09-40E7-8EEE-4533ECCB2E89}"/>
    <cellStyle name="Input 4 5 19 5" xfId="31277" xr:uid="{E81A5D45-F655-460A-B7CE-1C3B45141514}"/>
    <cellStyle name="Input 4 5 19 6" xfId="31278" xr:uid="{23DB359C-5AA1-4069-A75A-A25F70526608}"/>
    <cellStyle name="Input 4 5 19 7" xfId="31279" xr:uid="{7A0FB3A3-E35D-494A-BEF6-C3C28029C7C9}"/>
    <cellStyle name="Input 4 5 2" xfId="2012" xr:uid="{2FFB4259-C5C4-4195-B949-121DCB08D3CB}"/>
    <cellStyle name="Input 4 5 2 2" xfId="9989" xr:uid="{465B8627-AADA-415D-8DB9-C0B528ED7224}"/>
    <cellStyle name="Input 4 5 2 2 2" xfId="31280" xr:uid="{9969BF5D-B09B-4AAA-AB92-4377D475C1EA}"/>
    <cellStyle name="Input 4 5 2 2 3" xfId="31281" xr:uid="{30CA8367-31FD-4BF9-A50C-BAB0555EB076}"/>
    <cellStyle name="Input 4 5 2 2 4" xfId="31282" xr:uid="{6616AA17-84B7-4E49-A5E9-989FD99FB41A}"/>
    <cellStyle name="Input 4 5 2 2 5" xfId="31283" xr:uid="{C148A52C-06EB-441B-AD43-6AAA2DD3ECE1}"/>
    <cellStyle name="Input 4 5 2 2 6" xfId="31284" xr:uid="{E7890F1C-A89F-480D-96A6-EA0078D6F186}"/>
    <cellStyle name="Input 4 5 2 3" xfId="31285" xr:uid="{68BB7354-50D6-4A31-868F-38EFF1F92918}"/>
    <cellStyle name="Input 4 5 2 4" xfId="31286" xr:uid="{1AFE0BDF-5F2C-473A-A245-6A5E7F1A337D}"/>
    <cellStyle name="Input 4 5 2 5" xfId="31287" xr:uid="{680A7A86-1D1C-4751-A30E-A5FD2588F774}"/>
    <cellStyle name="Input 4 5 2 6" xfId="31288" xr:uid="{2D58AFE1-BC39-4919-A469-75A15FAC996F}"/>
    <cellStyle name="Input 4 5 2 7" xfId="31289" xr:uid="{391D81CB-6C5B-40D4-9D10-2EB98BF45821}"/>
    <cellStyle name="Input 4 5 20" xfId="2013" xr:uid="{1539EC8E-E436-44DF-8F04-92D660A7A901}"/>
    <cellStyle name="Input 4 5 20 2" xfId="11571" xr:uid="{8085CB92-FEBD-4BE0-9F4D-CF9AE1D31F18}"/>
    <cellStyle name="Input 4 5 20 2 2" xfId="31290" xr:uid="{0ECFA839-0788-497A-BB8B-9CE7A6D0B541}"/>
    <cellStyle name="Input 4 5 20 2 3" xfId="31291" xr:uid="{A2AD1328-CB25-43E2-BC98-3CC1793FA1F9}"/>
    <cellStyle name="Input 4 5 20 2 4" xfId="31292" xr:uid="{39F3796A-6A7D-4AC2-BE80-9B0762A7AA9B}"/>
    <cellStyle name="Input 4 5 20 2 5" xfId="31293" xr:uid="{FE30F0BB-3253-4EE0-B0A8-D8E74134C096}"/>
    <cellStyle name="Input 4 5 20 2 6" xfId="31294" xr:uid="{18863381-0FBA-4755-8CC4-56D88A964A6F}"/>
    <cellStyle name="Input 4 5 20 3" xfId="31295" xr:uid="{4ED7902B-BED0-406D-8E52-8192289F1A8B}"/>
    <cellStyle name="Input 4 5 20 4" xfId="31296" xr:uid="{51EB90FF-1360-43CF-89DA-3CF92DF8C6A7}"/>
    <cellStyle name="Input 4 5 20 5" xfId="31297" xr:uid="{BBEC5B09-D678-4A00-811B-F37D38060813}"/>
    <cellStyle name="Input 4 5 20 6" xfId="31298" xr:uid="{6418728F-AFCD-4828-B1DE-59B9915FEF90}"/>
    <cellStyle name="Input 4 5 20 7" xfId="31299" xr:uid="{0F3C2DEB-BB46-4FBC-9BC2-D50B4124F40D}"/>
    <cellStyle name="Input 4 5 21" xfId="2014" xr:uid="{38A619A0-46C8-4A3D-9EE1-641A64C37DE5}"/>
    <cellStyle name="Input 4 5 21 2" xfId="11657" xr:uid="{37C3D974-DE4A-4EF6-B7D9-5F21DAC8E6F5}"/>
    <cellStyle name="Input 4 5 21 2 2" xfId="31300" xr:uid="{AF837448-E921-45D1-A0AD-D2A40CBCB86A}"/>
    <cellStyle name="Input 4 5 21 2 3" xfId="31301" xr:uid="{07EAC245-0FF3-451F-B963-5A4375FC7BC9}"/>
    <cellStyle name="Input 4 5 21 2 4" xfId="31302" xr:uid="{EC6AD5B1-5EC1-4964-85D2-CB4436A2F817}"/>
    <cellStyle name="Input 4 5 21 2 5" xfId="31303" xr:uid="{D82A57A7-E6D3-4F68-AC1F-E58CB84F126A}"/>
    <cellStyle name="Input 4 5 21 2 6" xfId="31304" xr:uid="{A33B6392-1D89-479A-AC60-D602CB7A0F8F}"/>
    <cellStyle name="Input 4 5 21 3" xfId="31305" xr:uid="{6029E4E3-6A54-4CDE-B9E3-61F39138E7A0}"/>
    <cellStyle name="Input 4 5 21 4" xfId="31306" xr:uid="{17B36299-68E1-4B87-8ABC-E67478A1F98A}"/>
    <cellStyle name="Input 4 5 21 5" xfId="31307" xr:uid="{BF085BCC-BE77-4DD1-97FF-E394E5198BD0}"/>
    <cellStyle name="Input 4 5 21 6" xfId="31308" xr:uid="{D6F3A40B-107B-411B-AAB8-C7F3DFFF3A6D}"/>
    <cellStyle name="Input 4 5 21 7" xfId="31309" xr:uid="{2E152956-0B37-47E7-845A-3C79F9466848}"/>
    <cellStyle name="Input 4 5 22" xfId="2015" xr:uid="{985E6354-5A51-4A96-9609-60704600C22B}"/>
    <cellStyle name="Input 4 5 22 2" xfId="11740" xr:uid="{38A3448A-9A75-4DB5-B5C7-029596535EFB}"/>
    <cellStyle name="Input 4 5 22 2 2" xfId="31310" xr:uid="{BEE5E8AF-385E-4556-A838-E6E5AAF91D46}"/>
    <cellStyle name="Input 4 5 22 2 3" xfId="31311" xr:uid="{A1A705A6-D8AD-4853-8651-59BB3457F90C}"/>
    <cellStyle name="Input 4 5 22 2 4" xfId="31312" xr:uid="{D3A7F8F6-35E4-4235-BD86-EA1122CA42FE}"/>
    <cellStyle name="Input 4 5 22 2 5" xfId="31313" xr:uid="{D8A88063-1E82-4413-88F3-818CBCE52A52}"/>
    <cellStyle name="Input 4 5 22 2 6" xfId="31314" xr:uid="{89126406-6D15-48F2-9439-54ED466DAFE9}"/>
    <cellStyle name="Input 4 5 22 3" xfId="31315" xr:uid="{57896452-2AF2-4E18-BCC9-FF50B704F566}"/>
    <cellStyle name="Input 4 5 22 4" xfId="31316" xr:uid="{67F5D428-D5B6-4DE8-A765-71E9EA0EEF4B}"/>
    <cellStyle name="Input 4 5 22 5" xfId="31317" xr:uid="{53E09063-2D8A-4BA4-A2D4-029A323E37EC}"/>
    <cellStyle name="Input 4 5 22 6" xfId="31318" xr:uid="{2B50AA77-5A0D-4727-B6A6-F38C0D820E56}"/>
    <cellStyle name="Input 4 5 22 7" xfId="31319" xr:uid="{315CC78F-CFC4-488F-84F0-151F4732C0C8}"/>
    <cellStyle name="Input 4 5 23" xfId="2016" xr:uid="{0FFA7894-C9A8-47CD-8417-DA35E96167B2}"/>
    <cellStyle name="Input 4 5 23 2" xfId="11822" xr:uid="{D8BD8AC6-A23F-4E1C-A995-424FFA0549B0}"/>
    <cellStyle name="Input 4 5 23 2 2" xfId="31320" xr:uid="{AA604802-320C-41D7-8617-6C5AE6DC917A}"/>
    <cellStyle name="Input 4 5 23 2 3" xfId="31321" xr:uid="{DAFDEC53-3207-4DE4-98C0-137365D4D20E}"/>
    <cellStyle name="Input 4 5 23 2 4" xfId="31322" xr:uid="{06BEBC04-D644-4370-80DC-5E712014A874}"/>
    <cellStyle name="Input 4 5 23 2 5" xfId="31323" xr:uid="{53001FF1-818B-4A4D-83C3-BB74FC277373}"/>
    <cellStyle name="Input 4 5 23 2 6" xfId="31324" xr:uid="{A7453CA0-647B-42C9-A1B3-5B3CB4B83A98}"/>
    <cellStyle name="Input 4 5 23 3" xfId="31325" xr:uid="{F5A6A655-98D1-41AB-83DB-3280962AC9D2}"/>
    <cellStyle name="Input 4 5 23 4" xfId="31326" xr:uid="{31742778-2701-44E0-A5F4-6BDB3E49751F}"/>
    <cellStyle name="Input 4 5 23 5" xfId="31327" xr:uid="{A9F78EDF-7211-44F7-A1E9-D9CB28F66FFA}"/>
    <cellStyle name="Input 4 5 23 6" xfId="31328" xr:uid="{0C2079E4-7069-4E3C-93F1-417B59D357EF}"/>
    <cellStyle name="Input 4 5 23 7" xfId="31329" xr:uid="{E3431393-CF86-4CAB-9FF5-C45B20765FDA}"/>
    <cellStyle name="Input 4 5 24" xfId="2017" xr:uid="{951B97D6-9D44-47E6-B523-31A602155F7F}"/>
    <cellStyle name="Input 4 5 24 2" xfId="11906" xr:uid="{5DC8A932-0BD8-48D7-B584-781920D47F47}"/>
    <cellStyle name="Input 4 5 24 2 2" xfId="31330" xr:uid="{A4D1FA69-2083-4DD5-9718-AEB79B385874}"/>
    <cellStyle name="Input 4 5 24 2 3" xfId="31331" xr:uid="{B8482143-2841-495C-8884-69FA94655774}"/>
    <cellStyle name="Input 4 5 24 2 4" xfId="31332" xr:uid="{58666F21-EE5E-4765-8A40-5E7677C8E2A8}"/>
    <cellStyle name="Input 4 5 24 2 5" xfId="31333" xr:uid="{48592177-5FDD-41E0-B7EF-8C23E5298676}"/>
    <cellStyle name="Input 4 5 24 2 6" xfId="31334" xr:uid="{3FC1BB3D-AF59-4161-9DA5-5F058EA533A7}"/>
    <cellStyle name="Input 4 5 24 3" xfId="31335" xr:uid="{EF2E3450-5D25-44F3-B92A-81AED3C2E52D}"/>
    <cellStyle name="Input 4 5 24 4" xfId="31336" xr:uid="{47AC455F-F557-464E-A0E2-C99D2449DCE7}"/>
    <cellStyle name="Input 4 5 24 5" xfId="31337" xr:uid="{3DC77B4D-F533-435E-A742-42510725F5B2}"/>
    <cellStyle name="Input 4 5 24 6" xfId="31338" xr:uid="{D64A15F0-F11E-4795-929A-8A319B79035D}"/>
    <cellStyle name="Input 4 5 24 7" xfId="31339" xr:uid="{D360B70C-6F57-47AD-BA79-3E985CC6313D}"/>
    <cellStyle name="Input 4 5 25" xfId="2018" xr:uid="{1708F6BE-0730-46B4-87D9-A1FAA4A778C7}"/>
    <cellStyle name="Input 4 5 25 2" xfId="11990" xr:uid="{5527A49E-6861-4943-93A4-C8ACB4AF6F2F}"/>
    <cellStyle name="Input 4 5 25 2 2" xfId="31340" xr:uid="{0E68BB09-09EC-4B49-9B86-514C8CF4D3A7}"/>
    <cellStyle name="Input 4 5 25 2 3" xfId="31341" xr:uid="{8B56B226-237C-4968-8A41-9B5C5E737E14}"/>
    <cellStyle name="Input 4 5 25 2 4" xfId="31342" xr:uid="{BA5516FA-D125-4DCB-AA0F-E7C018EAAFEE}"/>
    <cellStyle name="Input 4 5 25 2 5" xfId="31343" xr:uid="{0263C307-A69F-4807-B59E-FFD07CB8BEE3}"/>
    <cellStyle name="Input 4 5 25 2 6" xfId="31344" xr:uid="{5C737602-C6FB-4FEC-84E1-66839AC2DBA0}"/>
    <cellStyle name="Input 4 5 25 3" xfId="31345" xr:uid="{CD87F861-49D6-4E8B-8D5B-612B179DF1DD}"/>
    <cellStyle name="Input 4 5 25 4" xfId="31346" xr:uid="{6459ECFD-2B71-4371-B90A-EEDC1A8040B2}"/>
    <cellStyle name="Input 4 5 25 5" xfId="31347" xr:uid="{DE9EAA6F-A61E-4BEB-A3B7-A8E9B266C0C2}"/>
    <cellStyle name="Input 4 5 25 6" xfId="31348" xr:uid="{1F77C832-D35C-4D46-914D-3A65FD096E3E}"/>
    <cellStyle name="Input 4 5 25 7" xfId="31349" xr:uid="{7029960C-7BC6-4072-97D7-C1CC7A349576}"/>
    <cellStyle name="Input 4 5 26" xfId="2019" xr:uid="{CD16386F-0A72-4C02-A43A-3EA98F2491A2}"/>
    <cellStyle name="Input 4 5 26 2" xfId="12073" xr:uid="{5179AF73-6087-4C72-B1AB-3F30F16BB2CC}"/>
    <cellStyle name="Input 4 5 26 2 2" xfId="31350" xr:uid="{99B734DB-5C06-4BC8-BEAF-5772CF049064}"/>
    <cellStyle name="Input 4 5 26 2 3" xfId="31351" xr:uid="{75293ADD-E108-4591-8098-6454E804E717}"/>
    <cellStyle name="Input 4 5 26 2 4" xfId="31352" xr:uid="{0F7F4B70-2957-4B66-94C5-4A816D56DF16}"/>
    <cellStyle name="Input 4 5 26 2 5" xfId="31353" xr:uid="{C265A922-BD23-4ED5-A7BF-2CBD0DF73C95}"/>
    <cellStyle name="Input 4 5 26 2 6" xfId="31354" xr:uid="{59215DE3-1127-4C20-9285-4A53A8B1347B}"/>
    <cellStyle name="Input 4 5 26 3" xfId="31355" xr:uid="{B7AB6404-744E-45AF-8A76-FBAC32A8EDFF}"/>
    <cellStyle name="Input 4 5 26 4" xfId="31356" xr:uid="{03C297CA-EA62-4BBD-B691-7DCEE8C3777B}"/>
    <cellStyle name="Input 4 5 26 5" xfId="31357" xr:uid="{C9B2A3F3-ED8C-4444-92AD-1DAF6C702F44}"/>
    <cellStyle name="Input 4 5 26 6" xfId="31358" xr:uid="{AF12DAFF-30F4-42BD-8622-1F148CD19163}"/>
    <cellStyle name="Input 4 5 26 7" xfId="31359" xr:uid="{741FD465-62F8-49AB-9B4D-FA1090334917}"/>
    <cellStyle name="Input 4 5 27" xfId="2020" xr:uid="{B7B87325-B146-4589-92D8-42146405540C}"/>
    <cellStyle name="Input 4 5 27 2" xfId="12156" xr:uid="{964DD44F-D4BF-454B-BC60-76F099C22ED4}"/>
    <cellStyle name="Input 4 5 27 2 2" xfId="31360" xr:uid="{0073A411-3531-41B4-BBF8-54782E0CA7D5}"/>
    <cellStyle name="Input 4 5 27 2 3" xfId="31361" xr:uid="{F9250DF7-2A2C-4778-AC86-408A6ED8208B}"/>
    <cellStyle name="Input 4 5 27 2 4" xfId="31362" xr:uid="{F14DE92B-111B-4468-9E72-2111B1E04EB5}"/>
    <cellStyle name="Input 4 5 27 2 5" xfId="31363" xr:uid="{162D707A-9BCB-4F5F-9454-4831EF415FAB}"/>
    <cellStyle name="Input 4 5 27 2 6" xfId="31364" xr:uid="{B7DEB90A-BEF5-4080-BB33-0D8D8D3661B2}"/>
    <cellStyle name="Input 4 5 27 3" xfId="31365" xr:uid="{DC2BF7C3-D431-4661-8E09-C56EEBB63D68}"/>
    <cellStyle name="Input 4 5 27 4" xfId="31366" xr:uid="{C862B895-DAAB-4176-BE19-6B48B9F6E0B9}"/>
    <cellStyle name="Input 4 5 27 5" xfId="31367" xr:uid="{0AD76B6F-BEAD-4A81-9A30-74DEB2F47789}"/>
    <cellStyle name="Input 4 5 27 6" xfId="31368" xr:uid="{E9A34B3B-16FD-4750-850D-93AB1D53DD19}"/>
    <cellStyle name="Input 4 5 27 7" xfId="31369" xr:uid="{09D532D2-CA8A-40D4-A704-AC94CB7202F6}"/>
    <cellStyle name="Input 4 5 28" xfId="2021" xr:uid="{8E45F37C-F92B-4C1D-97E9-47577F932860}"/>
    <cellStyle name="Input 4 5 28 2" xfId="12235" xr:uid="{ACBF1140-D5CA-4F46-8F94-180F591079C4}"/>
    <cellStyle name="Input 4 5 28 2 2" xfId="31370" xr:uid="{CFD83A10-D430-4C3D-B292-68995454AF90}"/>
    <cellStyle name="Input 4 5 28 2 3" xfId="31371" xr:uid="{6E9236A0-E718-48AE-AB16-408234555A69}"/>
    <cellStyle name="Input 4 5 28 2 4" xfId="31372" xr:uid="{C0F999BC-5239-4928-92DD-85017B6B60AB}"/>
    <cellStyle name="Input 4 5 28 2 5" xfId="31373" xr:uid="{AC114D08-4C9E-4C91-B125-ED59D8F632E1}"/>
    <cellStyle name="Input 4 5 28 2 6" xfId="31374" xr:uid="{B80F4FBE-11CF-46F1-8C93-0C89A207928E}"/>
    <cellStyle name="Input 4 5 28 3" xfId="31375" xr:uid="{D40B0EAA-9107-4691-A946-A9EFAFAD2A8C}"/>
    <cellStyle name="Input 4 5 28 4" xfId="31376" xr:uid="{6130EC13-C339-4538-A5C4-EDA120E87B0F}"/>
    <cellStyle name="Input 4 5 28 5" xfId="31377" xr:uid="{896320A7-E60A-4B4F-AE92-69E8E7A657F6}"/>
    <cellStyle name="Input 4 5 28 6" xfId="31378" xr:uid="{D54F7666-B610-4F40-B1BC-FD750CAE95F5}"/>
    <cellStyle name="Input 4 5 28 7" xfId="31379" xr:uid="{B0F3686D-5A4B-4A3F-A090-E5FE7321B4CF}"/>
    <cellStyle name="Input 4 5 29" xfId="2022" xr:uid="{9DFE2E04-DD41-48B3-8DE2-4A2C6A448B1A}"/>
    <cellStyle name="Input 4 5 29 2" xfId="12314" xr:uid="{48D9D0D6-1158-4E46-AD11-91B8CDFDD21C}"/>
    <cellStyle name="Input 4 5 29 2 2" xfId="31380" xr:uid="{42943CB2-B4FB-4D3F-AEE8-4690D506CE5E}"/>
    <cellStyle name="Input 4 5 29 2 3" xfId="31381" xr:uid="{1619A15F-1851-4DE6-A32B-EE9F4DF224B0}"/>
    <cellStyle name="Input 4 5 29 2 4" xfId="31382" xr:uid="{8D0EB56B-98A0-4751-B66A-5EBF46EC70E3}"/>
    <cellStyle name="Input 4 5 29 2 5" xfId="31383" xr:uid="{C37915A5-03E6-45F2-95DF-17934904F147}"/>
    <cellStyle name="Input 4 5 29 2 6" xfId="31384" xr:uid="{BE1F4C82-BCF0-461F-B703-B44B59A57814}"/>
    <cellStyle name="Input 4 5 29 3" xfId="31385" xr:uid="{5DCC2CE6-679E-4E22-96B6-68B83A897319}"/>
    <cellStyle name="Input 4 5 29 4" xfId="31386" xr:uid="{BF23E3B7-1C96-42F2-9BEA-3AD62DC78DAB}"/>
    <cellStyle name="Input 4 5 29 5" xfId="31387" xr:uid="{4E96FB4A-4828-4B4D-BAB6-DD076691A917}"/>
    <cellStyle name="Input 4 5 29 6" xfId="31388" xr:uid="{8253480C-4F5E-4C01-8DA3-862D3C55D959}"/>
    <cellStyle name="Input 4 5 29 7" xfId="31389" xr:uid="{0F588064-1472-44F7-8104-54FBEC8141F3}"/>
    <cellStyle name="Input 4 5 3" xfId="2023" xr:uid="{B90FA1F6-597A-48E8-91C2-9A9ACE5EAB6F}"/>
    <cellStyle name="Input 4 5 3 2" xfId="10080" xr:uid="{66F557AF-7A90-47A2-B7AB-12B1416D22D4}"/>
    <cellStyle name="Input 4 5 3 2 2" xfId="31390" xr:uid="{8D17F8C3-552E-4A59-949D-572DD3C2BBAA}"/>
    <cellStyle name="Input 4 5 3 2 3" xfId="31391" xr:uid="{9FFA2DAD-FC45-40C2-81F6-4D5E8F9A0C6E}"/>
    <cellStyle name="Input 4 5 3 2 4" xfId="31392" xr:uid="{5F034CB3-01AA-470A-B375-22AE1DE8DE00}"/>
    <cellStyle name="Input 4 5 3 2 5" xfId="31393" xr:uid="{1812AEC0-C02B-4F3D-9C31-932D5718A2CB}"/>
    <cellStyle name="Input 4 5 3 2 6" xfId="31394" xr:uid="{12E78A44-E671-4028-8FDA-4C29483D4287}"/>
    <cellStyle name="Input 4 5 3 3" xfId="31395" xr:uid="{62AEE158-C8FE-427C-9820-EB815A4CF2E7}"/>
    <cellStyle name="Input 4 5 3 4" xfId="31396" xr:uid="{2BF350BD-9B5C-404F-9E17-097A2084E5F9}"/>
    <cellStyle name="Input 4 5 3 5" xfId="31397" xr:uid="{D4F62B3C-72BC-45FF-8EE9-14DB7BC47199}"/>
    <cellStyle name="Input 4 5 3 6" xfId="31398" xr:uid="{55FF4F59-2431-4C15-9135-3A033560BE4D}"/>
    <cellStyle name="Input 4 5 3 7" xfId="31399" xr:uid="{3F513AAE-AF84-4211-BC3B-EC5BFC7BE93F}"/>
    <cellStyle name="Input 4 5 30" xfId="2024" xr:uid="{7E7F9BAE-E694-43DC-B693-8A8E85E4A07A}"/>
    <cellStyle name="Input 4 5 30 2" xfId="12393" xr:uid="{8EBE08E1-BF4E-4668-BDBB-EFB3E6069726}"/>
    <cellStyle name="Input 4 5 30 2 2" xfId="31400" xr:uid="{5FBD48CF-FCFE-4622-BFC7-756A71A38549}"/>
    <cellStyle name="Input 4 5 30 2 3" xfId="31401" xr:uid="{29390E02-FE22-4BE2-BD0B-89F9C69D243F}"/>
    <cellStyle name="Input 4 5 30 2 4" xfId="31402" xr:uid="{39CCF224-CD6B-4F47-B7C1-503652A49935}"/>
    <cellStyle name="Input 4 5 30 2 5" xfId="31403" xr:uid="{6955FB5C-4267-4CD7-ABF6-B0C0EFEF3C52}"/>
    <cellStyle name="Input 4 5 30 2 6" xfId="31404" xr:uid="{EF45705F-8D7E-4569-86D6-0DD8FC6B1BC6}"/>
    <cellStyle name="Input 4 5 30 3" xfId="31405" xr:uid="{FC65EADF-486B-4A5B-8683-9E5DCD1EBB9B}"/>
    <cellStyle name="Input 4 5 30 4" xfId="31406" xr:uid="{285D37AB-D081-40C1-B48E-467D41C63DCA}"/>
    <cellStyle name="Input 4 5 30 5" xfId="31407" xr:uid="{058F0C14-4808-4753-9D67-4A7AA943932A}"/>
    <cellStyle name="Input 4 5 30 6" xfId="31408" xr:uid="{41D1AC05-89D1-4FB1-B9AD-7627F3F27FAE}"/>
    <cellStyle name="Input 4 5 30 7" xfId="31409" xr:uid="{A5A54D68-19B3-4AA2-B9F7-79AE46C01C34}"/>
    <cellStyle name="Input 4 5 31" xfId="2025" xr:uid="{02CF5969-063E-46EA-A1B7-F1CBDF817ED3}"/>
    <cellStyle name="Input 4 5 31 2" xfId="12472" xr:uid="{6A3AEEA7-BC80-48BF-9077-84AD3A2EAC75}"/>
    <cellStyle name="Input 4 5 31 2 2" xfId="31410" xr:uid="{0F3714DC-64B1-4DEC-B231-B03372F871A7}"/>
    <cellStyle name="Input 4 5 31 2 3" xfId="31411" xr:uid="{01F9CED3-D539-499A-A4B6-83788A9A9194}"/>
    <cellStyle name="Input 4 5 31 2 4" xfId="31412" xr:uid="{A9C6C382-28DB-4D68-9AF4-19FD549F1F7A}"/>
    <cellStyle name="Input 4 5 31 2 5" xfId="31413" xr:uid="{A72DB0E8-19F1-4328-BFEE-E580D0353FFC}"/>
    <cellStyle name="Input 4 5 31 2 6" xfId="31414" xr:uid="{B9202F59-7DB8-4E96-A61E-E5778812F4E8}"/>
    <cellStyle name="Input 4 5 31 3" xfId="31415" xr:uid="{D26D1420-551E-4026-8AA9-42EE922FD9DA}"/>
    <cellStyle name="Input 4 5 31 4" xfId="31416" xr:uid="{55DE9F13-5C43-45B7-8CD7-7DC483E813C8}"/>
    <cellStyle name="Input 4 5 31 5" xfId="31417" xr:uid="{7FA621D6-0E3B-4A80-B0B2-FFD2C4435AED}"/>
    <cellStyle name="Input 4 5 31 6" xfId="31418" xr:uid="{46EBB844-F046-4DEC-9C34-179DB315B289}"/>
    <cellStyle name="Input 4 5 31 7" xfId="31419" xr:uid="{CDDF61B1-742A-4C0F-BB8C-E0C29C7254D4}"/>
    <cellStyle name="Input 4 5 32" xfId="2026" xr:uid="{24BFDE3D-2E75-4ADE-9BEE-0B53749156D3}"/>
    <cellStyle name="Input 4 5 32 2" xfId="12551" xr:uid="{FA434632-F8AF-4331-84B6-4574511FFC15}"/>
    <cellStyle name="Input 4 5 32 2 2" xfId="31420" xr:uid="{A029A31B-80AD-4B2A-BA3A-419E338DDBFE}"/>
    <cellStyle name="Input 4 5 32 2 3" xfId="31421" xr:uid="{382A912B-EC13-464A-886A-E260B8F703C1}"/>
    <cellStyle name="Input 4 5 32 2 4" xfId="31422" xr:uid="{58CB307F-B39C-4EB6-82F6-4496CB487EF4}"/>
    <cellStyle name="Input 4 5 32 2 5" xfId="31423" xr:uid="{EBF65798-A472-4AA1-BDC0-F62AF731C945}"/>
    <cellStyle name="Input 4 5 32 2 6" xfId="31424" xr:uid="{F585FE40-0E8C-4AB8-A661-D9F43C2A90BD}"/>
    <cellStyle name="Input 4 5 32 3" xfId="31425" xr:uid="{A1575CF0-FDBE-47F7-87C5-7C0CBDE93E1E}"/>
    <cellStyle name="Input 4 5 32 4" xfId="31426" xr:uid="{DF74C416-B3D2-4CC4-816F-0EE1729C4261}"/>
    <cellStyle name="Input 4 5 32 5" xfId="31427" xr:uid="{A5775271-9FB6-4E80-9E76-E9C7C4E3976F}"/>
    <cellStyle name="Input 4 5 32 6" xfId="31428" xr:uid="{97EF9E9D-0235-4407-A1E3-3FBB24B8F7D6}"/>
    <cellStyle name="Input 4 5 32 7" xfId="31429" xr:uid="{41B41AF8-D598-4BA3-8C7F-2BEB44562DA1}"/>
    <cellStyle name="Input 4 5 33" xfId="2027" xr:uid="{9E2CF092-C350-4728-BCC1-1ABFF5AC629E}"/>
    <cellStyle name="Input 4 5 33 2" xfId="12630" xr:uid="{4A5113E1-947B-43A0-8E1B-4D9E8EE6CC7A}"/>
    <cellStyle name="Input 4 5 33 2 2" xfId="31430" xr:uid="{6390DB1B-DFF1-45D9-A885-508D9162AD35}"/>
    <cellStyle name="Input 4 5 33 2 3" xfId="31431" xr:uid="{151C1BCE-77FE-4E5E-BADE-AE5C05D21B3F}"/>
    <cellStyle name="Input 4 5 33 2 4" xfId="31432" xr:uid="{49363B83-C256-4565-95A1-3CBBAB81A585}"/>
    <cellStyle name="Input 4 5 33 2 5" xfId="31433" xr:uid="{FE2490A0-50B8-4E3F-8DD6-801AAF36017F}"/>
    <cellStyle name="Input 4 5 33 2 6" xfId="31434" xr:uid="{E448690C-1A74-4C2A-8D2B-E9E1B493FF34}"/>
    <cellStyle name="Input 4 5 33 3" xfId="31435" xr:uid="{39099AA8-8E29-48CA-B894-9BDAE1955C81}"/>
    <cellStyle name="Input 4 5 33 4" xfId="31436" xr:uid="{3E411FE5-510A-461F-BDE7-BE91191AC29B}"/>
    <cellStyle name="Input 4 5 33 5" xfId="31437" xr:uid="{4D52245F-3A5D-4F42-953F-C925B1B78FEF}"/>
    <cellStyle name="Input 4 5 33 6" xfId="31438" xr:uid="{A8B5C8B0-E1D6-4464-B68F-A3B9995CA0B9}"/>
    <cellStyle name="Input 4 5 33 7" xfId="31439" xr:uid="{0F9FDBE1-09F4-41AF-84F9-F52E75B66B81}"/>
    <cellStyle name="Input 4 5 34" xfId="2028" xr:uid="{F0706C53-F04E-445B-A556-C5207DD1A670}"/>
    <cellStyle name="Input 4 5 34 2" xfId="12714" xr:uid="{9688357E-ED7E-419D-ACE3-C2ED82824BB3}"/>
    <cellStyle name="Input 4 5 34 2 2" xfId="31440" xr:uid="{309ED2A9-45F3-4FA8-8728-0FD81B72CE13}"/>
    <cellStyle name="Input 4 5 34 2 3" xfId="31441" xr:uid="{A0EFD55A-CEE1-4C40-AF64-26056A86EB2F}"/>
    <cellStyle name="Input 4 5 34 2 4" xfId="31442" xr:uid="{7F37BA84-8A3C-4CBB-B624-9A290A1201DA}"/>
    <cellStyle name="Input 4 5 34 2 5" xfId="31443" xr:uid="{F4927630-428F-4E3B-910B-4E8A695A0598}"/>
    <cellStyle name="Input 4 5 34 2 6" xfId="31444" xr:uid="{BFFD94D3-18B1-44A3-801F-C6055DEEA8BE}"/>
    <cellStyle name="Input 4 5 34 3" xfId="31445" xr:uid="{945EC8CF-1065-4042-AC68-1B6B54B2A91D}"/>
    <cellStyle name="Input 4 5 34 4" xfId="31446" xr:uid="{1F5255AC-8120-4F3E-AB1A-0FEE0E0752D9}"/>
    <cellStyle name="Input 4 5 34 5" xfId="31447" xr:uid="{0432A999-46F2-4420-9C06-B25C092370C5}"/>
    <cellStyle name="Input 4 5 34 6" xfId="31448" xr:uid="{46F2BC7C-288C-4A53-89BA-281F074BEA2A}"/>
    <cellStyle name="Input 4 5 35" xfId="9778" xr:uid="{58A0BECB-BAE9-4506-8944-D28A0AB9CEA0}"/>
    <cellStyle name="Input 4 5 35 2" xfId="31449" xr:uid="{CFAF9A81-35DC-4827-AD9B-847D98B43E68}"/>
    <cellStyle name="Input 4 5 35 3" xfId="31450" xr:uid="{8AF31125-C26F-4DF4-87CF-07A7AE10BF31}"/>
    <cellStyle name="Input 4 5 35 4" xfId="31451" xr:uid="{AC48AFA3-619F-46EB-9A48-2EB3C4AB57CE}"/>
    <cellStyle name="Input 4 5 35 5" xfId="31452" xr:uid="{16B8C98E-6A16-4577-A2AB-8312DC00019D}"/>
    <cellStyle name="Input 4 5 35 6" xfId="31453" xr:uid="{80E3F484-7BDF-4C58-B937-FA1B77932870}"/>
    <cellStyle name="Input 4 5 36" xfId="31454" xr:uid="{39B1249F-57DC-4327-AD51-479E1CB89895}"/>
    <cellStyle name="Input 4 5 37" xfId="31455" xr:uid="{1974023C-C6B5-49A0-A48B-8041183B6622}"/>
    <cellStyle name="Input 4 5 38" xfId="31456" xr:uid="{48106908-6451-443E-B273-94B760EF4988}"/>
    <cellStyle name="Input 4 5 39" xfId="31457" xr:uid="{9AC3ACF8-EA4C-4F26-8B29-6E005E72D2E7}"/>
    <cellStyle name="Input 4 5 4" xfId="2029" xr:uid="{29219CFA-C2AF-4FA6-8503-A229F76BC01E}"/>
    <cellStyle name="Input 4 5 4 2" xfId="10171" xr:uid="{4BEB4E3D-8040-4AAE-9FD2-6CF351586035}"/>
    <cellStyle name="Input 4 5 4 2 2" xfId="31458" xr:uid="{F54EAB23-BE6D-4A2A-A102-D789C4D5221F}"/>
    <cellStyle name="Input 4 5 4 2 3" xfId="31459" xr:uid="{AFBEC9BD-B4DD-4CCB-8001-73CB88DAE060}"/>
    <cellStyle name="Input 4 5 4 2 4" xfId="31460" xr:uid="{F4D00E0C-E866-4926-9018-F10BACDA0D8C}"/>
    <cellStyle name="Input 4 5 4 2 5" xfId="31461" xr:uid="{B537BC64-C75E-4106-B637-C0AE9D139CC0}"/>
    <cellStyle name="Input 4 5 4 2 6" xfId="31462" xr:uid="{3FBBAAE2-3333-486F-B497-D97311C02898}"/>
    <cellStyle name="Input 4 5 4 3" xfId="31463" xr:uid="{6F4FBD8F-85DF-407C-8D05-FBEAE5898CB4}"/>
    <cellStyle name="Input 4 5 4 4" xfId="31464" xr:uid="{4E2BBE8A-84D9-4BDE-9ADD-1A834F4A57FE}"/>
    <cellStyle name="Input 4 5 4 5" xfId="31465" xr:uid="{C2277CE6-B2C7-4533-885D-ECEBEADC81C2}"/>
    <cellStyle name="Input 4 5 4 6" xfId="31466" xr:uid="{8E18912B-3D06-4382-B60E-99C2AD852411}"/>
    <cellStyle name="Input 4 5 4 7" xfId="31467" xr:uid="{2337D895-85A4-405F-89E0-14E387731801}"/>
    <cellStyle name="Input 4 5 5" xfId="2030" xr:uid="{9F13B8B3-F300-4142-97BD-D77A6364A7E4}"/>
    <cellStyle name="Input 4 5 5 2" xfId="10259" xr:uid="{2AC6F007-065F-45C8-803A-714DDE8EA7B2}"/>
    <cellStyle name="Input 4 5 5 2 2" xfId="31468" xr:uid="{35B7BF62-5880-4DA6-B917-276B5D21A73E}"/>
    <cellStyle name="Input 4 5 5 2 3" xfId="31469" xr:uid="{992D0467-2F0C-4F45-BC46-6530481E37CE}"/>
    <cellStyle name="Input 4 5 5 2 4" xfId="31470" xr:uid="{9BBBD0E1-B4FA-4510-8D64-F11A6EE92B72}"/>
    <cellStyle name="Input 4 5 5 2 5" xfId="31471" xr:uid="{74BE6CD9-7374-46AB-939E-76D4A3D17482}"/>
    <cellStyle name="Input 4 5 5 2 6" xfId="31472" xr:uid="{BFD15DC6-29C5-4FEA-969F-505ECF788614}"/>
    <cellStyle name="Input 4 5 5 3" xfId="31473" xr:uid="{4E8304DD-9E26-4D95-A5D1-F5C57B3A7DC6}"/>
    <cellStyle name="Input 4 5 5 4" xfId="31474" xr:uid="{2DBC4DA7-A323-4806-9F86-01B0A808B81C}"/>
    <cellStyle name="Input 4 5 5 5" xfId="31475" xr:uid="{C60EB8DB-4C2C-4C70-9BE9-B0FB11D5A825}"/>
    <cellStyle name="Input 4 5 5 6" xfId="31476" xr:uid="{10274C1B-010C-4533-9996-B50CC63A84C7}"/>
    <cellStyle name="Input 4 5 5 7" xfId="31477" xr:uid="{868ADCC3-C6AD-4BD3-B11E-DA2262247B1F}"/>
    <cellStyle name="Input 4 5 6" xfId="2031" xr:uid="{C76B3DE1-E09A-4FAC-8748-95BD6A2D5353}"/>
    <cellStyle name="Input 4 5 6 2" xfId="10344" xr:uid="{AC195CD0-FCA7-4F95-B6F9-F1FEF39AF796}"/>
    <cellStyle name="Input 4 5 6 2 2" xfId="31478" xr:uid="{9F1FB683-53F4-416D-98CE-880570C85780}"/>
    <cellStyle name="Input 4 5 6 2 3" xfId="31479" xr:uid="{318F7C2B-4912-4AAC-A7B5-E13B08397A42}"/>
    <cellStyle name="Input 4 5 6 2 4" xfId="31480" xr:uid="{3D288D6C-DBB6-4CD6-A33F-F6368C23A001}"/>
    <cellStyle name="Input 4 5 6 2 5" xfId="31481" xr:uid="{CABAD2E4-650A-4581-BBB3-A2C90F6D6922}"/>
    <cellStyle name="Input 4 5 6 2 6" xfId="31482" xr:uid="{7747D128-9624-4090-A57D-F6E5404D285C}"/>
    <cellStyle name="Input 4 5 6 3" xfId="31483" xr:uid="{6C02584A-FA02-4CCF-965F-60ABE53C9BEA}"/>
    <cellStyle name="Input 4 5 6 4" xfId="31484" xr:uid="{33FDB003-B8B1-42D5-A858-02DEA27F000A}"/>
    <cellStyle name="Input 4 5 6 5" xfId="31485" xr:uid="{01BAE223-2AEB-4FA7-9EA3-F6B22B958BF6}"/>
    <cellStyle name="Input 4 5 6 6" xfId="31486" xr:uid="{0451E103-39EA-4C42-A566-011DFFC547C5}"/>
    <cellStyle name="Input 4 5 6 7" xfId="31487" xr:uid="{3EBAE946-99DB-4A00-BDAC-AED7F8484965}"/>
    <cellStyle name="Input 4 5 7" xfId="2032" xr:uid="{9477C561-F8CD-4E99-A8DC-1BE53D798A6D}"/>
    <cellStyle name="Input 4 5 7 2" xfId="10431" xr:uid="{B5B8A5FD-20A4-4615-82BD-B7C7164BAF4E}"/>
    <cellStyle name="Input 4 5 7 2 2" xfId="31488" xr:uid="{25C78398-DF42-4ACE-8103-04FCEF6A517C}"/>
    <cellStyle name="Input 4 5 7 2 3" xfId="31489" xr:uid="{C95BC4DC-834C-4030-A1CC-4BDB8CC43F51}"/>
    <cellStyle name="Input 4 5 7 2 4" xfId="31490" xr:uid="{0E6AB74F-A0AB-4B2B-A4E3-C1B9CC8564E7}"/>
    <cellStyle name="Input 4 5 7 2 5" xfId="31491" xr:uid="{C7F12CE6-A679-4172-B05E-8D80E7CD3EC6}"/>
    <cellStyle name="Input 4 5 7 2 6" xfId="31492" xr:uid="{FB355828-8EF1-4C63-B93A-ABFD11955914}"/>
    <cellStyle name="Input 4 5 7 3" xfId="31493" xr:uid="{DD145022-A59B-41A8-8537-F4E54D1BAAE6}"/>
    <cellStyle name="Input 4 5 7 4" xfId="31494" xr:uid="{6A10938F-8C56-4942-848A-823D59AB0688}"/>
    <cellStyle name="Input 4 5 7 5" xfId="31495" xr:uid="{A81FD29A-3685-4411-A8C4-A9F8D5022E3B}"/>
    <cellStyle name="Input 4 5 7 6" xfId="31496" xr:uid="{6E614118-F906-4D8D-B0B1-2DCF8325EB61}"/>
    <cellStyle name="Input 4 5 7 7" xfId="31497" xr:uid="{8783331F-D731-4F86-A55D-8CA9A758B300}"/>
    <cellStyle name="Input 4 5 8" xfId="2033" xr:uid="{F91388E7-49E3-439C-9CD0-7D8347DF1FC9}"/>
    <cellStyle name="Input 4 5 8 2" xfId="10520" xr:uid="{66AD3D17-86D7-4C73-BF9E-DF0BE4BE53A3}"/>
    <cellStyle name="Input 4 5 8 2 2" xfId="31498" xr:uid="{6152DD91-2F3C-40BA-B37E-01FD293AF19A}"/>
    <cellStyle name="Input 4 5 8 2 3" xfId="31499" xr:uid="{874DAE21-BA6F-43C1-A8FB-A74042D5F305}"/>
    <cellStyle name="Input 4 5 8 2 4" xfId="31500" xr:uid="{37E03F48-7388-4A63-B6C7-B74298B51D33}"/>
    <cellStyle name="Input 4 5 8 2 5" xfId="31501" xr:uid="{6FCDDA8F-FD02-442E-A649-9EB8CEDEF666}"/>
    <cellStyle name="Input 4 5 8 2 6" xfId="31502" xr:uid="{FC4FB82C-044B-44AE-A07B-BD58297240FA}"/>
    <cellStyle name="Input 4 5 8 3" xfId="31503" xr:uid="{78248CBC-F1CE-481D-9189-332AED9B0009}"/>
    <cellStyle name="Input 4 5 8 4" xfId="31504" xr:uid="{798E0491-6859-4A56-B9FE-7CA23C7101D3}"/>
    <cellStyle name="Input 4 5 8 5" xfId="31505" xr:uid="{C0097143-DF82-42E5-AA0D-2DDA1F2E8C72}"/>
    <cellStyle name="Input 4 5 8 6" xfId="31506" xr:uid="{C3B0E1E5-C866-4C61-8F44-EC0B98F5F005}"/>
    <cellStyle name="Input 4 5 8 7" xfId="31507" xr:uid="{9DF42A4F-4ADE-4B0B-A541-6E017FF793FC}"/>
    <cellStyle name="Input 4 5 9" xfId="2034" xr:uid="{6DBE9B6D-604D-4FFD-87A4-345BBA512D1E}"/>
    <cellStyle name="Input 4 5 9 2" xfId="10602" xr:uid="{7BBFDDE4-3142-444B-8259-CA05816E0FED}"/>
    <cellStyle name="Input 4 5 9 2 2" xfId="31508" xr:uid="{2F7F0B40-5CD0-48F7-B2AA-861C4CA4D7B9}"/>
    <cellStyle name="Input 4 5 9 2 3" xfId="31509" xr:uid="{B40A68FB-806F-4B15-8880-BF15D06C9C83}"/>
    <cellStyle name="Input 4 5 9 2 4" xfId="31510" xr:uid="{51D5A254-EE18-4F51-B644-BB98BB86C746}"/>
    <cellStyle name="Input 4 5 9 2 5" xfId="31511" xr:uid="{0DEF03E8-22DA-4C01-B378-67625943D193}"/>
    <cellStyle name="Input 4 5 9 2 6" xfId="31512" xr:uid="{C30B3801-E383-4486-8789-3C824F80FECA}"/>
    <cellStyle name="Input 4 5 9 3" xfId="31513" xr:uid="{988ACCAF-571A-4CFD-AD5C-473C2F24132C}"/>
    <cellStyle name="Input 4 5 9 4" xfId="31514" xr:uid="{BA51C1DE-2364-44C1-B4FE-8E11701C48DE}"/>
    <cellStyle name="Input 4 5 9 5" xfId="31515" xr:uid="{D7B560EF-F237-4298-BC07-34FF2D6767C1}"/>
    <cellStyle name="Input 4 5 9 6" xfId="31516" xr:uid="{2EBD0CC9-32B9-46BA-B81F-11E339F242B8}"/>
    <cellStyle name="Input 4 5 9 7" xfId="31517" xr:uid="{DE77F167-75C5-472E-AD90-E1A8B4688F76}"/>
    <cellStyle name="Input 4 6" xfId="2035" xr:uid="{52DC95D1-A751-4D6A-96C1-6D811D8A121F}"/>
    <cellStyle name="Input 4 6 2" xfId="9961" xr:uid="{9892E53C-7751-4FCC-8FDD-18FEFDA1CB99}"/>
    <cellStyle name="Input 4 6 2 2" xfId="31518" xr:uid="{4EC3C2F6-7BB6-4EC6-8FDE-795D61B4F7F2}"/>
    <cellStyle name="Input 4 6 2 3" xfId="31519" xr:uid="{511E1113-73A5-4AFC-A4FF-8A242CD59047}"/>
    <cellStyle name="Input 4 6 2 4" xfId="31520" xr:uid="{78212F33-1F29-41C3-9500-3EE02F4CBC1E}"/>
    <cellStyle name="Input 4 6 2 5" xfId="31521" xr:uid="{BB464EA3-92E9-44E2-BA08-DCD70953C41D}"/>
    <cellStyle name="Input 4 6 2 6" xfId="31522" xr:uid="{7DF62AF7-7936-4CB8-A733-559E1F5247B0}"/>
    <cellStyle name="Input 4 6 3" xfId="31523" xr:uid="{96441738-C99E-4B76-82AD-891EC5AFF183}"/>
    <cellStyle name="Input 4 6 4" xfId="31524" xr:uid="{D8F84C55-15A5-4DE6-8458-D0A2A70F2297}"/>
    <cellStyle name="Input 4 6 5" xfId="31525" xr:uid="{060D1040-87FD-43BD-87FD-16844979A542}"/>
    <cellStyle name="Input 4 6 6" xfId="31526" xr:uid="{2DDC3DB7-C964-4774-93B9-5A4B7E382517}"/>
    <cellStyle name="Input 4 6 7" xfId="31527" xr:uid="{796DE607-0C70-4F15-96AF-D385E759A376}"/>
    <cellStyle name="Input 4 7" xfId="2036" xr:uid="{FD019F8A-58B2-487F-A5A5-EDF968EEA38C}"/>
    <cellStyle name="Input 4 7 2" xfId="9886" xr:uid="{99EBADE6-D3F3-4F80-8A35-1569A4CFB25F}"/>
    <cellStyle name="Input 4 7 2 2" xfId="31528" xr:uid="{2D0F8D2F-8C0D-4EDB-A7E3-6D77EAB5928B}"/>
    <cellStyle name="Input 4 7 2 3" xfId="31529" xr:uid="{3E9C047B-0F50-4569-A3C8-79425A75FAD8}"/>
    <cellStyle name="Input 4 7 2 4" xfId="31530" xr:uid="{227BBFB9-8531-4005-877D-31721A597FA7}"/>
    <cellStyle name="Input 4 7 2 5" xfId="31531" xr:uid="{C24F737E-3015-4C38-90A3-204DE080ED92}"/>
    <cellStyle name="Input 4 7 2 6" xfId="31532" xr:uid="{EFDB49A7-FE5C-4ECE-9281-91B5C2BF234B}"/>
    <cellStyle name="Input 4 7 3" xfId="31533" xr:uid="{D90AC302-5872-4140-8CF5-242ECE1698E8}"/>
    <cellStyle name="Input 4 7 4" xfId="31534" xr:uid="{06D7EE09-26D8-4BF4-A616-3CD367EBFF9F}"/>
    <cellStyle name="Input 4 7 5" xfId="31535" xr:uid="{5007DFB3-FB69-4BE1-8765-7EA1640EE142}"/>
    <cellStyle name="Input 4 7 6" xfId="31536" xr:uid="{6EEDE86E-F271-4358-807D-C8E00EDB7281}"/>
    <cellStyle name="Input 4 7 7" xfId="31537" xr:uid="{CAE2562F-F78A-483B-AC84-BCBDEFE410F6}"/>
    <cellStyle name="Input 4 8" xfId="2037" xr:uid="{0CC60552-9EA7-44C8-AFFD-960D51F4A1DA}"/>
    <cellStyle name="Input 4 8 2" xfId="9863" xr:uid="{D9DFF333-6FB5-4907-BC98-F8E0DCEA9768}"/>
    <cellStyle name="Input 4 8 2 2" xfId="31538" xr:uid="{EF9FF3F6-727E-4E6A-83C9-D9221B3EDB77}"/>
    <cellStyle name="Input 4 8 2 3" xfId="31539" xr:uid="{F0DF89ED-52C5-44CB-B9B9-A953E1C27080}"/>
    <cellStyle name="Input 4 8 2 4" xfId="31540" xr:uid="{C60D2A65-1BE8-41D6-8DE0-37EBA9C0FFF0}"/>
    <cellStyle name="Input 4 8 2 5" xfId="31541" xr:uid="{06D0B1A3-72BD-4101-BAB5-4B17B8E3115E}"/>
    <cellStyle name="Input 4 8 2 6" xfId="31542" xr:uid="{4236169A-73C6-42A2-A1FD-2B6610F3E2A1}"/>
    <cellStyle name="Input 4 8 3" xfId="31543" xr:uid="{3319757E-9609-4DC9-B8D8-1E5FF78A76D0}"/>
    <cellStyle name="Input 4 8 4" xfId="31544" xr:uid="{AD1F6A40-BFE4-473B-933A-F32DB054E3D0}"/>
    <cellStyle name="Input 4 8 5" xfId="31545" xr:uid="{0E7104F6-838A-4D22-92EA-7600EDC13A7C}"/>
    <cellStyle name="Input 4 8 6" xfId="31546" xr:uid="{CBE17649-4D19-4FAA-9F29-6DC93B9684A8}"/>
    <cellStyle name="Input 4 8 7" xfId="31547" xr:uid="{23787DAC-7356-45DA-8BEB-C1EF789E5FBB}"/>
    <cellStyle name="Input 4 9" xfId="2038" xr:uid="{670E396A-CB4C-443B-823A-1B7B1A43E9C1}"/>
    <cellStyle name="Input 4 9 2" xfId="9955" xr:uid="{4C6207B3-9444-409D-8D0D-13C7BC39E50C}"/>
    <cellStyle name="Input 4 9 2 2" xfId="31548" xr:uid="{6E18899B-A06E-40B6-8ACD-B8C09A53E7BC}"/>
    <cellStyle name="Input 4 9 2 3" xfId="31549" xr:uid="{433F04D0-A517-453E-BC52-0530782ACB5E}"/>
    <cellStyle name="Input 4 9 2 4" xfId="31550" xr:uid="{71312F9B-764D-4638-8C1A-C85CC2342665}"/>
    <cellStyle name="Input 4 9 2 5" xfId="31551" xr:uid="{D9015F9B-B66E-448A-952B-D87D33E4DB6B}"/>
    <cellStyle name="Input 4 9 2 6" xfId="31552" xr:uid="{C6F06A0B-C539-4F64-9E36-B89D41C17F77}"/>
    <cellStyle name="Input 4 9 3" xfId="31553" xr:uid="{CD4491B3-0544-4A20-81B4-257F586191F2}"/>
    <cellStyle name="Input 4 9 4" xfId="31554" xr:uid="{F0F46390-D91D-4707-A262-F4105BC06089}"/>
    <cellStyle name="Input 4 9 5" xfId="31555" xr:uid="{1D73FA7C-C2C1-48F2-B432-1F06FEF1141F}"/>
    <cellStyle name="Input 4 9 6" xfId="31556" xr:uid="{9782472C-F799-4E66-ABB7-5D39B4D64BE8}"/>
    <cellStyle name="Input 4 9 7" xfId="31557" xr:uid="{91DA0211-6AD0-440F-B696-323A80218647}"/>
    <cellStyle name="Input 40" xfId="44384" xr:uid="{38DDCDB1-9196-40BF-89CE-B172ED0C4FD7}"/>
    <cellStyle name="Input 41" xfId="44385" xr:uid="{4B683221-4AAE-494A-BFB3-16EE01A0E6EA}"/>
    <cellStyle name="Input 42" xfId="44386" xr:uid="{4E840C39-7860-4AF7-9DFF-807763C25C00}"/>
    <cellStyle name="Input 43" xfId="44387" xr:uid="{F3D7955C-0C8A-4A26-913D-FCB3C89847DE}"/>
    <cellStyle name="Input 44" xfId="44388" xr:uid="{8933BBF8-467F-4AF8-AE65-FA883DDBAD46}"/>
    <cellStyle name="Input 45" xfId="44389" xr:uid="{A65E53D5-C8D7-4B57-97D0-57364BDCFA07}"/>
    <cellStyle name="Input 46" xfId="44390" xr:uid="{A8D39DF8-BEB8-4B7C-9780-57C739F64562}"/>
    <cellStyle name="Input 47" xfId="44391" xr:uid="{94B06949-6674-4B51-9152-D8A6D597ACC4}"/>
    <cellStyle name="Input 48" xfId="44392" xr:uid="{71A8E478-A13D-4AE2-BCD8-94F56A077969}"/>
    <cellStyle name="Input 49" xfId="44393" xr:uid="{97B0A63F-8519-4021-82C3-C4D2A91CA32F}"/>
    <cellStyle name="Input 5" xfId="31558" xr:uid="{6968B6A3-F523-49A4-B49E-4FA3CEE1D6DD}"/>
    <cellStyle name="Input 50" xfId="44394" xr:uid="{FA9D2DBA-32BA-4EA9-AD69-F86FA49782DA}"/>
    <cellStyle name="Input 51" xfId="44395" xr:uid="{D0924088-7D11-4239-8CA7-80C865F88AFA}"/>
    <cellStyle name="Input 52" xfId="44396" xr:uid="{73F9BD84-8633-42BF-AFA7-87F4E34BE052}"/>
    <cellStyle name="Input 53" xfId="44397" xr:uid="{B3DC8C98-DB90-420F-97E2-93AE9C4EA3C0}"/>
    <cellStyle name="Input 54" xfId="44398" xr:uid="{3FE5E570-8E64-4465-9E10-317552ECFE62}"/>
    <cellStyle name="Input 55" xfId="44399" xr:uid="{487CCB27-1D19-4704-B22D-2A92FA74536F}"/>
    <cellStyle name="Input 56" xfId="44400" xr:uid="{7B4A06B8-C970-471B-B145-6CDD3CB30595}"/>
    <cellStyle name="Input 57" xfId="44401" xr:uid="{6D4E8DB6-356D-4BC1-ADD1-34FCDE74AAAB}"/>
    <cellStyle name="Input 58" xfId="44402" xr:uid="{6CD723EB-CF68-4DB9-B2FA-54E24D20AEAF}"/>
    <cellStyle name="Input 59" xfId="44403" xr:uid="{AD9D8FEC-AB0C-4E0E-AEF2-4D79675AD338}"/>
    <cellStyle name="Input 6" xfId="44404" xr:uid="{07633A1A-8203-4E82-A21D-0FCFE0D7ABB5}"/>
    <cellStyle name="Input 60" xfId="44405" xr:uid="{7E39200A-826C-459F-9378-0353C01D67C8}"/>
    <cellStyle name="Input 61" xfId="44406" xr:uid="{1E69746B-E414-4E3F-A04A-FF224A0CF488}"/>
    <cellStyle name="Input 62" xfId="44407" xr:uid="{DAC2168B-3A83-4512-A5A8-5D34D18FFD5D}"/>
    <cellStyle name="Input 63" xfId="44408" xr:uid="{12829F80-CEC5-42D2-ACC8-90A670B00A73}"/>
    <cellStyle name="Input 64" xfId="44409" xr:uid="{98D41049-B96D-4A93-A28A-DC7D3D6BE60E}"/>
    <cellStyle name="Input 65" xfId="44410" xr:uid="{AAC5823C-03E0-4DC8-926B-4A481B62F8DF}"/>
    <cellStyle name="Input 66" xfId="44411" xr:uid="{33EEE33D-5CD2-4B73-8AE0-C3B56925D34A}"/>
    <cellStyle name="Input 67" xfId="44412" xr:uid="{EB275342-EDCB-49A7-A685-4579FDC549CC}"/>
    <cellStyle name="Input 68" xfId="44413" xr:uid="{A5A0403F-66A0-4A64-B8CA-0F7ED028BDDB}"/>
    <cellStyle name="Input 69" xfId="44414" xr:uid="{95D9BB7A-6A70-4591-9776-72AED47A8B1B}"/>
    <cellStyle name="Input 7" xfId="44415" xr:uid="{0DF57086-D532-4086-8717-05FA2A34BD22}"/>
    <cellStyle name="Input 70" xfId="44416" xr:uid="{365AF358-3AD9-4702-ADC3-40C8A8F5C4DB}"/>
    <cellStyle name="Input 71" xfId="44417" xr:uid="{E9EBBA30-C7F1-4BCF-A087-107A0F122B72}"/>
    <cellStyle name="Input 72" xfId="44418" xr:uid="{CC182B69-2DA3-40A8-9E17-8B88DC070B91}"/>
    <cellStyle name="Input 73" xfId="44419" xr:uid="{FED60C14-D145-444C-BA13-81EB0D5B4285}"/>
    <cellStyle name="Input 74" xfId="44420" xr:uid="{DEF59330-F64D-4DA1-9C20-7AE98A3D0768}"/>
    <cellStyle name="Input 75" xfId="44421" xr:uid="{BCAC4F29-3A32-4AD4-AF63-B1F45C0DA763}"/>
    <cellStyle name="Input 76" xfId="44422" xr:uid="{A5A5BCBF-9EB1-472C-B382-E9512C600AF4}"/>
    <cellStyle name="Input 77" xfId="44207" xr:uid="{E640B9B5-B5A1-408C-934C-E922AB7E1FAE}"/>
    <cellStyle name="Input 8" xfId="44423" xr:uid="{BD87EAFC-5AA5-4074-8E17-1CA121D898E3}"/>
    <cellStyle name="Input 9" xfId="44424" xr:uid="{BE41E331-53BB-49EC-B5D1-14EA83BD5425}"/>
    <cellStyle name="Linked Cell 2" xfId="2039" xr:uid="{4BEE56E5-93A6-4622-B5AF-B7CC4FDEFE15}"/>
    <cellStyle name="Linked Cell 2 2" xfId="6927" xr:uid="{D1C89E30-5654-4E39-A61C-242970379639}"/>
    <cellStyle name="Linked Cell 2 2 2" xfId="6928" xr:uid="{D2451C30-6345-4978-9E05-760B429E7AE3}"/>
    <cellStyle name="Linked Cell 2 3" xfId="6929" xr:uid="{21CA43BC-00C7-4B65-BED0-E9E69EA8989E}"/>
    <cellStyle name="Linked Cell 2 4" xfId="6930" xr:uid="{B258E77C-4FF0-4577-87DA-2F03B9E70C69}"/>
    <cellStyle name="Linked Cell 3" xfId="2040" xr:uid="{2F7A8270-A37A-4546-A51F-A9244039D367}"/>
    <cellStyle name="Linked Cell 3 2" xfId="6931" xr:uid="{FA5B8848-3250-4A24-911A-7E1B59D80ABA}"/>
    <cellStyle name="Linked Cell 3 3" xfId="6932" xr:uid="{F3E03597-8970-4507-8C88-53E7C81FA7E3}"/>
    <cellStyle name="Linked Cell 3 4" xfId="6933" xr:uid="{19D80EB3-C4E6-40EA-92F7-984188049A56}"/>
    <cellStyle name="Linked Cell 3 5" xfId="6934" xr:uid="{F77B2B6D-4BEF-4A0D-A269-EF83AC929641}"/>
    <cellStyle name="Linked Cell 4" xfId="31559" xr:uid="{5859493B-742A-4C4E-9232-2C14321633E6}"/>
    <cellStyle name="Linked Cell 5" xfId="44210" xr:uid="{575479D7-6522-49FF-A226-84A12695EA5E}"/>
    <cellStyle name="Neutral 2" xfId="2041" xr:uid="{85FBB3E5-632B-477E-935F-6441E3E6B30A}"/>
    <cellStyle name="Neutral 2 2" xfId="6935" xr:uid="{7048186A-0258-4B19-AE37-C0CE7EEA5B1F}"/>
    <cellStyle name="Neutral 2 2 2" xfId="6936" xr:uid="{12581B97-A749-4C2C-BE55-F8B47BC522D5}"/>
    <cellStyle name="Neutral 2 3" xfId="6937" xr:uid="{0B658DC7-863B-4910-9F96-F195D795498C}"/>
    <cellStyle name="Neutral 2 4" xfId="6938" xr:uid="{AC3E466D-4CBD-463C-B8AA-6F1DC1DC469B}"/>
    <cellStyle name="Neutral 3" xfId="2042" xr:uid="{36913266-5CE1-48B0-AEEC-4FE43EA147A1}"/>
    <cellStyle name="Neutral 3 2" xfId="6939" xr:uid="{D8144BD0-32E1-4E91-827C-C596176D968D}"/>
    <cellStyle name="Neutral 3 3" xfId="6940" xr:uid="{3238D12C-06E8-4A15-9B28-B41C031C5C27}"/>
    <cellStyle name="Neutral 3 4" xfId="6941" xr:uid="{CB12D077-9887-40D0-971F-7FFE19E0B0A2}"/>
    <cellStyle name="Neutral 3 5" xfId="6942" xr:uid="{91D86F6E-401E-4623-8650-2C81F3890AFC}"/>
    <cellStyle name="Neutral 4" xfId="31560" xr:uid="{7E0EFB42-88D9-4225-86BD-ECA96ED992A0}"/>
    <cellStyle name="Neutral 5" xfId="44206" xr:uid="{E03B6FD5-74E6-4F20-AE79-DEF9B1E4807C}"/>
    <cellStyle name="Normal" xfId="0" builtinId="0"/>
    <cellStyle name="Normal - Style1" xfId="2043" xr:uid="{C0D25811-09D8-409C-9BCC-3660639B3453}"/>
    <cellStyle name="Normal 10" xfId="2044" xr:uid="{0DCBB557-F90B-45EF-BAFB-979FCCB7BDFE}"/>
    <cellStyle name="Normal 10 2" xfId="2045" xr:uid="{3F1B66A2-B161-4051-B3BC-EF786AD634D2}"/>
    <cellStyle name="Normal 10 2 2" xfId="6943" xr:uid="{79AEC91E-42E2-48F6-A89F-D016EF9095A5}"/>
    <cellStyle name="Normal 10 2 2 2" xfId="44425" xr:uid="{9A18492D-829B-4354-9F63-A5F12A36DCEC}"/>
    <cellStyle name="Normal 10 2 2 2 2" xfId="44426" xr:uid="{BDB5456F-2A08-4966-A8B5-324FE4F4B64B}"/>
    <cellStyle name="Normal 10 2 2 2 2 2" xfId="44427" xr:uid="{C5E4D974-FA3D-4266-A3AC-E85534B7D226}"/>
    <cellStyle name="Normal 10 2 2 2 3" xfId="44428" xr:uid="{A12D4235-20CC-4870-A2FD-AA742ABE5E7E}"/>
    <cellStyle name="Normal 10 2 2 3" xfId="44429" xr:uid="{41F2F374-B41B-47FE-A9CF-3D68625D7725}"/>
    <cellStyle name="Normal 10 2 2 3 2" xfId="44430" xr:uid="{A435A761-EE32-4050-A547-DC1C3E7BCBA2}"/>
    <cellStyle name="Normal 10 2 2 4" xfId="44431" xr:uid="{E8CB0DEA-210B-4CA5-903B-283FE194A1FB}"/>
    <cellStyle name="Normal 10 2 3" xfId="44175" xr:uid="{4D081905-C843-4D33-B9BD-F5591529AD7B}"/>
    <cellStyle name="Normal 10 2 3 2" xfId="44432" xr:uid="{F685AEBB-15C1-461F-9CA9-EF803C7F86E1}"/>
    <cellStyle name="Normal 10 2 3 2 2" xfId="44433" xr:uid="{75A21D27-184A-4EEC-9BB4-042BE95DA0F9}"/>
    <cellStyle name="Normal 10 2 3 3" xfId="44434" xr:uid="{232D37E8-B173-4FC7-8FEF-082487ADB6A4}"/>
    <cellStyle name="Normal 10 2 4" xfId="44435" xr:uid="{40856B4E-75D5-4386-8E2A-17C236E7BD58}"/>
    <cellStyle name="Normal 10 2 4 2" xfId="44436" xr:uid="{D3EDFE34-EE45-46D3-BC3A-B9982C705618}"/>
    <cellStyle name="Normal 10 2 5" xfId="44437" xr:uid="{7DEDE273-0018-42AA-B247-1A52523C11B1}"/>
    <cellStyle name="Normal 10 2 6" xfId="44438" xr:uid="{DEE48684-0014-4529-B0D4-BAAE943C158D}"/>
    <cellStyle name="Normal 10 3" xfId="2046" xr:uid="{9EAF57B4-0244-4995-ABEE-9392EA1A97D4}"/>
    <cellStyle name="Normal 10 3 2" xfId="44439" xr:uid="{C20B4CA7-526B-4F27-96A5-EBFEBAB46BE4}"/>
    <cellStyle name="Normal 10 3 2 2" xfId="44440" xr:uid="{1409337D-D2CF-4E54-A5F2-A5B4E49FEC76}"/>
    <cellStyle name="Normal 10 3 2 2 2" xfId="44441" xr:uid="{2A0779C0-4CE8-4BD5-BC10-4B1C189F4953}"/>
    <cellStyle name="Normal 10 3 2 3" xfId="44442" xr:uid="{8D9EA381-79DD-4BA6-96B7-51FA7449F8D0}"/>
    <cellStyle name="Normal 10 3 3" xfId="44443" xr:uid="{81015179-6DB4-446B-8554-B4CDF2E409F8}"/>
    <cellStyle name="Normal 10 3 3 2" xfId="44444" xr:uid="{F25E7749-929C-440B-BC56-7F83283DE640}"/>
    <cellStyle name="Normal 10 3 4" xfId="44445" xr:uid="{0760E348-2092-45B4-ACED-B88E2471FEDF}"/>
    <cellStyle name="Normal 10 3 4 2" xfId="44446" xr:uid="{E045DF9E-16EF-4BEC-9C2E-1196D13C0341}"/>
    <cellStyle name="Normal 10 3 5" xfId="44447" xr:uid="{1115DECB-1B02-4661-93FE-E38414E683CD}"/>
    <cellStyle name="Normal 10 4" xfId="6944" xr:uid="{320A7395-7C44-412B-92B1-AF24A7DABFC3}"/>
    <cellStyle name="Normal 10 4 2" xfId="44448" xr:uid="{58B6A1B7-1639-4B63-B1C8-8CFD102D6714}"/>
    <cellStyle name="Normal 10 4 2 2" xfId="44449" xr:uid="{96C7A62F-CAE8-45C6-901F-90209D878454}"/>
    <cellStyle name="Normal 10 4 3" xfId="44450" xr:uid="{1ABF88F6-F871-45C0-867D-F3441129425E}"/>
    <cellStyle name="Normal 10 4 3 2" xfId="44451" xr:uid="{E71FC985-E922-4078-810D-0252568E617C}"/>
    <cellStyle name="Normal 10 4 4" xfId="44452" xr:uid="{32143E2D-F906-431C-AC25-0C616FFDAB68}"/>
    <cellStyle name="Normal 10 5" xfId="12791" xr:uid="{CC7679EF-88E5-4A93-A4D6-0701EF8ED4BD}"/>
    <cellStyle name="Normal 10 5 2" xfId="44453" xr:uid="{11AB7610-1C77-4F1C-A3E5-7F618C606ECC}"/>
    <cellStyle name="Normal 10 5 2 2" xfId="44454" xr:uid="{415E8DAC-F201-4BA3-94F3-4E0AAF5164B8}"/>
    <cellStyle name="Normal 10 5 3" xfId="44455" xr:uid="{48C3498A-AB71-49FC-B3D4-9EFE76A98E46}"/>
    <cellStyle name="Normal 10 6" xfId="44456" xr:uid="{EB083AD6-7BDF-45AB-8F74-25E67E594D7A}"/>
    <cellStyle name="Normal 10 6 2" xfId="44457" xr:uid="{A8CA6D3D-FDBF-4D14-A5B2-000A81FBF2B6}"/>
    <cellStyle name="Normal 10 7" xfId="44458" xr:uid="{8B0DC90E-DB05-4DB1-9B03-FD64828572ED}"/>
    <cellStyle name="Normal 100" xfId="44459" xr:uid="{E362E9BB-9F5E-46D2-8098-689D4A0AB39E}"/>
    <cellStyle name="Normal 100 2" xfId="44460" xr:uid="{3115922D-2F6F-45D4-83C4-1B3A0AC43E3E}"/>
    <cellStyle name="Normal 101" xfId="44461" xr:uid="{7CE19F4B-A8DF-447F-8DCE-0BB7A1F4E349}"/>
    <cellStyle name="Normal 101 2" xfId="44462" xr:uid="{6C22BFE2-C951-45B0-BB67-DFC85087C4B9}"/>
    <cellStyle name="Normal 102" xfId="44463" xr:uid="{84238C65-C3C7-462D-8A8E-E802DDDBA403}"/>
    <cellStyle name="Normal 102 2" xfId="44464" xr:uid="{CB19E674-49A5-49C3-8A66-B3FAA7D2A271}"/>
    <cellStyle name="Normal 103" xfId="44465" xr:uid="{3E62EBF7-4608-42BC-A16F-879EDA369D4D}"/>
    <cellStyle name="Normal 103 2" xfId="44466" xr:uid="{64E760D1-8CA4-4195-908B-474DEBE702B8}"/>
    <cellStyle name="Normal 104" xfId="44467" xr:uid="{69A98E95-D5E8-4E7A-8020-5271FEC983F5}"/>
    <cellStyle name="Normal 104 2" xfId="44468" xr:uid="{5304B27B-DFBB-40C8-BFFF-DD3D90CB30C0}"/>
    <cellStyle name="Normal 105" xfId="44469" xr:uid="{A0B729E3-E1A7-4C9B-BAD5-3920B405E80F}"/>
    <cellStyle name="Normal 105 2" xfId="44470" xr:uid="{4E4C3079-E0AC-4BCB-9452-23F485AC0105}"/>
    <cellStyle name="Normal 106" xfId="44471" xr:uid="{783AD734-A939-4F82-BA5D-D8CD83817D57}"/>
    <cellStyle name="Normal 106 2" xfId="44472" xr:uid="{A46D669F-2B4D-4BB6-A7BF-34F95C570040}"/>
    <cellStyle name="Normal 107" xfId="44473" xr:uid="{E86EE6B3-933F-44FF-AA1E-34D2CAA37A51}"/>
    <cellStyle name="Normal 107 2" xfId="44474" xr:uid="{CACA7C4E-3A15-4F58-89A1-CE7110206A4E}"/>
    <cellStyle name="Normal 108" xfId="44475" xr:uid="{1375D1F6-B97C-406A-A475-8A59F71C8623}"/>
    <cellStyle name="Normal 108 2" xfId="44476" xr:uid="{CB4AE69E-EC71-4CCE-ABE1-7DA12672AC8A}"/>
    <cellStyle name="Normal 109" xfId="44477" xr:uid="{6E64E238-DEB5-48F9-B8A4-07406864C809}"/>
    <cellStyle name="Normal 109 2" xfId="44478" xr:uid="{16E766C2-6710-4823-88CF-A3F8250D4CC2}"/>
    <cellStyle name="Normal 11" xfId="62" xr:uid="{3B96CF50-F9B4-4806-B874-115B4AB01E1F}"/>
    <cellStyle name="Normal 11 2" xfId="2047" xr:uid="{4E97394A-AC91-4F00-913B-B6C17160A29B}"/>
    <cellStyle name="Normal 11 2 2" xfId="6945" xr:uid="{082BA5A9-42BB-4BC0-83E7-AF71014FA5DC}"/>
    <cellStyle name="Normal 11 2 2 2" xfId="44479" xr:uid="{50044394-CA87-4840-8598-6EB87C26E43A}"/>
    <cellStyle name="Normal 11 2 2 2 2" xfId="44480" xr:uid="{47CD8554-A2A9-4F76-82A1-68D7959B3780}"/>
    <cellStyle name="Normal 11 2 2 3" xfId="44481" xr:uid="{558C6EF8-E003-4FC7-8DDC-F5D7A22CB5C7}"/>
    <cellStyle name="Normal 11 2 3" xfId="44176" xr:uid="{71B2079A-AADD-4357-A618-02F892557E6D}"/>
    <cellStyle name="Normal 11 2 3 2" xfId="44482" xr:uid="{8EF002CE-B00F-4E38-AA5E-1AD024A86F1C}"/>
    <cellStyle name="Normal 11 2 4" xfId="44483" xr:uid="{18BAA6D9-1F65-40C3-8983-443A7FAACFF5}"/>
    <cellStyle name="Normal 11 2 5" xfId="44484" xr:uid="{EABBB71C-EB14-4EC2-BE5E-4B09BE157350}"/>
    <cellStyle name="Normal 11 3" xfId="6946" xr:uid="{5F3C23DF-7F68-4DD9-A113-CCDA84103D6E}"/>
    <cellStyle name="Normal 11 3 2" xfId="44485" xr:uid="{061F5106-4FF4-4BB8-8DD2-5FA87C899421}"/>
    <cellStyle name="Normal 11 3 2 2" xfId="44486" xr:uid="{91648B3D-B4B1-4418-BB9E-47E41121CB0A}"/>
    <cellStyle name="Normal 11 3 3" xfId="44487" xr:uid="{25CEE710-2062-4469-B66B-6FA5A5A19B10}"/>
    <cellStyle name="Normal 11 3 3 2" xfId="44488" xr:uid="{3D054691-FE1D-4A55-8AE4-1875CB4CCC67}"/>
    <cellStyle name="Normal 11 3 4" xfId="44489" xr:uid="{3C549842-0C27-4F27-91AA-3E13DFD36879}"/>
    <cellStyle name="Normal 11 4" xfId="6947" xr:uid="{ED8BBC0F-F0D7-4EC2-9826-DAEF3775CACA}"/>
    <cellStyle name="Normal 11 4 2" xfId="44490" xr:uid="{87FFEFCB-2DD2-47E7-A3EC-5CABA0C6F1D3}"/>
    <cellStyle name="Normal 11 5" xfId="44491" xr:uid="{1337CBF7-CB43-4004-AA3D-DC6DF2F4F63D}"/>
    <cellStyle name="Normal 11 5 2" xfId="44492" xr:uid="{5F0986D3-0E0E-4CAF-9D75-3C67B869F520}"/>
    <cellStyle name="Normal 11 6" xfId="44493" xr:uid="{798A4AFC-6E5E-4BF6-8415-552C8628C6F6}"/>
    <cellStyle name="Normal 110" xfId="44494" xr:uid="{300936AA-1361-432A-BE70-D038E3186ADE}"/>
    <cellStyle name="Normal 110 2" xfId="44495" xr:uid="{C418024E-6E72-4F8A-9C28-682E00420C04}"/>
    <cellStyle name="Normal 111" xfId="44496" xr:uid="{47F45A9B-9933-4C07-B170-4BC954E4FC9C}"/>
    <cellStyle name="Normal 111 2" xfId="44497" xr:uid="{A51E6DF7-2F46-476F-ACBC-F9EED5D289A3}"/>
    <cellStyle name="Normal 112" xfId="44498" xr:uid="{31C4C853-5DDA-4AE2-A3CA-310A5373AE9D}"/>
    <cellStyle name="Normal 112 2" xfId="44499" xr:uid="{AC0D5010-036B-4B4B-8596-491995F9E733}"/>
    <cellStyle name="Normal 113" xfId="44500" xr:uid="{1ADF83FB-41A8-457D-9FFF-108510B0E10D}"/>
    <cellStyle name="Normal 113 2" xfId="44501" xr:uid="{0762B88C-0E2F-4092-B928-3B7106D59DAD}"/>
    <cellStyle name="Normal 114" xfId="44502" xr:uid="{FEE306C2-23FE-4CBD-917E-EC5DD51844AB}"/>
    <cellStyle name="Normal 114 2" xfId="44503" xr:uid="{A58EF767-50D1-4648-A11D-F5BF3BA55B1B}"/>
    <cellStyle name="Normal 115" xfId="44504" xr:uid="{6C42987E-8546-4BE3-BF84-77A64DDBF00B}"/>
    <cellStyle name="Normal 115 2" xfId="44505" xr:uid="{BB8E6E2C-DD3A-4A65-B155-4E7EA6AC7AE6}"/>
    <cellStyle name="Normal 116" xfId="44506" xr:uid="{71D4D9A6-9191-43BB-A471-466CB6F70508}"/>
    <cellStyle name="Normal 116 2" xfId="44507" xr:uid="{D4D5CEAD-5778-4FFB-AC58-F5F9BFE455E8}"/>
    <cellStyle name="Normal 117" xfId="44508" xr:uid="{6E8F7282-C8BA-451E-84F7-37A06C56E750}"/>
    <cellStyle name="Normal 117 2" xfId="44509" xr:uid="{25AA8AD4-5C82-49C3-9361-D8C10C0ED3DD}"/>
    <cellStyle name="Normal 118" xfId="44510" xr:uid="{CA54F647-28E2-44F5-B0CB-9310846B6D1E}"/>
    <cellStyle name="Normal 118 2" xfId="44511" xr:uid="{BC1E9C97-5051-4FCE-B47F-575F857958DD}"/>
    <cellStyle name="Normal 119" xfId="44512" xr:uid="{05BDE6D4-5C3D-4766-91D1-05F1128EC37D}"/>
    <cellStyle name="Normal 119 2" xfId="44513" xr:uid="{10FE2B36-8D85-4829-ABC7-DB07BB968BD5}"/>
    <cellStyle name="Normal 12" xfId="30" xr:uid="{ECA2BB70-007F-472F-8FA9-33D9BC061071}"/>
    <cellStyle name="Normal 12 10" xfId="6948" xr:uid="{8595403C-C3DC-4166-8593-C6737A965EB8}"/>
    <cellStyle name="Normal 12 11" xfId="6949" xr:uid="{60BE17A7-0BA2-4F2F-BFAE-3A6C2194B623}"/>
    <cellStyle name="Normal 12 2" xfId="6950" xr:uid="{677FFFDC-7F77-4D8A-9833-943FA90900D5}"/>
    <cellStyle name="Normal 12 2 2" xfId="6951" xr:uid="{0404B4F1-196E-496C-8B7F-737DA6BAF301}"/>
    <cellStyle name="Normal 12 2 2 2" xfId="6952" xr:uid="{F3C422F1-37CE-4089-83FE-1564740DD91A}"/>
    <cellStyle name="Normal 12 2 3" xfId="6953" xr:uid="{46249609-B5D5-4ABD-8BA5-6F5B4091D9C6}"/>
    <cellStyle name="Normal 12 2 4" xfId="6954" xr:uid="{5D2233C9-EA07-4D8C-AD9F-F8C838C2E87B}"/>
    <cellStyle name="Normal 12 3" xfId="6955" xr:uid="{60980DE3-9401-44F5-9D21-A8EA8CE3273B}"/>
    <cellStyle name="Normal 12 3 2" xfId="6956" xr:uid="{310179B9-C0C6-4AE4-B890-611899FBFCBE}"/>
    <cellStyle name="Normal 12 3 2 2" xfId="6957" xr:uid="{F91EFBA9-D00D-4123-AC92-8CAF71D7EC7C}"/>
    <cellStyle name="Normal 12 3 3" xfId="6958" xr:uid="{B9F5847B-39F3-49DD-BB62-B7FA39665EB6}"/>
    <cellStyle name="Normal 12 4" xfId="6959" xr:uid="{B981A78E-5341-42F6-9061-3ED32A859D07}"/>
    <cellStyle name="Normal 12 4 2" xfId="6960" xr:uid="{BB881BD0-6B29-4133-8916-11DE5344BD0C}"/>
    <cellStyle name="Normal 12 4 2 2" xfId="6961" xr:uid="{16948ED4-287C-4B26-A5A5-65BB40FD3D63}"/>
    <cellStyle name="Normal 12 4 3" xfId="6962" xr:uid="{94EFDA2B-6DEB-4863-9FF1-72C03E74EA5A}"/>
    <cellStyle name="Normal 12 5" xfId="6963" xr:uid="{EC80760F-079A-4459-A489-A40FDDE344E0}"/>
    <cellStyle name="Normal 12 5 2" xfId="6964" xr:uid="{967A8438-2E95-4115-B1F5-7477B4EEC4F4}"/>
    <cellStyle name="Normal 12 5 2 2" xfId="6965" xr:uid="{156EFAED-86D4-438C-B47B-7E27FDFC9678}"/>
    <cellStyle name="Normal 12 5 3" xfId="6966" xr:uid="{258BA4E4-7E7E-4E82-8A48-81B8726EBD10}"/>
    <cellStyle name="Normal 12 6" xfId="6967" xr:uid="{CAA23549-9ABE-4BFE-80D7-E2CC6959408E}"/>
    <cellStyle name="Normal 12 6 2" xfId="6968" xr:uid="{D57EAA8D-CA57-4DE0-BCA4-8EF01AD9100D}"/>
    <cellStyle name="Normal 12 6 2 2" xfId="6969" xr:uid="{17E5561F-6817-4B36-B1AE-24A577AF8CA3}"/>
    <cellStyle name="Normal 12 6 3" xfId="6970" xr:uid="{A3FCBE87-0347-4029-A78A-76753FCC4325}"/>
    <cellStyle name="Normal 12 7" xfId="6971" xr:uid="{1EF61387-DD48-4CCD-BAA1-69E00F7D470C}"/>
    <cellStyle name="Normal 12 7 2" xfId="6972" xr:uid="{B90476DE-4B40-487A-839B-31CD58F12901}"/>
    <cellStyle name="Normal 12 7 2 2" xfId="6973" xr:uid="{DA135DD0-814E-4C5B-B9CC-32B8D3AEC5AD}"/>
    <cellStyle name="Normal 12 7 3" xfId="6974" xr:uid="{792AB981-374F-4936-BB8F-20E4DC9BA1C2}"/>
    <cellStyle name="Normal 12 8" xfId="6975" xr:uid="{96BC10A2-16C8-4A69-A99C-EA14DE5952A8}"/>
    <cellStyle name="Normal 12 8 2" xfId="6976" xr:uid="{26BBEA1C-5D4F-4E5A-A387-03F713C5A8EF}"/>
    <cellStyle name="Normal 12 8 2 2" xfId="6977" xr:uid="{A227A71D-5F06-4098-9EA1-53D4494080AF}"/>
    <cellStyle name="Normal 12 8 3" xfId="6978" xr:uid="{B08DEF37-4002-4089-973C-4460B5070435}"/>
    <cellStyle name="Normal 12 9" xfId="6979" xr:uid="{583B6D17-06AF-46C1-9974-250893C54E42}"/>
    <cellStyle name="Normal 12 9 2" xfId="6980" xr:uid="{2276A4E7-D4BA-4DBF-BC2D-D8717D7EE3CC}"/>
    <cellStyle name="Normal 120" xfId="44514" xr:uid="{4F040C8F-2FC6-41CE-A56D-85AA7527AC23}"/>
    <cellStyle name="Normal 120 2" xfId="44515" xr:uid="{948FF762-E36D-4F69-96AF-D2457E0764C7}"/>
    <cellStyle name="Normal 121" xfId="44516" xr:uid="{5CEC4939-72C1-4395-A555-666BEE411CFA}"/>
    <cellStyle name="Normal 122" xfId="44517" xr:uid="{9BA936E8-5CE0-4899-99AF-E99832F2C998}"/>
    <cellStyle name="Normal 123" xfId="44518" xr:uid="{53194D85-F843-4892-BAC5-501676A657DA}"/>
    <cellStyle name="Normal 124" xfId="44519" xr:uid="{2F5FBC41-3F76-49E3-815A-96AE629143E7}"/>
    <cellStyle name="Normal 125" xfId="44520" xr:uid="{AB2EDC4E-5225-454F-BB01-F1167365B61F}"/>
    <cellStyle name="Normal 126" xfId="44521" xr:uid="{6D8FA9A8-162F-4514-8BFF-17B81ED6B7F5}"/>
    <cellStyle name="Normal 127" xfId="44522" xr:uid="{456D50AD-7EBE-4299-8270-F2985CF0E37C}"/>
    <cellStyle name="Normal 128" xfId="44523" xr:uid="{0E5C0B93-BA9B-48D6-BB69-107C1A4F5911}"/>
    <cellStyle name="Normal 129" xfId="44524" xr:uid="{8648D554-A7FB-4CD2-B0D5-F644A41216EE}"/>
    <cellStyle name="Normal 13" xfId="2048" xr:uid="{05D84351-B716-4A7C-B01E-38E476C7530C}"/>
    <cellStyle name="Normal 13 10" xfId="6981" xr:uid="{85992E4E-319D-475A-9829-52EF72317CBB}"/>
    <cellStyle name="Normal 13 2" xfId="6982" xr:uid="{B5673FC7-F272-4C56-BAD6-83AAD8465E2F}"/>
    <cellStyle name="Normal 13 2 2" xfId="6983" xr:uid="{85F0AD0E-A57C-426D-891F-C20686EEA5B7}"/>
    <cellStyle name="Normal 13 2 2 2" xfId="6984" xr:uid="{A3568665-A6F3-46D3-B219-9531F731A87A}"/>
    <cellStyle name="Normal 13 2 2 2 2" xfId="44525" xr:uid="{BAEEED2A-8978-48E7-BBFE-EEBD5322D858}"/>
    <cellStyle name="Normal 13 2 2 3" xfId="44526" xr:uid="{E07AE4E1-AD36-4156-B857-6500E870ED54}"/>
    <cellStyle name="Normal 13 2 3" xfId="6985" xr:uid="{BBD0E891-FD1E-462F-80CA-97B6F0A3C906}"/>
    <cellStyle name="Normal 13 2 3 2" xfId="44527" xr:uid="{DD0FD7EB-08B3-4969-9AAF-A2AA0C4C79C6}"/>
    <cellStyle name="Normal 13 2 4" xfId="6986" xr:uid="{5EB28CDB-DF0F-4094-B40A-FA71B5753D73}"/>
    <cellStyle name="Normal 13 3" xfId="6987" xr:uid="{8E52B069-F2A9-4710-9A2B-53D324934CC4}"/>
    <cellStyle name="Normal 13 3 2" xfId="6988" xr:uid="{F40D45DB-627B-4F24-8CD2-85C1E22BE070}"/>
    <cellStyle name="Normal 13 3 2 2" xfId="6989" xr:uid="{EE118665-4E09-4EB3-B995-4D5288C74427}"/>
    <cellStyle name="Normal 13 3 3" xfId="6990" xr:uid="{69161317-FCF6-433C-8E80-C3F211A5C1C9}"/>
    <cellStyle name="Normal 13 4" xfId="6991" xr:uid="{AEA9CFFA-B355-44FF-8F21-7A950939DCC2}"/>
    <cellStyle name="Normal 13 4 2" xfId="6992" xr:uid="{C33F0CF5-28E5-4811-93CF-E04E5E594F42}"/>
    <cellStyle name="Normal 13 4 2 2" xfId="6993" xr:uid="{7F1BD39D-6BDD-4D0C-AEB8-4E5AEFE65CEE}"/>
    <cellStyle name="Normal 13 4 3" xfId="6994" xr:uid="{0682066A-CB19-4A95-AD56-0B1000E3C548}"/>
    <cellStyle name="Normal 13 5" xfId="6995" xr:uid="{DF83CC7C-6266-47EC-98CD-214AD0AEC8B7}"/>
    <cellStyle name="Normal 13 5 2" xfId="6996" xr:uid="{8A4066B2-2A82-4D9B-ACFD-27D084A6092C}"/>
    <cellStyle name="Normal 13 5 2 2" xfId="6997" xr:uid="{A74C4A84-5F04-4460-A795-CFC323A8576D}"/>
    <cellStyle name="Normal 13 5 3" xfId="6998" xr:uid="{B776F9A9-F743-40AE-8FDC-21C61B63274D}"/>
    <cellStyle name="Normal 13 6" xfId="6999" xr:uid="{337B2599-74BF-4F5B-A319-A47D0CD53D49}"/>
    <cellStyle name="Normal 13 6 2" xfId="7000" xr:uid="{DD11BE42-5B1D-4309-9222-775BAF2BEB55}"/>
    <cellStyle name="Normal 13 6 2 2" xfId="7001" xr:uid="{571B176F-95AC-459A-9F01-4952C9B24BD5}"/>
    <cellStyle name="Normal 13 6 3" xfId="7002" xr:uid="{FC701163-DE44-4DCC-8F37-3E0F70FCAD53}"/>
    <cellStyle name="Normal 13 7" xfId="7003" xr:uid="{08D0F3EA-A724-486D-9452-18CBF19F3874}"/>
    <cellStyle name="Normal 13 7 2" xfId="7004" xr:uid="{C838B88D-42BD-48A8-AB16-0DC778BA85DE}"/>
    <cellStyle name="Normal 13 7 2 2" xfId="7005" xr:uid="{61E4C6AE-14CD-42C3-8BE0-CA949D7123B9}"/>
    <cellStyle name="Normal 13 7 3" xfId="7006" xr:uid="{515F0B64-45F8-4619-8AC7-3875CD523AAC}"/>
    <cellStyle name="Normal 13 8" xfId="7007" xr:uid="{26E63CB2-82FE-4E9F-93FC-48D67B2B624C}"/>
    <cellStyle name="Normal 13 8 2" xfId="7008" xr:uid="{D89220FC-B141-4842-90E4-4003E4BA15AB}"/>
    <cellStyle name="Normal 13 9" xfId="7009" xr:uid="{2244CCFF-EBC2-4E23-9568-055A2A071D3D}"/>
    <cellStyle name="Normal 130" xfId="44528" xr:uid="{653C3EBB-68B5-4D42-96E4-D682B1A5A5B4}"/>
    <cellStyle name="Normal 131" xfId="44529" xr:uid="{4DBE11F2-05BA-46FE-A879-020701ED214D}"/>
    <cellStyle name="Normal 132" xfId="44530" xr:uid="{255F78D8-3836-4DAB-8664-D06EAD06464E}"/>
    <cellStyle name="Normal 133" xfId="44531" xr:uid="{F079ABCD-3028-4D51-B403-E97F5A880D10}"/>
    <cellStyle name="Normal 134" xfId="44532" xr:uid="{3E9DB9EC-2E61-4CEE-B184-CC70B2859472}"/>
    <cellStyle name="Normal 135" xfId="44533" xr:uid="{C14F20D7-E744-4FDD-B81A-417E4D475C78}"/>
    <cellStyle name="Normal 136" xfId="44534" xr:uid="{CEF46371-9AA8-45A8-9F5E-ED1E25706217}"/>
    <cellStyle name="Normal 137" xfId="44535" xr:uid="{1CD74A40-4998-4309-983D-B0225197CE9E}"/>
    <cellStyle name="Normal 138" xfId="44536" xr:uid="{2BF99D08-3AB7-430E-B12D-21ACB3172F36}"/>
    <cellStyle name="Normal 139" xfId="44537" xr:uid="{3D42E119-7FE0-40E6-9BF6-D6D6224DAB0C}"/>
    <cellStyle name="Normal 14" xfId="2049" xr:uid="{BC089E40-41E2-46F0-8900-1C27A497EDC9}"/>
    <cellStyle name="Normal 14 10" xfId="7010" xr:uid="{F06B64A9-7C7A-43F0-8853-162E313A72C9}"/>
    <cellStyle name="Normal 14 2" xfId="7011" xr:uid="{2D0AA281-E9E8-4348-8822-98D771754A11}"/>
    <cellStyle name="Normal 14 2 2" xfId="7012" xr:uid="{04C12C46-B82B-4F6C-BAAD-4E5EC35766A1}"/>
    <cellStyle name="Normal 14 2 2 2" xfId="7013" xr:uid="{ADF7C622-E003-42CC-A213-C3F210B4D896}"/>
    <cellStyle name="Normal 14 2 3" xfId="7014" xr:uid="{74BF6B24-4B29-4165-BBC5-DA7036407DE7}"/>
    <cellStyle name="Normal 14 2 4" xfId="7015" xr:uid="{26E610E1-60FB-4972-9631-66A7B23C5914}"/>
    <cellStyle name="Normal 14 3" xfId="7016" xr:uid="{A949873E-B121-4149-8A98-8CC8B5CC4640}"/>
    <cellStyle name="Normal 14 3 2" xfId="7017" xr:uid="{9DBF24D5-59B5-439A-A917-8046C28E7557}"/>
    <cellStyle name="Normal 14 3 2 2" xfId="7018" xr:uid="{89524B0B-DF0A-41E6-9EDA-2C02A9E2ACCD}"/>
    <cellStyle name="Normal 14 3 3" xfId="7019" xr:uid="{38468661-F71A-4D9C-9AA2-2818B8862FD6}"/>
    <cellStyle name="Normal 14 4" xfId="7020" xr:uid="{78A656D9-26A9-4624-B1DF-B43D2B2C5EB0}"/>
    <cellStyle name="Normal 14 4 2" xfId="7021" xr:uid="{72149006-9ED1-4670-AD7E-CFC70DE9884E}"/>
    <cellStyle name="Normal 14 4 2 2" xfId="7022" xr:uid="{C7C96B66-3219-4D92-8D14-D944153E9D92}"/>
    <cellStyle name="Normal 14 4 3" xfId="7023" xr:uid="{51D5B20B-4ED5-43E0-A555-CE3C1959049E}"/>
    <cellStyle name="Normal 14 5" xfId="7024" xr:uid="{38737B5D-157F-4CCB-8E79-ECCFBD42A292}"/>
    <cellStyle name="Normal 14 5 2" xfId="7025" xr:uid="{01A043AC-42DA-437C-AD54-8BC0EE08F5C2}"/>
    <cellStyle name="Normal 14 5 2 2" xfId="7026" xr:uid="{846C4F10-2CF4-41A7-A606-50C9FCA48A05}"/>
    <cellStyle name="Normal 14 5 3" xfId="7027" xr:uid="{BB055C97-7A5D-4094-9F6C-A891C03B7652}"/>
    <cellStyle name="Normal 14 6" xfId="7028" xr:uid="{2701ED70-415A-43C1-A803-2ED763ED7560}"/>
    <cellStyle name="Normal 14 6 2" xfId="7029" xr:uid="{4C492719-E97B-4641-B2DB-B613303BE950}"/>
    <cellStyle name="Normal 14 6 2 2" xfId="7030" xr:uid="{AC770861-7C1A-4811-BBB6-83273024AFDE}"/>
    <cellStyle name="Normal 14 6 3" xfId="7031" xr:uid="{0C719FDE-1563-457F-A4E2-C56CCD6E50E3}"/>
    <cellStyle name="Normal 14 7" xfId="7032" xr:uid="{EB24F5F1-7531-4C07-BCFF-0992127A4F81}"/>
    <cellStyle name="Normal 14 7 2" xfId="7033" xr:uid="{3E3B10D6-783C-415F-AA27-85D08CAB9C1A}"/>
    <cellStyle name="Normal 14 7 2 2" xfId="7034" xr:uid="{A7D44A94-2365-44EF-A7EE-7043C63D6124}"/>
    <cellStyle name="Normal 14 7 3" xfId="7035" xr:uid="{3817BCD9-4CEC-4C83-AAD2-ED80377CFE0E}"/>
    <cellStyle name="Normal 14 8" xfId="7036" xr:uid="{6A45E2A4-7D6A-4D20-B13D-AC277045D1B8}"/>
    <cellStyle name="Normal 14 8 2" xfId="7037" xr:uid="{ACFC854C-527B-43E1-BB8A-DD0E0B53BB0F}"/>
    <cellStyle name="Normal 14 9" xfId="7038" xr:uid="{4D6D5D7F-F8C1-4C20-AC42-53327079DBB2}"/>
    <cellStyle name="Normal 140" xfId="44538" xr:uid="{2A46BC3E-CCB2-4E9A-A6CB-167767EBA931}"/>
    <cellStyle name="Normal 141" xfId="44539" xr:uid="{678A600B-FD89-4214-802A-EFDD8B42FA5C}"/>
    <cellStyle name="Normal 142" xfId="44540" xr:uid="{AB4FFB76-6F3C-4005-AEE0-695E8590FF7B}"/>
    <cellStyle name="Normal 143" xfId="44541" xr:uid="{E9248288-F044-43AB-AD76-4E609D8FCC97}"/>
    <cellStyle name="Normal 144" xfId="44542" xr:uid="{6B67EE7E-BF6F-4FD4-A552-F7576353F8C8}"/>
    <cellStyle name="Normal 145" xfId="44543" xr:uid="{4C1D9EE3-2FC8-4D72-A51D-EDD48173FB75}"/>
    <cellStyle name="Normal 146" xfId="44544" xr:uid="{6DA9902B-95F2-4342-A32F-C24B839DA79A}"/>
    <cellStyle name="Normal 147" xfId="44545" xr:uid="{DBF2221E-64E3-4A6A-9D5A-1102E692A63F}"/>
    <cellStyle name="Normal 148" xfId="44546" xr:uid="{7F671FE6-3D6A-4724-BE92-F930EA61B62D}"/>
    <cellStyle name="Normal 149" xfId="44712" xr:uid="{40EF9E20-A9E4-47FC-A54F-DA852455FB3C}"/>
    <cellStyle name="Normal 15" xfId="65" xr:uid="{8849EE79-486F-4FD0-B6B0-A6537565653B}"/>
    <cellStyle name="Normal 15 10" xfId="7039" xr:uid="{077FF6EF-5D54-491B-A626-7B8E7F100823}"/>
    <cellStyle name="Normal 15 2" xfId="7040" xr:uid="{A9BD19FC-BCD9-42C3-85C6-6F6B2DBBB179}"/>
    <cellStyle name="Normal 15 2 2" xfId="7041" xr:uid="{F2DFB75E-141B-4B66-80CF-8F45E0E4AF12}"/>
    <cellStyle name="Normal 15 2 2 2" xfId="7042" xr:uid="{BF07C46E-96B0-4242-AE4D-70F6F42A2CFA}"/>
    <cellStyle name="Normal 15 2 3" xfId="7043" xr:uid="{CDA7D0DE-53DB-46CE-B05A-510A105D4A5B}"/>
    <cellStyle name="Normal 15 2 4" xfId="7044" xr:uid="{391EDC0F-08D9-466C-A159-06E9CF91A3AF}"/>
    <cellStyle name="Normal 15 3" xfId="7045" xr:uid="{50AA3E04-B636-41DE-84D2-5E1965C2DA72}"/>
    <cellStyle name="Normal 15 3 2" xfId="7046" xr:uid="{204C72B9-1349-4D53-B223-6BE6B344E09B}"/>
    <cellStyle name="Normal 15 3 2 2" xfId="7047" xr:uid="{57D0C0B4-9297-43E3-8C47-1A18E0C7D3F0}"/>
    <cellStyle name="Normal 15 3 3" xfId="7048" xr:uid="{AA3123FD-EA20-43B8-8E02-5357AECAC456}"/>
    <cellStyle name="Normal 15 4" xfId="7049" xr:uid="{A9F55C33-331F-4EC3-91C2-A7E3F18082CE}"/>
    <cellStyle name="Normal 15 4 2" xfId="7050" xr:uid="{551C727B-F122-4CE4-9198-B3609E2EBB10}"/>
    <cellStyle name="Normal 15 4 2 2" xfId="7051" xr:uid="{887A5185-368B-4CDB-97B1-11FA5E22F9C8}"/>
    <cellStyle name="Normal 15 4 3" xfId="7052" xr:uid="{BA61B889-E170-4E4C-898B-F585C2ACB8FA}"/>
    <cellStyle name="Normal 15 5" xfId="7053" xr:uid="{CB4A48EB-74E0-40C3-B193-E842CA329F21}"/>
    <cellStyle name="Normal 15 5 2" xfId="7054" xr:uid="{AB1A495E-1FEF-4446-9EAB-3A5B739D5613}"/>
    <cellStyle name="Normal 15 5 2 2" xfId="7055" xr:uid="{DB36F1F2-329A-46E6-BE62-ADF68A50A2DD}"/>
    <cellStyle name="Normal 15 5 3" xfId="7056" xr:uid="{443AB6A1-7047-496B-8953-7F39ABB1C3A1}"/>
    <cellStyle name="Normal 15 6" xfId="7057" xr:uid="{2C1A921A-27DC-4000-AE25-DDD7634D0E18}"/>
    <cellStyle name="Normal 15 6 2" xfId="7058" xr:uid="{CC13A9C6-DB32-4035-8798-656995771A7D}"/>
    <cellStyle name="Normal 15 6 2 2" xfId="7059" xr:uid="{685A12BA-7FD4-4A12-A903-A3135F2E4BB8}"/>
    <cellStyle name="Normal 15 6 3" xfId="7060" xr:uid="{EE5BBEE8-7436-43F6-947D-7B550ECEF94C}"/>
    <cellStyle name="Normal 15 7" xfId="7061" xr:uid="{D2CAE01E-960F-422F-8A32-C5D3A657DD4B}"/>
    <cellStyle name="Normal 15 7 2" xfId="7062" xr:uid="{9431A55A-6F4D-4F49-9767-4C98BD3C7D0F}"/>
    <cellStyle name="Normal 15 7 2 2" xfId="7063" xr:uid="{D1065E74-808C-4EC0-BCDF-26F88B7BDF64}"/>
    <cellStyle name="Normal 15 7 3" xfId="7064" xr:uid="{503CDBF1-9B4A-49B8-8FFD-4E88FE8F4138}"/>
    <cellStyle name="Normal 15 8" xfId="7065" xr:uid="{20D46BA6-B001-449E-8DDF-3CF16A037DDE}"/>
    <cellStyle name="Normal 15 8 2" xfId="7066" xr:uid="{7E0D6E94-3A47-4FDF-8218-D519F93D6656}"/>
    <cellStyle name="Normal 15 9" xfId="7067" xr:uid="{75A4221F-F1FD-47AB-A5FB-5A96ECFBA50A}"/>
    <cellStyle name="Normal 150" xfId="44728" xr:uid="{30598D92-CF18-4568-9D6A-75763AC405F8}"/>
    <cellStyle name="Normal 151" xfId="44730" xr:uid="{5F22F1CF-7556-498E-AE2C-DD1D5B37335D}"/>
    <cellStyle name="Normal 152" xfId="44731" xr:uid="{B0DE63EA-E6EC-4BE4-A8F9-7A7D7A967466}"/>
    <cellStyle name="Normal 153" xfId="44732" xr:uid="{A06D6D8E-38C1-4646-BB54-6980B60AAEC3}"/>
    <cellStyle name="Normal 153 2" xfId="44739" xr:uid="{68010555-E419-41C8-948E-FEDCFC445A9B}"/>
    <cellStyle name="Normal 154" xfId="44742" xr:uid="{9B22A9E1-67D9-47B6-9B4A-75E6E59EEEBF}"/>
    <cellStyle name="Normal 155" xfId="44751" xr:uid="{2C932C35-3821-4F10-8769-226F4BD224DB}"/>
    <cellStyle name="Normal 156" xfId="44760" xr:uid="{755F32D2-47F3-4256-8227-226C6F72C14B}"/>
    <cellStyle name="Normal 157" xfId="44813" xr:uid="{B27C91E4-E3F5-4592-92EC-66A950C287F8}"/>
    <cellStyle name="Normal 158" xfId="44815" xr:uid="{7668261B-6C75-4DE5-8EDD-018384EF2690}"/>
    <cellStyle name="Normal 159" xfId="44817" xr:uid="{CB9DC002-9903-4DFE-837C-A5C19D695625}"/>
    <cellStyle name="Normal 16" xfId="33" xr:uid="{50DBCE9F-80CE-481D-A5B7-A94F1AD649C5}"/>
    <cellStyle name="Normal 16 10" xfId="7068" xr:uid="{67036EE7-8F64-4C94-B1A2-76A9264021D2}"/>
    <cellStyle name="Normal 16 10 2" xfId="7069" xr:uid="{59A04F5B-AFC2-4E71-9AD1-3D10EA2D12A0}"/>
    <cellStyle name="Normal 16 10 2 2" xfId="7070" xr:uid="{174A9654-1A11-45B6-9336-B032B6053446}"/>
    <cellStyle name="Normal 16 10 3" xfId="7071" xr:uid="{FB9B7862-B2B0-45E5-B693-C072C858D54A}"/>
    <cellStyle name="Normal 16 11" xfId="7072" xr:uid="{31B18C23-4401-4542-A43C-40187DC8E795}"/>
    <cellStyle name="Normal 16 2" xfId="7073" xr:uid="{71840C7D-88B2-4760-9BEB-5F2C78FBF64B}"/>
    <cellStyle name="Normal 16 3" xfId="7074" xr:uid="{0000FD88-DD37-4059-B679-0FE436E6B7B4}"/>
    <cellStyle name="Normal 16 3 2" xfId="7075" xr:uid="{CC762813-1C94-444B-9352-67A1E2EEAF4F}"/>
    <cellStyle name="Normal 16 3 2 2" xfId="7076" xr:uid="{85AFF943-3592-4C7B-A29E-19031078329F}"/>
    <cellStyle name="Normal 16 3 3" xfId="7077" xr:uid="{1802C1EB-D3EB-4634-B127-C8C192F063D9}"/>
    <cellStyle name="Normal 16 3 4" xfId="7078" xr:uid="{5DF959C0-813D-4B62-BBE0-D9513A5532CC}"/>
    <cellStyle name="Normal 16 4" xfId="7079" xr:uid="{75909215-A369-4E9C-9D5D-949400B7413E}"/>
    <cellStyle name="Normal 16 5" xfId="7080" xr:uid="{2A30718C-8157-49F7-BCB7-FCAAD29A80A6}"/>
    <cellStyle name="Normal 16 6" xfId="7081" xr:uid="{D9C39888-C8F4-4D1C-95F7-E255C9C390A6}"/>
    <cellStyle name="Normal 16 6 2" xfId="7082" xr:uid="{9096D55C-3E71-4D7E-ACB8-46A7A7D05BA0}"/>
    <cellStyle name="Normal 16 6 2 2" xfId="7083" xr:uid="{C8359F21-A4C0-4A5D-A19A-E1D139D2E58E}"/>
    <cellStyle name="Normal 16 6 3" xfId="7084" xr:uid="{B83C7C5D-1D78-4B73-AFED-688319DB2126}"/>
    <cellStyle name="Normal 16 7" xfId="7085" xr:uid="{4FC63138-D906-4444-8659-4962590332A5}"/>
    <cellStyle name="Normal 16 7 2" xfId="7086" xr:uid="{B87BC980-71A6-448D-8085-CEE0EBAE5B64}"/>
    <cellStyle name="Normal 16 7 2 2" xfId="7087" xr:uid="{FA2CDB8E-7B32-480C-A558-002FAF344274}"/>
    <cellStyle name="Normal 16 7 3" xfId="7088" xr:uid="{77809937-D703-446A-9F4F-39C6430D989D}"/>
    <cellStyle name="Normal 16 8" xfId="7089" xr:uid="{62F48E55-540F-4645-AE61-91D0B660C9F8}"/>
    <cellStyle name="Normal 16 8 2" xfId="7090" xr:uid="{7DD15F16-9ACA-4C31-8F63-7F0A8D45453B}"/>
    <cellStyle name="Normal 16 8 2 2" xfId="7091" xr:uid="{63D7A471-977D-4621-8DA0-BB559442306F}"/>
    <cellStyle name="Normal 16 8 3" xfId="7092" xr:uid="{239F96FC-8F8C-47B8-9E13-C83D5CC11BF8}"/>
    <cellStyle name="Normal 16 9" xfId="7093" xr:uid="{CC8929A7-0CF5-4B4F-AB58-2E846F0C6D87}"/>
    <cellStyle name="Normal 16 9 2" xfId="7094" xr:uid="{AEAA1249-459D-46FB-99C6-77E62783D4C7}"/>
    <cellStyle name="Normal 16 9 2 2" xfId="7095" xr:uid="{5A1A8EA8-2A3F-4F13-87B5-8777C4817576}"/>
    <cellStyle name="Normal 16 9 3" xfId="7096" xr:uid="{20EB7DA7-B468-41C4-853E-90BA69C38F62}"/>
    <cellStyle name="Normal 160" xfId="44822" xr:uid="{37BD0B18-F19D-42E2-B26D-9232676519E9}"/>
    <cellStyle name="Normal 17" xfId="2050" xr:uid="{E4C2282E-2625-4C84-A3BB-0AD98CF33DF1}"/>
    <cellStyle name="Normal 17 10" xfId="7097" xr:uid="{006B3949-9388-47F0-A1FE-B60820A44A5E}"/>
    <cellStyle name="Normal 17 10 2" xfId="31561" xr:uid="{EFFC754F-D9B1-45E5-A7F6-E597D7EB8E40}"/>
    <cellStyle name="Normal 17 10 3" xfId="44254" xr:uid="{91FF3F51-1AB8-459F-8E7C-4905697F8B77}"/>
    <cellStyle name="Normal 17 11" xfId="7098" xr:uid="{FB685CEF-5C75-42D5-BB89-26EB994198BE}"/>
    <cellStyle name="Normal 17 11 2" xfId="31562" xr:uid="{1BE3B221-2CBD-4853-8338-F407D7E3A7D2}"/>
    <cellStyle name="Normal 17 2" xfId="7099" xr:uid="{F9817B9D-9BB8-48FC-9873-946A2149A53A}"/>
    <cellStyle name="Normal 17 2 2" xfId="7100" xr:uid="{EEB6C7EA-7937-4288-A0F8-27DA67E0BF2A}"/>
    <cellStyle name="Normal 17 2 3" xfId="7101" xr:uid="{A91461C1-EF73-4961-ACA6-B40E07A99F08}"/>
    <cellStyle name="Normal 17 3" xfId="7102" xr:uid="{2AADE032-700B-456D-937B-3B37D3679FFB}"/>
    <cellStyle name="Normal 17 3 2" xfId="7103" xr:uid="{5AD6188B-4656-4F44-B4FC-C59E5C84C254}"/>
    <cellStyle name="Normal 17 3 2 2" xfId="7104" xr:uid="{7A7FB737-EF32-44D9-AE07-693AEBB16BA6}"/>
    <cellStyle name="Normal 17 3 2 2 2" xfId="7105" xr:uid="{FFFCA71B-7EE8-48A6-961A-5F5E69DF2EAF}"/>
    <cellStyle name="Normal 17 3 2 2 2 2" xfId="31563" xr:uid="{FA901E2A-97F4-40EB-867C-7F4A2D50B745}"/>
    <cellStyle name="Normal 17 3 2 2 3" xfId="31564" xr:uid="{EA155030-E8FB-45FF-81E2-17DA6E7C6801}"/>
    <cellStyle name="Normal 17 3 2 3" xfId="7106" xr:uid="{296687DE-F1A0-49FC-8B28-EC2EE7B08ACF}"/>
    <cellStyle name="Normal 17 3 2 3 2" xfId="31565" xr:uid="{C79B641A-6CB2-4A61-B06F-DD2F10966D60}"/>
    <cellStyle name="Normal 17 3 2 4" xfId="7107" xr:uid="{47B2F644-94BA-4F9F-9DBC-37BC1B8FF22E}"/>
    <cellStyle name="Normal 17 3 2 4 2" xfId="31566" xr:uid="{9E098FF0-2774-4A9F-9F16-C10E6D8E0790}"/>
    <cellStyle name="Normal 17 3 2 5" xfId="31567" xr:uid="{11A5DF7B-B191-49FC-AAB6-02EE1D7A98A2}"/>
    <cellStyle name="Normal 17 3 3" xfId="7108" xr:uid="{64A6BE74-CA34-468C-AAAA-20FB33B85375}"/>
    <cellStyle name="Normal 17 3 3 2" xfId="7109" xr:uid="{905FEBB2-9DC1-4358-8EF3-90140A4C0075}"/>
    <cellStyle name="Normal 17 3 3 2 2" xfId="7110" xr:uid="{793DF062-C1AA-45CE-9087-39233FDF5E7F}"/>
    <cellStyle name="Normal 17 3 3 2 2 2" xfId="31568" xr:uid="{1DF11802-746F-4107-8BD2-F48CBED41E48}"/>
    <cellStyle name="Normal 17 3 3 2 3" xfId="31569" xr:uid="{A200734C-12CD-4374-8470-0AEF70CF66CC}"/>
    <cellStyle name="Normal 17 3 3 3" xfId="7111" xr:uid="{7D82DB87-F619-4437-80AE-094FBD9FD2D2}"/>
    <cellStyle name="Normal 17 3 3 3 2" xfId="31570" xr:uid="{4ABABC9D-2905-4B0A-BC39-A711248810CE}"/>
    <cellStyle name="Normal 17 3 3 4" xfId="7112" xr:uid="{A25C132E-52B0-4D90-A4D3-9E7F593A0A05}"/>
    <cellStyle name="Normal 17 3 3 4 2" xfId="31571" xr:uid="{D601F7C5-4CA6-46FE-8EE2-1F811AED673C}"/>
    <cellStyle name="Normal 17 3 3 5" xfId="31572" xr:uid="{218F456B-3109-45D5-B649-BDE88072BAA9}"/>
    <cellStyle name="Normal 17 3 4" xfId="7113" xr:uid="{894314E2-06F0-43C8-AE56-F9E3EBFCD574}"/>
    <cellStyle name="Normal 17 3 4 2" xfId="7114" xr:uid="{B88CC6B7-416B-4419-AEA4-4D306AA3FC4D}"/>
    <cellStyle name="Normal 17 3 4 2 2" xfId="31573" xr:uid="{7DBC416E-23B5-4536-8B98-E6DBF1FF2B84}"/>
    <cellStyle name="Normal 17 3 4 3" xfId="31574" xr:uid="{DFF4F2C8-DE8B-40BD-AAB3-15F985148D3E}"/>
    <cellStyle name="Normal 17 3 5" xfId="7115" xr:uid="{5A7D34E4-E21E-4AA9-A56B-784A0D940432}"/>
    <cellStyle name="Normal 17 3 5 2" xfId="7116" xr:uid="{0D7AD925-EB50-41E1-9225-543B3F8780D9}"/>
    <cellStyle name="Normal 17 3 5 2 2" xfId="31575" xr:uid="{9519E018-5877-4013-A78A-FD8A880C5A16}"/>
    <cellStyle name="Normal 17 3 5 3" xfId="31576" xr:uid="{A86A4EF3-D6BD-416A-BC5A-187C21AC4456}"/>
    <cellStyle name="Normal 17 3 6" xfId="7117" xr:uid="{96A6B781-BAC5-431B-97C5-E666F8424D79}"/>
    <cellStyle name="Normal 17 3 6 2" xfId="31577" xr:uid="{13261D47-AE23-4BE4-9DA7-F7D466C5B8BB}"/>
    <cellStyle name="Normal 17 3 7" xfId="7118" xr:uid="{A382A789-ED4A-47AA-A1ED-31AAEA5FF7FC}"/>
    <cellStyle name="Normal 17 3 7 2" xfId="31578" xr:uid="{DFB258A1-F396-42F7-B024-D7ECCC0B3682}"/>
    <cellStyle name="Normal 17 3 8" xfId="31579" xr:uid="{07EC4F41-6E74-412E-8FEE-C0864C292FBB}"/>
    <cellStyle name="Normal 17 4" xfId="7119" xr:uid="{681203CC-5119-4E60-9CC1-EE74314D2308}"/>
    <cellStyle name="Normal 17 5" xfId="7120" xr:uid="{407F6FC8-4A72-4F92-8DF9-717F10B33C2B}"/>
    <cellStyle name="Normal 17 5 2" xfId="7121" xr:uid="{687FBF80-225C-4A9A-876B-A25CA66B6EC8}"/>
    <cellStyle name="Normal 17 5 2 2" xfId="7122" xr:uid="{6DD3956B-410F-4CDC-AE44-365107DEAA30}"/>
    <cellStyle name="Normal 17 5 2 2 2" xfId="31580" xr:uid="{93D91D53-BF14-43E1-82A0-E2410DF911BA}"/>
    <cellStyle name="Normal 17 5 2 3" xfId="31581" xr:uid="{2A557356-335B-4DFA-820F-52189E6FEF2F}"/>
    <cellStyle name="Normal 17 5 3" xfId="7123" xr:uid="{7C393667-3BA4-4637-B566-C5CB3C95434C}"/>
    <cellStyle name="Normal 17 5 3 2" xfId="31582" xr:uid="{A8BBC7DB-3826-4692-A707-8A3D29205C87}"/>
    <cellStyle name="Normal 17 5 4" xfId="7124" xr:uid="{FF89CFDA-5988-45C2-95C6-0AEA9B06DBBE}"/>
    <cellStyle name="Normal 17 5 4 2" xfId="31583" xr:uid="{F2514A31-829A-4882-8E78-4435D276169E}"/>
    <cellStyle name="Normal 17 5 5" xfId="31584" xr:uid="{D4F7525B-CD51-4EEF-B736-8DE345BEF66E}"/>
    <cellStyle name="Normal 17 6" xfId="7125" xr:uid="{7BD4F886-95FF-49D0-BF6F-DB1775E61D81}"/>
    <cellStyle name="Normal 17 6 2" xfId="7126" xr:uid="{9CF61AB3-66DD-4627-BF85-E503FB41CEC4}"/>
    <cellStyle name="Normal 17 6 2 2" xfId="7127" xr:uid="{D35CBEE8-CB4E-41E5-9DE0-7B57B1C84478}"/>
    <cellStyle name="Normal 17 6 2 2 2" xfId="31585" xr:uid="{57145DEE-D974-4A0E-9AB7-266FE205EBC0}"/>
    <cellStyle name="Normal 17 6 2 3" xfId="31586" xr:uid="{8A3AECA5-7706-4704-8D72-C9E01191224D}"/>
    <cellStyle name="Normal 17 6 3" xfId="7128" xr:uid="{BD8DFD51-9A02-49E6-87A2-B15143FFC565}"/>
    <cellStyle name="Normal 17 6 3 2" xfId="31587" xr:uid="{78D0DC0F-0202-4857-BE44-0D6CBB8C2EC8}"/>
    <cellStyle name="Normal 17 6 4" xfId="7129" xr:uid="{FB65AB58-5A45-443C-AAF9-1562C8819FE4}"/>
    <cellStyle name="Normal 17 6 4 2" xfId="31588" xr:uid="{91FD1E26-8F96-417A-928D-6378BE3FF9E6}"/>
    <cellStyle name="Normal 17 6 5" xfId="31589" xr:uid="{65042119-D36E-4B1F-8F3E-DE57EE318121}"/>
    <cellStyle name="Normal 17 7" xfId="7130" xr:uid="{15F9275E-774F-4FC8-AD81-2AD9E8579333}"/>
    <cellStyle name="Normal 17 7 2" xfId="7131" xr:uid="{D817C47A-28D6-4FFB-9B21-0F8BBE998168}"/>
    <cellStyle name="Normal 17 7 2 2" xfId="31590" xr:uid="{B175FC48-3C5B-46E5-B3F9-F7CF88D4571F}"/>
    <cellStyle name="Normal 17 7 3" xfId="31591" xr:uid="{F72DC3D3-7A8F-4CAD-8A56-3F7B5ABF10AA}"/>
    <cellStyle name="Normal 17 8" xfId="7132" xr:uid="{3478750E-7686-460C-BE54-B2D85FFA5128}"/>
    <cellStyle name="Normal 17 8 2" xfId="7133" xr:uid="{D1B70A06-EB00-4F7B-BA40-BD7ACE3B00FF}"/>
    <cellStyle name="Normal 17 8 2 2" xfId="31592" xr:uid="{FF0FC4A7-E597-4A2B-AA05-71FA452C1BFD}"/>
    <cellStyle name="Normal 17 8 3" xfId="31593" xr:uid="{1C444C14-C616-4A85-84DA-3D0B2187A98A}"/>
    <cellStyle name="Normal 17 9" xfId="7134" xr:uid="{0A077042-5005-4D58-9AE1-EB55EE0DBE8A}"/>
    <cellStyle name="Normal 17 9 2" xfId="31594" xr:uid="{510C8DB9-AB11-4826-8CC4-AB457E4405B5}"/>
    <cellStyle name="Normal 18" xfId="2051" xr:uid="{170670BF-13D9-446B-BF7C-7D9940D6CC16}"/>
    <cellStyle name="Normal 18 10" xfId="7135" xr:uid="{6FC61215-C399-45A3-B78B-2005DC0FB225}"/>
    <cellStyle name="Normal 18 11" xfId="7136" xr:uid="{96837AB1-12B4-44AE-BF78-8F060AAA7C46}"/>
    <cellStyle name="Normal 18 12" xfId="7137" xr:uid="{E56AAABB-BDAD-4994-A228-463AA2B7E576}"/>
    <cellStyle name="Normal 18 13" xfId="7138" xr:uid="{B619A9F1-9A6F-40EF-83F4-267FCE7690CC}"/>
    <cellStyle name="Normal 18 14" xfId="7139" xr:uid="{502F1379-C36C-4797-9C80-C9DAE4B6AAA2}"/>
    <cellStyle name="Normal 18 15" xfId="7140" xr:uid="{9102D98A-75D1-4350-B89B-708EF5081A70}"/>
    <cellStyle name="Normal 18 16" xfId="7141" xr:uid="{537A9101-FC6C-40ED-A1D6-EFCC9296DD9D}"/>
    <cellStyle name="Normal 18 17" xfId="7142" xr:uid="{9486388C-14F5-4216-AE2E-D60D8260E4FD}"/>
    <cellStyle name="Normal 18 18" xfId="7143" xr:uid="{2A23F1CE-E192-4837-AF17-9FF5D3017BF1}"/>
    <cellStyle name="Normal 18 19" xfId="7144" xr:uid="{16C56534-2022-47F5-AF77-C7B9E8FEACC1}"/>
    <cellStyle name="Normal 18 2" xfId="7145" xr:uid="{35BD9A21-D943-4FF7-BC80-26B57DAE36F8}"/>
    <cellStyle name="Normal 18 20" xfId="7146" xr:uid="{A031EF26-90AB-4B61-BE09-C5E0E219C2EB}"/>
    <cellStyle name="Normal 18 21" xfId="7147" xr:uid="{AD6A13E2-AC7B-41E4-91CE-853BF0F82007}"/>
    <cellStyle name="Normal 18 22" xfId="7148" xr:uid="{5C513710-571D-495F-A308-D2D5CF773934}"/>
    <cellStyle name="Normal 18 23" xfId="7149" xr:uid="{B7949A9C-CF0E-4145-8E85-126F3E513DC9}"/>
    <cellStyle name="Normal 18 24" xfId="7150" xr:uid="{2993577F-44DF-4322-9A83-7687844A674C}"/>
    <cellStyle name="Normal 18 25" xfId="7151" xr:uid="{A384BE3F-3D53-459D-BEC2-0CAC76A8D2C2}"/>
    <cellStyle name="Normal 18 26" xfId="7152" xr:uid="{D74E31CF-5358-447C-B345-60C9214DE417}"/>
    <cellStyle name="Normal 18 27" xfId="7153" xr:uid="{B733E024-0E5C-40F8-A057-5C7A07230429}"/>
    <cellStyle name="Normal 18 28" xfId="7154" xr:uid="{714B6FEC-B39F-40ED-8067-2E37E26D609A}"/>
    <cellStyle name="Normal 18 29" xfId="7155" xr:uid="{96B619AA-702B-448D-96B4-2B6CF14FE371}"/>
    <cellStyle name="Normal 18 3" xfId="7156" xr:uid="{8DE5C1FA-A011-49DC-A955-7496DAA4EF73}"/>
    <cellStyle name="Normal 18 30" xfId="7157" xr:uid="{CE075625-B23E-4652-A84C-761AD948F295}"/>
    <cellStyle name="Normal 18 30 2" xfId="7158" xr:uid="{7ADE5E76-54A7-45D7-92AC-4890C2856C79}"/>
    <cellStyle name="Normal 18 30 3" xfId="7159" xr:uid="{2A8E4AE1-68CB-4743-9C69-5B90DC38580B}"/>
    <cellStyle name="Normal 18 30 4" xfId="7160" xr:uid="{A3E94D8F-576B-4FE2-BADD-3F76E082AE66}"/>
    <cellStyle name="Normal 18 30 5" xfId="7161" xr:uid="{A53BAFAE-6A1E-499E-9B5C-FD342C7193B7}"/>
    <cellStyle name="Normal 18 4" xfId="7162" xr:uid="{78D379B3-5346-44EF-BF01-8E7931D7F69B}"/>
    <cellStyle name="Normal 18 5" xfId="7163" xr:uid="{F7F5F078-A843-4465-881A-FFD2EFA6F674}"/>
    <cellStyle name="Normal 18 6" xfId="7164" xr:uid="{7FED782E-DD26-4409-9F49-D2962A4FBD75}"/>
    <cellStyle name="Normal 18 7" xfId="7165" xr:uid="{EAA8CD5D-C802-4C62-888A-8DC796DF11B3}"/>
    <cellStyle name="Normal 18 8" xfId="7166" xr:uid="{0E6F4CD0-F0A6-421C-96A6-CF521BB98398}"/>
    <cellStyle name="Normal 18 9" xfId="7167" xr:uid="{754C13B1-868F-4CE5-AE9A-3E1A703F5A88}"/>
    <cellStyle name="Normal 19" xfId="2052" xr:uid="{D1A22115-B013-4DED-883C-0527871481D6}"/>
    <cellStyle name="Normal 19 2" xfId="7168" xr:uid="{3F0DE01A-E535-4F8B-850E-C17CAEF5949B}"/>
    <cellStyle name="Normal 19 3" xfId="7169" xr:uid="{02996788-029A-4E4D-BBE6-085192096B8D}"/>
    <cellStyle name="Normal 19 3 2" xfId="7170" xr:uid="{343A7335-0CFB-43F6-844B-B9CCD320036B}"/>
    <cellStyle name="Normal 19 3 3" xfId="7171" xr:uid="{7F31C66E-2853-49D6-BC18-89E559CC81C2}"/>
    <cellStyle name="Normal 19 3 4" xfId="7172" xr:uid="{9EFAFAA7-163A-4097-ACA5-DDC6F615288B}"/>
    <cellStyle name="Normal 19 3 5" xfId="7173" xr:uid="{2E0095EC-036A-4BC1-BE14-1DB996CA47B8}"/>
    <cellStyle name="Normal 19 4" xfId="7174" xr:uid="{455198C0-B600-461E-893D-FEAA54A2BF6C}"/>
    <cellStyle name="Normal 2" xfId="5" xr:uid="{500413C1-C99C-496E-A025-28A4A76CBAC2}"/>
    <cellStyle name="Normal 2 10" xfId="7175" xr:uid="{BB33F0F1-1978-42A6-96C2-9494E91AD68D}"/>
    <cellStyle name="Normal 2 10 2" xfId="7176" xr:uid="{24E5A0A2-E60A-4935-A297-1A0EFFA0D2F1}"/>
    <cellStyle name="Normal 2 10 3" xfId="7177" xr:uid="{D4CEB434-0DD5-40E1-BCE0-055E8D60280C}"/>
    <cellStyle name="Normal 2 10 4" xfId="7178" xr:uid="{08B2519D-677A-42B6-9388-A6C33B4287E0}"/>
    <cellStyle name="Normal 2 11" xfId="7179" xr:uid="{F3F2A52B-77CA-4593-B883-D777336FDFB1}"/>
    <cellStyle name="Normal 2 11 2" xfId="7180" xr:uid="{D520E9FF-4077-409A-813E-4A898DCA6D19}"/>
    <cellStyle name="Normal 2 11 3" xfId="7181" xr:uid="{AF77F456-D3D1-490C-AAF6-C9A7E06F1985}"/>
    <cellStyle name="Normal 2 11 4" xfId="7182" xr:uid="{520731D8-9179-467B-99CA-F5D9E9BE308B}"/>
    <cellStyle name="Normal 2 12" xfId="7183" xr:uid="{FCA9FEEE-348A-4607-AD2A-E9D3DE71681A}"/>
    <cellStyle name="Normal 2 13" xfId="7184" xr:uid="{0D86B63C-B0A6-40F5-980C-4054D2BDEF26}"/>
    <cellStyle name="Normal 2 14" xfId="7185" xr:uid="{BA37B113-1F8F-4D5A-A104-98C734FD4B98}"/>
    <cellStyle name="Normal 2 15" xfId="7186" xr:uid="{1548D969-5388-4D69-A747-C52A76F60418}"/>
    <cellStyle name="Normal 2 16" xfId="7187" xr:uid="{B8A0CE8A-34A9-4A8D-8824-49FA2B9E67F6}"/>
    <cellStyle name="Normal 2 17" xfId="7188" xr:uid="{7C9F947F-D5F0-44EB-99F4-2099EB8BD946}"/>
    <cellStyle name="Normal 2 18" xfId="7189" xr:uid="{D7D509F9-81E3-4DF5-9A36-E494EDD38BA8}"/>
    <cellStyle name="Normal 2 19" xfId="44177" xr:uid="{16D5399D-BF8D-4BBF-AF30-6C092418243D}"/>
    <cellStyle name="Normal 2 2" xfId="7" xr:uid="{5944DFD4-0A69-4560-BAC2-6738A5A98DAC}"/>
    <cellStyle name="Normal 2 2 2" xfId="2053" xr:uid="{10B87A52-0A2A-46EC-A941-B9C9C34FD6D3}"/>
    <cellStyle name="Normal 2 2 2 2" xfId="44809" xr:uid="{4F3B4691-D654-4D0B-B309-AE8ADE1F54DA}"/>
    <cellStyle name="Normal 2 2 2 3" xfId="44772" xr:uid="{10FBE0EF-0182-490F-8DFB-FD684E678525}"/>
    <cellStyle name="Normal 2 2 3" xfId="2054" xr:uid="{7D8F71FD-0861-40D3-AC92-FAC666950FA5}"/>
    <cellStyle name="Normal 2 2 4" xfId="9710" xr:uid="{81F65421-C82E-44BC-BED4-3A3F697F35CE}"/>
    <cellStyle name="Normal 2 2 5" xfId="44762" xr:uid="{D323DB60-81AF-4DD0-87ED-DB3FEE0634C3}"/>
    <cellStyle name="Normal 2 2 6" xfId="44753" xr:uid="{B2A121B6-6A3D-4900-B67A-4A089B8DDBB1}"/>
    <cellStyle name="Normal 2 20" xfId="44246" xr:uid="{E77EA860-3229-4973-B384-81BD58A9670F}"/>
    <cellStyle name="Normal 2 21" xfId="44763" xr:uid="{9996FEF6-207A-417D-B015-AEBBA670487F}"/>
    <cellStyle name="Normal 2 3" xfId="12" xr:uid="{CDE17971-BE28-4839-84FC-0322D263A20D}"/>
    <cellStyle name="Normal 2 3 10" xfId="7190" xr:uid="{4FA2E4E5-7918-4180-AA55-B9BF6E5A5812}"/>
    <cellStyle name="Normal 2 3 11" xfId="7191" xr:uid="{36FEDCE0-03B9-4934-9369-38D22C376B8D}"/>
    <cellStyle name="Normal 2 3 11 2" xfId="7192" xr:uid="{D0EC3C72-BF1F-4262-BF3C-0E84713668EB}"/>
    <cellStyle name="Normal 2 3 12" xfId="7193" xr:uid="{AA8AC334-34EC-491E-B76D-5B311AAAEDFE}"/>
    <cellStyle name="Normal 2 3 13" xfId="7194" xr:uid="{AE3B5FA4-D43E-4ABF-B205-9185C704E2D1}"/>
    <cellStyle name="Normal 2 3 14" xfId="7195" xr:uid="{8C38B5D0-EFC4-47CB-A4D2-F2F0629E82F1}"/>
    <cellStyle name="Normal 2 3 15" xfId="44779" xr:uid="{FFE0FA79-30B4-4A94-82F8-9C01C3081302}"/>
    <cellStyle name="Normal 2 3 16" xfId="2055" xr:uid="{02A5A8DE-A66B-4A91-B38F-848FEA88A602}"/>
    <cellStyle name="Normal 2 3 2" xfId="7196" xr:uid="{AFA2541F-55C5-41E6-88D2-97D676388547}"/>
    <cellStyle name="Normal 2 3 2 10" xfId="7197" xr:uid="{4B0BC15C-D444-40A9-B421-CBDA54787146}"/>
    <cellStyle name="Normal 2 3 2 11" xfId="44796" xr:uid="{67C71766-E68D-4041-B1E1-243C39C802D3}"/>
    <cellStyle name="Normal 2 3 2 2" xfId="7198" xr:uid="{9576E717-340B-4202-A49C-E016B646CE4F}"/>
    <cellStyle name="Normal 2 3 2 2 2" xfId="7199" xr:uid="{EAC0A616-B484-4FF9-9C5A-1FDEF7626490}"/>
    <cellStyle name="Normal 2 3 2 2 2 2" xfId="7200" xr:uid="{2FE750E0-E2B5-42BB-9293-39228E86C890}"/>
    <cellStyle name="Normal 2 3 2 2 3" xfId="7201" xr:uid="{44B212B8-AE08-4952-BA55-7278A3CAFF20}"/>
    <cellStyle name="Normal 2 3 2 2 4" xfId="7202" xr:uid="{52C57F8B-A4F8-4726-8391-B3BBD2F94EEF}"/>
    <cellStyle name="Normal 2 3 2 3" xfId="7203" xr:uid="{70343F24-CEDC-4713-977F-B8F82E57EDC6}"/>
    <cellStyle name="Normal 2 3 2 3 2" xfId="7204" xr:uid="{1A7CA929-D8DC-4414-ADD1-A58C271DAFA5}"/>
    <cellStyle name="Normal 2 3 2 3 2 2" xfId="7205" xr:uid="{94D47024-C6D8-48E2-AFE5-E35F023C4392}"/>
    <cellStyle name="Normal 2 3 2 3 3" xfId="7206" xr:uid="{16B163A3-9744-4A07-BB0F-49A2F9246295}"/>
    <cellStyle name="Normal 2 3 2 4" xfId="7207" xr:uid="{2C440540-6C46-4BA4-84E6-7BB997D4161F}"/>
    <cellStyle name="Normal 2 3 2 4 2" xfId="7208" xr:uid="{A5392D20-4B13-4165-BCD4-2719B0455809}"/>
    <cellStyle name="Normal 2 3 2 4 2 2" xfId="7209" xr:uid="{935E9499-6018-4E1E-85B8-4304E2130630}"/>
    <cellStyle name="Normal 2 3 2 4 3" xfId="7210" xr:uid="{47690E53-1B72-4FDF-BC26-EF4E63D85D8A}"/>
    <cellStyle name="Normal 2 3 2 5" xfId="7211" xr:uid="{4CF55F48-F401-4D1C-990B-D25A2B126B55}"/>
    <cellStyle name="Normal 2 3 2 5 2" xfId="7212" xr:uid="{0F717A96-8E60-40A7-9834-4D4783E1F239}"/>
    <cellStyle name="Normal 2 3 2 5 2 2" xfId="7213" xr:uid="{A4BACC86-1DF2-438B-8C68-FFC492BD6C2C}"/>
    <cellStyle name="Normal 2 3 2 5 3" xfId="7214" xr:uid="{6F5E8534-8354-4BD5-AF48-5B49C4E3012E}"/>
    <cellStyle name="Normal 2 3 2 6" xfId="7215" xr:uid="{73A8BC23-714D-427F-A6CA-E7F293DCF46C}"/>
    <cellStyle name="Normal 2 3 2 6 2" xfId="7216" xr:uid="{6B68BA5C-7545-44C4-9AB9-7B1EBF7515AB}"/>
    <cellStyle name="Normal 2 3 2 6 2 2" xfId="7217" xr:uid="{2309BAAF-EC38-4048-A8DB-67DB68199B41}"/>
    <cellStyle name="Normal 2 3 2 6 3" xfId="7218" xr:uid="{D034691A-096E-43B3-A93C-C04BCDE5CBCC}"/>
    <cellStyle name="Normal 2 3 2 7" xfId="7219" xr:uid="{70968459-1D2D-4E64-B5BD-D9B53B2A7ECE}"/>
    <cellStyle name="Normal 2 3 2 7 2" xfId="7220" xr:uid="{E39A3C0E-5E55-444C-80B4-40521868C965}"/>
    <cellStyle name="Normal 2 3 2 7 2 2" xfId="7221" xr:uid="{F6E84129-7A5E-4FCF-953D-A79C781D4FD3}"/>
    <cellStyle name="Normal 2 3 2 7 3" xfId="7222" xr:uid="{B7E71851-9AFE-482B-B77A-76FA1CA3C5D6}"/>
    <cellStyle name="Normal 2 3 2 8" xfId="7223" xr:uid="{6888991F-7AC9-4B0E-B895-77C94478830F}"/>
    <cellStyle name="Normal 2 3 2 8 2" xfId="7224" xr:uid="{5F69A6B9-9874-45D7-A003-17EEFB768CE5}"/>
    <cellStyle name="Normal 2 3 2 9" xfId="7225" xr:uid="{2AA67D62-C090-4C3F-86FB-8C1056ACE274}"/>
    <cellStyle name="Normal 2 3 3" xfId="7226" xr:uid="{75B63FF1-65F6-460F-82A6-A3B1A2DB73F2}"/>
    <cellStyle name="Normal 2 3 3 10" xfId="7227" xr:uid="{FF8E14EA-3320-4A6D-A0E1-659613F96765}"/>
    <cellStyle name="Normal 2 3 3 2" xfId="7228" xr:uid="{9BCC2F31-797A-4747-B305-A59660967D2E}"/>
    <cellStyle name="Normal 2 3 3 2 2" xfId="7229" xr:uid="{B17FA70E-2CC0-4A3D-90B3-60622E4D6243}"/>
    <cellStyle name="Normal 2 3 3 2 2 2" xfId="7230" xr:uid="{DCBF996F-CDC0-4F0D-8E5F-E22D95A5126D}"/>
    <cellStyle name="Normal 2 3 3 2 3" xfId="7231" xr:uid="{325EF0E7-BE8E-44AF-B362-8B0BBB94D770}"/>
    <cellStyle name="Normal 2 3 3 2 4" xfId="7232" xr:uid="{A1337090-4AFC-415D-9B3A-5461E597AED4}"/>
    <cellStyle name="Normal 2 3 3 3" xfId="7233" xr:uid="{D328783E-7B17-4C2E-BB04-5F91F338662E}"/>
    <cellStyle name="Normal 2 3 3 3 2" xfId="7234" xr:uid="{6B4F8AA6-A9B1-4B5B-B2D6-DCFB687AF4F8}"/>
    <cellStyle name="Normal 2 3 3 3 2 2" xfId="7235" xr:uid="{771C8D5C-245E-4636-B7DA-E5A2E85894F7}"/>
    <cellStyle name="Normal 2 3 3 3 3" xfId="7236" xr:uid="{E87B2DE2-1CBC-4975-9E41-7AC23CD2858C}"/>
    <cellStyle name="Normal 2 3 3 4" xfId="7237" xr:uid="{99F66E62-F481-4745-BC49-A37904A1EA3D}"/>
    <cellStyle name="Normal 2 3 3 4 2" xfId="7238" xr:uid="{8AA4DD77-0253-4289-A4C9-4B4D5BF5EB39}"/>
    <cellStyle name="Normal 2 3 3 4 2 2" xfId="7239" xr:uid="{AB4CDCF0-131B-40D0-A8EF-D2045B52F463}"/>
    <cellStyle name="Normal 2 3 3 4 3" xfId="7240" xr:uid="{66741373-E512-4ECD-BE76-94F1B6D96B68}"/>
    <cellStyle name="Normal 2 3 3 5" xfId="7241" xr:uid="{1D9F5979-3DC0-464C-B169-4B6E81EBC07A}"/>
    <cellStyle name="Normal 2 3 3 5 2" xfId="7242" xr:uid="{0748FC7F-E95E-4F93-AB24-9BDFB20AC970}"/>
    <cellStyle name="Normal 2 3 3 5 2 2" xfId="7243" xr:uid="{0D5078BD-18DD-4B4C-977E-1BF5955EE7C5}"/>
    <cellStyle name="Normal 2 3 3 5 3" xfId="7244" xr:uid="{EF014D78-4332-4BDB-99D2-D2F9C303AF46}"/>
    <cellStyle name="Normal 2 3 3 6" xfId="7245" xr:uid="{C7CFA6C3-1DBE-4A4A-A805-715A0847D0A3}"/>
    <cellStyle name="Normal 2 3 3 6 2" xfId="7246" xr:uid="{74F28265-E684-48F3-B145-DBFF0BEAF04A}"/>
    <cellStyle name="Normal 2 3 3 6 2 2" xfId="7247" xr:uid="{AFA66262-1B52-434E-9D53-2341E7946FC5}"/>
    <cellStyle name="Normal 2 3 3 6 3" xfId="7248" xr:uid="{E1600924-05AD-403E-BB35-78EAAA951880}"/>
    <cellStyle name="Normal 2 3 3 7" xfId="7249" xr:uid="{7323C535-A58A-466C-BA0A-9089356EA343}"/>
    <cellStyle name="Normal 2 3 3 7 2" xfId="7250" xr:uid="{9DAA47B0-0EC0-4B01-AD5B-D7AE4BFDFA32}"/>
    <cellStyle name="Normal 2 3 3 7 2 2" xfId="7251" xr:uid="{AB592FBC-64F1-46F4-9967-8DD200F2E7FD}"/>
    <cellStyle name="Normal 2 3 3 7 3" xfId="7252" xr:uid="{B0FE2962-D973-404D-BB62-788DF580303B}"/>
    <cellStyle name="Normal 2 3 3 8" xfId="7253" xr:uid="{60FDE6C0-B913-45EC-86DA-2C3D42A04813}"/>
    <cellStyle name="Normal 2 3 3 8 2" xfId="7254" xr:uid="{A84B761D-27F8-42FE-9B39-F97BF1C17D89}"/>
    <cellStyle name="Normal 2 3 3 9" xfId="7255" xr:uid="{71EFAEA8-FE01-41DA-A5D7-41BB9500500F}"/>
    <cellStyle name="Normal 2 3 4" xfId="7256" xr:uid="{E664303F-B8CA-4411-99BF-34D2A21B22C9}"/>
    <cellStyle name="Normal 2 3 4 2" xfId="7257" xr:uid="{54F2724D-E90A-47DA-B32E-3A4E40B4F09B}"/>
    <cellStyle name="Normal 2 3 4 2 2" xfId="7258" xr:uid="{922EF936-94F1-4B14-AA03-F0C6C8F41954}"/>
    <cellStyle name="Normal 2 3 4 3" xfId="7259" xr:uid="{20404042-A3D9-44E8-BEA8-0BBBDB231398}"/>
    <cellStyle name="Normal 2 3 4 4" xfId="7260" xr:uid="{94143390-2C3C-4A04-B7A4-5CF4714C5D8A}"/>
    <cellStyle name="Normal 2 3 4 5" xfId="7261" xr:uid="{C73FDE1B-F116-4634-B675-B4FD3DE059D1}"/>
    <cellStyle name="Normal 2 3 5" xfId="7262" xr:uid="{1480C8B6-6433-4780-AC7F-C8F68E2A8AD5}"/>
    <cellStyle name="Normal 2 3 5 2" xfId="7263" xr:uid="{62362A4E-20E0-41FA-A84E-79E988401F1F}"/>
    <cellStyle name="Normal 2 3 5 2 2" xfId="7264" xr:uid="{E54662BD-D65A-47B5-936B-BAF42BA050C3}"/>
    <cellStyle name="Normal 2 3 5 3" xfId="7265" xr:uid="{F87C3304-B374-4512-BA62-495B643D6AE2}"/>
    <cellStyle name="Normal 2 3 6" xfId="7266" xr:uid="{2F5F1301-D269-4B56-833D-A6F48548FA86}"/>
    <cellStyle name="Normal 2 3 6 2" xfId="7267" xr:uid="{17CF1A78-D0EB-42C3-AD0B-F57AAA055053}"/>
    <cellStyle name="Normal 2 3 6 2 2" xfId="7268" xr:uid="{74C5AEA7-4BA9-4B3E-8F1F-E1D5D4BF5457}"/>
    <cellStyle name="Normal 2 3 6 3" xfId="7269" xr:uid="{4C7F0F56-68DB-44B2-9F3A-233625FDAB36}"/>
    <cellStyle name="Normal 2 3 7" xfId="7270" xr:uid="{324F36BE-AB6C-40DF-9176-076F94C1F1EB}"/>
    <cellStyle name="Normal 2 3 7 2" xfId="7271" xr:uid="{E0122199-5CE4-4DCB-9099-AA06D21EE587}"/>
    <cellStyle name="Normal 2 3 7 2 2" xfId="7272" xr:uid="{E56796A3-AEE9-41DC-9647-6002008D50BB}"/>
    <cellStyle name="Normal 2 3 7 3" xfId="7273" xr:uid="{94A51EF2-46E8-44E6-A548-A090482B54D0}"/>
    <cellStyle name="Normal 2 3 8" xfId="7274" xr:uid="{0B275A49-058E-4F14-B62F-6637B2766FBE}"/>
    <cellStyle name="Normal 2 3 8 2" xfId="7275" xr:uid="{E4F5DC4A-5631-4261-92AD-082D71EDD99B}"/>
    <cellStyle name="Normal 2 3 8 2 2" xfId="7276" xr:uid="{E5343DFE-434B-4C7B-9C36-09EEC5C829EA}"/>
    <cellStyle name="Normal 2 3 8 3" xfId="7277" xr:uid="{9252C864-94F0-456A-BD16-6BD8F8B2F095}"/>
    <cellStyle name="Normal 2 3 9" xfId="7278" xr:uid="{579A2605-5D23-4EF8-B16C-6C9034E40D83}"/>
    <cellStyle name="Normal 2 3 9 2" xfId="7279" xr:uid="{3C2D473D-7208-4F23-9638-73F0851233F9}"/>
    <cellStyle name="Normal 2 3 9 2 2" xfId="7280" xr:uid="{6845F85E-4180-4900-A90D-2EF129014924}"/>
    <cellStyle name="Normal 2 3 9 3" xfId="7281" xr:uid="{7F593389-2597-40D0-B6A0-BD88E479B39D}"/>
    <cellStyle name="Normal 2 4" xfId="2056" xr:uid="{ECFCFE22-0D4C-4341-A6BC-AB135AF00BC4}"/>
    <cellStyle name="Normal 2 4 2" xfId="7282" xr:uid="{4B626C34-CBFB-4E97-B7B8-92A53C70469F}"/>
    <cellStyle name="Normal 2 4 2 2" xfId="7283" xr:uid="{22D24930-83CD-4486-B583-FA87053C7328}"/>
    <cellStyle name="Normal 2 4 2 2 2" xfId="7284" xr:uid="{110227F2-574A-4640-94AF-8E6D34EE41C6}"/>
    <cellStyle name="Normal 2 4 2 2 2 2" xfId="31595" xr:uid="{7521263D-6B43-41A7-A240-7579F3910273}"/>
    <cellStyle name="Normal 2 4 2 2 3" xfId="31596" xr:uid="{412B927E-B5E1-4ADA-BFCF-CDE5B0CE8DDD}"/>
    <cellStyle name="Normal 2 4 2 3" xfId="7285" xr:uid="{4D9C5C0F-1878-4C07-823E-6A0E3D9AC791}"/>
    <cellStyle name="Normal 2 4 2 3 2" xfId="31597" xr:uid="{8C37772F-2573-4E12-9F38-9A1E1136771D}"/>
    <cellStyle name="Normal 2 4 2 4" xfId="7286" xr:uid="{2240DC61-B23E-476F-8FD2-CA7942EFF5C3}"/>
    <cellStyle name="Normal 2 4 2 4 2" xfId="31598" xr:uid="{8EBD6EE4-7D9F-42F0-8994-059C70908C01}"/>
    <cellStyle name="Normal 2 4 2 5" xfId="7287" xr:uid="{7411AD46-0562-410B-898D-DC1C6E0E958C}"/>
    <cellStyle name="Normal 2 4 2 5 2" xfId="31599" xr:uid="{3C8CC369-8AE5-45A6-A905-A84CB3C7E7C6}"/>
    <cellStyle name="Normal 2 4 3" xfId="7288" xr:uid="{F5093A76-7AE8-4C52-8C0E-88AEA1D20D02}"/>
    <cellStyle name="Normal 2 4 3 2" xfId="7289" xr:uid="{7C31F0D3-6D98-42AA-9C93-C37FAC103F2C}"/>
    <cellStyle name="Normal 2 4 3 2 2" xfId="7290" xr:uid="{39BBB007-B3DA-4F7F-B808-6BCEF99316CB}"/>
    <cellStyle name="Normal 2 4 3 2 2 2" xfId="31600" xr:uid="{3FF9EEEF-C84A-44C7-98DB-A61058FE5F50}"/>
    <cellStyle name="Normal 2 4 3 2 3" xfId="31601" xr:uid="{B49C2C93-5522-4A28-B257-C7E629D01F9F}"/>
    <cellStyle name="Normal 2 4 3 3" xfId="7291" xr:uid="{D247CAA5-FA76-4E75-BAF1-10B8434C8371}"/>
    <cellStyle name="Normal 2 4 3 3 2" xfId="31602" xr:uid="{B7F4DDF1-F8AE-474B-A51F-CD9C8F941022}"/>
    <cellStyle name="Normal 2 4 3 4" xfId="7292" xr:uid="{EB773AD6-C2AB-4E7E-87D4-014A1B749262}"/>
    <cellStyle name="Normal 2 4 3 4 2" xfId="31603" xr:uid="{81E59100-DAB0-486F-87B2-BEA8354B2AA3}"/>
    <cellStyle name="Normal 2 4 3 5" xfId="31604" xr:uid="{F5E5BB64-FB10-4E27-ABBF-91C02C40B6FD}"/>
    <cellStyle name="Normal 2 4 4" xfId="7293" xr:uid="{3441C6ED-15BC-4A4A-9965-05DC475ACE70}"/>
    <cellStyle name="Normal 2 4 4 2" xfId="7294" xr:uid="{751576FD-5E26-495F-B96F-63A943855EF2}"/>
    <cellStyle name="Normal 2 4 4 2 2" xfId="31605" xr:uid="{6AA5EFAF-B1C2-474F-8720-4FCF18C0C1F3}"/>
    <cellStyle name="Normal 2 4 4 3" xfId="7295" xr:uid="{74F8813A-7D2A-4D2B-BB42-FA4E43452528}"/>
    <cellStyle name="Normal 2 4 4 3 2" xfId="31606" xr:uid="{9ECFC85C-8D91-4F60-ACEE-6DA5D7BDDD30}"/>
    <cellStyle name="Normal 2 4 4 4" xfId="31607" xr:uid="{9BBC7E91-9E10-4493-ADAF-7FB7799D3DBE}"/>
    <cellStyle name="Normal 2 4 5" xfId="7296" xr:uid="{8641ADFB-67E3-4BF8-960C-32468DE20402}"/>
    <cellStyle name="Normal 2 4 5 2" xfId="7297" xr:uid="{CCC6DAC5-8364-4CC3-A0B7-FA7D49E8339B}"/>
    <cellStyle name="Normal 2 4 5 2 2" xfId="31608" xr:uid="{292D3977-C55D-4AEB-BE38-E47E0FC5BE0C}"/>
    <cellStyle name="Normal 2 4 5 3" xfId="7298" xr:uid="{F8F42EE9-B211-4DD9-B39A-B080302F7AC6}"/>
    <cellStyle name="Normal 2 4 5 4" xfId="31609" xr:uid="{658F645B-9BA1-43FA-903A-39B78B986D44}"/>
    <cellStyle name="Normal 2 4 6" xfId="7299" xr:uid="{978CA8FE-6C8F-4DB9-9EBC-07AB55F6A8B7}"/>
    <cellStyle name="Normal 2 4 6 2" xfId="31610" xr:uid="{D8D15BA5-CF6B-47DE-99D7-A1236ACC4C2A}"/>
    <cellStyle name="Normal 2 4 7" xfId="7300" xr:uid="{E914801D-779C-42D1-B3DD-489FC96C37E8}"/>
    <cellStyle name="Normal 2 4 8" xfId="44178" xr:uid="{80139F5C-DF56-44F0-97EA-1DBDEB94521C}"/>
    <cellStyle name="Normal 2 4 9" xfId="44786" xr:uid="{C9F66A4D-0D04-4970-BF9E-B0EA35436004}"/>
    <cellStyle name="Normal 2 5" xfId="7301" xr:uid="{0F045905-22F0-4A2F-B3A6-D0169DB8B6F9}"/>
    <cellStyle name="Normal 2 5 10" xfId="7302" xr:uid="{548E93A8-F2C2-4D4B-B66C-FB65F39BF2B1}"/>
    <cellStyle name="Normal 2 5 10 2" xfId="7303" xr:uid="{D9322FEF-89A3-4664-AA80-9ED7D4CFC326}"/>
    <cellStyle name="Normal 2 5 10 2 2" xfId="7304" xr:uid="{0933CC8C-4484-4835-B5DA-7AB03A267D7D}"/>
    <cellStyle name="Normal 2 5 10 2 2 2" xfId="7305" xr:uid="{B070A608-F98C-4F7B-ABC7-57DF9661EAF5}"/>
    <cellStyle name="Normal 2 5 10 2 3" xfId="7306" xr:uid="{1372B0B4-1D2D-4DA0-85CF-3299C5D890A8}"/>
    <cellStyle name="Normal 2 5 10 2 4" xfId="7307" xr:uid="{E3F7EFDD-B904-4FFA-B85E-45FFE9D2A9DA}"/>
    <cellStyle name="Normal 2 5 10 3" xfId="7308" xr:uid="{4065F425-50B5-4BAD-9CFF-3334F98D4733}"/>
    <cellStyle name="Normal 2 5 10 3 2" xfId="7309" xr:uid="{C9B61EE0-BBA4-4076-A369-CB0DDA93CD8A}"/>
    <cellStyle name="Normal 2 5 10 3 2 2" xfId="7310" xr:uid="{1915BDD8-925F-43D4-948E-505A60C914D9}"/>
    <cellStyle name="Normal 2 5 10 3 3" xfId="7311" xr:uid="{6BC457AA-8059-451B-918F-7506F4524AC2}"/>
    <cellStyle name="Normal 2 5 10 4" xfId="7312" xr:uid="{2DD5A8C9-A2EA-4AF7-84D3-713877625351}"/>
    <cellStyle name="Normal 2 5 10 4 2" xfId="7313" xr:uid="{4DEEEDC3-E474-41ED-9BF0-57C6DB40596B}"/>
    <cellStyle name="Normal 2 5 10 4 2 2" xfId="7314" xr:uid="{275B5000-EE2D-4CAE-9AA6-5D1E6D2C4DAC}"/>
    <cellStyle name="Normal 2 5 10 4 3" xfId="7315" xr:uid="{4CCF3C03-6FC9-43E3-A9EB-A5EBD07CA335}"/>
    <cellStyle name="Normal 2 5 10 5" xfId="7316" xr:uid="{85905389-AF8B-4233-9FAF-EABDDB36571B}"/>
    <cellStyle name="Normal 2 5 10 5 2" xfId="7317" xr:uid="{FE9A0EB7-BB12-4B94-8962-60821B04214C}"/>
    <cellStyle name="Normal 2 5 10 6" xfId="7318" xr:uid="{7A8C2663-1A4E-47BA-9E32-9A56C0DDB3C3}"/>
    <cellStyle name="Normal 2 5 10 7" xfId="7319" xr:uid="{0A07765B-9B6D-41CA-8BAD-54E20B10CF27}"/>
    <cellStyle name="Normal 2 5 11" xfId="7320" xr:uid="{20D8606E-5065-4F92-95A1-5EF4171A51ED}"/>
    <cellStyle name="Normal 2 5 11 2" xfId="7321" xr:uid="{CB265AE4-7FE3-43AF-9DC5-2C8FE62149E7}"/>
    <cellStyle name="Normal 2 5 11 2 2" xfId="7322" xr:uid="{0C9420C2-6663-49BC-A922-2115A35ACFCA}"/>
    <cellStyle name="Normal 2 5 11 2 2 2" xfId="7323" xr:uid="{2DB83FCA-23D9-4629-A498-6A24AFA94E06}"/>
    <cellStyle name="Normal 2 5 11 2 3" xfId="7324" xr:uid="{05FE705B-13EE-41DC-BD58-CC8C0D40179D}"/>
    <cellStyle name="Normal 2 5 11 2 4" xfId="7325" xr:uid="{F8D081E3-7395-48AB-A3B0-0EB523A39709}"/>
    <cellStyle name="Normal 2 5 11 3" xfId="7326" xr:uid="{C3A31FBC-3FE6-49F6-B03F-D6A34145493B}"/>
    <cellStyle name="Normal 2 5 11 3 2" xfId="7327" xr:uid="{6331B428-475A-4A27-9E70-FAB57DC95411}"/>
    <cellStyle name="Normal 2 5 11 3 2 2" xfId="7328" xr:uid="{EEC75D6E-5E9F-4320-8532-0A89CDD06DED}"/>
    <cellStyle name="Normal 2 5 11 3 3" xfId="7329" xr:uid="{29F3A64E-775F-422A-99A3-C3C1F15C652E}"/>
    <cellStyle name="Normal 2 5 11 4" xfId="7330" xr:uid="{35D00637-829C-43FB-AA5D-FC9D2DE5CE88}"/>
    <cellStyle name="Normal 2 5 11 4 2" xfId="7331" xr:uid="{D00E4926-E10E-493B-A808-6AD5FDFF66E9}"/>
    <cellStyle name="Normal 2 5 11 4 2 2" xfId="7332" xr:uid="{FF052CCB-40D3-400E-A204-12240FC140DC}"/>
    <cellStyle name="Normal 2 5 11 4 3" xfId="7333" xr:uid="{AF04D5AA-DEF1-4BBB-A83F-C38502307A2B}"/>
    <cellStyle name="Normal 2 5 11 5" xfId="7334" xr:uid="{765207B6-0C85-489D-BA25-5D453FF2F68F}"/>
    <cellStyle name="Normal 2 5 11 5 2" xfId="7335" xr:uid="{177C28A8-0C90-4B6D-8A94-5EE17DFAE023}"/>
    <cellStyle name="Normal 2 5 11 6" xfId="7336" xr:uid="{55D753BE-765B-401A-9590-FA05E9A17630}"/>
    <cellStyle name="Normal 2 5 11 7" xfId="7337" xr:uid="{4A404E91-B7D0-43D8-9051-30C223E54DF6}"/>
    <cellStyle name="Normal 2 5 12" xfId="7338" xr:uid="{EAADDF2A-5725-4BE5-9CD0-866896138DC1}"/>
    <cellStyle name="Normal 2 5 12 2" xfId="7339" xr:uid="{C9236110-7810-496D-8550-17FB5AE0134B}"/>
    <cellStyle name="Normal 2 5 12 2 2" xfId="7340" xr:uid="{481B7E7F-F9E8-49ED-A8F5-F1F4C01C0BEE}"/>
    <cellStyle name="Normal 2 5 12 2 2 2" xfId="7341" xr:uid="{A5F064F5-8D44-4868-A0EA-09D5863DC37E}"/>
    <cellStyle name="Normal 2 5 12 2 3" xfId="7342" xr:uid="{0B6C295B-91C5-4323-A8B2-5AC0B493387E}"/>
    <cellStyle name="Normal 2 5 12 2 4" xfId="7343" xr:uid="{0AA43679-5DCC-4D37-A1F5-9077EE56F33A}"/>
    <cellStyle name="Normal 2 5 12 3" xfId="7344" xr:uid="{9A1E80C6-8041-4539-9FA4-2D5664E11938}"/>
    <cellStyle name="Normal 2 5 12 3 2" xfId="7345" xr:uid="{D3FF9A3C-B625-4EFB-97D7-DB18AA56C838}"/>
    <cellStyle name="Normal 2 5 12 3 2 2" xfId="7346" xr:uid="{3E1DDE86-1CE6-4464-A55C-0EAF6BF34A4A}"/>
    <cellStyle name="Normal 2 5 12 3 3" xfId="7347" xr:uid="{E6997B72-BA39-4EFE-94F4-9DCE75B0E3F5}"/>
    <cellStyle name="Normal 2 5 12 4" xfId="7348" xr:uid="{0359609E-8B31-4E48-B577-93B65181E436}"/>
    <cellStyle name="Normal 2 5 12 4 2" xfId="7349" xr:uid="{4837CE9F-556F-4DFB-9953-7550C401A307}"/>
    <cellStyle name="Normal 2 5 12 4 2 2" xfId="7350" xr:uid="{FCD0C61F-731B-4FB9-B47C-86D657A42EE9}"/>
    <cellStyle name="Normal 2 5 12 4 3" xfId="7351" xr:uid="{B32FCCE2-8D48-4F9A-9717-A10B97D5A5A5}"/>
    <cellStyle name="Normal 2 5 12 5" xfId="7352" xr:uid="{CA5A158B-A967-4499-BA36-ED96EAB0DA71}"/>
    <cellStyle name="Normal 2 5 12 5 2" xfId="7353" xr:uid="{91DFE148-B239-4671-8D0C-C8AF44128570}"/>
    <cellStyle name="Normal 2 5 12 6" xfId="7354" xr:uid="{EE5A87A5-F3F1-44EF-8A09-139D8CEC2F1E}"/>
    <cellStyle name="Normal 2 5 12 7" xfId="7355" xr:uid="{F81D9CD4-6BF3-4634-8A8E-3DEE3F024C9A}"/>
    <cellStyle name="Normal 2 5 13" xfId="7356" xr:uid="{C6A5A932-0FFC-4BDE-B901-D0C9C36A4163}"/>
    <cellStyle name="Normal 2 5 14" xfId="7357" xr:uid="{23883B54-E1B8-4387-A137-085E9D2F69F1}"/>
    <cellStyle name="Normal 2 5 14 2" xfId="7358" xr:uid="{42D9D086-0F6D-49F3-86A5-88FE077CC3DE}"/>
    <cellStyle name="Normal 2 5 14 2 2" xfId="7359" xr:uid="{1423F114-CE13-445B-BC4F-F210666922AE}"/>
    <cellStyle name="Normal 2 5 14 2 2 2" xfId="7360" xr:uid="{2C236CA5-B5F5-4EFD-B4ED-DB8B2C38CF70}"/>
    <cellStyle name="Normal 2 5 14 2 3" xfId="7361" xr:uid="{CC7A81FE-358B-4AD0-BB56-E757099E1B30}"/>
    <cellStyle name="Normal 2 5 14 2 4" xfId="7362" xr:uid="{4BEAB0DD-4C54-4434-80C4-B85AD6B6F03E}"/>
    <cellStyle name="Normal 2 5 14 3" xfId="7363" xr:uid="{0752D735-18E2-409B-9A5B-14BC15877544}"/>
    <cellStyle name="Normal 2 5 14 3 2" xfId="7364" xr:uid="{E8044CCC-8A5D-479A-8140-714F3E7D87E8}"/>
    <cellStyle name="Normal 2 5 14 3 2 2" xfId="7365" xr:uid="{AAAA9953-1A44-4370-961D-6C56555296A0}"/>
    <cellStyle name="Normal 2 5 14 3 2 2 2" xfId="31611" xr:uid="{28DB4A28-4B29-46D5-9406-EC2D9320DA66}"/>
    <cellStyle name="Normal 2 5 14 3 2 3" xfId="31612" xr:uid="{24984B82-A526-4BDC-91F4-C55BCE4AD73F}"/>
    <cellStyle name="Normal 2 5 14 3 3" xfId="7366" xr:uid="{939F6CA5-041A-4733-8650-F2681A4F066A}"/>
    <cellStyle name="Normal 2 5 14 3 3 2" xfId="31613" xr:uid="{3B978B63-A78C-4B5E-B049-54AD1CB691E9}"/>
    <cellStyle name="Normal 2 5 14 3 4" xfId="7367" xr:uid="{99F0F9BE-1450-4322-97B5-E17F020BC5D7}"/>
    <cellStyle name="Normal 2 5 14 3 4 2" xfId="31614" xr:uid="{630D2787-B253-4FCA-905E-76BE189A00F2}"/>
    <cellStyle name="Normal 2 5 14 3 5" xfId="31615" xr:uid="{6FCD1017-0663-481A-84B4-8C15C28C0150}"/>
    <cellStyle name="Normal 2 5 14 4" xfId="7368" xr:uid="{613A84A7-BD16-4CC3-A769-A73360DEB598}"/>
    <cellStyle name="Normal 2 5 14 4 2" xfId="7369" xr:uid="{6C1136C9-5C99-44B7-930F-3C6FA3167C42}"/>
    <cellStyle name="Normal 2 5 14 4 2 2" xfId="7370" xr:uid="{984CD2EA-6D22-44FA-91A6-C1F06E15B212}"/>
    <cellStyle name="Normal 2 5 14 4 2 2 2" xfId="31616" xr:uid="{419D0B64-6E2A-478E-8441-8212F58920ED}"/>
    <cellStyle name="Normal 2 5 14 4 2 3" xfId="31617" xr:uid="{C0DA44F8-A979-455D-B91E-D4A402B49EB9}"/>
    <cellStyle name="Normal 2 5 14 4 3" xfId="7371" xr:uid="{E438DC66-1518-45E5-AC7B-43DDC2D4C55B}"/>
    <cellStyle name="Normal 2 5 14 4 3 2" xfId="31618" xr:uid="{136F24F3-7975-4B3F-A400-9ADAE7E72C15}"/>
    <cellStyle name="Normal 2 5 14 4 4" xfId="7372" xr:uid="{377604AC-ADBA-4D2C-B60A-F309DB017098}"/>
    <cellStyle name="Normal 2 5 14 4 4 2" xfId="31619" xr:uid="{A4E8B0C4-7A8D-4359-901F-0D734FC7E09F}"/>
    <cellStyle name="Normal 2 5 14 4 5" xfId="31620" xr:uid="{D89D77F8-EF37-47D5-9267-659A826B30A3}"/>
    <cellStyle name="Normal 2 5 14 5" xfId="7373" xr:uid="{E4EC9680-55EF-41EC-9BCA-397FA9D37453}"/>
    <cellStyle name="Normal 2 5 14 5 2" xfId="7374" xr:uid="{7269FE0A-B929-46ED-93F0-43D4A01C310D}"/>
    <cellStyle name="Normal 2 5 14 5 2 2" xfId="31621" xr:uid="{297E7F2E-4238-45C9-8C58-5B1F26FB8091}"/>
    <cellStyle name="Normal 2 5 14 5 3" xfId="31622" xr:uid="{04D6E8F0-1D57-4E90-8B6A-1F64592DF44B}"/>
    <cellStyle name="Normal 2 5 14 6" xfId="7375" xr:uid="{F8481C49-595E-425E-A0C8-9DDFBC28982A}"/>
    <cellStyle name="Normal 2 5 14 6 2" xfId="7376" xr:uid="{741D4405-A40A-46C2-894A-ECB764C9CF70}"/>
    <cellStyle name="Normal 2 5 14 6 2 2" xfId="31623" xr:uid="{82EAB623-691D-4B40-9780-17B5B913D112}"/>
    <cellStyle name="Normal 2 5 14 6 3" xfId="31624" xr:uid="{6F5DCA92-AAC4-4F04-9CA4-1F8807EF6227}"/>
    <cellStyle name="Normal 2 5 14 7" xfId="7377" xr:uid="{E118426A-5C3F-4A78-BBB2-7CDF2C7F414D}"/>
    <cellStyle name="Normal 2 5 14 7 2" xfId="31625" xr:uid="{6F085BC7-9C69-4DCB-BC61-B128B7939B81}"/>
    <cellStyle name="Normal 2 5 14 8" xfId="7378" xr:uid="{C17BCBD6-AD2C-4F2A-81CB-8AAA8BCCE1D0}"/>
    <cellStyle name="Normal 2 5 14 8 2" xfId="31626" xr:uid="{4420288A-234C-45E7-A939-BDC1FAC40ACA}"/>
    <cellStyle name="Normal 2 5 14 9" xfId="31627" xr:uid="{C740DC2C-8443-4819-8FB5-64E73DF4C953}"/>
    <cellStyle name="Normal 2 5 15" xfId="7379" xr:uid="{FDF99FFF-5D99-4135-8EBF-800E9C36E48A}"/>
    <cellStyle name="Normal 2 5 15 2" xfId="7380" xr:uid="{DADBA15E-AD18-4798-B704-7C80EC65DA82}"/>
    <cellStyle name="Normal 2 5 15 2 2" xfId="7381" xr:uid="{87E51BCC-874A-4B06-917A-8F3FE8F0A360}"/>
    <cellStyle name="Normal 2 5 15 3" xfId="7382" xr:uid="{CD96EFE1-F030-446B-A81F-994117EC1E0D}"/>
    <cellStyle name="Normal 2 5 15 4" xfId="7383" xr:uid="{30C845B5-4B86-46ED-8356-AD6CE3D78309}"/>
    <cellStyle name="Normal 2 5 16" xfId="7384" xr:uid="{6E3F3597-844F-4BCF-933E-E577229EE8C2}"/>
    <cellStyle name="Normal 2 5 16 2" xfId="7385" xr:uid="{042C7F74-9529-462A-B58D-5D288B881A3D}"/>
    <cellStyle name="Normal 2 5 16 2 2" xfId="7386" xr:uid="{BF323177-00EA-4DB9-8EF4-0B23D5EEED5E}"/>
    <cellStyle name="Normal 2 5 16 3" xfId="7387" xr:uid="{F82CE452-E26A-4CDB-8B3A-DFF3FA9471DF}"/>
    <cellStyle name="Normal 2 5 16 4" xfId="7388" xr:uid="{3F71D3EC-7B03-494D-89EE-1CD7B46A1B17}"/>
    <cellStyle name="Normal 2 5 17" xfId="7389" xr:uid="{3FEE8B85-1750-4190-9508-67A357B7E849}"/>
    <cellStyle name="Normal 2 5 17 2" xfId="7390" xr:uid="{12345147-95B1-41D1-8821-89053CCCDBE5}"/>
    <cellStyle name="Normal 2 5 17 2 2" xfId="7391" xr:uid="{305DC637-C9F8-4A17-8F22-04F7D6BB05D1}"/>
    <cellStyle name="Normal 2 5 17 3" xfId="7392" xr:uid="{93CDAC23-71CD-4277-886E-D317F5A2C095}"/>
    <cellStyle name="Normal 2 5 18" xfId="7393" xr:uid="{CA76BEFC-4DDE-4367-A630-9AA087FBBB0F}"/>
    <cellStyle name="Normal 2 5 18 2" xfId="7394" xr:uid="{DABB247E-1199-4D33-B364-CA16A90A67E5}"/>
    <cellStyle name="Normal 2 5 18 2 2" xfId="7395" xr:uid="{560827AD-236A-499C-9B54-833F9C081F20}"/>
    <cellStyle name="Normal 2 5 18 3" xfId="7396" xr:uid="{25E98944-70C3-416A-BB0C-79A89E4DDBB5}"/>
    <cellStyle name="Normal 2 5 19" xfId="7397" xr:uid="{55645AC3-15EE-499C-B0B4-D4BAB40B4DEC}"/>
    <cellStyle name="Normal 2 5 19 2" xfId="7398" xr:uid="{57803604-D5B1-4BC8-894D-6B06C2CE30C5}"/>
    <cellStyle name="Normal 2 5 2" xfId="7399" xr:uid="{BBF9C76A-9F92-4270-B4BB-2B628F3F6053}"/>
    <cellStyle name="Normal 2 5 2 2" xfId="7400" xr:uid="{FC1FB270-2321-4DC0-8F47-2543F7CBBFBB}"/>
    <cellStyle name="Normal 2 5 2 2 2" xfId="7401" xr:uid="{254FE32B-3D7E-460D-94CC-7FB8BD389232}"/>
    <cellStyle name="Normal 2 5 2 2 2 2" xfId="7402" xr:uid="{337A1908-CDF0-455C-8F8F-F08A6699357B}"/>
    <cellStyle name="Normal 2 5 2 2 3" xfId="7403" xr:uid="{36806F82-9A2B-4A54-BC60-665EDB47E0D4}"/>
    <cellStyle name="Normal 2 5 2 2 4" xfId="7404" xr:uid="{317E6823-BAD9-45B7-A809-3CEDAA11A6BD}"/>
    <cellStyle name="Normal 2 5 2 3" xfId="7405" xr:uid="{B5938ED7-D2CB-4A7C-833B-B1C9DD5203D8}"/>
    <cellStyle name="Normal 2 5 2 3 2" xfId="7406" xr:uid="{D1FDDCCF-4E08-43BF-A052-1730FB2C9DED}"/>
    <cellStyle name="Normal 2 5 2 3 2 2" xfId="7407" xr:uid="{7C902326-BDD2-4724-95C3-4885C7129DAD}"/>
    <cellStyle name="Normal 2 5 2 3 3" xfId="7408" xr:uid="{5831462E-390C-4C8A-9297-2BE4560DBDDE}"/>
    <cellStyle name="Normal 2 5 2 4" xfId="7409" xr:uid="{D082739B-5E6A-46E1-8A4A-7C5C2D346A71}"/>
    <cellStyle name="Normal 2 5 2 4 2" xfId="7410" xr:uid="{66AEC169-419A-445B-9115-7B26FA2CF767}"/>
    <cellStyle name="Normal 2 5 2 4 2 2" xfId="7411" xr:uid="{05FABA4B-9E2C-48C9-9E16-E6284BB1DEE0}"/>
    <cellStyle name="Normal 2 5 2 4 3" xfId="7412" xr:uid="{4ADDEEA1-5DA7-4FF2-8B68-5613E090B414}"/>
    <cellStyle name="Normal 2 5 2 5" xfId="7413" xr:uid="{0E4A9C5B-7D8C-4FCF-862A-CBAD97277270}"/>
    <cellStyle name="Normal 2 5 2 5 2" xfId="7414" xr:uid="{8C451B11-6D76-4D21-B509-81E9B5B31412}"/>
    <cellStyle name="Normal 2 5 2 6" xfId="7415" xr:uid="{4D4C19C5-E911-4D6E-87B2-223A80E4A82F}"/>
    <cellStyle name="Normal 2 5 2 7" xfId="7416" xr:uid="{370048B3-87C2-4D69-B163-C7D493803BDA}"/>
    <cellStyle name="Normal 2 5 20" xfId="7417" xr:uid="{3181A399-44BB-4D1E-84B4-1127AD28282F}"/>
    <cellStyle name="Normal 2 5 21" xfId="7418" xr:uid="{A8AD603F-AB17-43CE-B01D-9B3D5FCF07FE}"/>
    <cellStyle name="Normal 2 5 22" xfId="7419" xr:uid="{0637C0D3-2586-42B0-BE31-B7CDE68784C7}"/>
    <cellStyle name="Normal 2 5 3" xfId="7420" xr:uid="{422B219B-07EB-4F66-8F80-561A6CD1B561}"/>
    <cellStyle name="Normal 2 5 3 2" xfId="7421" xr:uid="{AF6B3703-EA79-4D42-BB83-72F4A443A96E}"/>
    <cellStyle name="Normal 2 5 3 2 2" xfId="7422" xr:uid="{293C0AEA-BCAB-45DC-8C34-529D92B1DB79}"/>
    <cellStyle name="Normal 2 5 3 2 2 2" xfId="7423" xr:uid="{62F9E736-A3CF-408B-A5CB-BC2109C6A33D}"/>
    <cellStyle name="Normal 2 5 3 2 3" xfId="7424" xr:uid="{A7B52794-3691-4F1B-850D-253916A47BF8}"/>
    <cellStyle name="Normal 2 5 3 2 4" xfId="7425" xr:uid="{900AF62F-4F7C-4EE3-8143-758E8A26B535}"/>
    <cellStyle name="Normal 2 5 3 3" xfId="7426" xr:uid="{0419706D-2CC4-4C90-8B64-8A8587C2C068}"/>
    <cellStyle name="Normal 2 5 3 3 2" xfId="7427" xr:uid="{A1E2C122-7458-467C-A483-A0D0A1FF69F1}"/>
    <cellStyle name="Normal 2 5 3 3 2 2" xfId="7428" xr:uid="{6EAA17DE-C335-47C6-AA50-B6776B44EED4}"/>
    <cellStyle name="Normal 2 5 3 3 3" xfId="7429" xr:uid="{59353B44-EC5C-4A11-8663-118F8DC34075}"/>
    <cellStyle name="Normal 2 5 3 4" xfId="7430" xr:uid="{9D17F510-FD09-4AAC-BE9F-E05316F1278B}"/>
    <cellStyle name="Normal 2 5 3 4 2" xfId="7431" xr:uid="{EE055CFB-4FF8-4EAF-8D26-998F704C53B4}"/>
    <cellStyle name="Normal 2 5 3 4 2 2" xfId="7432" xr:uid="{B8AA986D-99BD-4423-816B-82A78818E365}"/>
    <cellStyle name="Normal 2 5 3 4 3" xfId="7433" xr:uid="{256D2395-BBB2-4B1D-8725-235179611511}"/>
    <cellStyle name="Normal 2 5 3 5" xfId="7434" xr:uid="{82641E5C-F1E9-429F-8AA7-B3BB7C91E1B5}"/>
    <cellStyle name="Normal 2 5 3 5 2" xfId="7435" xr:uid="{D4E5383A-97C7-4A79-8142-A494D13B7EF8}"/>
    <cellStyle name="Normal 2 5 3 6" xfId="7436" xr:uid="{B17EE9FC-614B-45B7-88DA-C31194B52A5A}"/>
    <cellStyle name="Normal 2 5 3 7" xfId="7437" xr:uid="{D43176AD-F444-40E7-8C3F-FCA2B436ADD6}"/>
    <cellStyle name="Normal 2 5 4" xfId="7438" xr:uid="{B50AEB37-429A-41E4-8638-699FC0BF4CF0}"/>
    <cellStyle name="Normal 2 5 4 2" xfId="7439" xr:uid="{EB06F5E8-F778-4750-8EF3-9A9C4B3D54D7}"/>
    <cellStyle name="Normal 2 5 4 2 2" xfId="7440" xr:uid="{026255AD-769D-44D6-A605-D3DFFF1F6889}"/>
    <cellStyle name="Normal 2 5 4 2 2 2" xfId="7441" xr:uid="{5846A2CD-B795-435B-AF63-58C744CE6162}"/>
    <cellStyle name="Normal 2 5 4 2 3" xfId="7442" xr:uid="{7EA8AA10-291A-47AB-954C-147D083B815D}"/>
    <cellStyle name="Normal 2 5 4 2 4" xfId="7443" xr:uid="{19C5D23A-8FA3-467F-A4CA-014D8B3056ED}"/>
    <cellStyle name="Normal 2 5 4 3" xfId="7444" xr:uid="{9B455B72-E223-44D1-85D2-D0A4056274A6}"/>
    <cellStyle name="Normal 2 5 4 3 2" xfId="7445" xr:uid="{4B64ECF5-BC3F-4721-906F-3673A0F6C364}"/>
    <cellStyle name="Normal 2 5 4 3 2 2" xfId="7446" xr:uid="{38B3397C-F79C-458E-B0E2-A32E1EB397EC}"/>
    <cellStyle name="Normal 2 5 4 3 3" xfId="7447" xr:uid="{EFB7B29B-42E8-4D03-93BD-89A85FE299D7}"/>
    <cellStyle name="Normal 2 5 4 4" xfId="7448" xr:uid="{31938268-89D1-4118-A84C-C852FBE7D987}"/>
    <cellStyle name="Normal 2 5 4 4 2" xfId="7449" xr:uid="{E38054A0-6725-475C-BE50-2896E5E4678E}"/>
    <cellStyle name="Normal 2 5 4 4 2 2" xfId="7450" xr:uid="{2BB29F40-F30D-4544-AECC-4691C402C418}"/>
    <cellStyle name="Normal 2 5 4 4 3" xfId="7451" xr:uid="{523A301B-9A43-48C5-834E-5B15CE600BE0}"/>
    <cellStyle name="Normal 2 5 4 5" xfId="7452" xr:uid="{F33D860C-BF11-4A78-B5C5-B71FDF0B22A4}"/>
    <cellStyle name="Normal 2 5 4 5 2" xfId="7453" xr:uid="{095CC4D6-5FC5-411C-B54E-C54D3C1706C1}"/>
    <cellStyle name="Normal 2 5 4 6" xfId="7454" xr:uid="{F2AF0814-2E30-4521-90E3-A5BAAF16AB7A}"/>
    <cellStyle name="Normal 2 5 4 7" xfId="7455" xr:uid="{A4597F2B-774E-49E4-B75D-07E7AD11E311}"/>
    <cellStyle name="Normal 2 5 5" xfId="7456" xr:uid="{F9A97DBD-98AD-4A60-8E55-832E1A0A99A0}"/>
    <cellStyle name="Normal 2 5 5 2" xfId="7457" xr:uid="{BBE52547-377B-454D-BBA9-E235DD206A20}"/>
    <cellStyle name="Normal 2 5 5 2 2" xfId="7458" xr:uid="{29550173-3A35-4597-8F47-234F43123AA9}"/>
    <cellStyle name="Normal 2 5 5 2 2 2" xfId="7459" xr:uid="{ABB97E69-629D-484D-B8ED-3B67A89A7BEE}"/>
    <cellStyle name="Normal 2 5 5 2 3" xfId="7460" xr:uid="{91DE6C6F-E8D7-4BDB-BFE7-360A7D549D63}"/>
    <cellStyle name="Normal 2 5 5 2 4" xfId="7461" xr:uid="{17520A58-7017-4089-A93A-3A4AEE53C66A}"/>
    <cellStyle name="Normal 2 5 5 3" xfId="7462" xr:uid="{D2AD9A45-00A1-475E-81F0-FAA4367AABE4}"/>
    <cellStyle name="Normal 2 5 5 3 2" xfId="7463" xr:uid="{9FB49584-4D85-4C9F-BD76-B5E0E185B72B}"/>
    <cellStyle name="Normal 2 5 5 3 2 2" xfId="7464" xr:uid="{B65F1943-D66D-4628-ADE9-9BEA51EB0F9D}"/>
    <cellStyle name="Normal 2 5 5 3 3" xfId="7465" xr:uid="{EFBF57C5-6D6D-4A39-9719-86D56790F824}"/>
    <cellStyle name="Normal 2 5 5 4" xfId="7466" xr:uid="{7C318A45-AB91-48CB-B4C5-214A53474DFD}"/>
    <cellStyle name="Normal 2 5 5 4 2" xfId="7467" xr:uid="{93369F6F-6450-4702-BE23-11E16809E09D}"/>
    <cellStyle name="Normal 2 5 5 4 2 2" xfId="7468" xr:uid="{9760A204-1C8C-4689-B680-A2A53634630B}"/>
    <cellStyle name="Normal 2 5 5 4 3" xfId="7469" xr:uid="{58BF1A29-DE4A-425A-B1B4-0EFFB9257A54}"/>
    <cellStyle name="Normal 2 5 5 5" xfId="7470" xr:uid="{AE773FAE-BFDE-4FDD-8093-055BB04DB9CB}"/>
    <cellStyle name="Normal 2 5 5 5 2" xfId="7471" xr:uid="{4AD886CE-BB05-4528-982F-2375214B2EA0}"/>
    <cellStyle name="Normal 2 5 5 6" xfId="7472" xr:uid="{2D2F2169-AD13-486F-908A-9DCDF523976F}"/>
    <cellStyle name="Normal 2 5 5 7" xfId="7473" xr:uid="{2C6B5BE1-89E6-4580-8CC3-FD9CA745F4F0}"/>
    <cellStyle name="Normal 2 5 6" xfId="7474" xr:uid="{777CF5E2-7CB5-42A5-9FE0-4A20E502625E}"/>
    <cellStyle name="Normal 2 5 6 2" xfId="7475" xr:uid="{6D064423-9B01-4B00-A2EC-3C5CD730BE40}"/>
    <cellStyle name="Normal 2 5 6 2 2" xfId="7476" xr:uid="{03C968E2-8856-48A3-880D-32F2AA7944D8}"/>
    <cellStyle name="Normal 2 5 6 2 2 2" xfId="7477" xr:uid="{1B13D3C9-3A58-4BA4-8C27-95F7A25AA59E}"/>
    <cellStyle name="Normal 2 5 6 2 3" xfId="7478" xr:uid="{8F211612-2A0D-49B4-B504-468ECCFA63DB}"/>
    <cellStyle name="Normal 2 5 6 2 4" xfId="7479" xr:uid="{8925C552-30F0-4E32-9971-7AB3A07854EE}"/>
    <cellStyle name="Normal 2 5 6 3" xfId="7480" xr:uid="{7F04546D-3362-417E-969A-0468925E2C82}"/>
    <cellStyle name="Normal 2 5 6 3 2" xfId="7481" xr:uid="{6848753E-A3FF-4CA8-91E0-06B7E552EA6A}"/>
    <cellStyle name="Normal 2 5 6 3 2 2" xfId="7482" xr:uid="{42BEB40A-33C9-4509-BF67-9D19CA123381}"/>
    <cellStyle name="Normal 2 5 6 3 3" xfId="7483" xr:uid="{2D61B184-5905-4836-8D0E-F8442C14601E}"/>
    <cellStyle name="Normal 2 5 6 4" xfId="7484" xr:uid="{474CF98B-06D4-4F25-8C9E-A1E30AB67187}"/>
    <cellStyle name="Normal 2 5 6 4 2" xfId="7485" xr:uid="{B67DC6D3-E3EF-4EED-B707-6E9001E329E7}"/>
    <cellStyle name="Normal 2 5 6 4 2 2" xfId="7486" xr:uid="{637F0914-B1BE-4B1B-93E4-8277CA090FF0}"/>
    <cellStyle name="Normal 2 5 6 4 3" xfId="7487" xr:uid="{1A8D6AF6-22B6-4DFF-B180-695F64BFBE93}"/>
    <cellStyle name="Normal 2 5 6 5" xfId="7488" xr:uid="{5E225CB8-9A3E-4046-AC9C-FB0EA119CA12}"/>
    <cellStyle name="Normal 2 5 6 5 2" xfId="7489" xr:uid="{BF29734F-3477-4CB4-BE3F-1D009CA717F1}"/>
    <cellStyle name="Normal 2 5 6 6" xfId="7490" xr:uid="{C2A1E613-523C-46E3-B7C0-1AFB2B57F80E}"/>
    <cellStyle name="Normal 2 5 6 7" xfId="7491" xr:uid="{A1F2CEDF-3B2B-44B3-9D1F-992F2D66ED31}"/>
    <cellStyle name="Normal 2 5 7" xfId="7492" xr:uid="{F698E7DD-6D34-4564-B3B7-876707AD6CDA}"/>
    <cellStyle name="Normal 2 5 7 2" xfId="7493" xr:uid="{0CCBEF6F-E080-4A37-85DB-30EB8272055A}"/>
    <cellStyle name="Normal 2 5 7 2 2" xfId="7494" xr:uid="{F2A674D5-928E-4DA9-8579-F49300FFBE7A}"/>
    <cellStyle name="Normal 2 5 7 2 2 2" xfId="7495" xr:uid="{8E071823-68BB-492F-A1E1-7FEB35F99C97}"/>
    <cellStyle name="Normal 2 5 7 2 3" xfId="7496" xr:uid="{A7886338-5BA1-4AF7-88FC-D6CFB09D06DB}"/>
    <cellStyle name="Normal 2 5 7 2 4" xfId="7497" xr:uid="{D43B6CAD-C550-4316-92AA-40BA72A1F2EC}"/>
    <cellStyle name="Normal 2 5 7 3" xfId="7498" xr:uid="{190160AA-9DB4-4EFE-94E9-54C08DCC2851}"/>
    <cellStyle name="Normal 2 5 7 3 2" xfId="7499" xr:uid="{080B8257-4C62-4626-B04B-0382315B9EB2}"/>
    <cellStyle name="Normal 2 5 7 3 2 2" xfId="7500" xr:uid="{A0590E38-5ACB-4C45-826D-9BC72B4A2B0E}"/>
    <cellStyle name="Normal 2 5 7 3 3" xfId="7501" xr:uid="{DE36B378-EC2B-47E3-8E7E-CDF06FE64C72}"/>
    <cellStyle name="Normal 2 5 7 4" xfId="7502" xr:uid="{9BCE5752-288D-4B23-B202-829359D32793}"/>
    <cellStyle name="Normal 2 5 7 4 2" xfId="7503" xr:uid="{6EDC79CC-CCCE-4B91-9CF6-E6BA6DE49BB0}"/>
    <cellStyle name="Normal 2 5 7 4 2 2" xfId="7504" xr:uid="{F0C10E47-0C05-44BD-95D4-1E0FB8BF592E}"/>
    <cellStyle name="Normal 2 5 7 4 3" xfId="7505" xr:uid="{70BC43F1-503B-45F9-98F6-1112268E903F}"/>
    <cellStyle name="Normal 2 5 7 5" xfId="7506" xr:uid="{B3A74174-F4A0-4944-B51E-6764523B3D1A}"/>
    <cellStyle name="Normal 2 5 7 5 2" xfId="7507" xr:uid="{FA3501AE-1062-4A54-9323-FE24545A57AD}"/>
    <cellStyle name="Normal 2 5 7 6" xfId="7508" xr:uid="{34B1107A-BA29-49C7-980D-879988FBBF40}"/>
    <cellStyle name="Normal 2 5 7 7" xfId="7509" xr:uid="{B400107B-737F-4EDF-967D-612DC5680B77}"/>
    <cellStyle name="Normal 2 5 8" xfId="7510" xr:uid="{CC7C3363-9CC9-4436-B619-624406459646}"/>
    <cellStyle name="Normal 2 5 8 2" xfId="7511" xr:uid="{F3AE0FD3-1A7E-4B60-A9E5-73A6975703A1}"/>
    <cellStyle name="Normal 2 5 8 2 2" xfId="7512" xr:uid="{1DE0D500-6FF9-491B-BDDB-133B0B4BE2DB}"/>
    <cellStyle name="Normal 2 5 8 2 2 2" xfId="7513" xr:uid="{3D8E7C2A-74BB-499D-BC18-6D06EEDE17F8}"/>
    <cellStyle name="Normal 2 5 8 2 3" xfId="7514" xr:uid="{DB3EF292-B49D-46E6-8171-65BABD2612F4}"/>
    <cellStyle name="Normal 2 5 8 2 4" xfId="7515" xr:uid="{F196E3B4-D958-4B91-A52F-A04BE936F731}"/>
    <cellStyle name="Normal 2 5 8 3" xfId="7516" xr:uid="{2DAF9DA9-F746-49B5-BB5F-AB347DE4EB83}"/>
    <cellStyle name="Normal 2 5 8 3 2" xfId="7517" xr:uid="{D9751846-3CD8-48B6-AD12-089BE2179CE9}"/>
    <cellStyle name="Normal 2 5 8 3 2 2" xfId="7518" xr:uid="{01FCCFB2-BCEE-4922-A6D1-97B0340E5AFA}"/>
    <cellStyle name="Normal 2 5 8 3 3" xfId="7519" xr:uid="{4998BB02-8952-4F3A-B2B9-04045DE20B3A}"/>
    <cellStyle name="Normal 2 5 8 4" xfId="7520" xr:uid="{962C0EE6-EDC5-4D85-B638-EDB2EE20E4BB}"/>
    <cellStyle name="Normal 2 5 8 4 2" xfId="7521" xr:uid="{789B5358-114A-4F93-A4D7-6DE4D35944F2}"/>
    <cellStyle name="Normal 2 5 8 4 2 2" xfId="7522" xr:uid="{7F44A1B3-3556-46F8-BED0-46EDED5E0797}"/>
    <cellStyle name="Normal 2 5 8 4 3" xfId="7523" xr:uid="{7242EE8B-CCA0-4B89-B50C-A92B3C9260E7}"/>
    <cellStyle name="Normal 2 5 8 5" xfId="7524" xr:uid="{E7BEBA40-E9B3-41D1-BF07-ADE42393CC2E}"/>
    <cellStyle name="Normal 2 5 8 5 2" xfId="7525" xr:uid="{8A53BADF-1EBB-46CC-ABBC-D9AE39601149}"/>
    <cellStyle name="Normal 2 5 8 6" xfId="7526" xr:uid="{5C6F5184-9EBC-4269-84FE-5E66BD01EE75}"/>
    <cellStyle name="Normal 2 5 8 7" xfId="7527" xr:uid="{24E6F2CC-E2A6-4083-99EE-83E3FA73AC88}"/>
    <cellStyle name="Normal 2 5 9" xfId="7528" xr:uid="{93BD36E2-2B69-4F41-B535-3D4D21969456}"/>
    <cellStyle name="Normal 2 5 9 2" xfId="7529" xr:uid="{F2FACA28-6CCC-4950-9596-69AB2D41A235}"/>
    <cellStyle name="Normal 2 5 9 2 2" xfId="7530" xr:uid="{B252F5E1-A697-42EA-B599-30CB8A8C3E6E}"/>
    <cellStyle name="Normal 2 5 9 2 2 2" xfId="7531" xr:uid="{73169F31-7E7F-4D97-851E-3719431FA967}"/>
    <cellStyle name="Normal 2 5 9 2 3" xfId="7532" xr:uid="{3252B4EC-9EFD-48B7-BBAE-AB1BA4A4E589}"/>
    <cellStyle name="Normal 2 5 9 2 4" xfId="7533" xr:uid="{A7EA203D-1E0B-478D-AA3C-BFE3EFFA9889}"/>
    <cellStyle name="Normal 2 5 9 3" xfId="7534" xr:uid="{226DA03D-46FC-41EA-BF2E-68917CF57209}"/>
    <cellStyle name="Normal 2 5 9 3 2" xfId="7535" xr:uid="{91DC862B-61E0-4F98-AAC3-841B441EF444}"/>
    <cellStyle name="Normal 2 5 9 3 2 2" xfId="7536" xr:uid="{206F7D45-AFBB-4383-94DE-63FA29E54174}"/>
    <cellStyle name="Normal 2 5 9 3 3" xfId="7537" xr:uid="{DD525E75-C8FB-40B6-A4A3-A6AC5A3DE014}"/>
    <cellStyle name="Normal 2 5 9 4" xfId="7538" xr:uid="{1D819C55-0AD5-4AF7-B94E-E12E7F6E9DAB}"/>
    <cellStyle name="Normal 2 5 9 4 2" xfId="7539" xr:uid="{93A7F5B0-289C-4D20-B561-B7161785A6BC}"/>
    <cellStyle name="Normal 2 5 9 4 2 2" xfId="7540" xr:uid="{DD037C09-25A6-4EB6-ADFD-B87181510403}"/>
    <cellStyle name="Normal 2 5 9 4 3" xfId="7541" xr:uid="{0AEB42FB-F755-48AC-9C30-FC19FF44F3FC}"/>
    <cellStyle name="Normal 2 5 9 5" xfId="7542" xr:uid="{10AB9668-BDA7-4B56-A0B1-B2450B579242}"/>
    <cellStyle name="Normal 2 5 9 5 2" xfId="7543" xr:uid="{6FF5C6DA-CAB1-44E3-BF10-69B24DF7ED2C}"/>
    <cellStyle name="Normal 2 5 9 6" xfId="7544" xr:uid="{FD01B247-5DF1-48F1-B771-A2FF928839A5}"/>
    <cellStyle name="Normal 2 5 9 7" xfId="7545" xr:uid="{9E8F253B-199F-4130-A1F0-B3893652F865}"/>
    <cellStyle name="Normal 2 6" xfId="7546" xr:uid="{ABE88E63-EC87-4FD7-B1BB-985F60791000}"/>
    <cellStyle name="Normal 2 7" xfId="7547" xr:uid="{A5787823-572B-49C9-A90E-975965013C9F}"/>
    <cellStyle name="Normal 2 8" xfId="7548" xr:uid="{182CF09B-F3AD-46F7-8F11-55B5EF807491}"/>
    <cellStyle name="Normal 2 9" xfId="7549" xr:uid="{8A1107F6-C0CA-4446-B411-D396CBA8040D}"/>
    <cellStyle name="Normal 20" xfId="2057" xr:uid="{4BF575D8-89AC-4C1B-AFB1-8006DB2FC8C1}"/>
    <cellStyle name="Normal 20 2" xfId="7550" xr:uid="{897836AC-7EE5-4932-AB6D-1C4B6D1AF260}"/>
    <cellStyle name="Normal 20 2 2" xfId="7551" xr:uid="{AF5130FF-056F-4177-ABA8-9AF8280DDEB1}"/>
    <cellStyle name="Normal 20 3" xfId="7552" xr:uid="{65EA2C09-0F0D-46C8-93F0-775DCBDC770B}"/>
    <cellStyle name="Normal 20 4" xfId="7553" xr:uid="{8AE1A58F-395F-4923-B76C-54323007DC4B}"/>
    <cellStyle name="Normal 20 5" xfId="7554" xr:uid="{607D4897-3E8D-47ED-8FB4-46884266153B}"/>
    <cellStyle name="Normal 21" xfId="2058" xr:uid="{4268F45B-094C-4C63-B150-8703A60636D1}"/>
    <cellStyle name="Normal 21 2" xfId="2059" xr:uid="{3875A3BE-2971-4AF3-B89A-50F1E2AEC89E}"/>
    <cellStyle name="Normal 21 2 2" xfId="7555" xr:uid="{382CC898-3B44-4B37-9A9E-70D9E9FE5864}"/>
    <cellStyle name="Normal 21 2 2 2" xfId="7556" xr:uid="{C6284F84-BB40-4296-A409-BCFE2BBAFCA0}"/>
    <cellStyle name="Normal 21 2 3" xfId="7557" xr:uid="{AFE17BE1-186A-48EC-AA07-0163DC944B48}"/>
    <cellStyle name="Normal 21 2 4" xfId="7558" xr:uid="{7C768406-23FF-4F17-A085-58AFC5B890AF}"/>
    <cellStyle name="Normal 21 3" xfId="7559" xr:uid="{4904FE3C-D28D-4C2E-BB95-58759C50FC28}"/>
    <cellStyle name="Normal 21 3 2" xfId="7560" xr:uid="{FA826A66-CFF6-4E63-ADA2-2395232360C2}"/>
    <cellStyle name="Normal 21 3 2 2" xfId="7561" xr:uid="{F58293FC-5B09-47DE-A1C6-86701A2D3180}"/>
    <cellStyle name="Normal 21 3 3" xfId="7562" xr:uid="{0303ADDB-F825-4060-B27A-10C86A8BBACD}"/>
    <cellStyle name="Normal 21 3 4" xfId="7563" xr:uid="{4B0DD115-2DA2-421B-A48F-158013E1A6D6}"/>
    <cellStyle name="Normal 21 4" xfId="7564" xr:uid="{9149AC7C-EE4A-4129-B5C4-DB866F1A3104}"/>
    <cellStyle name="Normal 21 5" xfId="9811" xr:uid="{B87DF372-9DD1-4836-98AF-4E93ED42D76E}"/>
    <cellStyle name="Normal 21 5 2" xfId="31628" xr:uid="{44EDEA4D-F39A-49B8-8BE3-E86BC65FE0E3}"/>
    <cellStyle name="Normal 21 6" xfId="31629" xr:uid="{0B044671-7E11-4F26-A026-BF43EAF23D76}"/>
    <cellStyle name="Normal 22" xfId="2060" xr:uid="{E626A347-AD83-4106-A985-4727FE49B9DA}"/>
    <cellStyle name="Normal 22 2" xfId="7565" xr:uid="{C0DF3F43-1DD3-4DD4-8BD1-BF9BF024AA72}"/>
    <cellStyle name="Normal 22 3" xfId="7566" xr:uid="{2CCDB8F7-7762-4D78-9A8C-22DE3F9F67F1}"/>
    <cellStyle name="Normal 22 4" xfId="7567" xr:uid="{8470085E-D74B-4860-9085-66440E035DAB}"/>
    <cellStyle name="Normal 23" xfId="2061" xr:uid="{EE16CA21-2221-4C8E-B8F6-D8E0DF57D982}"/>
    <cellStyle name="Normal 23 2" xfId="2062" xr:uid="{D34AA1AF-CF50-4B27-8807-60DCB3394FD8}"/>
    <cellStyle name="Normal 23 2 2" xfId="7568" xr:uid="{F51D797E-79EB-41AE-A185-015536542D95}"/>
    <cellStyle name="Normal 23 3" xfId="7569" xr:uid="{45DAC2C2-4343-46AE-9FB5-FC6EA9A5973E}"/>
    <cellStyle name="Normal 23 4" xfId="9776" xr:uid="{DAD9F856-1290-426E-AF5A-7C5B3E2C5369}"/>
    <cellStyle name="Normal 23 4 2" xfId="31630" xr:uid="{CDDFCC98-E9C4-46A7-836C-9E751C4BFAB6}"/>
    <cellStyle name="Normal 23 5" xfId="31631" xr:uid="{C80345DE-A7E2-4205-8AF3-9D1AC6DAC4D2}"/>
    <cellStyle name="Normal 24" xfId="2063" xr:uid="{E8ABD288-646E-441D-814E-FBD0F98F34DB}"/>
    <cellStyle name="Normal 24 2" xfId="7570" xr:uid="{EF0CCE26-063B-4436-BDC1-B981E1D59125}"/>
    <cellStyle name="Normal 24 2 2" xfId="7571" xr:uid="{7AFBA1DB-180E-48CB-8D3E-544DA066157D}"/>
    <cellStyle name="Normal 24 3" xfId="7572" xr:uid="{230E2A63-5221-494A-BD02-BAF92446965F}"/>
    <cellStyle name="Normal 24 4" xfId="7573" xr:uid="{61764189-5CA0-42F3-97C1-979E0C032162}"/>
    <cellStyle name="Normal 24 5" xfId="9795" xr:uid="{660D9A31-AA3F-4EB8-89CE-A860AA80384B}"/>
    <cellStyle name="Normal 24 5 2" xfId="31632" xr:uid="{05C7A38F-69F3-40C1-817F-C74C02148307}"/>
    <cellStyle name="Normal 24 6" xfId="31633" xr:uid="{33AE08AC-594C-47A2-9CD8-CC7BB90C5ABA}"/>
    <cellStyle name="Normal 25" xfId="67" xr:uid="{F21F414D-F988-43C1-9BE5-803410162B46}"/>
    <cellStyle name="Normal 25 2" xfId="7574" xr:uid="{9D95C863-1CEE-4EA6-94E0-246A2CD4EF84}"/>
    <cellStyle name="Normal 25 3" xfId="7575" xr:uid="{C4EEA2F2-0BA4-4EF8-A3BD-C9C9FA4B28D8}"/>
    <cellStyle name="Normal 25 4" xfId="7576" xr:uid="{C1EDB9CB-793B-4023-8817-37A71849D139}"/>
    <cellStyle name="Normal 25 5" xfId="7577" xr:uid="{69E9CE2C-9DFC-418D-A6CE-99AE4EED9108}"/>
    <cellStyle name="Normal 26" xfId="3317" xr:uid="{21116022-92A3-4EA2-8DA7-1EA1923B16F2}"/>
    <cellStyle name="Normal 26 2" xfId="7578" xr:uid="{6EBA0B1E-3BCF-4289-8311-33D95360073B}"/>
    <cellStyle name="Normal 26 3" xfId="7579" xr:uid="{23D0FFA0-20D4-4ABE-B9B5-04F9F6C84223}"/>
    <cellStyle name="Normal 26 4" xfId="31634" xr:uid="{E0D5302C-F46C-4B07-9F01-B355CF424CAC}"/>
    <cellStyle name="Normal 26 5" xfId="31635" xr:uid="{4DF8374E-DCD1-4277-910C-F2ED2143C7A6}"/>
    <cellStyle name="Normal 27" xfId="3318" xr:uid="{E221F1BD-72CA-4CF1-B153-A11D7575B7A9}"/>
    <cellStyle name="Normal 27 2" xfId="7580" xr:uid="{0F3E9F34-0AA3-403A-89FE-2158C39FAF92}"/>
    <cellStyle name="Normal 27 3" xfId="7581" xr:uid="{2CF22B30-4DE6-4512-8D22-8607C58725FC}"/>
    <cellStyle name="Normal 27 4" xfId="31636" xr:uid="{8347B989-EC20-40E4-8D4D-CCE9E9EADD59}"/>
    <cellStyle name="Normal 28" xfId="7582" xr:uid="{19C02615-5718-4E05-A347-36B297FF4FCB}"/>
    <cellStyle name="Normal 28 2" xfId="31637" xr:uid="{423B3593-0D08-4966-91C3-4C2B9356CEB4}"/>
    <cellStyle name="Normal 285" xfId="10" xr:uid="{F2C8F164-3C85-48BF-91AB-605DB3B6E15A}"/>
    <cellStyle name="Normal 29" xfId="7583" xr:uid="{97418E52-194B-4B3D-9034-22507C0168D0}"/>
    <cellStyle name="Normal 3" xfId="6" xr:uid="{F32C7AE4-9DF1-40C9-80E4-068DFA385B0E}"/>
    <cellStyle name="Normal 3 10" xfId="7584" xr:uid="{51D9171B-2DC3-479A-A1C7-FAC85F44C49B}"/>
    <cellStyle name="Normal 3 10 10" xfId="7585" xr:uid="{390194B4-B0E3-4335-A30E-626B1C178F9F}"/>
    <cellStyle name="Normal 3 10 10 2" xfId="7586" xr:uid="{C6C58D13-AA11-4C44-8B7D-9C5117CC7FFC}"/>
    <cellStyle name="Normal 3 10 10 2 2" xfId="7587" xr:uid="{5FC15EDB-3AE1-44A9-BB60-772F579999AE}"/>
    <cellStyle name="Normal 3 10 10 2 2 2" xfId="7588" xr:uid="{0501C66D-ECDC-4A10-9020-4BDB76B71670}"/>
    <cellStyle name="Normal 3 10 10 2 3" xfId="7589" xr:uid="{0B28D634-9266-476E-9BFB-A2E91613DAF8}"/>
    <cellStyle name="Normal 3 10 10 2 4" xfId="7590" xr:uid="{C0577D84-3C60-41AF-94EA-1B581DC004B7}"/>
    <cellStyle name="Normal 3 10 10 3" xfId="7591" xr:uid="{118315F4-4B29-431B-AAB0-A054A5B79F25}"/>
    <cellStyle name="Normal 3 10 10 3 2" xfId="7592" xr:uid="{D0565001-C3CB-4183-9314-AEABF9A48AEE}"/>
    <cellStyle name="Normal 3 10 10 3 2 2" xfId="7593" xr:uid="{AFB63C3B-9E85-4A7A-A5E4-71B2242839F7}"/>
    <cellStyle name="Normal 3 10 10 3 3" xfId="7594" xr:uid="{9608BF8B-C5EE-4C69-B730-BE1D4B43D84E}"/>
    <cellStyle name="Normal 3 10 10 4" xfId="7595" xr:uid="{7F8600BA-AA3A-4C55-9F5E-1A097B29B0AF}"/>
    <cellStyle name="Normal 3 10 10 4 2" xfId="7596" xr:uid="{2326C654-E8F3-4E27-933C-074856EA7291}"/>
    <cellStyle name="Normal 3 10 10 4 2 2" xfId="7597" xr:uid="{8FDF75E1-3A79-405B-A9F9-914F6AEEEFFB}"/>
    <cellStyle name="Normal 3 10 10 4 3" xfId="7598" xr:uid="{8AE58D63-7D27-4C70-B273-C5AB219402D8}"/>
    <cellStyle name="Normal 3 10 10 5" xfId="7599" xr:uid="{92C07784-1658-41F4-BDC5-2FE4BCABFF53}"/>
    <cellStyle name="Normal 3 10 10 5 2" xfId="7600" xr:uid="{6B0F429F-FD87-4FFB-B3A5-B8D92C98172D}"/>
    <cellStyle name="Normal 3 10 10 6" xfId="7601" xr:uid="{199022C6-8ED5-4273-8485-12180FE31F40}"/>
    <cellStyle name="Normal 3 10 10 7" xfId="7602" xr:uid="{7803C63A-822D-42EE-87E7-BFBC13B2CF06}"/>
    <cellStyle name="Normal 3 10 11" xfId="7603" xr:uid="{C6961ED8-9355-4328-B89F-E8F5E393F81C}"/>
    <cellStyle name="Normal 3 10 11 2" xfId="7604" xr:uid="{301BBA2A-E546-47B6-97B3-99FF6C11384F}"/>
    <cellStyle name="Normal 3 10 11 2 2" xfId="7605" xr:uid="{D2DDC54A-BAD0-49BE-852A-41B0973C59D1}"/>
    <cellStyle name="Normal 3 10 11 2 2 2" xfId="7606" xr:uid="{49144E43-CC12-41DE-8637-EDCC0EBEE96B}"/>
    <cellStyle name="Normal 3 10 11 2 3" xfId="7607" xr:uid="{081ADF9B-C991-4659-A9FE-F3F3BDB0EEDE}"/>
    <cellStyle name="Normal 3 10 11 2 4" xfId="7608" xr:uid="{BF0C065A-974A-4BCA-9E78-AA0D0E55E3F6}"/>
    <cellStyle name="Normal 3 10 11 3" xfId="7609" xr:uid="{EDB3E4DE-2816-4838-9830-BDE1C84E4DF4}"/>
    <cellStyle name="Normal 3 10 11 3 2" xfId="7610" xr:uid="{89120D86-358B-4D38-9731-78A34236D94D}"/>
    <cellStyle name="Normal 3 10 11 3 2 2" xfId="7611" xr:uid="{8EBA4A2E-4638-4C7E-9034-6D102D2D41AB}"/>
    <cellStyle name="Normal 3 10 11 3 3" xfId="7612" xr:uid="{4C658958-711F-4209-80CD-3F7DE66EEF62}"/>
    <cellStyle name="Normal 3 10 11 4" xfId="7613" xr:uid="{ED2ADDD9-40DC-41CA-AEA8-832B4FC1CC0F}"/>
    <cellStyle name="Normal 3 10 11 4 2" xfId="7614" xr:uid="{3E58D103-3622-44DA-887E-A65A73C8E59A}"/>
    <cellStyle name="Normal 3 10 11 4 2 2" xfId="7615" xr:uid="{58D2D833-BDF7-4661-A5C7-C20A0A3902EE}"/>
    <cellStyle name="Normal 3 10 11 4 3" xfId="7616" xr:uid="{3107A0BB-9838-45AF-99BF-294A7E49C784}"/>
    <cellStyle name="Normal 3 10 11 5" xfId="7617" xr:uid="{9D66EB9E-10C6-4BD4-B3FD-8D94B10E6399}"/>
    <cellStyle name="Normal 3 10 11 5 2" xfId="7618" xr:uid="{0344BE15-F506-45F0-BB8E-230DDC9094E9}"/>
    <cellStyle name="Normal 3 10 11 6" xfId="7619" xr:uid="{BE998349-E6A1-4614-ACEB-CC008A02BDD6}"/>
    <cellStyle name="Normal 3 10 11 7" xfId="7620" xr:uid="{E9D3F4E1-0747-47CE-8B11-F12835180892}"/>
    <cellStyle name="Normal 3 10 12" xfId="7621" xr:uid="{59106C9D-FF1E-4D2F-B603-F9B906ADCF50}"/>
    <cellStyle name="Normal 3 10 12 2" xfId="7622" xr:uid="{E5F15B16-1916-4356-90DB-287854AFC6AA}"/>
    <cellStyle name="Normal 3 10 12 2 2" xfId="7623" xr:uid="{62600C6D-20CB-4B26-AFD9-DA056BAF2DB8}"/>
    <cellStyle name="Normal 3 10 12 2 2 2" xfId="7624" xr:uid="{3359643B-68F7-4D1F-826E-7FA1C9244D17}"/>
    <cellStyle name="Normal 3 10 12 2 3" xfId="7625" xr:uid="{C9B36542-C919-432E-9D7F-B4CF7AFA64C7}"/>
    <cellStyle name="Normal 3 10 12 2 4" xfId="7626" xr:uid="{EC391CF6-E29C-40EE-8BA7-553F5AA7F810}"/>
    <cellStyle name="Normal 3 10 12 3" xfId="7627" xr:uid="{BF315BCA-AE52-47F4-9832-B21530E0FA31}"/>
    <cellStyle name="Normal 3 10 12 3 2" xfId="7628" xr:uid="{5395D686-AFEC-49C2-AB74-FD20F64F95E9}"/>
    <cellStyle name="Normal 3 10 12 3 2 2" xfId="7629" xr:uid="{391874C4-CE7D-4451-9EE1-8DBFCC654030}"/>
    <cellStyle name="Normal 3 10 12 3 3" xfId="7630" xr:uid="{A6C2DDEE-1DBB-49CC-8B81-F9F1CFB6F64B}"/>
    <cellStyle name="Normal 3 10 12 4" xfId="7631" xr:uid="{684B1BC0-786C-4FBD-ADC8-40B6BA7C3BCF}"/>
    <cellStyle name="Normal 3 10 12 4 2" xfId="7632" xr:uid="{45BA7F0C-EAA4-4D64-98C9-4560E1AC366C}"/>
    <cellStyle name="Normal 3 10 12 4 2 2" xfId="7633" xr:uid="{4112A7E4-1CD6-425C-A9D6-C1FE11E3A86F}"/>
    <cellStyle name="Normal 3 10 12 4 3" xfId="7634" xr:uid="{BE7DD7D3-5047-47D7-AEEC-973BC76BDD33}"/>
    <cellStyle name="Normal 3 10 12 5" xfId="7635" xr:uid="{A67E7317-6D5E-4776-88E1-06E2BD572860}"/>
    <cellStyle name="Normal 3 10 12 5 2" xfId="7636" xr:uid="{DF501559-E792-4483-9895-FB5CD6A3C86D}"/>
    <cellStyle name="Normal 3 10 12 6" xfId="7637" xr:uid="{9EC84058-057B-4EB7-AA42-33DE4823D1A7}"/>
    <cellStyle name="Normal 3 10 12 7" xfId="7638" xr:uid="{F1C2D9DE-3444-4144-95A5-D99417F7BE40}"/>
    <cellStyle name="Normal 3 10 13" xfId="7639" xr:uid="{71CACB29-910B-4BB8-A01B-76177A913F12}"/>
    <cellStyle name="Normal 3 10 14" xfId="7640" xr:uid="{69FB3AF7-AEC1-4FBB-B7C5-021E326F3C69}"/>
    <cellStyle name="Normal 3 10 14 2" xfId="7641" xr:uid="{1A3BB719-B779-42F1-8339-8A7A83816B70}"/>
    <cellStyle name="Normal 3 10 14 2 2" xfId="7642" xr:uid="{954F023D-E74B-436C-92A1-F3DFCD4A93B5}"/>
    <cellStyle name="Normal 3 10 14 3" xfId="7643" xr:uid="{21F62C4B-A8EF-42EE-ABD6-10BE596398CB}"/>
    <cellStyle name="Normal 3 10 14 4" xfId="7644" xr:uid="{6DD8FFFB-9498-4754-B5D3-59C352AE4132}"/>
    <cellStyle name="Normal 3 10 15" xfId="7645" xr:uid="{C7BD28E8-7682-49E5-9F1C-64E3B56C9973}"/>
    <cellStyle name="Normal 3 10 15 2" xfId="7646" xr:uid="{07B4764C-DA30-475F-AFD4-EF6CA0D8018A}"/>
    <cellStyle name="Normal 3 10 15 2 2" xfId="7647" xr:uid="{0380A984-4B17-4C2D-B33B-03F983777510}"/>
    <cellStyle name="Normal 3 10 15 3" xfId="7648" xr:uid="{F9611C1D-EF5F-4F97-812D-C02A063EC29A}"/>
    <cellStyle name="Normal 3 10 16" xfId="7649" xr:uid="{7DD98816-4089-43EE-BB46-62E6ACDA45F6}"/>
    <cellStyle name="Normal 3 10 16 2" xfId="7650" xr:uid="{E61659F6-2DE5-4ED6-B578-5335CB805757}"/>
    <cellStyle name="Normal 3 10 16 2 2" xfId="7651" xr:uid="{104E4CD9-6E25-4E92-A053-D0A756375670}"/>
    <cellStyle name="Normal 3 10 16 3" xfId="7652" xr:uid="{DF992363-31DB-4969-AF19-00E4D6F1C47F}"/>
    <cellStyle name="Normal 3 10 17" xfId="7653" xr:uid="{7480AA30-8265-428F-A18F-9C1FE38F6822}"/>
    <cellStyle name="Normal 3 10 17 2" xfId="7654" xr:uid="{FD477FAD-30F2-46CA-9D96-F14A85962645}"/>
    <cellStyle name="Normal 3 10 18" xfId="7655" xr:uid="{665F3DC1-8B5E-4FEF-9E7A-B3D1BFE8AED3}"/>
    <cellStyle name="Normal 3 10 19" xfId="7656" xr:uid="{B6328426-119D-46A1-B7B7-CA5F3C2A2CCF}"/>
    <cellStyle name="Normal 3 10 2" xfId="7657" xr:uid="{5462AA7D-0638-40F0-9C25-D1A23EA76AC8}"/>
    <cellStyle name="Normal 3 10 2 2" xfId="7658" xr:uid="{D54B74E9-ABA4-42A5-A6A1-1BCC6935CA97}"/>
    <cellStyle name="Normal 3 10 2 2 2" xfId="7659" xr:uid="{10119588-65B7-4889-B1CD-76D5300E8522}"/>
    <cellStyle name="Normal 3 10 2 2 2 2" xfId="7660" xr:uid="{74CAD010-9C58-41D0-A8B4-EE6665A1D123}"/>
    <cellStyle name="Normal 3 10 2 2 3" xfId="7661" xr:uid="{9307DC97-2F20-4794-B247-59914BA74D2A}"/>
    <cellStyle name="Normal 3 10 2 2 4" xfId="7662" xr:uid="{A84C4C1D-193E-4C1C-A40D-3A550C94F0FB}"/>
    <cellStyle name="Normal 3 10 2 3" xfId="7663" xr:uid="{19BE8974-28B0-4DC7-9B77-023B1EE3A486}"/>
    <cellStyle name="Normal 3 10 2 3 2" xfId="7664" xr:uid="{64909788-5E21-480C-AA28-219DB1072597}"/>
    <cellStyle name="Normal 3 10 2 3 2 2" xfId="7665" xr:uid="{98460CEB-B287-4D28-9629-9DEDC316F7A8}"/>
    <cellStyle name="Normal 3 10 2 3 3" xfId="7666" xr:uid="{FD22C1D0-6565-45BF-BE62-31C680342214}"/>
    <cellStyle name="Normal 3 10 2 4" xfId="7667" xr:uid="{A6A595CF-30C3-4E22-84EC-FCE4E619DD64}"/>
    <cellStyle name="Normal 3 10 2 4 2" xfId="7668" xr:uid="{E82B66E5-B204-4060-B70F-CA39601A4530}"/>
    <cellStyle name="Normal 3 10 2 4 2 2" xfId="7669" xr:uid="{376C0A0B-418E-46A4-A719-808701CB6402}"/>
    <cellStyle name="Normal 3 10 2 4 3" xfId="7670" xr:uid="{7736434D-9FF2-4593-B430-0E3ADFC9827F}"/>
    <cellStyle name="Normal 3 10 2 5" xfId="7671" xr:uid="{9CFBA7F8-A675-44C7-BA31-6D142E61B8D6}"/>
    <cellStyle name="Normal 3 10 2 5 2" xfId="7672" xr:uid="{37CBD002-C150-4599-8C31-9782B47CF02F}"/>
    <cellStyle name="Normal 3 10 2 6" xfId="7673" xr:uid="{81E1C27B-353F-44D9-A83A-C878572E4B02}"/>
    <cellStyle name="Normal 3 10 2 7" xfId="7674" xr:uid="{00BE6815-2CD6-4E13-B818-882E5A15DC52}"/>
    <cellStyle name="Normal 3 10 3" xfId="7675" xr:uid="{489A0961-4991-4D44-BF1A-DF83D1B79460}"/>
    <cellStyle name="Normal 3 10 3 2" xfId="7676" xr:uid="{1CD5CABB-8A11-4667-B373-004CD5960506}"/>
    <cellStyle name="Normal 3 10 3 2 2" xfId="7677" xr:uid="{30A273EC-4A54-4F47-A309-F7E7EC17C94F}"/>
    <cellStyle name="Normal 3 10 3 2 2 2" xfId="7678" xr:uid="{82343562-CE67-4627-9F5A-749DF5241570}"/>
    <cellStyle name="Normal 3 10 3 2 3" xfId="7679" xr:uid="{FA90B2B1-E053-4FCE-9CFC-5FFFBA1DD603}"/>
    <cellStyle name="Normal 3 10 3 2 4" xfId="7680" xr:uid="{44369C03-1C01-4A99-BF50-5D2B44F785E9}"/>
    <cellStyle name="Normal 3 10 3 3" xfId="7681" xr:uid="{A16C061D-DADD-4DB1-AD28-C61371722739}"/>
    <cellStyle name="Normal 3 10 3 3 2" xfId="7682" xr:uid="{8799F9F7-FE36-41B5-B348-C91390C0A834}"/>
    <cellStyle name="Normal 3 10 3 3 2 2" xfId="7683" xr:uid="{080AE0A4-5331-4D3B-85F2-554E8913BBE8}"/>
    <cellStyle name="Normal 3 10 3 3 3" xfId="7684" xr:uid="{CAADEBB6-B86A-406B-97B8-C63C3B45A6DF}"/>
    <cellStyle name="Normal 3 10 3 4" xfId="7685" xr:uid="{3F075FFC-B630-4244-B9CB-E8D5889E7CE4}"/>
    <cellStyle name="Normal 3 10 3 4 2" xfId="7686" xr:uid="{6206EC91-8996-41A2-A3BC-4E6B9DF3ED2A}"/>
    <cellStyle name="Normal 3 10 3 4 2 2" xfId="7687" xr:uid="{AEDCFE92-159E-4553-A5BA-CA654C4FD770}"/>
    <cellStyle name="Normal 3 10 3 4 3" xfId="7688" xr:uid="{8D6F407D-4338-454B-A291-8A80290F02FA}"/>
    <cellStyle name="Normal 3 10 3 5" xfId="7689" xr:uid="{314E80BD-2FB4-4AF8-B793-7E6CE7B33C1E}"/>
    <cellStyle name="Normal 3 10 3 5 2" xfId="7690" xr:uid="{21B9C3E7-D60C-4C69-BE53-38CBAF883E2A}"/>
    <cellStyle name="Normal 3 10 3 6" xfId="7691" xr:uid="{790A965B-4DE6-49D5-9F7F-9DCCDC223AEE}"/>
    <cellStyle name="Normal 3 10 3 7" xfId="7692" xr:uid="{172F07D2-0933-4B1D-8471-22E95A786272}"/>
    <cellStyle name="Normal 3 10 4" xfId="7693" xr:uid="{13F6E8AE-65B6-4AFD-BD77-9AAF62B606F0}"/>
    <cellStyle name="Normal 3 10 4 2" xfId="7694" xr:uid="{D73069ED-F4D7-42D4-AD1C-89DC51C6B7F4}"/>
    <cellStyle name="Normal 3 10 4 2 2" xfId="7695" xr:uid="{CA896F83-BE2B-412F-9DF4-E3A991486547}"/>
    <cellStyle name="Normal 3 10 4 2 2 2" xfId="7696" xr:uid="{9D6D6F6A-5EDD-44BB-BAB4-AEBACB429A59}"/>
    <cellStyle name="Normal 3 10 4 2 3" xfId="7697" xr:uid="{793768C7-6430-46BE-B1C1-91F7EA7E6B45}"/>
    <cellStyle name="Normal 3 10 4 2 4" xfId="7698" xr:uid="{5F0DDDE1-373D-43E2-9F64-0EF06D437E95}"/>
    <cellStyle name="Normal 3 10 4 3" xfId="7699" xr:uid="{61E4CF75-1C8F-424E-B7F9-567A4B29F835}"/>
    <cellStyle name="Normal 3 10 4 3 2" xfId="7700" xr:uid="{6C374068-65F5-4EE1-ADC7-9A63B4D23F88}"/>
    <cellStyle name="Normal 3 10 4 3 2 2" xfId="7701" xr:uid="{6820232F-5C8B-454E-9D70-A99F0D7BF63A}"/>
    <cellStyle name="Normal 3 10 4 3 3" xfId="7702" xr:uid="{60150BF4-34FD-4044-9166-64E52D8CACF0}"/>
    <cellStyle name="Normal 3 10 4 4" xfId="7703" xr:uid="{31D895C0-B573-4AB5-9478-01EB623200B8}"/>
    <cellStyle name="Normal 3 10 4 4 2" xfId="7704" xr:uid="{EAD72330-3578-465A-8261-77467CF43B16}"/>
    <cellStyle name="Normal 3 10 4 4 2 2" xfId="7705" xr:uid="{8310DC65-6F0B-42C4-B0A0-809B145A2769}"/>
    <cellStyle name="Normal 3 10 4 4 3" xfId="7706" xr:uid="{C2828104-C2F1-49E8-972E-899DCFA5D21A}"/>
    <cellStyle name="Normal 3 10 4 5" xfId="7707" xr:uid="{838E7814-3D04-4041-9D98-45FC6D445B4D}"/>
    <cellStyle name="Normal 3 10 4 5 2" xfId="7708" xr:uid="{C752FEAB-917F-4EF8-9AA1-FF9A2E06E880}"/>
    <cellStyle name="Normal 3 10 4 6" xfId="7709" xr:uid="{6A9AFF2C-F437-4332-9F38-9F350C1FD39A}"/>
    <cellStyle name="Normal 3 10 4 7" xfId="7710" xr:uid="{086E52ED-C625-40DD-8E33-73E9BD52BDCE}"/>
    <cellStyle name="Normal 3 10 5" xfId="7711" xr:uid="{DC1BDC05-3EEE-4F4E-9759-2C93D1337B19}"/>
    <cellStyle name="Normal 3 10 5 2" xfId="7712" xr:uid="{9CEF8729-2B10-42EE-8A87-28296F4AEEEC}"/>
    <cellStyle name="Normal 3 10 5 2 2" xfId="7713" xr:uid="{619A62E6-8EBD-495A-B951-6F5FB584EF8A}"/>
    <cellStyle name="Normal 3 10 5 2 2 2" xfId="7714" xr:uid="{EE680B57-0BB6-47A1-8AB9-8B7F742460B3}"/>
    <cellStyle name="Normal 3 10 5 2 3" xfId="7715" xr:uid="{1CC4A6E1-982B-4C55-A354-EE5DCB15F3E9}"/>
    <cellStyle name="Normal 3 10 5 2 4" xfId="7716" xr:uid="{E46196D1-D87D-4E0C-A573-7978216620C6}"/>
    <cellStyle name="Normal 3 10 5 3" xfId="7717" xr:uid="{F1294D61-1542-4AA8-9643-198D3ECE414E}"/>
    <cellStyle name="Normal 3 10 5 3 2" xfId="7718" xr:uid="{A83D8E87-8B4A-4A8C-B4F9-DEB3D11F02CE}"/>
    <cellStyle name="Normal 3 10 5 3 2 2" xfId="7719" xr:uid="{1707FBA2-1702-4292-A92E-3BF5FBC84049}"/>
    <cellStyle name="Normal 3 10 5 3 3" xfId="7720" xr:uid="{E6F94ED0-2F92-4348-A24E-6EDAD6276458}"/>
    <cellStyle name="Normal 3 10 5 4" xfId="7721" xr:uid="{40EA3D25-331B-4084-8CA8-99143F044D5C}"/>
    <cellStyle name="Normal 3 10 5 4 2" xfId="7722" xr:uid="{7376BEEF-5316-4816-BBF0-ADBF5481FF6F}"/>
    <cellStyle name="Normal 3 10 5 4 2 2" xfId="7723" xr:uid="{358F65FD-6EF7-4B86-AD4F-624EBE9CA640}"/>
    <cellStyle name="Normal 3 10 5 4 3" xfId="7724" xr:uid="{2FD11675-B2E6-4F93-9A2E-9564931CFB44}"/>
    <cellStyle name="Normal 3 10 5 5" xfId="7725" xr:uid="{2E0BD1E2-FD93-400F-ABA8-FEDFFC67AE19}"/>
    <cellStyle name="Normal 3 10 5 5 2" xfId="7726" xr:uid="{9F318470-F395-4D53-9293-F5CB6BB033A7}"/>
    <cellStyle name="Normal 3 10 5 6" xfId="7727" xr:uid="{ECACC3C7-C463-4D8C-9B57-6ECF4DE39338}"/>
    <cellStyle name="Normal 3 10 5 7" xfId="7728" xr:uid="{DCCC8F8C-8D0A-4157-8DDE-55C52FAA6658}"/>
    <cellStyle name="Normal 3 10 6" xfId="7729" xr:uid="{006F4289-6A8D-4BE9-AE34-4C881FC2DFA5}"/>
    <cellStyle name="Normal 3 10 6 2" xfId="7730" xr:uid="{6A164F95-4FB4-4EE0-A877-EEE804298BB3}"/>
    <cellStyle name="Normal 3 10 6 2 2" xfId="7731" xr:uid="{DFB9C49A-7DC2-41B5-BC72-F1CAD456FD88}"/>
    <cellStyle name="Normal 3 10 6 2 2 2" xfId="7732" xr:uid="{059798FE-07EE-4A68-A05A-D1A042C39A91}"/>
    <cellStyle name="Normal 3 10 6 2 3" xfId="7733" xr:uid="{FB8553FC-CAAB-4B7A-B441-E246F0AE6B0A}"/>
    <cellStyle name="Normal 3 10 6 2 4" xfId="7734" xr:uid="{C32E54DF-DF75-4CB9-B563-A9A9B30FDEC7}"/>
    <cellStyle name="Normal 3 10 6 3" xfId="7735" xr:uid="{57F13FD7-35A9-4F8E-B084-3EE91E8EC138}"/>
    <cellStyle name="Normal 3 10 6 3 2" xfId="7736" xr:uid="{EDF261C3-7A32-4797-BDDB-190E10E6E99E}"/>
    <cellStyle name="Normal 3 10 6 3 2 2" xfId="7737" xr:uid="{A3681B0D-4699-4BAC-8548-64EEE4370602}"/>
    <cellStyle name="Normal 3 10 6 3 3" xfId="7738" xr:uid="{797EB241-E932-405A-87F8-BFD992BDD44E}"/>
    <cellStyle name="Normal 3 10 6 4" xfId="7739" xr:uid="{CD06701A-C8C4-49C1-8449-A1031DAB6F15}"/>
    <cellStyle name="Normal 3 10 6 4 2" xfId="7740" xr:uid="{1DE5A345-6E0A-43F0-ADB1-7AF69CB193F6}"/>
    <cellStyle name="Normal 3 10 6 4 2 2" xfId="7741" xr:uid="{74192018-C0C0-4A7A-913D-720310F93F93}"/>
    <cellStyle name="Normal 3 10 6 4 3" xfId="7742" xr:uid="{E5E0E1DD-5493-49F0-8D81-F8826ECB7EC4}"/>
    <cellStyle name="Normal 3 10 6 5" xfId="7743" xr:uid="{E3F51AD3-CED4-4F66-9FAF-BA8659FAAB26}"/>
    <cellStyle name="Normal 3 10 6 5 2" xfId="7744" xr:uid="{7E3DFDB1-570D-4AE2-9EBD-C8AB18643466}"/>
    <cellStyle name="Normal 3 10 6 6" xfId="7745" xr:uid="{F494F721-CD74-4BCC-911A-4158A67900B6}"/>
    <cellStyle name="Normal 3 10 6 7" xfId="7746" xr:uid="{5FB4D4ED-12F0-47D6-A3F2-F979874E71A6}"/>
    <cellStyle name="Normal 3 10 7" xfId="7747" xr:uid="{E3A3B55E-1084-4458-83FC-A394266F3C02}"/>
    <cellStyle name="Normal 3 10 7 2" xfId="7748" xr:uid="{F839E918-01C5-4ED0-98EC-8A938183798D}"/>
    <cellStyle name="Normal 3 10 7 2 2" xfId="7749" xr:uid="{2B14E28B-F97A-4A12-BE5A-BECFA26134E5}"/>
    <cellStyle name="Normal 3 10 7 2 2 2" xfId="7750" xr:uid="{2EB672EC-CB9B-4926-9126-07F7298AC6E4}"/>
    <cellStyle name="Normal 3 10 7 2 3" xfId="7751" xr:uid="{D6C7380B-480B-4FCB-B9B3-BFCA5D5C9A88}"/>
    <cellStyle name="Normal 3 10 7 2 4" xfId="7752" xr:uid="{9E85A0D4-09EE-4314-8573-60DE5D4F9266}"/>
    <cellStyle name="Normal 3 10 7 3" xfId="7753" xr:uid="{78CC8F83-411C-48B9-AD5C-6F3042CEA3A6}"/>
    <cellStyle name="Normal 3 10 7 3 2" xfId="7754" xr:uid="{E49A4E6D-D47F-4937-8926-9F10CEFED14E}"/>
    <cellStyle name="Normal 3 10 7 3 2 2" xfId="7755" xr:uid="{814FB492-5200-4F50-8AE3-0BCF209E0C26}"/>
    <cellStyle name="Normal 3 10 7 3 3" xfId="7756" xr:uid="{8FC21CED-7936-492E-BC58-356AD2349535}"/>
    <cellStyle name="Normal 3 10 7 4" xfId="7757" xr:uid="{ABF4A914-4EE7-4B02-A3EA-60C944A15735}"/>
    <cellStyle name="Normal 3 10 7 4 2" xfId="7758" xr:uid="{B132A75A-2794-4CC7-8154-93CCF67F4428}"/>
    <cellStyle name="Normal 3 10 7 4 2 2" xfId="7759" xr:uid="{26F01462-16AB-4FA7-A019-D98EED35CBA4}"/>
    <cellStyle name="Normal 3 10 7 4 3" xfId="7760" xr:uid="{41B5D13D-DEA2-4E70-AC58-8FB063055AD4}"/>
    <cellStyle name="Normal 3 10 7 5" xfId="7761" xr:uid="{D7770BAE-38F7-41B4-A12D-2F3D78F90776}"/>
    <cellStyle name="Normal 3 10 7 5 2" xfId="7762" xr:uid="{7AF75BE8-928C-4882-BA28-E717C9BE02D1}"/>
    <cellStyle name="Normal 3 10 7 6" xfId="7763" xr:uid="{F0D371B1-1DC3-4E08-95A7-6303C0AC3790}"/>
    <cellStyle name="Normal 3 10 7 7" xfId="7764" xr:uid="{09EFDDBF-0CE2-4EBC-9CEB-6A91606E3DAF}"/>
    <cellStyle name="Normal 3 10 8" xfId="7765" xr:uid="{77921C09-F77D-4632-ADEC-3E64575BB493}"/>
    <cellStyle name="Normal 3 10 8 2" xfId="7766" xr:uid="{8696EFC1-EFE9-488E-8F73-D44CE87778E1}"/>
    <cellStyle name="Normal 3 10 8 2 2" xfId="7767" xr:uid="{8E96492A-0F35-4F48-830E-B4138C8C9AF3}"/>
    <cellStyle name="Normal 3 10 8 2 2 2" xfId="7768" xr:uid="{12FA0D62-D5F4-4F73-B258-6F283C602230}"/>
    <cellStyle name="Normal 3 10 8 2 3" xfId="7769" xr:uid="{4771EA92-67C0-4922-896E-89B4D58B2BDA}"/>
    <cellStyle name="Normal 3 10 8 2 4" xfId="7770" xr:uid="{BE156DD4-EBD8-407D-B0DA-323EDA336096}"/>
    <cellStyle name="Normal 3 10 8 3" xfId="7771" xr:uid="{1A129E80-9124-4C02-BCB1-FA625822FA1E}"/>
    <cellStyle name="Normal 3 10 8 3 2" xfId="7772" xr:uid="{D6974B50-CD95-4270-97CC-06943C91A140}"/>
    <cellStyle name="Normal 3 10 8 3 2 2" xfId="7773" xr:uid="{B3077BC9-BDA1-494B-A3D3-D7732255C486}"/>
    <cellStyle name="Normal 3 10 8 3 3" xfId="7774" xr:uid="{C1FF6B43-D4AE-4C41-8B11-EA54EB914CC7}"/>
    <cellStyle name="Normal 3 10 8 4" xfId="7775" xr:uid="{E7446023-51E9-43EF-8C67-252A43CC79FB}"/>
    <cellStyle name="Normal 3 10 8 4 2" xfId="7776" xr:uid="{3F3720BD-90E6-4ED9-9B76-C2EC2B0ADD40}"/>
    <cellStyle name="Normal 3 10 8 4 2 2" xfId="7777" xr:uid="{0F20C1D6-D406-42CB-96FA-34D86FDC7CAB}"/>
    <cellStyle name="Normal 3 10 8 4 3" xfId="7778" xr:uid="{33EC2428-B517-4239-829A-A54397A0DA90}"/>
    <cellStyle name="Normal 3 10 8 5" xfId="7779" xr:uid="{F94616F8-5A19-463A-ADA8-76443CD9F839}"/>
    <cellStyle name="Normal 3 10 8 5 2" xfId="7780" xr:uid="{1184DC10-BD90-4B67-8383-0B669A73879C}"/>
    <cellStyle name="Normal 3 10 8 6" xfId="7781" xr:uid="{C302BAF9-94E8-4AC5-B859-950CFBBF5E17}"/>
    <cellStyle name="Normal 3 10 8 7" xfId="7782" xr:uid="{26F2E0B3-22A6-442C-8EA0-B155D25DD033}"/>
    <cellStyle name="Normal 3 10 9" xfId="7783" xr:uid="{624F77F8-3766-48D6-AE7A-87C1A8DD079F}"/>
    <cellStyle name="Normal 3 10 9 2" xfId="7784" xr:uid="{3F322410-67B0-4738-BA2C-1C915232FD82}"/>
    <cellStyle name="Normal 3 10 9 2 2" xfId="7785" xr:uid="{BF6DA509-3425-4735-96F5-FB07C820F454}"/>
    <cellStyle name="Normal 3 10 9 2 2 2" xfId="7786" xr:uid="{1C9D2435-7316-439C-B632-0A7B93E3ACBC}"/>
    <cellStyle name="Normal 3 10 9 2 3" xfId="7787" xr:uid="{4D29D88B-0406-4733-B331-CE984099819E}"/>
    <cellStyle name="Normal 3 10 9 2 4" xfId="7788" xr:uid="{9D8A1E4D-8213-453A-BAD2-21602687B06E}"/>
    <cellStyle name="Normal 3 10 9 3" xfId="7789" xr:uid="{9107413D-C29A-4F73-96A5-F70EF75E4FF4}"/>
    <cellStyle name="Normal 3 10 9 3 2" xfId="7790" xr:uid="{830D409C-B1B2-4E53-9DAF-439FCFDF73B8}"/>
    <cellStyle name="Normal 3 10 9 3 2 2" xfId="7791" xr:uid="{19CAD4A5-E9CE-43FA-BECB-AB88E832B8A6}"/>
    <cellStyle name="Normal 3 10 9 3 3" xfId="7792" xr:uid="{BE502DC2-E536-4E23-9093-F0383C8224E0}"/>
    <cellStyle name="Normal 3 10 9 4" xfId="7793" xr:uid="{53508DD4-878A-4635-9182-37E5ACF9263A}"/>
    <cellStyle name="Normal 3 10 9 4 2" xfId="7794" xr:uid="{D0854D08-F9BE-470C-AA09-2649AC722998}"/>
    <cellStyle name="Normal 3 10 9 4 2 2" xfId="7795" xr:uid="{74CB1C2A-F193-4373-AC88-8DA050971F82}"/>
    <cellStyle name="Normal 3 10 9 4 3" xfId="7796" xr:uid="{9B827C2D-216B-4FF9-B592-03C007150D94}"/>
    <cellStyle name="Normal 3 10 9 5" xfId="7797" xr:uid="{C5F6EFAB-9735-4DED-BC83-CA66C30128BC}"/>
    <cellStyle name="Normal 3 10 9 5 2" xfId="7798" xr:uid="{2AABA9FF-F1DA-40C0-832C-9D9A4B474D60}"/>
    <cellStyle name="Normal 3 10 9 6" xfId="7799" xr:uid="{D7813D4A-BB89-4CEC-AFE6-56C97761309E}"/>
    <cellStyle name="Normal 3 10 9 7" xfId="7800" xr:uid="{778D829A-A612-477A-9ED8-1EB1CE53ECF2}"/>
    <cellStyle name="Normal 3 11" xfId="7801" xr:uid="{1CF081FF-090B-41BB-A2CB-156921E514CE}"/>
    <cellStyle name="Normal 3 12" xfId="7802" xr:uid="{7B089538-8AE7-4BF7-B48C-4F8A504D712D}"/>
    <cellStyle name="Normal 3 13" xfId="7803" xr:uid="{447F7B2D-A821-4B2B-A653-13512872FED7}"/>
    <cellStyle name="Normal 3 14" xfId="7804" xr:uid="{EFDBD163-A6E6-4DB6-8BC4-58AE76F1B5AD}"/>
    <cellStyle name="Normal 3 15" xfId="7805" xr:uid="{49042E62-CAF2-43A8-80FA-384BA3594A84}"/>
    <cellStyle name="Normal 3 16" xfId="7806" xr:uid="{9889E23F-62E4-4F17-B7B1-B62028A486D3}"/>
    <cellStyle name="Normal 3 17" xfId="7807" xr:uid="{98D292B1-23FD-447C-B6FF-D6DEB7216B9A}"/>
    <cellStyle name="Normal 3 18" xfId="7808" xr:uid="{4C1EF7B8-F097-4E6A-AB41-02BF63F62CA0}"/>
    <cellStyle name="Normal 3 19" xfId="7809" xr:uid="{D3D29E2C-0ABD-4246-8518-FC896BDBDF0F}"/>
    <cellStyle name="Normal 3 2" xfId="27" xr:uid="{D5C18E8C-847F-45A2-8595-EDE76C49E8AD}"/>
    <cellStyle name="Normal 3 2 10" xfId="7810" xr:uid="{5D6246B3-03DA-401D-8577-472D8F1894AA}"/>
    <cellStyle name="Normal 3 2 10 2" xfId="7811" xr:uid="{321582B4-2E29-4111-93C4-2FBEAE0FD909}"/>
    <cellStyle name="Normal 3 2 10 2 2" xfId="7812" xr:uid="{0F391F09-DA83-4F42-B727-0EC0A8B26B9D}"/>
    <cellStyle name="Normal 3 2 10 3" xfId="7813" xr:uid="{3409C6E1-1081-405C-8D25-44DB3B428E1E}"/>
    <cellStyle name="Normal 3 2 11" xfId="7814" xr:uid="{711C089D-BD55-4700-98AC-24056C025454}"/>
    <cellStyle name="Normal 3 2 11 2" xfId="7815" xr:uid="{F06A0C6C-EBE3-4847-8BCE-C7DE94F93C84}"/>
    <cellStyle name="Normal 3 2 12" xfId="7816" xr:uid="{7CC093C5-C6BF-4EBC-999F-629CD909BD00}"/>
    <cellStyle name="Normal 3 2 13" xfId="7817" xr:uid="{0C630C52-DECC-4155-BAF5-025EFEE8520F}"/>
    <cellStyle name="Normal 3 2 14" xfId="7818" xr:uid="{8E2D99B4-50FD-41FD-9C59-DADFD4738A23}"/>
    <cellStyle name="Normal 3 2 15" xfId="7819" xr:uid="{85117CA1-CDC9-46E2-9677-FC52027E2446}"/>
    <cellStyle name="Normal 3 2 16" xfId="7820" xr:uid="{1579BC2F-6935-4446-AD98-82D4CD9463AD}"/>
    <cellStyle name="Normal 3 2 17" xfId="44782" xr:uid="{18434F9B-BAAD-41BA-8E00-2D7A43142332}"/>
    <cellStyle name="Normal 3 2 18" xfId="2064" xr:uid="{27D619B5-8B22-4FEB-B4A9-9BB01C1625CB}"/>
    <cellStyle name="Normal 3 2 2" xfId="7821" xr:uid="{E43DC593-A61A-4A76-9230-FCE5567E35CD}"/>
    <cellStyle name="Normal 3 2 2 2" xfId="44799" xr:uid="{098E44C3-CAC3-4966-B4B3-AC777F546446}"/>
    <cellStyle name="Normal 3 2 3" xfId="7822" xr:uid="{887F896D-226B-40CB-92AC-777AE98B7E0B}"/>
    <cellStyle name="Normal 3 2 3 10" xfId="7823" xr:uid="{698CF4E0-D4BF-4EA6-B6CC-D68A55D67081}"/>
    <cellStyle name="Normal 3 2 3 11" xfId="7824" xr:uid="{5FA54660-A2BA-407A-85C8-A1E998E10F95}"/>
    <cellStyle name="Normal 3 2 3 2" xfId="7825" xr:uid="{444E3F74-2EF0-4F51-87C5-C59502D99080}"/>
    <cellStyle name="Normal 3 2 3 2 10" xfId="7826" xr:uid="{D7CB435D-1887-4EB7-9DAC-7B224A04E7FE}"/>
    <cellStyle name="Normal 3 2 3 2 2" xfId="7827" xr:uid="{74488F61-61EC-4D04-85DD-885C53C8724A}"/>
    <cellStyle name="Normal 3 2 3 2 2 2" xfId="7828" xr:uid="{8076802E-50E7-4875-BA7A-B0632F00FFA4}"/>
    <cellStyle name="Normal 3 2 3 2 2 2 2" xfId="7829" xr:uid="{0C78058E-921A-418C-A5FD-7DFC2492C400}"/>
    <cellStyle name="Normal 3 2 3 2 2 3" xfId="7830" xr:uid="{F3809C7B-85BB-4C57-8A94-0C7EB51A3271}"/>
    <cellStyle name="Normal 3 2 3 2 2 4" xfId="7831" xr:uid="{9177AD5C-10E8-4CA1-B57C-2693928795E8}"/>
    <cellStyle name="Normal 3 2 3 2 3" xfId="7832" xr:uid="{788949A7-677A-4E55-B1A7-906D4CF32D52}"/>
    <cellStyle name="Normal 3 2 3 2 3 2" xfId="7833" xr:uid="{9B7C2A83-E90F-4E7B-88B6-C02D85322CFC}"/>
    <cellStyle name="Normal 3 2 3 2 3 2 2" xfId="7834" xr:uid="{ACE4B5E0-FF3E-4F8D-9A7E-DE30BA7810DB}"/>
    <cellStyle name="Normal 3 2 3 2 3 3" xfId="7835" xr:uid="{9F54E3BB-F531-45FA-8571-A2A15A173120}"/>
    <cellStyle name="Normal 3 2 3 2 4" xfId="7836" xr:uid="{7F0F700C-0E0C-41F7-90CC-959F908F84CB}"/>
    <cellStyle name="Normal 3 2 3 2 4 2" xfId="7837" xr:uid="{BC361407-F971-4A43-855C-B546C6C7B1DE}"/>
    <cellStyle name="Normal 3 2 3 2 4 2 2" xfId="7838" xr:uid="{D4784CD4-4ED4-4474-BE80-601DD3858F4B}"/>
    <cellStyle name="Normal 3 2 3 2 4 3" xfId="7839" xr:uid="{47880B42-2F74-492E-926C-432BC9E22A41}"/>
    <cellStyle name="Normal 3 2 3 2 5" xfId="7840" xr:uid="{A840534F-DC03-4908-A47C-2832A4D8B27D}"/>
    <cellStyle name="Normal 3 2 3 2 5 2" xfId="7841" xr:uid="{63CD434D-F4A5-4493-8645-6E2391782F15}"/>
    <cellStyle name="Normal 3 2 3 2 5 2 2" xfId="7842" xr:uid="{93D7E935-3103-45A4-A7F8-28202BA7A75D}"/>
    <cellStyle name="Normal 3 2 3 2 5 3" xfId="7843" xr:uid="{3F64686B-9E8B-4B25-9A07-4E16937A8B2C}"/>
    <cellStyle name="Normal 3 2 3 2 6" xfId="7844" xr:uid="{39806E06-CAA2-4C7A-8CB1-35EF4DBED5C0}"/>
    <cellStyle name="Normal 3 2 3 2 6 2" xfId="7845" xr:uid="{62CE212A-E98C-4F80-9169-1592E6BB7F62}"/>
    <cellStyle name="Normal 3 2 3 2 6 2 2" xfId="7846" xr:uid="{230B4226-0E31-4925-A8C6-5D8421EBA8CE}"/>
    <cellStyle name="Normal 3 2 3 2 6 3" xfId="7847" xr:uid="{AC3F0F3E-7CF5-40BE-97A3-55CF0FC787B9}"/>
    <cellStyle name="Normal 3 2 3 2 7" xfId="7848" xr:uid="{45E39D6F-AA86-4DD6-8558-0F69057932C0}"/>
    <cellStyle name="Normal 3 2 3 2 7 2" xfId="7849" xr:uid="{10F3D935-A6D8-436F-8074-E7FAA889D9A1}"/>
    <cellStyle name="Normal 3 2 3 2 7 2 2" xfId="7850" xr:uid="{88CE7EF3-3D5D-4DB5-9C96-8D09E1C58B4F}"/>
    <cellStyle name="Normal 3 2 3 2 7 3" xfId="7851" xr:uid="{03633083-00C8-4FDB-ABEF-ABEAD84B3601}"/>
    <cellStyle name="Normal 3 2 3 2 8" xfId="7852" xr:uid="{C9D094A2-B056-404D-B2C2-DC505D73C39F}"/>
    <cellStyle name="Normal 3 2 3 2 8 2" xfId="7853" xr:uid="{4AC778D5-D3BF-43B0-84C9-E758888E3AD3}"/>
    <cellStyle name="Normal 3 2 3 2 9" xfId="7854" xr:uid="{B89F4065-9226-48F6-A754-042F6FE852EF}"/>
    <cellStyle name="Normal 3 2 3 3" xfId="7855" xr:uid="{C5274F61-C73D-4329-A237-CE709D5532ED}"/>
    <cellStyle name="Normal 3 2 3 3 2" xfId="7856" xr:uid="{32A30A16-C2BE-4749-AB9D-2D0A4864461D}"/>
    <cellStyle name="Normal 3 2 3 3 2 2" xfId="7857" xr:uid="{9A42564F-C695-4F81-B4E8-EC4611FD474B}"/>
    <cellStyle name="Normal 3 2 3 3 3" xfId="7858" xr:uid="{629991A1-42C3-403C-89E4-BDD1D60F6F49}"/>
    <cellStyle name="Normal 3 2 3 3 4" xfId="7859" xr:uid="{C4761077-19D4-4B3C-92CE-713560FBD96C}"/>
    <cellStyle name="Normal 3 2 3 4" xfId="7860" xr:uid="{DB1E55B0-FC80-475E-8227-634017E7B1FC}"/>
    <cellStyle name="Normal 3 2 3 4 2" xfId="7861" xr:uid="{04DCAE60-B2B4-45CF-98B5-10426DE19BC8}"/>
    <cellStyle name="Normal 3 2 3 4 2 2" xfId="7862" xr:uid="{76EE5FED-5648-4E23-A802-1E30BB8CAF4F}"/>
    <cellStyle name="Normal 3 2 3 4 3" xfId="7863" xr:uid="{4C4CA0B1-56E8-41BF-B1BE-BAFD04979B3C}"/>
    <cellStyle name="Normal 3 2 3 5" xfId="7864" xr:uid="{98A344EC-99EE-41E0-B045-6C39E6BF1529}"/>
    <cellStyle name="Normal 3 2 3 5 2" xfId="7865" xr:uid="{6A4E9A20-7FF1-4A9E-8115-3B9CAD836D80}"/>
    <cellStyle name="Normal 3 2 3 5 2 2" xfId="7866" xr:uid="{05EEAF7B-C351-4610-8360-AF3DA3E80247}"/>
    <cellStyle name="Normal 3 2 3 5 3" xfId="7867" xr:uid="{B8022A90-2B4A-4D47-B693-FE8410B798D1}"/>
    <cellStyle name="Normal 3 2 3 6" xfId="7868" xr:uid="{4796456C-B91B-4683-9800-F785A965FB86}"/>
    <cellStyle name="Normal 3 2 3 6 2" xfId="7869" xr:uid="{1978E88D-FF4E-494A-94B6-331A3C309A0C}"/>
    <cellStyle name="Normal 3 2 3 6 2 2" xfId="7870" xr:uid="{C815306C-075C-4DAA-AB6E-B77990B361DF}"/>
    <cellStyle name="Normal 3 2 3 6 3" xfId="7871" xr:uid="{3FEE5B61-F5EE-405F-BE2F-C512B6175960}"/>
    <cellStyle name="Normal 3 2 3 7" xfId="7872" xr:uid="{04CFA2C3-9517-4F7E-8EBF-96CC31BAD22B}"/>
    <cellStyle name="Normal 3 2 3 7 2" xfId="7873" xr:uid="{DCAAEA36-0A9B-47A9-A3CB-D1A34D4EB728}"/>
    <cellStyle name="Normal 3 2 3 7 2 2" xfId="7874" xr:uid="{8EA9EEC3-3D6D-4AB2-B425-97EEE61A60CC}"/>
    <cellStyle name="Normal 3 2 3 7 3" xfId="7875" xr:uid="{D7852405-E538-48B4-83BC-5664713412F0}"/>
    <cellStyle name="Normal 3 2 3 8" xfId="7876" xr:uid="{B3C997DA-EAB5-437B-BD00-1602D9DEA9F9}"/>
    <cellStyle name="Normal 3 2 3 8 2" xfId="7877" xr:uid="{7C79AE8F-11F1-4F33-A4FC-7C00C73B6D60}"/>
    <cellStyle name="Normal 3 2 3 8 2 2" xfId="7878" xr:uid="{CEF1643C-5C42-45E2-924E-474853A15509}"/>
    <cellStyle name="Normal 3 2 3 8 3" xfId="7879" xr:uid="{D38DB843-60F4-455A-9E7F-AC32C48152FA}"/>
    <cellStyle name="Normal 3 2 3 9" xfId="7880" xr:uid="{E3A25ADF-9478-496A-BF45-1A39FCC97E73}"/>
    <cellStyle name="Normal 3 2 3 9 2" xfId="7881" xr:uid="{E8DC597B-9F64-41DD-AF07-AD191251C984}"/>
    <cellStyle name="Normal 3 2 4" xfId="7882" xr:uid="{688B9EDB-CF3B-49E5-AE22-148A02669449}"/>
    <cellStyle name="Normal 3 2 4 10" xfId="7883" xr:uid="{24313A5A-D5C1-403C-AD4D-2272ECE9E7F4}"/>
    <cellStyle name="Normal 3 2 4 2" xfId="7884" xr:uid="{A198B51E-B8CD-411C-8C52-2FBB69A1469C}"/>
    <cellStyle name="Normal 3 2 4 2 2" xfId="7885" xr:uid="{52A0C393-9AB6-41C2-9451-A6B03DCEF181}"/>
    <cellStyle name="Normal 3 2 4 2 2 2" xfId="7886" xr:uid="{08370BBD-0F2E-494C-B1DB-44260A1E3A10}"/>
    <cellStyle name="Normal 3 2 4 2 3" xfId="7887" xr:uid="{EC7A0B9E-331C-4643-8E69-61B3EFB46BE0}"/>
    <cellStyle name="Normal 3 2 4 2 4" xfId="7888" xr:uid="{79B02006-B39B-468D-9791-E8283D079780}"/>
    <cellStyle name="Normal 3 2 4 3" xfId="7889" xr:uid="{2D3C2D9E-FFBB-4330-9948-A3E22B0AC3CB}"/>
    <cellStyle name="Normal 3 2 4 3 2" xfId="7890" xr:uid="{C22F1694-193F-4A60-8DC7-63CFC6323865}"/>
    <cellStyle name="Normal 3 2 4 3 2 2" xfId="7891" xr:uid="{CD9F6C79-7121-4CBD-ADD2-4C0453801FDC}"/>
    <cellStyle name="Normal 3 2 4 3 3" xfId="7892" xr:uid="{57A54850-E3C9-4100-A364-97FDD50D4D90}"/>
    <cellStyle name="Normal 3 2 4 4" xfId="7893" xr:uid="{8596D0D4-ED9C-4598-AEF3-B4682F919FA6}"/>
    <cellStyle name="Normal 3 2 4 4 2" xfId="7894" xr:uid="{54384147-2577-490E-AD2D-9E59088172B2}"/>
    <cellStyle name="Normal 3 2 4 4 2 2" xfId="7895" xr:uid="{6BB3CB2C-E7A1-469D-8329-84B104E88B93}"/>
    <cellStyle name="Normal 3 2 4 4 3" xfId="7896" xr:uid="{AD99E749-34B3-444E-A49A-78C1D8E23370}"/>
    <cellStyle name="Normal 3 2 4 5" xfId="7897" xr:uid="{DD51ED76-C3BD-4F5A-9D8B-49F63F56C479}"/>
    <cellStyle name="Normal 3 2 4 5 2" xfId="7898" xr:uid="{80969C8C-A186-4F11-BDB4-A9A7F537FD5A}"/>
    <cellStyle name="Normal 3 2 4 5 2 2" xfId="7899" xr:uid="{92CA3390-7B38-40EB-9A0D-B4E7BD4E53E9}"/>
    <cellStyle name="Normal 3 2 4 5 3" xfId="7900" xr:uid="{8F8496B4-A509-452B-A1B0-BEB79810A889}"/>
    <cellStyle name="Normal 3 2 4 6" xfId="7901" xr:uid="{413299FE-053E-4793-97BA-EF0E55FD5B34}"/>
    <cellStyle name="Normal 3 2 4 6 2" xfId="7902" xr:uid="{49F8DF58-69D8-4553-998A-8208E1392180}"/>
    <cellStyle name="Normal 3 2 4 6 2 2" xfId="7903" xr:uid="{3FF5AFCE-6AF0-4887-9CB1-2FEA6C147469}"/>
    <cellStyle name="Normal 3 2 4 6 3" xfId="7904" xr:uid="{1D7202D0-04B7-49F9-9177-B9E470B2F41A}"/>
    <cellStyle name="Normal 3 2 4 7" xfId="7905" xr:uid="{3BC46C5C-0EE0-4179-BE05-34CF8A1CD667}"/>
    <cellStyle name="Normal 3 2 4 7 2" xfId="7906" xr:uid="{DDB2D6ED-F0B5-4C91-96DC-7C079F7A3896}"/>
    <cellStyle name="Normal 3 2 4 7 2 2" xfId="7907" xr:uid="{CA985B5B-C224-421C-98FE-B8F86263F521}"/>
    <cellStyle name="Normal 3 2 4 7 3" xfId="7908" xr:uid="{6A7AFF90-4721-4072-8806-8E41978BB6BD}"/>
    <cellStyle name="Normal 3 2 4 8" xfId="7909" xr:uid="{C8DCA3ED-3E9B-4395-8A97-F8DAD98CD090}"/>
    <cellStyle name="Normal 3 2 4 8 2" xfId="7910" xr:uid="{40DF32C1-7EC3-4BF7-98AC-58E7E80ABC88}"/>
    <cellStyle name="Normal 3 2 4 9" xfId="7911" xr:uid="{820DA980-40E0-4DE1-BB3E-4687A64108EB}"/>
    <cellStyle name="Normal 3 2 5" xfId="7912" xr:uid="{4705AC6A-16B9-4605-BDA9-B5560B551523}"/>
    <cellStyle name="Normal 3 2 5 2" xfId="7913" xr:uid="{C23E6392-C205-420D-893D-E38CC5D7A9D6}"/>
    <cellStyle name="Normal 3 2 5 2 2" xfId="7914" xr:uid="{B2E9AAD4-34BF-41AB-877D-0C0B4D69CC8E}"/>
    <cellStyle name="Normal 3 2 5 3" xfId="7915" xr:uid="{66717AD2-E619-4211-A81D-69A559E718A6}"/>
    <cellStyle name="Normal 3 2 5 4" xfId="7916" xr:uid="{FDF741A5-0976-4965-9EDE-B8637A797F11}"/>
    <cellStyle name="Normal 3 2 5 5" xfId="7917" xr:uid="{689EB4EE-F0DE-4FE0-B873-9E7FB801D19F}"/>
    <cellStyle name="Normal 3 2 6" xfId="7918" xr:uid="{14AF5118-1F95-44FA-916F-B7482C5F8023}"/>
    <cellStyle name="Normal 3 2 6 2" xfId="7919" xr:uid="{5DFBAAA0-E1B6-4290-9314-4620738BD89A}"/>
    <cellStyle name="Normal 3 2 6 2 2" xfId="7920" xr:uid="{4930A66C-151A-4665-9308-CCCA161075E6}"/>
    <cellStyle name="Normal 3 2 6 3" xfId="7921" xr:uid="{942E71AE-646F-4FE1-8C64-B874DC52872B}"/>
    <cellStyle name="Normal 3 2 6 4" xfId="7922" xr:uid="{0B56DCF5-A7DF-4C46-963E-2F39A79C3805}"/>
    <cellStyle name="Normal 3 2 7" xfId="7923" xr:uid="{5FF7D87E-C645-46D1-9A63-6D260F6C2A30}"/>
    <cellStyle name="Normal 3 2 7 2" xfId="7924" xr:uid="{98F3A33E-6187-4A0C-A648-2F317178A895}"/>
    <cellStyle name="Normal 3 2 7 2 2" xfId="7925" xr:uid="{C5FA6500-1A7E-4936-82E6-CAB262EB2BDF}"/>
    <cellStyle name="Normal 3 2 7 3" xfId="7926" xr:uid="{382E341A-AD4C-40B7-9E85-CF77488D108A}"/>
    <cellStyle name="Normal 3 2 8" xfId="7927" xr:uid="{68C4EEC1-D512-4B62-B51C-E78F339EBF78}"/>
    <cellStyle name="Normal 3 2 8 2" xfId="7928" xr:uid="{5680D8DF-9CC1-47A5-A16B-06DD55577356}"/>
    <cellStyle name="Normal 3 2 8 2 2" xfId="7929" xr:uid="{90C2A2CE-DBA8-4E62-AAE7-31560BE9C1C7}"/>
    <cellStyle name="Normal 3 2 8 3" xfId="7930" xr:uid="{CC891DCC-FD4A-46E2-BD61-C7FF38335338}"/>
    <cellStyle name="Normal 3 2 9" xfId="7931" xr:uid="{36911734-FE8C-4638-8ED8-19C3821950B1}"/>
    <cellStyle name="Normal 3 2 9 2" xfId="7932" xr:uid="{0A0E8CFA-5E14-439D-A302-1517CA601BF9}"/>
    <cellStyle name="Normal 3 2 9 2 2" xfId="7933" xr:uid="{239722CC-7C5C-4186-969B-2132811369F8}"/>
    <cellStyle name="Normal 3 2 9 3" xfId="7934" xr:uid="{69F1E3B2-0BAB-482F-B7D6-40147BF7737B}"/>
    <cellStyle name="Normal 3 20" xfId="7935" xr:uid="{03799E67-234E-4AB3-9542-2D6544E6661E}"/>
    <cellStyle name="Normal 3 21" xfId="7936" xr:uid="{C76C481C-E27F-4421-AB4E-B0E4BB4AD7F5}"/>
    <cellStyle name="Normal 3 21 2" xfId="7937" xr:uid="{F15889C0-9A58-4E79-BC2E-D15DD9269089}"/>
    <cellStyle name="Normal 3 21 2 2" xfId="7938" xr:uid="{115B094E-A54D-42F8-BCC6-54DFA5602660}"/>
    <cellStyle name="Normal 3 21 3" xfId="7939" xr:uid="{27650212-C4F0-45C1-B5EB-A4450C547A89}"/>
    <cellStyle name="Normal 3 22" xfId="7940" xr:uid="{059F4410-7F85-4F27-9739-DCF9519F70AE}"/>
    <cellStyle name="Normal 3 22 2" xfId="7941" xr:uid="{236E8684-0542-4443-B833-2C0BB59FDD16}"/>
    <cellStyle name="Normal 3 22 2 2" xfId="7942" xr:uid="{D32CB4BC-6F3F-4BAA-B069-7287BA2FC33F}"/>
    <cellStyle name="Normal 3 22 3" xfId="7943" xr:uid="{426A16DB-28A3-4763-9AC6-484607A75521}"/>
    <cellStyle name="Normal 3 23" xfId="7944" xr:uid="{D40F9A05-99DF-4863-8CBF-86A23EDDED35}"/>
    <cellStyle name="Normal 3 23 2" xfId="7945" xr:uid="{69FAB527-2EFF-4C1D-B99D-0D68800DB69E}"/>
    <cellStyle name="Normal 3 23 2 2" xfId="7946" xr:uid="{5752F9F0-B247-420A-B9B7-662954CAC8DB}"/>
    <cellStyle name="Normal 3 23 3" xfId="7947" xr:uid="{06D77439-71A3-47E7-B309-36B1F6720368}"/>
    <cellStyle name="Normal 3 24" xfId="44255" xr:uid="{DEABBB6D-7FB7-4E7B-88EB-C4097A8E2BB0}"/>
    <cellStyle name="Normal 3 25" xfId="44743" xr:uid="{F9179496-6786-4061-A326-762519F7AF8C}"/>
    <cellStyle name="Normal 3 26" xfId="44766" xr:uid="{83D825C3-8DDC-4FC8-BE65-4ED100EF4F06}"/>
    <cellStyle name="Normal 3 27" xfId="48" xr:uid="{7405591C-FB0A-4964-AC57-F77B8B83F366}"/>
    <cellStyle name="Normal 3 3" xfId="2065" xr:uid="{DA03EAD2-F71D-4BC2-BA89-DDF3D63024E1}"/>
    <cellStyle name="Normal 3 3 2" xfId="7948" xr:uid="{D3CA61CE-0038-49C3-B2BD-8E0D50F5F737}"/>
    <cellStyle name="Normal 3 3 2 2" xfId="7949" xr:uid="{05B9D33C-6AC2-4B4D-8198-2C5192F37466}"/>
    <cellStyle name="Normal 3 3 3" xfId="7950" xr:uid="{7577D800-8D45-4F64-9368-237345D59759}"/>
    <cellStyle name="Normal 3 3 3 2" xfId="7951" xr:uid="{7FD9A9E0-CAEC-4D59-AF7D-E398DA489939}"/>
    <cellStyle name="Normal 3 3 4" xfId="7952" xr:uid="{3F05D5DE-2BF6-49BB-874A-67C43AE576E1}"/>
    <cellStyle name="Normal 3 3 5" xfId="7953" xr:uid="{1025E996-290E-4AAC-8155-48DD0B8DA173}"/>
    <cellStyle name="Normal 3 3 6" xfId="7954" xr:uid="{2EA6979C-F0DE-444C-8553-E4C60EB2E2AA}"/>
    <cellStyle name="Normal 3 3 7" xfId="44747" xr:uid="{ABF89572-F804-4FB5-BC4A-46A30A3AD57C}"/>
    <cellStyle name="Normal 3 3 8" xfId="44789" xr:uid="{D2DFF56C-7250-4BFB-ACD8-62DF02A7DB12}"/>
    <cellStyle name="Normal 3 4" xfId="7955" xr:uid="{A70241DE-A2D0-4E23-A945-4855AD6F0450}"/>
    <cellStyle name="Normal 3 4 2" xfId="7956" xr:uid="{1AFC903B-D211-4A5A-9551-7B2028EE6250}"/>
    <cellStyle name="Normal 3 4 3" xfId="7957" xr:uid="{BF01AC47-C589-461F-8355-BB22AEFB127C}"/>
    <cellStyle name="Normal 3 4 4" xfId="7958" xr:uid="{28516C00-A5EC-4D08-AAA7-02963061185F}"/>
    <cellStyle name="Normal 3 4 5" xfId="44749" xr:uid="{2D4D1E35-D7BE-4459-AA7E-F30B5E9BC728}"/>
    <cellStyle name="Normal 3 5" xfId="7959" xr:uid="{0D56458D-9273-4583-8E3E-F16F3D2D3762}"/>
    <cellStyle name="Normal 3 5 2" xfId="7960" xr:uid="{E6D29411-6C5D-46F7-8656-611EB66DE5D3}"/>
    <cellStyle name="Normal 3 5 3" xfId="7961" xr:uid="{19E110F2-EE7A-4657-8F0E-AC67DFC05E74}"/>
    <cellStyle name="Normal 3 5 4" xfId="7962" xr:uid="{7BBB1278-1433-499F-A883-AD6547A74149}"/>
    <cellStyle name="Normal 3 6" xfId="7963" xr:uid="{E7B449FB-F3B9-4724-96AC-81EB23B9236F}"/>
    <cellStyle name="Normal 3 6 10" xfId="7964" xr:uid="{83DA8DBC-400E-442F-9B29-BC0316B13E9B}"/>
    <cellStyle name="Normal 3 6 11" xfId="7965" xr:uid="{6D8B8B33-A171-47DA-9A4D-F39F0EAB26E4}"/>
    <cellStyle name="Normal 3 6 12" xfId="7966" xr:uid="{1D7B41EB-BDCF-4487-B105-6836E31110BB}"/>
    <cellStyle name="Normal 3 6 13" xfId="7967" xr:uid="{8A667C7E-756F-430D-9DC1-F70FBB29E8EE}"/>
    <cellStyle name="Normal 3 6 14" xfId="7968" xr:uid="{302194D0-278F-4584-89DE-7DED68DF94AD}"/>
    <cellStyle name="Normal 3 6 2" xfId="7969" xr:uid="{8A267135-B225-4264-96A4-24EE65723A0F}"/>
    <cellStyle name="Normal 3 6 2 10" xfId="7970" xr:uid="{D2810DE8-84D3-407D-AF77-D6E75AD3541E}"/>
    <cellStyle name="Normal 3 6 2 2" xfId="7971" xr:uid="{E05553BF-CEF1-4F19-80A5-DC7447D1DF75}"/>
    <cellStyle name="Normal 3 6 2 2 2" xfId="7972" xr:uid="{10EF46A4-B202-47A8-A128-0E98A4C60C6C}"/>
    <cellStyle name="Normal 3 6 2 2 2 2" xfId="7973" xr:uid="{24B707E4-BB04-430C-9586-5E59AC190E7C}"/>
    <cellStyle name="Normal 3 6 2 2 3" xfId="7974" xr:uid="{975E59F8-A010-4512-8D75-49FAB15D6010}"/>
    <cellStyle name="Normal 3 6 2 2 4" xfId="7975" xr:uid="{315421EB-A0ED-4068-B77E-CF3C92E3E24C}"/>
    <cellStyle name="Normal 3 6 2 3" xfId="7976" xr:uid="{DB301B38-9467-4225-BFA2-7FA745B45C92}"/>
    <cellStyle name="Normal 3 6 2 3 2" xfId="7977" xr:uid="{83C62211-B86F-4BBE-8E16-9C2E97965747}"/>
    <cellStyle name="Normal 3 6 2 3 2 2" xfId="7978" xr:uid="{1CAE09E1-2040-488A-8758-8FE298F7F86C}"/>
    <cellStyle name="Normal 3 6 2 3 3" xfId="7979" xr:uid="{7D1CEDEB-9CEB-43E8-8575-06E3419F3440}"/>
    <cellStyle name="Normal 3 6 2 4" xfId="7980" xr:uid="{C62233CE-F222-4236-A5DC-2E5DB3D2C959}"/>
    <cellStyle name="Normal 3 6 2 4 2" xfId="7981" xr:uid="{BA0036F7-82CA-4583-8F88-D3BB25671CC1}"/>
    <cellStyle name="Normal 3 6 2 4 2 2" xfId="7982" xr:uid="{2F6E6E35-0093-46D5-85EA-0A90AF67DF09}"/>
    <cellStyle name="Normal 3 6 2 4 3" xfId="7983" xr:uid="{D0538C04-BAE3-4054-8F32-BCD2DC4EAB4D}"/>
    <cellStyle name="Normal 3 6 2 5" xfId="7984" xr:uid="{86D8BB38-03A5-4477-87C3-4169FE0F6F34}"/>
    <cellStyle name="Normal 3 6 2 5 2" xfId="7985" xr:uid="{22B5170C-656B-4E16-B808-FB6042A38E83}"/>
    <cellStyle name="Normal 3 6 2 5 2 2" xfId="7986" xr:uid="{443A67A9-ED6C-4549-9646-2751E4D75F7F}"/>
    <cellStyle name="Normal 3 6 2 5 3" xfId="7987" xr:uid="{33CEC70D-E4C7-4033-8929-D429FDDD6DF9}"/>
    <cellStyle name="Normal 3 6 2 6" xfId="7988" xr:uid="{5644235D-B9B6-472A-B1D5-70FA1618EEB9}"/>
    <cellStyle name="Normal 3 6 2 6 2" xfId="7989" xr:uid="{44D9137B-870B-4AFE-9934-8F9AE7600FAC}"/>
    <cellStyle name="Normal 3 6 2 6 2 2" xfId="7990" xr:uid="{60B49C97-FC6F-4D15-97B1-83D80B034964}"/>
    <cellStyle name="Normal 3 6 2 6 3" xfId="7991" xr:uid="{31032881-BA78-4A1E-8EB5-F2817B631C64}"/>
    <cellStyle name="Normal 3 6 2 7" xfId="7992" xr:uid="{05E8396B-3C67-4ECE-A96C-70CE61773B11}"/>
    <cellStyle name="Normal 3 6 2 7 2" xfId="7993" xr:uid="{1B969E10-9C84-4F6C-960F-C52C5BA4FB02}"/>
    <cellStyle name="Normal 3 6 2 7 2 2" xfId="7994" xr:uid="{0DBE38E6-69E0-4FC6-8EE5-7696347C32D2}"/>
    <cellStyle name="Normal 3 6 2 7 3" xfId="7995" xr:uid="{74BD9178-DC91-4767-A5DC-762FB5ABDFBF}"/>
    <cellStyle name="Normal 3 6 2 8" xfId="7996" xr:uid="{F8258BEB-BF7C-4A9D-BCF9-DD128DBEB04F}"/>
    <cellStyle name="Normal 3 6 2 8 2" xfId="7997" xr:uid="{5B8BD835-BADD-4688-BE3B-125CD4570A04}"/>
    <cellStyle name="Normal 3 6 2 9" xfId="7998" xr:uid="{C48D8298-C24E-45FF-A070-398408570D14}"/>
    <cellStyle name="Normal 3 6 3" xfId="7999" xr:uid="{F6DA490B-C36C-4A9C-9BCB-D7C9366548AA}"/>
    <cellStyle name="Normal 3 6 3 2" xfId="8000" xr:uid="{1C5C061E-2B49-497B-8C88-639169ED169C}"/>
    <cellStyle name="Normal 3 6 3 2 2" xfId="8001" xr:uid="{96020D52-2F85-4CBB-934A-CE62001F7944}"/>
    <cellStyle name="Normal 3 6 3 3" xfId="8002" xr:uid="{95D88870-1CD2-4E68-BA3C-CB3EF3D69768}"/>
    <cellStyle name="Normal 3 6 3 4" xfId="8003" xr:uid="{5CA863B5-505A-40C3-818C-7A9735B605C9}"/>
    <cellStyle name="Normal 3 6 4" xfId="8004" xr:uid="{0D4A1DBD-A137-4C1E-AF26-16AD74797376}"/>
    <cellStyle name="Normal 3 6 4 2" xfId="8005" xr:uid="{A8EE1E4D-F11B-4CFC-92DE-2BD93FFEF02C}"/>
    <cellStyle name="Normal 3 6 4 2 2" xfId="8006" xr:uid="{2857A670-A6A6-41F8-BA5A-80F4A236FBAF}"/>
    <cellStyle name="Normal 3 6 4 3" xfId="8007" xr:uid="{96D368A4-CF50-47A4-8F7E-12BC706BA40A}"/>
    <cellStyle name="Normal 3 6 5" xfId="8008" xr:uid="{F9A02B31-4F74-42DB-8BCE-ABAB39E21E1B}"/>
    <cellStyle name="Normal 3 6 5 2" xfId="8009" xr:uid="{97F136DB-5D7C-406B-A700-DB261A33F660}"/>
    <cellStyle name="Normal 3 6 5 2 2" xfId="8010" xr:uid="{C4D13F13-1793-40AE-B191-1C4E95FFCBED}"/>
    <cellStyle name="Normal 3 6 5 3" xfId="8011" xr:uid="{04CBAFC5-A7C6-4FAC-99F0-EDD606918292}"/>
    <cellStyle name="Normal 3 6 6" xfId="8012" xr:uid="{7FEF7737-9E1F-4276-AED1-2801047816B8}"/>
    <cellStyle name="Normal 3 6 6 2" xfId="8013" xr:uid="{00DDA658-5F96-452D-8516-287C7365EDB8}"/>
    <cellStyle name="Normal 3 6 6 2 2" xfId="8014" xr:uid="{F82D2C6D-4C51-43C4-9793-EAAE349A088F}"/>
    <cellStyle name="Normal 3 6 6 3" xfId="8015" xr:uid="{3F9909EC-5B40-4B9A-92FD-33BF93E0C34C}"/>
    <cellStyle name="Normal 3 6 7" xfId="8016" xr:uid="{7DABCD42-A263-41A8-90E2-4C5F47B8E8D2}"/>
    <cellStyle name="Normal 3 6 7 2" xfId="8017" xr:uid="{C8362421-CFDB-46D7-833B-1F7A3474D386}"/>
    <cellStyle name="Normal 3 6 7 2 2" xfId="8018" xr:uid="{91389993-3B36-441A-B5D7-D1012017785C}"/>
    <cellStyle name="Normal 3 6 7 3" xfId="8019" xr:uid="{81584A47-7595-45CC-A5AA-4EDF09522278}"/>
    <cellStyle name="Normal 3 6 8" xfId="8020" xr:uid="{613D4FD6-C662-4F70-B7A5-2C74102A6369}"/>
    <cellStyle name="Normal 3 6 8 2" xfId="8021" xr:uid="{922066F3-0947-41C8-97ED-A4A443CC3168}"/>
    <cellStyle name="Normal 3 6 8 2 2" xfId="8022" xr:uid="{E7726BD5-AA62-4274-976E-371AC6DCB7FE}"/>
    <cellStyle name="Normal 3 6 8 3" xfId="8023" xr:uid="{CF7FFB56-93D0-4BA2-B127-B6EFB0817ED6}"/>
    <cellStyle name="Normal 3 6 9" xfId="8024" xr:uid="{07AAB875-2878-4A41-B927-F693D82D4C71}"/>
    <cellStyle name="Normal 3 6 9 2" xfId="8025" xr:uid="{5C115363-A5E1-4F0C-A533-A62D6A93BF24}"/>
    <cellStyle name="Normal 3 7" xfId="8026" xr:uid="{04713D05-06F5-4C3E-8E57-3F2646D59A8F}"/>
    <cellStyle name="Normal 3 7 10" xfId="8027" xr:uid="{7F7BC4CD-3674-4FD5-9631-CF0DACFA5D83}"/>
    <cellStyle name="Normal 3 7 2" xfId="8028" xr:uid="{2BF6D61C-AB51-4F10-A452-BF44B6711BC3}"/>
    <cellStyle name="Normal 3 7 2 2" xfId="8029" xr:uid="{C85D49E8-94C5-4AF8-B4FB-0B9BDC828788}"/>
    <cellStyle name="Normal 3 7 2 2 2" xfId="8030" xr:uid="{278C0293-2DE1-484F-9375-E85103FA30C6}"/>
    <cellStyle name="Normal 3 7 2 3" xfId="8031" xr:uid="{A7F71357-BC71-4DF8-8A05-A2A2C71B1914}"/>
    <cellStyle name="Normal 3 7 2 4" xfId="8032" xr:uid="{AAB4FE45-1D05-450E-9F59-55B1E1035732}"/>
    <cellStyle name="Normal 3 7 3" xfId="8033" xr:uid="{249E7C6E-806D-45F0-8EFE-D1F23E2EE6F4}"/>
    <cellStyle name="Normal 3 7 3 2" xfId="8034" xr:uid="{596932E5-5156-4721-B52B-00AD1D7963A8}"/>
    <cellStyle name="Normal 3 7 3 2 2" xfId="8035" xr:uid="{42525ED7-A535-416B-B7B7-E13C07C91655}"/>
    <cellStyle name="Normal 3 7 3 3" xfId="8036" xr:uid="{DA21B42D-7F6D-4FB6-A0C4-67FC1968753B}"/>
    <cellStyle name="Normal 3 7 4" xfId="8037" xr:uid="{B06C5CB3-3842-460D-8C40-1128D040A806}"/>
    <cellStyle name="Normal 3 7 4 2" xfId="8038" xr:uid="{5CE2599C-300E-472A-9702-8B954437622D}"/>
    <cellStyle name="Normal 3 7 4 2 2" xfId="8039" xr:uid="{6D85555E-72E6-45D8-8D90-699E3BFED4BF}"/>
    <cellStyle name="Normal 3 7 4 3" xfId="8040" xr:uid="{2E2A52AE-0456-4FC8-A645-F3B7594FD416}"/>
    <cellStyle name="Normal 3 7 5" xfId="8041" xr:uid="{95B15509-0FD2-4935-9727-DD95B8D26445}"/>
    <cellStyle name="Normal 3 7 5 2" xfId="8042" xr:uid="{D46DFA15-05ED-4870-A2F1-BE449E9F5FB5}"/>
    <cellStyle name="Normal 3 7 5 2 2" xfId="8043" xr:uid="{CE249599-3057-4777-B1D4-1B9F89769F5C}"/>
    <cellStyle name="Normal 3 7 5 3" xfId="8044" xr:uid="{4FDFD6AF-3F03-44D4-B0E9-7832F08F44D9}"/>
    <cellStyle name="Normal 3 7 6" xfId="8045" xr:uid="{5F6046A1-1935-4B2C-9D99-71B7C0A43931}"/>
    <cellStyle name="Normal 3 7 6 2" xfId="8046" xr:uid="{BD702965-53D9-430A-BDE9-766A1F89EAE1}"/>
    <cellStyle name="Normal 3 7 6 2 2" xfId="8047" xr:uid="{BFD00FFA-A44F-4CE0-A8F7-6634EE74F0A1}"/>
    <cellStyle name="Normal 3 7 6 3" xfId="8048" xr:uid="{DEB0F2BB-9704-472C-81A8-4675D8894599}"/>
    <cellStyle name="Normal 3 7 7" xfId="8049" xr:uid="{1364C997-315C-4EF6-8E8E-A17930B17CCE}"/>
    <cellStyle name="Normal 3 7 7 2" xfId="8050" xr:uid="{75DD00D5-BE8F-4110-A01F-A2F87810BED1}"/>
    <cellStyle name="Normal 3 7 7 2 2" xfId="8051" xr:uid="{C41A91C4-F605-484E-8F44-FB576551535D}"/>
    <cellStyle name="Normal 3 7 7 3" xfId="8052" xr:uid="{6FA9FB44-E1E0-482A-A03D-091F898B0142}"/>
    <cellStyle name="Normal 3 7 8" xfId="8053" xr:uid="{321C03F8-DAE9-4BF8-9DE1-B25B91F19EB1}"/>
    <cellStyle name="Normal 3 7 8 2" xfId="8054" xr:uid="{CC183B04-B6EC-4B27-A16F-ED1469003A7F}"/>
    <cellStyle name="Normal 3 7 9" xfId="8055" xr:uid="{C1059183-F0BA-45DF-8D86-DC3E69673158}"/>
    <cellStyle name="Normal 3 8" xfId="8056" xr:uid="{8C14E1DB-C12C-419F-A96B-E330990795CB}"/>
    <cellStyle name="Normal 3 8 10" xfId="8057" xr:uid="{E460AB05-917C-4C5E-8A05-4962B8660BE6}"/>
    <cellStyle name="Normal 3 8 2" xfId="8058" xr:uid="{699B7F06-FD8E-41A3-B109-43CBBDCDE357}"/>
    <cellStyle name="Normal 3 8 2 2" xfId="8059" xr:uid="{5ADCBF22-93FA-4BFA-93A9-5B6C924513CF}"/>
    <cellStyle name="Normal 3 8 2 2 2" xfId="8060" xr:uid="{C333825D-AFD9-4BC6-8EB3-A80BD4741B11}"/>
    <cellStyle name="Normal 3 8 2 3" xfId="8061" xr:uid="{B56A247D-4924-4898-9583-EB17B6C48EBC}"/>
    <cellStyle name="Normal 3 8 2 4" xfId="8062" xr:uid="{685826DD-902A-4256-8ACB-B866DB0A707C}"/>
    <cellStyle name="Normal 3 8 3" xfId="8063" xr:uid="{AE1D5DE9-458F-47A1-AB9F-83E0CB068B2B}"/>
    <cellStyle name="Normal 3 8 3 2" xfId="8064" xr:uid="{D1A526B0-D950-4835-B6D9-DAB23FC315E1}"/>
    <cellStyle name="Normal 3 8 3 2 2" xfId="8065" xr:uid="{A57A1FC6-E5E3-4699-9899-F899AFFD4B2E}"/>
    <cellStyle name="Normal 3 8 3 3" xfId="8066" xr:uid="{F15DAA7B-DED0-4486-8F5E-CDC300C3A119}"/>
    <cellStyle name="Normal 3 8 4" xfId="8067" xr:uid="{0F4CFAB3-F339-402F-86DE-D49EAF262979}"/>
    <cellStyle name="Normal 3 8 4 2" xfId="8068" xr:uid="{3F4F59C4-C92A-497F-8826-90931ED79B67}"/>
    <cellStyle name="Normal 3 8 4 2 2" xfId="8069" xr:uid="{2B2014BD-80B9-4C13-B9D4-7916928E3656}"/>
    <cellStyle name="Normal 3 8 4 3" xfId="8070" xr:uid="{346F28BD-866F-4CFC-A035-6AA3A8C1E029}"/>
    <cellStyle name="Normal 3 8 5" xfId="8071" xr:uid="{B2BDF895-1623-4889-9084-73A64FD0AFAE}"/>
    <cellStyle name="Normal 3 8 5 2" xfId="8072" xr:uid="{579FAF59-970D-4F5E-83A1-5FBD7B0D413C}"/>
    <cellStyle name="Normal 3 8 5 2 2" xfId="8073" xr:uid="{B2DB7F65-1450-4845-BA81-08C6F7C7F2D5}"/>
    <cellStyle name="Normal 3 8 5 3" xfId="8074" xr:uid="{A2192E62-E99F-4370-935F-AAA320FEF3A6}"/>
    <cellStyle name="Normal 3 8 6" xfId="8075" xr:uid="{F4C808E8-D8F4-4803-B419-6831942596AE}"/>
    <cellStyle name="Normal 3 8 6 2" xfId="8076" xr:uid="{7F1AE9D8-0C61-403A-8E0C-87484BACDD7D}"/>
    <cellStyle name="Normal 3 8 6 2 2" xfId="8077" xr:uid="{6A7253BD-9393-40A7-99FB-31B11EE72958}"/>
    <cellStyle name="Normal 3 8 6 3" xfId="8078" xr:uid="{342B1F70-47E9-4DD6-B603-0755003B0D77}"/>
    <cellStyle name="Normal 3 8 7" xfId="8079" xr:uid="{7D13D43A-DC56-4B79-B8C7-6F3A77627F0B}"/>
    <cellStyle name="Normal 3 8 7 2" xfId="8080" xr:uid="{7722BF24-61A6-418E-AE36-877D26CA46FD}"/>
    <cellStyle name="Normal 3 8 7 2 2" xfId="8081" xr:uid="{198FAADE-F94A-4A47-B732-54A22956C11B}"/>
    <cellStyle name="Normal 3 8 7 3" xfId="8082" xr:uid="{473CC3D9-94EA-4190-A979-C4EE64C2E02B}"/>
    <cellStyle name="Normal 3 8 8" xfId="8083" xr:uid="{24AAAFC4-2844-4DB0-B588-75CF22BA6D2A}"/>
    <cellStyle name="Normal 3 8 8 2" xfId="8084" xr:uid="{3A315129-FB85-4F94-BD95-F281E8E583F6}"/>
    <cellStyle name="Normal 3 8 9" xfId="8085" xr:uid="{A85ED44C-6254-411A-88F5-760C385078BF}"/>
    <cellStyle name="Normal 3 9" xfId="8086" xr:uid="{5AC8FC84-FF7A-4C91-B400-235DF83BA10B}"/>
    <cellStyle name="Normal 3 9 10" xfId="8087" xr:uid="{9BE78822-03DE-4441-AE69-41B8C41A157D}"/>
    <cellStyle name="Normal 3 9 2" xfId="8088" xr:uid="{8CA185C0-5E44-4C83-8C2C-B9DBEC95364C}"/>
    <cellStyle name="Normal 3 9 2 2" xfId="8089" xr:uid="{1D943B6A-41CA-4A04-8785-4A56ECAF9BC2}"/>
    <cellStyle name="Normal 3 9 2 2 2" xfId="8090" xr:uid="{A188D8B7-3F91-4206-9E74-A48AF1C4B104}"/>
    <cellStyle name="Normal 3 9 2 3" xfId="8091" xr:uid="{6AB97263-F32D-40D1-89AA-BCCF355D461F}"/>
    <cellStyle name="Normal 3 9 2 4" xfId="8092" xr:uid="{4181B1AF-3AF1-4CEC-9525-5A851E83E00E}"/>
    <cellStyle name="Normal 3 9 3" xfId="8093" xr:uid="{65D994B5-D99D-44FA-8CA9-0012CA43A2F0}"/>
    <cellStyle name="Normal 3 9 3 2" xfId="8094" xr:uid="{81A9D3CC-81EC-453E-9D40-69619E92BF08}"/>
    <cellStyle name="Normal 3 9 3 2 2" xfId="8095" xr:uid="{9645EDD3-8B3E-4C83-9D9C-5F1B239F69CD}"/>
    <cellStyle name="Normal 3 9 3 3" xfId="8096" xr:uid="{B21FEBD9-E3E1-426C-B394-A0E754C9E4C2}"/>
    <cellStyle name="Normal 3 9 4" xfId="8097" xr:uid="{0C9858B4-B379-4A92-942F-9A0F409EFD23}"/>
    <cellStyle name="Normal 3 9 4 2" xfId="8098" xr:uid="{4F6F7284-2704-4147-AE71-725C7EF6D954}"/>
    <cellStyle name="Normal 3 9 4 2 2" xfId="8099" xr:uid="{48529E25-8E60-4A29-8B4E-2BC9444B4DD9}"/>
    <cellStyle name="Normal 3 9 4 3" xfId="8100" xr:uid="{1947D5C7-545D-44DB-A8B5-EDEF4930D206}"/>
    <cellStyle name="Normal 3 9 5" xfId="8101" xr:uid="{55579E23-DB10-4694-B194-40075D4C9407}"/>
    <cellStyle name="Normal 3 9 5 2" xfId="8102" xr:uid="{8C99F292-9182-44B4-A34C-4ABB630D2D67}"/>
    <cellStyle name="Normal 3 9 5 2 2" xfId="8103" xr:uid="{C8D73836-8C37-40BD-8395-41B7C9031FD9}"/>
    <cellStyle name="Normal 3 9 5 3" xfId="8104" xr:uid="{D51CA188-026F-4FEF-B938-83041D44A0E5}"/>
    <cellStyle name="Normal 3 9 6" xfId="8105" xr:uid="{58C9C524-7E10-476D-9829-6C8C4CD9E9D8}"/>
    <cellStyle name="Normal 3 9 6 2" xfId="8106" xr:uid="{B402DC95-8C19-465A-9D5B-58066D1389DB}"/>
    <cellStyle name="Normal 3 9 6 2 2" xfId="8107" xr:uid="{9814B503-98D1-4CBF-B7F3-B75CB0AE35F3}"/>
    <cellStyle name="Normal 3 9 6 3" xfId="8108" xr:uid="{7FF82936-A2D2-4FF4-9792-F35EB04436C6}"/>
    <cellStyle name="Normal 3 9 7" xfId="8109" xr:uid="{58C02507-C611-4DEF-83A2-8726B6C54E56}"/>
    <cellStyle name="Normal 3 9 7 2" xfId="8110" xr:uid="{7CFE3B1E-6FDC-4EE3-94CB-399A27DA589D}"/>
    <cellStyle name="Normal 3 9 7 2 2" xfId="8111" xr:uid="{8E99E8EF-0FFE-4182-AF4D-714C03960AD0}"/>
    <cellStyle name="Normal 3 9 7 3" xfId="8112" xr:uid="{BB9255F4-E299-44D1-B436-CA7E1978E0CF}"/>
    <cellStyle name="Normal 3 9 8" xfId="8113" xr:uid="{7E5E7BE0-D4FC-4EF1-8E54-668BCCF80199}"/>
    <cellStyle name="Normal 3 9 8 2" xfId="8114" xr:uid="{6BFE875F-F5E4-432D-A98A-103971B86A46}"/>
    <cellStyle name="Normal 3 9 9" xfId="8115" xr:uid="{64C21015-6C0B-437A-9C7F-196F84990164}"/>
    <cellStyle name="Normal 30" xfId="12790" xr:uid="{30EDCA21-3F52-414C-83B3-9161578EF457}"/>
    <cellStyle name="Normal 31" xfId="31638" xr:uid="{5CEF1AFB-7500-42D8-92E5-B12D30118400}"/>
    <cellStyle name="Normal 32" xfId="31639" xr:uid="{4B7EDE9E-5CA9-49AD-9EFE-82C335F5BFA1}"/>
    <cellStyle name="Normal 33" xfId="31640" xr:uid="{ACE432E1-50CB-4C9B-A0ED-C7A6FAE63CFC}"/>
    <cellStyle name="Normal 34" xfId="31641" xr:uid="{B4FEA29F-938E-4ADE-94C4-EB72E7EB5CBB}"/>
    <cellStyle name="Normal 35" xfId="31642" xr:uid="{6404CF16-22FC-4522-8BA4-10DDE3A7B875}"/>
    <cellStyle name="Normal 36" xfId="31643" xr:uid="{287E72D6-AC05-4507-9A81-02A6C82E9414}"/>
    <cellStyle name="Normal 37" xfId="31644" xr:uid="{46AF8FB9-C4B5-4926-A8D1-3A979459FEE3}"/>
    <cellStyle name="Normal 38" xfId="44166" xr:uid="{190ECF5F-880D-4FA2-BB96-344C18234F51}"/>
    <cellStyle name="Normal 39" xfId="44192" xr:uid="{80A1ECF9-8E4B-4C1E-8B53-0267FE908DBB}"/>
    <cellStyle name="Normal 4" xfId="8" xr:uid="{0899D3A6-215B-4760-A79A-DB1BB6ACC872}"/>
    <cellStyle name="Normal 4 10" xfId="44805" xr:uid="{61103BB2-5894-4672-BC37-2E494FB0776C}"/>
    <cellStyle name="Normal 4 11" xfId="49" xr:uid="{9913D9B9-13FE-46C0-9DD0-A646143877F3}"/>
    <cellStyle name="Normal 4 2" xfId="50" xr:uid="{CBF118BE-F50B-42AD-9B00-50360BE7BC6A}"/>
    <cellStyle name="Normal 4 2 2" xfId="8116" xr:uid="{0956B0D8-061D-47E3-89C5-0D3D50335285}"/>
    <cellStyle name="Normal 4 2 2 2" xfId="8117" xr:uid="{72A11D73-1C8D-41DB-B5CC-5BDD5C517D9B}"/>
    <cellStyle name="Normal 4 2 2 3" xfId="8118" xr:uid="{5A0518E7-F9EE-4571-BDFC-815C3DE14FD0}"/>
    <cellStyle name="Normal 4 2 3" xfId="8119" xr:uid="{B20D8431-51C1-44FE-8456-978DA448891C}"/>
    <cellStyle name="Normal 4 2 4" xfId="9711" xr:uid="{DBE3BCF6-9D28-4F76-B05E-EC60F39A4D94}"/>
    <cellStyle name="Normal 4 2 5" xfId="44721" xr:uid="{FA36C86B-5CDE-4F13-8B8F-1AF75776D31D}"/>
    <cellStyle name="Normal 4 3" xfId="8120" xr:uid="{5353EC43-0D18-427D-B128-66D12CD62D1B}"/>
    <cellStyle name="Normal 4 3 10" xfId="8121" xr:uid="{97CAD341-83F4-4C80-8058-BEA4D7E478BA}"/>
    <cellStyle name="Normal 4 3 10 2" xfId="8122" xr:uid="{FE7A9B0A-826E-42AF-B3B2-61B192D6B8B2}"/>
    <cellStyle name="Normal 4 3 11" xfId="8123" xr:uid="{D2438D9A-A1DD-4040-B769-DA29F514F43B}"/>
    <cellStyle name="Normal 4 3 12" xfId="8124" xr:uid="{F965B087-E7A7-413C-A9B0-B1DB236AFE9D}"/>
    <cellStyle name="Normal 4 3 13" xfId="44722" xr:uid="{9D6B5BB5-BC53-43CB-8120-6B51B0A442A0}"/>
    <cellStyle name="Normal 4 3 2" xfId="8125" xr:uid="{9D242D2A-F86D-4C9E-9547-59E247E39C1A}"/>
    <cellStyle name="Normal 4 3 2 10" xfId="8126" xr:uid="{CCEB9EBC-92CE-4D31-91B0-0EF21864C6E3}"/>
    <cellStyle name="Normal 4 3 2 11" xfId="8127" xr:uid="{F41E1DB9-0F37-4CDF-9071-C90F851E540C}"/>
    <cellStyle name="Normal 4 3 2 12" xfId="8128" xr:uid="{A50327D3-F1F8-4AA8-AFEE-3F7A676DC6E8}"/>
    <cellStyle name="Normal 4 3 2 13" xfId="8129" xr:uid="{757AC32A-9062-4ABF-AD91-8533577B97E1}"/>
    <cellStyle name="Normal 4 3 2 14" xfId="8130" xr:uid="{9552B8A0-E370-4485-9762-A80AA307ECB5}"/>
    <cellStyle name="Normal 4 3 2 2" xfId="8131" xr:uid="{61341253-BE7D-4861-9A65-7AFC20D6454E}"/>
    <cellStyle name="Normal 4 3 2 2 10" xfId="8132" xr:uid="{877251D9-D9D5-44C6-BB30-43E1696C4A22}"/>
    <cellStyle name="Normal 4 3 2 2 2" xfId="8133" xr:uid="{A94B7A33-A81D-48BE-A9C9-5932F20D9BC4}"/>
    <cellStyle name="Normal 4 3 2 2 2 2" xfId="8134" xr:uid="{7429C1FD-B777-44C4-83B8-EC78098755BC}"/>
    <cellStyle name="Normal 4 3 2 2 2 2 2" xfId="8135" xr:uid="{FB564DCA-C17E-49A9-BE81-E7D3DB8576D1}"/>
    <cellStyle name="Normal 4 3 2 2 2 3" xfId="8136" xr:uid="{BA56EBC1-58C6-436D-A456-A898375DBE12}"/>
    <cellStyle name="Normal 4 3 2 2 2 4" xfId="8137" xr:uid="{5080CFF4-6DEB-4C11-BF03-9D9D516F51E9}"/>
    <cellStyle name="Normal 4 3 2 2 3" xfId="8138" xr:uid="{6B7107CA-F5CE-4110-BA92-ED735E5C7856}"/>
    <cellStyle name="Normal 4 3 2 2 3 2" xfId="8139" xr:uid="{C420B2BD-11B7-46CF-8C04-74C70B26E114}"/>
    <cellStyle name="Normal 4 3 2 2 3 2 2" xfId="8140" xr:uid="{1F2FFF1E-7381-4113-BEFE-F71F53A5C2B3}"/>
    <cellStyle name="Normal 4 3 2 2 3 3" xfId="8141" xr:uid="{E891C7D9-6305-47F6-BDF2-C2DEEFCE47A3}"/>
    <cellStyle name="Normal 4 3 2 2 4" xfId="8142" xr:uid="{535CB1FA-4DEA-48BC-BB7D-74B87DE07604}"/>
    <cellStyle name="Normal 4 3 2 2 4 2" xfId="8143" xr:uid="{7037F215-FAC7-41C9-8B80-3DA4A606C58F}"/>
    <cellStyle name="Normal 4 3 2 2 4 2 2" xfId="8144" xr:uid="{10EEE445-E1FF-4530-9D10-1B5E09F19DAE}"/>
    <cellStyle name="Normal 4 3 2 2 4 3" xfId="8145" xr:uid="{946388BD-6F71-4593-A24C-043688CD41FD}"/>
    <cellStyle name="Normal 4 3 2 2 5" xfId="8146" xr:uid="{F8A762C2-C882-4DD0-BFF2-547B513E4C3D}"/>
    <cellStyle name="Normal 4 3 2 2 5 2" xfId="8147" xr:uid="{EB3910DD-D738-4A8E-A191-2A2D1D2441CE}"/>
    <cellStyle name="Normal 4 3 2 2 5 2 2" xfId="8148" xr:uid="{3D6865EB-FB20-4DC7-BACC-56B4D536F2D5}"/>
    <cellStyle name="Normal 4 3 2 2 5 3" xfId="8149" xr:uid="{2899CFD0-D8FA-46B5-A775-1201D1E89973}"/>
    <cellStyle name="Normal 4 3 2 2 6" xfId="8150" xr:uid="{5873205D-7F3E-45A8-AF1C-290692239349}"/>
    <cellStyle name="Normal 4 3 2 2 6 2" xfId="8151" xr:uid="{3B4DBB95-0DCB-46BA-8D0E-00419FAC423C}"/>
    <cellStyle name="Normal 4 3 2 2 6 2 2" xfId="8152" xr:uid="{2E64E72F-19FD-4FA3-A91F-F91FF1F7E3D4}"/>
    <cellStyle name="Normal 4 3 2 2 6 3" xfId="8153" xr:uid="{FAE03405-4DD3-4D42-859B-157ECAAD801E}"/>
    <cellStyle name="Normal 4 3 2 2 7" xfId="8154" xr:uid="{09B7BA02-E879-4A35-8507-87BA3BCF3A84}"/>
    <cellStyle name="Normal 4 3 2 2 7 2" xfId="8155" xr:uid="{71B8F2D5-F2D7-4E7E-B5B3-5A2AF5A52C2C}"/>
    <cellStyle name="Normal 4 3 2 2 7 2 2" xfId="8156" xr:uid="{956FA5ED-3E94-4158-8113-883BDC24DC59}"/>
    <cellStyle name="Normal 4 3 2 2 7 3" xfId="8157" xr:uid="{BAF31A2F-67CE-4B21-BF1F-C4219F9DED69}"/>
    <cellStyle name="Normal 4 3 2 2 8" xfId="8158" xr:uid="{09DE076E-D6F5-4090-A8FC-2C04CD5DA712}"/>
    <cellStyle name="Normal 4 3 2 2 8 2" xfId="8159" xr:uid="{29125926-36D6-4897-96CF-C8C161704315}"/>
    <cellStyle name="Normal 4 3 2 2 9" xfId="8160" xr:uid="{FDFE0826-71A2-4618-80FB-BACBFBE9CB19}"/>
    <cellStyle name="Normal 4 3 2 3" xfId="8161" xr:uid="{59FDFC64-001F-416D-AEE1-280E8284E0B6}"/>
    <cellStyle name="Normal 4 3 2 3 2" xfId="8162" xr:uid="{324C33B3-E0B9-49C0-B193-19546286DF1B}"/>
    <cellStyle name="Normal 4 3 2 3 2 2" xfId="8163" xr:uid="{7FABF3A0-E103-48AE-8783-5C4E01FECC95}"/>
    <cellStyle name="Normal 4 3 2 3 3" xfId="8164" xr:uid="{78FE0293-846F-4A3C-B410-8CE46C3A1E43}"/>
    <cellStyle name="Normal 4 3 2 3 4" xfId="8165" xr:uid="{2D621FFC-38B3-4C72-8DE7-00F076F6648F}"/>
    <cellStyle name="Normal 4 3 2 4" xfId="8166" xr:uid="{A47C922C-3408-414C-B41E-65B83730E6CD}"/>
    <cellStyle name="Normal 4 3 2 4 2" xfId="8167" xr:uid="{DC986DFC-AAD8-4411-8938-CFC849FFE0E7}"/>
    <cellStyle name="Normal 4 3 2 4 2 2" xfId="8168" xr:uid="{C3CB4304-FE48-4ACF-800C-EAC7EBC3ECFE}"/>
    <cellStyle name="Normal 4 3 2 4 3" xfId="8169" xr:uid="{6938019A-120D-4467-89E9-FBF07326F248}"/>
    <cellStyle name="Normal 4 3 2 5" xfId="8170" xr:uid="{C4DB5229-7D48-43A3-9052-871EDAE25A02}"/>
    <cellStyle name="Normal 4 3 2 5 2" xfId="8171" xr:uid="{40DCF9D4-9DF9-4198-A251-906A301B8FC0}"/>
    <cellStyle name="Normal 4 3 2 5 2 2" xfId="8172" xr:uid="{3AB0AE63-2576-4717-84C9-EA344B73188B}"/>
    <cellStyle name="Normal 4 3 2 5 3" xfId="8173" xr:uid="{934EDD4A-B1BA-4F14-BB69-4CD696EF634F}"/>
    <cellStyle name="Normal 4 3 2 6" xfId="8174" xr:uid="{E8B5F7A0-9EEF-462A-987A-31D815517592}"/>
    <cellStyle name="Normal 4 3 2 6 2" xfId="8175" xr:uid="{BC6DB0EB-7374-430A-BFA8-5783F75964AE}"/>
    <cellStyle name="Normal 4 3 2 6 2 2" xfId="8176" xr:uid="{4F71B783-6E63-4EF2-B6A6-96DEA9D6E183}"/>
    <cellStyle name="Normal 4 3 2 6 3" xfId="8177" xr:uid="{D3D6E7B7-D860-4CA4-8343-7EC7A7A47F9A}"/>
    <cellStyle name="Normal 4 3 2 7" xfId="8178" xr:uid="{AC7559DE-4B33-4A97-B39A-F554C1031CE4}"/>
    <cellStyle name="Normal 4 3 2 7 2" xfId="8179" xr:uid="{0A10701A-0D6C-4652-8A01-B93B8BB6C6A9}"/>
    <cellStyle name="Normal 4 3 2 7 2 2" xfId="8180" xr:uid="{CD7E11A3-3D03-4B25-B079-F832CFA189C2}"/>
    <cellStyle name="Normal 4 3 2 7 3" xfId="8181" xr:uid="{BCE50E93-D73D-4FEA-8139-47D6BAD69128}"/>
    <cellStyle name="Normal 4 3 2 8" xfId="8182" xr:uid="{68BB63E8-134F-45A0-9E7E-1A4A92E307DD}"/>
    <cellStyle name="Normal 4 3 2 8 2" xfId="8183" xr:uid="{2FCE8E6A-424E-4980-BA43-F4C0A0BD18A3}"/>
    <cellStyle name="Normal 4 3 2 8 2 2" xfId="8184" xr:uid="{633AA1CA-40B1-41E4-B694-76D033F9EAC7}"/>
    <cellStyle name="Normal 4 3 2 8 3" xfId="8185" xr:uid="{718EC433-8A67-409B-A99A-BE99951B1F24}"/>
    <cellStyle name="Normal 4 3 2 9" xfId="8186" xr:uid="{5D8FA4B7-D876-4269-8C62-BE3531419C63}"/>
    <cellStyle name="Normal 4 3 2 9 2" xfId="8187" xr:uid="{0379A3F2-9D83-4AAF-9728-3BF263583790}"/>
    <cellStyle name="Normal 4 3 3" xfId="8188" xr:uid="{634B8A00-DE74-4AF9-8B87-C7DE13F0C116}"/>
    <cellStyle name="Normal 4 3 3 10" xfId="8189" xr:uid="{62665875-033D-4A10-AAFD-4C1051CBAF60}"/>
    <cellStyle name="Normal 4 3 3 2" xfId="8190" xr:uid="{341AB18F-BE29-4D35-AC4B-01CB2D6D7229}"/>
    <cellStyle name="Normal 4 3 3 2 2" xfId="8191" xr:uid="{B3F5ABD3-5CA3-4269-9FF8-3EAB81E2A557}"/>
    <cellStyle name="Normal 4 3 3 2 2 2" xfId="8192" xr:uid="{C461F69D-C759-4B67-B564-4AEEC84A1A7A}"/>
    <cellStyle name="Normal 4 3 3 2 3" xfId="8193" xr:uid="{F4BC8546-267D-4E93-A94A-ECCBE07CF757}"/>
    <cellStyle name="Normal 4 3 3 2 4" xfId="8194" xr:uid="{E0920ADE-93E2-4C4F-B08E-B3B3E4A8AE8B}"/>
    <cellStyle name="Normal 4 3 3 3" xfId="8195" xr:uid="{70C483CB-0E3E-452B-86AF-863E48B99DD0}"/>
    <cellStyle name="Normal 4 3 3 3 2" xfId="8196" xr:uid="{D69547BA-CC0D-45E0-BB11-4FED5ACA8FCC}"/>
    <cellStyle name="Normal 4 3 3 3 2 2" xfId="8197" xr:uid="{33B14239-4F05-4D48-BE83-9821456E2434}"/>
    <cellStyle name="Normal 4 3 3 3 3" xfId="8198" xr:uid="{1DDD3CA7-5B10-4E8B-B361-1095DD0F2235}"/>
    <cellStyle name="Normal 4 3 3 4" xfId="8199" xr:uid="{35B5787A-DF76-4D2B-B09A-011DB929629D}"/>
    <cellStyle name="Normal 4 3 3 4 2" xfId="8200" xr:uid="{7A516754-6147-4081-8193-06ECE6C9F626}"/>
    <cellStyle name="Normal 4 3 3 4 2 2" xfId="8201" xr:uid="{0D7541DE-A9D9-45C6-85D6-C1775D97E460}"/>
    <cellStyle name="Normal 4 3 3 4 3" xfId="8202" xr:uid="{FA637832-2BAF-40A3-9DEF-46D9AD0F6475}"/>
    <cellStyle name="Normal 4 3 3 5" xfId="8203" xr:uid="{D9088B99-21B5-4C96-888C-AE5631A13518}"/>
    <cellStyle name="Normal 4 3 3 5 2" xfId="8204" xr:uid="{85B59EA6-CDB9-472C-B02B-FD358D6B5AAB}"/>
    <cellStyle name="Normal 4 3 3 5 2 2" xfId="8205" xr:uid="{C198BF58-78B5-4EFD-80A5-781B0A60B1E0}"/>
    <cellStyle name="Normal 4 3 3 5 3" xfId="8206" xr:uid="{609796F7-0205-49B5-9488-A6336EAF08C1}"/>
    <cellStyle name="Normal 4 3 3 6" xfId="8207" xr:uid="{99B3FF9A-E4C8-4663-9E25-ADE4AC7C99BA}"/>
    <cellStyle name="Normal 4 3 3 6 2" xfId="8208" xr:uid="{2B299F12-52E8-46C2-821E-99F515742CFE}"/>
    <cellStyle name="Normal 4 3 3 6 2 2" xfId="8209" xr:uid="{2B96F4FF-F714-44CD-B86E-65BC4F7A06BE}"/>
    <cellStyle name="Normal 4 3 3 6 3" xfId="8210" xr:uid="{84655A0D-BAEA-40A8-8FCE-09619536F26C}"/>
    <cellStyle name="Normal 4 3 3 7" xfId="8211" xr:uid="{11DDCA69-BBE2-428E-8415-BDE359F7CDC8}"/>
    <cellStyle name="Normal 4 3 3 7 2" xfId="8212" xr:uid="{7D92267D-B8A4-4004-BC4F-91169C15D868}"/>
    <cellStyle name="Normal 4 3 3 7 2 2" xfId="8213" xr:uid="{AC9F7D5C-F142-4C0A-AB4C-5CDE0C6C6DCD}"/>
    <cellStyle name="Normal 4 3 3 7 3" xfId="8214" xr:uid="{6A1A4A31-3FAB-4C8F-BD86-7A9F9852256B}"/>
    <cellStyle name="Normal 4 3 3 8" xfId="8215" xr:uid="{D65506AD-43A9-46C0-A731-AD2DFD45BF9C}"/>
    <cellStyle name="Normal 4 3 3 8 2" xfId="8216" xr:uid="{7F961284-BEE5-440B-A066-BECA31AB52A7}"/>
    <cellStyle name="Normal 4 3 3 9" xfId="8217" xr:uid="{491A06B6-1329-4EC1-AA4D-02A70D55950C}"/>
    <cellStyle name="Normal 4 3 4" xfId="8218" xr:uid="{29223F2A-CF7F-4647-9B46-69BAEED51AF3}"/>
    <cellStyle name="Normal 4 3 4 2" xfId="8219" xr:uid="{618805A7-C17A-45D9-8C2C-255DB6A06906}"/>
    <cellStyle name="Normal 4 3 4 2 2" xfId="8220" xr:uid="{F3E7DDCA-3080-46E5-9B2F-BF514D6F2185}"/>
    <cellStyle name="Normal 4 3 4 3" xfId="8221" xr:uid="{8B18C2AF-00F4-4B94-AC28-5410F6CF7BAA}"/>
    <cellStyle name="Normal 4 3 4 4" xfId="8222" xr:uid="{AFCDB323-E93C-487D-9622-653E1E167CDB}"/>
    <cellStyle name="Normal 4 3 5" xfId="8223" xr:uid="{A630A8A3-27CB-4E0F-8484-395BAA8B797C}"/>
    <cellStyle name="Normal 4 3 5 2" xfId="8224" xr:uid="{3F447880-C219-4A78-A6E2-6126A1645321}"/>
    <cellStyle name="Normal 4 3 5 2 2" xfId="8225" xr:uid="{198910DF-340A-4344-8C3C-5BBE121BA380}"/>
    <cellStyle name="Normal 4 3 5 3" xfId="8226" xr:uid="{1B818EAF-675F-4933-85CB-2340227470F0}"/>
    <cellStyle name="Normal 4 3 6" xfId="8227" xr:uid="{9AFA5197-EC6C-4C95-A38D-C255BBC787EC}"/>
    <cellStyle name="Normal 4 3 6 2" xfId="8228" xr:uid="{FF8992F5-C893-4257-842C-0FD686032827}"/>
    <cellStyle name="Normal 4 3 6 2 2" xfId="8229" xr:uid="{1F847FC9-7843-4236-945B-8A244C925636}"/>
    <cellStyle name="Normal 4 3 6 3" xfId="8230" xr:uid="{F6F488F0-4114-4724-8C39-C13F98E5B98C}"/>
    <cellStyle name="Normal 4 3 7" xfId="8231" xr:uid="{2096649A-999A-4378-AEC9-92DA547F8722}"/>
    <cellStyle name="Normal 4 3 7 2" xfId="8232" xr:uid="{D755A966-D8A0-4CF0-B8F8-3F2153DFAF2D}"/>
    <cellStyle name="Normal 4 3 7 2 2" xfId="8233" xr:uid="{ED2CBB8F-0CD9-463A-BC2B-E893E1257F55}"/>
    <cellStyle name="Normal 4 3 7 3" xfId="8234" xr:uid="{E5E7FF76-E0BC-410A-9667-E54A5222A197}"/>
    <cellStyle name="Normal 4 3 8" xfId="8235" xr:uid="{DB92DD5F-B870-49CB-B3D4-05FCB290A41C}"/>
    <cellStyle name="Normal 4 3 8 2" xfId="8236" xr:uid="{37286969-16D8-4AC7-97E3-448C85E4211E}"/>
    <cellStyle name="Normal 4 3 8 2 2" xfId="8237" xr:uid="{09BFCAFD-892D-40ED-B01E-031C342828FE}"/>
    <cellStyle name="Normal 4 3 8 3" xfId="8238" xr:uid="{E6260A09-2E3A-4BDC-AF8A-2909B21F0D20}"/>
    <cellStyle name="Normal 4 3 9" xfId="8239" xr:uid="{B68336E5-BE05-4787-A52B-8703B62760DC}"/>
    <cellStyle name="Normal 4 3 9 2" xfId="8240" xr:uid="{25A5B950-191C-435C-85B7-97A5B19C981F}"/>
    <cellStyle name="Normal 4 3 9 2 2" xfId="8241" xr:uid="{929DFA10-C05B-422E-9169-33F014BC749C}"/>
    <cellStyle name="Normal 4 3 9 3" xfId="8242" xr:uid="{F66A4299-990C-4956-A2A9-C50AB692D937}"/>
    <cellStyle name="Normal 4 4" xfId="8243" xr:uid="{5657EA24-BD32-4B17-B6B5-FC102B6FE4C6}"/>
    <cellStyle name="Normal 4 4 10" xfId="8244" xr:uid="{8E69008E-2CB7-4B9B-B052-C1685187C0E0}"/>
    <cellStyle name="Normal 4 4 2" xfId="8245" xr:uid="{A8210A70-267F-4FF8-BAA2-79D3178DA1F2}"/>
    <cellStyle name="Normal 4 4 2 2" xfId="8246" xr:uid="{8C98C490-AD04-4BCC-8F92-3AD295A3DDC9}"/>
    <cellStyle name="Normal 4 4 2 2 2" xfId="8247" xr:uid="{25D645C5-B156-47AA-81EB-8CC7824F4235}"/>
    <cellStyle name="Normal 4 4 2 3" xfId="8248" xr:uid="{2FF9BAD6-A0E3-419F-9F19-6D669BE4E0B2}"/>
    <cellStyle name="Normal 4 4 2 4" xfId="8249" xr:uid="{24962029-793E-4B4D-8941-5FEB46397930}"/>
    <cellStyle name="Normal 4 4 3" xfId="8250" xr:uid="{1233EC93-9C5F-4C3B-AEF8-E016C6B0F025}"/>
    <cellStyle name="Normal 4 4 3 2" xfId="8251" xr:uid="{46D931E9-5D00-41DB-92F4-75C4B8547FEC}"/>
    <cellStyle name="Normal 4 4 3 2 2" xfId="8252" xr:uid="{EA01D179-B748-4766-97D3-511E65523BB6}"/>
    <cellStyle name="Normal 4 4 3 3" xfId="8253" xr:uid="{2875E526-39DC-4D2F-AA6F-0E4143EBBBD6}"/>
    <cellStyle name="Normal 4 4 4" xfId="8254" xr:uid="{8428785A-E0A5-4310-93B4-2E97184249A5}"/>
    <cellStyle name="Normal 4 4 4 2" xfId="8255" xr:uid="{ECEF371B-CE16-4943-AFD0-B7A96D4CA1C9}"/>
    <cellStyle name="Normal 4 4 4 2 2" xfId="8256" xr:uid="{C4888DCC-47AC-468C-AF1A-9BF2607C2771}"/>
    <cellStyle name="Normal 4 4 4 3" xfId="8257" xr:uid="{50A3ED43-64B0-44F6-863D-2F2B37641787}"/>
    <cellStyle name="Normal 4 4 5" xfId="8258" xr:uid="{14632FF4-ED03-4838-BD54-CF18744FE501}"/>
    <cellStyle name="Normal 4 4 5 2" xfId="8259" xr:uid="{2C731EAD-2E13-4ABD-B535-3F221F7A270A}"/>
    <cellStyle name="Normal 4 4 5 2 2" xfId="8260" xr:uid="{9A7F4EDE-21C1-4AD6-A8EA-7A9666DCB00F}"/>
    <cellStyle name="Normal 4 4 5 3" xfId="8261" xr:uid="{D631588F-2E93-40D3-8716-BF0EB1ABA17E}"/>
    <cellStyle name="Normal 4 4 6" xfId="8262" xr:uid="{752D7DE4-75D2-4484-9D3E-5705A208C4A0}"/>
    <cellStyle name="Normal 4 4 6 2" xfId="8263" xr:uid="{C907D351-B31E-4C7A-984F-45EE8B516219}"/>
    <cellStyle name="Normal 4 4 6 2 2" xfId="8264" xr:uid="{656661E5-3D81-4140-848B-421C929B1B60}"/>
    <cellStyle name="Normal 4 4 6 3" xfId="8265" xr:uid="{6A5CB734-8DEA-43BE-B8E1-92C306F4E615}"/>
    <cellStyle name="Normal 4 4 7" xfId="8266" xr:uid="{F2E2E5DA-CDB4-4C78-97E0-A84B9B2E63A5}"/>
    <cellStyle name="Normal 4 4 7 2" xfId="8267" xr:uid="{C9467856-B4A6-4576-B998-F73BF4FEAD44}"/>
    <cellStyle name="Normal 4 4 7 2 2" xfId="8268" xr:uid="{D413972E-C876-49EE-873E-A00BE1F74AD8}"/>
    <cellStyle name="Normal 4 4 7 3" xfId="8269" xr:uid="{0381E455-FCCB-4DD2-B32D-C58CC343CB91}"/>
    <cellStyle name="Normal 4 4 8" xfId="8270" xr:uid="{17EF01BC-E0B1-4629-BF1A-1719F3EA6BB9}"/>
    <cellStyle name="Normal 4 4 8 2" xfId="8271" xr:uid="{A627ED53-03DB-4658-8B9B-B3238A11B244}"/>
    <cellStyle name="Normal 4 4 9" xfId="8272" xr:uid="{0CE74E7B-9857-4CB3-B991-703C271F9573}"/>
    <cellStyle name="Normal 4 5" xfId="8273" xr:uid="{6612FBB0-BA18-44DE-991E-C72C453893BE}"/>
    <cellStyle name="Normal 4 5 2" xfId="44547" xr:uid="{C9CD86AA-906F-4B6C-BB4E-70D2DB56876E}"/>
    <cellStyle name="Normal 4 5 2 2" xfId="44548" xr:uid="{FFF4B7D2-E27A-4EFB-B691-500DD08DA41C}"/>
    <cellStyle name="Normal 4 5 3" xfId="44549" xr:uid="{79F009A2-D159-44B0-A3D4-005EE1A2E96E}"/>
    <cellStyle name="Normal 4 6" xfId="44550" xr:uid="{59A36C54-F5BF-4C56-8867-D31E7AFAEEC3}"/>
    <cellStyle name="Normal 4 6 2" xfId="44551" xr:uid="{C39CF5B0-5996-47D0-A054-680D0948ACA3}"/>
    <cellStyle name="Normal 4 7" xfId="44552" xr:uid="{78DE752E-9AAC-439E-AC91-A55C2D224712}"/>
    <cellStyle name="Normal 4 7 2" xfId="44553" xr:uid="{0E0E6AA9-539B-4173-957F-D73EB2284460}"/>
    <cellStyle name="Normal 4 8" xfId="44554" xr:uid="{80B82390-DF3B-4149-B56D-0E4C4C5B4C72}"/>
    <cellStyle name="Normal 4 9" xfId="44746" xr:uid="{52563E49-40B2-4DBA-8D10-73DE00243214}"/>
    <cellStyle name="Normal 40" xfId="44195" xr:uid="{F1E0C549-F738-44A3-9456-94FD8BB6DB90}"/>
    <cellStyle name="Normal 40 2" xfId="44737" xr:uid="{821D3564-4D00-4341-AC35-40121ED694E2}"/>
    <cellStyle name="Normal 41" xfId="44198" xr:uid="{DF4B63FE-5196-4576-928D-EE0F0C745107}"/>
    <cellStyle name="Normal 42" xfId="44237" xr:uid="{4A12F32B-3000-40F8-98AE-C212613B2EE7}"/>
    <cellStyle name="Normal 43" xfId="44238" xr:uid="{A0F51303-3B0A-4A89-93AC-E6C29D67CCEC}"/>
    <cellStyle name="Normal 44" xfId="44241" xr:uid="{91D13F63-8B7F-4FF0-AB63-C8CD197F535A}"/>
    <cellStyle name="Normal 45" xfId="44244" xr:uid="{BAC039D2-96A6-4F97-8A67-EF858CC2FC6B}"/>
    <cellStyle name="Normal 46" xfId="44245" xr:uid="{9EFB8E22-251C-46A6-AA27-801E29A0032D}"/>
    <cellStyle name="Normal 47" xfId="44248" xr:uid="{86A0D9B2-8EF1-4B61-819B-05DE1454387A}"/>
    <cellStyle name="Normal 48" xfId="44249" xr:uid="{CF275DDB-33C3-4844-B6E9-77A1C7ECC54D}"/>
    <cellStyle name="Normal 48 2" xfId="44824" xr:uid="{125A7ECB-EAFD-4705-8E24-15D2F478CE11}"/>
    <cellStyle name="Normal 49" xfId="44256" xr:uid="{3651ADB7-F756-4D28-BFE3-73B53F906430}"/>
    <cellStyle name="Normal 5" xfId="4" xr:uid="{3BE2124F-BECD-4624-85C0-C7D608C2B5ED}"/>
    <cellStyle name="Normal 5 10" xfId="8274" xr:uid="{88577FB4-E0AD-49F1-8787-01A0E63A153B}"/>
    <cellStyle name="Normal 5 10 2" xfId="8275" xr:uid="{A91F171C-0ECB-4BD6-8FB1-54F8580A7870}"/>
    <cellStyle name="Normal 5 10 2 2" xfId="8276" xr:uid="{7FD57F17-71C3-4249-A6A4-C71C29F6A92F}"/>
    <cellStyle name="Normal 5 10 2 2 2" xfId="8277" xr:uid="{599C128A-B356-4945-8D62-020AAD15AA29}"/>
    <cellStyle name="Normal 5 10 2 3" xfId="8278" xr:uid="{C022312D-5B50-4729-AC97-013A9CA5F3B1}"/>
    <cellStyle name="Normal 5 10 2 4" xfId="8279" xr:uid="{B07AB5AB-6F65-4369-9C75-76A0760BB8E8}"/>
    <cellStyle name="Normal 5 10 3" xfId="8280" xr:uid="{46C8D4C9-F469-4AA7-9136-396096F32A82}"/>
    <cellStyle name="Normal 5 10 3 2" xfId="8281" xr:uid="{C5D04F75-697A-4522-9BDE-1A601EA74FE8}"/>
    <cellStyle name="Normal 5 10 3 2 2" xfId="8282" xr:uid="{83F63A29-15FC-4B4F-9231-B62CA19EC3F3}"/>
    <cellStyle name="Normal 5 10 3 3" xfId="8283" xr:uid="{658CA13A-49BE-4A72-9094-E155BCB0FA76}"/>
    <cellStyle name="Normal 5 10 4" xfId="8284" xr:uid="{B59164EC-F4F7-46CD-91B6-4E5A99B235FD}"/>
    <cellStyle name="Normal 5 10 4 2" xfId="8285" xr:uid="{3AC32122-1785-4693-8178-9DFDBC7797BE}"/>
    <cellStyle name="Normal 5 10 4 2 2" xfId="8286" xr:uid="{F1EF1995-E0DD-4274-8794-68991977C547}"/>
    <cellStyle name="Normal 5 10 4 3" xfId="8287" xr:uid="{6B776A20-B153-44EE-8437-26536ACEAC19}"/>
    <cellStyle name="Normal 5 10 5" xfId="8288" xr:uid="{A8DCA756-EA6D-4ED7-8BBF-CB42494C7CEB}"/>
    <cellStyle name="Normal 5 10 5 2" xfId="8289" xr:uid="{2548A294-3ACF-47F9-ACFD-15795E328E3C}"/>
    <cellStyle name="Normal 5 10 6" xfId="8290" xr:uid="{A7A0FBA6-EC1C-4007-922B-FE34B586DCB1}"/>
    <cellStyle name="Normal 5 10 7" xfId="8291" xr:uid="{531FDFF3-F1E2-41A5-855D-53C7A1BCC0DB}"/>
    <cellStyle name="Normal 5 11" xfId="8292" xr:uid="{021296D2-4D09-491F-8548-53F9320B3214}"/>
    <cellStyle name="Normal 5 11 2" xfId="8293" xr:uid="{A38BA208-BE66-491C-A7A6-DAA0AC2437AF}"/>
    <cellStyle name="Normal 5 11 2 2" xfId="8294" xr:uid="{E1B69D1C-C295-46C1-B39E-BA803B60D355}"/>
    <cellStyle name="Normal 5 11 2 2 2" xfId="8295" xr:uid="{89126F20-1469-4F10-9F4F-0C7C63341E25}"/>
    <cellStyle name="Normal 5 11 2 3" xfId="8296" xr:uid="{3E16FBC7-9039-452F-A28B-032EC2AD1494}"/>
    <cellStyle name="Normal 5 11 2 4" xfId="8297" xr:uid="{80E86A58-8C37-41C2-9675-46A77C95918B}"/>
    <cellStyle name="Normal 5 11 3" xfId="8298" xr:uid="{C702743A-D226-47FA-802E-9CBABA2B3DCC}"/>
    <cellStyle name="Normal 5 11 3 2" xfId="8299" xr:uid="{D9D5B8DD-3ADA-453D-94FA-3977C7480BE0}"/>
    <cellStyle name="Normal 5 11 3 2 2" xfId="8300" xr:uid="{D50BFAA2-CDCD-4A2B-B611-695598CECDC2}"/>
    <cellStyle name="Normal 5 11 3 3" xfId="8301" xr:uid="{509BFF7A-8FC3-467C-BB5A-B354A9668777}"/>
    <cellStyle name="Normal 5 11 4" xfId="8302" xr:uid="{CC7B116B-A6DF-4D91-887E-3B79995D031A}"/>
    <cellStyle name="Normal 5 11 4 2" xfId="8303" xr:uid="{19B9E8A8-CDFC-468D-81BB-2D8C96588473}"/>
    <cellStyle name="Normal 5 11 4 2 2" xfId="8304" xr:uid="{C726AAFD-7BD2-4486-9D69-D843DB58D71A}"/>
    <cellStyle name="Normal 5 11 4 3" xfId="8305" xr:uid="{79EB485C-A068-4069-983B-D138332F3D13}"/>
    <cellStyle name="Normal 5 11 5" xfId="8306" xr:uid="{F1749F8B-1F60-470D-AA5A-8F345E099DCB}"/>
    <cellStyle name="Normal 5 11 5 2" xfId="8307" xr:uid="{46F637C2-BDDF-4409-9F11-76B6F68BD2B0}"/>
    <cellStyle name="Normal 5 11 6" xfId="8308" xr:uid="{60431B02-90F6-43B1-A98F-D880D20F66D9}"/>
    <cellStyle name="Normal 5 11 7" xfId="8309" xr:uid="{2AB33892-6A74-4712-BAAC-27C4D097FA44}"/>
    <cellStyle name="Normal 5 12" xfId="8310" xr:uid="{B9DDA489-E7B9-4390-8273-891982F1F4BF}"/>
    <cellStyle name="Normal 5 12 2" xfId="8311" xr:uid="{0416659A-847D-4DAA-BA88-E0D84DDF5492}"/>
    <cellStyle name="Normal 5 12 2 2" xfId="8312" xr:uid="{2A1C7059-770A-4D9D-8898-46215F9CB92B}"/>
    <cellStyle name="Normal 5 12 2 2 2" xfId="8313" xr:uid="{10FDC659-71BB-476C-A4F1-E7F682FD7C57}"/>
    <cellStyle name="Normal 5 12 2 3" xfId="8314" xr:uid="{9A90B39C-2CE9-4FE3-BC55-3CA2E5F7EC0B}"/>
    <cellStyle name="Normal 5 12 2 4" xfId="8315" xr:uid="{3327B585-6396-410A-AE30-374382A6C385}"/>
    <cellStyle name="Normal 5 12 3" xfId="8316" xr:uid="{9FE1D582-C1C5-4064-89A0-6477BD60DC4B}"/>
    <cellStyle name="Normal 5 12 3 2" xfId="8317" xr:uid="{EA8E3202-041C-40CD-ACB3-5467A4F8FF8E}"/>
    <cellStyle name="Normal 5 12 3 2 2" xfId="8318" xr:uid="{B2C6E526-D108-4131-BB33-53D96C635EBE}"/>
    <cellStyle name="Normal 5 12 3 3" xfId="8319" xr:uid="{F3B98DC1-5C6B-4118-81D6-5784DAC04CC3}"/>
    <cellStyle name="Normal 5 12 4" xfId="8320" xr:uid="{692A51D7-7146-4B9B-B318-7DFAA24444E0}"/>
    <cellStyle name="Normal 5 12 4 2" xfId="8321" xr:uid="{71904818-B466-41D8-9AA3-327AD19B8E22}"/>
    <cellStyle name="Normal 5 12 4 2 2" xfId="8322" xr:uid="{09100A2E-0418-45E1-95C0-06B3F733E755}"/>
    <cellStyle name="Normal 5 12 4 3" xfId="8323" xr:uid="{58A7479F-4380-4F96-8730-19F61FA6B71E}"/>
    <cellStyle name="Normal 5 12 5" xfId="8324" xr:uid="{DBCA4173-7D53-467B-8167-F60CC636D104}"/>
    <cellStyle name="Normal 5 12 5 2" xfId="8325" xr:uid="{3E2D97D1-CA43-4825-882E-BF1F2D78F677}"/>
    <cellStyle name="Normal 5 12 6" xfId="8326" xr:uid="{BC5BEA08-1FDD-4FE8-B33F-002D65A43BFD}"/>
    <cellStyle name="Normal 5 12 7" xfId="8327" xr:uid="{56CD9A70-3DED-4F83-BAF2-304BD07653D2}"/>
    <cellStyle name="Normal 5 13" xfId="8328" xr:uid="{78CCC62A-E78A-4F31-A99E-304095F57B15}"/>
    <cellStyle name="Normal 5 13 2" xfId="8329" xr:uid="{0791740A-832F-4B0F-8AA3-052F9FA2A04B}"/>
    <cellStyle name="Normal 5 13 2 2" xfId="8330" xr:uid="{6367991B-6644-494E-8932-866C2C74527B}"/>
    <cellStyle name="Normal 5 13 2 2 2" xfId="8331" xr:uid="{9E6556E6-DA5A-4FEC-9E7D-95D22272BAB8}"/>
    <cellStyle name="Normal 5 13 2 3" xfId="8332" xr:uid="{A1DA7714-8E81-4EFE-B952-3C9762085589}"/>
    <cellStyle name="Normal 5 13 2 4" xfId="8333" xr:uid="{519CF0B2-8438-4A82-AF41-452540C4DC03}"/>
    <cellStyle name="Normal 5 13 3" xfId="8334" xr:uid="{230F1814-C20E-49F9-AD12-1E1F1B25D4F5}"/>
    <cellStyle name="Normal 5 13 3 2" xfId="8335" xr:uid="{BEF12144-4A97-48F4-B8EE-F34B7D8273E5}"/>
    <cellStyle name="Normal 5 13 3 2 2" xfId="8336" xr:uid="{CF6EE0BD-A52C-4994-9FF0-8E38E867BAB8}"/>
    <cellStyle name="Normal 5 13 3 3" xfId="8337" xr:uid="{0B1D35C6-FC96-46AD-AA67-E0BA7DB546DB}"/>
    <cellStyle name="Normal 5 13 4" xfId="8338" xr:uid="{58EE8EE0-CD2C-44E8-9DB6-B1BA8E97BA22}"/>
    <cellStyle name="Normal 5 13 4 2" xfId="8339" xr:uid="{F1A814DF-EA32-4AA3-9E9A-93D5156A4B87}"/>
    <cellStyle name="Normal 5 13 4 2 2" xfId="8340" xr:uid="{37450FBD-6F6F-4F2F-B62B-D35A8979C855}"/>
    <cellStyle name="Normal 5 13 4 3" xfId="8341" xr:uid="{6216357F-EE7B-4BF5-ABF7-B4E596469EF1}"/>
    <cellStyle name="Normal 5 13 5" xfId="8342" xr:uid="{561D8E25-BE32-4224-A693-E1A0EA74F797}"/>
    <cellStyle name="Normal 5 13 5 2" xfId="8343" xr:uid="{8B0530D3-08CF-4240-86B7-7C3E2A075270}"/>
    <cellStyle name="Normal 5 13 6" xfId="8344" xr:uid="{3739CCEB-356E-41A4-97F1-92B1A13A5831}"/>
    <cellStyle name="Normal 5 13 7" xfId="8345" xr:uid="{852B7B81-2316-4DCE-BAC8-8E6AF8D036F9}"/>
    <cellStyle name="Normal 5 14" xfId="8346" xr:uid="{A8924042-C317-4255-82AB-D8BCF5D7D28C}"/>
    <cellStyle name="Normal 5 14 2" xfId="8347" xr:uid="{3F35330F-9BC8-49FF-9556-3E6564F0D460}"/>
    <cellStyle name="Normal 5 14 2 2" xfId="8348" xr:uid="{2B6C7ABA-4E06-4BA2-9857-FC1F727D7C2E}"/>
    <cellStyle name="Normal 5 14 2 2 2" xfId="8349" xr:uid="{E0124459-A309-427F-BFA8-EF1514264531}"/>
    <cellStyle name="Normal 5 14 2 3" xfId="8350" xr:uid="{091D3FB1-4F61-4F6B-A420-21CF59B7CA87}"/>
    <cellStyle name="Normal 5 14 2 4" xfId="8351" xr:uid="{1307B26F-4812-4473-9B39-399A1CC43C67}"/>
    <cellStyle name="Normal 5 14 3" xfId="8352" xr:uid="{92B6BBD0-DB96-4AFC-9029-AD389F056DE1}"/>
    <cellStyle name="Normal 5 14 3 2" xfId="8353" xr:uid="{1B73353C-E437-4D0E-BD7F-AD5872FEECB4}"/>
    <cellStyle name="Normal 5 14 3 2 2" xfId="8354" xr:uid="{9E7289BE-50FF-4FE7-B4C9-D7DAAF855C01}"/>
    <cellStyle name="Normal 5 14 3 3" xfId="8355" xr:uid="{E5A15976-6F71-40AA-98DA-B9C970662692}"/>
    <cellStyle name="Normal 5 14 4" xfId="8356" xr:uid="{D227B9EC-81C6-4257-94C6-FF8FB240BA4F}"/>
    <cellStyle name="Normal 5 14 4 2" xfId="8357" xr:uid="{91E7247F-6E50-4331-9570-07FC9558D1AF}"/>
    <cellStyle name="Normal 5 14 4 2 2" xfId="8358" xr:uid="{36FA6B24-C491-4474-B11C-EE6BDAF7A6D7}"/>
    <cellStyle name="Normal 5 14 4 3" xfId="8359" xr:uid="{9AC6385C-1631-4FA8-B693-7D3BBF787603}"/>
    <cellStyle name="Normal 5 14 5" xfId="8360" xr:uid="{9AB0B480-BDF1-473A-B246-B09C09B3B851}"/>
    <cellStyle name="Normal 5 14 5 2" xfId="8361" xr:uid="{BD9437BD-12B7-41A0-9C65-C3F2332E28DD}"/>
    <cellStyle name="Normal 5 14 6" xfId="8362" xr:uid="{BC29A61A-1A70-43E8-B896-34B5793C2C60}"/>
    <cellStyle name="Normal 5 14 7" xfId="8363" xr:uid="{75C5C0D9-324D-44E0-841E-28623F398E37}"/>
    <cellStyle name="Normal 5 15" xfId="8364" xr:uid="{1D1266E8-BA80-4780-89DD-9A2CECE255D9}"/>
    <cellStyle name="Normal 5 15 2" xfId="8365" xr:uid="{28F6F152-97B9-4E16-9032-55E6CE727D9F}"/>
    <cellStyle name="Normal 5 15 2 2" xfId="8366" xr:uid="{DAD85F9C-A4EF-4307-A1F7-0570D9CA53E1}"/>
    <cellStyle name="Normal 5 15 2 2 2" xfId="8367" xr:uid="{4DCACC99-5486-4841-B4B5-8F9D750BDCF2}"/>
    <cellStyle name="Normal 5 15 2 3" xfId="8368" xr:uid="{B920BB3F-866F-4165-8D48-1F344427C17F}"/>
    <cellStyle name="Normal 5 15 2 4" xfId="8369" xr:uid="{5766A2CD-B00C-4AE4-83CA-E2D140971F53}"/>
    <cellStyle name="Normal 5 15 3" xfId="8370" xr:uid="{99C4CCBB-0253-4071-AC23-FC3D9A02D112}"/>
    <cellStyle name="Normal 5 15 3 2" xfId="8371" xr:uid="{8489B738-E7AB-403B-A9A5-71E73D51DB83}"/>
    <cellStyle name="Normal 5 15 3 2 2" xfId="8372" xr:uid="{554A9330-085A-4DD3-8262-31D70173EF95}"/>
    <cellStyle name="Normal 5 15 3 3" xfId="8373" xr:uid="{83B01307-2F23-4799-A2D9-467DF5172CCF}"/>
    <cellStyle name="Normal 5 15 4" xfId="8374" xr:uid="{81250B10-608C-41B6-B512-2F7AF19C9620}"/>
    <cellStyle name="Normal 5 15 4 2" xfId="8375" xr:uid="{22158260-FC11-4206-A2F7-40CCA6DCD0BB}"/>
    <cellStyle name="Normal 5 15 4 2 2" xfId="8376" xr:uid="{F8A699F5-EB58-4E68-935F-CF862B52132A}"/>
    <cellStyle name="Normal 5 15 4 3" xfId="8377" xr:uid="{6AEF0EF0-7DA1-4432-B650-60F8482B2E59}"/>
    <cellStyle name="Normal 5 15 5" xfId="8378" xr:uid="{0396B232-B3D7-4C59-BC1A-53033D2D77BF}"/>
    <cellStyle name="Normal 5 15 5 2" xfId="8379" xr:uid="{174A91C6-B620-4DF3-AD38-F03D62BE044E}"/>
    <cellStyle name="Normal 5 15 6" xfId="8380" xr:uid="{1F1CE358-53C2-4CA2-B065-177B09944FCC}"/>
    <cellStyle name="Normal 5 15 7" xfId="8381" xr:uid="{C666CE25-A26F-49C2-9596-C44969CC4F39}"/>
    <cellStyle name="Normal 5 16" xfId="8382" xr:uid="{D6F2B6A7-5A90-4FBB-A06F-7DA10005FFFA}"/>
    <cellStyle name="Normal 5 16 2" xfId="8383" xr:uid="{14D3D0BA-7DBA-4BC8-9E8A-AA4114CEA5BE}"/>
    <cellStyle name="Normal 5 16 2 2" xfId="8384" xr:uid="{11BF677F-E74E-4CDB-A38D-D765906B4F28}"/>
    <cellStyle name="Normal 5 16 3" xfId="8385" xr:uid="{39635642-DEE4-48D5-880E-70AB63DE7B5F}"/>
    <cellStyle name="Normal 5 16 4" xfId="8386" xr:uid="{B91658F1-1CC1-4916-8BFD-77561AE8F9D2}"/>
    <cellStyle name="Normal 5 17" xfId="8387" xr:uid="{42E82AA8-72CD-472D-B362-E48C22D6E1CE}"/>
    <cellStyle name="Normal 5 17 2" xfId="8388" xr:uid="{16CEE975-4D29-4D11-AFB3-833B2EC7817E}"/>
    <cellStyle name="Normal 5 17 2 2" xfId="8389" xr:uid="{7282807D-189D-4586-BDE9-C1DEA311DEA4}"/>
    <cellStyle name="Normal 5 17 3" xfId="8390" xr:uid="{2A10662D-B940-430D-A550-E7F924C030D7}"/>
    <cellStyle name="Normal 5 18" xfId="8391" xr:uid="{5024A244-7D8C-425D-8EDB-3976431DBF72}"/>
    <cellStyle name="Normal 5 18 2" xfId="8392" xr:uid="{3E23CAD4-7AAE-45EA-9066-ED1010FC770D}"/>
    <cellStyle name="Normal 5 18 2 2" xfId="8393" xr:uid="{12F364E6-FF5B-4DB7-880D-0405D5FFD5F7}"/>
    <cellStyle name="Normal 5 18 3" xfId="8394" xr:uid="{FAE92D10-1824-4853-8042-CCF4BF9D6325}"/>
    <cellStyle name="Normal 5 19" xfId="8395" xr:uid="{B02CA3A4-386F-4065-A593-6657967F6410}"/>
    <cellStyle name="Normal 5 19 2" xfId="8396" xr:uid="{E9A9B36A-95D1-4675-B122-14BABDE1A24B}"/>
    <cellStyle name="Normal 5 2" xfId="2066" xr:uid="{1FBF1CDF-8236-4B18-8CA4-5FAF74FA130B}"/>
    <cellStyle name="Normal 5 2 2" xfId="8397" xr:uid="{C642424B-8DFD-4FB3-8A99-58BACB79AC00}"/>
    <cellStyle name="Normal 5 2 2 2" xfId="8398" xr:uid="{ED5D5307-EB4A-4D55-856F-202747C55167}"/>
    <cellStyle name="Normal 5 2 3" xfId="8399" xr:uid="{23C4742A-B420-472D-BAAB-50358B6DB229}"/>
    <cellStyle name="Normal 5 2 4" xfId="8400" xr:uid="{BCA0D4ED-FF27-4F48-8A1A-93591E15E215}"/>
    <cellStyle name="Normal 5 20" xfId="8401" xr:uid="{6CD8A7DC-9858-4288-A30A-7C946FB84077}"/>
    <cellStyle name="Normal 5 21" xfId="8402" xr:uid="{7F2F0368-4D07-49EC-90E0-B1AD34CCEBE4}"/>
    <cellStyle name="Normal 5 22" xfId="44723" xr:uid="{3EFCBC8F-BFFC-47FF-964E-5C951D6F846C}"/>
    <cellStyle name="Normal 5 23" xfId="51" xr:uid="{EC07169B-8FE5-48AB-B13E-4225E3E2C8F0}"/>
    <cellStyle name="Normal 5 3" xfId="8403" xr:uid="{6B869A56-8258-4C40-8024-0CBFC8BDA655}"/>
    <cellStyle name="Normal 5 3 10" xfId="8404" xr:uid="{3B6F5CA4-FE5D-4620-B9F7-174DCC8C9EB0}"/>
    <cellStyle name="Normal 5 3 10 2" xfId="8405" xr:uid="{C0F5CA4F-B463-4DAC-AD01-8EA463B3B6DA}"/>
    <cellStyle name="Normal 5 3 11" xfId="8406" xr:uid="{1D0C2429-9442-42F6-825F-A8CA1BDF137A}"/>
    <cellStyle name="Normal 5 3 12" xfId="8407" xr:uid="{9DEF4486-CEB3-4990-8EED-88B0F138FD14}"/>
    <cellStyle name="Normal 5 3 13" xfId="8408" xr:uid="{5148A7F0-FE78-401F-A8A3-7A8EDCD4BE03}"/>
    <cellStyle name="Normal 5 3 14" xfId="8409" xr:uid="{CC55D478-432C-4C26-8AC6-EC9560458726}"/>
    <cellStyle name="Normal 5 3 15" xfId="8410" xr:uid="{10BD4F1F-2061-48E7-B676-2E8576F0DA83}"/>
    <cellStyle name="Normal 5 3 2" xfId="8411" xr:uid="{8BD14B79-B514-449D-9ED5-C6C666776220}"/>
    <cellStyle name="Normal 5 3 2 10" xfId="8412" xr:uid="{221FA886-EE10-421A-BED1-7280B966A1D7}"/>
    <cellStyle name="Normal 5 3 2 11" xfId="8413" xr:uid="{0C52C7A1-89AC-404D-9BE0-932D5218A875}"/>
    <cellStyle name="Normal 5 3 2 12" xfId="8414" xr:uid="{7BE235A4-FF12-47BD-8E56-C0795C04F3AD}"/>
    <cellStyle name="Normal 5 3 2 13" xfId="8415" xr:uid="{EDF85817-022A-4F80-821B-C0C1A8543723}"/>
    <cellStyle name="Normal 5 3 2 13 2" xfId="31645" xr:uid="{C33E6122-99A8-4832-BEEB-9755AC6DC8B1}"/>
    <cellStyle name="Normal 5 3 2 14" xfId="8416" xr:uid="{85626F84-D328-45E4-AA84-C25178D3D70B}"/>
    <cellStyle name="Normal 5 3 2 14 2" xfId="31646" xr:uid="{F6C88E64-154F-41EF-8B5A-784AC54CFC43}"/>
    <cellStyle name="Normal 5 3 2 2" xfId="8417" xr:uid="{5CE515B7-ECA5-4C55-ABB0-7ADED74B42CC}"/>
    <cellStyle name="Normal 5 3 2 2 10" xfId="8418" xr:uid="{71E0EC8C-8D1C-4CA1-BA7B-AD9F13B40C1B}"/>
    <cellStyle name="Normal 5 3 2 2 2" xfId="8419" xr:uid="{1FAE8CFC-877D-4F66-A122-A83A2911F742}"/>
    <cellStyle name="Normal 5 3 2 2 2 2" xfId="8420" xr:uid="{37F72286-5C6E-44CD-9C82-9563B456913F}"/>
    <cellStyle name="Normal 5 3 2 2 2 2 2" xfId="8421" xr:uid="{30C1516A-5A4A-4144-886A-06A6CA1DA40E}"/>
    <cellStyle name="Normal 5 3 2 2 2 3" xfId="8422" xr:uid="{0D0C9C16-9C45-4A3B-995D-08E082FDDF06}"/>
    <cellStyle name="Normal 5 3 2 2 2 4" xfId="8423" xr:uid="{D273E24B-43F4-4E9C-A56A-F59F9FEAC75B}"/>
    <cellStyle name="Normal 5 3 2 2 3" xfId="8424" xr:uid="{1ED55B09-2BFD-4A5A-AF00-48434D41E6E5}"/>
    <cellStyle name="Normal 5 3 2 2 3 2" xfId="8425" xr:uid="{6D8018E4-01F2-4EAE-B87D-AB6270268D71}"/>
    <cellStyle name="Normal 5 3 2 2 3 2 2" xfId="8426" xr:uid="{A5E5AF44-EDFD-4EC4-8128-DEE76303C327}"/>
    <cellStyle name="Normal 5 3 2 2 3 3" xfId="8427" xr:uid="{40F76756-B7C6-4B36-8F7B-49A3CD3F93FA}"/>
    <cellStyle name="Normal 5 3 2 2 4" xfId="8428" xr:uid="{9B9678D2-6113-414C-BDE8-9841A930C733}"/>
    <cellStyle name="Normal 5 3 2 2 4 2" xfId="8429" xr:uid="{165C271D-734F-4EFA-98BF-6E6DB6CCC757}"/>
    <cellStyle name="Normal 5 3 2 2 4 2 2" xfId="8430" xr:uid="{006B2EC8-7CCA-45E2-A3DE-0C210A180211}"/>
    <cellStyle name="Normal 5 3 2 2 4 3" xfId="8431" xr:uid="{AC6E109D-2E53-40CA-A260-F246F4FFF0A9}"/>
    <cellStyle name="Normal 5 3 2 2 5" xfId="8432" xr:uid="{8ADDD934-39A2-4163-9E0D-89BE36C5D7EC}"/>
    <cellStyle name="Normal 5 3 2 2 5 2" xfId="8433" xr:uid="{D9734A7D-1F55-4A23-BF05-7CCBD81B7F01}"/>
    <cellStyle name="Normal 5 3 2 2 5 2 2" xfId="8434" xr:uid="{0373B030-0DBF-493C-A409-33E084A90C1D}"/>
    <cellStyle name="Normal 5 3 2 2 5 3" xfId="8435" xr:uid="{368F0494-E8CD-44C3-ABA3-66337195DAC8}"/>
    <cellStyle name="Normal 5 3 2 2 6" xfId="8436" xr:uid="{FA7B4C51-0A0D-4B25-8ACB-710CBC012078}"/>
    <cellStyle name="Normal 5 3 2 2 6 2" xfId="8437" xr:uid="{FF349EB0-8C83-435A-AA4C-4C86EE027E8F}"/>
    <cellStyle name="Normal 5 3 2 2 6 2 2" xfId="8438" xr:uid="{F205A921-D499-4FDE-908B-C35691934E3B}"/>
    <cellStyle name="Normal 5 3 2 2 6 3" xfId="8439" xr:uid="{8F5EA026-701B-45F2-A552-C9DC79567692}"/>
    <cellStyle name="Normal 5 3 2 2 7" xfId="8440" xr:uid="{F148AB14-CA4F-4CB0-A23B-B5CFEF9A23D9}"/>
    <cellStyle name="Normal 5 3 2 2 7 2" xfId="8441" xr:uid="{317ABF0D-7355-4D6A-A41C-8CB295D6664C}"/>
    <cellStyle name="Normal 5 3 2 2 7 2 2" xfId="8442" xr:uid="{993A3642-54EB-4BC9-AF5B-F9C390FF4755}"/>
    <cellStyle name="Normal 5 3 2 2 7 3" xfId="8443" xr:uid="{25D5C299-5326-4086-9CF5-DE8EB4269B46}"/>
    <cellStyle name="Normal 5 3 2 2 8" xfId="8444" xr:uid="{A4D8F4A6-997D-4491-ACC7-646BB7D56268}"/>
    <cellStyle name="Normal 5 3 2 2 8 2" xfId="8445" xr:uid="{9F1594CB-0740-413C-93F3-35B48E7FF9E5}"/>
    <cellStyle name="Normal 5 3 2 2 9" xfId="8446" xr:uid="{0702E9F2-15E6-4488-8CA9-677478886143}"/>
    <cellStyle name="Normal 5 3 2 3" xfId="8447" xr:uid="{6413E8D4-B58B-4564-B4DA-27DCF79CD68E}"/>
    <cellStyle name="Normal 5 3 2 3 2" xfId="8448" xr:uid="{BCF0A719-CEAC-46AD-B46C-24DF76812632}"/>
    <cellStyle name="Normal 5 3 2 3 2 2" xfId="8449" xr:uid="{0484D1CF-7074-41CC-9D84-E7FE412D424F}"/>
    <cellStyle name="Normal 5 3 2 3 3" xfId="8450" xr:uid="{F99D80B0-33D3-4131-9C4D-16E551269244}"/>
    <cellStyle name="Normal 5 3 2 3 4" xfId="8451" xr:uid="{B4589107-B9F6-4987-9854-F3D0EEF149D6}"/>
    <cellStyle name="Normal 5 3 2 4" xfId="8452" xr:uid="{502C013A-6314-4999-B584-4674C672FBB6}"/>
    <cellStyle name="Normal 5 3 2 4 2" xfId="8453" xr:uid="{D653088E-D5E9-49DD-831A-B98EA5BE8DDA}"/>
    <cellStyle name="Normal 5 3 2 4 2 2" xfId="8454" xr:uid="{38F04CEB-F513-4AFB-95EA-C8CF4423F3E6}"/>
    <cellStyle name="Normal 5 3 2 4 3" xfId="8455" xr:uid="{78E416DB-9A73-47E6-A493-6C3356970CAB}"/>
    <cellStyle name="Normal 5 3 2 5" xfId="8456" xr:uid="{47F8902D-F831-4899-8A77-41095042CB75}"/>
    <cellStyle name="Normal 5 3 2 5 2" xfId="8457" xr:uid="{4E28CA7A-CE25-4988-B022-7A67BBA08018}"/>
    <cellStyle name="Normal 5 3 2 5 2 2" xfId="8458" xr:uid="{01DCAE93-B051-4261-BCBB-EDDD21B43677}"/>
    <cellStyle name="Normal 5 3 2 5 3" xfId="8459" xr:uid="{84E2F1B6-3A99-4DF3-99BF-EFE458CEA1BE}"/>
    <cellStyle name="Normal 5 3 2 6" xfId="8460" xr:uid="{4C10CFFC-4EE1-4000-8E2D-E18C1D1C421B}"/>
    <cellStyle name="Normal 5 3 2 6 2" xfId="8461" xr:uid="{ACF280D1-0B33-44B9-833C-F964E0569B90}"/>
    <cellStyle name="Normal 5 3 2 6 2 2" xfId="8462" xr:uid="{10648355-C671-4768-8B3F-F18E0FCC6D70}"/>
    <cellStyle name="Normal 5 3 2 6 3" xfId="8463" xr:uid="{8E02F657-8B9A-4DE8-A822-B99B313A5DC3}"/>
    <cellStyle name="Normal 5 3 2 7" xfId="8464" xr:uid="{6A0D030A-669C-4E40-AD1F-54D6F6BD6726}"/>
    <cellStyle name="Normal 5 3 2 7 2" xfId="8465" xr:uid="{62B533BE-493A-4686-85FD-A9B8D9EA0F6E}"/>
    <cellStyle name="Normal 5 3 2 7 2 2" xfId="8466" xr:uid="{DF4098D4-353D-42D5-9334-C39AA1806419}"/>
    <cellStyle name="Normal 5 3 2 7 3" xfId="8467" xr:uid="{3435FBBF-B642-43F9-A832-DFDEFF182E4D}"/>
    <cellStyle name="Normal 5 3 2 8" xfId="8468" xr:uid="{98E071E7-1F66-4749-9D1F-4BDFA7757AC3}"/>
    <cellStyle name="Normal 5 3 2 8 2" xfId="8469" xr:uid="{75732882-C1EC-4D3D-A97F-9359C897D453}"/>
    <cellStyle name="Normal 5 3 2 8 2 2" xfId="8470" xr:uid="{35201DF8-858F-48C0-8BCC-887C52B15D7E}"/>
    <cellStyle name="Normal 5 3 2 8 3" xfId="8471" xr:uid="{E6F4D6E4-AE8B-4833-B889-B5234DFDD8F5}"/>
    <cellStyle name="Normal 5 3 2 9" xfId="8472" xr:uid="{6B9020D6-AB8E-4F37-9588-DE5DA46DA470}"/>
    <cellStyle name="Normal 5 3 2 9 2" xfId="8473" xr:uid="{9DF9A974-2138-4BE6-933A-EC03D2CB877A}"/>
    <cellStyle name="Normal 5 3 3" xfId="8474" xr:uid="{EA5A1C60-DB8D-46A2-94A6-8955EB9BEECD}"/>
    <cellStyle name="Normal 5 3 3 10" xfId="8475" xr:uid="{F0EF65EF-DC94-4277-9967-B5067BAB1231}"/>
    <cellStyle name="Normal 5 3 3 2" xfId="8476" xr:uid="{62322418-BD5E-419C-89EC-A19CBB972002}"/>
    <cellStyle name="Normal 5 3 3 2 2" xfId="8477" xr:uid="{E2D6A0A9-A782-4AFF-AC50-9FA7F0929EEB}"/>
    <cellStyle name="Normal 5 3 3 2 2 2" xfId="8478" xr:uid="{1F36237E-9850-4403-9074-789A039E437F}"/>
    <cellStyle name="Normal 5 3 3 2 3" xfId="8479" xr:uid="{25386A63-4D87-4AAC-8389-459724FE0DD4}"/>
    <cellStyle name="Normal 5 3 3 2 4" xfId="8480" xr:uid="{8468BE55-AF97-490C-A13D-A88A1C130332}"/>
    <cellStyle name="Normal 5 3 3 3" xfId="8481" xr:uid="{1604D83F-9E33-433F-9B0D-B04FEA629B56}"/>
    <cellStyle name="Normal 5 3 3 3 2" xfId="8482" xr:uid="{F5F3DA34-E333-4DBE-AE32-0EDCB242FB0C}"/>
    <cellStyle name="Normal 5 3 3 3 2 2" xfId="8483" xr:uid="{97562C25-9563-477A-AB42-F873A8D8B69C}"/>
    <cellStyle name="Normal 5 3 3 3 3" xfId="8484" xr:uid="{980E64BC-EE77-4F6E-941D-D5784A2E0F1F}"/>
    <cellStyle name="Normal 5 3 3 4" xfId="8485" xr:uid="{E31175D1-7E8A-4DB0-A926-8EE80B738F61}"/>
    <cellStyle name="Normal 5 3 3 4 2" xfId="8486" xr:uid="{E4E6B0C4-918F-48F1-B1BB-B888338D86E5}"/>
    <cellStyle name="Normal 5 3 3 4 2 2" xfId="8487" xr:uid="{F3DD58DF-C21D-4CE0-9EB4-82B0E43E04E3}"/>
    <cellStyle name="Normal 5 3 3 4 3" xfId="8488" xr:uid="{1CFF9661-3902-4239-8911-6410D516AB0E}"/>
    <cellStyle name="Normal 5 3 3 5" xfId="8489" xr:uid="{76C7F7F2-45D6-4A7E-B9BD-C1074458D78E}"/>
    <cellStyle name="Normal 5 3 3 5 2" xfId="8490" xr:uid="{7D66D91B-6C7B-4428-B5A8-79D5FE5640E8}"/>
    <cellStyle name="Normal 5 3 3 5 2 2" xfId="8491" xr:uid="{52D5CC2B-024F-4E1C-A218-6A178A01A3D1}"/>
    <cellStyle name="Normal 5 3 3 5 3" xfId="8492" xr:uid="{58CFCABD-2D24-4E6B-B8EA-614A5A0CA3D3}"/>
    <cellStyle name="Normal 5 3 3 6" xfId="8493" xr:uid="{F4162FFB-8308-4D99-9001-2C4ED95C0CD9}"/>
    <cellStyle name="Normal 5 3 3 6 2" xfId="8494" xr:uid="{68840D74-E08D-4007-B899-0A83FBCD2BF1}"/>
    <cellStyle name="Normal 5 3 3 6 2 2" xfId="8495" xr:uid="{52384AA2-44EA-42FB-BC9A-F72B7B2EACD9}"/>
    <cellStyle name="Normal 5 3 3 6 3" xfId="8496" xr:uid="{C3E6464E-0DF9-48DF-ABE6-01FC0AA269ED}"/>
    <cellStyle name="Normal 5 3 3 7" xfId="8497" xr:uid="{7AA0A6DE-DC93-464A-8CEB-1A7B5E909DC1}"/>
    <cellStyle name="Normal 5 3 3 7 2" xfId="8498" xr:uid="{1AE4A90C-D1F0-4A3E-A610-EAB7647261DF}"/>
    <cellStyle name="Normal 5 3 3 7 2 2" xfId="8499" xr:uid="{1B57192A-AD60-4690-AA93-506F4E2B6958}"/>
    <cellStyle name="Normal 5 3 3 7 3" xfId="8500" xr:uid="{94537127-CB56-484F-9622-DD7F6087E851}"/>
    <cellStyle name="Normal 5 3 3 8" xfId="8501" xr:uid="{01C3139F-D4C2-4293-BB67-B7CC5D4C5494}"/>
    <cellStyle name="Normal 5 3 3 8 2" xfId="8502" xr:uid="{D08FFE3E-11DA-4A28-9C2B-B4889FB54361}"/>
    <cellStyle name="Normal 5 3 3 9" xfId="8503" xr:uid="{F93BC648-5E02-4EFD-94C5-D7A48C414F1F}"/>
    <cellStyle name="Normal 5 3 4" xfId="8504" xr:uid="{54CBE9AE-293A-451F-B642-68CBC8D6EAEF}"/>
    <cellStyle name="Normal 5 3 4 2" xfId="8505" xr:uid="{7D8E2973-15D2-4F7F-9691-A74FF0422218}"/>
    <cellStyle name="Normal 5 3 4 2 2" xfId="8506" xr:uid="{953A54E5-6694-4005-AA70-698E316C6706}"/>
    <cellStyle name="Normal 5 3 4 3" xfId="8507" xr:uid="{7BEB345F-9E61-440D-84F7-96B2C3620578}"/>
    <cellStyle name="Normal 5 3 4 4" xfId="8508" xr:uid="{17E9F7AB-CAA0-47B6-9455-3AF015FA0253}"/>
    <cellStyle name="Normal 5 3 5" xfId="8509" xr:uid="{46BAA73B-BF30-47F1-8D10-B014624FF73F}"/>
    <cellStyle name="Normal 5 3 5 2" xfId="8510" xr:uid="{94BCCE2C-1442-4762-9614-43E3448D180D}"/>
    <cellStyle name="Normal 5 3 5 2 2" xfId="8511" xr:uid="{FA775EA8-5A13-4453-A391-4578A8DEE5AF}"/>
    <cellStyle name="Normal 5 3 5 3" xfId="8512" xr:uid="{B18E6781-941E-4D84-8796-108583D0C20A}"/>
    <cellStyle name="Normal 5 3 6" xfId="8513" xr:uid="{B2E1E09E-03F0-47FD-A630-4C38EF551F2C}"/>
    <cellStyle name="Normal 5 3 6 2" xfId="8514" xr:uid="{5E8508EE-C0E6-4BB3-AAA5-E66B92E627BA}"/>
    <cellStyle name="Normal 5 3 6 2 2" xfId="8515" xr:uid="{948D1256-86E3-4BB4-B775-54F4B8340FAD}"/>
    <cellStyle name="Normal 5 3 6 3" xfId="8516" xr:uid="{0E69009F-F4A1-4078-97FF-2C953621F714}"/>
    <cellStyle name="Normal 5 3 7" xfId="8517" xr:uid="{85B7ACAA-271E-4279-8E0E-AB10B6A7CEFC}"/>
    <cellStyle name="Normal 5 3 7 2" xfId="8518" xr:uid="{FCE4068B-9A99-4B52-8529-3D9E387452C4}"/>
    <cellStyle name="Normal 5 3 7 2 2" xfId="8519" xr:uid="{362D1CE5-6D44-4186-8EC0-0CAB244AE20C}"/>
    <cellStyle name="Normal 5 3 7 3" xfId="8520" xr:uid="{BB210B1C-6B7A-485C-9B3C-ACB25B5169FD}"/>
    <cellStyle name="Normal 5 3 8" xfId="8521" xr:uid="{FA7FAD14-A165-4355-A894-A339BAA761B5}"/>
    <cellStyle name="Normal 5 3 8 2" xfId="8522" xr:uid="{67FA89EE-A985-4B72-B6CD-3A365E32BB1F}"/>
    <cellStyle name="Normal 5 3 8 2 2" xfId="8523" xr:uid="{D528401A-01E3-4FBC-AF80-B4951B5036FA}"/>
    <cellStyle name="Normal 5 3 8 3" xfId="8524" xr:uid="{932EEE3E-A61B-4E46-B68D-AAD24B598D89}"/>
    <cellStyle name="Normal 5 3 9" xfId="8525" xr:uid="{C92D5C17-F1AF-412B-801F-C500C7147A48}"/>
    <cellStyle name="Normal 5 3 9 2" xfId="8526" xr:uid="{5DF022C1-5758-4F55-925B-784897B9350A}"/>
    <cellStyle name="Normal 5 3 9 2 2" xfId="8527" xr:uid="{809F85DB-F71E-4D21-91D6-F67F7A3C31EA}"/>
    <cellStyle name="Normal 5 3 9 3" xfId="8528" xr:uid="{1317FB06-1119-4A4A-8C7A-77AB528A0288}"/>
    <cellStyle name="Normal 5 4" xfId="8529" xr:uid="{3F10E07A-ED13-4C1D-A318-C91F7361482D}"/>
    <cellStyle name="Normal 5 4 10" xfId="8530" xr:uid="{5AB5D0D3-B59A-4EF2-B57E-32273B92D652}"/>
    <cellStyle name="Normal 5 4 11" xfId="8531" xr:uid="{1E56C944-BC24-4B99-BF7D-9C782FC0540F}"/>
    <cellStyle name="Normal 5 4 12" xfId="8532" xr:uid="{EE86EC0F-0307-46D6-B5E5-28447FDF025B}"/>
    <cellStyle name="Normal 5 4 13" xfId="8533" xr:uid="{215688EE-1A02-4F5C-B93B-3097E9241F10}"/>
    <cellStyle name="Normal 5 4 2" xfId="8534" xr:uid="{AAE2DEE2-A302-4D6F-9AB1-F4513F1F63E3}"/>
    <cellStyle name="Normal 5 4 2 2" xfId="8535" xr:uid="{8ED3EB71-E2FB-4534-B508-6A638DE971C3}"/>
    <cellStyle name="Normal 5 4 2 2 2" xfId="8536" xr:uid="{2A68474D-2A35-426D-87AE-CC70B015A51E}"/>
    <cellStyle name="Normal 5 4 2 3" xfId="8537" xr:uid="{C05D68D6-76AB-48D0-BDF2-C2D5E973CE3C}"/>
    <cellStyle name="Normal 5 4 2 4" xfId="8538" xr:uid="{35A91DAC-2130-44F9-9DA5-8CA836863411}"/>
    <cellStyle name="Normal 5 4 3" xfId="8539" xr:uid="{5821ECA9-D28F-48DB-BC01-FAC1F69759ED}"/>
    <cellStyle name="Normal 5 4 3 2" xfId="8540" xr:uid="{79AF7CEB-5A57-4D96-9723-E28A41D8ADCD}"/>
    <cellStyle name="Normal 5 4 3 2 2" xfId="8541" xr:uid="{E16CD7D2-3B25-41A0-9FBF-32E9E748607F}"/>
    <cellStyle name="Normal 5 4 3 3" xfId="8542" xr:uid="{8B152806-695D-41C6-B3E3-61C22750EB40}"/>
    <cellStyle name="Normal 5 4 4" xfId="8543" xr:uid="{F70906AF-8FF3-44CA-8AE9-A9DCDDCA26EE}"/>
    <cellStyle name="Normal 5 4 4 2" xfId="8544" xr:uid="{1DFEA9F3-7B64-458B-813D-FA50DD17D0D4}"/>
    <cellStyle name="Normal 5 4 4 2 2" xfId="8545" xr:uid="{A089D709-DD3C-4900-8950-453876EF2332}"/>
    <cellStyle name="Normal 5 4 4 3" xfId="8546" xr:uid="{9B130DDD-D7CB-4CDB-889A-5CB9A707EFFB}"/>
    <cellStyle name="Normal 5 4 5" xfId="8547" xr:uid="{29865F6F-1877-4845-8512-0697965FE8D7}"/>
    <cellStyle name="Normal 5 4 5 2" xfId="8548" xr:uid="{58609A19-AAA6-4392-A2A5-8E80871FFB43}"/>
    <cellStyle name="Normal 5 4 5 2 2" xfId="8549" xr:uid="{8EBBA3C3-BE87-4D0E-B3B1-78A68EDE80B6}"/>
    <cellStyle name="Normal 5 4 5 3" xfId="8550" xr:uid="{7846469A-A4BD-427D-8B3F-6EEF3163ED17}"/>
    <cellStyle name="Normal 5 4 6" xfId="8551" xr:uid="{C5FDC9D2-2B5E-47A0-914D-93AB37A2D808}"/>
    <cellStyle name="Normal 5 4 6 2" xfId="8552" xr:uid="{7AF821E1-982C-4836-AFBE-CB56CD68B6EA}"/>
    <cellStyle name="Normal 5 4 6 2 2" xfId="8553" xr:uid="{23D69CB9-3124-4654-B5C7-B04D26779299}"/>
    <cellStyle name="Normal 5 4 6 3" xfId="8554" xr:uid="{EE3FE39F-E2D0-4D3E-921B-A83636442077}"/>
    <cellStyle name="Normal 5 4 7" xfId="8555" xr:uid="{DE26F109-9E4D-4218-BBC4-4C521A09F8BA}"/>
    <cellStyle name="Normal 5 4 7 2" xfId="8556" xr:uid="{A64EDFEF-389D-485B-B402-462FA450FE9A}"/>
    <cellStyle name="Normal 5 4 7 2 2" xfId="8557" xr:uid="{65B44B9C-88B1-4114-8DA2-B58A7CC6AF22}"/>
    <cellStyle name="Normal 5 4 7 3" xfId="8558" xr:uid="{39F9E11C-73FB-4122-8A12-66B6FCC1258E}"/>
    <cellStyle name="Normal 5 4 8" xfId="8559" xr:uid="{4FDDCED7-19B4-4DEB-A174-24007F443D05}"/>
    <cellStyle name="Normal 5 4 8 2" xfId="8560" xr:uid="{E3182AA1-5B0B-4940-A900-5E82274AE6E2}"/>
    <cellStyle name="Normal 5 4 9" xfId="8561" xr:uid="{604BF24B-3B04-4C80-BF89-760BCDBF8CE5}"/>
    <cellStyle name="Normal 5 5" xfId="8562" xr:uid="{DE71FBDB-F5AB-4F83-B0F3-3CF45810C5F3}"/>
    <cellStyle name="Normal 5 5 10" xfId="8563" xr:uid="{F15D60AF-1C94-4171-ADBE-7B474C097E42}"/>
    <cellStyle name="Normal 5 5 11" xfId="8564" xr:uid="{D88C2786-99F9-4661-91BE-ADFC81423A1E}"/>
    <cellStyle name="Normal 5 5 12" xfId="8565" xr:uid="{DCE64D40-7B78-4846-8DDC-94EADF844DF8}"/>
    <cellStyle name="Normal 5 5 13" xfId="8566" xr:uid="{8F4DB13C-F465-4FBB-B90F-86E11DDA9CA3}"/>
    <cellStyle name="Normal 5 5 13 2" xfId="8567" xr:uid="{59D048D3-63FE-422F-9897-CBDCB2008392}"/>
    <cellStyle name="Normal 5 5 13 2 2" xfId="8568" xr:uid="{5B8A7683-801F-4DD9-B5E9-CD3A68961AE8}"/>
    <cellStyle name="Normal 5 5 13 2 2 2" xfId="8569" xr:uid="{FEB1FAA1-7AE6-4241-974B-FEC515BC0573}"/>
    <cellStyle name="Normal 5 5 13 2 3" xfId="8570" xr:uid="{1F3B8D0F-DE41-43B2-BA37-0CC20F6FD795}"/>
    <cellStyle name="Normal 5 5 13 2 4" xfId="8571" xr:uid="{32085A1D-5AAC-4F29-B85D-2E9CF60F1D11}"/>
    <cellStyle name="Normal 5 5 13 3" xfId="8572" xr:uid="{76369607-8128-4870-A51F-5237D3B0F6DE}"/>
    <cellStyle name="Normal 5 5 13 3 2" xfId="8573" xr:uid="{5B410ACC-2244-4695-A84E-EFB108276AAB}"/>
    <cellStyle name="Normal 5 5 13 3 2 2" xfId="8574" xr:uid="{1AC97FAB-18EE-4348-94F5-C7E5E0F8685B}"/>
    <cellStyle name="Normal 5 5 13 3 3" xfId="8575" xr:uid="{E9B2FA72-E40C-4CEC-A250-38C41DCBF590}"/>
    <cellStyle name="Normal 5 5 13 4" xfId="8576" xr:uid="{DE4CACF9-91B3-4A3A-9019-5A833041D943}"/>
    <cellStyle name="Normal 5 5 13 4 2" xfId="8577" xr:uid="{4DD396D0-6816-4D88-B861-9ADD8664A182}"/>
    <cellStyle name="Normal 5 5 13 4 2 2" xfId="8578" xr:uid="{9C5FB6E1-6457-46FB-9F80-A9715D5659CE}"/>
    <cellStyle name="Normal 5 5 13 4 3" xfId="8579" xr:uid="{84885804-4916-4BCE-8675-FEBC4D25B6C3}"/>
    <cellStyle name="Normal 5 5 13 5" xfId="8580" xr:uid="{015EC893-0A92-4855-8F81-79404CE935D4}"/>
    <cellStyle name="Normal 5 5 13 5 2" xfId="8581" xr:uid="{AC13C3A1-4A60-4A19-A9DC-16CE03195840}"/>
    <cellStyle name="Normal 5 5 13 6" xfId="8582" xr:uid="{08F9B89D-074D-4A2B-9827-70BD629F5B7E}"/>
    <cellStyle name="Normal 5 5 13 7" xfId="8583" xr:uid="{20C8F6F6-0498-4FF4-8F75-3DB412B4D2B0}"/>
    <cellStyle name="Normal 5 5 2" xfId="8584" xr:uid="{02AC42B9-D81E-496F-9897-B5B37BCFF29C}"/>
    <cellStyle name="Normal 5 5 2 2" xfId="44555" xr:uid="{7BF7AC38-B711-421F-8A8E-61C0B20F80BD}"/>
    <cellStyle name="Normal 5 5 3" xfId="8585" xr:uid="{29CC0F17-5A21-4B9B-8E04-ED16F3EB34EA}"/>
    <cellStyle name="Normal 5 5 4" xfId="8586" xr:uid="{54C3EE92-7FFF-4C35-A1DE-CFD03626D4F4}"/>
    <cellStyle name="Normal 5 5 5" xfId="8587" xr:uid="{9BBFB13C-6711-407F-9586-B5E90F0169EE}"/>
    <cellStyle name="Normal 5 5 6" xfId="8588" xr:uid="{F8E97937-E503-41F5-9DAB-174109D65ACD}"/>
    <cellStyle name="Normal 5 5 7" xfId="8589" xr:uid="{9FBC7C28-8ACC-4805-A401-A9A667802F4B}"/>
    <cellStyle name="Normal 5 5 8" xfId="8590" xr:uid="{1C652F13-61E1-430F-9AEC-A5A3DCAA670B}"/>
    <cellStyle name="Normal 5 5 9" xfId="8591" xr:uid="{62EB74D6-AA07-4B59-964D-7B31900D8AE6}"/>
    <cellStyle name="Normal 5 6" xfId="8592" xr:uid="{45895BB4-484E-4E31-B460-C7A5D0AAA26E}"/>
    <cellStyle name="Normal 5 6 10" xfId="8593" xr:uid="{DFC4045F-6681-4841-B423-8E53F75782E8}"/>
    <cellStyle name="Normal 5 6 2" xfId="8594" xr:uid="{B1535E77-0878-4511-800D-3D15A21D12CF}"/>
    <cellStyle name="Normal 5 6 2 2" xfId="8595" xr:uid="{09124333-456C-445E-A72C-E7B76EA9DF04}"/>
    <cellStyle name="Normal 5 6 2 2 2" xfId="8596" xr:uid="{EDEA7D4E-C95F-40F8-8BB0-EFA937017577}"/>
    <cellStyle name="Normal 5 6 2 3" xfId="8597" xr:uid="{96FE66D6-D536-463B-A08F-ABB8DFA1DCF3}"/>
    <cellStyle name="Normal 5 6 2 4" xfId="8598" xr:uid="{B3F10274-491E-4BFF-A1C8-8939FB191269}"/>
    <cellStyle name="Normal 5 6 3" xfId="8599" xr:uid="{BB8B8F12-DD4C-418A-987C-0B2FA12193EA}"/>
    <cellStyle name="Normal 5 6 3 2" xfId="8600" xr:uid="{1642D994-C5E5-4E4C-8631-CAD932C4D6BD}"/>
    <cellStyle name="Normal 5 6 3 2 2" xfId="8601" xr:uid="{3DD75356-77C6-4D1E-90D9-9BE4C1DD027B}"/>
    <cellStyle name="Normal 5 6 3 3" xfId="8602" xr:uid="{C9E12605-15A3-4197-AF96-1CA4107144C1}"/>
    <cellStyle name="Normal 5 6 4" xfId="8603" xr:uid="{006DFC31-08AB-45F5-9696-3F054B06FB6B}"/>
    <cellStyle name="Normal 5 6 4 2" xfId="8604" xr:uid="{5CD6FF35-6FF7-44FA-BA9D-EB9307F931BA}"/>
    <cellStyle name="Normal 5 6 4 2 2" xfId="8605" xr:uid="{7C02CC83-E7C0-4BCE-B4BE-74D55E92390F}"/>
    <cellStyle name="Normal 5 6 4 3" xfId="8606" xr:uid="{6E561778-79E4-438B-B4B5-A04B630AD4B7}"/>
    <cellStyle name="Normal 5 6 5" xfId="8607" xr:uid="{C4600DF9-ECC6-4DE0-B865-D71E77B2B0C3}"/>
    <cellStyle name="Normal 5 6 5 2" xfId="8608" xr:uid="{685A9FF8-697F-4124-BB1E-95D68CBAA1C0}"/>
    <cellStyle name="Normal 5 6 6" xfId="8609" xr:uid="{B98AB461-F6E6-4BCA-82D2-7F81D9C32146}"/>
    <cellStyle name="Normal 5 6 7" xfId="8610" xr:uid="{1D4C0225-EE7B-476B-B92E-CC298E27D742}"/>
    <cellStyle name="Normal 5 6 8" xfId="8611" xr:uid="{A5876438-E547-4AF1-8373-E80146E8FB61}"/>
    <cellStyle name="Normal 5 6 9" xfId="8612" xr:uid="{760B6F52-3ECE-4BE5-A43A-99142BA4B0B6}"/>
    <cellStyle name="Normal 5 7" xfId="8613" xr:uid="{CD4AB8DE-3D3B-4638-817E-C5E74EF71F7F}"/>
    <cellStyle name="Normal 5 7 2" xfId="8614" xr:uid="{83EB7B7F-BDB8-49B7-8A22-8ECF9982C863}"/>
    <cellStyle name="Normal 5 7 2 2" xfId="8615" xr:uid="{DC5E09CB-FF1F-4AEC-A20A-7B100524A407}"/>
    <cellStyle name="Normal 5 7 2 2 2" xfId="8616" xr:uid="{EB6321E5-0B56-4843-BD99-E445E275A88F}"/>
    <cellStyle name="Normal 5 7 2 3" xfId="8617" xr:uid="{45DF78E8-3BF6-4B27-BC2E-3CC27D1D1756}"/>
    <cellStyle name="Normal 5 7 2 4" xfId="8618" xr:uid="{FFCDF536-8044-41ED-8547-DB9DAF59DC56}"/>
    <cellStyle name="Normal 5 7 3" xfId="8619" xr:uid="{54064702-6123-4B2F-8474-7D06FE03E89B}"/>
    <cellStyle name="Normal 5 7 3 2" xfId="8620" xr:uid="{6BBDC628-28D6-49DA-9177-86E818BF291B}"/>
    <cellStyle name="Normal 5 7 3 2 2" xfId="8621" xr:uid="{3ABA5472-C758-46B1-9035-5AA2B8711815}"/>
    <cellStyle name="Normal 5 7 3 3" xfId="8622" xr:uid="{E2B35FF9-4FF2-4269-A289-6F8073E3DCCD}"/>
    <cellStyle name="Normal 5 7 4" xfId="8623" xr:uid="{F81319B5-FE67-4107-8D28-CCD80A637570}"/>
    <cellStyle name="Normal 5 7 4 2" xfId="8624" xr:uid="{8CA76BE7-6C15-478F-9311-E8B9FCE08086}"/>
    <cellStyle name="Normal 5 7 4 2 2" xfId="8625" xr:uid="{9F205B8E-A372-42C5-8DDE-4AEF843C711C}"/>
    <cellStyle name="Normal 5 7 4 3" xfId="8626" xr:uid="{4B2F0021-EFFD-4313-9985-0C58C24952A3}"/>
    <cellStyle name="Normal 5 7 5" xfId="8627" xr:uid="{AE19841C-2806-467D-80C9-EC4FAA106605}"/>
    <cellStyle name="Normal 5 7 5 2" xfId="8628" xr:uid="{16AF5CC6-3616-4064-B517-658003A2418A}"/>
    <cellStyle name="Normal 5 7 6" xfId="8629" xr:uid="{53F56260-EFD9-4667-8258-C39DA4FCF3D3}"/>
    <cellStyle name="Normal 5 7 7" xfId="8630" xr:uid="{4039C242-2AEA-4DB0-8C1B-4A4DC6AE2BA8}"/>
    <cellStyle name="Normal 5 8" xfId="8631" xr:uid="{CCF69109-A7E0-4CE8-BEB0-EC647EAC4565}"/>
    <cellStyle name="Normal 5 8 2" xfId="8632" xr:uid="{917C15EF-52B2-4E58-9BA3-F274B1A96D0B}"/>
    <cellStyle name="Normal 5 8 2 2" xfId="8633" xr:uid="{3535C600-5EE8-4667-8CB4-BE920B9F614A}"/>
    <cellStyle name="Normal 5 8 2 2 2" xfId="8634" xr:uid="{32EB3741-6F57-4170-9A00-85B042D06764}"/>
    <cellStyle name="Normal 5 8 2 3" xfId="8635" xr:uid="{A500E410-6A03-4B7B-AE72-313943398B88}"/>
    <cellStyle name="Normal 5 8 2 4" xfId="8636" xr:uid="{427F5CF5-7599-4579-A9A6-31AD70959763}"/>
    <cellStyle name="Normal 5 8 3" xfId="8637" xr:uid="{BA254E6C-6A59-4571-99C2-6341F4E7BCEB}"/>
    <cellStyle name="Normal 5 8 3 2" xfId="8638" xr:uid="{A02FDFC2-2DC2-410A-9DD9-80B958452AA3}"/>
    <cellStyle name="Normal 5 8 3 2 2" xfId="8639" xr:uid="{C96916F0-0433-4AF5-8D2C-F38543402792}"/>
    <cellStyle name="Normal 5 8 3 3" xfId="8640" xr:uid="{A5C70287-1A8E-494A-B3CF-9660F2AC4FD9}"/>
    <cellStyle name="Normal 5 8 4" xfId="8641" xr:uid="{47E21F4D-52B0-46DC-B338-BA2569002287}"/>
    <cellStyle name="Normal 5 8 4 2" xfId="8642" xr:uid="{BFB65863-5E30-4202-8A51-E0CCDAA8D369}"/>
    <cellStyle name="Normal 5 8 4 2 2" xfId="8643" xr:uid="{C0749F58-314A-4641-8520-CDE79A87B790}"/>
    <cellStyle name="Normal 5 8 4 3" xfId="8644" xr:uid="{13FFD109-612C-472F-B0A0-835A590C77E0}"/>
    <cellStyle name="Normal 5 8 5" xfId="8645" xr:uid="{FA2C5E97-60D2-4BB4-8147-D2C9D70F84A2}"/>
    <cellStyle name="Normal 5 8 5 2" xfId="8646" xr:uid="{ABEBA5B3-B466-4CD9-A98A-A7EC83ADF0E8}"/>
    <cellStyle name="Normal 5 8 6" xfId="8647" xr:uid="{54B84E3A-1BC3-4DA2-BD97-5F3B45800E1F}"/>
    <cellStyle name="Normal 5 8 7" xfId="8648" xr:uid="{84C5A8A6-B7D2-42A5-ABDC-452A0DE3EA8C}"/>
    <cellStyle name="Normal 5 9" xfId="8649" xr:uid="{7E17E74A-C945-4901-866F-F41C86E36E5F}"/>
    <cellStyle name="Normal 5 9 2" xfId="8650" xr:uid="{57177A21-287E-4C2C-8957-6210FE840969}"/>
    <cellStyle name="Normal 5 9 2 2" xfId="8651" xr:uid="{46059E14-764C-411F-BEF3-49A214F651CF}"/>
    <cellStyle name="Normal 5 9 2 2 2" xfId="8652" xr:uid="{C69C7A3D-E535-4AEE-9321-76DCD915F98A}"/>
    <cellStyle name="Normal 5 9 2 3" xfId="8653" xr:uid="{392ABA84-BCAD-49B4-8957-330AAD3469C6}"/>
    <cellStyle name="Normal 5 9 2 4" xfId="8654" xr:uid="{F82C3298-D4DC-46BC-8A79-00CD45727BA2}"/>
    <cellStyle name="Normal 5 9 3" xfId="8655" xr:uid="{C145B889-DA52-4D2A-86A8-75A1EAFB9BF0}"/>
    <cellStyle name="Normal 5 9 3 2" xfId="8656" xr:uid="{3AE10848-E9BA-4F1D-920D-B563E18FC297}"/>
    <cellStyle name="Normal 5 9 3 2 2" xfId="8657" xr:uid="{FA20848D-8D2A-4865-B4BE-2CB7E3ABDB51}"/>
    <cellStyle name="Normal 5 9 3 3" xfId="8658" xr:uid="{1903419B-816D-4E58-9B87-168FFC72750F}"/>
    <cellStyle name="Normal 5 9 4" xfId="8659" xr:uid="{3DE6CE2E-1DEA-4238-BBA4-AC6D2FDA0A8D}"/>
    <cellStyle name="Normal 5 9 4 2" xfId="8660" xr:uid="{FA21FBB6-CC02-4E34-9124-66611DE15203}"/>
    <cellStyle name="Normal 5 9 4 2 2" xfId="8661" xr:uid="{C3EDFEBC-84D4-476E-AD2D-ECD98F9371AF}"/>
    <cellStyle name="Normal 5 9 4 3" xfId="8662" xr:uid="{9B27C178-8F0E-4351-A087-C67BC5FA54DA}"/>
    <cellStyle name="Normal 5 9 5" xfId="8663" xr:uid="{28051A1D-0F8B-452A-8A7D-F171A939C532}"/>
    <cellStyle name="Normal 5 9 5 2" xfId="8664" xr:uid="{30858E70-4134-4AFD-A23E-2C3C3F7DB60C}"/>
    <cellStyle name="Normal 5 9 6" xfId="8665" xr:uid="{BD96B209-24AC-48B5-BFF2-66343836287A}"/>
    <cellStyle name="Normal 5 9 7" xfId="8666" xr:uid="{1F23BCDE-2019-4D5B-B3A4-B9EB731DF210}"/>
    <cellStyle name="Normal 50" xfId="44257" xr:uid="{C4408F3F-05E6-45D4-97C1-718E09A260DE}"/>
    <cellStyle name="Normal 51" xfId="44258" xr:uid="{68B398E6-1C64-4DB2-A69A-527D65167982}"/>
    <cellStyle name="Normal 52" xfId="44259" xr:uid="{51A4970C-53C0-44E7-860B-CB4DD0964E79}"/>
    <cellStyle name="Normal 53" xfId="44260" xr:uid="{B8D1ECB6-1DD2-4452-A234-003966DC464B}"/>
    <cellStyle name="Normal 54" xfId="44269" xr:uid="{E67C4CEE-075A-46DD-A338-7D62EEF89266}"/>
    <cellStyle name="Normal 55" xfId="44271" xr:uid="{9D8AB1A0-E23B-4BB8-BB2C-DEDDCAC0ECAB}"/>
    <cellStyle name="Normal 56" xfId="44285" xr:uid="{E418FB9C-C219-4C35-A606-3A76D50AA0D2}"/>
    <cellStyle name="Normal 57" xfId="44286" xr:uid="{D7B58E37-319C-4905-9A88-7769542D5D3D}"/>
    <cellStyle name="Normal 58" xfId="44296" xr:uid="{ACDFFE5A-B721-4CA0-BFF2-B8F057BC4E94}"/>
    <cellStyle name="Normal 59" xfId="44303" xr:uid="{F4501243-EC0C-4C9F-8252-2351E96A7C4B}"/>
    <cellStyle name="Normal 6" xfId="11" xr:uid="{C094BA8E-2325-42E5-B698-AEF7F1BC3AD7}"/>
    <cellStyle name="Normal 6 2" xfId="16" xr:uid="{ADD58E74-09B5-4375-9AE1-E98D1D4A9269}"/>
    <cellStyle name="Normal 6 2 2" xfId="8667" xr:uid="{D758FED1-953F-434F-8662-7F630EE9FDDE}"/>
    <cellStyle name="Normal 6 2 3" xfId="44179" xr:uid="{D0C82B60-6AC8-43D7-B31A-FEC26CB720E2}"/>
    <cellStyle name="Normal 6 2 4" xfId="2067" xr:uid="{09917A42-7152-478E-849C-D320428D165D}"/>
    <cellStyle name="Normal 6 3" xfId="34" xr:uid="{EB4FD03C-D5CA-47E4-A153-A74F2A5C7ADB}"/>
    <cellStyle name="Normal 6 3 2" xfId="8668" xr:uid="{00D0E447-A542-45FE-B2FE-A7D1DE13F91E}"/>
    <cellStyle name="Normal 60" xfId="44304" xr:uid="{29504DE7-5C3E-4236-BD5F-8F8880496F76}"/>
    <cellStyle name="Normal 61" xfId="44306" xr:uid="{5C597496-F31B-4DBD-BCBB-D74A8060988E}"/>
    <cellStyle name="Normal 62" xfId="44556" xr:uid="{70CAD0D6-CA20-4080-988D-2C326E208FAA}"/>
    <cellStyle name="Normal 63" xfId="44557" xr:uid="{3B9ECE27-8378-4058-813B-28C6D7666824}"/>
    <cellStyle name="Normal 64" xfId="44558" xr:uid="{CFE33292-B850-4FB4-BC73-FC3F910FD36B}"/>
    <cellStyle name="Normal 65" xfId="44559" xr:uid="{C72F03C9-DD7A-46FE-B443-DBCF176BBD10}"/>
    <cellStyle name="Normal 66" xfId="44560" xr:uid="{A130E7E2-761A-4A03-9856-98C19709A21B}"/>
    <cellStyle name="Normal 67" xfId="44561" xr:uid="{ADFB9B14-7328-45D7-9A60-07237502897B}"/>
    <cellStyle name="Normal 68" xfId="44562" xr:uid="{DD4364C4-1E30-4A71-B495-5FEAA336D91F}"/>
    <cellStyle name="Normal 69" xfId="44563" xr:uid="{2A917266-A187-4C65-9741-55961ED77BFC}"/>
    <cellStyle name="Normal 7" xfId="21" xr:uid="{68F62D5C-A3D5-4EDC-B94B-45A38ABF415F}"/>
    <cellStyle name="Normal 7 10" xfId="8669" xr:uid="{D72298AC-1B87-496A-867D-467B4670E044}"/>
    <cellStyle name="Normal 7 11" xfId="8670" xr:uid="{978D71AF-DB09-4275-A23B-1C28AD6BFB69}"/>
    <cellStyle name="Normal 7 12" xfId="8671" xr:uid="{736684E1-8E0E-4ABE-B350-B3F5BC7833CD}"/>
    <cellStyle name="Normal 7 13" xfId="8672" xr:uid="{F29911AC-5006-4815-9460-4A72D261CD21}"/>
    <cellStyle name="Normal 7 14" xfId="8673" xr:uid="{F38D1A90-0651-4A90-AA53-0CB739E5D9D7}"/>
    <cellStyle name="Normal 7 15" xfId="8674" xr:uid="{6E930A6E-6611-4E01-82A3-5F0BDB3FB4ED}"/>
    <cellStyle name="Normal 7 16" xfId="8675" xr:uid="{49FB2A06-5235-4292-AC1A-86463CE1FEF1}"/>
    <cellStyle name="Normal 7 17" xfId="8676" xr:uid="{E6D21B71-0F0F-43C8-A443-34BF41B09C2D}"/>
    <cellStyle name="Normal 7 18" xfId="8677" xr:uid="{D79BC0F3-5D88-4666-8FBB-910A6DCB5014}"/>
    <cellStyle name="Normal 7 19" xfId="8678" xr:uid="{D7ECA48F-E22C-4099-8306-93C18238CD4F}"/>
    <cellStyle name="Normal 7 2" xfId="37" xr:uid="{8664EA22-B3FA-439F-A8D4-3B09A65A5E3E}"/>
    <cellStyle name="Normal 7 2 10" xfId="8679" xr:uid="{D8AACF59-CD55-4D79-9B0D-D3C42676ADF5}"/>
    <cellStyle name="Normal 7 2 11" xfId="8680" xr:uid="{9FB5F24A-580A-4717-9E1A-013802DB7615}"/>
    <cellStyle name="Normal 7 2 12" xfId="8681" xr:uid="{622DA86A-D360-4CF2-80AB-2028EB8FC32B}"/>
    <cellStyle name="Normal 7 2 13" xfId="8682" xr:uid="{B892D749-2206-41E7-890C-6E61FD8B3C03}"/>
    <cellStyle name="Normal 7 2 14" xfId="8683" xr:uid="{45C27F2F-DCF5-4F90-AD39-E1E231263EE1}"/>
    <cellStyle name="Normal 7 2 15" xfId="8684" xr:uid="{D22EBFCE-B166-4514-AB5C-020D52808E95}"/>
    <cellStyle name="Normal 7 2 16" xfId="8685" xr:uid="{3661A89E-988E-4C61-A73B-C75DD99B8FE0}"/>
    <cellStyle name="Normal 7 2 17" xfId="8686" xr:uid="{127FB5EA-EBAC-4E05-BE95-461DDDFDEB7F}"/>
    <cellStyle name="Normal 7 2 18" xfId="8687" xr:uid="{957A72DA-B01F-4119-8926-7C2D34C9A106}"/>
    <cellStyle name="Normal 7 2 19" xfId="8688" xr:uid="{0BEE776D-2C74-43BD-9476-303E8F0F326C}"/>
    <cellStyle name="Normal 7 2 2" xfId="8689" xr:uid="{1B48E77E-55FE-4139-ACE2-67D0FE8D70CC}"/>
    <cellStyle name="Normal 7 2 2 2" xfId="8690" xr:uid="{611A996B-133B-4D04-81F2-0E4A23B24350}"/>
    <cellStyle name="Normal 7 2 2 3" xfId="8691" xr:uid="{79FF8DA4-FD26-4258-97B4-6DBE2D8B858F}"/>
    <cellStyle name="Normal 7 2 2 3 2" xfId="31647" xr:uid="{8D89D829-02C3-44D1-A0C2-5026634AF8D7}"/>
    <cellStyle name="Normal 7 2 2 4" xfId="8692" xr:uid="{D6F61078-B280-4EFB-908F-B12AF06CCAC9}"/>
    <cellStyle name="Normal 7 2 2 4 2" xfId="31648" xr:uid="{7030ED5F-D585-4D5E-8B6E-BE04514A8C50}"/>
    <cellStyle name="Normal 7 2 2 5" xfId="8693" xr:uid="{10F1890B-EC0E-4E11-A272-FD684FF501B2}"/>
    <cellStyle name="Normal 7 2 20" xfId="9761" xr:uid="{5BD04DBD-59AB-40F3-841C-DF0BCF85FB92}"/>
    <cellStyle name="Normal 7 2 21" xfId="44181" xr:uid="{82BFD113-791C-4AE0-8853-20CFE031A65A}"/>
    <cellStyle name="Normal 7 2 3" xfId="8694" xr:uid="{C4C2B671-3780-48F3-A618-3872A8322F45}"/>
    <cellStyle name="Normal 7 2 3 2" xfId="8695" xr:uid="{FFA17CCD-75B8-4708-9757-6675627AEAEC}"/>
    <cellStyle name="Normal 7 2 3 2 2" xfId="8696" xr:uid="{41308B4F-1FF5-42C2-89EA-D14241A506DD}"/>
    <cellStyle name="Normal 7 2 3 2 2 2" xfId="8697" xr:uid="{E03AD791-E1A9-4590-A5B0-A652B2A8E12D}"/>
    <cellStyle name="Normal 7 2 3 2 2 2 2" xfId="31649" xr:uid="{46FE8E88-6B5E-43B2-9400-A13191B452C0}"/>
    <cellStyle name="Normal 7 2 3 2 2 3" xfId="31650" xr:uid="{227DAC6B-B410-4450-85AD-9BCFD5EC5FF5}"/>
    <cellStyle name="Normal 7 2 3 2 3" xfId="8698" xr:uid="{1F41B348-72BE-4BFF-B8E5-EE413D498A01}"/>
    <cellStyle name="Normal 7 2 3 2 3 2" xfId="31651" xr:uid="{D6BE5572-7A42-4FEA-A167-DCFF95F942EE}"/>
    <cellStyle name="Normal 7 2 3 2 4" xfId="8699" xr:uid="{23D65470-76A6-49DF-AF6A-0042C35E1EC6}"/>
    <cellStyle name="Normal 7 2 3 2 4 2" xfId="31652" xr:uid="{39496B91-2F8C-4413-8B8C-E801D7B48166}"/>
    <cellStyle name="Normal 7 2 3 2 5" xfId="31653" xr:uid="{BC82E2DD-B817-4C46-A1FC-F1BE89F840C6}"/>
    <cellStyle name="Normal 7 2 3 3" xfId="8700" xr:uid="{E82071DB-D0AF-42E0-89B9-C8177893C19D}"/>
    <cellStyle name="Normal 7 2 3 3 2" xfId="8701" xr:uid="{F0C99297-7424-4DF0-9475-65E24ED04A61}"/>
    <cellStyle name="Normal 7 2 3 3 2 2" xfId="8702" xr:uid="{F8CAFEFC-448D-4377-8ECD-5F5AF9C1430B}"/>
    <cellStyle name="Normal 7 2 3 3 2 2 2" xfId="31654" xr:uid="{EA007B84-9631-46D8-964B-0C58149BB976}"/>
    <cellStyle name="Normal 7 2 3 3 2 3" xfId="31655" xr:uid="{0741E6C0-9D0C-43F4-9990-0CDAD9468428}"/>
    <cellStyle name="Normal 7 2 3 3 3" xfId="8703" xr:uid="{1524D47C-AD94-445F-868B-9B33FD40A3F9}"/>
    <cellStyle name="Normal 7 2 3 3 3 2" xfId="31656" xr:uid="{1B3B1CBB-8025-496C-B51D-0B61415FDC10}"/>
    <cellStyle name="Normal 7 2 3 3 4" xfId="8704" xr:uid="{63513B54-B661-4099-9A50-2F8E2A991528}"/>
    <cellStyle name="Normal 7 2 3 3 4 2" xfId="31657" xr:uid="{FBF86D63-9789-474F-970F-355C9326E07B}"/>
    <cellStyle name="Normal 7 2 3 3 5" xfId="31658" xr:uid="{99785944-AF48-4750-A7A5-6C7C358A62B4}"/>
    <cellStyle name="Normal 7 2 3 4" xfId="8705" xr:uid="{BEB532B5-C7AA-490E-9F57-9C0AFAD54532}"/>
    <cellStyle name="Normal 7 2 3 4 2" xfId="8706" xr:uid="{C9A770E5-1B6F-4731-9CB7-1DBC9D42E77C}"/>
    <cellStyle name="Normal 7 2 3 4 2 2" xfId="31659" xr:uid="{49B7D23F-0709-49CD-869E-EF5D8235244E}"/>
    <cellStyle name="Normal 7 2 3 4 3" xfId="31660" xr:uid="{05C19490-7248-45ED-9E9B-FEB898B6A077}"/>
    <cellStyle name="Normal 7 2 3 5" xfId="8707" xr:uid="{6298866D-BA16-4937-9AE2-D935FE3C857D}"/>
    <cellStyle name="Normal 7 2 3 5 2" xfId="8708" xr:uid="{9F48B03A-CDEA-4445-B312-A97BFA6F8F8C}"/>
    <cellStyle name="Normal 7 2 3 5 2 2" xfId="31661" xr:uid="{47DBD983-8822-4B0B-96A4-E0314ABEE7C8}"/>
    <cellStyle name="Normal 7 2 3 5 3" xfId="31662" xr:uid="{37CB0ABE-7E52-4EEE-A63B-FEF039F7AEFC}"/>
    <cellStyle name="Normal 7 2 3 6" xfId="8709" xr:uid="{5D22E472-DDD3-4878-ACB6-A35C2662B243}"/>
    <cellStyle name="Normal 7 2 3 6 2" xfId="31663" xr:uid="{38E6BBF8-F8CF-4B5B-9C36-F07203AB937A}"/>
    <cellStyle name="Normal 7 2 3 7" xfId="8710" xr:uid="{FFCED97A-A7C9-4BBE-86DB-374BB84FE415}"/>
    <cellStyle name="Normal 7 2 3 7 2" xfId="31664" xr:uid="{E6E316B8-8130-4796-8205-E2321E8778DD}"/>
    <cellStyle name="Normal 7 2 3 8" xfId="31665" xr:uid="{E4DD7538-563B-4BD1-AB5F-5A261617F3CF}"/>
    <cellStyle name="Normal 7 2 4" xfId="8711" xr:uid="{7CECE9DB-F25A-474F-A405-FF95064ED691}"/>
    <cellStyle name="Normal 7 2 5" xfId="8712" xr:uid="{1BC8B645-8B19-4457-A6A7-0526732D747E}"/>
    <cellStyle name="Normal 7 2 6" xfId="8713" xr:uid="{AFD22DFE-2C5E-4201-AFD2-4C3C4AC19D6E}"/>
    <cellStyle name="Normal 7 2 7" xfId="8714" xr:uid="{AE638234-1767-427D-B299-5258EDBDE6A5}"/>
    <cellStyle name="Normal 7 2 8" xfId="8715" xr:uid="{60869648-FCC3-4459-8626-9516A25789A0}"/>
    <cellStyle name="Normal 7 2 9" xfId="8716" xr:uid="{477D94F1-301C-4472-A202-518053F21E45}"/>
    <cellStyle name="Normal 7 20" xfId="8717" xr:uid="{0445DADA-CBBD-42B7-9707-C369F3137BCC}"/>
    <cellStyle name="Normal 7 21" xfId="44180" xr:uid="{2C37E4E3-0A0A-4331-954A-C12D94BC9F93}"/>
    <cellStyle name="Normal 7 22" xfId="52" xr:uid="{E826AAA5-40BC-4F91-BA18-9CA716007707}"/>
    <cellStyle name="Normal 7 3" xfId="68" xr:uid="{AA296A2A-93C4-420C-B4DB-1E00AB7B00D1}"/>
    <cellStyle name="Normal 7 3 2" xfId="8718" xr:uid="{D9C4CFB2-D7EA-4C13-ADFF-DBF16836BEFC}"/>
    <cellStyle name="Normal 7 3 2 2" xfId="8719" xr:uid="{F07B3C52-72A7-4686-A6CB-A913D5FFB61B}"/>
    <cellStyle name="Normal 7 3 2 3" xfId="8720" xr:uid="{79DCC989-5E37-4EC6-B0B9-6E597ECF87D4}"/>
    <cellStyle name="Normal 7 3 3" xfId="8721" xr:uid="{8EDB9532-45D0-478F-A950-9FA5D907B148}"/>
    <cellStyle name="Normal 7 3 4" xfId="8722" xr:uid="{D309EE52-E107-45F0-B4C4-3A73F0A50D41}"/>
    <cellStyle name="Normal 7 3 5" xfId="8723" xr:uid="{F23F590B-0367-4E28-8094-C738E3B55BAA}"/>
    <cellStyle name="Normal 7 3 6" xfId="8724" xr:uid="{1BC405EE-138F-45FF-B3CF-11EA06DD6022}"/>
    <cellStyle name="Normal 7 4" xfId="8725" xr:uid="{084C67F8-A929-44BF-8148-B339FF248FB6}"/>
    <cellStyle name="Normal 7 4 10" xfId="8726" xr:uid="{59A9F75A-34EB-455B-BAD8-A10ABDA78033}"/>
    <cellStyle name="Normal 7 4 10 2" xfId="8727" xr:uid="{B2CDAD7C-56C3-4352-A689-F033FA4EF466}"/>
    <cellStyle name="Normal 7 4 11" xfId="8728" xr:uid="{01E8E8C4-7332-4616-A0CD-09F3D1172D63}"/>
    <cellStyle name="Normal 7 4 12" xfId="8729" xr:uid="{81EB5486-1D1C-4CBD-8457-82327751000C}"/>
    <cellStyle name="Normal 7 4 2" xfId="8730" xr:uid="{6A30B83E-62B3-4BBB-BA57-3F0E9DB1E3AE}"/>
    <cellStyle name="Normal 7 4 2 10" xfId="8731" xr:uid="{87A12E33-598F-4FF7-9DE7-F9645680502F}"/>
    <cellStyle name="Normal 7 4 2 2" xfId="8732" xr:uid="{7B672365-BCBE-4C6B-A81B-901EEF6B649E}"/>
    <cellStyle name="Normal 7 4 2 2 2" xfId="8733" xr:uid="{EDF6D4F0-F3DC-40D1-8068-35B106522E14}"/>
    <cellStyle name="Normal 7 4 2 2 2 2" xfId="8734" xr:uid="{6C60A4B4-E994-457B-AC36-AD4B1F97BD95}"/>
    <cellStyle name="Normal 7 4 2 2 3" xfId="8735" xr:uid="{C6FCA2E5-259E-4BB3-81FC-6128FE5D3EAE}"/>
    <cellStyle name="Normal 7 4 2 2 4" xfId="8736" xr:uid="{B78BB5AB-9D26-452A-9AB1-82E141B814D2}"/>
    <cellStyle name="Normal 7 4 2 3" xfId="8737" xr:uid="{C7E0C948-802A-4061-BA2C-FB17C7AC189D}"/>
    <cellStyle name="Normal 7 4 2 3 2" xfId="8738" xr:uid="{5432B7A5-C6BC-45BE-971F-5F12E0806E9C}"/>
    <cellStyle name="Normal 7 4 2 3 2 2" xfId="8739" xr:uid="{B125AC20-431A-415F-B3D5-E390D626BD54}"/>
    <cellStyle name="Normal 7 4 2 3 3" xfId="8740" xr:uid="{CF91E4AC-7F7C-41C1-9559-0839A0FFA2FB}"/>
    <cellStyle name="Normal 7 4 2 4" xfId="8741" xr:uid="{95657795-D214-411F-A054-FF52DEAF35D9}"/>
    <cellStyle name="Normal 7 4 2 4 2" xfId="8742" xr:uid="{F6D47C53-9920-403C-BBF4-2DC307AD9A62}"/>
    <cellStyle name="Normal 7 4 2 4 2 2" xfId="8743" xr:uid="{E62F65D3-DFAE-4303-9F71-F1C4B3460E27}"/>
    <cellStyle name="Normal 7 4 2 4 3" xfId="8744" xr:uid="{1E1A2C05-60E8-41C1-AFC0-5A4767B8F245}"/>
    <cellStyle name="Normal 7 4 2 5" xfId="8745" xr:uid="{560DF3E9-104B-494C-98D6-04D84F6E2013}"/>
    <cellStyle name="Normal 7 4 2 5 2" xfId="8746" xr:uid="{5E3C3052-FF28-4207-BF14-80CB45A44FB3}"/>
    <cellStyle name="Normal 7 4 2 5 2 2" xfId="8747" xr:uid="{CBAC1233-01E9-482E-A241-33C1DF3F6D75}"/>
    <cellStyle name="Normal 7 4 2 5 3" xfId="8748" xr:uid="{6D3C14BB-9EA5-47F3-8329-7032AA716A8B}"/>
    <cellStyle name="Normal 7 4 2 6" xfId="8749" xr:uid="{F2A1C577-3C28-4172-A300-EE1B40BEF00E}"/>
    <cellStyle name="Normal 7 4 2 6 2" xfId="8750" xr:uid="{A4954140-DC27-4B0E-8C72-3B0C29871D6C}"/>
    <cellStyle name="Normal 7 4 2 6 2 2" xfId="8751" xr:uid="{F2956761-C14B-44F5-B551-321C5FD89CCC}"/>
    <cellStyle name="Normal 7 4 2 6 3" xfId="8752" xr:uid="{F4C585C6-4BD3-44BC-929C-44F6285B9DAA}"/>
    <cellStyle name="Normal 7 4 2 7" xfId="8753" xr:uid="{202FF05D-3A2D-48E2-95EB-D981F63665F1}"/>
    <cellStyle name="Normal 7 4 2 7 2" xfId="8754" xr:uid="{BD981F8E-A82A-4007-A130-2B5C826D08BB}"/>
    <cellStyle name="Normal 7 4 2 7 2 2" xfId="8755" xr:uid="{B97B4335-5BA9-4F03-906D-D47E96FEC0A8}"/>
    <cellStyle name="Normal 7 4 2 7 3" xfId="8756" xr:uid="{97F880DE-D2FF-4AA1-A2D0-759EB2A88835}"/>
    <cellStyle name="Normal 7 4 2 8" xfId="8757" xr:uid="{DD9E7F57-6232-46D8-8E62-9196CF34752B}"/>
    <cellStyle name="Normal 7 4 2 8 2" xfId="8758" xr:uid="{B100833E-2B87-46D6-9A8C-A68FB15AB9D2}"/>
    <cellStyle name="Normal 7 4 2 9" xfId="8759" xr:uid="{F3709E97-69DB-4E54-8DAA-95B27B5E3585}"/>
    <cellStyle name="Normal 7 4 3" xfId="8760" xr:uid="{67711374-4D5D-42AD-A083-5C3C54075855}"/>
    <cellStyle name="Normal 7 4 3 10" xfId="8761" xr:uid="{C5799012-1B48-4F21-AF6C-3FA6B77FA1A1}"/>
    <cellStyle name="Normal 7 4 3 2" xfId="8762" xr:uid="{E88E3C83-8BBA-4E05-9D6A-99DD9E4DB2E0}"/>
    <cellStyle name="Normal 7 4 3 2 2" xfId="8763" xr:uid="{5A829E06-6EFD-4D89-AFDD-4AC99B81638D}"/>
    <cellStyle name="Normal 7 4 3 2 2 2" xfId="8764" xr:uid="{DA385D04-0CAE-4E8C-89C2-3186EAA512F8}"/>
    <cellStyle name="Normal 7 4 3 2 3" xfId="8765" xr:uid="{B0F866F0-6CEF-44F3-8294-33B4F6D39CB0}"/>
    <cellStyle name="Normal 7 4 3 2 4" xfId="8766" xr:uid="{CAE5A07B-72DE-420F-8C5D-137B3B3C0A71}"/>
    <cellStyle name="Normal 7 4 3 3" xfId="8767" xr:uid="{9C023D75-A72D-40E1-8D65-BF88A456B3F5}"/>
    <cellStyle name="Normal 7 4 3 3 2" xfId="8768" xr:uid="{E496D648-9F9B-44CD-8470-A0FF118583EC}"/>
    <cellStyle name="Normal 7 4 3 3 2 2" xfId="8769" xr:uid="{D9474DA6-E500-4211-8F7E-DAE6165A3E40}"/>
    <cellStyle name="Normal 7 4 3 3 3" xfId="8770" xr:uid="{CBEC200D-5CCE-470F-AB8C-D0D602EB7F5B}"/>
    <cellStyle name="Normal 7 4 3 4" xfId="8771" xr:uid="{B34368C3-DB13-4590-AAEF-9D283D593060}"/>
    <cellStyle name="Normal 7 4 3 4 2" xfId="8772" xr:uid="{A774E128-D85D-4451-A000-94CDCAE25F7F}"/>
    <cellStyle name="Normal 7 4 3 4 2 2" xfId="8773" xr:uid="{394B75E6-C3EE-4ACD-90C3-966DE6F6BEB8}"/>
    <cellStyle name="Normal 7 4 3 4 3" xfId="8774" xr:uid="{12116ED8-7E3A-48DF-B413-CACC9B1374D8}"/>
    <cellStyle name="Normal 7 4 3 5" xfId="8775" xr:uid="{1B6D279E-A78F-4C3A-AE1B-13A20A54F1DD}"/>
    <cellStyle name="Normal 7 4 3 5 2" xfId="8776" xr:uid="{EB1ADF46-DF3B-43AA-A818-A7AEFC2608CD}"/>
    <cellStyle name="Normal 7 4 3 5 2 2" xfId="8777" xr:uid="{0FB9EB54-B607-4C09-9FE3-5417F14C2C0C}"/>
    <cellStyle name="Normal 7 4 3 5 3" xfId="8778" xr:uid="{F9FFC279-F3E2-4B55-BB9E-F06B96044F92}"/>
    <cellStyle name="Normal 7 4 3 6" xfId="8779" xr:uid="{CB7ACAAF-F313-49E7-A468-6D2FEF682D37}"/>
    <cellStyle name="Normal 7 4 3 6 2" xfId="8780" xr:uid="{F821BEA0-750D-46E9-855C-600A29697689}"/>
    <cellStyle name="Normal 7 4 3 6 2 2" xfId="8781" xr:uid="{6F8DEC66-DC5A-4AD3-BD9F-27A253111C87}"/>
    <cellStyle name="Normal 7 4 3 6 3" xfId="8782" xr:uid="{91D1BE08-7DDE-4CF1-BF72-D188A9065BE2}"/>
    <cellStyle name="Normal 7 4 3 7" xfId="8783" xr:uid="{B89BACB7-C7D8-46FF-B148-3826B271EB98}"/>
    <cellStyle name="Normal 7 4 3 7 2" xfId="8784" xr:uid="{CA8F8606-363D-4F6C-B4A4-47979C4326AE}"/>
    <cellStyle name="Normal 7 4 3 7 2 2" xfId="8785" xr:uid="{3C602A75-07AE-4BF4-B25E-9237C72B2E72}"/>
    <cellStyle name="Normal 7 4 3 7 3" xfId="8786" xr:uid="{A5407A95-DF64-445B-99AD-05946C637F91}"/>
    <cellStyle name="Normal 7 4 3 8" xfId="8787" xr:uid="{FD89D9E3-5D85-4BE5-9A7A-EEFB00A8DF21}"/>
    <cellStyle name="Normal 7 4 3 8 2" xfId="8788" xr:uid="{DD21E7BF-01F2-4DA4-81C4-14844830041D}"/>
    <cellStyle name="Normal 7 4 3 9" xfId="8789" xr:uid="{6D62D34F-AD3E-402A-AFF1-93F67DEDD9B9}"/>
    <cellStyle name="Normal 7 4 4" xfId="8790" xr:uid="{B61EB37C-6ADE-481A-8AE3-6E23DED5D482}"/>
    <cellStyle name="Normal 7 4 4 2" xfId="8791" xr:uid="{230B1BA4-8FA2-41C3-8E64-8E82D8412787}"/>
    <cellStyle name="Normal 7 4 4 2 2" xfId="8792" xr:uid="{702F9742-AC84-47A9-B0BF-4EFCEC58B0F1}"/>
    <cellStyle name="Normal 7 4 4 3" xfId="8793" xr:uid="{92FD96DC-8FCD-4CCC-9105-729779D2A5C5}"/>
    <cellStyle name="Normal 7 4 4 4" xfId="8794" xr:uid="{3A76D291-E674-4014-AF93-A1D1F6A68CB7}"/>
    <cellStyle name="Normal 7 4 5" xfId="8795" xr:uid="{290EBFFD-CC80-4F29-8985-41020C011739}"/>
    <cellStyle name="Normal 7 4 5 2" xfId="8796" xr:uid="{AFBF5FD4-C32C-4A02-B36F-F52473F8AB03}"/>
    <cellStyle name="Normal 7 4 5 2 2" xfId="8797" xr:uid="{F4F99B6B-C6D8-49FB-B94E-2C3F262BF205}"/>
    <cellStyle name="Normal 7 4 5 3" xfId="8798" xr:uid="{C1D9E8FD-3B13-4B95-AD64-3A6779F178E3}"/>
    <cellStyle name="Normal 7 4 6" xfId="8799" xr:uid="{2ED88F58-28F3-4EA2-A898-2C9FE572A7BF}"/>
    <cellStyle name="Normal 7 4 6 2" xfId="8800" xr:uid="{003AF422-C8C9-4C39-B021-7F2477455181}"/>
    <cellStyle name="Normal 7 4 6 2 2" xfId="8801" xr:uid="{B1D09AF7-BF3B-4C57-9530-04462E10DC8F}"/>
    <cellStyle name="Normal 7 4 6 3" xfId="8802" xr:uid="{5213055B-7E35-48D8-AAA3-76B7E8EACD82}"/>
    <cellStyle name="Normal 7 4 7" xfId="8803" xr:uid="{FEFC78E8-69E1-4717-BC0B-0DCC9A7F25EE}"/>
    <cellStyle name="Normal 7 4 7 2" xfId="8804" xr:uid="{A05CE9C5-21D5-4AF3-9B41-158E79CC9E15}"/>
    <cellStyle name="Normal 7 4 7 2 2" xfId="8805" xr:uid="{5E6FD82E-DF67-4B27-8B9F-3FD6500A0485}"/>
    <cellStyle name="Normal 7 4 7 3" xfId="8806" xr:uid="{065A6FDD-C780-400E-AC2C-C0A08E366C7D}"/>
    <cellStyle name="Normal 7 4 8" xfId="8807" xr:uid="{7884A670-58E7-41B2-8FF7-D06617BE3E11}"/>
    <cellStyle name="Normal 7 4 8 2" xfId="8808" xr:uid="{A5D3CA1F-8D21-4A1A-B416-DD3D4E4C45C0}"/>
    <cellStyle name="Normal 7 4 8 2 2" xfId="8809" xr:uid="{9DD69435-CF15-452A-8B3F-32FA6A197340}"/>
    <cellStyle name="Normal 7 4 8 3" xfId="8810" xr:uid="{D7A088E8-9284-46A3-AC5E-2935FEE248E3}"/>
    <cellStyle name="Normal 7 4 9" xfId="8811" xr:uid="{9D5788EB-6CAC-4561-B936-3DD6A9EEDE49}"/>
    <cellStyle name="Normal 7 4 9 2" xfId="8812" xr:uid="{E4DDC76B-66E1-4107-AD97-E4D9355C0903}"/>
    <cellStyle name="Normal 7 4 9 2 2" xfId="8813" xr:uid="{5F5EB6F9-D2DD-487B-BC9D-A3340DAD6371}"/>
    <cellStyle name="Normal 7 4 9 3" xfId="8814" xr:uid="{B67F55C2-BB8F-4E5A-8F38-305BD96516E0}"/>
    <cellStyle name="Normal 7 5" xfId="8815" xr:uid="{804AE4C2-CDA6-495F-AD3E-34A554E8EDA9}"/>
    <cellStyle name="Normal 7 5 10" xfId="8816" xr:uid="{81FA5166-17EB-42D2-895E-0FAEC9D9454F}"/>
    <cellStyle name="Normal 7 5 2" xfId="8817" xr:uid="{18E935EF-E377-4DE3-9C7E-B5F5078FE62A}"/>
    <cellStyle name="Normal 7 5 2 2" xfId="8818" xr:uid="{FF5ED835-FAC1-478F-B1F6-4888FAC70D30}"/>
    <cellStyle name="Normal 7 5 2 2 2" xfId="8819" xr:uid="{252C5DCD-031E-40B0-8E03-51CFFDFC6FE9}"/>
    <cellStyle name="Normal 7 5 2 3" xfId="8820" xr:uid="{45FBB650-D5D6-4204-BB5E-1F0722F69A4B}"/>
    <cellStyle name="Normal 7 5 2 4" xfId="8821" xr:uid="{0F1AFCED-D657-407E-95E8-70DD23253964}"/>
    <cellStyle name="Normal 7 5 3" xfId="8822" xr:uid="{465DD67E-9079-4AA1-A716-0E1806F02E7A}"/>
    <cellStyle name="Normal 7 5 3 2" xfId="8823" xr:uid="{2AF0ABC5-33CE-43C1-9EA7-C702D1FA028F}"/>
    <cellStyle name="Normal 7 5 3 2 2" xfId="8824" xr:uid="{8F8F0188-1DDB-46F8-B603-34CAC8B4B3FD}"/>
    <cellStyle name="Normal 7 5 3 3" xfId="8825" xr:uid="{43C32157-724B-47C9-AB5E-64178D392388}"/>
    <cellStyle name="Normal 7 5 4" xfId="8826" xr:uid="{62FB8811-6CCF-4146-A4A2-4374D1C98B2A}"/>
    <cellStyle name="Normal 7 5 4 2" xfId="8827" xr:uid="{AA406CAA-450A-463C-8C32-F4580FE77382}"/>
    <cellStyle name="Normal 7 5 4 2 2" xfId="8828" xr:uid="{DA9909D3-B79E-4788-A769-80CC4F92C2B5}"/>
    <cellStyle name="Normal 7 5 4 3" xfId="8829" xr:uid="{6D009D0F-E95E-4EF0-A30F-3564D00F1250}"/>
    <cellStyle name="Normal 7 5 5" xfId="8830" xr:uid="{E7680C34-52B9-4722-932B-8C18D1D35517}"/>
    <cellStyle name="Normal 7 5 5 2" xfId="8831" xr:uid="{CAEE092C-072E-4E7F-8415-307FAD64B1AE}"/>
    <cellStyle name="Normal 7 5 5 2 2" xfId="8832" xr:uid="{ED8E2F2A-ECCB-4224-BA4F-F1A51A98B974}"/>
    <cellStyle name="Normal 7 5 5 3" xfId="8833" xr:uid="{AC6B0BC5-ADBA-4FB6-A347-26930A146FC4}"/>
    <cellStyle name="Normal 7 5 6" xfId="8834" xr:uid="{CDE07B09-A31A-4098-A15B-A3E8D34388B8}"/>
    <cellStyle name="Normal 7 5 6 2" xfId="8835" xr:uid="{291046DC-055F-4E4C-8F36-4A940459841F}"/>
    <cellStyle name="Normal 7 5 6 2 2" xfId="8836" xr:uid="{2C621B84-55B0-4646-8275-751B1DE9A1BB}"/>
    <cellStyle name="Normal 7 5 6 3" xfId="8837" xr:uid="{F89AF7A9-97C2-47D9-9AA9-03D793E98887}"/>
    <cellStyle name="Normal 7 5 7" xfId="8838" xr:uid="{3BDBFE80-A73E-43B3-9201-88215CFCEB11}"/>
    <cellStyle name="Normal 7 5 7 2" xfId="8839" xr:uid="{B81446AD-FFF6-4A11-A6DB-BB8B114038EA}"/>
    <cellStyle name="Normal 7 5 7 2 2" xfId="8840" xr:uid="{05C83224-5EBC-473E-8CE5-CB6BF40B4C6A}"/>
    <cellStyle name="Normal 7 5 7 3" xfId="8841" xr:uid="{093EFAB7-5CD5-4A7C-BA38-FEAC3EE7C714}"/>
    <cellStyle name="Normal 7 5 8" xfId="8842" xr:uid="{A5AB6E52-DAAB-4F3F-859A-B4BB06899BFB}"/>
    <cellStyle name="Normal 7 5 8 2" xfId="8843" xr:uid="{698FC420-39CD-47FC-8E5C-A27D28645317}"/>
    <cellStyle name="Normal 7 5 9" xfId="8844" xr:uid="{1C192DF5-8A2B-417C-9526-A7D26C078514}"/>
    <cellStyle name="Normal 7 6" xfId="8845" xr:uid="{E7B6C2DC-519C-4DD5-9657-DF8EBBA9E8FE}"/>
    <cellStyle name="Normal 7 6 2" xfId="8846" xr:uid="{628DF478-8035-409A-BABF-80AA0A6162F1}"/>
    <cellStyle name="Normal 7 7" xfId="8847" xr:uid="{410C0C6C-169F-4898-8042-A308A693DD1E}"/>
    <cellStyle name="Normal 7 7 2" xfId="8848" xr:uid="{69A79F8B-8039-49B7-B681-B152B7CF3CAC}"/>
    <cellStyle name="Normal 7 7 2 2" xfId="8849" xr:uid="{7496F647-05DE-4917-A55E-6BD6ECF6F755}"/>
    <cellStyle name="Normal 7 7 2 2 2" xfId="8850" xr:uid="{4BC7B944-5E92-40F9-AEA0-06F9D2EDFFB5}"/>
    <cellStyle name="Normal 7 7 2 2 2 2" xfId="31666" xr:uid="{2903B856-F1A3-4A15-966D-85C953EC34A1}"/>
    <cellStyle name="Normal 7 7 2 2 3" xfId="31667" xr:uid="{8C9D4D6E-2204-48D1-A149-D164FAFA1CD5}"/>
    <cellStyle name="Normal 7 7 2 3" xfId="8851" xr:uid="{E2177012-8933-45E3-BB67-E5782A3D224A}"/>
    <cellStyle name="Normal 7 7 2 3 2" xfId="31668" xr:uid="{B43473A2-F829-48BD-A2C3-BABAD201BAFD}"/>
    <cellStyle name="Normal 7 7 2 4" xfId="8852" xr:uid="{A1265B19-5D90-463B-8C1C-3AF5737FD4C9}"/>
    <cellStyle name="Normal 7 7 2 4 2" xfId="31669" xr:uid="{564C465A-09AC-4393-A47E-5DC09581871A}"/>
    <cellStyle name="Normal 7 7 2 5" xfId="31670" xr:uid="{C60DAC92-0E9E-4E03-BDD9-256985094C5F}"/>
    <cellStyle name="Normal 7 7 3" xfId="8853" xr:uid="{30F1CA65-B4D3-48A9-9341-D7268E3C9B05}"/>
    <cellStyle name="Normal 7 7 3 2" xfId="8854" xr:uid="{C468E9B4-74D0-4F00-A6A4-44154ECD0DB3}"/>
    <cellStyle name="Normal 7 7 3 2 2" xfId="8855" xr:uid="{8AF58EB7-18C0-4695-A825-214694396E3A}"/>
    <cellStyle name="Normal 7 7 3 2 2 2" xfId="31671" xr:uid="{146893CE-A1FE-438D-9CE5-5D050ED6CFA8}"/>
    <cellStyle name="Normal 7 7 3 2 3" xfId="31672" xr:uid="{19B63D0E-CD59-4EB3-A53E-CE22C112BB98}"/>
    <cellStyle name="Normal 7 7 3 3" xfId="8856" xr:uid="{431F699B-2CA2-4112-A4CA-2B1E408A6C3E}"/>
    <cellStyle name="Normal 7 7 3 3 2" xfId="31673" xr:uid="{1C176CE9-355A-408C-A55D-349D3938F2DE}"/>
    <cellStyle name="Normal 7 7 3 4" xfId="8857" xr:uid="{52DB3C54-AD0D-4DAD-B5DD-8F780B1FF09C}"/>
    <cellStyle name="Normal 7 7 3 4 2" xfId="31674" xr:uid="{51FAB345-A193-4C04-8728-DAB2036F0994}"/>
    <cellStyle name="Normal 7 7 3 5" xfId="31675" xr:uid="{D8F8ABC5-E42C-483F-BA03-437EAC3650C3}"/>
    <cellStyle name="Normal 7 7 4" xfId="8858" xr:uid="{F53FC9E6-D64C-4F21-9076-61AF9E702932}"/>
    <cellStyle name="Normal 7 7 4 2" xfId="8859" xr:uid="{3BBF69A8-1FFA-4F2B-ABB3-4EE938F122D4}"/>
    <cellStyle name="Normal 7 7 4 2 2" xfId="31676" xr:uid="{62495764-E8E5-4D59-980C-5A3487D41904}"/>
    <cellStyle name="Normal 7 7 4 3" xfId="31677" xr:uid="{1665F679-F4B7-4F19-93BA-1FE70DE2EBAB}"/>
    <cellStyle name="Normal 7 7 5" xfId="8860" xr:uid="{A69EEE09-2417-4F99-954A-EC80F862FB60}"/>
    <cellStyle name="Normal 7 7 5 2" xfId="8861" xr:uid="{275A1116-DD81-4594-B6DD-6CCD5028C480}"/>
    <cellStyle name="Normal 7 7 5 2 2" xfId="31678" xr:uid="{78BBAB32-F9E2-4667-8A6D-24DA21EC0987}"/>
    <cellStyle name="Normal 7 7 5 3" xfId="31679" xr:uid="{C6F01BB9-700E-41FE-9327-CF78B18B7F0E}"/>
    <cellStyle name="Normal 7 7 6" xfId="8862" xr:uid="{CE2DCEE6-B0EC-4C71-92E8-C8DED35047DF}"/>
    <cellStyle name="Normal 7 7 6 2" xfId="31680" xr:uid="{1439BA75-DE57-499F-BC48-3A64154513BB}"/>
    <cellStyle name="Normal 7 7 7" xfId="8863" xr:uid="{D5E190DA-57E5-4F7E-82DB-FA86E4BCA535}"/>
    <cellStyle name="Normal 7 7 7 2" xfId="31681" xr:uid="{182F8F66-95BA-42BE-B635-6895069B1927}"/>
    <cellStyle name="Normal 7 7 8" xfId="31682" xr:uid="{CB93306A-31C8-497B-82C0-E83D61A37893}"/>
    <cellStyle name="Normal 7 8" xfId="8864" xr:uid="{A885316E-6E0F-40F3-9154-E80E6772696B}"/>
    <cellStyle name="Normal 7 8 2" xfId="8865" xr:uid="{29DB45B3-7823-47EB-BB8F-275772095D4E}"/>
    <cellStyle name="Normal 7 8 3" xfId="8866" xr:uid="{35CF7040-5A3E-4394-BA70-38D2D7271DFE}"/>
    <cellStyle name="Normal 7 8 3 2" xfId="8867" xr:uid="{A1E49204-1FC8-4AD7-B633-EB0F722BC7DD}"/>
    <cellStyle name="Normal 7 8 3 3" xfId="8868" xr:uid="{C0D11EC7-206D-45B4-A199-BA0266A6725A}"/>
    <cellStyle name="Normal 7 8 3 4" xfId="8869" xr:uid="{ADE918AF-3364-478A-B100-6E26CB1F303F}"/>
    <cellStyle name="Normal 7 8 3 5" xfId="8870" xr:uid="{D2BF6846-E10F-47BB-833F-F9B3E909E7EB}"/>
    <cellStyle name="Normal 7 9" xfId="8871" xr:uid="{3789CCF1-7748-4D42-BE70-396EBB9D5232}"/>
    <cellStyle name="Normal 70" xfId="44564" xr:uid="{5352EC6F-D541-4E36-AC26-3ABD20EFB00D}"/>
    <cellStyle name="Normal 71" xfId="44565" xr:uid="{4AB0C1EA-2A8D-4967-9B35-BE28BB786E5E}"/>
    <cellStyle name="Normal 72" xfId="44566" xr:uid="{72EBAEB8-8860-4773-85F0-95521CC21D14}"/>
    <cellStyle name="Normal 73" xfId="44567" xr:uid="{B603A622-F438-46AC-80D2-9978351FA62A}"/>
    <cellStyle name="Normal 74" xfId="44568" xr:uid="{0128D23A-7C06-43EC-828C-37D01172E8C5}"/>
    <cellStyle name="Normal 75" xfId="44569" xr:uid="{4CA9ED76-5A43-4B41-96A5-6396BD497513}"/>
    <cellStyle name="Normal 75 2" xfId="44570" xr:uid="{A8720BDE-80CE-42CF-892D-0D77DE7B0300}"/>
    <cellStyle name="Normal 76" xfId="44571" xr:uid="{8E9A297D-CE29-4B81-8B10-9EC0FA0913B7}"/>
    <cellStyle name="Normal 76 2" xfId="44572" xr:uid="{437186D6-5CAE-4E96-B6A3-B1F1654CE1A2}"/>
    <cellStyle name="Normal 77" xfId="44573" xr:uid="{D59CCA85-AFD1-4C96-B95C-A2FDE779CCAC}"/>
    <cellStyle name="Normal 77 2" xfId="44574" xr:uid="{168D3EF7-FF1C-47C0-8565-205B6436CB2A}"/>
    <cellStyle name="Normal 78" xfId="44575" xr:uid="{C5623270-B84A-4C3A-ACE4-24A278322AEF}"/>
    <cellStyle name="Normal 78 2" xfId="44576" xr:uid="{113B8281-A1F8-41CF-9DD4-213550BD5E8A}"/>
    <cellStyle name="Normal 79" xfId="44577" xr:uid="{9EAD224F-745B-4450-BDD3-318599BC2D41}"/>
    <cellStyle name="Normal 79 2" xfId="44578" xr:uid="{563C35AD-1C58-4FDE-A6F9-B7792CF34084}"/>
    <cellStyle name="Normal 8" xfId="28" xr:uid="{FF85A8A1-441E-4DBF-B1B9-77396D100AD3}"/>
    <cellStyle name="Normal 8 2" xfId="2069" xr:uid="{D049E632-5B09-4552-A82B-AE86967A3843}"/>
    <cellStyle name="Normal 8 2 2" xfId="8872" xr:uid="{2CEBA03D-3610-4075-AE5D-CEB4EAE9123D}"/>
    <cellStyle name="Normal 8 2 3" xfId="8873" xr:uid="{F6F62C93-6D11-4178-B314-E0BB58E56CCD}"/>
    <cellStyle name="Normal 8 3" xfId="8874" xr:uid="{A621AB75-6621-4A62-A10B-D236F9CB4808}"/>
    <cellStyle name="Normal 8 3 2" xfId="8875" xr:uid="{9C4654AC-8DA3-493F-8F7D-0EA8F0723211}"/>
    <cellStyle name="Normal 8 4" xfId="2068" xr:uid="{E299E914-D8F5-446E-B9A0-D54E1FAFE2C6}"/>
    <cellStyle name="Normal 80" xfId="44579" xr:uid="{C2CDDB07-F0FD-46AB-AF98-84123DA6CFC9}"/>
    <cellStyle name="Normal 80 2" xfId="44580" xr:uid="{A1D78AD8-7682-488C-A07F-69A9D4A53757}"/>
    <cellStyle name="Normal 81" xfId="44581" xr:uid="{D43AB812-7896-4BCE-B8B1-E0A605A7D691}"/>
    <cellStyle name="Normal 81 2" xfId="44582" xr:uid="{1B5AD74D-E880-4159-B1F1-C26EB8B28EAD}"/>
    <cellStyle name="Normal 82" xfId="44583" xr:uid="{6DA1FD15-3725-4232-B003-9C28BDD91151}"/>
    <cellStyle name="Normal 82 2" xfId="44584" xr:uid="{DEBD4847-898B-41D6-B57C-F2D611612CEC}"/>
    <cellStyle name="Normal 83" xfId="44585" xr:uid="{92EEE4F1-FA44-47AE-A26F-F56EECA771EA}"/>
    <cellStyle name="Normal 83 2" xfId="44586" xr:uid="{FE09795B-385E-4E27-822C-F610609116DB}"/>
    <cellStyle name="Normal 84" xfId="44587" xr:uid="{B63C9CB2-513A-499E-A7E8-F1042CAECADB}"/>
    <cellStyle name="Normal 84 2" xfId="44588" xr:uid="{8764A6EC-2C94-422D-A6D9-97435E06915B}"/>
    <cellStyle name="Normal 85" xfId="44589" xr:uid="{9C7AF7FD-2E93-4E92-AE2C-6002A973D4C1}"/>
    <cellStyle name="Normal 85 2" xfId="44590" xr:uid="{0E92C5A7-AF0C-42B0-A238-25E192064184}"/>
    <cellStyle name="Normal 86" xfId="44591" xr:uid="{66A5B545-7603-4D7C-9DB2-C3CA6EF1FE01}"/>
    <cellStyle name="Normal 86 2" xfId="44592" xr:uid="{6597991F-1F46-4836-BD3D-8CF843725618}"/>
    <cellStyle name="Normal 87" xfId="44593" xr:uid="{A3EF312B-E786-43F8-AC03-E62D3A02DFA0}"/>
    <cellStyle name="Normal 87 2" xfId="44594" xr:uid="{9102B545-2D14-453B-A1E4-2D698CED2025}"/>
    <cellStyle name="Normal 88" xfId="44595" xr:uid="{06D2F00B-D99D-4C57-9B48-F66C301CE22D}"/>
    <cellStyle name="Normal 88 2" xfId="44596" xr:uid="{5A33202E-14F5-4BB3-8848-29F22261F3AC}"/>
    <cellStyle name="Normal 89" xfId="44597" xr:uid="{856076EA-960E-49C0-9E50-F12A4E47A6EF}"/>
    <cellStyle name="Normal 89 2" xfId="44598" xr:uid="{D67C2CAB-48D7-429A-A45C-FDF46B79FDA1}"/>
    <cellStyle name="Normal 9" xfId="29" xr:uid="{2A1BEE91-5897-4FBF-AEEC-0E539521A71C}"/>
    <cellStyle name="Normal 9 2" xfId="2071" xr:uid="{AE566E69-9218-4844-A93F-6F29F57443FA}"/>
    <cellStyle name="Normal 9 2 2" xfId="8876" xr:uid="{FCFC3945-5D4C-4FCD-92CE-E1E9EB5D5A8F}"/>
    <cellStyle name="Normal 9 2 3" xfId="44183" xr:uid="{8702B712-D816-4D4A-A0FC-46EC1E9F9F6C}"/>
    <cellStyle name="Normal 9 3" xfId="8877" xr:uid="{573D0F65-DEBA-427B-A1B8-18C1181EF3BA}"/>
    <cellStyle name="Normal 9 4" xfId="8878" xr:uid="{116472E7-8DD6-45CB-A92F-2F610C1AD19D}"/>
    <cellStyle name="Normal 9 5" xfId="44182" xr:uid="{67158B8A-48D0-44C9-8DDD-A22C99EA37E1}"/>
    <cellStyle name="Normal 9 6" xfId="2070" xr:uid="{A20A78EC-0EDA-494A-A990-BCB6F5202341}"/>
    <cellStyle name="Normal 90" xfId="44599" xr:uid="{96CAE7B0-9B7D-4ED9-BB8E-C06606FF75A3}"/>
    <cellStyle name="Normal 90 2" xfId="44600" xr:uid="{F8E973A7-7500-4EFB-AB6E-2A722C51DF3E}"/>
    <cellStyle name="Normal 91" xfId="44601" xr:uid="{6B4AB468-489C-40BA-9565-BCD40250B254}"/>
    <cellStyle name="Normal 91 2" xfId="44602" xr:uid="{2B220D49-A737-411E-BF84-465DA37F756B}"/>
    <cellStyle name="Normal 92" xfId="44603" xr:uid="{BA61FFED-262B-4801-BBC2-1D657A7DECE7}"/>
    <cellStyle name="Normal 92 2" xfId="44604" xr:uid="{8652959E-1528-4194-9D65-ECA6C952310E}"/>
    <cellStyle name="Normal 93" xfId="44605" xr:uid="{6E0682DA-9661-4861-A665-1538919F5948}"/>
    <cellStyle name="Normal 93 2" xfId="44606" xr:uid="{97952AB5-47F7-40D6-8496-CEAA180DBB19}"/>
    <cellStyle name="Normal 94" xfId="44607" xr:uid="{D7214506-4D86-41BD-9D40-A3A1FE71FD59}"/>
    <cellStyle name="Normal 94 2" xfId="44608" xr:uid="{42022C70-8702-49FE-9841-6A6B087A4010}"/>
    <cellStyle name="Normal 95" xfId="44609" xr:uid="{00D3CB9B-0FDE-4F75-AEF1-72C314AB8BF1}"/>
    <cellStyle name="Normal 95 2" xfId="44610" xr:uid="{FD94EB29-C169-44DB-9094-2EE9107AF37F}"/>
    <cellStyle name="Normal 96" xfId="44611" xr:uid="{D426F551-C359-4AA4-8259-6A43E7BC7B83}"/>
    <cellStyle name="Normal 96 2" xfId="44612" xr:uid="{D057BD38-E984-4AEA-A105-5C28031F79C1}"/>
    <cellStyle name="Normal 97" xfId="44613" xr:uid="{3CE6B2C1-1D95-4989-9B60-C5A491615709}"/>
    <cellStyle name="Normal 97 2" xfId="44614" xr:uid="{9B003938-C926-409C-9DAC-C24C117A71F3}"/>
    <cellStyle name="Normal 98" xfId="44615" xr:uid="{86FAEB88-1E02-4DA1-BE79-92301DF9152E}"/>
    <cellStyle name="Normal 98 2" xfId="44616" xr:uid="{5037F42C-8CE4-42F3-8929-F84123B3ED71}"/>
    <cellStyle name="Normal 99" xfId="44617" xr:uid="{5E3D23C2-DBD9-4834-BF6F-09203B394880}"/>
    <cellStyle name="Normal 99 2" xfId="44618" xr:uid="{10BAB443-9406-40FE-867A-CA607D96D595}"/>
    <cellStyle name="Note" xfId="3" builtinId="10"/>
    <cellStyle name="Note 10" xfId="44272" xr:uid="{E6BC105E-EB15-4C99-898B-95504D960AA4}"/>
    <cellStyle name="Note 11" xfId="44287" xr:uid="{A14CCF4C-3455-4683-B54A-1FEBD5479169}"/>
    <cellStyle name="Note 12" xfId="44305" xr:uid="{320D774D-FB35-44B7-8ABC-C7FC80AF8323}"/>
    <cellStyle name="Note 2" xfId="19" xr:uid="{CB3DB2F5-DA6C-4FCD-B351-3EB15D36BE30}"/>
    <cellStyle name="Note 2 10" xfId="2073" xr:uid="{EF19598E-ADB2-4EF3-A33E-2FDC3F6357D0}"/>
    <cellStyle name="Note 2 10 2" xfId="9716" xr:uid="{3442EBDA-2443-4C74-B8CD-942D19452BF8}"/>
    <cellStyle name="Note 2 10 2 2" xfId="31683" xr:uid="{52C011F4-1C3B-4D8D-BBA7-6A1710FC6E98}"/>
    <cellStyle name="Note 2 10 2 3" xfId="31684" xr:uid="{906CC382-91A2-436F-A3D3-77849807D5A7}"/>
    <cellStyle name="Note 2 10 2 4" xfId="31685" xr:uid="{46EF439D-4814-46D6-8EA3-D60B6207D684}"/>
    <cellStyle name="Note 2 10 2 5" xfId="31686" xr:uid="{7C2E9B31-D2C5-4DE7-A6DA-84AC262F2E70}"/>
    <cellStyle name="Note 2 10 2 6" xfId="31687" xr:uid="{C607C796-1853-4886-B0EF-FC20FEE6A5CF}"/>
    <cellStyle name="Note 2 10 3" xfId="31688" xr:uid="{613A0AFD-D54C-489E-AA5F-47729EC22755}"/>
    <cellStyle name="Note 2 10 4" xfId="31689" xr:uid="{69E4C2F9-EB62-4910-B936-7CFC6E0FA8AA}"/>
    <cellStyle name="Note 2 10 5" xfId="31690" xr:uid="{B0961506-6BC7-4E7B-8055-CEC933A151F2}"/>
    <cellStyle name="Note 2 10 6" xfId="31691" xr:uid="{A7CA172D-E50F-4ABB-957A-2E9C016E7EC3}"/>
    <cellStyle name="Note 2 10 7" xfId="31692" xr:uid="{6EC04775-C7D5-4A0E-A822-48A1FBE6E524}"/>
    <cellStyle name="Note 2 11" xfId="2074" xr:uid="{6AAFCF5E-58C9-4F60-8127-2A5B09C4B53A}"/>
    <cellStyle name="Note 2 11 2" xfId="9723" xr:uid="{B4A92B74-C187-4E19-B3BD-422A47919441}"/>
    <cellStyle name="Note 2 11 2 2" xfId="31693" xr:uid="{10E78548-8253-4195-A424-C829C7A74AA1}"/>
    <cellStyle name="Note 2 11 2 3" xfId="31694" xr:uid="{F161D6DC-DAA2-4DEC-A030-5E1009D1C03A}"/>
    <cellStyle name="Note 2 11 2 4" xfId="31695" xr:uid="{33CDEB0F-57CB-40BB-A8F0-DF45E399046D}"/>
    <cellStyle name="Note 2 11 2 5" xfId="31696" xr:uid="{604A9192-28CA-4C1E-A736-66CA1EEB53DE}"/>
    <cellStyle name="Note 2 11 2 6" xfId="31697" xr:uid="{2FDFCE02-863B-44BC-AB22-4D9236B8AD96}"/>
    <cellStyle name="Note 2 11 3" xfId="31698" xr:uid="{8098B826-7CD5-42FA-B1B4-D6F11BB9D8CB}"/>
    <cellStyle name="Note 2 11 4" xfId="31699" xr:uid="{1FAFFB12-531C-4CEA-8D2C-7E4CDB33232A}"/>
    <cellStyle name="Note 2 11 5" xfId="31700" xr:uid="{14EAF7C4-CADA-4C3B-85F8-D318DBF45517}"/>
    <cellStyle name="Note 2 11 6" xfId="31701" xr:uid="{26F1EAF1-8364-480F-BE6C-0E968BEB77CD}"/>
    <cellStyle name="Note 2 11 7" xfId="31702" xr:uid="{626A21B7-6A88-451C-BD8E-D393767097F8}"/>
    <cellStyle name="Note 2 12" xfId="2075" xr:uid="{7E2C67D9-0D92-4D4A-8B8A-A0BB8515637B}"/>
    <cellStyle name="Note 2 12 2" xfId="9757" xr:uid="{211434C7-C846-4E6F-B359-DA53F5098082}"/>
    <cellStyle name="Note 2 12 2 2" xfId="31703" xr:uid="{97B826B5-B745-46C2-88ED-4F022F81E261}"/>
    <cellStyle name="Note 2 12 2 3" xfId="31704" xr:uid="{A7A28F86-8543-44FD-B3B0-6FCBEB5FFB80}"/>
    <cellStyle name="Note 2 12 2 4" xfId="31705" xr:uid="{6A7AD9B7-E6F7-4308-9899-E68B46E223ED}"/>
    <cellStyle name="Note 2 12 2 5" xfId="31706" xr:uid="{CA15132A-AA40-4966-9285-3BD1AE88BB64}"/>
    <cellStyle name="Note 2 12 2 6" xfId="31707" xr:uid="{9F23998A-1CCF-4FD9-8306-D320DF10AAF0}"/>
    <cellStyle name="Note 2 12 3" xfId="31708" xr:uid="{E2C73BCB-0227-4CD5-9EC2-C36726413C45}"/>
    <cellStyle name="Note 2 12 4" xfId="31709" xr:uid="{52EEBA78-83E7-45E4-8213-836907B82081}"/>
    <cellStyle name="Note 2 12 5" xfId="31710" xr:uid="{17C94EAA-04E7-49C9-81DB-5A526B2EAB0F}"/>
    <cellStyle name="Note 2 12 6" xfId="31711" xr:uid="{957D9982-EAD7-46F1-9395-CAB9FD538993}"/>
    <cellStyle name="Note 2 12 7" xfId="31712" xr:uid="{904A9FE6-B600-4260-9E03-C2FF5F164B38}"/>
    <cellStyle name="Note 2 13" xfId="2076" xr:uid="{90F0FCBC-B1CE-4CD1-973D-415EC96E8253}"/>
    <cellStyle name="Note 2 13 2" xfId="10070" xr:uid="{3E321B48-BEA2-4084-BCBF-D4148B963963}"/>
    <cellStyle name="Note 2 13 2 2" xfId="31713" xr:uid="{F8680943-5925-4AA5-84E6-C4E45369939D}"/>
    <cellStyle name="Note 2 13 2 3" xfId="31714" xr:uid="{0A958D58-6699-41EA-BADE-F08365981176}"/>
    <cellStyle name="Note 2 13 2 4" xfId="31715" xr:uid="{837FBA3F-343E-4A51-B6DB-69F72389490C}"/>
    <cellStyle name="Note 2 13 2 5" xfId="31716" xr:uid="{772547D7-39C6-4D41-B661-C49A8B96D4AE}"/>
    <cellStyle name="Note 2 13 2 6" xfId="31717" xr:uid="{DB0B1E9D-2467-4556-9B8F-6B644279ABA6}"/>
    <cellStyle name="Note 2 13 3" xfId="31718" xr:uid="{257D33DD-C7DC-4984-80B3-635513A6DEDF}"/>
    <cellStyle name="Note 2 13 4" xfId="31719" xr:uid="{3D6B3548-2894-470F-A09B-2DA54F3BF010}"/>
    <cellStyle name="Note 2 13 5" xfId="31720" xr:uid="{E3DA4A07-DF99-4829-96D2-64D11CCE7082}"/>
    <cellStyle name="Note 2 13 6" xfId="31721" xr:uid="{ED61DCD4-7409-4216-87A2-B94402628245}"/>
    <cellStyle name="Note 2 13 7" xfId="31722" xr:uid="{6B4ADA84-2C64-4E4E-ACE8-1E45CF6C2E79}"/>
    <cellStyle name="Note 2 14" xfId="2077" xr:uid="{81FC22B5-D23F-4C91-AA26-8D7341F54EA0}"/>
    <cellStyle name="Note 2 14 2" xfId="9892" xr:uid="{97EB034F-C813-453C-AF63-CCCCAC333898}"/>
    <cellStyle name="Note 2 14 2 2" xfId="31723" xr:uid="{BC5715E2-3A7A-4739-87A6-DB34EB12247A}"/>
    <cellStyle name="Note 2 14 2 3" xfId="31724" xr:uid="{CED67A65-6F9D-4659-AF10-654FFE81252C}"/>
    <cellStyle name="Note 2 14 2 4" xfId="31725" xr:uid="{97B31510-5EED-43A0-89D4-57AD5D07EAC9}"/>
    <cellStyle name="Note 2 14 2 5" xfId="31726" xr:uid="{AF07BFF0-2A55-4488-8210-4E9BC2A60A62}"/>
    <cellStyle name="Note 2 14 2 6" xfId="31727" xr:uid="{34602826-34C2-48FC-A05B-1BD91D843C60}"/>
    <cellStyle name="Note 2 14 3" xfId="31728" xr:uid="{751BC026-361E-417B-A3CE-A4FEAFBA339E}"/>
    <cellStyle name="Note 2 14 4" xfId="31729" xr:uid="{EECF509B-501E-41C7-9F17-F0C065A1542F}"/>
    <cellStyle name="Note 2 14 5" xfId="31730" xr:uid="{D7FEED47-CDC9-40B6-BD86-8265253EE46D}"/>
    <cellStyle name="Note 2 14 6" xfId="31731" xr:uid="{1ACF12B6-DF5A-43DA-81D3-693D6FD8F087}"/>
    <cellStyle name="Note 2 14 7" xfId="31732" xr:uid="{15987BD9-0830-4A6D-A41D-8A4336F6BED6}"/>
    <cellStyle name="Note 2 15" xfId="2078" xr:uid="{97971087-565F-4B17-AD0E-D4AC100E8362}"/>
    <cellStyle name="Note 2 15 2" xfId="9885" xr:uid="{546DB7DC-2CBB-4508-9A0B-396ADB3D240C}"/>
    <cellStyle name="Note 2 15 2 2" xfId="31733" xr:uid="{C391C503-FFF8-4BAA-89CD-34BFD4EA7080}"/>
    <cellStyle name="Note 2 15 2 3" xfId="31734" xr:uid="{F5EAD165-2CF9-4DC1-B416-36CE230A2F44}"/>
    <cellStyle name="Note 2 15 2 4" xfId="31735" xr:uid="{AEB78941-8EEC-4030-A088-03F573B62F15}"/>
    <cellStyle name="Note 2 15 2 5" xfId="31736" xr:uid="{F1D19E1A-A4B9-4C9D-956B-BF70481F5982}"/>
    <cellStyle name="Note 2 15 2 6" xfId="31737" xr:uid="{6BA921B4-9CF0-4349-8C95-A11827C7281A}"/>
    <cellStyle name="Note 2 15 3" xfId="31738" xr:uid="{6BD0C258-0870-4857-ADDA-39624D329300}"/>
    <cellStyle name="Note 2 15 4" xfId="31739" xr:uid="{EC5DF821-2FAA-4275-87FB-4370586C0DA2}"/>
    <cellStyle name="Note 2 15 5" xfId="31740" xr:uid="{5658DBAB-6510-4220-BA96-19BCEE1274E9}"/>
    <cellStyle name="Note 2 15 6" xfId="31741" xr:uid="{34B882D6-B2FD-45BF-B2AD-E1FD6E42A74E}"/>
    <cellStyle name="Note 2 15 7" xfId="31742" xr:uid="{D9D9FA31-B6F1-4885-B62C-87DD99E3560A}"/>
    <cellStyle name="Note 2 16" xfId="2079" xr:uid="{F0E8BAE2-AC2E-4D15-BA48-84504545A87D}"/>
    <cellStyle name="Note 2 16 2" xfId="10599" xr:uid="{CEB7BE39-7584-44C4-ACE7-F6BFD7FBE36B}"/>
    <cellStyle name="Note 2 16 2 2" xfId="31743" xr:uid="{BAEBBE97-AD11-4C04-A273-84A5980128E1}"/>
    <cellStyle name="Note 2 16 2 3" xfId="31744" xr:uid="{C3985B83-557E-4543-8EC3-0870A2667297}"/>
    <cellStyle name="Note 2 16 2 4" xfId="31745" xr:uid="{A0FEE5FD-065C-42C9-9172-7B12E835B911}"/>
    <cellStyle name="Note 2 16 2 5" xfId="31746" xr:uid="{737823F5-500F-4B52-B050-830CAA549AC7}"/>
    <cellStyle name="Note 2 16 2 6" xfId="31747" xr:uid="{FFC57AAC-F08E-4E06-9E51-FFAFC1775E1A}"/>
    <cellStyle name="Note 2 16 3" xfId="31748" xr:uid="{660A5D98-D924-4791-8CD8-CC21EE864807}"/>
    <cellStyle name="Note 2 16 4" xfId="31749" xr:uid="{A6FEF6BD-EA9F-44E5-BE62-FAA4F35EDBC4}"/>
    <cellStyle name="Note 2 16 5" xfId="31750" xr:uid="{EA0835C3-4A57-483D-A878-25F0A6B14A05}"/>
    <cellStyle name="Note 2 16 6" xfId="31751" xr:uid="{69BE3379-F6A4-437E-91DE-C9BA4F5A7141}"/>
    <cellStyle name="Note 2 16 7" xfId="31752" xr:uid="{D5F0D3F7-98F5-427C-99CC-AF925D790F62}"/>
    <cellStyle name="Note 2 17" xfId="2080" xr:uid="{4C914FB5-4205-4673-A421-35CAFC009539}"/>
    <cellStyle name="Note 2 17 2" xfId="10688" xr:uid="{24A10717-2B52-4B52-A10F-457E3E836C0F}"/>
    <cellStyle name="Note 2 17 2 2" xfId="31753" xr:uid="{19EAE4CC-F311-4BE9-B6FA-626672994020}"/>
    <cellStyle name="Note 2 17 2 3" xfId="31754" xr:uid="{9FA49B17-F2A2-45B2-8D19-F03D122436FE}"/>
    <cellStyle name="Note 2 17 2 4" xfId="31755" xr:uid="{EDE2C31F-6016-441A-91A6-7E065A7E8392}"/>
    <cellStyle name="Note 2 17 2 5" xfId="31756" xr:uid="{93534405-65A4-4CB5-9ECE-D6579D9F339F}"/>
    <cellStyle name="Note 2 17 2 6" xfId="31757" xr:uid="{F7118B60-B6E2-4E93-B509-03858027F605}"/>
    <cellStyle name="Note 2 17 3" xfId="31758" xr:uid="{AE36F737-2847-4A2C-83B0-F669064AACC4}"/>
    <cellStyle name="Note 2 17 4" xfId="31759" xr:uid="{1F0A4F61-C3EB-4D72-BA66-9C2FE428184D}"/>
    <cellStyle name="Note 2 17 5" xfId="31760" xr:uid="{111A6494-1CDF-40CF-874C-ABD6AF828AC4}"/>
    <cellStyle name="Note 2 17 6" xfId="31761" xr:uid="{B6E21D2A-DA72-4758-B5D7-1E5BA324F792}"/>
    <cellStyle name="Note 2 17 7" xfId="31762" xr:uid="{0B0CF0EF-EA56-4B38-92FB-351B39BA3578}"/>
    <cellStyle name="Note 2 18" xfId="2081" xr:uid="{2F952BC8-C230-4264-89DD-20FE796FC84C}"/>
    <cellStyle name="Note 2 18 2" xfId="9856" xr:uid="{1097414B-2D7C-41B9-9DAA-C1DAB2A2450F}"/>
    <cellStyle name="Note 2 18 2 2" xfId="31763" xr:uid="{BCAE5ACE-4437-4DC2-81C3-CB0FE4EF4933}"/>
    <cellStyle name="Note 2 18 2 3" xfId="31764" xr:uid="{24C7CCF7-E1DB-4D42-AF39-D5D0248AF486}"/>
    <cellStyle name="Note 2 18 2 4" xfId="31765" xr:uid="{4646147A-3515-434E-9700-140FCC9BC5B7}"/>
    <cellStyle name="Note 2 18 2 5" xfId="31766" xr:uid="{062158D3-F0A7-4717-BB0C-1DFA38905C3B}"/>
    <cellStyle name="Note 2 18 2 6" xfId="31767" xr:uid="{A4C00D23-7208-40C1-B62E-C9B5C036103A}"/>
    <cellStyle name="Note 2 18 3" xfId="31768" xr:uid="{063D14EA-29ED-4E17-84B6-6D6566D29E4B}"/>
    <cellStyle name="Note 2 18 4" xfId="31769" xr:uid="{5D458475-5ED2-412D-BD7E-DD74E12F4AD7}"/>
    <cellStyle name="Note 2 18 5" xfId="31770" xr:uid="{6409EC4B-21C0-4899-9C3E-90FBD7E1263E}"/>
    <cellStyle name="Note 2 18 6" xfId="31771" xr:uid="{FAEE14FE-7C1E-49EE-A7AC-7EBD3540C675}"/>
    <cellStyle name="Note 2 18 7" xfId="31772" xr:uid="{46348538-AA75-4559-909D-D3C7F12C62F8}"/>
    <cellStyle name="Note 2 19" xfId="2082" xr:uid="{4BDD5B51-6593-46A3-9F35-376A80A8A689}"/>
    <cellStyle name="Note 2 19 2" xfId="10361" xr:uid="{20B1826C-B1B7-42C8-B7C4-E9F3766ADAB4}"/>
    <cellStyle name="Note 2 19 2 2" xfId="31773" xr:uid="{7066E932-1CC8-46F2-8411-E76D45B1247C}"/>
    <cellStyle name="Note 2 19 2 3" xfId="31774" xr:uid="{97C74A43-2F03-402E-B1C1-16E5C48C79D1}"/>
    <cellStyle name="Note 2 19 2 4" xfId="31775" xr:uid="{628A7D9C-3ACD-4209-A879-26DB6DA49311}"/>
    <cellStyle name="Note 2 19 2 5" xfId="31776" xr:uid="{B388E9D9-C36C-40BA-A91F-B5F85D3A4F2E}"/>
    <cellStyle name="Note 2 19 2 6" xfId="31777" xr:uid="{97B46A90-778F-4000-AF40-E35BAF80E9D0}"/>
    <cellStyle name="Note 2 19 3" xfId="31778" xr:uid="{9220E1E0-7FDD-4BC9-B550-99FBFF4FE873}"/>
    <cellStyle name="Note 2 19 4" xfId="31779" xr:uid="{E62E2768-B289-449D-9060-8B4EC37C6F9A}"/>
    <cellStyle name="Note 2 19 5" xfId="31780" xr:uid="{C3C26D4E-F25E-46AF-B8C2-7C630094B901}"/>
    <cellStyle name="Note 2 19 6" xfId="31781" xr:uid="{F71A10FE-89C8-40AC-8ED7-434B3827704C}"/>
    <cellStyle name="Note 2 19 7" xfId="31782" xr:uid="{4A09A83E-5820-47B5-94F4-0361BB6D75F1}"/>
    <cellStyle name="Note 2 2" xfId="2083" xr:uid="{F6CCF721-BADE-49D3-8BF4-1E7ED51577EF}"/>
    <cellStyle name="Note 2 2 10" xfId="2084" xr:uid="{0F20DB01-E12A-4249-B6F1-90391244FD8E}"/>
    <cellStyle name="Note 2 2 10 2" xfId="10645" xr:uid="{63437AAF-0C76-4CCB-986F-F16E323F44AA}"/>
    <cellStyle name="Note 2 2 10 2 2" xfId="31783" xr:uid="{79972F6E-B931-4E46-8B2D-727CDD6D52FE}"/>
    <cellStyle name="Note 2 2 10 2 3" xfId="31784" xr:uid="{F66C620B-BFA9-4001-B6B5-9F8CCA9A11C5}"/>
    <cellStyle name="Note 2 2 10 2 4" xfId="31785" xr:uid="{1E4801BB-C426-4795-8C34-EC3DD33D830D}"/>
    <cellStyle name="Note 2 2 10 2 5" xfId="31786" xr:uid="{27EAA071-C69F-4F19-AEF9-F7DC7E0944C7}"/>
    <cellStyle name="Note 2 2 10 2 6" xfId="31787" xr:uid="{7D4A3956-46CA-42C1-8F0A-8408A1CE12C8}"/>
    <cellStyle name="Note 2 2 10 3" xfId="31788" xr:uid="{7E339EDA-8AD6-4AAF-9A1F-FEB0258BD269}"/>
    <cellStyle name="Note 2 2 10 4" xfId="31789" xr:uid="{EDFF6F71-4E25-4F13-966E-8F0C67113A3C}"/>
    <cellStyle name="Note 2 2 10 5" xfId="31790" xr:uid="{25E5D272-1E1F-48D3-9931-5AFA528EF784}"/>
    <cellStyle name="Note 2 2 10 6" xfId="31791" xr:uid="{F9ACCDBF-6C3F-4120-ACCA-D1BB69D29E72}"/>
    <cellStyle name="Note 2 2 10 7" xfId="31792" xr:uid="{378D2E09-5F08-4F6F-84CB-785C2A806273}"/>
    <cellStyle name="Note 2 2 11" xfId="2085" xr:uid="{AB258186-E46C-409B-9530-EE4EF7B7E072}"/>
    <cellStyle name="Note 2 2 11 2" xfId="10736" xr:uid="{591648A1-F388-4094-88ED-0EA257ECA7C3}"/>
    <cellStyle name="Note 2 2 11 2 2" xfId="31793" xr:uid="{5AF22986-2BE6-44AF-8579-885861EF3F88}"/>
    <cellStyle name="Note 2 2 11 2 3" xfId="31794" xr:uid="{12635FE0-D4E7-4015-BDF7-B0120FDB23BC}"/>
    <cellStyle name="Note 2 2 11 2 4" xfId="31795" xr:uid="{D181CCDC-C4D6-4F72-8EAB-1C719D021B02}"/>
    <cellStyle name="Note 2 2 11 2 5" xfId="31796" xr:uid="{112CDA0E-5A3C-40E3-9616-8331BC6E7B96}"/>
    <cellStyle name="Note 2 2 11 2 6" xfId="31797" xr:uid="{E15D7897-9A30-475E-8A0D-FD0DB057302D}"/>
    <cellStyle name="Note 2 2 11 3" xfId="31798" xr:uid="{8F51DF24-63B9-4DCF-8F5C-10888BE4B972}"/>
    <cellStyle name="Note 2 2 11 4" xfId="31799" xr:uid="{6780697D-A4BA-4481-BB8B-2A24363EE55C}"/>
    <cellStyle name="Note 2 2 11 5" xfId="31800" xr:uid="{5FA3D053-E933-43EE-8DE2-BB54FC8D986D}"/>
    <cellStyle name="Note 2 2 11 6" xfId="31801" xr:uid="{6C47A167-EA45-42BB-AFB4-C7E263E8CCEA}"/>
    <cellStyle name="Note 2 2 11 7" xfId="31802" xr:uid="{5DEE2673-1AF7-4802-A22C-0D6A9A7198FA}"/>
    <cellStyle name="Note 2 2 12" xfId="2086" xr:uid="{3597EA84-69DD-4D09-9D6B-AFE72F97A30B}"/>
    <cellStyle name="Note 2 2 12 2" xfId="10824" xr:uid="{85E6250B-F11B-47A1-9191-FB721EB7BADF}"/>
    <cellStyle name="Note 2 2 12 2 2" xfId="31803" xr:uid="{C2021D8B-196B-4A54-8D78-52860CF7B462}"/>
    <cellStyle name="Note 2 2 12 2 3" xfId="31804" xr:uid="{C83C6EE6-4192-4BF3-8328-581AC42A1510}"/>
    <cellStyle name="Note 2 2 12 2 4" xfId="31805" xr:uid="{8462DE72-6272-496F-AA38-60803F1C5FD5}"/>
    <cellStyle name="Note 2 2 12 2 5" xfId="31806" xr:uid="{0C05E8AC-BC44-473F-8E49-E470CB30762D}"/>
    <cellStyle name="Note 2 2 12 2 6" xfId="31807" xr:uid="{B8CACDEF-BBA9-4250-B5C2-3014FD30F352}"/>
    <cellStyle name="Note 2 2 12 3" xfId="31808" xr:uid="{B762D70F-A1BD-40F7-9D4E-59A37E830D4E}"/>
    <cellStyle name="Note 2 2 12 4" xfId="31809" xr:uid="{B283DDDF-44A7-4336-9FBD-72B1E0B0F410}"/>
    <cellStyle name="Note 2 2 12 5" xfId="31810" xr:uid="{D9C8CB65-5DC0-46DE-B488-21D067323B9C}"/>
    <cellStyle name="Note 2 2 12 6" xfId="31811" xr:uid="{1B6B0B19-3AFC-4D31-9E0D-73B5D09993E1}"/>
    <cellStyle name="Note 2 2 12 7" xfId="31812" xr:uid="{A24D4BE2-42BC-457A-8388-70F1159A3517}"/>
    <cellStyle name="Note 2 2 13" xfId="2087" xr:uid="{B400E7B3-DE25-4449-8332-C75B87A229C5}"/>
    <cellStyle name="Note 2 2 13 2" xfId="10913" xr:uid="{AE9FDEA7-5D3F-457B-8F86-9D27BC6F3B56}"/>
    <cellStyle name="Note 2 2 13 2 2" xfId="31813" xr:uid="{CB1D563D-4937-4DA5-82B3-022922CF7B26}"/>
    <cellStyle name="Note 2 2 13 2 3" xfId="31814" xr:uid="{173C4D2B-9CDA-4C30-9DCB-53AC8F724A0D}"/>
    <cellStyle name="Note 2 2 13 2 4" xfId="31815" xr:uid="{E80DF53B-897C-4DC3-A256-4ADF6CE2F54F}"/>
    <cellStyle name="Note 2 2 13 2 5" xfId="31816" xr:uid="{B20C2411-DA67-4672-A82E-C9340E4D8796}"/>
    <cellStyle name="Note 2 2 13 2 6" xfId="31817" xr:uid="{8D208B03-4016-4CA8-9E38-FC17D5A59976}"/>
    <cellStyle name="Note 2 2 13 3" xfId="31818" xr:uid="{41914071-2112-4DCE-93AF-B8936CBF2656}"/>
    <cellStyle name="Note 2 2 13 4" xfId="31819" xr:uid="{E3E02ED2-265F-4453-BFA2-9FA19911A440}"/>
    <cellStyle name="Note 2 2 13 5" xfId="31820" xr:uid="{F10B3CBE-FB47-4AF2-9822-C30120E08773}"/>
    <cellStyle name="Note 2 2 13 6" xfId="31821" xr:uid="{7DE35424-FB0B-4467-8484-B95BAF137CF2}"/>
    <cellStyle name="Note 2 2 13 7" xfId="31822" xr:uid="{B6E477DC-5F49-45BB-8AC7-D8DFE0E8E34C}"/>
    <cellStyle name="Note 2 2 14" xfId="2088" xr:uid="{8130C3F9-913E-41E1-A535-2D679040CF2B}"/>
    <cellStyle name="Note 2 2 14 2" xfId="11003" xr:uid="{99B8BF06-3D70-4FF1-A2B7-60782B8982CA}"/>
    <cellStyle name="Note 2 2 14 2 2" xfId="31823" xr:uid="{C5961486-7118-4981-A085-E703FBFE8436}"/>
    <cellStyle name="Note 2 2 14 2 3" xfId="31824" xr:uid="{D90EBD7E-C3A0-4DC6-BCF8-B502A1B7E63E}"/>
    <cellStyle name="Note 2 2 14 2 4" xfId="31825" xr:uid="{4AE57A4B-E2B0-40FA-BC3F-05EAF4A0BF45}"/>
    <cellStyle name="Note 2 2 14 2 5" xfId="31826" xr:uid="{320D3DA7-D46A-43B6-8D64-8FA98C540681}"/>
    <cellStyle name="Note 2 2 14 2 6" xfId="31827" xr:uid="{309E7EBF-891E-49D3-8AFC-A914A8793F42}"/>
    <cellStyle name="Note 2 2 14 3" xfId="31828" xr:uid="{9EC32A46-FB43-49A1-B6AF-0F07275DA1F0}"/>
    <cellStyle name="Note 2 2 14 4" xfId="31829" xr:uid="{CD642326-90DA-4B67-BF1F-55AB1F31A999}"/>
    <cellStyle name="Note 2 2 14 5" xfId="31830" xr:uid="{43C65D1C-4D72-4378-AAB3-566D34D0C05D}"/>
    <cellStyle name="Note 2 2 14 6" xfId="31831" xr:uid="{49C1F01C-C5E9-4C48-92ED-1069BEF5FC9D}"/>
    <cellStyle name="Note 2 2 14 7" xfId="31832" xr:uid="{B61899FF-369F-4A15-8C57-A2B9C93D2A78}"/>
    <cellStyle name="Note 2 2 15" xfId="2089" xr:uid="{A2C6EC49-3B54-430B-9384-8CA5DC18DF6B}"/>
    <cellStyle name="Note 2 2 15 2" xfId="11093" xr:uid="{CF0F0CF4-FE1D-46A0-9685-C766787B97D4}"/>
    <cellStyle name="Note 2 2 15 2 2" xfId="31833" xr:uid="{8FBD5622-FABE-4789-8B71-2C490A61B233}"/>
    <cellStyle name="Note 2 2 15 2 3" xfId="31834" xr:uid="{F7ADAABB-A2BB-4D51-87F4-9384D5C8ED9B}"/>
    <cellStyle name="Note 2 2 15 2 4" xfId="31835" xr:uid="{4E5BDD4B-26DA-48E5-A6AD-31E1F9E8CE46}"/>
    <cellStyle name="Note 2 2 15 2 5" xfId="31836" xr:uid="{551BC4BE-A385-41A7-B94D-3535D008C58C}"/>
    <cellStyle name="Note 2 2 15 2 6" xfId="31837" xr:uid="{4B411244-D321-45D5-9A8D-7FF3611B877F}"/>
    <cellStyle name="Note 2 2 15 3" xfId="31838" xr:uid="{B3D09EAB-C74C-407D-A583-6A1B98FAB618}"/>
    <cellStyle name="Note 2 2 15 4" xfId="31839" xr:uid="{C87400F8-7517-4DCE-8F07-A0BE8F813161}"/>
    <cellStyle name="Note 2 2 15 5" xfId="31840" xr:uid="{4492CAD4-8186-4770-BCC7-A61B8B5F1773}"/>
    <cellStyle name="Note 2 2 15 6" xfId="31841" xr:uid="{3C0E5235-C1BB-4519-9D81-88EDF37E861A}"/>
    <cellStyle name="Note 2 2 15 7" xfId="31842" xr:uid="{2403B02B-F620-4B1F-866A-B68B832C7635}"/>
    <cellStyle name="Note 2 2 16" xfId="2090" xr:uid="{A94BDF3C-4288-42F9-AA71-4560735E68AF}"/>
    <cellStyle name="Note 2 2 16 2" xfId="11176" xr:uid="{8C96CC3F-3957-4749-A0B2-232410DA5A1E}"/>
    <cellStyle name="Note 2 2 16 2 2" xfId="31843" xr:uid="{78BDEFB0-CE20-4E9A-8BE8-0BB8D57148FB}"/>
    <cellStyle name="Note 2 2 16 2 3" xfId="31844" xr:uid="{E2923E48-347A-4D1F-BD95-BFE4AB1E7B67}"/>
    <cellStyle name="Note 2 2 16 2 4" xfId="31845" xr:uid="{C996CC34-EE81-4271-9A56-B29ECDB01B3F}"/>
    <cellStyle name="Note 2 2 16 2 5" xfId="31846" xr:uid="{0CDEEA57-8DAF-41E2-B814-C2521A8FA63D}"/>
    <cellStyle name="Note 2 2 16 2 6" xfId="31847" xr:uid="{27BD98E9-B3CF-4FCA-B32C-ADC3D5008DE3}"/>
    <cellStyle name="Note 2 2 16 3" xfId="31848" xr:uid="{A5A8F3BF-7B1B-487D-9DBF-C60E224BA8B6}"/>
    <cellStyle name="Note 2 2 16 4" xfId="31849" xr:uid="{24B9E2E4-3F75-4A1C-A9A8-FDA0B777CC12}"/>
    <cellStyle name="Note 2 2 16 5" xfId="31850" xr:uid="{F8057523-6C99-4C29-AF64-79463299F8F0}"/>
    <cellStyle name="Note 2 2 16 6" xfId="31851" xr:uid="{B822A018-78B0-4334-A080-0A5524B296A6}"/>
    <cellStyle name="Note 2 2 16 7" xfId="31852" xr:uid="{C82664EC-1417-4556-BA77-085A57CAEC4F}"/>
    <cellStyle name="Note 2 2 17" xfId="2091" xr:uid="{09E613D1-1EFF-4FF1-ACBB-90E823A87E20}"/>
    <cellStyle name="Note 2 2 17 2" xfId="11266" xr:uid="{C487BDA6-6783-44B6-84ED-E87223B03CB4}"/>
    <cellStyle name="Note 2 2 17 2 2" xfId="31853" xr:uid="{0DEA069F-F57C-4CCC-9861-E50D99AFD5DE}"/>
    <cellStyle name="Note 2 2 17 2 3" xfId="31854" xr:uid="{962516A0-E455-4A88-B109-735C3520DE9B}"/>
    <cellStyle name="Note 2 2 17 2 4" xfId="31855" xr:uid="{2BB80752-AE5D-47E3-A844-EDABF6B834E0}"/>
    <cellStyle name="Note 2 2 17 2 5" xfId="31856" xr:uid="{BC59E24E-2FAC-4794-99A0-DF66E820A93B}"/>
    <cellStyle name="Note 2 2 17 2 6" xfId="31857" xr:uid="{D4FC2E71-49A3-4AE4-9E85-510E0AAB5B27}"/>
    <cellStyle name="Note 2 2 17 3" xfId="31858" xr:uid="{70029D12-A376-4FBF-B9F3-1DB464A8E8F9}"/>
    <cellStyle name="Note 2 2 17 4" xfId="31859" xr:uid="{8043E7A2-1CE8-45B4-8476-3181943463D9}"/>
    <cellStyle name="Note 2 2 17 5" xfId="31860" xr:uid="{A8A61AFF-0FEF-41B0-A4A7-5CDB3639F55B}"/>
    <cellStyle name="Note 2 2 17 6" xfId="31861" xr:uid="{03255550-439F-4B98-B9F4-3D32A3B66759}"/>
    <cellStyle name="Note 2 2 17 7" xfId="31862" xr:uid="{EE6E342D-653B-4C5B-9439-2F95B6B7DE4F}"/>
    <cellStyle name="Note 2 2 18" xfId="2092" xr:uid="{FF98AFC2-E9EC-4581-9967-8ECDA49CF538}"/>
    <cellStyle name="Note 2 2 18 2" xfId="11352" xr:uid="{839E3223-A5A1-4BB0-A5A2-B6306177DAE1}"/>
    <cellStyle name="Note 2 2 18 2 2" xfId="31863" xr:uid="{A14B5026-2BB9-4DF7-BCCF-4D81802728D3}"/>
    <cellStyle name="Note 2 2 18 2 3" xfId="31864" xr:uid="{BDF1A2E6-177D-4578-93DB-EAA9CEB80E34}"/>
    <cellStyle name="Note 2 2 18 2 4" xfId="31865" xr:uid="{57BC4764-323E-40AB-B2A6-A6A99A1AB122}"/>
    <cellStyle name="Note 2 2 18 2 5" xfId="31866" xr:uid="{C9287218-F6F5-43BE-9B03-816BF57E018A}"/>
    <cellStyle name="Note 2 2 18 2 6" xfId="31867" xr:uid="{6E5F753B-AAFC-4CB9-90F4-F540D87A058F}"/>
    <cellStyle name="Note 2 2 18 3" xfId="31868" xr:uid="{1A9905E8-1EDA-48C0-ABB7-D21076B03D94}"/>
    <cellStyle name="Note 2 2 18 4" xfId="31869" xr:uid="{43A52598-312F-4352-A24D-5C17D04E875B}"/>
    <cellStyle name="Note 2 2 18 5" xfId="31870" xr:uid="{009BA503-F6EE-4D0E-A256-018B8D3AB035}"/>
    <cellStyle name="Note 2 2 18 6" xfId="31871" xr:uid="{13681683-FC4B-439B-A8BE-AF98E28F8B80}"/>
    <cellStyle name="Note 2 2 18 7" xfId="31872" xr:uid="{5F46B270-AFBE-49A0-ADAE-D4901EC04AFD}"/>
    <cellStyle name="Note 2 2 19" xfId="2093" xr:uid="{4830C131-7C9D-4DDC-91C5-A7E003DA9905}"/>
    <cellStyle name="Note 2 2 19 2" xfId="11439" xr:uid="{3D5997C0-944B-4490-8689-43761D8E60CD}"/>
    <cellStyle name="Note 2 2 19 2 2" xfId="31873" xr:uid="{542D8BFA-6127-4871-929C-0BC84CDEE88C}"/>
    <cellStyle name="Note 2 2 19 2 3" xfId="31874" xr:uid="{96FDC72C-2BD2-44E4-95FE-3C5DEF27259D}"/>
    <cellStyle name="Note 2 2 19 2 4" xfId="31875" xr:uid="{CC0B1657-2A16-4E6B-A30F-E1F171ADA36E}"/>
    <cellStyle name="Note 2 2 19 2 5" xfId="31876" xr:uid="{841CA371-FB66-4C2E-A4C9-1A36EAE27C93}"/>
    <cellStyle name="Note 2 2 19 2 6" xfId="31877" xr:uid="{4AD56018-F64E-4254-BF02-055D150CC219}"/>
    <cellStyle name="Note 2 2 19 3" xfId="31878" xr:uid="{E8E0D40C-F28D-4012-B46F-5E55757202DE}"/>
    <cellStyle name="Note 2 2 19 4" xfId="31879" xr:uid="{C5E94EC5-0F2D-4C52-951E-BC7B4F5C8C12}"/>
    <cellStyle name="Note 2 2 19 5" xfId="31880" xr:uid="{65775DD1-A489-4400-8F02-2FF963F5E645}"/>
    <cellStyle name="Note 2 2 19 6" xfId="31881" xr:uid="{DFB37E49-399D-4F98-8528-CFF8FE5231E8}"/>
    <cellStyle name="Note 2 2 19 7" xfId="31882" xr:uid="{1DC7DF56-E151-4661-B059-AA2ADE658F9D}"/>
    <cellStyle name="Note 2 2 2" xfId="2094" xr:uid="{0708778E-5555-4FBF-AE6F-73BB7833B964}"/>
    <cellStyle name="Note 2 2 2 10" xfId="2095" xr:uid="{6EFF247D-86B7-4BF9-BF34-30AAD86743C6}"/>
    <cellStyle name="Note 2 2 2 10 2" xfId="10769" xr:uid="{89C98504-7D0E-4B73-879E-4192E926CD46}"/>
    <cellStyle name="Note 2 2 2 10 2 2" xfId="31883" xr:uid="{B81FDB3D-A269-4714-92C6-784DC30DB35E}"/>
    <cellStyle name="Note 2 2 2 10 2 3" xfId="31884" xr:uid="{578FE44A-A034-41AB-BD13-780C285D8FB4}"/>
    <cellStyle name="Note 2 2 2 10 2 4" xfId="31885" xr:uid="{D636BC84-C995-4F72-938D-2BE1231493C3}"/>
    <cellStyle name="Note 2 2 2 10 2 5" xfId="31886" xr:uid="{D2777922-7679-4C8A-BF49-0874A924FBCF}"/>
    <cellStyle name="Note 2 2 2 10 2 6" xfId="31887" xr:uid="{1C7FC2B8-160C-4A74-9EC4-3DF2CFC5DC5E}"/>
    <cellStyle name="Note 2 2 2 10 3" xfId="31888" xr:uid="{4D585860-7306-48F2-8070-93049E98170E}"/>
    <cellStyle name="Note 2 2 2 10 4" xfId="31889" xr:uid="{42A669DD-F38F-4037-97C8-C7B2A12FE1B1}"/>
    <cellStyle name="Note 2 2 2 10 5" xfId="31890" xr:uid="{DE850EB2-A0FA-4C67-874C-936C69B4988A}"/>
    <cellStyle name="Note 2 2 2 10 6" xfId="31891" xr:uid="{A68679F2-0EC9-4EED-9F90-1C7FADB7981D}"/>
    <cellStyle name="Note 2 2 2 10 7" xfId="31892" xr:uid="{A9C30AD6-7D46-4F74-A085-3A37D07A13F4}"/>
    <cellStyle name="Note 2 2 2 11" xfId="2096" xr:uid="{7213C363-B1F5-4C10-B559-3B92AB468602}"/>
    <cellStyle name="Note 2 2 2 11 2" xfId="10857" xr:uid="{34DC81D2-8314-44EA-BA8E-69F949367A3C}"/>
    <cellStyle name="Note 2 2 2 11 2 2" xfId="31893" xr:uid="{E9A2C514-FBC6-452D-A6D6-73640E71F2DC}"/>
    <cellStyle name="Note 2 2 2 11 2 3" xfId="31894" xr:uid="{9B6E09EA-E934-4CB3-B5C1-EB7C076D9C00}"/>
    <cellStyle name="Note 2 2 2 11 2 4" xfId="31895" xr:uid="{C704A5E5-A3F3-439B-BD71-D2D586ABD701}"/>
    <cellStyle name="Note 2 2 2 11 2 5" xfId="31896" xr:uid="{1016010D-52D7-4242-98E5-C070D293C271}"/>
    <cellStyle name="Note 2 2 2 11 2 6" xfId="31897" xr:uid="{215A215B-199A-4948-B7DB-33499857FFD6}"/>
    <cellStyle name="Note 2 2 2 11 3" xfId="31898" xr:uid="{DE6A2C29-B2C9-48D2-9A30-2DFFD6AA30EC}"/>
    <cellStyle name="Note 2 2 2 11 4" xfId="31899" xr:uid="{D8664228-6959-4D96-973A-7571C2D1886B}"/>
    <cellStyle name="Note 2 2 2 11 5" xfId="31900" xr:uid="{159D1091-E3FD-4BC6-9C1D-336E45C5B7BB}"/>
    <cellStyle name="Note 2 2 2 11 6" xfId="31901" xr:uid="{D646DDD1-20C8-4FA2-9536-42856C5CF061}"/>
    <cellStyle name="Note 2 2 2 11 7" xfId="31902" xr:uid="{B0A9F7E8-F2F9-4F44-8BF9-A674A729B3AB}"/>
    <cellStyle name="Note 2 2 2 12" xfId="2097" xr:uid="{F423E47E-3C3C-4B6C-B71D-DD9EB2586DAC}"/>
    <cellStyle name="Note 2 2 2 12 2" xfId="10946" xr:uid="{A89FCA08-883E-438C-B0A1-3793534E42CD}"/>
    <cellStyle name="Note 2 2 2 12 2 2" xfId="31903" xr:uid="{485EAF66-21AB-4637-9644-953A521B0D00}"/>
    <cellStyle name="Note 2 2 2 12 2 3" xfId="31904" xr:uid="{9A4A6DDA-2029-4234-A870-4170896625A3}"/>
    <cellStyle name="Note 2 2 2 12 2 4" xfId="31905" xr:uid="{E7EAC978-58B9-4BB9-8D66-E5CB51B4B3BA}"/>
    <cellStyle name="Note 2 2 2 12 2 5" xfId="31906" xr:uid="{2AF8497A-A7C4-4240-BB5F-55655C5FFF6D}"/>
    <cellStyle name="Note 2 2 2 12 2 6" xfId="31907" xr:uid="{BD5CF813-256B-4EBC-808C-4A72935341FA}"/>
    <cellStyle name="Note 2 2 2 12 3" xfId="31908" xr:uid="{D8D29826-0900-4426-AFD0-3BCE583945BF}"/>
    <cellStyle name="Note 2 2 2 12 4" xfId="31909" xr:uid="{E6819B51-B9CB-46B0-9640-97CA109A8D0E}"/>
    <cellStyle name="Note 2 2 2 12 5" xfId="31910" xr:uid="{4F81CFE8-4717-4DA1-A3BF-5417E50BCF4E}"/>
    <cellStyle name="Note 2 2 2 12 6" xfId="31911" xr:uid="{4035DF4E-92FD-45A9-8E46-75EE21A90F67}"/>
    <cellStyle name="Note 2 2 2 12 7" xfId="31912" xr:uid="{08CEBF96-4BCD-40C5-844C-5A05AE71D5E9}"/>
    <cellStyle name="Note 2 2 2 13" xfId="2098" xr:uid="{A14751CD-11CD-4A3B-8941-59B32302E2CE}"/>
    <cellStyle name="Note 2 2 2 13 2" xfId="11036" xr:uid="{7A878A26-BF03-4102-9CAD-BB8EE627E590}"/>
    <cellStyle name="Note 2 2 2 13 2 2" xfId="31913" xr:uid="{2706ACDC-0572-4385-AF5F-C45C2048D923}"/>
    <cellStyle name="Note 2 2 2 13 2 3" xfId="31914" xr:uid="{1D17AFEB-0369-45E9-A50B-7195AC84ED44}"/>
    <cellStyle name="Note 2 2 2 13 2 4" xfId="31915" xr:uid="{2152DC84-C4A0-40AF-BD0C-C4B03A90F187}"/>
    <cellStyle name="Note 2 2 2 13 2 5" xfId="31916" xr:uid="{FA116E8C-2A38-4D54-88E7-6190ACB4F665}"/>
    <cellStyle name="Note 2 2 2 13 2 6" xfId="31917" xr:uid="{117B306C-09A1-4C21-9BCE-741028597119}"/>
    <cellStyle name="Note 2 2 2 13 3" xfId="31918" xr:uid="{26277878-02C3-4412-8633-92E6DDAC991B}"/>
    <cellStyle name="Note 2 2 2 13 4" xfId="31919" xr:uid="{84E7CCC0-AC06-4C2D-BEA3-0AFCB573012C}"/>
    <cellStyle name="Note 2 2 2 13 5" xfId="31920" xr:uid="{D74606DF-1D10-4A98-AE69-7BAFA57E4847}"/>
    <cellStyle name="Note 2 2 2 13 6" xfId="31921" xr:uid="{48F7CC44-610F-471B-B3BC-B2297DB71D44}"/>
    <cellStyle name="Note 2 2 2 13 7" xfId="31922" xr:uid="{2D0A677D-C449-49A0-8EB9-C4CFE466B96F}"/>
    <cellStyle name="Note 2 2 2 14" xfId="2099" xr:uid="{C16497FE-4587-4997-8040-8B7E4A52C547}"/>
    <cellStyle name="Note 2 2 2 14 2" xfId="11126" xr:uid="{4884D4A0-5AB9-44D8-9A43-1489ACA2B8FD}"/>
    <cellStyle name="Note 2 2 2 14 2 2" xfId="31923" xr:uid="{76076D37-FCE4-47EC-98BA-D4086C781A79}"/>
    <cellStyle name="Note 2 2 2 14 2 3" xfId="31924" xr:uid="{AD4FF18D-366C-422E-A4C4-7FC4CA363A71}"/>
    <cellStyle name="Note 2 2 2 14 2 4" xfId="31925" xr:uid="{B6B417F9-7C69-4AD3-9608-F2B2AE6A0D79}"/>
    <cellStyle name="Note 2 2 2 14 2 5" xfId="31926" xr:uid="{F0B88836-7669-4AAA-9EDA-01C1EAC18ED3}"/>
    <cellStyle name="Note 2 2 2 14 2 6" xfId="31927" xr:uid="{495533FD-DB58-4737-88E5-14B4B1B97BEC}"/>
    <cellStyle name="Note 2 2 2 14 3" xfId="31928" xr:uid="{EA511BA1-C7AF-4922-BC45-324923FACDAF}"/>
    <cellStyle name="Note 2 2 2 14 4" xfId="31929" xr:uid="{D78B0EA6-3FDC-4BF4-93B1-4C8EAB114F17}"/>
    <cellStyle name="Note 2 2 2 14 5" xfId="31930" xr:uid="{33881D8D-F311-436F-963F-3CD32A878AC8}"/>
    <cellStyle name="Note 2 2 2 14 6" xfId="31931" xr:uid="{C3D8C4FA-530B-4F8A-9D18-3892FFD6D446}"/>
    <cellStyle name="Note 2 2 2 14 7" xfId="31932" xr:uid="{A6A9DB69-B225-4884-A946-568C6CAE0172}"/>
    <cellStyle name="Note 2 2 2 15" xfId="2100" xr:uid="{586A8EC8-A19F-4BCB-9388-4342998FB345}"/>
    <cellStyle name="Note 2 2 2 15 2" xfId="11209" xr:uid="{463ED3F3-BA12-4481-A080-D437C8F4136A}"/>
    <cellStyle name="Note 2 2 2 15 2 2" xfId="31933" xr:uid="{3FFA707A-89BC-4926-A7DB-CE03A3D1AB05}"/>
    <cellStyle name="Note 2 2 2 15 2 3" xfId="31934" xr:uid="{B46A71FC-CF5D-4D83-8D3F-70AE95E12ECE}"/>
    <cellStyle name="Note 2 2 2 15 2 4" xfId="31935" xr:uid="{6F8034FF-E5F7-43C3-96E0-89601D9E39D0}"/>
    <cellStyle name="Note 2 2 2 15 2 5" xfId="31936" xr:uid="{3BC5200F-ED14-4C26-B98C-121148FEC506}"/>
    <cellStyle name="Note 2 2 2 15 2 6" xfId="31937" xr:uid="{946E8F65-614F-496A-A4B3-EB0EEC6B814B}"/>
    <cellStyle name="Note 2 2 2 15 3" xfId="31938" xr:uid="{F966B321-C7F5-4967-99C9-B46B33F0737C}"/>
    <cellStyle name="Note 2 2 2 15 4" xfId="31939" xr:uid="{F29E5739-DC7E-4912-894C-6E7DD48A449E}"/>
    <cellStyle name="Note 2 2 2 15 5" xfId="31940" xr:uid="{04392299-A785-4115-9D06-F3C50EF06A35}"/>
    <cellStyle name="Note 2 2 2 15 6" xfId="31941" xr:uid="{1B444422-41EB-4F8A-9BD4-48FF458C235D}"/>
    <cellStyle name="Note 2 2 2 15 7" xfId="31942" xr:uid="{40AFE230-08C0-4BED-9552-91042876FF5F}"/>
    <cellStyle name="Note 2 2 2 16" xfId="2101" xr:uid="{278C123C-1475-45E5-B30A-24C6C84660D9}"/>
    <cellStyle name="Note 2 2 2 16 2" xfId="11299" xr:uid="{25648EDB-9565-4B8F-A43F-5FBE4F65B18C}"/>
    <cellStyle name="Note 2 2 2 16 2 2" xfId="31943" xr:uid="{2BAB1CCE-4CFB-4EA9-A2A5-52F3E5B8A47A}"/>
    <cellStyle name="Note 2 2 2 16 2 3" xfId="31944" xr:uid="{994AF3C6-72AA-49BA-9D85-64DB2C519E6F}"/>
    <cellStyle name="Note 2 2 2 16 2 4" xfId="31945" xr:uid="{911E809C-E520-411C-A8D6-31F26649449A}"/>
    <cellStyle name="Note 2 2 2 16 2 5" xfId="31946" xr:uid="{E1F89CF0-AD14-49FD-96E1-334628A8FF53}"/>
    <cellStyle name="Note 2 2 2 16 2 6" xfId="31947" xr:uid="{9C996D92-84D2-47C0-8B07-C26F068F95E6}"/>
    <cellStyle name="Note 2 2 2 16 3" xfId="31948" xr:uid="{BF2882A4-ED1D-43EE-A59A-EE2DA736BB5B}"/>
    <cellStyle name="Note 2 2 2 16 4" xfId="31949" xr:uid="{06E39DC0-12C0-4EB8-B9AA-ABFE3C4CFF30}"/>
    <cellStyle name="Note 2 2 2 16 5" xfId="31950" xr:uid="{56843BB4-807A-4B4E-A72C-D50AE9EC8518}"/>
    <cellStyle name="Note 2 2 2 16 6" xfId="31951" xr:uid="{8728D620-7224-4375-AF55-2F03EA34F6D8}"/>
    <cellStyle name="Note 2 2 2 16 7" xfId="31952" xr:uid="{1895040C-1886-480D-9E4D-2EADA27E0812}"/>
    <cellStyle name="Note 2 2 2 17" xfId="2102" xr:uid="{F4178C0A-3D6E-47B7-B940-0B0803637CE7}"/>
    <cellStyle name="Note 2 2 2 17 2" xfId="11385" xr:uid="{ACAB1BD7-511E-421C-8197-F0679394D4B8}"/>
    <cellStyle name="Note 2 2 2 17 2 2" xfId="31953" xr:uid="{B852BD23-9E09-494F-B048-1DA6B96ACEE8}"/>
    <cellStyle name="Note 2 2 2 17 2 3" xfId="31954" xr:uid="{0188155B-DADE-4A1E-87ED-7299387C5AA3}"/>
    <cellStyle name="Note 2 2 2 17 2 4" xfId="31955" xr:uid="{C90B3215-DC9A-489F-9197-AA3A8C2FC3A0}"/>
    <cellStyle name="Note 2 2 2 17 2 5" xfId="31956" xr:uid="{A1B399E0-301A-4863-856D-EB0662C660E9}"/>
    <cellStyle name="Note 2 2 2 17 2 6" xfId="31957" xr:uid="{800D461E-9147-4963-8828-5FFF4156CB37}"/>
    <cellStyle name="Note 2 2 2 17 3" xfId="31958" xr:uid="{6C08F680-0280-44FC-90CA-BCB665D67CCA}"/>
    <cellStyle name="Note 2 2 2 17 4" xfId="31959" xr:uid="{38FF6C23-3B2E-4756-93D2-C7CB69112E9A}"/>
    <cellStyle name="Note 2 2 2 17 5" xfId="31960" xr:uid="{CD570AD2-241C-4D2A-AAA2-BF655DC39194}"/>
    <cellStyle name="Note 2 2 2 17 6" xfId="31961" xr:uid="{BF834D1F-D3AD-47B3-B4A8-7E00CCB13C77}"/>
    <cellStyle name="Note 2 2 2 17 7" xfId="31962" xr:uid="{FF988C4D-C964-4E4F-B1E1-894D7123A41D}"/>
    <cellStyle name="Note 2 2 2 18" xfId="2103" xr:uid="{D18A94FB-A5C2-4344-A0B2-A0EB2CEC7BE4}"/>
    <cellStyle name="Note 2 2 2 18 2" xfId="11472" xr:uid="{DE24BFC9-9C81-4C1D-BE3E-66DB316742FC}"/>
    <cellStyle name="Note 2 2 2 18 2 2" xfId="31963" xr:uid="{B3801543-B1BE-46F6-ADD2-83D9A75784EA}"/>
    <cellStyle name="Note 2 2 2 18 2 3" xfId="31964" xr:uid="{B8A5FB4B-5B4B-4ABF-99A9-478ACA142CBC}"/>
    <cellStyle name="Note 2 2 2 18 2 4" xfId="31965" xr:uid="{F624C47B-CFB3-4EA2-BCAC-6B4B5FC33707}"/>
    <cellStyle name="Note 2 2 2 18 2 5" xfId="31966" xr:uid="{09EFA8E3-3890-48A1-8065-2241D2E03740}"/>
    <cellStyle name="Note 2 2 2 18 2 6" xfId="31967" xr:uid="{3F51FC58-1C4A-4B96-BB5D-C227EFD3F8BD}"/>
    <cellStyle name="Note 2 2 2 18 3" xfId="31968" xr:uid="{7AADDC29-2A08-4347-AB85-F74E9375D786}"/>
    <cellStyle name="Note 2 2 2 18 4" xfId="31969" xr:uid="{9A13F1A1-391C-4BC5-9474-C341CEEA05B0}"/>
    <cellStyle name="Note 2 2 2 18 5" xfId="31970" xr:uid="{75D4A9FA-5D9E-4921-9CCD-794980B5A2E6}"/>
    <cellStyle name="Note 2 2 2 18 6" xfId="31971" xr:uid="{045B2B92-10E7-4D1A-AC77-0663F980CF44}"/>
    <cellStyle name="Note 2 2 2 18 7" xfId="31972" xr:uid="{E76E6B67-5743-4A8C-A42D-1E4BB590CBBE}"/>
    <cellStyle name="Note 2 2 2 19" xfId="2104" xr:uid="{CC91CD83-CC1C-47D6-A751-522E21040316}"/>
    <cellStyle name="Note 2 2 2 19 2" xfId="11559" xr:uid="{B3FD8888-88BB-4980-B481-D9480AE5697A}"/>
    <cellStyle name="Note 2 2 2 19 2 2" xfId="31973" xr:uid="{E2A5222C-0E0F-43CB-80A5-7DA7C65BB0AB}"/>
    <cellStyle name="Note 2 2 2 19 2 3" xfId="31974" xr:uid="{5710875B-1FF0-4FE6-BD6F-2091EEF59F42}"/>
    <cellStyle name="Note 2 2 2 19 2 4" xfId="31975" xr:uid="{40285621-796A-4407-A9C7-F92C77CC12A3}"/>
    <cellStyle name="Note 2 2 2 19 2 5" xfId="31976" xr:uid="{38987B71-B510-47BD-8B97-D4311A43CE85}"/>
    <cellStyle name="Note 2 2 2 19 2 6" xfId="31977" xr:uid="{EC781D01-40F4-4695-9090-90DF30ADD378}"/>
    <cellStyle name="Note 2 2 2 19 3" xfId="31978" xr:uid="{82078A8C-A2A3-49B8-AB6C-6C5D77996979}"/>
    <cellStyle name="Note 2 2 2 19 4" xfId="31979" xr:uid="{2B86E109-DCC7-4B32-8C1B-0C63D89E6EDB}"/>
    <cellStyle name="Note 2 2 2 19 5" xfId="31980" xr:uid="{D3ECE536-7EFA-4783-A00C-DE1C87CAE212}"/>
    <cellStyle name="Note 2 2 2 19 6" xfId="31981" xr:uid="{C561E8D7-FF4A-4B14-9653-1DB1EEA52D21}"/>
    <cellStyle name="Note 2 2 2 19 7" xfId="31982" xr:uid="{C9A5CD78-BD2B-435A-A9E6-83ED5678D927}"/>
    <cellStyle name="Note 2 2 2 2" xfId="2105" xr:uid="{9DEF61BF-F913-433A-A5F6-8BD4D4215E1A}"/>
    <cellStyle name="Note 2 2 2 2 2" xfId="10066" xr:uid="{0F19A6EE-F764-408A-9DA4-CDAFEB08E358}"/>
    <cellStyle name="Note 2 2 2 2 2 2" xfId="31983" xr:uid="{E22C755A-D32C-4FC8-B258-8E436C4F8C6D}"/>
    <cellStyle name="Note 2 2 2 2 2 3" xfId="31984" xr:uid="{14B82C0E-E47B-4CA7-8C37-A47D07412FEB}"/>
    <cellStyle name="Note 2 2 2 2 2 4" xfId="31985" xr:uid="{B6D22517-01AF-4EE7-AC5C-F7B1068BE624}"/>
    <cellStyle name="Note 2 2 2 2 2 5" xfId="31986" xr:uid="{1407221E-C210-430B-A722-25C512307837}"/>
    <cellStyle name="Note 2 2 2 2 2 6" xfId="31987" xr:uid="{BB26EA24-033B-459C-98B4-F3DACBE5200A}"/>
    <cellStyle name="Note 2 2 2 2 3" xfId="31988" xr:uid="{C6D991FA-8407-4506-969D-014B3094FCB1}"/>
    <cellStyle name="Note 2 2 2 2 4" xfId="31989" xr:uid="{CD3B3305-42BB-4979-8F2D-5730E38287A1}"/>
    <cellStyle name="Note 2 2 2 2 5" xfId="31990" xr:uid="{D35EDE80-E5ED-4802-90B8-C13C81F8589F}"/>
    <cellStyle name="Note 2 2 2 2 6" xfId="31991" xr:uid="{FB19E6DB-A44E-4E60-9DD7-36679F1D7548}"/>
    <cellStyle name="Note 2 2 2 2 7" xfId="31992" xr:uid="{FC61CFBD-C798-456B-91E7-AB107E20E80D}"/>
    <cellStyle name="Note 2 2 2 20" xfId="2106" xr:uid="{28DD7DBB-FACA-4281-AB24-877DE86A49F0}"/>
    <cellStyle name="Note 2 2 2 20 2" xfId="11647" xr:uid="{0C7480E4-E8CE-440F-99E4-36B9D84CE3E3}"/>
    <cellStyle name="Note 2 2 2 20 2 2" xfId="31993" xr:uid="{DDEF3791-D6AB-428D-8EC2-4DBE91FF3EDB}"/>
    <cellStyle name="Note 2 2 2 20 2 3" xfId="31994" xr:uid="{BF9062D7-DC08-4884-94BE-3C65BB81B63A}"/>
    <cellStyle name="Note 2 2 2 20 2 4" xfId="31995" xr:uid="{DB9EFE0E-6828-4BD7-9DAB-3B1DB8F2A6FB}"/>
    <cellStyle name="Note 2 2 2 20 2 5" xfId="31996" xr:uid="{8C9A8077-D5CE-49CC-AC09-1A56B1202322}"/>
    <cellStyle name="Note 2 2 2 20 2 6" xfId="31997" xr:uid="{AB6D402A-AFB9-44E0-9A95-271ED69CB5DB}"/>
    <cellStyle name="Note 2 2 2 20 3" xfId="31998" xr:uid="{7EFD7B93-83BD-43C3-965E-951DB14D7D37}"/>
    <cellStyle name="Note 2 2 2 20 4" xfId="31999" xr:uid="{D72FE19F-1E00-45F8-8CE1-67C4D7DC29DD}"/>
    <cellStyle name="Note 2 2 2 20 5" xfId="32000" xr:uid="{69DE271D-5242-4EC6-BB7E-EAB02A698EB2}"/>
    <cellStyle name="Note 2 2 2 20 6" xfId="32001" xr:uid="{A6A862F7-77AF-4754-A4F5-5BC03936B793}"/>
    <cellStyle name="Note 2 2 2 20 7" xfId="32002" xr:uid="{BF8EF871-D128-4B32-AC09-B7284F05F962}"/>
    <cellStyle name="Note 2 2 2 21" xfId="2107" xr:uid="{CBC3C1A3-21E6-42B9-B5D6-2023BBE81C8B}"/>
    <cellStyle name="Note 2 2 2 21 2" xfId="11731" xr:uid="{67A1D39F-6789-49C6-8FE3-3D7B42E9C12D}"/>
    <cellStyle name="Note 2 2 2 21 2 2" xfId="32003" xr:uid="{1DCF0C7C-29F6-495C-97AB-209DE173BC4C}"/>
    <cellStyle name="Note 2 2 2 21 2 3" xfId="32004" xr:uid="{61E935B3-FE9E-4535-99CF-48EDDC4D3B7B}"/>
    <cellStyle name="Note 2 2 2 21 2 4" xfId="32005" xr:uid="{DFBC2027-8013-43A5-B8B2-82E4A0B85F42}"/>
    <cellStyle name="Note 2 2 2 21 2 5" xfId="32006" xr:uid="{D4A73AC4-A2EF-445E-A9AC-C335BDDC56BA}"/>
    <cellStyle name="Note 2 2 2 21 2 6" xfId="32007" xr:uid="{E4B346B2-337E-4AEB-A0AC-529EAF978790}"/>
    <cellStyle name="Note 2 2 2 21 3" xfId="32008" xr:uid="{B48A402E-90BC-4A54-B5BB-05D7132266B8}"/>
    <cellStyle name="Note 2 2 2 21 4" xfId="32009" xr:uid="{5018FCBF-A989-4755-9757-4085943E174D}"/>
    <cellStyle name="Note 2 2 2 21 5" xfId="32010" xr:uid="{5BEB0034-8488-4D23-A6DB-DB406E4A50DE}"/>
    <cellStyle name="Note 2 2 2 21 6" xfId="32011" xr:uid="{1252CAEF-39E4-41EC-84B6-7D18DBB37DA5}"/>
    <cellStyle name="Note 2 2 2 21 7" xfId="32012" xr:uid="{3089F6D4-60AF-417E-8E60-3ED29F3693F9}"/>
    <cellStyle name="Note 2 2 2 22" xfId="2108" xr:uid="{DA5E83B0-AEB7-443B-B954-020BA49C6D9C}"/>
    <cellStyle name="Note 2 2 2 22 2" xfId="11814" xr:uid="{D8C8AA19-CBDA-4639-90CC-B099BDE25A45}"/>
    <cellStyle name="Note 2 2 2 22 2 2" xfId="32013" xr:uid="{1104C97A-8B71-4EF6-8A15-1D3E739D511A}"/>
    <cellStyle name="Note 2 2 2 22 2 3" xfId="32014" xr:uid="{5623E15B-D51B-4307-81EF-BDDDD4C613EA}"/>
    <cellStyle name="Note 2 2 2 22 2 4" xfId="32015" xr:uid="{C476E472-E40B-4F69-8225-866D66D536F6}"/>
    <cellStyle name="Note 2 2 2 22 2 5" xfId="32016" xr:uid="{9628200A-4B46-4DDB-BB6E-2521D4495DAD}"/>
    <cellStyle name="Note 2 2 2 22 2 6" xfId="32017" xr:uid="{CC87AB87-4381-43C3-88DA-1C6AB9EF23CB}"/>
    <cellStyle name="Note 2 2 2 22 3" xfId="32018" xr:uid="{D5551AF6-C6A7-447B-A651-B440AD2A88CD}"/>
    <cellStyle name="Note 2 2 2 22 4" xfId="32019" xr:uid="{D128A503-798D-4DBF-A52A-7E089A53FD67}"/>
    <cellStyle name="Note 2 2 2 22 5" xfId="32020" xr:uid="{2C149026-9FDC-4489-8B0F-40B4E92E8ACB}"/>
    <cellStyle name="Note 2 2 2 22 6" xfId="32021" xr:uid="{A8A48126-DC5A-4D63-B928-B607880D4E7E}"/>
    <cellStyle name="Note 2 2 2 22 7" xfId="32022" xr:uid="{920B4E96-6C9A-402B-B003-B83754398546}"/>
    <cellStyle name="Note 2 2 2 23" xfId="2109" xr:uid="{B4EA8B0E-CC88-4760-A382-699AC00C4A9E}"/>
    <cellStyle name="Note 2 2 2 23 2" xfId="11897" xr:uid="{A3CBEEAF-3AA3-4031-BE87-005DC465E2AD}"/>
    <cellStyle name="Note 2 2 2 23 2 2" xfId="32023" xr:uid="{BE13ED77-D459-484E-B5EE-8CF30D2D096A}"/>
    <cellStyle name="Note 2 2 2 23 2 3" xfId="32024" xr:uid="{72853636-28DC-466C-8D15-F273C7506A46}"/>
    <cellStyle name="Note 2 2 2 23 2 4" xfId="32025" xr:uid="{A5CB5BA4-E6F4-469C-9FD3-1CF72AB615D9}"/>
    <cellStyle name="Note 2 2 2 23 2 5" xfId="32026" xr:uid="{97C73506-83ED-4DFA-BC2E-7C80A24C0910}"/>
    <cellStyle name="Note 2 2 2 23 2 6" xfId="32027" xr:uid="{A8A81820-3811-4880-B917-1844FC3369A1}"/>
    <cellStyle name="Note 2 2 2 23 3" xfId="32028" xr:uid="{ECB4AD2F-7D8F-4983-A8AE-F457D7108B87}"/>
    <cellStyle name="Note 2 2 2 23 4" xfId="32029" xr:uid="{8C911103-1EF8-4D4B-87DD-59947CC45254}"/>
    <cellStyle name="Note 2 2 2 23 5" xfId="32030" xr:uid="{BDDBA7D1-12E8-4F65-8767-96319927CDB4}"/>
    <cellStyle name="Note 2 2 2 23 6" xfId="32031" xr:uid="{6B208844-21CE-4724-9DC5-C19F67CEF554}"/>
    <cellStyle name="Note 2 2 2 23 7" xfId="32032" xr:uid="{616B983F-4DCA-4BC3-89DC-69D64EE79EBF}"/>
    <cellStyle name="Note 2 2 2 24" xfId="2110" xr:uid="{BB9C8291-04BE-46C4-9309-A119DC331061}"/>
    <cellStyle name="Note 2 2 2 24 2" xfId="11981" xr:uid="{76FB4C99-E693-4D57-9ADC-BC3C97CB2EF5}"/>
    <cellStyle name="Note 2 2 2 24 2 2" xfId="32033" xr:uid="{FD0E1F1A-0DB3-49F5-A938-79CBBE06FE20}"/>
    <cellStyle name="Note 2 2 2 24 2 3" xfId="32034" xr:uid="{1367E5E6-7CFC-4054-8B22-ACB2B91E8E07}"/>
    <cellStyle name="Note 2 2 2 24 2 4" xfId="32035" xr:uid="{9B62621D-120B-4557-8A6B-139F28FF3960}"/>
    <cellStyle name="Note 2 2 2 24 2 5" xfId="32036" xr:uid="{0453687E-52AE-47E2-9508-AF356E1B97E4}"/>
    <cellStyle name="Note 2 2 2 24 2 6" xfId="32037" xr:uid="{A8A85BB8-1EAB-4F17-B098-5948560C106F}"/>
    <cellStyle name="Note 2 2 2 24 3" xfId="32038" xr:uid="{F1F21147-3DC5-4481-ADF1-439B07767D7C}"/>
    <cellStyle name="Note 2 2 2 24 4" xfId="32039" xr:uid="{F25B71D9-9B5B-4812-AA51-E8022FB8DF57}"/>
    <cellStyle name="Note 2 2 2 24 5" xfId="32040" xr:uid="{42C90171-91D3-428F-9306-723765EF8907}"/>
    <cellStyle name="Note 2 2 2 24 6" xfId="32041" xr:uid="{89700612-0105-4925-BAE6-FA76B4DD08C8}"/>
    <cellStyle name="Note 2 2 2 24 7" xfId="32042" xr:uid="{038AAA64-A52C-474E-873D-4AC60FD356B5}"/>
    <cellStyle name="Note 2 2 2 25" xfId="2111" xr:uid="{4ABAFDAD-4DCB-44B8-80FE-866CAB8A69F9}"/>
    <cellStyle name="Note 2 2 2 25 2" xfId="12064" xr:uid="{81046EBF-F796-41B2-925C-ECC1160D6AEA}"/>
    <cellStyle name="Note 2 2 2 25 2 2" xfId="32043" xr:uid="{45F37F72-9473-4A6C-B84D-E8CDFEF47742}"/>
    <cellStyle name="Note 2 2 2 25 2 3" xfId="32044" xr:uid="{9342C06C-A8AC-4343-85F7-9323A10B2A31}"/>
    <cellStyle name="Note 2 2 2 25 2 4" xfId="32045" xr:uid="{C55B73E6-ADCF-491E-8C21-581A3649EFC8}"/>
    <cellStyle name="Note 2 2 2 25 2 5" xfId="32046" xr:uid="{E3A16FDA-BA87-4434-B2E9-59D96EC034C7}"/>
    <cellStyle name="Note 2 2 2 25 2 6" xfId="32047" xr:uid="{AD5C1059-7471-4C06-867C-158043AE6FD0}"/>
    <cellStyle name="Note 2 2 2 25 3" xfId="32048" xr:uid="{C09370F4-D9AE-47A2-A83A-8D8F1F000E29}"/>
    <cellStyle name="Note 2 2 2 25 4" xfId="32049" xr:uid="{35E6D35E-A917-47D6-BA55-D20032C6E19E}"/>
    <cellStyle name="Note 2 2 2 25 5" xfId="32050" xr:uid="{5677A1D6-8281-4E22-84FD-7A93A3A7A488}"/>
    <cellStyle name="Note 2 2 2 25 6" xfId="32051" xr:uid="{F2A19D34-309E-41F4-928F-8566CD933723}"/>
    <cellStyle name="Note 2 2 2 25 7" xfId="32052" xr:uid="{F42A553D-E790-402F-86C9-6343FD011171}"/>
    <cellStyle name="Note 2 2 2 26" xfId="2112" xr:uid="{3B9F96F2-FA16-40F5-A1AF-1614591C3254}"/>
    <cellStyle name="Note 2 2 2 26 2" xfId="12147" xr:uid="{46160D7F-E85D-475C-8374-DB08A4FF841A}"/>
    <cellStyle name="Note 2 2 2 26 2 2" xfId="32053" xr:uid="{1958FF72-EC20-45E6-A01A-2FC8568A9333}"/>
    <cellStyle name="Note 2 2 2 26 2 3" xfId="32054" xr:uid="{BB6E2D4C-C16B-4392-B574-C48FCC33FF71}"/>
    <cellStyle name="Note 2 2 2 26 2 4" xfId="32055" xr:uid="{871608B4-6821-4D7D-86F3-B3B84C1DB70D}"/>
    <cellStyle name="Note 2 2 2 26 2 5" xfId="32056" xr:uid="{CEF716C8-F495-411C-BECB-ED1497736F9B}"/>
    <cellStyle name="Note 2 2 2 26 2 6" xfId="32057" xr:uid="{4F6FE9D2-8B9C-4FD8-8CD8-7AAA109B0D63}"/>
    <cellStyle name="Note 2 2 2 26 3" xfId="32058" xr:uid="{28A41DB8-908F-4DF5-83B9-15E5195D5928}"/>
    <cellStyle name="Note 2 2 2 26 4" xfId="32059" xr:uid="{3F9D228E-7A61-4C00-816F-A954954A7129}"/>
    <cellStyle name="Note 2 2 2 26 5" xfId="32060" xr:uid="{82B82D0C-D910-458D-9D99-4AD603C7A3EA}"/>
    <cellStyle name="Note 2 2 2 26 6" xfId="32061" xr:uid="{8D4465EF-3B8E-48A1-BF06-BC52AFC290D9}"/>
    <cellStyle name="Note 2 2 2 26 7" xfId="32062" xr:uid="{1DD5068B-33B3-46BB-9A0B-B6E03D1EB29F}"/>
    <cellStyle name="Note 2 2 2 27" xfId="2113" xr:uid="{1CB46157-A9BB-4EEA-955C-22FE97B1AF8B}"/>
    <cellStyle name="Note 2 2 2 27 2" xfId="12229" xr:uid="{8BB716F0-0CEF-47B9-AD71-08E00A1FB377}"/>
    <cellStyle name="Note 2 2 2 27 2 2" xfId="32063" xr:uid="{2D1B4AFF-0D84-4C59-8CEF-0C236CF58E57}"/>
    <cellStyle name="Note 2 2 2 27 2 3" xfId="32064" xr:uid="{1AB9430F-EF50-4DEA-B389-B9F8BBEB5680}"/>
    <cellStyle name="Note 2 2 2 27 2 4" xfId="32065" xr:uid="{919D9B24-3B71-43DE-AF16-F8D95211D992}"/>
    <cellStyle name="Note 2 2 2 27 2 5" xfId="32066" xr:uid="{0AC3FF01-B572-4E58-A25B-2DCB0C3B75FA}"/>
    <cellStyle name="Note 2 2 2 27 2 6" xfId="32067" xr:uid="{2086E620-31F2-4AAC-984D-3A274F23A491}"/>
    <cellStyle name="Note 2 2 2 27 3" xfId="32068" xr:uid="{CADB9466-75EF-4BB9-8D4C-5A7161DCCAD3}"/>
    <cellStyle name="Note 2 2 2 27 4" xfId="32069" xr:uid="{24B8CB0D-0D7F-4CEC-9A36-5D2F4AE55BBE}"/>
    <cellStyle name="Note 2 2 2 27 5" xfId="32070" xr:uid="{188745A9-A947-4F2B-9A39-7289467E7DD2}"/>
    <cellStyle name="Note 2 2 2 27 6" xfId="32071" xr:uid="{C3E1084C-D98C-4708-8A8C-7F367802B9BE}"/>
    <cellStyle name="Note 2 2 2 27 7" xfId="32072" xr:uid="{74E14952-A1A0-4667-BF16-ECCE7A49F23D}"/>
    <cellStyle name="Note 2 2 2 28" xfId="2114" xr:uid="{52EC1C63-D1CA-4A63-8CEF-4AF981B81CBB}"/>
    <cellStyle name="Note 2 2 2 28 2" xfId="12309" xr:uid="{5C357F25-A0C9-46AB-9A97-3DB04797D32F}"/>
    <cellStyle name="Note 2 2 2 28 2 2" xfId="32073" xr:uid="{8BED6BAF-7948-4C10-9A60-B86BFDABDC9D}"/>
    <cellStyle name="Note 2 2 2 28 2 3" xfId="32074" xr:uid="{18929293-6483-412E-9A80-57AF8952CCC8}"/>
    <cellStyle name="Note 2 2 2 28 2 4" xfId="32075" xr:uid="{6156A112-CD2E-4251-8A80-8A02F449B68E}"/>
    <cellStyle name="Note 2 2 2 28 2 5" xfId="32076" xr:uid="{ED6EF5CC-E923-4987-A61F-521E914C2116}"/>
    <cellStyle name="Note 2 2 2 28 2 6" xfId="32077" xr:uid="{A9D28AE7-39B8-4954-BC30-A7C78D235840}"/>
    <cellStyle name="Note 2 2 2 28 3" xfId="32078" xr:uid="{177A31C6-469C-47E6-B963-6D96EB2A81BB}"/>
    <cellStyle name="Note 2 2 2 28 4" xfId="32079" xr:uid="{9FDEE126-450A-429C-8508-363077946BFB}"/>
    <cellStyle name="Note 2 2 2 28 5" xfId="32080" xr:uid="{910258E2-9AC7-414E-88E7-DC97115CC155}"/>
    <cellStyle name="Note 2 2 2 28 6" xfId="32081" xr:uid="{3361C637-3E75-4352-A94B-BDA2564F6A84}"/>
    <cellStyle name="Note 2 2 2 28 7" xfId="32082" xr:uid="{1C3F7B26-A9DD-4D8F-BD27-18F279F0EB27}"/>
    <cellStyle name="Note 2 2 2 29" xfId="2115" xr:uid="{68727BA9-0E1F-4A92-B0EA-7D8E4B138CA5}"/>
    <cellStyle name="Note 2 2 2 29 2" xfId="12387" xr:uid="{CF8E4E59-95AA-4213-8576-742BF80398F9}"/>
    <cellStyle name="Note 2 2 2 29 2 2" xfId="32083" xr:uid="{1C8EAF7B-A9CF-4A21-96A9-6F4AB3702354}"/>
    <cellStyle name="Note 2 2 2 29 2 3" xfId="32084" xr:uid="{53DA6A3D-3C5D-450F-AE1B-9AD375D9A652}"/>
    <cellStyle name="Note 2 2 2 29 2 4" xfId="32085" xr:uid="{B7622D87-3FAB-4771-A8C2-83F2CFDE543D}"/>
    <cellStyle name="Note 2 2 2 29 2 5" xfId="32086" xr:uid="{446DA721-DC51-4438-AB38-297E9467F576}"/>
    <cellStyle name="Note 2 2 2 29 2 6" xfId="32087" xr:uid="{94770E63-0B77-4CF5-A8B0-50CE4766C199}"/>
    <cellStyle name="Note 2 2 2 29 3" xfId="32088" xr:uid="{0E025CC6-81E1-47AC-ACD3-691DFD983AB8}"/>
    <cellStyle name="Note 2 2 2 29 4" xfId="32089" xr:uid="{D82814FC-1F9B-4360-B6A2-23334EE5D1F8}"/>
    <cellStyle name="Note 2 2 2 29 5" xfId="32090" xr:uid="{20CCE7EA-9D82-48A3-A20A-07CAD0F87D6B}"/>
    <cellStyle name="Note 2 2 2 29 6" xfId="32091" xr:uid="{7C35C839-BC2E-4BD4-9AD6-3CA2B9D63AC8}"/>
    <cellStyle name="Note 2 2 2 29 7" xfId="32092" xr:uid="{A60BE4D3-F4BD-4F14-BFF2-C19968EE0527}"/>
    <cellStyle name="Note 2 2 2 3" xfId="2116" xr:uid="{651542FC-3827-4434-AB12-218B32BE1568}"/>
    <cellStyle name="Note 2 2 2 3 2" xfId="10157" xr:uid="{B59D0BC9-27E9-4623-B637-0D1C4AE1BDBA}"/>
    <cellStyle name="Note 2 2 2 3 2 2" xfId="32093" xr:uid="{EF973D9A-958C-4140-862F-19CAA18B11AB}"/>
    <cellStyle name="Note 2 2 2 3 2 3" xfId="32094" xr:uid="{992A0B13-59DE-4F92-BED4-0544AA9E9DE4}"/>
    <cellStyle name="Note 2 2 2 3 2 4" xfId="32095" xr:uid="{0AD028BE-B4C4-4B47-848C-AC69AAEC6B6A}"/>
    <cellStyle name="Note 2 2 2 3 2 5" xfId="32096" xr:uid="{C6EA5642-545E-4026-A14E-2615DB3808D2}"/>
    <cellStyle name="Note 2 2 2 3 2 6" xfId="32097" xr:uid="{28D0AF6F-531F-4351-AEB4-41FC4C666254}"/>
    <cellStyle name="Note 2 2 2 3 3" xfId="32098" xr:uid="{BE26D7A9-B9B7-48DA-8699-D5E3181AA13A}"/>
    <cellStyle name="Note 2 2 2 3 4" xfId="32099" xr:uid="{F1D1C8E0-DA3D-453B-A7ED-2945F8F323C3}"/>
    <cellStyle name="Note 2 2 2 3 5" xfId="32100" xr:uid="{1A89AAC6-BF52-4B25-85C8-72F1883DC769}"/>
    <cellStyle name="Note 2 2 2 3 6" xfId="32101" xr:uid="{08BEEEE8-A772-4C26-B3DD-598D5857AE9E}"/>
    <cellStyle name="Note 2 2 2 3 7" xfId="32102" xr:uid="{745CB477-ED42-4357-B65A-42A0581DE86F}"/>
    <cellStyle name="Note 2 2 2 30" xfId="2117" xr:uid="{207BBC36-851A-4208-BBF6-814BEFCE0E5E}"/>
    <cellStyle name="Note 2 2 2 30 2" xfId="12466" xr:uid="{31F619A1-4519-42D2-B462-D674A226F50E}"/>
    <cellStyle name="Note 2 2 2 30 2 2" xfId="32103" xr:uid="{929B7A31-5530-4A37-AC81-D5F999B5A833}"/>
    <cellStyle name="Note 2 2 2 30 2 3" xfId="32104" xr:uid="{4D815FAC-7FD6-41A1-9FED-6BFD27275059}"/>
    <cellStyle name="Note 2 2 2 30 2 4" xfId="32105" xr:uid="{C6A1B977-5519-4C05-A2D2-87FFCBD3DCFE}"/>
    <cellStyle name="Note 2 2 2 30 2 5" xfId="32106" xr:uid="{B520D5B5-4187-4CCE-8645-BCD84D6050F6}"/>
    <cellStyle name="Note 2 2 2 30 2 6" xfId="32107" xr:uid="{5C83C1EF-EE9A-4C5F-ADF8-6153601A7205}"/>
    <cellStyle name="Note 2 2 2 30 3" xfId="32108" xr:uid="{A825886D-44A8-497F-967C-77A1A0BDB42C}"/>
    <cellStyle name="Note 2 2 2 30 4" xfId="32109" xr:uid="{2E53537F-DA63-4A95-B4B0-95DEA69F2065}"/>
    <cellStyle name="Note 2 2 2 30 5" xfId="32110" xr:uid="{04064F5F-89A5-457E-83EB-7C32EC1628FF}"/>
    <cellStyle name="Note 2 2 2 30 6" xfId="32111" xr:uid="{D633DE60-FADD-4582-981D-F7641053CC2D}"/>
    <cellStyle name="Note 2 2 2 30 7" xfId="32112" xr:uid="{6443A7FF-6F1C-4F95-BC15-8DD02EC14997}"/>
    <cellStyle name="Note 2 2 2 31" xfId="2118" xr:uid="{998EAFBC-F8F5-492B-84E3-2509E2BA62D3}"/>
    <cellStyle name="Note 2 2 2 31 2" xfId="12545" xr:uid="{53ED661B-9F71-4CD5-B608-5AB0CE43FE86}"/>
    <cellStyle name="Note 2 2 2 31 2 2" xfId="32113" xr:uid="{DE9B3E5E-C7C3-467E-9809-CAA5DB20DBFB}"/>
    <cellStyle name="Note 2 2 2 31 2 3" xfId="32114" xr:uid="{AC593031-1A92-4C62-855D-511050691EFF}"/>
    <cellStyle name="Note 2 2 2 31 2 4" xfId="32115" xr:uid="{39857874-6357-403C-8473-BC0B1A85C01D}"/>
    <cellStyle name="Note 2 2 2 31 2 5" xfId="32116" xr:uid="{08C6F2A3-52A5-447C-B113-54F5BB58EC1C}"/>
    <cellStyle name="Note 2 2 2 31 2 6" xfId="32117" xr:uid="{B6F3061E-B682-4932-9A62-A7A467DB058D}"/>
    <cellStyle name="Note 2 2 2 31 3" xfId="32118" xr:uid="{89D73306-D836-4B34-A0B8-D2538B541699}"/>
    <cellStyle name="Note 2 2 2 31 4" xfId="32119" xr:uid="{F09F3BC4-C97B-4878-B9E4-CF1D7A8E17C9}"/>
    <cellStyle name="Note 2 2 2 31 5" xfId="32120" xr:uid="{BFF94BA4-F283-4370-AE17-3BEDE40F6A7A}"/>
    <cellStyle name="Note 2 2 2 31 6" xfId="32121" xr:uid="{E819BE14-73EF-42E6-82A9-C767D58D4780}"/>
    <cellStyle name="Note 2 2 2 31 7" xfId="32122" xr:uid="{12AFEF21-4F88-4EA9-993A-3D79AA5CB68D}"/>
    <cellStyle name="Note 2 2 2 32" xfId="2119" xr:uid="{36F65DC3-255F-4731-B6A5-05C5A856966B}"/>
    <cellStyle name="Note 2 2 2 32 2" xfId="12624" xr:uid="{A6BDE76E-4870-46BB-BF7C-C340FE5B4D5F}"/>
    <cellStyle name="Note 2 2 2 32 2 2" xfId="32123" xr:uid="{B4C64FEE-B3EF-4C46-B283-5018769910B0}"/>
    <cellStyle name="Note 2 2 2 32 2 3" xfId="32124" xr:uid="{00AB99D3-DE46-46D7-8DFF-D4504A5FC7FA}"/>
    <cellStyle name="Note 2 2 2 32 2 4" xfId="32125" xr:uid="{ED2A2875-2F69-44C9-BAA4-829FF202AF38}"/>
    <cellStyle name="Note 2 2 2 32 2 5" xfId="32126" xr:uid="{022B8DB5-9D91-4AA1-9057-46777FC7DF47}"/>
    <cellStyle name="Note 2 2 2 32 2 6" xfId="32127" xr:uid="{476BAB32-A599-4089-A900-2F4489D0052A}"/>
    <cellStyle name="Note 2 2 2 32 3" xfId="32128" xr:uid="{2F477BBA-DEB9-4203-8312-D4331C9B0054}"/>
    <cellStyle name="Note 2 2 2 32 4" xfId="32129" xr:uid="{CA572E95-B885-4A26-ADF0-12183FE27AAF}"/>
    <cellStyle name="Note 2 2 2 32 5" xfId="32130" xr:uid="{F2023479-0601-429E-B6BD-2A6A27A4A287}"/>
    <cellStyle name="Note 2 2 2 32 6" xfId="32131" xr:uid="{15F506A3-32EA-4A10-B84A-5EF983790D38}"/>
    <cellStyle name="Note 2 2 2 32 7" xfId="32132" xr:uid="{1261DA40-7565-43E8-97C5-7B8148391973}"/>
    <cellStyle name="Note 2 2 2 33" xfId="2120" xr:uid="{90A07174-5B6C-4845-AF08-20296B46E572}"/>
    <cellStyle name="Note 2 2 2 33 2" xfId="12703" xr:uid="{52EC8E59-3647-4DFF-9B5E-95546793BA3E}"/>
    <cellStyle name="Note 2 2 2 33 2 2" xfId="32133" xr:uid="{4229DF4A-7A12-414A-A0BF-8ABF4FF28420}"/>
    <cellStyle name="Note 2 2 2 33 2 3" xfId="32134" xr:uid="{C8B9E447-3652-46FF-BDFE-6CDDED9F127F}"/>
    <cellStyle name="Note 2 2 2 33 2 4" xfId="32135" xr:uid="{4BCDFA5A-BCAE-47AD-ADF9-C39E05DDFAC9}"/>
    <cellStyle name="Note 2 2 2 33 2 5" xfId="32136" xr:uid="{7612A3CD-DA7A-4FCB-B33E-691F8F032AC1}"/>
    <cellStyle name="Note 2 2 2 33 2 6" xfId="32137" xr:uid="{64BCFC8A-9348-4AF6-B5DA-52D0138DB9CF}"/>
    <cellStyle name="Note 2 2 2 33 3" xfId="32138" xr:uid="{45B5D78B-06D2-41BA-AA05-5FDD3E43D0D4}"/>
    <cellStyle name="Note 2 2 2 33 4" xfId="32139" xr:uid="{5C4FAE9B-60BD-46AC-A811-C168EF4D5629}"/>
    <cellStyle name="Note 2 2 2 33 5" xfId="32140" xr:uid="{2CB77DD3-1B61-4235-9B24-5758534683B1}"/>
    <cellStyle name="Note 2 2 2 33 6" xfId="32141" xr:uid="{D2D56B3E-9444-4538-87E7-666A8968E046}"/>
    <cellStyle name="Note 2 2 2 33 7" xfId="32142" xr:uid="{CDAFF7C7-41BE-45EC-B9A6-1A962662090A}"/>
    <cellStyle name="Note 2 2 2 34" xfId="2121" xr:uid="{6A81FE25-2249-4EA7-B8E4-34AE9159D9C4}"/>
    <cellStyle name="Note 2 2 2 34 2" xfId="12787" xr:uid="{9D380CE7-2CC3-4FB5-BAB3-2688BB005768}"/>
    <cellStyle name="Note 2 2 2 34 2 2" xfId="32143" xr:uid="{D1C78D56-346C-4A4F-8BFA-74C332F6780F}"/>
    <cellStyle name="Note 2 2 2 34 2 3" xfId="32144" xr:uid="{4E6BC5B6-5E87-4029-825C-8D465A3F1A69}"/>
    <cellStyle name="Note 2 2 2 34 2 4" xfId="32145" xr:uid="{B5D26FF1-03D8-4CF2-92D7-3646B7001A0E}"/>
    <cellStyle name="Note 2 2 2 34 2 5" xfId="32146" xr:uid="{93FF132C-8CD8-430D-BC9A-89A01D6A7DF8}"/>
    <cellStyle name="Note 2 2 2 34 2 6" xfId="32147" xr:uid="{4BFE17FF-3371-4649-8CF7-7CF6BA67D296}"/>
    <cellStyle name="Note 2 2 2 34 3" xfId="32148" xr:uid="{14FACCCD-50D1-4F5C-993B-AB79641E0E4B}"/>
    <cellStyle name="Note 2 2 2 35" xfId="8879" xr:uid="{DCDEBAC4-7BCC-42B5-85D0-F0BD5DD330CF}"/>
    <cellStyle name="Note 2 2 2 35 2" xfId="32149" xr:uid="{914352FD-1955-4F12-B1D9-777F11C02D6A}"/>
    <cellStyle name="Note 2 2 2 35 3" xfId="32150" xr:uid="{052119FC-D41D-4468-9B7D-571090AFFA49}"/>
    <cellStyle name="Note 2 2 2 35 4" xfId="32151" xr:uid="{EE4D2EB2-4299-46BB-8892-AC1280EFC8C0}"/>
    <cellStyle name="Note 2 2 2 35 5" xfId="32152" xr:uid="{8F74500E-FB64-4074-8A12-337E41509885}"/>
    <cellStyle name="Note 2 2 2 35 6" xfId="32153" xr:uid="{8F9C38D8-B694-44EA-999C-FDF3E0FC962E}"/>
    <cellStyle name="Note 2 2 2 36" xfId="9853" xr:uid="{E6BBD91A-00F7-425E-9FC9-C94985DB3518}"/>
    <cellStyle name="Note 2 2 2 36 2" xfId="32154" xr:uid="{2DC5DE2C-91AA-4032-AAC3-5F3CCB84A16B}"/>
    <cellStyle name="Note 2 2 2 36 3" xfId="32155" xr:uid="{1CF4EEC1-B657-420E-B0B2-7CEC05A1A433}"/>
    <cellStyle name="Note 2 2 2 36 4" xfId="32156" xr:uid="{2D7AC68F-CB9F-4119-AD90-186AA1827E4F}"/>
    <cellStyle name="Note 2 2 2 36 5" xfId="32157" xr:uid="{811AA27D-13AF-4F9B-B6AE-A2493C69442D}"/>
    <cellStyle name="Note 2 2 2 36 6" xfId="32158" xr:uid="{0C4EFC0A-6737-4CF9-9F0A-21A1D4F17AD7}"/>
    <cellStyle name="Note 2 2 2 37" xfId="32159" xr:uid="{B01572B5-2B4C-4E2C-81E3-83D20E9EA6A6}"/>
    <cellStyle name="Note 2 2 2 4" xfId="2122" xr:uid="{CEE1B47C-F255-40EC-B463-333C212C399F}"/>
    <cellStyle name="Note 2 2 2 4 2" xfId="10247" xr:uid="{EBA48E5E-C314-4917-B041-662DB61B612F}"/>
    <cellStyle name="Note 2 2 2 4 2 2" xfId="32160" xr:uid="{18897D68-E482-47F4-96F5-7E528AA5CEF1}"/>
    <cellStyle name="Note 2 2 2 4 2 3" xfId="32161" xr:uid="{B3255C47-FD5E-4A4E-B785-6870DA179A29}"/>
    <cellStyle name="Note 2 2 2 4 2 4" xfId="32162" xr:uid="{C7326A87-ABFE-40CA-A2C5-754DB943C539}"/>
    <cellStyle name="Note 2 2 2 4 2 5" xfId="32163" xr:uid="{FF995AB9-7144-42B6-885B-FDB9916636B8}"/>
    <cellStyle name="Note 2 2 2 4 2 6" xfId="32164" xr:uid="{121475E8-569D-4010-B1A0-359EE1D55B4A}"/>
    <cellStyle name="Note 2 2 2 4 3" xfId="32165" xr:uid="{A044060C-0E76-4C4E-A2AF-60D9E93D831E}"/>
    <cellStyle name="Note 2 2 2 4 4" xfId="32166" xr:uid="{A8ED49BD-64DE-41C8-9CF8-8D09E09CCF4F}"/>
    <cellStyle name="Note 2 2 2 4 5" xfId="32167" xr:uid="{7292C151-76C4-4317-904B-EEBE87711FD1}"/>
    <cellStyle name="Note 2 2 2 4 6" xfId="32168" xr:uid="{478AE5E8-1FB9-41D9-BAEE-62838EFB6FD5}"/>
    <cellStyle name="Note 2 2 2 4 7" xfId="32169" xr:uid="{690FD985-D7F4-4975-902F-FF25A907FA9C}"/>
    <cellStyle name="Note 2 2 2 5" xfId="2123" xr:uid="{7AD44967-E089-448C-9BEE-6D77AB15C3C2}"/>
    <cellStyle name="Note 2 2 2 5 2" xfId="10333" xr:uid="{2C9C269D-A9BC-4F13-9732-C7AF18B30D90}"/>
    <cellStyle name="Note 2 2 2 5 2 2" xfId="32170" xr:uid="{F7F16D29-D5AE-4282-AF9F-EF245B1DD10F}"/>
    <cellStyle name="Note 2 2 2 5 2 3" xfId="32171" xr:uid="{38E5B2AE-1DC5-4215-BCAB-D6F4E5405BFE}"/>
    <cellStyle name="Note 2 2 2 5 2 4" xfId="32172" xr:uid="{B6536DC9-7875-46B0-8F8E-E6067DFFD6FD}"/>
    <cellStyle name="Note 2 2 2 5 2 5" xfId="32173" xr:uid="{C80218CC-6CE5-45EE-9115-4CA9FE4111F3}"/>
    <cellStyle name="Note 2 2 2 5 2 6" xfId="32174" xr:uid="{8A2D16A3-F18B-4D59-891B-93B2646F8297}"/>
    <cellStyle name="Note 2 2 2 5 3" xfId="32175" xr:uid="{CF1C0A6A-13FF-44E4-852D-B1208E8D6BEA}"/>
    <cellStyle name="Note 2 2 2 5 4" xfId="32176" xr:uid="{6474B4A5-1525-4CD9-AD94-E992A04F879C}"/>
    <cellStyle name="Note 2 2 2 5 5" xfId="32177" xr:uid="{A5C51E63-0753-44DA-ACB8-5F87CEBFD2A7}"/>
    <cellStyle name="Note 2 2 2 5 6" xfId="32178" xr:uid="{C76EE15F-891D-4BF5-B0AC-2858E9C60391}"/>
    <cellStyle name="Note 2 2 2 5 7" xfId="32179" xr:uid="{32C3B44A-6A6F-4A4F-BC74-0958EB9D90AA}"/>
    <cellStyle name="Note 2 2 2 6" xfId="2124" xr:uid="{25B3B43A-44AF-40C9-BE1F-FE4A38924CFA}"/>
    <cellStyle name="Note 2 2 2 6 2" xfId="10421" xr:uid="{783DBFED-4AF7-4617-951F-39758A56B12E}"/>
    <cellStyle name="Note 2 2 2 6 2 2" xfId="32180" xr:uid="{BE65A5C1-5430-47BC-AA80-DFA5C542C5F8}"/>
    <cellStyle name="Note 2 2 2 6 2 3" xfId="32181" xr:uid="{B9D76E02-88F6-4903-BF14-F9BCA31FD006}"/>
    <cellStyle name="Note 2 2 2 6 2 4" xfId="32182" xr:uid="{33A1797D-6558-4ACD-B02F-6011E489E120}"/>
    <cellStyle name="Note 2 2 2 6 2 5" xfId="32183" xr:uid="{4A2B42B8-54EE-40F4-9DDA-A56A385D4B72}"/>
    <cellStyle name="Note 2 2 2 6 2 6" xfId="32184" xr:uid="{E9D827F5-31DD-41C4-BF8D-3CD9E5685CA0}"/>
    <cellStyle name="Note 2 2 2 6 3" xfId="32185" xr:uid="{1C44E0C6-86EE-4E9B-BD72-D1C98C3F4435}"/>
    <cellStyle name="Note 2 2 2 6 4" xfId="32186" xr:uid="{C3B21B4D-8F79-4F67-B011-38F6BA32613E}"/>
    <cellStyle name="Note 2 2 2 6 5" xfId="32187" xr:uid="{7AD9A409-D602-4833-8C95-306F13CD410A}"/>
    <cellStyle name="Note 2 2 2 6 6" xfId="32188" xr:uid="{E5929ACD-491A-48C7-A49A-38EEE29CFE88}"/>
    <cellStyle name="Note 2 2 2 6 7" xfId="32189" xr:uid="{A4AE7E51-4966-471D-9EA9-ADC39425CF54}"/>
    <cellStyle name="Note 2 2 2 7" xfId="2125" xr:uid="{8D8D306E-020A-4217-964C-DE6D5ED40F1D}"/>
    <cellStyle name="Note 2 2 2 7 2" xfId="10508" xr:uid="{3B795428-DFF6-4D43-A0AB-F125FC34C9A3}"/>
    <cellStyle name="Note 2 2 2 7 2 2" xfId="32190" xr:uid="{B20C95ED-36F5-41D6-AD0E-5B9972A6DB09}"/>
    <cellStyle name="Note 2 2 2 7 2 3" xfId="32191" xr:uid="{4E914E19-CAEC-457C-B26B-76F7F378A9FB}"/>
    <cellStyle name="Note 2 2 2 7 2 4" xfId="32192" xr:uid="{128EF7C4-FE40-4436-B2AF-856AB68062A6}"/>
    <cellStyle name="Note 2 2 2 7 2 5" xfId="32193" xr:uid="{2649A4D1-F838-437A-9B61-C40CBFF285C6}"/>
    <cellStyle name="Note 2 2 2 7 2 6" xfId="32194" xr:uid="{7A11AC24-1D15-4107-A9B7-90236F39A314}"/>
    <cellStyle name="Note 2 2 2 7 3" xfId="32195" xr:uid="{6A41D4EA-C82B-48CC-B667-1286C109DFE9}"/>
    <cellStyle name="Note 2 2 2 7 4" xfId="32196" xr:uid="{BB718241-39F7-4CD2-8998-DBB0731B4EDC}"/>
    <cellStyle name="Note 2 2 2 7 5" xfId="32197" xr:uid="{151B6C36-DA4E-46CE-AC39-2EE956E7774A}"/>
    <cellStyle name="Note 2 2 2 7 6" xfId="32198" xr:uid="{BE641DF5-AF47-4F1A-B7F9-97957B0A11E3}"/>
    <cellStyle name="Note 2 2 2 7 7" xfId="32199" xr:uid="{1E59EE38-E811-4DC7-AF63-39F828F76847}"/>
    <cellStyle name="Note 2 2 2 8" xfId="2126" xr:uid="{7DCA1402-6859-4538-9899-1D9C479DF922}"/>
    <cellStyle name="Note 2 2 2 8 2" xfId="10596" xr:uid="{A7B74362-C612-476C-84FA-5C05A4AAE861}"/>
    <cellStyle name="Note 2 2 2 8 2 2" xfId="32200" xr:uid="{BE3B7F95-6707-481A-B8FE-EF5E1EDC1700}"/>
    <cellStyle name="Note 2 2 2 8 2 3" xfId="32201" xr:uid="{09C4834A-42F3-4F1B-B746-2A6E04854D75}"/>
    <cellStyle name="Note 2 2 2 8 2 4" xfId="32202" xr:uid="{184CEF75-2DA7-4D51-9283-7A371347A723}"/>
    <cellStyle name="Note 2 2 2 8 2 5" xfId="32203" xr:uid="{962D5C2E-F319-4E5D-A0BF-3EB4A249C4C0}"/>
    <cellStyle name="Note 2 2 2 8 2 6" xfId="32204" xr:uid="{3060C490-1EAE-43E5-A14F-F196CBD96235}"/>
    <cellStyle name="Note 2 2 2 8 3" xfId="32205" xr:uid="{37785D54-75A4-4095-B2FE-27E65F62E721}"/>
    <cellStyle name="Note 2 2 2 8 4" xfId="32206" xr:uid="{6D9D1708-3354-4EB5-B6DB-0BB27F5E3F04}"/>
    <cellStyle name="Note 2 2 2 8 5" xfId="32207" xr:uid="{69A83E3D-2672-4EC0-BA5A-22152924751D}"/>
    <cellStyle name="Note 2 2 2 8 6" xfId="32208" xr:uid="{FD79DB8F-9F61-4FD0-99CE-7DA8CC62DAB8}"/>
    <cellStyle name="Note 2 2 2 8 7" xfId="32209" xr:uid="{6422DCBE-0502-40FE-ABE5-9C2CCDEE85D1}"/>
    <cellStyle name="Note 2 2 2 9" xfId="2127" xr:uid="{81C1759E-574E-4389-9BA1-2EAF46B714EB}"/>
    <cellStyle name="Note 2 2 2 9 2" xfId="10678" xr:uid="{DDCFED36-0416-40CD-8222-D250B92049FF}"/>
    <cellStyle name="Note 2 2 2 9 2 2" xfId="32210" xr:uid="{D3BF3D23-3559-464F-827E-83121131615F}"/>
    <cellStyle name="Note 2 2 2 9 2 3" xfId="32211" xr:uid="{61F888D7-CFA5-4F17-9571-76641B8C1F9B}"/>
    <cellStyle name="Note 2 2 2 9 2 4" xfId="32212" xr:uid="{81AB74BC-B1D9-4C2B-ACE0-935055646627}"/>
    <cellStyle name="Note 2 2 2 9 2 5" xfId="32213" xr:uid="{E4562ECB-A6B1-47F2-913A-2CDFDF8897F8}"/>
    <cellStyle name="Note 2 2 2 9 2 6" xfId="32214" xr:uid="{0BABEDAC-D34A-4F55-9E7F-CD76D7CD9F84}"/>
    <cellStyle name="Note 2 2 2 9 3" xfId="32215" xr:uid="{5E4D006D-4035-4B9C-AEBA-8CB0EBAC8049}"/>
    <cellStyle name="Note 2 2 2 9 4" xfId="32216" xr:uid="{6464EA10-EAB0-4178-A9B0-6A49CCE448F8}"/>
    <cellStyle name="Note 2 2 2 9 5" xfId="32217" xr:uid="{87F808B0-A684-4A03-B6B3-6D0A7D2E1E8B}"/>
    <cellStyle name="Note 2 2 2 9 6" xfId="32218" xr:uid="{8C465218-F7D3-41D1-83F0-16AC8ACEF5C9}"/>
    <cellStyle name="Note 2 2 2 9 7" xfId="32219" xr:uid="{479C6026-D77E-409F-A936-5E1DCACC2568}"/>
    <cellStyle name="Note 2 2 20" xfId="2128" xr:uid="{5168E7C7-B6B9-4E35-8215-CA6DE149C1E0}"/>
    <cellStyle name="Note 2 2 20 2" xfId="11526" xr:uid="{D6555953-6613-4F01-A7F3-1A415C744F66}"/>
    <cellStyle name="Note 2 2 20 2 2" xfId="32220" xr:uid="{C439BC5C-7110-4325-9C37-C163CF05BBCA}"/>
    <cellStyle name="Note 2 2 20 2 3" xfId="32221" xr:uid="{37E0951B-A70E-4917-8CE5-990AE3BBA344}"/>
    <cellStyle name="Note 2 2 20 2 4" xfId="32222" xr:uid="{5DF594DF-B746-46A6-B5DE-E86FC5ADDED7}"/>
    <cellStyle name="Note 2 2 20 2 5" xfId="32223" xr:uid="{011FDA32-754C-450F-B4C2-0DBB7AD5E38C}"/>
    <cellStyle name="Note 2 2 20 2 6" xfId="32224" xr:uid="{30FB1FF0-018C-457D-934D-90D3CF035AC7}"/>
    <cellStyle name="Note 2 2 20 3" xfId="32225" xr:uid="{A5CA68E9-5FFD-4750-AC15-7BFB3B1018DF}"/>
    <cellStyle name="Note 2 2 20 4" xfId="32226" xr:uid="{AB14A2A5-A7B8-4B03-9966-691061A1C1F8}"/>
    <cellStyle name="Note 2 2 20 5" xfId="32227" xr:uid="{124D0FBF-D964-4861-8025-A832FFA31219}"/>
    <cellStyle name="Note 2 2 20 6" xfId="32228" xr:uid="{311A3D38-1A7A-47E1-9250-4DDE5DFF7491}"/>
    <cellStyle name="Note 2 2 20 7" xfId="32229" xr:uid="{A4A491DA-80BC-47CB-A835-BB2A9BA9FE82}"/>
    <cellStyle name="Note 2 2 21" xfId="2129" xr:uid="{448DB151-E0F1-4321-97AB-CAC217EEDB5F}"/>
    <cellStyle name="Note 2 2 21 2" xfId="11614" xr:uid="{353A75B8-7D05-4FF1-A87C-D4DE63B1724F}"/>
    <cellStyle name="Note 2 2 21 2 2" xfId="32230" xr:uid="{010C39DB-1C5E-456D-9978-2AEE18FC5B8A}"/>
    <cellStyle name="Note 2 2 21 2 3" xfId="32231" xr:uid="{FDB68A1B-C065-489C-B082-823BFBAEAE61}"/>
    <cellStyle name="Note 2 2 21 2 4" xfId="32232" xr:uid="{E06D77B9-830C-43FC-8B37-41908B9B5767}"/>
    <cellStyle name="Note 2 2 21 2 5" xfId="32233" xr:uid="{50EE0C3A-3BC3-4800-B60B-477596E950B3}"/>
    <cellStyle name="Note 2 2 21 2 6" xfId="32234" xr:uid="{B4B7D9D7-9799-4246-AC41-C03310A8C29D}"/>
    <cellStyle name="Note 2 2 21 3" xfId="32235" xr:uid="{6F809C90-5A61-4F6C-9957-20C67808C7B1}"/>
    <cellStyle name="Note 2 2 21 4" xfId="32236" xr:uid="{9CA9E628-C2C3-44E2-B198-16B6BDA22AFD}"/>
    <cellStyle name="Note 2 2 21 5" xfId="32237" xr:uid="{C29D9DBB-53FB-414C-B754-7884C1D00CF9}"/>
    <cellStyle name="Note 2 2 21 6" xfId="32238" xr:uid="{068A63AC-13D7-418B-BE6C-A7788C0C9714}"/>
    <cellStyle name="Note 2 2 21 7" xfId="32239" xr:uid="{94748D1C-FD25-471C-B730-1F524F4A2F3F}"/>
    <cellStyle name="Note 2 2 22" xfId="2130" xr:uid="{A2FC1DDD-994F-489B-AF1D-7F9A3884AA9F}"/>
    <cellStyle name="Note 2 2 22 2" xfId="11698" xr:uid="{0854D996-DCEA-4CDF-93D9-4F1DCA8738A3}"/>
    <cellStyle name="Note 2 2 22 2 2" xfId="32240" xr:uid="{6CF388FB-883E-4F3F-8702-7621F21BEB72}"/>
    <cellStyle name="Note 2 2 22 2 3" xfId="32241" xr:uid="{D1FEB2C3-1B59-46BD-9942-B07E610366C4}"/>
    <cellStyle name="Note 2 2 22 2 4" xfId="32242" xr:uid="{6F974DD8-8529-4289-9EE3-D9BE3E12A1BE}"/>
    <cellStyle name="Note 2 2 22 2 5" xfId="32243" xr:uid="{1BD03F85-3453-4D9E-BDCC-EF03545CF901}"/>
    <cellStyle name="Note 2 2 22 2 6" xfId="32244" xr:uid="{1B2799FE-F9EA-4686-BA4A-8E95264F74CE}"/>
    <cellStyle name="Note 2 2 22 3" xfId="32245" xr:uid="{7877D502-B257-4C15-B7A4-19FE60338721}"/>
    <cellStyle name="Note 2 2 22 4" xfId="32246" xr:uid="{3E8A0FF4-9BC4-4AE8-BDDB-65DA5B347957}"/>
    <cellStyle name="Note 2 2 22 5" xfId="32247" xr:uid="{FA0CCEEE-CC61-42A7-AE68-3ADFCD5C1BD5}"/>
    <cellStyle name="Note 2 2 22 6" xfId="32248" xr:uid="{37B1B015-1D79-4883-A4AF-CABD9222165B}"/>
    <cellStyle name="Note 2 2 22 7" xfId="32249" xr:uid="{5ECA5724-F56A-4774-A1B1-A49FEAE92574}"/>
    <cellStyle name="Note 2 2 23" xfId="2131" xr:uid="{6A2FD745-853B-4DEE-8692-0743F9457653}"/>
    <cellStyle name="Note 2 2 23 2" xfId="11781" xr:uid="{5D648967-578C-4EF9-9F96-3158ACA73A6B}"/>
    <cellStyle name="Note 2 2 23 2 2" xfId="32250" xr:uid="{D0A5B6FA-AF5E-4A68-A531-557961952A41}"/>
    <cellStyle name="Note 2 2 23 2 3" xfId="32251" xr:uid="{B3BD7359-303B-4564-90AB-605DA1C2A9F7}"/>
    <cellStyle name="Note 2 2 23 2 4" xfId="32252" xr:uid="{4CE5D53A-458A-447B-9FAF-C55671856F99}"/>
    <cellStyle name="Note 2 2 23 2 5" xfId="32253" xr:uid="{546DCD9B-2712-4C04-9B8F-162296934BF1}"/>
    <cellStyle name="Note 2 2 23 2 6" xfId="32254" xr:uid="{50AAF5F5-E226-46BC-97A0-902A674B82AE}"/>
    <cellStyle name="Note 2 2 23 3" xfId="32255" xr:uid="{A3D8280F-2496-4408-BDAF-C699A41557C8}"/>
    <cellStyle name="Note 2 2 23 4" xfId="32256" xr:uid="{FEEA888F-01C0-4B89-A27B-473D8B02F550}"/>
    <cellStyle name="Note 2 2 23 5" xfId="32257" xr:uid="{B0A987CA-F5BB-4161-A6B8-72A3DE2DF48F}"/>
    <cellStyle name="Note 2 2 23 6" xfId="32258" xr:uid="{B20A9CED-41EB-464C-9426-00FB8E073E1F}"/>
    <cellStyle name="Note 2 2 23 7" xfId="32259" xr:uid="{E60213EC-A96E-48F5-B90D-E5054EBD7616}"/>
    <cellStyle name="Note 2 2 24" xfId="2132" xr:uid="{45E7FC35-2D2A-4D12-B94A-C1CA34C8C3A9}"/>
    <cellStyle name="Note 2 2 24 2" xfId="11864" xr:uid="{ED8BE88E-55F1-483C-97AA-C379558317C0}"/>
    <cellStyle name="Note 2 2 24 2 2" xfId="32260" xr:uid="{F8D959FF-F2C4-45BE-84F1-99E8F2778BC1}"/>
    <cellStyle name="Note 2 2 24 2 3" xfId="32261" xr:uid="{623027F8-15DB-4FDA-AE57-90DB64CC4E71}"/>
    <cellStyle name="Note 2 2 24 2 4" xfId="32262" xr:uid="{53DC54D0-C389-43FC-9FC9-45C909B08F1F}"/>
    <cellStyle name="Note 2 2 24 2 5" xfId="32263" xr:uid="{087356CE-F160-4DC3-A9A7-DD14F23C1499}"/>
    <cellStyle name="Note 2 2 24 2 6" xfId="32264" xr:uid="{F6D4E8FE-EBCA-4925-B3AE-AA752F9B6988}"/>
    <cellStyle name="Note 2 2 24 3" xfId="32265" xr:uid="{BEE2D05D-AB17-4ADB-A43B-C3A9B08B44E7}"/>
    <cellStyle name="Note 2 2 24 4" xfId="32266" xr:uid="{FFDB628B-F4A8-4BBC-8EAF-B47FB3662827}"/>
    <cellStyle name="Note 2 2 24 5" xfId="32267" xr:uid="{B2000D95-A43C-4E13-BBEE-6B19BBB91681}"/>
    <cellStyle name="Note 2 2 24 6" xfId="32268" xr:uid="{8725EB77-007B-4924-8B4F-825FA7F00698}"/>
    <cellStyle name="Note 2 2 24 7" xfId="32269" xr:uid="{16030002-EFBF-47EE-A061-C49D31B8A25D}"/>
    <cellStyle name="Note 2 2 25" xfId="2133" xr:uid="{64583A75-B526-4157-BDFB-006E935C7211}"/>
    <cellStyle name="Note 2 2 25 2" xfId="11948" xr:uid="{49C8627A-AAA4-49BE-93BA-24C45EAA6693}"/>
    <cellStyle name="Note 2 2 25 2 2" xfId="32270" xr:uid="{CE89124B-1944-47FB-A7FB-67742D736810}"/>
    <cellStyle name="Note 2 2 25 2 3" xfId="32271" xr:uid="{3995D4E5-AE7A-45F4-9930-2279D35F9830}"/>
    <cellStyle name="Note 2 2 25 2 4" xfId="32272" xr:uid="{0FC14577-802F-4319-9140-2A6A08EC6DA8}"/>
    <cellStyle name="Note 2 2 25 2 5" xfId="32273" xr:uid="{605B0881-A215-4544-8E0A-8AAE0AA47FAA}"/>
    <cellStyle name="Note 2 2 25 2 6" xfId="32274" xr:uid="{DFE1F21C-5223-4DF4-B94C-9CDD696DA3BE}"/>
    <cellStyle name="Note 2 2 25 3" xfId="32275" xr:uid="{F1788235-DA5B-466E-8B67-E563B6EDF598}"/>
    <cellStyle name="Note 2 2 25 4" xfId="32276" xr:uid="{EBFBC1F1-32D5-4102-8C22-8DB6662929E7}"/>
    <cellStyle name="Note 2 2 25 5" xfId="32277" xr:uid="{D633367D-AAE2-4C6F-8864-38EA0123C556}"/>
    <cellStyle name="Note 2 2 25 6" xfId="32278" xr:uid="{81746142-3BC7-4681-9C79-C163218296B6}"/>
    <cellStyle name="Note 2 2 25 7" xfId="32279" xr:uid="{3199EB0D-EC09-4550-B32F-F4A95A28A8CA}"/>
    <cellStyle name="Note 2 2 26" xfId="2134" xr:uid="{83164391-E255-4FB7-8D2E-11876ED66817}"/>
    <cellStyle name="Note 2 2 26 2" xfId="12031" xr:uid="{89DB0EC2-F917-4710-9CC7-B946CE6E7789}"/>
    <cellStyle name="Note 2 2 26 2 2" xfId="32280" xr:uid="{1417F5E4-C6A2-459A-86C7-F6360E12BE8E}"/>
    <cellStyle name="Note 2 2 26 2 3" xfId="32281" xr:uid="{B29CC73E-55FE-4D4A-86D3-834CA2FEFA84}"/>
    <cellStyle name="Note 2 2 26 2 4" xfId="32282" xr:uid="{D298BC92-DFD2-40FB-BBF7-86FF6831E532}"/>
    <cellStyle name="Note 2 2 26 2 5" xfId="32283" xr:uid="{8D0FFA00-D858-4615-99C9-0CD0CD2753C8}"/>
    <cellStyle name="Note 2 2 26 2 6" xfId="32284" xr:uid="{3F7CC037-5EEA-4ED0-9028-7BAFCE6DD208}"/>
    <cellStyle name="Note 2 2 26 3" xfId="32285" xr:uid="{3DD68C68-60F0-489E-897C-7FF0FE456A2E}"/>
    <cellStyle name="Note 2 2 26 4" xfId="32286" xr:uid="{B44981D3-3599-4410-BC14-AEB3A5908E14}"/>
    <cellStyle name="Note 2 2 26 5" xfId="32287" xr:uid="{4A65F1A5-98B6-414B-83B8-3B645D2D608B}"/>
    <cellStyle name="Note 2 2 26 6" xfId="32288" xr:uid="{5D33E265-252B-42F4-92F9-0793758E5B88}"/>
    <cellStyle name="Note 2 2 26 7" xfId="32289" xr:uid="{D6DA1D28-F016-4BB8-A008-1407008499E7}"/>
    <cellStyle name="Note 2 2 27" xfId="2135" xr:uid="{D1769954-16F8-4485-8317-34D79C1F0CC9}"/>
    <cellStyle name="Note 2 2 27 2" xfId="12114" xr:uid="{D7CD787C-2149-4607-9FA1-9CA1653E7A40}"/>
    <cellStyle name="Note 2 2 27 2 2" xfId="32290" xr:uid="{78B34847-A879-4A42-A9DB-E8A687FA7C06}"/>
    <cellStyle name="Note 2 2 27 2 3" xfId="32291" xr:uid="{5DB08A7A-F583-4B27-B99B-F93CBBDF5881}"/>
    <cellStyle name="Note 2 2 27 2 4" xfId="32292" xr:uid="{FA809754-A1EA-4D24-9619-0A07A24EEBC4}"/>
    <cellStyle name="Note 2 2 27 2 5" xfId="32293" xr:uid="{AFB29F1F-B368-4AC8-B5BC-79318B8FBB70}"/>
    <cellStyle name="Note 2 2 27 2 6" xfId="32294" xr:uid="{69F794BB-E918-4D40-A893-69DED749A08D}"/>
    <cellStyle name="Note 2 2 27 3" xfId="32295" xr:uid="{7D232E68-63E9-4261-846B-2D686C9A5094}"/>
    <cellStyle name="Note 2 2 27 4" xfId="32296" xr:uid="{617C1953-0F36-42C8-A3B2-9B79F8E38B87}"/>
    <cellStyle name="Note 2 2 27 5" xfId="32297" xr:uid="{30F460BB-145F-4285-A6FD-B16E2A4A541B}"/>
    <cellStyle name="Note 2 2 27 6" xfId="32298" xr:uid="{53DE4A4B-C812-435F-967B-321CC3D643E9}"/>
    <cellStyle name="Note 2 2 27 7" xfId="32299" xr:uid="{B87A3E9F-DBA1-451D-8DE0-A4FFE094F9E5}"/>
    <cellStyle name="Note 2 2 28" xfId="2136" xr:uid="{80933390-C82A-4890-A0B2-C7B3293E22CB}"/>
    <cellStyle name="Note 2 2 28 2" xfId="12196" xr:uid="{43D457E1-48B3-4915-BAF4-0F701295084C}"/>
    <cellStyle name="Note 2 2 28 2 2" xfId="32300" xr:uid="{382C7D95-694F-4C4C-9590-673A1A9B9B60}"/>
    <cellStyle name="Note 2 2 28 2 3" xfId="32301" xr:uid="{0344C0A3-6240-4E58-B240-FC966D6D5E19}"/>
    <cellStyle name="Note 2 2 28 2 4" xfId="32302" xr:uid="{B7B6D5D3-5DD5-4416-ABE6-4E0C5F4D11F1}"/>
    <cellStyle name="Note 2 2 28 2 5" xfId="32303" xr:uid="{FC0C8695-A102-445A-8E26-D9E0DE96A922}"/>
    <cellStyle name="Note 2 2 28 2 6" xfId="32304" xr:uid="{0FB87CD8-77D4-4AD7-A67E-067118286ACB}"/>
    <cellStyle name="Note 2 2 28 3" xfId="32305" xr:uid="{4378974A-A760-4108-AF4F-8A8695BA8937}"/>
    <cellStyle name="Note 2 2 28 4" xfId="32306" xr:uid="{FD6DDF3A-CAF8-4107-A318-D945CF5FB3F7}"/>
    <cellStyle name="Note 2 2 28 5" xfId="32307" xr:uid="{A21DABCB-BFC6-4159-95CA-A2FA39979D10}"/>
    <cellStyle name="Note 2 2 28 6" xfId="32308" xr:uid="{BCB5D965-9535-4B26-A1E5-C47A7552615C}"/>
    <cellStyle name="Note 2 2 28 7" xfId="32309" xr:uid="{48855765-79B3-4475-AFDA-3B870E93D3F7}"/>
    <cellStyle name="Note 2 2 29" xfId="2137" xr:uid="{76C6760D-AFEB-4CE0-BFBF-396FA16997FD}"/>
    <cellStyle name="Note 2 2 29 2" xfId="12276" xr:uid="{8BC6690A-4A89-41A1-946C-589D9ECE5383}"/>
    <cellStyle name="Note 2 2 29 2 2" xfId="32310" xr:uid="{342EB4BD-4FB3-4E28-8A63-01F03FF2F36F}"/>
    <cellStyle name="Note 2 2 29 2 3" xfId="32311" xr:uid="{85D32873-00D2-4A51-B1ED-D2C0F4A380CC}"/>
    <cellStyle name="Note 2 2 29 2 4" xfId="32312" xr:uid="{5A1CBA20-6989-4DD4-8E5F-23ACF3007212}"/>
    <cellStyle name="Note 2 2 29 2 5" xfId="32313" xr:uid="{41797105-5785-4EE4-AD26-6CCEFA7F9DF2}"/>
    <cellStyle name="Note 2 2 29 2 6" xfId="32314" xr:uid="{FBAE263D-51E9-4A03-8F70-FA102071A95C}"/>
    <cellStyle name="Note 2 2 29 3" xfId="32315" xr:uid="{D3D2EB31-9959-459D-AFC5-BF66723539EB}"/>
    <cellStyle name="Note 2 2 29 4" xfId="32316" xr:uid="{95CB2861-0A1B-4655-BB15-83E061EE5D2B}"/>
    <cellStyle name="Note 2 2 29 5" xfId="32317" xr:uid="{0607EFFC-5C9A-4632-945F-79C8554F4C07}"/>
    <cellStyle name="Note 2 2 29 6" xfId="32318" xr:uid="{20457908-A355-471B-BE87-D081B907AADB}"/>
    <cellStyle name="Note 2 2 29 7" xfId="32319" xr:uid="{A46306CF-2C8D-4ABE-83D8-1F17A9FFC9EE}"/>
    <cellStyle name="Note 2 2 3" xfId="2138" xr:uid="{CD229BBD-E4AB-4014-B7BA-D507A91A1ECE}"/>
    <cellStyle name="Note 2 2 3 2" xfId="8880" xr:uid="{AD8AADC8-42F9-4664-9093-24DB42A775FE}"/>
    <cellStyle name="Note 2 2 3 2 2" xfId="32320" xr:uid="{D63360E6-2720-4A7C-81B9-08CA7B3635F1}"/>
    <cellStyle name="Note 2 2 3 2 3" xfId="32321" xr:uid="{0E460F15-A651-47F6-83F4-492DE94BF2BB}"/>
    <cellStyle name="Note 2 2 3 2 4" xfId="32322" xr:uid="{D72547FF-1EEE-420A-9952-CAA4EA4B4E62}"/>
    <cellStyle name="Note 2 2 3 2 5" xfId="32323" xr:uid="{23616A1E-19B1-4CBD-A3F2-720DC4E3D839}"/>
    <cellStyle name="Note 2 2 3 2 6" xfId="32324" xr:uid="{2599829A-6613-4425-AE7C-1320DDE832BE}"/>
    <cellStyle name="Note 2 2 3 3" xfId="10033" xr:uid="{2D66EF9B-0030-48FE-A9B0-165A844C6A59}"/>
    <cellStyle name="Note 2 2 3 3 2" xfId="32325" xr:uid="{70390B46-72D0-4912-BFB4-F2EC89C5395C}"/>
    <cellStyle name="Note 2 2 3 3 3" xfId="32326" xr:uid="{21E7F281-FC11-4286-86B8-2FA311C055DF}"/>
    <cellStyle name="Note 2 2 3 3 4" xfId="32327" xr:uid="{CD979C5A-422C-45B7-A11E-D0ED06704C59}"/>
    <cellStyle name="Note 2 2 3 3 5" xfId="32328" xr:uid="{C2EC38B4-3653-44EB-A3D7-C34B19383FC4}"/>
    <cellStyle name="Note 2 2 3 3 6" xfId="32329" xr:uid="{E7E52780-E8BF-487C-BFA1-FA14187360EB}"/>
    <cellStyle name="Note 2 2 3 4" xfId="32330" xr:uid="{90AF3986-BABD-4A87-812A-17CFA141C7E1}"/>
    <cellStyle name="Note 2 2 3 5" xfId="32331" xr:uid="{F315E526-2626-4970-8A61-E5DF5C5DBA48}"/>
    <cellStyle name="Note 2 2 3 6" xfId="32332" xr:uid="{71DAC101-DCE3-44F2-8D14-AA3584785B9A}"/>
    <cellStyle name="Note 2 2 3 7" xfId="32333" xr:uid="{89FC9B69-3B67-48A0-AE2B-4DFA1DED6B45}"/>
    <cellStyle name="Note 2 2 3 8" xfId="32334" xr:uid="{4421B972-556C-4A6B-8983-C3BC2012F6BE}"/>
    <cellStyle name="Note 2 2 30" xfId="2139" xr:uid="{84B892E9-C53F-43E4-A670-0A71BE8D6ECF}"/>
    <cellStyle name="Note 2 2 30 2" xfId="12354" xr:uid="{6CA04AC6-0786-4262-A268-3DB95F7BAD0C}"/>
    <cellStyle name="Note 2 2 30 2 2" xfId="32335" xr:uid="{C84FBB17-10DD-45FC-A794-30AAA13462FB}"/>
    <cellStyle name="Note 2 2 30 2 3" xfId="32336" xr:uid="{0A6B9F42-9202-40BD-A311-91818FC1181F}"/>
    <cellStyle name="Note 2 2 30 2 4" xfId="32337" xr:uid="{4CC48FA7-81F8-445B-B454-84C378483033}"/>
    <cellStyle name="Note 2 2 30 2 5" xfId="32338" xr:uid="{2C124CBA-11F0-45BF-9911-BCB93D69B741}"/>
    <cellStyle name="Note 2 2 30 2 6" xfId="32339" xr:uid="{9DD3517E-A06C-4358-96AB-FEEF72634B96}"/>
    <cellStyle name="Note 2 2 30 3" xfId="32340" xr:uid="{1B8C8064-0183-4A26-815A-0758830781AC}"/>
    <cellStyle name="Note 2 2 30 4" xfId="32341" xr:uid="{CDA6679C-D43F-450D-A8EC-532147A35955}"/>
    <cellStyle name="Note 2 2 30 5" xfId="32342" xr:uid="{875A074B-E7EF-401A-92E3-DAB47D1295BD}"/>
    <cellStyle name="Note 2 2 30 6" xfId="32343" xr:uid="{5328BED4-166B-4FD9-BF17-9F0C1599D9C4}"/>
    <cellStyle name="Note 2 2 30 7" xfId="32344" xr:uid="{68C1F95F-D024-4D0D-9FAB-59BE4F35834E}"/>
    <cellStyle name="Note 2 2 31" xfId="2140" xr:uid="{E3887773-2ABF-4F37-AA30-A84481D2C166}"/>
    <cellStyle name="Note 2 2 31 2" xfId="12433" xr:uid="{5AA0A775-B2A4-407C-BAE0-B05C7573C575}"/>
    <cellStyle name="Note 2 2 31 2 2" xfId="32345" xr:uid="{B46E5821-B20B-4EB0-8585-AE8CDB692289}"/>
    <cellStyle name="Note 2 2 31 2 3" xfId="32346" xr:uid="{7A3EEEC5-5366-414C-8F90-08F8668F4383}"/>
    <cellStyle name="Note 2 2 31 2 4" xfId="32347" xr:uid="{A7976E12-43F1-4B7C-9E8D-2D5C93179220}"/>
    <cellStyle name="Note 2 2 31 2 5" xfId="32348" xr:uid="{9C1850F4-6705-41E9-ABFB-669289D014DB}"/>
    <cellStyle name="Note 2 2 31 2 6" xfId="32349" xr:uid="{3309C2BD-A198-4E76-9454-9C1BBB28AB59}"/>
    <cellStyle name="Note 2 2 31 3" xfId="32350" xr:uid="{ACB4B945-632C-4E19-8908-9D96129A7B05}"/>
    <cellStyle name="Note 2 2 31 4" xfId="32351" xr:uid="{3FF23788-09CC-4AAB-8429-64D6C7E8711B}"/>
    <cellStyle name="Note 2 2 31 5" xfId="32352" xr:uid="{1A8ECFD9-62C7-468E-AED3-7E90336082BE}"/>
    <cellStyle name="Note 2 2 31 6" xfId="32353" xr:uid="{9ADFC22F-B5E2-420F-8137-F32C0E9FD721}"/>
    <cellStyle name="Note 2 2 31 7" xfId="32354" xr:uid="{1DA41680-AE40-47C5-AA2B-61DA518A4D71}"/>
    <cellStyle name="Note 2 2 32" xfId="2141" xr:uid="{B9CC306D-ED10-4F05-A0B2-86CD6E65FB6E}"/>
    <cellStyle name="Note 2 2 32 2" xfId="12512" xr:uid="{57D1852C-EC83-4ED7-BC20-58CBE5F68C94}"/>
    <cellStyle name="Note 2 2 32 2 2" xfId="32355" xr:uid="{1C2EC962-F17C-4571-9F1D-75FB7F13DA37}"/>
    <cellStyle name="Note 2 2 32 2 3" xfId="32356" xr:uid="{3C80B168-6C9F-4620-980E-A46A7303E3F7}"/>
    <cellStyle name="Note 2 2 32 2 4" xfId="32357" xr:uid="{AE154066-0CEC-47B4-8635-20F230036A86}"/>
    <cellStyle name="Note 2 2 32 2 5" xfId="32358" xr:uid="{A3B59502-E0E7-47A7-95FD-D7E3DFB65697}"/>
    <cellStyle name="Note 2 2 32 2 6" xfId="32359" xr:uid="{F8BDCF43-0503-4BB8-B73A-42D03B58A81C}"/>
    <cellStyle name="Note 2 2 32 3" xfId="32360" xr:uid="{5928FD53-3D28-4A18-9A0D-F6C7FC45F361}"/>
    <cellStyle name="Note 2 2 32 4" xfId="32361" xr:uid="{56A74053-A0BF-4E0C-8433-22ABCA99437F}"/>
    <cellStyle name="Note 2 2 32 5" xfId="32362" xr:uid="{5008B287-77E2-4062-9F7B-4B52348CDA5D}"/>
    <cellStyle name="Note 2 2 32 6" xfId="32363" xr:uid="{8C7F03A4-14B1-48FD-9F05-8DFADCACB95C}"/>
    <cellStyle name="Note 2 2 32 7" xfId="32364" xr:uid="{0DBEF313-8094-4851-90BA-B0E9F73FF98E}"/>
    <cellStyle name="Note 2 2 33" xfId="2142" xr:uid="{26CC8D9F-AF8D-4F47-90C0-2F564CFE2A19}"/>
    <cellStyle name="Note 2 2 33 2" xfId="12591" xr:uid="{40AA4381-AD7D-451B-88AA-CDC15505CD61}"/>
    <cellStyle name="Note 2 2 33 2 2" xfId="32365" xr:uid="{F2D9A20C-FE55-405E-9FFE-8C67594EFE91}"/>
    <cellStyle name="Note 2 2 33 2 3" xfId="32366" xr:uid="{79F7C1D7-CAD4-49B5-984C-853A9648E8C4}"/>
    <cellStyle name="Note 2 2 33 2 4" xfId="32367" xr:uid="{3AA94CBC-B1CB-46F0-8243-07B0154E37B9}"/>
    <cellStyle name="Note 2 2 33 2 5" xfId="32368" xr:uid="{28AC7C17-CF0B-4C0A-844D-3A1D8BB35522}"/>
    <cellStyle name="Note 2 2 33 2 6" xfId="32369" xr:uid="{3320B581-058B-4966-AB6D-A8510935D5B6}"/>
    <cellStyle name="Note 2 2 33 3" xfId="32370" xr:uid="{CFBA9974-FFF5-4244-AF4C-C815AEB6BA4F}"/>
    <cellStyle name="Note 2 2 33 4" xfId="32371" xr:uid="{2B892303-4670-4288-BD0B-AF0F17F2997A}"/>
    <cellStyle name="Note 2 2 33 5" xfId="32372" xr:uid="{FA2E162B-0C11-4154-BF6F-B17F98C4897F}"/>
    <cellStyle name="Note 2 2 33 6" xfId="32373" xr:uid="{3A3CAC51-9349-427D-A0BC-800B7411DC75}"/>
    <cellStyle name="Note 2 2 33 7" xfId="32374" xr:uid="{882068BA-823B-45ED-A7DB-02F00911F7AB}"/>
    <cellStyle name="Note 2 2 34" xfId="2143" xr:uid="{454BDDC4-984A-48A6-BC95-2CF469E1500A}"/>
    <cellStyle name="Note 2 2 34 2" xfId="12670" xr:uid="{C1A100DF-C571-498C-92D2-01546E628D36}"/>
    <cellStyle name="Note 2 2 34 2 2" xfId="32375" xr:uid="{9804376E-7660-4B7D-8A24-880C277D6E7E}"/>
    <cellStyle name="Note 2 2 34 2 3" xfId="32376" xr:uid="{6049B885-510C-4F69-BBB7-CA33EF09451B}"/>
    <cellStyle name="Note 2 2 34 2 4" xfId="32377" xr:uid="{5F76EE20-4FCB-473C-A62E-35EBA7DAA04C}"/>
    <cellStyle name="Note 2 2 34 2 5" xfId="32378" xr:uid="{75CD6DF4-0E4C-4914-94DC-F3A627B8BA87}"/>
    <cellStyle name="Note 2 2 34 2 6" xfId="32379" xr:uid="{1363ACA0-408D-49C8-8579-BDFA9BEF7B82}"/>
    <cellStyle name="Note 2 2 34 3" xfId="32380" xr:uid="{25990611-2721-43B1-901C-562A74F51D97}"/>
    <cellStyle name="Note 2 2 34 4" xfId="32381" xr:uid="{021BBC18-EBCF-4497-AD21-2C6024915759}"/>
    <cellStyle name="Note 2 2 34 5" xfId="32382" xr:uid="{E13E1794-3A54-460C-9120-56B0F6778283}"/>
    <cellStyle name="Note 2 2 34 6" xfId="32383" xr:uid="{448BE570-1A21-4623-952C-BE64DFDC66AD}"/>
    <cellStyle name="Note 2 2 34 7" xfId="32384" xr:uid="{7577D001-83AA-4AD2-A22F-76C5DF454C5B}"/>
    <cellStyle name="Note 2 2 35" xfId="2144" xr:uid="{7B5D69EF-7314-4A88-8491-21492F1CF4B8}"/>
    <cellStyle name="Note 2 2 35 2" xfId="12754" xr:uid="{17EC1518-A7A7-43DB-9584-355D1EFE3568}"/>
    <cellStyle name="Note 2 2 35 2 2" xfId="32385" xr:uid="{B3304094-1F64-40F5-B93F-0704DC7B2CBA}"/>
    <cellStyle name="Note 2 2 35 2 3" xfId="32386" xr:uid="{35534274-30B4-4C80-8ACC-D0F3BF1696AB}"/>
    <cellStyle name="Note 2 2 35 2 4" xfId="32387" xr:uid="{1FBFC0C8-4FA7-4480-85B9-4C00810DE927}"/>
    <cellStyle name="Note 2 2 35 2 5" xfId="32388" xr:uid="{D59A2916-D387-4A4F-B043-8C3125C311CA}"/>
    <cellStyle name="Note 2 2 35 2 6" xfId="32389" xr:uid="{5446F35A-B2F6-4E26-B38B-87C0BD9D0CCF}"/>
    <cellStyle name="Note 2 2 35 3" xfId="32390" xr:uid="{76CA96C1-2750-489D-A4B8-AB9A152F584C}"/>
    <cellStyle name="Note 2 2 35 4" xfId="32391" xr:uid="{9DE02C19-C909-4A07-8F3F-425CA901B3BC}"/>
    <cellStyle name="Note 2 2 35 5" xfId="32392" xr:uid="{85EC0FE5-98E7-4A18-986D-C16C2EE0D627}"/>
    <cellStyle name="Note 2 2 35 6" xfId="32393" xr:uid="{239D967B-B844-4065-B6D7-0E7CA22FEFE1}"/>
    <cellStyle name="Note 2 2 36" xfId="8881" xr:uid="{4AB03690-1D37-49BD-BE6B-6EC30F7CE3F1}"/>
    <cellStyle name="Note 2 2 36 2" xfId="32394" xr:uid="{0EA683F8-42DF-4FAB-A0DC-0E57801862B5}"/>
    <cellStyle name="Note 2 2 36 3" xfId="32395" xr:uid="{77B2CD71-01DB-4906-9AB0-ABA89C8385C6}"/>
    <cellStyle name="Note 2 2 36 4" xfId="32396" xr:uid="{784F4820-E496-4C69-841F-3ADBF1D56839}"/>
    <cellStyle name="Note 2 2 36 5" xfId="32397" xr:uid="{5B53ACC8-BB53-43B7-8B5F-4731EDF20857}"/>
    <cellStyle name="Note 2 2 36 6" xfId="32398" xr:uid="{324812D1-3812-4FC1-82BA-7E23EA24D59A}"/>
    <cellStyle name="Note 2 2 37" xfId="9820" xr:uid="{877BD157-9F92-4E08-81F0-BF25EB539FB5}"/>
    <cellStyle name="Note 2 2 37 2" xfId="32399" xr:uid="{C06377D9-8BE1-4C0C-BD72-F7A6615525FB}"/>
    <cellStyle name="Note 2 2 37 3" xfId="32400" xr:uid="{84810941-0541-41AD-8A8C-7AD20B7036EB}"/>
    <cellStyle name="Note 2 2 37 4" xfId="32401" xr:uid="{7DFAA22A-48F4-4A9D-9761-1ED9FE754714}"/>
    <cellStyle name="Note 2 2 37 5" xfId="32402" xr:uid="{C5F062FE-22DC-4C89-B16E-01DE0A42FFBE}"/>
    <cellStyle name="Note 2 2 37 6" xfId="32403" xr:uid="{95E6A03A-A190-4A71-8CB6-5D729A6BA8AA}"/>
    <cellStyle name="Note 2 2 38" xfId="32404" xr:uid="{2D69AFFD-E74F-4857-A8FE-A37805981467}"/>
    <cellStyle name="Note 2 2 4" xfId="2145" xr:uid="{9E1C82EB-FF3C-4CD4-8264-DABB3240131E}"/>
    <cellStyle name="Note 2 2 4 2" xfId="8882" xr:uid="{F90E3747-768F-46CC-AF63-04AE762C033F}"/>
    <cellStyle name="Note 2 2 4 3" xfId="10124" xr:uid="{35872A64-402C-4B67-9E19-7DC2B2E5B5F2}"/>
    <cellStyle name="Note 2 2 4 3 2" xfId="32405" xr:uid="{2DD2C0B2-A296-4826-A135-9990EBB2A170}"/>
    <cellStyle name="Note 2 2 4 3 3" xfId="32406" xr:uid="{8420ADB4-6CE4-47E6-93D5-19C8A6C6F0F5}"/>
    <cellStyle name="Note 2 2 4 3 4" xfId="32407" xr:uid="{3E85354A-6D48-4E57-93C5-79A2569BAD8A}"/>
    <cellStyle name="Note 2 2 4 3 5" xfId="32408" xr:uid="{9A4342C7-8404-41B7-AB6D-A5CB124ABD65}"/>
    <cellStyle name="Note 2 2 4 3 6" xfId="32409" xr:uid="{C318836D-4F50-4BED-B496-804D141BCB8B}"/>
    <cellStyle name="Note 2 2 4 4" xfId="32410" xr:uid="{E60C3DE6-9FF1-4C05-B710-4C81B7B9B616}"/>
    <cellStyle name="Note 2 2 4 5" xfId="32411" xr:uid="{3A42ACBD-E6D5-4C1B-9BFC-FFE8716421DE}"/>
    <cellStyle name="Note 2 2 4 6" xfId="32412" xr:uid="{6BE77967-9BE3-4E1D-872C-199CE1D03196}"/>
    <cellStyle name="Note 2 2 4 7" xfId="32413" xr:uid="{B39B0706-E4AF-48B7-9049-35CBF964F5E4}"/>
    <cellStyle name="Note 2 2 4 8" xfId="32414" xr:uid="{34FAD2C1-FBB0-4442-B567-90A7770AEE41}"/>
    <cellStyle name="Note 2 2 5" xfId="2146" xr:uid="{B2E6650D-BF56-453F-90A0-E996E22059A1}"/>
    <cellStyle name="Note 2 2 5 2" xfId="8883" xr:uid="{61733182-DBD2-4582-B380-36277D751CD0}"/>
    <cellStyle name="Note 2 2 5 3" xfId="10214" xr:uid="{84D38493-B70E-4CA5-B839-B20DD8A0A04E}"/>
    <cellStyle name="Note 2 2 5 3 2" xfId="32415" xr:uid="{EC96EF58-11EC-4404-93FE-B71B85280CBD}"/>
    <cellStyle name="Note 2 2 5 3 3" xfId="32416" xr:uid="{9CBBB97B-44C2-4302-A3FF-A9674AB3F78A}"/>
    <cellStyle name="Note 2 2 5 3 4" xfId="32417" xr:uid="{7473DFEC-2BEB-4D65-BF24-CEEE17EBCB95}"/>
    <cellStyle name="Note 2 2 5 3 5" xfId="32418" xr:uid="{744792DC-017E-439F-AE7E-C27C4E5300FD}"/>
    <cellStyle name="Note 2 2 5 3 6" xfId="32419" xr:uid="{C720681E-FB6E-422B-B9D5-CFF3CF845972}"/>
    <cellStyle name="Note 2 2 5 4" xfId="32420" xr:uid="{8BC67731-B15A-42F0-9576-10F8407C7459}"/>
    <cellStyle name="Note 2 2 5 5" xfId="32421" xr:uid="{7D51C850-48C5-4B85-A949-8D09C53D4B9B}"/>
    <cellStyle name="Note 2 2 5 6" xfId="32422" xr:uid="{8179CE89-21A5-4484-869D-6666DA48AA93}"/>
    <cellStyle name="Note 2 2 5 7" xfId="32423" xr:uid="{72BE037D-F9D7-4C1F-9B4A-9BC1C5CAF27D}"/>
    <cellStyle name="Note 2 2 5 8" xfId="32424" xr:uid="{E648A047-01DA-42BE-B451-29D8444AD293}"/>
    <cellStyle name="Note 2 2 6" xfId="2147" xr:uid="{AF780168-E2AB-4AD5-A9C0-F35CA32A0069}"/>
    <cellStyle name="Note 2 2 6 2" xfId="10300" xr:uid="{D3D3E692-292C-482B-9E3C-A2928803CC0A}"/>
    <cellStyle name="Note 2 2 6 2 2" xfId="32425" xr:uid="{8C38F8B2-439D-4C75-98A4-FDD774EEA860}"/>
    <cellStyle name="Note 2 2 6 2 3" xfId="32426" xr:uid="{F68A84CA-0A70-4961-AE27-0B613E20C3F2}"/>
    <cellStyle name="Note 2 2 6 2 4" xfId="32427" xr:uid="{C5A8B396-7BD9-4D36-BA47-5AEBDD94EE27}"/>
    <cellStyle name="Note 2 2 6 2 5" xfId="32428" xr:uid="{1D1B6C0C-34EF-48B2-9AC2-3994AEF52371}"/>
    <cellStyle name="Note 2 2 6 2 6" xfId="32429" xr:uid="{82CFA2A8-71DC-4685-B2BA-510504CA26D6}"/>
    <cellStyle name="Note 2 2 6 3" xfId="32430" xr:uid="{85DF8256-C39C-441E-AB0C-AF3D6733E292}"/>
    <cellStyle name="Note 2 2 6 4" xfId="32431" xr:uid="{882E1747-26F4-413D-A7C7-645543E2D63E}"/>
    <cellStyle name="Note 2 2 6 5" xfId="32432" xr:uid="{6ECEAF60-048E-490B-A872-AA3DDD079969}"/>
    <cellStyle name="Note 2 2 6 6" xfId="32433" xr:uid="{9C8BE004-600B-4846-826B-99FA8BAB89E4}"/>
    <cellStyle name="Note 2 2 6 7" xfId="32434" xr:uid="{B38176A5-8C10-43CF-A4FE-CBA0EAE2C53C}"/>
    <cellStyle name="Note 2 2 7" xfId="2148" xr:uid="{1CB7BBA4-B760-4718-A7FF-E550370CA985}"/>
    <cellStyle name="Note 2 2 7 2" xfId="10388" xr:uid="{98970296-1650-4482-B869-CF5D456FA1CB}"/>
    <cellStyle name="Note 2 2 7 2 2" xfId="32435" xr:uid="{FAA4CAE9-7A80-427B-AED5-DC7B14F75ACA}"/>
    <cellStyle name="Note 2 2 7 2 3" xfId="32436" xr:uid="{076F609F-710B-4217-A763-69F603752D73}"/>
    <cellStyle name="Note 2 2 7 2 4" xfId="32437" xr:uid="{92A96C41-1207-4E01-970C-98FCC396E261}"/>
    <cellStyle name="Note 2 2 7 2 5" xfId="32438" xr:uid="{130C4E7C-98D9-494E-A0F0-ECC77ADCCD63}"/>
    <cellStyle name="Note 2 2 7 2 6" xfId="32439" xr:uid="{2E1023B0-0C22-4923-9A3F-C2D9C09AFA5A}"/>
    <cellStyle name="Note 2 2 7 3" xfId="32440" xr:uid="{84F43BDA-EC5E-4B62-B3ED-FE2FC3B562CA}"/>
    <cellStyle name="Note 2 2 7 4" xfId="32441" xr:uid="{9015334D-B864-4B85-B613-CB666851FA73}"/>
    <cellStyle name="Note 2 2 7 5" xfId="32442" xr:uid="{DE0861F9-EEB8-4410-B0E1-C1FB87FDA02B}"/>
    <cellStyle name="Note 2 2 7 6" xfId="32443" xr:uid="{5A4B32EE-5A9C-4F73-91ED-C137E209DA72}"/>
    <cellStyle name="Note 2 2 7 7" xfId="32444" xr:uid="{ED04EF0C-4065-4C72-A645-B7B7EB38E169}"/>
    <cellStyle name="Note 2 2 8" xfId="2149" xr:uid="{7AD25459-7921-49C7-A5F8-9B93B788F5B4}"/>
    <cellStyle name="Note 2 2 8 2" xfId="10475" xr:uid="{A6552324-ABFE-41F3-8D66-21DC0114F265}"/>
    <cellStyle name="Note 2 2 8 2 2" xfId="32445" xr:uid="{E8842687-2238-4006-9AAE-99D830E3F56C}"/>
    <cellStyle name="Note 2 2 8 2 3" xfId="32446" xr:uid="{4F24E2F8-5090-48DD-838F-D044CD912FE7}"/>
    <cellStyle name="Note 2 2 8 2 4" xfId="32447" xr:uid="{7A34E712-0D09-4B5A-AC56-A998BE76A201}"/>
    <cellStyle name="Note 2 2 8 2 5" xfId="32448" xr:uid="{BEA15C3A-907D-4392-90B9-A43EFE0DE93E}"/>
    <cellStyle name="Note 2 2 8 2 6" xfId="32449" xr:uid="{472DF63C-2BBB-450A-AB4D-7423DEC8D576}"/>
    <cellStyle name="Note 2 2 8 3" xfId="32450" xr:uid="{8EC95BA2-69DD-4DA8-B229-16B8E3B598DC}"/>
    <cellStyle name="Note 2 2 8 4" xfId="32451" xr:uid="{F3DE8609-1117-4B68-984C-D9B8EFECF1DD}"/>
    <cellStyle name="Note 2 2 8 5" xfId="32452" xr:uid="{5649CA69-58FA-41ED-B7D2-9428F11E7314}"/>
    <cellStyle name="Note 2 2 8 6" xfId="32453" xr:uid="{CFF58EEB-30CF-40DA-A39B-A56E327F184B}"/>
    <cellStyle name="Note 2 2 8 7" xfId="32454" xr:uid="{3A262648-752A-4E1B-A5B6-D1440D7859F0}"/>
    <cellStyle name="Note 2 2 9" xfId="2150" xr:uid="{B8B49D7B-5D8F-474E-ADA8-08831415630A}"/>
    <cellStyle name="Note 2 2 9 2" xfId="10563" xr:uid="{64A2E473-D24B-4146-84A0-B0FF4A7BFDB0}"/>
    <cellStyle name="Note 2 2 9 2 2" xfId="32455" xr:uid="{9B525EA8-B071-49D0-B876-3DCF9F6C4D8B}"/>
    <cellStyle name="Note 2 2 9 2 3" xfId="32456" xr:uid="{4CE2AB89-226A-40D1-896A-13ABDA5C7752}"/>
    <cellStyle name="Note 2 2 9 2 4" xfId="32457" xr:uid="{C56C6D8B-92C3-4506-9343-CE170B01C1D8}"/>
    <cellStyle name="Note 2 2 9 2 5" xfId="32458" xr:uid="{855A6C93-4621-4F37-B68E-2087E8875200}"/>
    <cellStyle name="Note 2 2 9 2 6" xfId="32459" xr:uid="{65BA2865-AE57-47B0-9F74-E2DA6718C130}"/>
    <cellStyle name="Note 2 2 9 3" xfId="32460" xr:uid="{40841223-2B5E-4324-8ACD-933C616476A9}"/>
    <cellStyle name="Note 2 2 9 4" xfId="32461" xr:uid="{6D675DAB-6D61-4705-9F01-49F159E63440}"/>
    <cellStyle name="Note 2 2 9 5" xfId="32462" xr:uid="{A5011DE4-6080-4B42-8894-6A4CDAE1F48B}"/>
    <cellStyle name="Note 2 2 9 6" xfId="32463" xr:uid="{F24767AD-E1B9-4D10-B967-053AA98E3F54}"/>
    <cellStyle name="Note 2 2 9 7" xfId="32464" xr:uid="{8CB35D1B-3A14-460E-BA47-CF46A83895F7}"/>
    <cellStyle name="Note 2 20" xfId="2151" xr:uid="{480024FB-C1BC-4D62-B241-290D89BEA843}"/>
    <cellStyle name="Note 2 20 2" xfId="11049" xr:uid="{4510F725-7744-46D9-B9F9-09481157BACE}"/>
    <cellStyle name="Note 2 20 2 2" xfId="32465" xr:uid="{4A2237E0-0059-4220-BBCB-23C904070DAC}"/>
    <cellStyle name="Note 2 20 2 3" xfId="32466" xr:uid="{D3D28F4F-8722-4CCC-8C96-782407C78C42}"/>
    <cellStyle name="Note 2 20 2 4" xfId="32467" xr:uid="{7C47F9BE-022B-419C-A7BB-96AF2A821327}"/>
    <cellStyle name="Note 2 20 2 5" xfId="32468" xr:uid="{0641EF02-B975-48E6-A2F8-A4832EB2EFB3}"/>
    <cellStyle name="Note 2 20 2 6" xfId="32469" xr:uid="{38509D29-6D91-4113-B509-4B1301035C6C}"/>
    <cellStyle name="Note 2 20 3" xfId="32470" xr:uid="{D63820C2-8C83-43A8-9A9E-C040284ED2C0}"/>
    <cellStyle name="Note 2 20 4" xfId="32471" xr:uid="{A1B7D651-BEF1-4254-828C-5277712FDC38}"/>
    <cellStyle name="Note 2 20 5" xfId="32472" xr:uid="{0C061454-F5A3-4508-86BD-FE4B68E2E5B6}"/>
    <cellStyle name="Note 2 20 6" xfId="32473" xr:uid="{E14F54F5-3E41-4F81-A980-F4285D9E615F}"/>
    <cellStyle name="Note 2 20 7" xfId="32474" xr:uid="{0051195A-9E1F-4DAB-8BB1-BF3F000F5612}"/>
    <cellStyle name="Note 2 21" xfId="2152" xr:uid="{DA54A661-D0AA-47AB-A7CE-398B013901B2}"/>
    <cellStyle name="Note 2 21 2" xfId="10513" xr:uid="{283DE423-D35B-41CE-948A-CBDF43566E83}"/>
    <cellStyle name="Note 2 21 2 2" xfId="32475" xr:uid="{3844F9C1-29F7-4BA5-9084-43FDA7F9EF2D}"/>
    <cellStyle name="Note 2 21 2 3" xfId="32476" xr:uid="{877A0603-2487-4372-886E-7F3537468138}"/>
    <cellStyle name="Note 2 21 2 4" xfId="32477" xr:uid="{E0AA709A-8E78-4198-9B2C-1944DB22471B}"/>
    <cellStyle name="Note 2 21 2 5" xfId="32478" xr:uid="{8405CDAD-6CDD-473E-A9CE-6F5EF77F59BA}"/>
    <cellStyle name="Note 2 21 2 6" xfId="32479" xr:uid="{D4F72F3E-3A71-4A4B-9C55-94EEAFB20D59}"/>
    <cellStyle name="Note 2 21 3" xfId="32480" xr:uid="{5E82840E-414D-4F66-AB70-82128681FA98}"/>
    <cellStyle name="Note 2 21 4" xfId="32481" xr:uid="{889C5183-E826-48F3-8B60-5FCCBC7FE1AB}"/>
    <cellStyle name="Note 2 21 5" xfId="32482" xr:uid="{DEED648D-0F77-4300-AFC8-6C3DDDB66C7A}"/>
    <cellStyle name="Note 2 21 6" xfId="32483" xr:uid="{19F406EF-E03B-4B3C-A9AD-FD088844A014}"/>
    <cellStyle name="Note 2 21 7" xfId="32484" xr:uid="{34CF6AA1-77B7-46D9-B0F4-1FDD41998888}"/>
    <cellStyle name="Note 2 22" xfId="2153" xr:uid="{A100AF0B-4FE1-467C-8F8B-19B42AE782D6}"/>
    <cellStyle name="Note 2 22 2" xfId="11044" xr:uid="{C21F1F64-D98A-4441-BDB1-C08778C25B5C}"/>
    <cellStyle name="Note 2 22 2 2" xfId="32485" xr:uid="{811B315D-90D7-4AAF-96A1-4B5A99FBDDCB}"/>
    <cellStyle name="Note 2 22 2 3" xfId="32486" xr:uid="{CD3AF5C6-F45C-4701-BDE7-EBC582C45DB7}"/>
    <cellStyle name="Note 2 22 2 4" xfId="32487" xr:uid="{32AD5865-41A8-46BD-8826-88B65A8CBE19}"/>
    <cellStyle name="Note 2 22 2 5" xfId="32488" xr:uid="{F6175820-79E9-4047-9C6B-632DD8134E87}"/>
    <cellStyle name="Note 2 22 2 6" xfId="32489" xr:uid="{3D0645B9-FD59-4B61-B967-9B215CC3FCED}"/>
    <cellStyle name="Note 2 22 3" xfId="32490" xr:uid="{75BFA589-8947-4D24-BA8C-B1F544C8E130}"/>
    <cellStyle name="Note 2 22 4" xfId="32491" xr:uid="{B867FA93-55B1-405E-93E1-6A13854C016E}"/>
    <cellStyle name="Note 2 22 5" xfId="32492" xr:uid="{65A9E574-FA64-4029-A752-668227E0B389}"/>
    <cellStyle name="Note 2 22 6" xfId="32493" xr:uid="{5883F075-DE8C-4381-BC78-33C0BE39566C}"/>
    <cellStyle name="Note 2 22 7" xfId="32494" xr:uid="{FC758A6E-7F03-4A97-8008-E3AB996F0E99}"/>
    <cellStyle name="Note 2 23" xfId="2154" xr:uid="{121D9135-2D3E-4792-A121-10876FF8EEF0}"/>
    <cellStyle name="Note 2 23 2" xfId="9904" xr:uid="{85C56E2C-6073-4ED4-BF6E-98555EFA795B}"/>
    <cellStyle name="Note 2 23 2 2" xfId="32495" xr:uid="{EFD4C0A9-6E93-4A33-B0A1-87FD994004CD}"/>
    <cellStyle name="Note 2 23 2 3" xfId="32496" xr:uid="{9E6109EB-CCD0-425A-9849-31953BE1D526}"/>
    <cellStyle name="Note 2 23 2 4" xfId="32497" xr:uid="{B4E00569-7D29-41E3-A4F5-5031FE84CCEB}"/>
    <cellStyle name="Note 2 23 2 5" xfId="32498" xr:uid="{B700BFC1-89BF-4B5E-B699-A94247B6BBDC}"/>
    <cellStyle name="Note 2 23 2 6" xfId="32499" xr:uid="{F7BB8BB4-2BC4-4FB9-BAA6-CFAD0361FDE4}"/>
    <cellStyle name="Note 2 23 3" xfId="32500" xr:uid="{16805A6A-17BC-4FD8-AA1B-4F47EFA19FBC}"/>
    <cellStyle name="Note 2 23 4" xfId="32501" xr:uid="{43D96DBB-D93B-4834-9C8D-5C9F492CE987}"/>
    <cellStyle name="Note 2 23 5" xfId="32502" xr:uid="{07451CE8-0FFC-448A-B58D-4D14F955F2C0}"/>
    <cellStyle name="Note 2 23 6" xfId="32503" xr:uid="{4C2F0E0B-BC40-41E3-BB6D-9AEC31C84291}"/>
    <cellStyle name="Note 2 23 7" xfId="32504" xr:uid="{BEFDE24B-C782-4B03-89C4-A19CEBE6438B}"/>
    <cellStyle name="Note 2 24" xfId="2155" xr:uid="{D9A7D2A0-CDE4-4B36-BDCC-0C68DB522458}"/>
    <cellStyle name="Note 2 24 2" xfId="11392" xr:uid="{73D5F9E4-6494-45E5-BA59-918BCCE1010E}"/>
    <cellStyle name="Note 2 24 2 2" xfId="32505" xr:uid="{F8E99380-35BA-454B-8E7B-522374DB9465}"/>
    <cellStyle name="Note 2 24 2 3" xfId="32506" xr:uid="{46B2F911-1A28-441B-9A96-B10F2F3723DE}"/>
    <cellStyle name="Note 2 24 2 4" xfId="32507" xr:uid="{FB861B65-DA3C-4685-996C-F6C3EF25FDBF}"/>
    <cellStyle name="Note 2 24 2 5" xfId="32508" xr:uid="{B586375D-9456-4192-AF9D-A4F0B6A86920}"/>
    <cellStyle name="Note 2 24 2 6" xfId="32509" xr:uid="{F8F3F820-945D-43F0-96BB-2BCC52F8B333}"/>
    <cellStyle name="Note 2 24 3" xfId="32510" xr:uid="{2844F065-1536-4D4E-A694-15723597BE3D}"/>
    <cellStyle name="Note 2 24 4" xfId="32511" xr:uid="{0FE4C6F9-4F94-4B6B-8E18-0BFAAE3C1B8D}"/>
    <cellStyle name="Note 2 24 5" xfId="32512" xr:uid="{0B0F673E-98F0-464F-95D8-A1F54C36A70B}"/>
    <cellStyle name="Note 2 24 6" xfId="32513" xr:uid="{C6656A55-AED3-4DFD-B100-568E471014AC}"/>
    <cellStyle name="Note 2 24 7" xfId="32514" xr:uid="{0227A8D2-F7FD-4318-9FF4-320944082B4A}"/>
    <cellStyle name="Note 2 25" xfId="2156" xr:uid="{C96DB8DF-7D5F-48D7-A303-4BDB22CE4BA4}"/>
    <cellStyle name="Note 2 25 2" xfId="11413" xr:uid="{BCEFDD61-538B-4D90-AFE8-C6D35DB4E269}"/>
    <cellStyle name="Note 2 25 2 2" xfId="32515" xr:uid="{826D8923-E56F-4EBA-BFDB-CC6B53A6F806}"/>
    <cellStyle name="Note 2 25 2 3" xfId="32516" xr:uid="{79E86254-E91B-4D34-B65F-BF2808BDE702}"/>
    <cellStyle name="Note 2 25 2 4" xfId="32517" xr:uid="{FB515587-E1AF-42EF-848D-A2D7E4DE586B}"/>
    <cellStyle name="Note 2 25 2 5" xfId="32518" xr:uid="{1A064322-1F91-4490-8265-9647A5C90043}"/>
    <cellStyle name="Note 2 25 2 6" xfId="32519" xr:uid="{92D471DD-1BFF-4FCB-B0AD-20A0A6CEEBB1}"/>
    <cellStyle name="Note 2 25 3" xfId="32520" xr:uid="{CB278478-3AB7-47E2-AD7C-A8B062B3864F}"/>
    <cellStyle name="Note 2 25 4" xfId="32521" xr:uid="{442B037C-EFFC-4ADF-A87A-C1A2E56795C5}"/>
    <cellStyle name="Note 2 25 5" xfId="32522" xr:uid="{72ED9FB3-65FA-4A6B-9F7E-EA31948C5984}"/>
    <cellStyle name="Note 2 25 6" xfId="32523" xr:uid="{74BA9565-C8B1-4C15-9A94-B97539A69A4E}"/>
    <cellStyle name="Note 2 25 7" xfId="32524" xr:uid="{C8BCBE99-ACC6-4AB4-8087-04167F050DA7}"/>
    <cellStyle name="Note 2 26" xfId="2157" xr:uid="{98A10935-BF26-4251-8C09-93784706600B}"/>
    <cellStyle name="Note 2 26 2" xfId="11242" xr:uid="{EAAA9A8D-BC94-4FB3-A875-4E473C4BE701}"/>
    <cellStyle name="Note 2 26 2 2" xfId="32525" xr:uid="{CD21C67B-71FD-4CBC-B88B-9A358634D1A0}"/>
    <cellStyle name="Note 2 26 2 3" xfId="32526" xr:uid="{D174BC7B-0737-4391-8463-A7194EF6AC09}"/>
    <cellStyle name="Note 2 26 2 4" xfId="32527" xr:uid="{B67F76FE-F756-4D28-AFB7-3F75747CE577}"/>
    <cellStyle name="Note 2 26 2 5" xfId="32528" xr:uid="{F2766E37-E57D-41C2-B6BE-43A5DF8C3F84}"/>
    <cellStyle name="Note 2 26 2 6" xfId="32529" xr:uid="{6FF5D0A0-5668-4E67-B32E-58AC9430B418}"/>
    <cellStyle name="Note 2 26 3" xfId="32530" xr:uid="{57CA6009-BCB0-44F6-BEAF-59B4478F7233}"/>
    <cellStyle name="Note 2 26 4" xfId="32531" xr:uid="{AD62F8A1-F5AE-4990-83D7-78A3D26B8D82}"/>
    <cellStyle name="Note 2 26 5" xfId="32532" xr:uid="{564608DF-F512-47D3-8DB8-53B4182B3777}"/>
    <cellStyle name="Note 2 26 6" xfId="32533" xr:uid="{11DE4C59-0805-4B22-B3CC-5765677E6B8E}"/>
    <cellStyle name="Note 2 26 7" xfId="32534" xr:uid="{599A17F3-9504-453C-8048-835E4336439A}"/>
    <cellStyle name="Note 2 27" xfId="2158" xr:uid="{E6353D97-59CF-4438-870C-68B3B6CE03A0}"/>
    <cellStyle name="Note 2 27 2" xfId="11588" xr:uid="{15E08FCC-339C-4D8C-828E-3FF6607ACED9}"/>
    <cellStyle name="Note 2 27 2 2" xfId="32535" xr:uid="{A6AAE885-E047-4B75-9007-3E8C5DB5201C}"/>
    <cellStyle name="Note 2 27 2 3" xfId="32536" xr:uid="{A75B1444-ECB5-4390-B392-F73980CD6AF4}"/>
    <cellStyle name="Note 2 27 2 4" xfId="32537" xr:uid="{F44A19EA-C2F2-4101-8B61-AD28A49C3C9B}"/>
    <cellStyle name="Note 2 27 2 5" xfId="32538" xr:uid="{B0E670CE-F192-45F4-BD28-BE4EF1E0BC2C}"/>
    <cellStyle name="Note 2 27 2 6" xfId="32539" xr:uid="{FAE7A492-9467-46CD-8528-F9000CE265D5}"/>
    <cellStyle name="Note 2 27 3" xfId="32540" xr:uid="{2A86237F-22C7-48DC-B8F3-3764EC0B9BD3}"/>
    <cellStyle name="Note 2 27 4" xfId="32541" xr:uid="{E03E8D80-92E4-44BC-B314-0E5377BD0E3A}"/>
    <cellStyle name="Note 2 27 5" xfId="32542" xr:uid="{2AE72468-26C0-4EB4-B148-254DC2142AA8}"/>
    <cellStyle name="Note 2 27 6" xfId="32543" xr:uid="{583FC693-6ABA-4E1F-B032-CE6967B176E0}"/>
    <cellStyle name="Note 2 27 7" xfId="32544" xr:uid="{86922253-CBDC-40C0-8ADD-5BA03D0E37DF}"/>
    <cellStyle name="Note 2 28" xfId="2159" xr:uid="{34690A4D-C5F4-4C2A-BDBC-CE2435324814}"/>
    <cellStyle name="Note 2 28 2" xfId="10515" xr:uid="{6D09A9AB-5FF2-4A51-906C-699D06DD0003}"/>
    <cellStyle name="Note 2 28 2 2" xfId="32545" xr:uid="{29A8E482-4063-4253-B73E-C4F8438CFE73}"/>
    <cellStyle name="Note 2 28 2 3" xfId="32546" xr:uid="{76952185-FA98-4911-A510-1B927E756647}"/>
    <cellStyle name="Note 2 28 2 4" xfId="32547" xr:uid="{08ECE851-4969-4656-8F20-FAC691D894D2}"/>
    <cellStyle name="Note 2 28 2 5" xfId="32548" xr:uid="{3BEDE21D-E289-44FC-9088-1D81755BA1E9}"/>
    <cellStyle name="Note 2 28 2 6" xfId="32549" xr:uid="{CACE7D42-3159-4FBD-8A99-C83BFED487E5}"/>
    <cellStyle name="Note 2 28 3" xfId="32550" xr:uid="{C39F378A-E430-496A-8C56-E3B4B11AD595}"/>
    <cellStyle name="Note 2 28 4" xfId="32551" xr:uid="{F6FF16F0-3395-45F7-95D2-956E50856064}"/>
    <cellStyle name="Note 2 28 5" xfId="32552" xr:uid="{427ADC37-BE4F-4E02-97C1-D672E81A0439}"/>
    <cellStyle name="Note 2 28 6" xfId="32553" xr:uid="{E1877851-856A-4B00-B956-CA575D1AED8F}"/>
    <cellStyle name="Note 2 28 7" xfId="32554" xr:uid="{50357E74-123D-4041-A411-77E5EED4B35D}"/>
    <cellStyle name="Note 2 29" xfId="2160" xr:uid="{E168FCFB-B57B-4A9E-8B23-353755AA32CF}"/>
    <cellStyle name="Note 2 29 2" xfId="11757" xr:uid="{DD7D4028-8B77-4991-8195-907C8411082A}"/>
    <cellStyle name="Note 2 29 2 2" xfId="32555" xr:uid="{280C77AB-966F-485A-AA94-A2C5AE27A548}"/>
    <cellStyle name="Note 2 29 2 3" xfId="32556" xr:uid="{3AC0441D-A84C-4B88-9CD3-B118101D4E9D}"/>
    <cellStyle name="Note 2 29 2 4" xfId="32557" xr:uid="{B6F34E52-0F14-4E2C-AF3B-82D348FE59BE}"/>
    <cellStyle name="Note 2 29 2 5" xfId="32558" xr:uid="{10BC020C-2944-42BB-AA5C-AF4EFB20D49F}"/>
    <cellStyle name="Note 2 29 2 6" xfId="32559" xr:uid="{11204D68-77FC-4EAF-8202-E5D1CAD9F8CA}"/>
    <cellStyle name="Note 2 29 3" xfId="32560" xr:uid="{86F3CD0A-81E8-4343-BE19-8BF8466FF7B2}"/>
    <cellStyle name="Note 2 29 4" xfId="32561" xr:uid="{7D0D8573-EE97-4EFD-9873-FCCB42118C7B}"/>
    <cellStyle name="Note 2 29 5" xfId="32562" xr:uid="{4C4A59F6-18B7-4BD0-A5EB-29B7291B3E21}"/>
    <cellStyle name="Note 2 29 6" xfId="32563" xr:uid="{9B31B929-7226-495D-A438-3794E37EF4BF}"/>
    <cellStyle name="Note 2 29 7" xfId="32564" xr:uid="{2B40DCCE-CAD8-4B0D-9FC6-286312F5A077}"/>
    <cellStyle name="Note 2 3" xfId="2161" xr:uid="{ABD12565-5BE7-4A52-AD96-A189856AAD1E}"/>
    <cellStyle name="Note 2 3 10" xfId="2162" xr:uid="{3BBD6A4A-E009-4088-879E-A1A58501D29D}"/>
    <cellStyle name="Note 2 3 10 2" xfId="10629" xr:uid="{BBFC4DBE-D26C-4B02-9408-27A02D72459F}"/>
    <cellStyle name="Note 2 3 10 2 2" xfId="32565" xr:uid="{299B73FC-9116-4F42-B4F8-3419A80E4EC0}"/>
    <cellStyle name="Note 2 3 10 2 3" xfId="32566" xr:uid="{4F072BB5-DDD0-4A12-A140-B86337010C9A}"/>
    <cellStyle name="Note 2 3 10 2 4" xfId="32567" xr:uid="{CA600924-25FB-4B4F-A65E-32B7596AB9F0}"/>
    <cellStyle name="Note 2 3 10 2 5" xfId="32568" xr:uid="{D92A8901-A7D5-4560-A262-2DD726A77EB2}"/>
    <cellStyle name="Note 2 3 10 2 6" xfId="32569" xr:uid="{D303323F-1D55-4AA4-B23A-8226BB6372B0}"/>
    <cellStyle name="Note 2 3 10 3" xfId="32570" xr:uid="{BFF74918-DD5B-4FFF-9CAC-22B4125DF170}"/>
    <cellStyle name="Note 2 3 10 4" xfId="32571" xr:uid="{3D324FBF-9307-4013-870F-435BCC44D76D}"/>
    <cellStyle name="Note 2 3 10 5" xfId="32572" xr:uid="{011EC85B-F3A4-41CD-A4E7-BF9EA225FB1A}"/>
    <cellStyle name="Note 2 3 10 6" xfId="32573" xr:uid="{9C63F27D-C00A-4562-ADBA-535599CBD475}"/>
    <cellStyle name="Note 2 3 10 7" xfId="32574" xr:uid="{F4471CB1-54A1-4D9E-B5CC-6D025B95DCBF}"/>
    <cellStyle name="Note 2 3 11" xfId="2163" xr:uid="{53718EB2-909B-4A1D-9FA4-E9E6CBE23067}"/>
    <cellStyle name="Note 2 3 11 2" xfId="10720" xr:uid="{7609B1B5-7590-42F1-B9DF-411522A80AB8}"/>
    <cellStyle name="Note 2 3 11 2 2" xfId="32575" xr:uid="{83BE858F-D256-488A-B361-ADF91027B73C}"/>
    <cellStyle name="Note 2 3 11 2 3" xfId="32576" xr:uid="{166B53B4-4201-42F1-9672-F68B59A048F5}"/>
    <cellStyle name="Note 2 3 11 2 4" xfId="32577" xr:uid="{93F133BF-BFF2-4119-B97F-63558872E4E7}"/>
    <cellStyle name="Note 2 3 11 2 5" xfId="32578" xr:uid="{D22D8F74-C668-4C6E-88F7-D65C271C124C}"/>
    <cellStyle name="Note 2 3 11 2 6" xfId="32579" xr:uid="{3AA6F3E8-3997-4C00-BA8B-78BD532A9B60}"/>
    <cellStyle name="Note 2 3 11 3" xfId="32580" xr:uid="{EE23726A-D9EF-41D2-AED5-989E5DBF0EE8}"/>
    <cellStyle name="Note 2 3 11 4" xfId="32581" xr:uid="{1D9FA21B-7FF0-4F90-AA90-B1FDD7283407}"/>
    <cellStyle name="Note 2 3 11 5" xfId="32582" xr:uid="{CDCD4469-E8D6-455D-A5DF-1698E9291DFB}"/>
    <cellStyle name="Note 2 3 11 6" xfId="32583" xr:uid="{E3F18D4B-BA92-4158-9175-4EB0A83D515F}"/>
    <cellStyle name="Note 2 3 11 7" xfId="32584" xr:uid="{53ECDD40-FBE6-44C0-8BF1-28ED43844BCF}"/>
    <cellStyle name="Note 2 3 12" xfId="2164" xr:uid="{BEED7F97-76A7-434B-9363-17F8C1700DD7}"/>
    <cellStyle name="Note 2 3 12 2" xfId="10808" xr:uid="{21BD4217-C920-4DF2-BF9A-2553C43748EA}"/>
    <cellStyle name="Note 2 3 12 2 2" xfId="32585" xr:uid="{28953C54-3D6B-4756-972C-C9017725963F}"/>
    <cellStyle name="Note 2 3 12 2 3" xfId="32586" xr:uid="{554DF23B-F08F-4B6D-B2AC-A9A9F1CC643D}"/>
    <cellStyle name="Note 2 3 12 2 4" xfId="32587" xr:uid="{FD764527-5EEC-4E43-A291-9D202E081D89}"/>
    <cellStyle name="Note 2 3 12 2 5" xfId="32588" xr:uid="{C7605895-1233-46CB-ADB0-E715580F8E87}"/>
    <cellStyle name="Note 2 3 12 2 6" xfId="32589" xr:uid="{FAAEE85F-D80E-43FE-9F20-9E9618759630}"/>
    <cellStyle name="Note 2 3 12 3" xfId="32590" xr:uid="{6492DB67-45F7-47CE-AA4A-B4D8CC8B3041}"/>
    <cellStyle name="Note 2 3 12 4" xfId="32591" xr:uid="{FE3140CF-E767-4020-8A37-8973C394294C}"/>
    <cellStyle name="Note 2 3 12 5" xfId="32592" xr:uid="{EF8CA12A-90ED-4F6C-8153-20AAB13E3E14}"/>
    <cellStyle name="Note 2 3 12 6" xfId="32593" xr:uid="{0AE0AB61-873A-4F4E-B900-E07B15295BBD}"/>
    <cellStyle name="Note 2 3 12 7" xfId="32594" xr:uid="{3B2A52B4-877E-4806-A812-B860C4B39FCA}"/>
    <cellStyle name="Note 2 3 13" xfId="2165" xr:uid="{AFD9FE4B-3881-4971-B66B-971E0F5E9C13}"/>
    <cellStyle name="Note 2 3 13 2" xfId="10897" xr:uid="{77DBB9BC-F145-4E5E-BDCC-EAB66F54025A}"/>
    <cellStyle name="Note 2 3 13 2 2" xfId="32595" xr:uid="{E7D83E08-5289-4EDF-9F38-1A27C10452A4}"/>
    <cellStyle name="Note 2 3 13 2 3" xfId="32596" xr:uid="{BFA7130C-DFB1-49F3-A635-8535BEE8C255}"/>
    <cellStyle name="Note 2 3 13 2 4" xfId="32597" xr:uid="{1684B64A-6971-45CD-B5B7-30DB59B9E5DA}"/>
    <cellStyle name="Note 2 3 13 2 5" xfId="32598" xr:uid="{75C2A6BB-E7A3-4902-A456-4EC3C75DC994}"/>
    <cellStyle name="Note 2 3 13 2 6" xfId="32599" xr:uid="{5867D66B-C39A-4D4E-A4E8-2D63F5485CC7}"/>
    <cellStyle name="Note 2 3 13 3" xfId="32600" xr:uid="{6D28185F-B456-4D58-A67C-1F072C1D70DE}"/>
    <cellStyle name="Note 2 3 13 4" xfId="32601" xr:uid="{70B6088B-10C9-4D34-892C-CBE96D16BC24}"/>
    <cellStyle name="Note 2 3 13 5" xfId="32602" xr:uid="{5FD3679F-8080-482D-AD4F-A520EA1C2B20}"/>
    <cellStyle name="Note 2 3 13 6" xfId="32603" xr:uid="{F31E6A66-BF4C-4C70-B055-EC64CEE9855B}"/>
    <cellStyle name="Note 2 3 13 7" xfId="32604" xr:uid="{6CF7EBFF-DC4D-422F-ACF7-73B0E4B763F9}"/>
    <cellStyle name="Note 2 3 14" xfId="2166" xr:uid="{2441BE94-B217-4241-B45F-3CD9E1A9B840}"/>
    <cellStyle name="Note 2 3 14 2" xfId="10987" xr:uid="{9DD5EB2A-AF96-4623-ADB3-8589739551CD}"/>
    <cellStyle name="Note 2 3 14 2 2" xfId="32605" xr:uid="{4DE8F6D9-6E61-493E-9266-15AC68F2AAFF}"/>
    <cellStyle name="Note 2 3 14 2 3" xfId="32606" xr:uid="{C23D58A7-E506-4AAA-AE12-8BFD9F689F60}"/>
    <cellStyle name="Note 2 3 14 2 4" xfId="32607" xr:uid="{BFAC3307-6506-4FA8-AF33-29ECEF9671BA}"/>
    <cellStyle name="Note 2 3 14 2 5" xfId="32608" xr:uid="{E2DE0E0E-B012-4329-9982-A0373F9DE636}"/>
    <cellStyle name="Note 2 3 14 2 6" xfId="32609" xr:uid="{CD816A0A-3499-4C14-9F02-A488448B98D6}"/>
    <cellStyle name="Note 2 3 14 3" xfId="32610" xr:uid="{691E16B3-9304-4263-8548-2C4AA5842785}"/>
    <cellStyle name="Note 2 3 14 4" xfId="32611" xr:uid="{79F580DD-AE03-4090-BCEB-CC33FE690FC6}"/>
    <cellStyle name="Note 2 3 14 5" xfId="32612" xr:uid="{9930C849-EA6F-466E-BE55-DCD35E622FB1}"/>
    <cellStyle name="Note 2 3 14 6" xfId="32613" xr:uid="{72E62BA2-ECBD-42EE-87E3-C6619056AE92}"/>
    <cellStyle name="Note 2 3 14 7" xfId="32614" xr:uid="{5D10C011-21F8-4AD9-8B27-1223D1512831}"/>
    <cellStyle name="Note 2 3 15" xfId="2167" xr:uid="{26CC897F-F1A3-433B-ACE2-03DB8CA1ACF4}"/>
    <cellStyle name="Note 2 3 15 2" xfId="11078" xr:uid="{4B4E5E7F-4DE0-4BDA-B38B-13339ED73647}"/>
    <cellStyle name="Note 2 3 15 2 2" xfId="32615" xr:uid="{B1DE3573-0B2E-4A03-8657-27A25A2F7CFC}"/>
    <cellStyle name="Note 2 3 15 2 3" xfId="32616" xr:uid="{EAE4A10D-7F37-4743-91B8-5D4B53BCD3C9}"/>
    <cellStyle name="Note 2 3 15 2 4" xfId="32617" xr:uid="{00F7C5D3-3C07-4334-8550-6A08C45186D4}"/>
    <cellStyle name="Note 2 3 15 2 5" xfId="32618" xr:uid="{AD17CE4A-C277-4DBA-85FB-C69BB841051A}"/>
    <cellStyle name="Note 2 3 15 2 6" xfId="32619" xr:uid="{0042DF37-7557-419E-B94B-486BCE4CF785}"/>
    <cellStyle name="Note 2 3 15 3" xfId="32620" xr:uid="{52D6ACBC-EB9C-483B-9C8E-F41531F1E809}"/>
    <cellStyle name="Note 2 3 15 4" xfId="32621" xr:uid="{051C3F1D-969A-43AF-A8E4-63C72A8FB597}"/>
    <cellStyle name="Note 2 3 15 5" xfId="32622" xr:uid="{CDF39DAF-9C63-4EBD-83D3-4781C9FE4C40}"/>
    <cellStyle name="Note 2 3 15 6" xfId="32623" xr:uid="{5FC40F4A-F721-4F18-9860-2F97537B0DB0}"/>
    <cellStyle name="Note 2 3 15 7" xfId="32624" xr:uid="{E3A3A912-A9F3-48F3-B1FE-5B4BC7D9B038}"/>
    <cellStyle name="Note 2 3 16" xfId="2168" xr:uid="{E2F07030-D1ED-4BF4-848F-83649877E384}"/>
    <cellStyle name="Note 2 3 16 2" xfId="11161" xr:uid="{FD3E9936-1169-4799-B7CD-5303BAF59EB5}"/>
    <cellStyle name="Note 2 3 16 2 2" xfId="32625" xr:uid="{E666DF40-161E-4E9F-AE3E-4665ABDC1168}"/>
    <cellStyle name="Note 2 3 16 2 3" xfId="32626" xr:uid="{E9AD49AA-1A6D-4F10-9C0B-D36663F3C9DF}"/>
    <cellStyle name="Note 2 3 16 2 4" xfId="32627" xr:uid="{7ADA413E-6E05-4BCA-9936-20059CF52EE3}"/>
    <cellStyle name="Note 2 3 16 2 5" xfId="32628" xr:uid="{28CE8341-F359-45C8-A2E1-C46D4D573053}"/>
    <cellStyle name="Note 2 3 16 2 6" xfId="32629" xr:uid="{BBC7CBCF-AAF8-4F6A-ACC7-B6D226657DAE}"/>
    <cellStyle name="Note 2 3 16 3" xfId="32630" xr:uid="{71B49B44-CCC3-4B10-A798-4DC1CD0B6DEB}"/>
    <cellStyle name="Note 2 3 16 4" xfId="32631" xr:uid="{909C4CFD-4C0D-406E-B2B4-3C7A5C334073}"/>
    <cellStyle name="Note 2 3 16 5" xfId="32632" xr:uid="{6F90D5D6-5EEC-4554-B7A6-6FDB119056C2}"/>
    <cellStyle name="Note 2 3 16 6" xfId="32633" xr:uid="{1AEFB27A-5405-46F6-A0D6-BBFAB2EED46B}"/>
    <cellStyle name="Note 2 3 16 7" xfId="32634" xr:uid="{93859A1C-96F5-47FA-B521-568EE5F74327}"/>
    <cellStyle name="Note 2 3 17" xfId="2169" xr:uid="{B62C5376-F2D6-49F7-BA71-8F6B1E2A97F9}"/>
    <cellStyle name="Note 2 3 17 2" xfId="11251" xr:uid="{B4E6C20A-395C-4FB4-8D98-9616F1F5D2B6}"/>
    <cellStyle name="Note 2 3 17 2 2" xfId="32635" xr:uid="{D21B0E36-8FDD-4ECC-AC33-D1E0D5F811AB}"/>
    <cellStyle name="Note 2 3 17 2 3" xfId="32636" xr:uid="{7993C431-4EA5-4152-9D45-CFF13982B735}"/>
    <cellStyle name="Note 2 3 17 2 4" xfId="32637" xr:uid="{9C969A80-22DB-4953-8838-15FEA0C08669}"/>
    <cellStyle name="Note 2 3 17 2 5" xfId="32638" xr:uid="{723A9EDD-72B7-4FB0-9107-83DE2E62487F}"/>
    <cellStyle name="Note 2 3 17 2 6" xfId="32639" xr:uid="{6392A3CE-A1BA-469B-9D55-40636DBEB069}"/>
    <cellStyle name="Note 2 3 17 3" xfId="32640" xr:uid="{AA2EE600-6441-4133-AA2F-6323A71391BB}"/>
    <cellStyle name="Note 2 3 17 4" xfId="32641" xr:uid="{B7879117-F995-4606-B0A0-1ECBE5A9FF31}"/>
    <cellStyle name="Note 2 3 17 5" xfId="32642" xr:uid="{873913A6-4690-4D2D-8CF7-EF6029AED85A}"/>
    <cellStyle name="Note 2 3 17 6" xfId="32643" xr:uid="{DCFE942C-B1E9-4885-94F5-4BC0E9BE55EC}"/>
    <cellStyle name="Note 2 3 17 7" xfId="32644" xr:uid="{8664E899-99C0-4F97-B526-5EAE08F421AA}"/>
    <cellStyle name="Note 2 3 18" xfId="2170" xr:uid="{0B4F1EEA-0BFD-4932-8651-42E94DD38610}"/>
    <cellStyle name="Note 2 3 18 2" xfId="11337" xr:uid="{99C438DD-7053-429D-9BE8-CB0BCCD2AD02}"/>
    <cellStyle name="Note 2 3 18 2 2" xfId="32645" xr:uid="{A9179999-4224-43EE-9770-20E5B2FBB1B0}"/>
    <cellStyle name="Note 2 3 18 2 3" xfId="32646" xr:uid="{17C07A7A-2D75-424D-BC17-27931BBE9E20}"/>
    <cellStyle name="Note 2 3 18 2 4" xfId="32647" xr:uid="{ADEC1FDE-BA3B-4723-AD3B-FBE9D1026C73}"/>
    <cellStyle name="Note 2 3 18 2 5" xfId="32648" xr:uid="{3EC426C0-50F0-4777-ABF2-A6D3B47F5FDF}"/>
    <cellStyle name="Note 2 3 18 2 6" xfId="32649" xr:uid="{20E9C3BC-2AEC-4B6C-88B0-F8EC95D129CD}"/>
    <cellStyle name="Note 2 3 18 3" xfId="32650" xr:uid="{3CDC4183-A071-4A03-80BF-8220AE2BECF1}"/>
    <cellStyle name="Note 2 3 18 4" xfId="32651" xr:uid="{B6F1B2BB-227A-4054-A59C-703CE2418996}"/>
    <cellStyle name="Note 2 3 18 5" xfId="32652" xr:uid="{DBC6CBA1-658D-4EF3-A9BE-75349280044F}"/>
    <cellStyle name="Note 2 3 18 6" xfId="32653" xr:uid="{299062F9-A26C-4570-8065-951477A98179}"/>
    <cellStyle name="Note 2 3 18 7" xfId="32654" xr:uid="{DDA568FE-7F35-4BE9-B235-1F0FF58BB764}"/>
    <cellStyle name="Note 2 3 19" xfId="2171" xr:uid="{8CA56AB7-F67D-4057-978B-5767376BEFFC}"/>
    <cellStyle name="Note 2 3 19 2" xfId="11423" xr:uid="{BAD12292-CF2B-4F6A-B3C0-34013B733DBB}"/>
    <cellStyle name="Note 2 3 19 2 2" xfId="32655" xr:uid="{73552324-F671-4F92-B7B4-E1C3DD42E081}"/>
    <cellStyle name="Note 2 3 19 2 3" xfId="32656" xr:uid="{3044E72F-7A27-4CA6-AC30-3F33F3C98CA6}"/>
    <cellStyle name="Note 2 3 19 2 4" xfId="32657" xr:uid="{8D7F245A-5087-4FF3-B111-D1BB4355A282}"/>
    <cellStyle name="Note 2 3 19 2 5" xfId="32658" xr:uid="{89D8BBE0-1BC8-44FE-A7F6-C6CBC9C02919}"/>
    <cellStyle name="Note 2 3 19 2 6" xfId="32659" xr:uid="{5FDAF2CD-CA0C-4305-8234-1634A0B5AE7D}"/>
    <cellStyle name="Note 2 3 19 3" xfId="32660" xr:uid="{01BCD871-9177-4809-AE05-9B9C2B960566}"/>
    <cellStyle name="Note 2 3 19 4" xfId="32661" xr:uid="{849605B7-39F0-4008-BC98-820EAC481443}"/>
    <cellStyle name="Note 2 3 19 5" xfId="32662" xr:uid="{BFA8663A-983E-4BF6-BA2B-202DA2EB793F}"/>
    <cellStyle name="Note 2 3 19 6" xfId="32663" xr:uid="{4248BB62-2CCD-4206-A33C-E641D9D55F67}"/>
    <cellStyle name="Note 2 3 19 7" xfId="32664" xr:uid="{311B1FC7-17BE-44A4-B370-EED9A440CC65}"/>
    <cellStyle name="Note 2 3 2" xfId="2172" xr:uid="{7FE16687-A637-4250-8C7E-8FA571D1E289}"/>
    <cellStyle name="Note 2 3 2 10" xfId="2173" xr:uid="{8E58E621-DD27-455B-8934-81DF5E1B9A56}"/>
    <cellStyle name="Note 2 3 2 10 2" xfId="10754" xr:uid="{B9025024-B396-481B-ADA0-370E1F936C7D}"/>
    <cellStyle name="Note 2 3 2 10 2 2" xfId="32665" xr:uid="{DB79591C-F7D7-4EC7-97D6-09AEF1A40DE1}"/>
    <cellStyle name="Note 2 3 2 10 2 3" xfId="32666" xr:uid="{7F8FC658-30FB-4F55-80A3-E95503C7377A}"/>
    <cellStyle name="Note 2 3 2 10 2 4" xfId="32667" xr:uid="{0839684B-E75B-423F-9CED-7FD7EF280239}"/>
    <cellStyle name="Note 2 3 2 10 2 5" xfId="32668" xr:uid="{BD40DAED-FCAE-4034-9E8C-C05403E354E4}"/>
    <cellStyle name="Note 2 3 2 10 2 6" xfId="32669" xr:uid="{A160DB41-856D-407D-9E28-7A5E1F5B4570}"/>
    <cellStyle name="Note 2 3 2 10 3" xfId="32670" xr:uid="{80A3CE9D-D45C-45E2-96DA-5CAC04AF1987}"/>
    <cellStyle name="Note 2 3 2 10 4" xfId="32671" xr:uid="{3BD80E9B-5DA4-4A94-A13D-EAFA912A6E5F}"/>
    <cellStyle name="Note 2 3 2 10 5" xfId="32672" xr:uid="{BEC87502-E5F5-4745-B707-BFADBB05E9B1}"/>
    <cellStyle name="Note 2 3 2 10 6" xfId="32673" xr:uid="{BFF5B61F-B378-4835-8376-CEFD1076A48A}"/>
    <cellStyle name="Note 2 3 2 10 7" xfId="32674" xr:uid="{76727F8A-51D7-4C35-AECC-49FEEF2EEA2A}"/>
    <cellStyle name="Note 2 3 2 11" xfId="2174" xr:uid="{B3B56BFC-24C8-43A2-A0AC-70519C62218F}"/>
    <cellStyle name="Note 2 3 2 11 2" xfId="10842" xr:uid="{DBC5AE4F-4AD8-43EC-85DA-15493B8924A1}"/>
    <cellStyle name="Note 2 3 2 11 2 2" xfId="32675" xr:uid="{38596AB5-4A3B-481C-9DC2-89D165B999DA}"/>
    <cellStyle name="Note 2 3 2 11 2 3" xfId="32676" xr:uid="{CA594F22-F0D2-4796-971E-1B3C0708FF23}"/>
    <cellStyle name="Note 2 3 2 11 2 4" xfId="32677" xr:uid="{44CCD612-41CC-4DE6-957C-9DA7D3380B03}"/>
    <cellStyle name="Note 2 3 2 11 2 5" xfId="32678" xr:uid="{B84E256F-B928-4F97-B14F-7493768A12BE}"/>
    <cellStyle name="Note 2 3 2 11 2 6" xfId="32679" xr:uid="{64947065-D0CB-4162-AA6C-8422923DA67D}"/>
    <cellStyle name="Note 2 3 2 11 3" xfId="32680" xr:uid="{1A23B391-1A12-4BBD-BD8A-95CA88835DBD}"/>
    <cellStyle name="Note 2 3 2 11 4" xfId="32681" xr:uid="{62F8F413-4192-4734-A648-F89C4DE82108}"/>
    <cellStyle name="Note 2 3 2 11 5" xfId="32682" xr:uid="{643FE818-C75D-45F0-83C5-7596F545510F}"/>
    <cellStyle name="Note 2 3 2 11 6" xfId="32683" xr:uid="{05A3F298-20E8-417B-8698-5F36596937A3}"/>
    <cellStyle name="Note 2 3 2 11 7" xfId="32684" xr:uid="{7D00AC73-C2E3-452C-B27F-B790810213EC}"/>
    <cellStyle name="Note 2 3 2 12" xfId="2175" xr:uid="{9C23D449-8B04-4D1D-B042-ACDAB227CC6E}"/>
    <cellStyle name="Note 2 3 2 12 2" xfId="10931" xr:uid="{0AC3F033-A1DA-4E23-AF1F-87A98DF567F1}"/>
    <cellStyle name="Note 2 3 2 12 2 2" xfId="32685" xr:uid="{E0C4DA5E-84FB-495B-A91D-BED16E61687A}"/>
    <cellStyle name="Note 2 3 2 12 2 3" xfId="32686" xr:uid="{64E830DD-FA68-4E07-96BE-B969E985E752}"/>
    <cellStyle name="Note 2 3 2 12 2 4" xfId="32687" xr:uid="{676BA622-2838-45D1-A2F6-9878797269EC}"/>
    <cellStyle name="Note 2 3 2 12 2 5" xfId="32688" xr:uid="{2CD00E01-56D2-4ABD-AE2E-6EA7C297A812}"/>
    <cellStyle name="Note 2 3 2 12 2 6" xfId="32689" xr:uid="{E03540B6-2DE0-4ABF-995A-E3E4B12154FF}"/>
    <cellStyle name="Note 2 3 2 12 3" xfId="32690" xr:uid="{9EA53391-75B2-4295-B31E-71488B98B7EB}"/>
    <cellStyle name="Note 2 3 2 12 4" xfId="32691" xr:uid="{0905C871-24A1-4E7C-A3D6-6C2BE9C6C12B}"/>
    <cellStyle name="Note 2 3 2 12 5" xfId="32692" xr:uid="{F7982FD3-8200-40F8-91F5-7CF7489F5EEB}"/>
    <cellStyle name="Note 2 3 2 12 6" xfId="32693" xr:uid="{E8D4F627-C578-46EF-8C01-E3DF99FE960D}"/>
    <cellStyle name="Note 2 3 2 12 7" xfId="32694" xr:uid="{C90EED9B-507F-42BB-94BC-C3DFC99D270F}"/>
    <cellStyle name="Note 2 3 2 13" xfId="2176" xr:uid="{67FC533E-2B95-4472-8481-73157776C4CC}"/>
    <cellStyle name="Note 2 3 2 13 2" xfId="11021" xr:uid="{6374093A-DD74-4242-8DC5-158A842AA11B}"/>
    <cellStyle name="Note 2 3 2 13 2 2" xfId="32695" xr:uid="{92AD744C-4F40-4EF2-B922-CBD55E41E8DB}"/>
    <cellStyle name="Note 2 3 2 13 2 3" xfId="32696" xr:uid="{05577999-6E58-4296-97F3-6D87E30736F7}"/>
    <cellStyle name="Note 2 3 2 13 2 4" xfId="32697" xr:uid="{1675356F-12A5-4670-94A7-EAAD16E1C441}"/>
    <cellStyle name="Note 2 3 2 13 2 5" xfId="32698" xr:uid="{3D3F815D-BDB5-42EA-9DDB-6EDF41B4637B}"/>
    <cellStyle name="Note 2 3 2 13 2 6" xfId="32699" xr:uid="{44FD6FD1-9A09-45C9-99A3-412DC424EAC2}"/>
    <cellStyle name="Note 2 3 2 13 3" xfId="32700" xr:uid="{F3D5FFFB-C068-4EE8-A10B-621FB6741DA7}"/>
    <cellStyle name="Note 2 3 2 13 4" xfId="32701" xr:uid="{302411C4-C56A-41B6-B68F-AD3DC31203CA}"/>
    <cellStyle name="Note 2 3 2 13 5" xfId="32702" xr:uid="{579BF0B3-5EA0-4949-882E-3BCD49D8AADE}"/>
    <cellStyle name="Note 2 3 2 13 6" xfId="32703" xr:uid="{D4DBCF3C-3853-4154-9061-D387B038015C}"/>
    <cellStyle name="Note 2 3 2 13 7" xfId="32704" xr:uid="{61545024-5897-433E-807D-E23A31996B53}"/>
    <cellStyle name="Note 2 3 2 14" xfId="2177" xr:uid="{79C4CBF8-9738-439D-A7DC-01AFF64DA2EF}"/>
    <cellStyle name="Note 2 3 2 14 2" xfId="11111" xr:uid="{84A120C8-74F9-4056-84AA-302E10608803}"/>
    <cellStyle name="Note 2 3 2 14 2 2" xfId="32705" xr:uid="{9721DA2B-2C3D-4465-9920-4C1920CE7D84}"/>
    <cellStyle name="Note 2 3 2 14 2 3" xfId="32706" xr:uid="{C62586C2-0AFC-45D8-B6F7-6C207F031BBC}"/>
    <cellStyle name="Note 2 3 2 14 2 4" xfId="32707" xr:uid="{8600DD44-4953-4C9C-BC63-460C80C250B0}"/>
    <cellStyle name="Note 2 3 2 14 2 5" xfId="32708" xr:uid="{134FA2CD-82D9-4DA0-9D32-D23BF9C33BEC}"/>
    <cellStyle name="Note 2 3 2 14 2 6" xfId="32709" xr:uid="{04357431-415D-4362-8840-82774B7DE78E}"/>
    <cellStyle name="Note 2 3 2 14 3" xfId="32710" xr:uid="{20C682A6-1BF1-49E3-A7E9-F18BD7D5E4D9}"/>
    <cellStyle name="Note 2 3 2 14 4" xfId="32711" xr:uid="{26480227-D731-4DD8-9F1C-E221B0826B6C}"/>
    <cellStyle name="Note 2 3 2 14 5" xfId="32712" xr:uid="{A7599B30-646A-4FCA-B93D-865AD5DB272F}"/>
    <cellStyle name="Note 2 3 2 14 6" xfId="32713" xr:uid="{FF8D356E-59BD-44FF-B24E-49518600EE43}"/>
    <cellStyle name="Note 2 3 2 14 7" xfId="32714" xr:uid="{0DEBE630-EFCD-424E-A9DA-928CE346D33A}"/>
    <cellStyle name="Note 2 3 2 15" xfId="2178" xr:uid="{3756916E-CB70-4856-A63B-CA657AE8A942}"/>
    <cellStyle name="Note 2 3 2 15 2" xfId="11194" xr:uid="{70BCFB54-0C16-4446-8EDF-7BE8525265D6}"/>
    <cellStyle name="Note 2 3 2 15 2 2" xfId="32715" xr:uid="{47D4DA5B-0B7F-4847-BA86-0E2B3495B4BC}"/>
    <cellStyle name="Note 2 3 2 15 2 3" xfId="32716" xr:uid="{2F3D9DD2-EE16-47DC-9A34-ECAB2EE1B5CD}"/>
    <cellStyle name="Note 2 3 2 15 2 4" xfId="32717" xr:uid="{A6B793BC-DF9C-4B7B-8491-FE1BF4ECF434}"/>
    <cellStyle name="Note 2 3 2 15 2 5" xfId="32718" xr:uid="{8560DB8D-9449-452C-8876-BB9975A7D71B}"/>
    <cellStyle name="Note 2 3 2 15 2 6" xfId="32719" xr:uid="{2C761033-5A2C-42E1-8506-3517D69CE9BB}"/>
    <cellStyle name="Note 2 3 2 15 3" xfId="32720" xr:uid="{FBD4352C-19F1-4F9F-B260-76D4305882B1}"/>
    <cellStyle name="Note 2 3 2 15 4" xfId="32721" xr:uid="{9400B0B3-150C-40DE-BD6E-6D703286BF2E}"/>
    <cellStyle name="Note 2 3 2 15 5" xfId="32722" xr:uid="{0F752045-B218-42E5-A5FB-4FF927A01303}"/>
    <cellStyle name="Note 2 3 2 15 6" xfId="32723" xr:uid="{DB9698FC-47C9-4F8C-822A-B26C074AE9B9}"/>
    <cellStyle name="Note 2 3 2 15 7" xfId="32724" xr:uid="{29D34921-64F2-454A-933F-37A018AD42C1}"/>
    <cellStyle name="Note 2 3 2 16" xfId="2179" xr:uid="{41DA8E84-35F7-4129-B4C6-8967B7185800}"/>
    <cellStyle name="Note 2 3 2 16 2" xfId="11284" xr:uid="{82A057A2-2353-47D4-A35D-A0606E88BAC1}"/>
    <cellStyle name="Note 2 3 2 16 2 2" xfId="32725" xr:uid="{DED3600A-F279-450C-BAEF-4B09F04D65A6}"/>
    <cellStyle name="Note 2 3 2 16 2 3" xfId="32726" xr:uid="{4A395A6F-44AF-4C45-A011-2A11B9F2EB57}"/>
    <cellStyle name="Note 2 3 2 16 2 4" xfId="32727" xr:uid="{1E5AE042-3F9F-4620-8074-DFCF49AF9D89}"/>
    <cellStyle name="Note 2 3 2 16 2 5" xfId="32728" xr:uid="{0D1AD9CA-C336-4EBD-A3D4-4574043BEB30}"/>
    <cellStyle name="Note 2 3 2 16 2 6" xfId="32729" xr:uid="{806D5618-EEE3-40C0-8EDA-5CAD77E67337}"/>
    <cellStyle name="Note 2 3 2 16 3" xfId="32730" xr:uid="{66858008-1715-4BA8-851E-7FF2E47F08A6}"/>
    <cellStyle name="Note 2 3 2 16 4" xfId="32731" xr:uid="{18587089-2036-489D-9816-D8B978004FE7}"/>
    <cellStyle name="Note 2 3 2 16 5" xfId="32732" xr:uid="{A7E6C201-0C48-43FA-B5C2-1E3D1E4C5C4D}"/>
    <cellStyle name="Note 2 3 2 16 6" xfId="32733" xr:uid="{3B1B7EAA-B66E-49F9-87E7-C27FE7B9D82D}"/>
    <cellStyle name="Note 2 3 2 16 7" xfId="32734" xr:uid="{5A5650FE-2636-4832-A223-D3728F3B392F}"/>
    <cellStyle name="Note 2 3 2 17" xfId="2180" xr:uid="{E7D8AC73-AEED-4EFA-AD70-CF6BB685F9C0}"/>
    <cellStyle name="Note 2 3 2 17 2" xfId="11370" xr:uid="{7F6C2232-0A27-445A-BEC0-92AEBB11BC20}"/>
    <cellStyle name="Note 2 3 2 17 2 2" xfId="32735" xr:uid="{D297A80C-3D6D-4C1F-86FF-D1F5EB559345}"/>
    <cellStyle name="Note 2 3 2 17 2 3" xfId="32736" xr:uid="{1DC7CFE7-A8C0-47BF-9E16-540EFCEBA40B}"/>
    <cellStyle name="Note 2 3 2 17 2 4" xfId="32737" xr:uid="{993CFCB1-1E9E-4747-8BD7-D89F0B40B9BF}"/>
    <cellStyle name="Note 2 3 2 17 2 5" xfId="32738" xr:uid="{1D126FF4-6D29-4BC9-A84A-00FD2AB4060C}"/>
    <cellStyle name="Note 2 3 2 17 2 6" xfId="32739" xr:uid="{D54B67C8-4728-4C45-B0CB-4D1A19C4E7EB}"/>
    <cellStyle name="Note 2 3 2 17 3" xfId="32740" xr:uid="{3F52C9B2-7425-4A91-8745-CAB1CCDDC128}"/>
    <cellStyle name="Note 2 3 2 17 4" xfId="32741" xr:uid="{9A003ECF-B5D0-424C-81FC-992CA17B34AC}"/>
    <cellStyle name="Note 2 3 2 17 5" xfId="32742" xr:uid="{4B3A5071-E8B4-4020-82E8-83AF3AA087AF}"/>
    <cellStyle name="Note 2 3 2 17 6" xfId="32743" xr:uid="{5ABF8A13-3AE5-4B03-A6E6-2D38B26A49ED}"/>
    <cellStyle name="Note 2 3 2 17 7" xfId="32744" xr:uid="{CFB26B4D-C699-4F43-9D7C-52A73C84859F}"/>
    <cellStyle name="Note 2 3 2 18" xfId="2181" xr:uid="{DE6AB6A2-8EE9-417A-A9F7-11CEEEAAF097}"/>
    <cellStyle name="Note 2 3 2 18 2" xfId="11457" xr:uid="{B4E82953-386A-4A29-9598-1D6E58623376}"/>
    <cellStyle name="Note 2 3 2 18 2 2" xfId="32745" xr:uid="{33BE1860-5C96-42BE-8848-D4EE1D11DF90}"/>
    <cellStyle name="Note 2 3 2 18 2 3" xfId="32746" xr:uid="{C211D47A-897C-46D5-A30C-D89A29784AEA}"/>
    <cellStyle name="Note 2 3 2 18 2 4" xfId="32747" xr:uid="{6FE4DED9-9023-4A0E-9BE4-B819926226DD}"/>
    <cellStyle name="Note 2 3 2 18 2 5" xfId="32748" xr:uid="{906D7803-F5A4-4763-B9EC-F8A621F5E155}"/>
    <cellStyle name="Note 2 3 2 18 2 6" xfId="32749" xr:uid="{C424910E-FE6D-4175-991B-365DE8BBF762}"/>
    <cellStyle name="Note 2 3 2 18 3" xfId="32750" xr:uid="{D00D8D3C-D261-40C2-B4A4-8F626CC10630}"/>
    <cellStyle name="Note 2 3 2 18 4" xfId="32751" xr:uid="{2E408210-BFC3-4622-BF40-CE31CA66B767}"/>
    <cellStyle name="Note 2 3 2 18 5" xfId="32752" xr:uid="{4C1B09F7-FDB3-469E-A406-2FCE16CD6889}"/>
    <cellStyle name="Note 2 3 2 18 6" xfId="32753" xr:uid="{DCD8A8D4-D069-442F-87C9-E6610E1F7725}"/>
    <cellStyle name="Note 2 3 2 18 7" xfId="32754" xr:uid="{D7F61D93-45C6-4BFB-944A-53E60E8C0891}"/>
    <cellStyle name="Note 2 3 2 19" xfId="2182" xr:uid="{073525B4-26D8-4B6E-9F10-C8D3351D3F25}"/>
    <cellStyle name="Note 2 3 2 19 2" xfId="11544" xr:uid="{D68FA99E-1605-401E-B40C-0E177A32AABD}"/>
    <cellStyle name="Note 2 3 2 19 2 2" xfId="32755" xr:uid="{2F988077-DA8E-4B22-8C79-E649C55711B2}"/>
    <cellStyle name="Note 2 3 2 19 2 3" xfId="32756" xr:uid="{A21E40AF-6E0C-4DA4-A58C-9401079D0CAC}"/>
    <cellStyle name="Note 2 3 2 19 2 4" xfId="32757" xr:uid="{8992CCB3-CF22-4E08-A9B4-0E2D5A0496B3}"/>
    <cellStyle name="Note 2 3 2 19 2 5" xfId="32758" xr:uid="{46B27685-D84F-41D0-8D3B-8B2370E2D0BB}"/>
    <cellStyle name="Note 2 3 2 19 2 6" xfId="32759" xr:uid="{39887737-28D6-4D0F-88AE-123188C2B47D}"/>
    <cellStyle name="Note 2 3 2 19 3" xfId="32760" xr:uid="{813D8F4A-44D7-4EB4-A23A-D49304239C8A}"/>
    <cellStyle name="Note 2 3 2 19 4" xfId="32761" xr:uid="{23075002-0425-422E-9F94-8F51FC3EB82E}"/>
    <cellStyle name="Note 2 3 2 19 5" xfId="32762" xr:uid="{CB921FCA-4800-408E-B9BF-5681B9D75B70}"/>
    <cellStyle name="Note 2 3 2 19 6" xfId="32763" xr:uid="{8ADCE181-B394-474E-AE1F-6E522A68A234}"/>
    <cellStyle name="Note 2 3 2 19 7" xfId="32764" xr:uid="{E4E6771B-F545-4547-83D7-3CEC63509035}"/>
    <cellStyle name="Note 2 3 2 2" xfId="2183" xr:uid="{90F5AA35-C780-406F-8847-7999B52102B8}"/>
    <cellStyle name="Note 2 3 2 2 2" xfId="10051" xr:uid="{E3D07143-C6C8-42DF-9EDC-18847E09C024}"/>
    <cellStyle name="Note 2 3 2 2 2 2" xfId="32765" xr:uid="{5F0784BE-D19A-4694-9283-5CCAC0B87D85}"/>
    <cellStyle name="Note 2 3 2 2 2 3" xfId="32766" xr:uid="{231ADBAD-FC9E-4E8A-93C9-0F3C4E9D0036}"/>
    <cellStyle name="Note 2 3 2 2 2 4" xfId="32767" xr:uid="{309BFDB7-B7B3-43BE-98F7-A9E036C9871C}"/>
    <cellStyle name="Note 2 3 2 2 2 5" xfId="32768" xr:uid="{CAF9B8BE-FD59-4F5B-A55A-6300F4CC09B6}"/>
    <cellStyle name="Note 2 3 2 2 2 6" xfId="32769" xr:uid="{EB6871E0-C66A-4DF8-AD42-39391C55FE83}"/>
    <cellStyle name="Note 2 3 2 2 3" xfId="32770" xr:uid="{467EA803-9D08-4528-A0AD-5A66EA039643}"/>
    <cellStyle name="Note 2 3 2 2 4" xfId="32771" xr:uid="{71D829A7-406B-4E44-8E24-1DF01C8762E0}"/>
    <cellStyle name="Note 2 3 2 2 5" xfId="32772" xr:uid="{22148E16-CE63-4871-AB38-57FB3B70ACAA}"/>
    <cellStyle name="Note 2 3 2 2 6" xfId="32773" xr:uid="{EF973A9C-4707-4F64-924E-E052C30D3716}"/>
    <cellStyle name="Note 2 3 2 2 7" xfId="32774" xr:uid="{CF2FD303-FFD1-4F6B-A351-42D71E1DEF57}"/>
    <cellStyle name="Note 2 3 2 20" xfId="2184" xr:uid="{21A88E9B-372F-494B-88C5-F90B98AB140B}"/>
    <cellStyle name="Note 2 3 2 20 2" xfId="11632" xr:uid="{19A90407-09D5-49BD-9823-228A739B850F}"/>
    <cellStyle name="Note 2 3 2 20 2 2" xfId="32775" xr:uid="{24D98704-8633-438C-A530-15F6ACBFCFBE}"/>
    <cellStyle name="Note 2 3 2 20 2 3" xfId="32776" xr:uid="{78D46D2E-8752-4ACE-8A32-6A8A6D036BE7}"/>
    <cellStyle name="Note 2 3 2 20 2 4" xfId="32777" xr:uid="{BBE73CD0-3C1F-4DE4-A2BA-D223C69ECD5C}"/>
    <cellStyle name="Note 2 3 2 20 2 5" xfId="32778" xr:uid="{C58A65C0-480F-4BE6-BB7F-F1731BE5E82E}"/>
    <cellStyle name="Note 2 3 2 20 2 6" xfId="32779" xr:uid="{F82DFF2E-C760-43DA-A51C-1757F46088F5}"/>
    <cellStyle name="Note 2 3 2 20 3" xfId="32780" xr:uid="{DA639957-6CC1-480A-8715-0E48F479EAE7}"/>
    <cellStyle name="Note 2 3 2 20 4" xfId="32781" xr:uid="{EEC10BE9-06BE-4BB0-AAF5-B071E7D46410}"/>
    <cellStyle name="Note 2 3 2 20 5" xfId="32782" xr:uid="{0410F026-8600-44C2-88E8-9E41C0FD0730}"/>
    <cellStyle name="Note 2 3 2 20 6" xfId="32783" xr:uid="{696590A8-6700-4D5D-A4B2-1C9A877582F6}"/>
    <cellStyle name="Note 2 3 2 20 7" xfId="32784" xr:uid="{AD03482F-DFE3-43B1-BB47-C580BF8DA1D0}"/>
    <cellStyle name="Note 2 3 2 21" xfId="2185" xr:uid="{A94951A6-C596-4A5D-8660-6E6598FBD07B}"/>
    <cellStyle name="Note 2 3 2 21 2" xfId="11716" xr:uid="{82AAAD95-EAC1-4BD0-A4A3-529924981417}"/>
    <cellStyle name="Note 2 3 2 21 2 2" xfId="32785" xr:uid="{4ECF147C-A23E-4110-9B85-98098EF1AD9B}"/>
    <cellStyle name="Note 2 3 2 21 2 3" xfId="32786" xr:uid="{70FF57FA-DDB1-4B24-B662-CF03F9013CFB}"/>
    <cellStyle name="Note 2 3 2 21 2 4" xfId="32787" xr:uid="{B1905487-B7D2-49FD-B933-C0CDBFE8FD2C}"/>
    <cellStyle name="Note 2 3 2 21 2 5" xfId="32788" xr:uid="{BD9249B3-CE79-4AA6-833E-20EDF9F684E8}"/>
    <cellStyle name="Note 2 3 2 21 2 6" xfId="32789" xr:uid="{9FABC29E-7C05-4868-AFA7-862FFE67C848}"/>
    <cellStyle name="Note 2 3 2 21 3" xfId="32790" xr:uid="{72DA3124-5F77-4964-AC6E-5F0C96AF36E5}"/>
    <cellStyle name="Note 2 3 2 21 4" xfId="32791" xr:uid="{5A5DFE9F-D5E4-4D49-81C1-D08AFEE5BBEA}"/>
    <cellStyle name="Note 2 3 2 21 5" xfId="32792" xr:uid="{5F768C05-75DD-48C2-9435-6935E5634EFD}"/>
    <cellStyle name="Note 2 3 2 21 6" xfId="32793" xr:uid="{AC60068A-C9A9-4DA2-9C5E-705BA46B542B}"/>
    <cellStyle name="Note 2 3 2 21 7" xfId="32794" xr:uid="{6353B342-F479-415A-98E4-C2B1907FBDF3}"/>
    <cellStyle name="Note 2 3 2 22" xfId="2186" xr:uid="{D020C15D-2EB5-491E-8B91-5350D40E0FDE}"/>
    <cellStyle name="Note 2 3 2 22 2" xfId="11799" xr:uid="{60B913D4-52AE-4E57-A8C4-0788832F8097}"/>
    <cellStyle name="Note 2 3 2 22 2 2" xfId="32795" xr:uid="{9876C842-AD30-446A-AEDF-6D7BA3B9C616}"/>
    <cellStyle name="Note 2 3 2 22 2 3" xfId="32796" xr:uid="{998778D0-12D1-4E31-ADC0-C50707F596BF}"/>
    <cellStyle name="Note 2 3 2 22 2 4" xfId="32797" xr:uid="{C938E96F-969A-4B3B-BB21-81EAAD47B8BB}"/>
    <cellStyle name="Note 2 3 2 22 2 5" xfId="32798" xr:uid="{B5179645-D5AC-4A42-9E88-A97E240BCD16}"/>
    <cellStyle name="Note 2 3 2 22 2 6" xfId="32799" xr:uid="{0A6092CF-1674-47B7-B2C6-F89513E96D8B}"/>
    <cellStyle name="Note 2 3 2 22 3" xfId="32800" xr:uid="{9CA247D2-154F-4EAA-AA2A-19844DEEC581}"/>
    <cellStyle name="Note 2 3 2 22 4" xfId="32801" xr:uid="{8E182FA7-5F68-4B69-BAE2-CCDDB977BC94}"/>
    <cellStyle name="Note 2 3 2 22 5" xfId="32802" xr:uid="{59B587D1-60E1-4EF4-BD0D-A55319C0EDB8}"/>
    <cellStyle name="Note 2 3 2 22 6" xfId="32803" xr:uid="{5292B75B-1DDB-438F-B7C5-C803E02FC212}"/>
    <cellStyle name="Note 2 3 2 22 7" xfId="32804" xr:uid="{DF942A92-BA3A-48BA-9BFF-5183DA55CCB1}"/>
    <cellStyle name="Note 2 3 2 23" xfId="2187" xr:uid="{081F4BF4-1689-483D-8A7A-674B5D6E58E9}"/>
    <cellStyle name="Note 2 3 2 23 2" xfId="11882" xr:uid="{5E43E734-0144-406D-A169-49015B35F356}"/>
    <cellStyle name="Note 2 3 2 23 2 2" xfId="32805" xr:uid="{3CF52F2F-878A-453F-9466-DF7BFE19068F}"/>
    <cellStyle name="Note 2 3 2 23 2 3" xfId="32806" xr:uid="{E08DB751-B906-41F8-B8F1-34A5AD17CCD5}"/>
    <cellStyle name="Note 2 3 2 23 2 4" xfId="32807" xr:uid="{5D186EEA-2901-4B7D-9D79-3C8804381A3D}"/>
    <cellStyle name="Note 2 3 2 23 2 5" xfId="32808" xr:uid="{BAF9E164-A64E-47CF-965A-04CBBD11A3F5}"/>
    <cellStyle name="Note 2 3 2 23 2 6" xfId="32809" xr:uid="{89D72B9A-25E5-4803-BC60-672A7CA41D8B}"/>
    <cellStyle name="Note 2 3 2 23 3" xfId="32810" xr:uid="{7C984F03-992B-4151-AB7A-85FB1BE88F70}"/>
    <cellStyle name="Note 2 3 2 23 4" xfId="32811" xr:uid="{EDA61E25-82A6-443A-8FB5-4FBF8A6F39C0}"/>
    <cellStyle name="Note 2 3 2 23 5" xfId="32812" xr:uid="{06E62DAA-57DC-4D01-8378-40407FE05F97}"/>
    <cellStyle name="Note 2 3 2 23 6" xfId="32813" xr:uid="{8DC26384-6100-41B2-B117-3CB48C884F4D}"/>
    <cellStyle name="Note 2 3 2 23 7" xfId="32814" xr:uid="{DDFB76E5-4726-4FC4-9CE8-4937FD6E90A1}"/>
    <cellStyle name="Note 2 3 2 24" xfId="2188" xr:uid="{F39E1398-590D-4185-B0C2-4C0D2814769B}"/>
    <cellStyle name="Note 2 3 2 24 2" xfId="11966" xr:uid="{67C08C02-A4E7-4F96-98A2-E4D4C98E06A6}"/>
    <cellStyle name="Note 2 3 2 24 2 2" xfId="32815" xr:uid="{7B7AFEA1-9461-484B-BAA7-22F76A9AF2F3}"/>
    <cellStyle name="Note 2 3 2 24 2 3" xfId="32816" xr:uid="{FB0058FB-86E4-4E38-B748-CEA6805CC374}"/>
    <cellStyle name="Note 2 3 2 24 2 4" xfId="32817" xr:uid="{B29DE059-1F14-45FC-8A61-43ABC8C7A69B}"/>
    <cellStyle name="Note 2 3 2 24 2 5" xfId="32818" xr:uid="{C874B7F9-0B9E-4C74-8547-4C32EF524A62}"/>
    <cellStyle name="Note 2 3 2 24 2 6" xfId="32819" xr:uid="{7343DD98-9F73-4AA7-B0B0-60BBCC36107D}"/>
    <cellStyle name="Note 2 3 2 24 3" xfId="32820" xr:uid="{AAA021AE-D7D9-4760-86D1-E5CA20291713}"/>
    <cellStyle name="Note 2 3 2 24 4" xfId="32821" xr:uid="{2F97E435-47DB-4BF5-82F3-9D60EDA09523}"/>
    <cellStyle name="Note 2 3 2 24 5" xfId="32822" xr:uid="{BD48C656-44B1-4E79-9301-4E4733249F12}"/>
    <cellStyle name="Note 2 3 2 24 6" xfId="32823" xr:uid="{5551E309-9FC1-4351-8B6C-B456CD547E75}"/>
    <cellStyle name="Note 2 3 2 24 7" xfId="32824" xr:uid="{1A663D0A-49CF-4AC3-8280-64C62032B10B}"/>
    <cellStyle name="Note 2 3 2 25" xfId="2189" xr:uid="{8B76BD7F-4937-4664-A5A9-C300054D6463}"/>
    <cellStyle name="Note 2 3 2 25 2" xfId="12049" xr:uid="{BFCF7414-49CD-4B91-8D2D-98B06F4CE8A4}"/>
    <cellStyle name="Note 2 3 2 25 2 2" xfId="32825" xr:uid="{41C04782-8270-42E1-9012-0F192BFF70B9}"/>
    <cellStyle name="Note 2 3 2 25 2 3" xfId="32826" xr:uid="{D6B996C2-D78A-42C6-9910-CE5C7783F9D6}"/>
    <cellStyle name="Note 2 3 2 25 2 4" xfId="32827" xr:uid="{12E3533C-2708-4E05-A064-7D9388503139}"/>
    <cellStyle name="Note 2 3 2 25 2 5" xfId="32828" xr:uid="{29F944A6-0563-4841-B994-9E0AF99C8AA8}"/>
    <cellStyle name="Note 2 3 2 25 2 6" xfId="32829" xr:uid="{D95F9C0E-5333-414A-A184-1C402A4E38E3}"/>
    <cellStyle name="Note 2 3 2 25 3" xfId="32830" xr:uid="{EE9FDC53-5C18-4931-93A1-044D6226E355}"/>
    <cellStyle name="Note 2 3 2 25 4" xfId="32831" xr:uid="{9D5EB08E-DB32-4521-B5B8-98A2E7C0E9CB}"/>
    <cellStyle name="Note 2 3 2 25 5" xfId="32832" xr:uid="{67041AC5-D4DE-4159-8AF1-1FA51516B52F}"/>
    <cellStyle name="Note 2 3 2 25 6" xfId="32833" xr:uid="{E1519E8B-BFA9-416B-833D-527E2CB8D643}"/>
    <cellStyle name="Note 2 3 2 25 7" xfId="32834" xr:uid="{8042A626-28B6-4B5A-8E6C-2A221210A520}"/>
    <cellStyle name="Note 2 3 2 26" xfId="2190" xr:uid="{4C395FEA-2D9D-4F25-817B-77435C3B9852}"/>
    <cellStyle name="Note 2 3 2 26 2" xfId="12132" xr:uid="{559D57BD-B9CF-4CF3-8380-F0A07E8CD461}"/>
    <cellStyle name="Note 2 3 2 26 2 2" xfId="32835" xr:uid="{B36DFC58-7D5A-441E-8241-5062F3D0D7AB}"/>
    <cellStyle name="Note 2 3 2 26 2 3" xfId="32836" xr:uid="{A727828A-1319-4E27-A262-B3CB6FF602F5}"/>
    <cellStyle name="Note 2 3 2 26 2 4" xfId="32837" xr:uid="{2C7A021B-C502-44AD-9168-68AFA8A4E0E5}"/>
    <cellStyle name="Note 2 3 2 26 2 5" xfId="32838" xr:uid="{DF918CE3-DDC9-436D-96CB-30CBF251BF2E}"/>
    <cellStyle name="Note 2 3 2 26 2 6" xfId="32839" xr:uid="{08B7477C-C8AB-42D3-91BF-FE2EA06CADA9}"/>
    <cellStyle name="Note 2 3 2 26 3" xfId="32840" xr:uid="{9BDA31FE-C144-4F86-B75D-D476E6EDEF5C}"/>
    <cellStyle name="Note 2 3 2 26 4" xfId="32841" xr:uid="{828A00AE-AFE9-496D-ADB8-22EB5871C869}"/>
    <cellStyle name="Note 2 3 2 26 5" xfId="32842" xr:uid="{05CBE5B3-C1AE-4D2A-8B9D-1408A35ED8DD}"/>
    <cellStyle name="Note 2 3 2 26 6" xfId="32843" xr:uid="{6A17DF34-0D9E-4853-B211-1DDA3BAF6C27}"/>
    <cellStyle name="Note 2 3 2 26 7" xfId="32844" xr:uid="{61C5C7ED-9038-4C7C-8207-4EA52272E318}"/>
    <cellStyle name="Note 2 3 2 27" xfId="2191" xr:uid="{219FA2C9-A64E-409A-8D2C-5C9AF3BE514D}"/>
    <cellStyle name="Note 2 3 2 27 2" xfId="12214" xr:uid="{F0BC9BDF-BCC2-4624-A926-E9455F30D7D5}"/>
    <cellStyle name="Note 2 3 2 27 2 2" xfId="32845" xr:uid="{66DDD4BD-4AF6-4C07-9AB0-1ECCECD9F86B}"/>
    <cellStyle name="Note 2 3 2 27 2 3" xfId="32846" xr:uid="{0F4A765A-3B36-43C1-A233-D6F78CCF0848}"/>
    <cellStyle name="Note 2 3 2 27 2 4" xfId="32847" xr:uid="{7941711C-2978-485E-8EDF-D88BCB4C0222}"/>
    <cellStyle name="Note 2 3 2 27 2 5" xfId="32848" xr:uid="{900AF26E-DDDA-4CE3-9144-AAACE9DF8B13}"/>
    <cellStyle name="Note 2 3 2 27 2 6" xfId="32849" xr:uid="{4A09179C-D6CA-4B66-BA16-15B4C5BC6075}"/>
    <cellStyle name="Note 2 3 2 27 3" xfId="32850" xr:uid="{ED41AC45-2CCB-417A-8CF4-FBDE2CF2E0FF}"/>
    <cellStyle name="Note 2 3 2 27 4" xfId="32851" xr:uid="{B797F022-26EB-48F1-8746-DCE276C84D9A}"/>
    <cellStyle name="Note 2 3 2 27 5" xfId="32852" xr:uid="{55241F29-A60E-4527-A2CA-6D9C47DC79D4}"/>
    <cellStyle name="Note 2 3 2 27 6" xfId="32853" xr:uid="{AC0D94BA-7100-4625-863F-9640379EDBC6}"/>
    <cellStyle name="Note 2 3 2 27 7" xfId="32854" xr:uid="{92C53C92-27C7-4985-9628-204D1E40AA35}"/>
    <cellStyle name="Note 2 3 2 28" xfId="2192" xr:uid="{5F79B5C6-D5D3-4019-B5C1-13EABC89ACED}"/>
    <cellStyle name="Note 2 3 2 28 2" xfId="12294" xr:uid="{111767CA-4FA0-4DF9-99FB-95D6FD7A4E4E}"/>
    <cellStyle name="Note 2 3 2 28 2 2" xfId="32855" xr:uid="{F7C70581-23D0-4B0A-9A03-2B2B40964A9A}"/>
    <cellStyle name="Note 2 3 2 28 2 3" xfId="32856" xr:uid="{682C85B3-20D1-43F8-8D70-69081AA80909}"/>
    <cellStyle name="Note 2 3 2 28 2 4" xfId="32857" xr:uid="{202638AB-9AB2-4C59-8C80-BA97B0EB41B3}"/>
    <cellStyle name="Note 2 3 2 28 2 5" xfId="32858" xr:uid="{739C0E6F-366B-47FB-AAAF-6A6EA5C5C6C9}"/>
    <cellStyle name="Note 2 3 2 28 2 6" xfId="32859" xr:uid="{43E3AD0B-2410-4153-8AE0-0333286B9238}"/>
    <cellStyle name="Note 2 3 2 28 3" xfId="32860" xr:uid="{4664146A-D79D-4F36-97E7-DC033FBBF03E}"/>
    <cellStyle name="Note 2 3 2 28 4" xfId="32861" xr:uid="{F5E30E8D-8724-402E-9BC7-28FA58B3DCE0}"/>
    <cellStyle name="Note 2 3 2 28 5" xfId="32862" xr:uid="{4BC3D35D-4AEB-4381-BFA8-03076C661127}"/>
    <cellStyle name="Note 2 3 2 28 6" xfId="32863" xr:uid="{5E4DFC8C-68BF-437B-8CF2-F54DA87C9588}"/>
    <cellStyle name="Note 2 3 2 28 7" xfId="32864" xr:uid="{1988D4F7-E3FA-49CD-8581-9C9229DF7D0A}"/>
    <cellStyle name="Note 2 3 2 29" xfId="2193" xr:uid="{5F66B155-1155-47C6-8935-B04489530050}"/>
    <cellStyle name="Note 2 3 2 29 2" xfId="12372" xr:uid="{5C90F360-2C90-4F66-A588-9D343436BBC0}"/>
    <cellStyle name="Note 2 3 2 29 2 2" xfId="32865" xr:uid="{5C282573-7F15-4D41-930C-F891022CAF0F}"/>
    <cellStyle name="Note 2 3 2 29 2 3" xfId="32866" xr:uid="{0372C289-F6F2-41BC-891E-E548812F3B10}"/>
    <cellStyle name="Note 2 3 2 29 2 4" xfId="32867" xr:uid="{C8947ACC-2E18-4B30-A16D-B73D388FBE6A}"/>
    <cellStyle name="Note 2 3 2 29 2 5" xfId="32868" xr:uid="{616961D8-F12D-45B6-BD3C-E8EDE57B8049}"/>
    <cellStyle name="Note 2 3 2 29 2 6" xfId="32869" xr:uid="{E0570E81-CC0A-4591-A13D-55EF5C9F8143}"/>
    <cellStyle name="Note 2 3 2 29 3" xfId="32870" xr:uid="{41B3961A-D44B-4F34-A430-925B9EC404AE}"/>
    <cellStyle name="Note 2 3 2 29 4" xfId="32871" xr:uid="{7A1CA02F-CB30-49FA-8761-FBB1B7257BCB}"/>
    <cellStyle name="Note 2 3 2 29 5" xfId="32872" xr:uid="{C304E262-8FDE-48DC-835B-ABF0441333DB}"/>
    <cellStyle name="Note 2 3 2 29 6" xfId="32873" xr:uid="{A1BD4AA7-ECAE-4B8E-8DE0-A9C37ACB9A92}"/>
    <cellStyle name="Note 2 3 2 29 7" xfId="32874" xr:uid="{0FE76C1A-BFD1-4BBB-8E3C-8A7354D2DE34}"/>
    <cellStyle name="Note 2 3 2 3" xfId="2194" xr:uid="{EF531503-9E3F-418D-82C9-EB4A64C7D75D}"/>
    <cellStyle name="Note 2 3 2 3 2" xfId="10142" xr:uid="{89BBF74C-1361-4D55-AA68-8AD22F05C514}"/>
    <cellStyle name="Note 2 3 2 3 2 2" xfId="32875" xr:uid="{90A15B46-B2AD-42E4-96D5-480D03C0B4BA}"/>
    <cellStyle name="Note 2 3 2 3 2 3" xfId="32876" xr:uid="{29DD6688-41F0-4EAA-8F09-A653F6BA53A5}"/>
    <cellStyle name="Note 2 3 2 3 2 4" xfId="32877" xr:uid="{7F0A2976-2276-4AFC-8478-DF3934AB075B}"/>
    <cellStyle name="Note 2 3 2 3 2 5" xfId="32878" xr:uid="{D3445B79-9AC3-4F9F-B22B-632A4B90C443}"/>
    <cellStyle name="Note 2 3 2 3 2 6" xfId="32879" xr:uid="{ABBDF3E6-C840-40A6-A618-8606A05C2C3D}"/>
    <cellStyle name="Note 2 3 2 3 3" xfId="32880" xr:uid="{CA421544-BBC8-4FE7-B84D-F4075C672EB0}"/>
    <cellStyle name="Note 2 3 2 3 4" xfId="32881" xr:uid="{38B0A74C-DF17-458B-A14F-DB39F1E908ED}"/>
    <cellStyle name="Note 2 3 2 3 5" xfId="32882" xr:uid="{C51F4742-A2EE-4C10-A135-A713DB11C78C}"/>
    <cellStyle name="Note 2 3 2 3 6" xfId="32883" xr:uid="{F1DB474A-0BD3-44E1-A50C-47AAE356A719}"/>
    <cellStyle name="Note 2 3 2 3 7" xfId="32884" xr:uid="{703870A4-467F-48ED-8C1C-AC36A0DB9ED3}"/>
    <cellStyle name="Note 2 3 2 30" xfId="2195" xr:uid="{5E1A8122-6230-442F-8AAE-5D2D59B53EBB}"/>
    <cellStyle name="Note 2 3 2 30 2" xfId="12451" xr:uid="{7386CD06-CE19-4699-A195-582395078FC8}"/>
    <cellStyle name="Note 2 3 2 30 2 2" xfId="32885" xr:uid="{58DB7E53-491F-48FE-844E-B4DC3D59CE7A}"/>
    <cellStyle name="Note 2 3 2 30 2 3" xfId="32886" xr:uid="{1A468BDD-B961-41F6-AF88-695685B5C4E0}"/>
    <cellStyle name="Note 2 3 2 30 2 4" xfId="32887" xr:uid="{F83F9253-11DF-4BB4-9831-F46411122C13}"/>
    <cellStyle name="Note 2 3 2 30 2 5" xfId="32888" xr:uid="{DAA4975B-8AF4-44A2-AD1B-849CCA36052E}"/>
    <cellStyle name="Note 2 3 2 30 2 6" xfId="32889" xr:uid="{C8BDDC79-2468-4892-814F-416558040EE1}"/>
    <cellStyle name="Note 2 3 2 30 3" xfId="32890" xr:uid="{DF6D11DC-D33E-498F-BE86-F97015637E06}"/>
    <cellStyle name="Note 2 3 2 30 4" xfId="32891" xr:uid="{4B0012BD-0BA5-4CF5-A693-4129DFAA9B5A}"/>
    <cellStyle name="Note 2 3 2 30 5" xfId="32892" xr:uid="{B3DE166C-3A59-4901-A9D9-EBDCC2D9172E}"/>
    <cellStyle name="Note 2 3 2 30 6" xfId="32893" xr:uid="{17E2F980-A892-489E-84AD-8FC07A62768C}"/>
    <cellStyle name="Note 2 3 2 30 7" xfId="32894" xr:uid="{32EE02E9-A00E-45C3-826F-808D098BC873}"/>
    <cellStyle name="Note 2 3 2 31" xfId="2196" xr:uid="{B69412D1-C25D-4F31-BF3E-B81C198E7D98}"/>
    <cellStyle name="Note 2 3 2 31 2" xfId="12530" xr:uid="{16996FB6-AD8F-407A-9093-E5A4847F5CEB}"/>
    <cellStyle name="Note 2 3 2 31 2 2" xfId="32895" xr:uid="{DDBEC059-23F1-4E26-B107-6B7D2F121EEE}"/>
    <cellStyle name="Note 2 3 2 31 2 3" xfId="32896" xr:uid="{B4D6D66B-833C-4E59-B16C-B72CADA1702B}"/>
    <cellStyle name="Note 2 3 2 31 2 4" xfId="32897" xr:uid="{76099084-FF6A-4BFA-B031-B9EAED18BDF3}"/>
    <cellStyle name="Note 2 3 2 31 2 5" xfId="32898" xr:uid="{992ECD26-DF1C-4519-8768-491B194D5D4C}"/>
    <cellStyle name="Note 2 3 2 31 2 6" xfId="32899" xr:uid="{69F2850C-5307-4FC6-9D02-AB3B7CD8B013}"/>
    <cellStyle name="Note 2 3 2 31 3" xfId="32900" xr:uid="{3D9FE0D8-3148-43FC-AEAD-9896A1A78932}"/>
    <cellStyle name="Note 2 3 2 31 4" xfId="32901" xr:uid="{E3BC7309-E790-4D8E-B042-DD3FF4457409}"/>
    <cellStyle name="Note 2 3 2 31 5" xfId="32902" xr:uid="{71109F02-139A-4430-A6AD-611865036D34}"/>
    <cellStyle name="Note 2 3 2 31 6" xfId="32903" xr:uid="{86235DFC-5CC6-4258-912B-C0590C4B33AC}"/>
    <cellStyle name="Note 2 3 2 31 7" xfId="32904" xr:uid="{1EC82462-426A-43BE-ADD0-914C0ADBBF77}"/>
    <cellStyle name="Note 2 3 2 32" xfId="2197" xr:uid="{706DC4BF-54BF-4A85-9CF3-84E0FFD8CAEC}"/>
    <cellStyle name="Note 2 3 2 32 2" xfId="12609" xr:uid="{CF550EDF-9D7D-4854-993D-05AE90C4ADAF}"/>
    <cellStyle name="Note 2 3 2 32 2 2" xfId="32905" xr:uid="{E8F53F6C-8DDC-43B8-8C4B-7D65F499D95C}"/>
    <cellStyle name="Note 2 3 2 32 2 3" xfId="32906" xr:uid="{A2770DC7-1A2F-4FA8-8FC4-1DB1BE478FC6}"/>
    <cellStyle name="Note 2 3 2 32 2 4" xfId="32907" xr:uid="{D84E156F-29B1-49E2-AD37-DD3E68FA449F}"/>
    <cellStyle name="Note 2 3 2 32 2 5" xfId="32908" xr:uid="{5599BDE6-0A96-4453-947E-0603FC18DA5C}"/>
    <cellStyle name="Note 2 3 2 32 2 6" xfId="32909" xr:uid="{3F6B48F3-4CB0-4EDB-99C2-207B97D19BA0}"/>
    <cellStyle name="Note 2 3 2 32 3" xfId="32910" xr:uid="{D99F0879-9E3D-44AF-9D80-8BB41C9F101E}"/>
    <cellStyle name="Note 2 3 2 32 4" xfId="32911" xr:uid="{D11EA1C5-EA1F-4B17-A665-F40F5CAEB34D}"/>
    <cellStyle name="Note 2 3 2 32 5" xfId="32912" xr:uid="{4AA5B459-A1EF-4180-883D-810AEC121B29}"/>
    <cellStyle name="Note 2 3 2 32 6" xfId="32913" xr:uid="{7A6C142D-56E9-45EE-A6C5-461DA4C54BCC}"/>
    <cellStyle name="Note 2 3 2 32 7" xfId="32914" xr:uid="{35C0C068-C23C-4A79-B5EA-9001A20A3DD0}"/>
    <cellStyle name="Note 2 3 2 33" xfId="2198" xr:uid="{33A0D7E7-286C-46B7-8367-22E241931E90}"/>
    <cellStyle name="Note 2 3 2 33 2" xfId="12688" xr:uid="{A753AC03-974E-426C-80C0-CBAE75A7EDBD}"/>
    <cellStyle name="Note 2 3 2 33 2 2" xfId="32915" xr:uid="{D7FA19ED-90B5-450A-A733-B47CC69FD820}"/>
    <cellStyle name="Note 2 3 2 33 2 3" xfId="32916" xr:uid="{8B6263B6-98E5-4010-AF48-C316D371A034}"/>
    <cellStyle name="Note 2 3 2 33 2 4" xfId="32917" xr:uid="{BDD6E108-6BE7-4C02-8BAB-AC3CE36353D1}"/>
    <cellStyle name="Note 2 3 2 33 2 5" xfId="32918" xr:uid="{E1784538-C099-4EF6-B29E-C54686ABA3F9}"/>
    <cellStyle name="Note 2 3 2 33 2 6" xfId="32919" xr:uid="{96EE47E7-CBA2-442F-864E-21FD19832C07}"/>
    <cellStyle name="Note 2 3 2 33 3" xfId="32920" xr:uid="{33F6BCA0-D430-45DF-9426-4678A033EAF3}"/>
    <cellStyle name="Note 2 3 2 33 4" xfId="32921" xr:uid="{729F8EF9-365F-4429-A481-58E343A44841}"/>
    <cellStyle name="Note 2 3 2 33 5" xfId="32922" xr:uid="{97E56B49-8820-4E8D-B4F2-D0A64A2F1FE3}"/>
    <cellStyle name="Note 2 3 2 33 6" xfId="32923" xr:uid="{40270612-FCB2-4AB7-8A4E-782800FFEBA5}"/>
    <cellStyle name="Note 2 3 2 33 7" xfId="32924" xr:uid="{590BBE1D-D5EE-47CE-968F-20D255B68CC6}"/>
    <cellStyle name="Note 2 3 2 34" xfId="2199" xr:uid="{32397931-B062-462F-84D6-29ED537B1219}"/>
    <cellStyle name="Note 2 3 2 34 2" xfId="12772" xr:uid="{E0A6D791-E7AF-4F81-8928-8A4DBF2B48EA}"/>
    <cellStyle name="Note 2 3 2 34 2 2" xfId="32925" xr:uid="{BB1FC62A-5E4B-438B-8FA6-0B7E6289CF75}"/>
    <cellStyle name="Note 2 3 2 34 2 3" xfId="32926" xr:uid="{834BE702-658F-4B6D-A4C3-2634DB8128E2}"/>
    <cellStyle name="Note 2 3 2 34 2 4" xfId="32927" xr:uid="{38C9FDFE-3FCD-4E89-8381-B1A9E732E9A6}"/>
    <cellStyle name="Note 2 3 2 34 2 5" xfId="32928" xr:uid="{2F90D53F-D6A7-42F4-AE96-A0410220432C}"/>
    <cellStyle name="Note 2 3 2 34 2 6" xfId="32929" xr:uid="{B046AA56-8809-4519-850F-48A47CC3E2B2}"/>
    <cellStyle name="Note 2 3 2 34 3" xfId="32930" xr:uid="{4A262A63-611C-4C2C-A3D9-4C4B4AD45F75}"/>
    <cellStyle name="Note 2 3 2 34 4" xfId="32931" xr:uid="{351B4781-7D86-40D9-ABE9-B7265507E4E7}"/>
    <cellStyle name="Note 2 3 2 34 5" xfId="32932" xr:uid="{ECE12094-CD12-4671-9143-11C197D4B104}"/>
    <cellStyle name="Note 2 3 2 34 6" xfId="32933" xr:uid="{31F4C801-2899-452C-BC4F-DA7BBD4065B0}"/>
    <cellStyle name="Note 2 3 2 34 7" xfId="32934" xr:uid="{38C62A6F-93BD-499D-A2E0-FA929503A851}"/>
    <cellStyle name="Note 2 3 2 35" xfId="8884" xr:uid="{0E2F9369-9986-46DC-A288-9604448E7EE7}"/>
    <cellStyle name="Note 2 3 2 35 2" xfId="32935" xr:uid="{01AACF48-368D-449E-A3E0-299EA1237E36}"/>
    <cellStyle name="Note 2 3 2 35 3" xfId="32936" xr:uid="{85BFAA20-D84E-402E-89AA-65BD035C3AAE}"/>
    <cellStyle name="Note 2 3 2 35 4" xfId="32937" xr:uid="{31D657A7-F862-428C-BA70-B450D09D9F01}"/>
    <cellStyle name="Note 2 3 2 35 5" xfId="32938" xr:uid="{7C8870E7-5C40-43A7-93B5-C6410121EE88}"/>
    <cellStyle name="Note 2 3 2 35 6" xfId="32939" xr:uid="{E4BEE8E0-993C-44E6-9FAD-28CB2D7D1419}"/>
    <cellStyle name="Note 2 3 2 36" xfId="9838" xr:uid="{D5D175A1-F392-4C4C-BE37-96F3611E6E56}"/>
    <cellStyle name="Note 2 3 2 36 2" xfId="32940" xr:uid="{4B484A97-4E83-46DD-A08D-8450E181B5A4}"/>
    <cellStyle name="Note 2 3 2 36 3" xfId="32941" xr:uid="{9761090B-8C6B-4869-B3A7-1086355DE6A1}"/>
    <cellStyle name="Note 2 3 2 36 4" xfId="32942" xr:uid="{62654F57-2B48-475E-BE3D-6CB226E3B8E7}"/>
    <cellStyle name="Note 2 3 2 36 5" xfId="32943" xr:uid="{90A509D6-5F14-417F-8B22-90748DC5F5BF}"/>
    <cellStyle name="Note 2 3 2 36 6" xfId="32944" xr:uid="{415725BF-3AF7-448F-8461-EA66BEF0493B}"/>
    <cellStyle name="Note 2 3 2 37" xfId="32945" xr:uid="{34F7EE18-AC06-41AC-A662-00362EF9D2DC}"/>
    <cellStyle name="Note 2 3 2 38" xfId="32946" xr:uid="{9C55176E-3D14-49AE-AB0D-A522CD903173}"/>
    <cellStyle name="Note 2 3 2 39" xfId="32947" xr:uid="{101FEB32-0A32-4F09-9843-4CF72C1AC265}"/>
    <cellStyle name="Note 2 3 2 4" xfId="2200" xr:uid="{B9DECE78-9555-4D6B-80B0-50430A532942}"/>
    <cellStyle name="Note 2 3 2 4 2" xfId="10232" xr:uid="{9965D3C6-A7CC-4E1E-8E78-C1C8BD013FD3}"/>
    <cellStyle name="Note 2 3 2 4 2 2" xfId="32948" xr:uid="{B2F7DE7F-7F27-4728-960D-4823C3217122}"/>
    <cellStyle name="Note 2 3 2 4 2 3" xfId="32949" xr:uid="{8768698E-108F-4FAA-869B-624929CD1AC2}"/>
    <cellStyle name="Note 2 3 2 4 2 4" xfId="32950" xr:uid="{6DC20109-257C-4CBA-9C11-9D20F70E8A74}"/>
    <cellStyle name="Note 2 3 2 4 2 5" xfId="32951" xr:uid="{C949863D-32AB-4568-A475-F1392C74BBA7}"/>
    <cellStyle name="Note 2 3 2 4 2 6" xfId="32952" xr:uid="{B4048817-5287-4F43-B33C-8ED697209C38}"/>
    <cellStyle name="Note 2 3 2 4 3" xfId="32953" xr:uid="{FFFCCF8E-4F8B-4860-A193-FDFB80D08F1F}"/>
    <cellStyle name="Note 2 3 2 4 4" xfId="32954" xr:uid="{3FC3C58C-9448-4510-8A28-24A32BFECCD3}"/>
    <cellStyle name="Note 2 3 2 4 5" xfId="32955" xr:uid="{891E1166-5EF2-40C8-AFD3-92F1B9D3D3CE}"/>
    <cellStyle name="Note 2 3 2 4 6" xfId="32956" xr:uid="{E4C13546-B504-4470-B504-DEB98FBD2ED4}"/>
    <cellStyle name="Note 2 3 2 4 7" xfId="32957" xr:uid="{42B50151-47D9-4EB4-800D-A5998D9F9302}"/>
    <cellStyle name="Note 2 3 2 40" xfId="32958" xr:uid="{E59191C6-4102-4700-9845-BE9460B6D3C9}"/>
    <cellStyle name="Note 2 3 2 41" xfId="32959" xr:uid="{73674A1D-9705-4667-A0C6-FCB4F2903A77}"/>
    <cellStyle name="Note 2 3 2 5" xfId="2201" xr:uid="{D107BABB-4574-4930-9D8E-1D82D297AB73}"/>
    <cellStyle name="Note 2 3 2 5 2" xfId="10318" xr:uid="{922CC0DE-8D0F-4A7E-BBD6-0B61759B4B5D}"/>
    <cellStyle name="Note 2 3 2 5 2 2" xfId="32960" xr:uid="{1AB909B4-AE7C-43EF-9C12-031455633A0F}"/>
    <cellStyle name="Note 2 3 2 5 2 3" xfId="32961" xr:uid="{12BF9A8F-DB63-4861-8FDA-8C416EB1EB05}"/>
    <cellStyle name="Note 2 3 2 5 2 4" xfId="32962" xr:uid="{27ECBCEC-61CE-43D9-90CE-078911002A42}"/>
    <cellStyle name="Note 2 3 2 5 2 5" xfId="32963" xr:uid="{96C50958-FAAE-4E30-94BA-7C5045A766AC}"/>
    <cellStyle name="Note 2 3 2 5 2 6" xfId="32964" xr:uid="{BC50EC21-25D2-4467-8138-78624C00739B}"/>
    <cellStyle name="Note 2 3 2 5 3" xfId="32965" xr:uid="{C0CAC806-8EC5-48F4-91C5-968803EB71DE}"/>
    <cellStyle name="Note 2 3 2 5 4" xfId="32966" xr:uid="{BAEDE0CC-FC0F-404F-AA06-412F65E441E2}"/>
    <cellStyle name="Note 2 3 2 5 5" xfId="32967" xr:uid="{DCC299A1-7610-4573-AFC5-47DA1CCCF34B}"/>
    <cellStyle name="Note 2 3 2 5 6" xfId="32968" xr:uid="{28602A4B-7FCF-466A-99A0-A99EA3E3971C}"/>
    <cellStyle name="Note 2 3 2 5 7" xfId="32969" xr:uid="{CB4880CA-740E-4480-9698-534CE374D603}"/>
    <cellStyle name="Note 2 3 2 6" xfId="2202" xr:uid="{2E8E6600-B2E1-4766-989E-75908A11EF9B}"/>
    <cellStyle name="Note 2 3 2 6 2" xfId="10406" xr:uid="{1B6870B5-27A5-4010-B67B-527B42966984}"/>
    <cellStyle name="Note 2 3 2 6 2 2" xfId="32970" xr:uid="{065FA58E-BC6D-4DEE-9426-5D7FF95A3397}"/>
    <cellStyle name="Note 2 3 2 6 2 3" xfId="32971" xr:uid="{745288C4-A0A4-4A52-ABED-467C6C3812D2}"/>
    <cellStyle name="Note 2 3 2 6 2 4" xfId="32972" xr:uid="{967F1013-3CF0-44FF-9F14-9F0685AB36ED}"/>
    <cellStyle name="Note 2 3 2 6 2 5" xfId="32973" xr:uid="{B2593622-3FD5-42A0-A75A-C4EA4E20E352}"/>
    <cellStyle name="Note 2 3 2 6 2 6" xfId="32974" xr:uid="{8E87E004-FDC6-41DD-ABFC-D27519FC0FF4}"/>
    <cellStyle name="Note 2 3 2 6 3" xfId="32975" xr:uid="{46E60520-60FF-4E66-AF6E-5344E3249F60}"/>
    <cellStyle name="Note 2 3 2 6 4" xfId="32976" xr:uid="{B783742E-EC2E-4F22-9901-5BFE5D66923C}"/>
    <cellStyle name="Note 2 3 2 6 5" xfId="32977" xr:uid="{909B7487-D81D-4455-90BD-F368170908D3}"/>
    <cellStyle name="Note 2 3 2 6 6" xfId="32978" xr:uid="{93790808-F52F-4F10-B563-345D9E67FFF3}"/>
    <cellStyle name="Note 2 3 2 6 7" xfId="32979" xr:uid="{E37EA765-63A2-43FF-AF17-3D91251A6855}"/>
    <cellStyle name="Note 2 3 2 7" xfId="2203" xr:uid="{87F962E4-B779-41D2-8FF7-CB733D886E55}"/>
    <cellStyle name="Note 2 3 2 7 2" xfId="10493" xr:uid="{BFFDAA6F-0005-4624-98D1-4375083008AF}"/>
    <cellStyle name="Note 2 3 2 7 2 2" xfId="32980" xr:uid="{7A6B0F28-5693-4E13-955A-4949199A46B0}"/>
    <cellStyle name="Note 2 3 2 7 2 3" xfId="32981" xr:uid="{414565E9-0649-49EC-8DD7-9BF7F080B1EC}"/>
    <cellStyle name="Note 2 3 2 7 2 4" xfId="32982" xr:uid="{CF54DDCC-1113-4AC3-866D-1A2878E31972}"/>
    <cellStyle name="Note 2 3 2 7 2 5" xfId="32983" xr:uid="{1E4F2AC0-EC46-4800-9B6D-6EBB1018A5DC}"/>
    <cellStyle name="Note 2 3 2 7 2 6" xfId="32984" xr:uid="{6A5FE336-E409-403C-B4A4-028C902CA16E}"/>
    <cellStyle name="Note 2 3 2 7 3" xfId="32985" xr:uid="{5462428D-13C0-4B9F-BEBD-C1F2418DB8B1}"/>
    <cellStyle name="Note 2 3 2 7 4" xfId="32986" xr:uid="{8F2CAA2F-1F78-4BF3-ACA6-F6870F60FE37}"/>
    <cellStyle name="Note 2 3 2 7 5" xfId="32987" xr:uid="{7423058B-951E-44B6-9556-329976679FB2}"/>
    <cellStyle name="Note 2 3 2 7 6" xfId="32988" xr:uid="{64499AD1-F139-4C63-AC26-6D6EE2DF8064}"/>
    <cellStyle name="Note 2 3 2 7 7" xfId="32989" xr:uid="{D2043AC3-ED5D-4DE8-96CC-13FD7BAD1FA6}"/>
    <cellStyle name="Note 2 3 2 8" xfId="2204" xr:uid="{39A27455-0473-4872-9E0B-71D5F871B0B8}"/>
    <cellStyle name="Note 2 3 2 8 2" xfId="10581" xr:uid="{32037779-B10C-4B59-B4E4-799BEDD15553}"/>
    <cellStyle name="Note 2 3 2 8 2 2" xfId="32990" xr:uid="{D8CAEB14-27C9-4F7D-93C2-349135737C80}"/>
    <cellStyle name="Note 2 3 2 8 2 3" xfId="32991" xr:uid="{449530FD-E078-4982-900E-58670372B167}"/>
    <cellStyle name="Note 2 3 2 8 2 4" xfId="32992" xr:uid="{6B1FC88B-8558-4DCA-A2D2-C0361247B9A8}"/>
    <cellStyle name="Note 2 3 2 8 2 5" xfId="32993" xr:uid="{C06BF7AD-F294-45FB-92DC-C29434D265B9}"/>
    <cellStyle name="Note 2 3 2 8 2 6" xfId="32994" xr:uid="{6BA7CAF2-6322-4544-A4EC-E01CB9882022}"/>
    <cellStyle name="Note 2 3 2 8 3" xfId="32995" xr:uid="{00F544E7-4C74-42B8-A509-817EDF24D4D2}"/>
    <cellStyle name="Note 2 3 2 8 4" xfId="32996" xr:uid="{3383789F-B235-4C05-AFCB-AD5A2FF3B5DA}"/>
    <cellStyle name="Note 2 3 2 8 5" xfId="32997" xr:uid="{D479C5C9-B2CE-488D-9835-56564638CADC}"/>
    <cellStyle name="Note 2 3 2 8 6" xfId="32998" xr:uid="{93379390-1330-4F4B-AFCC-C20DFB255568}"/>
    <cellStyle name="Note 2 3 2 8 7" xfId="32999" xr:uid="{67701F56-DB82-46B7-B935-C8585CAC9EAC}"/>
    <cellStyle name="Note 2 3 2 9" xfId="2205" xr:uid="{96E62E2C-F8C9-41CD-BA8D-B29E6F56F532}"/>
    <cellStyle name="Note 2 3 2 9 2" xfId="10663" xr:uid="{2025A74F-A5FF-4500-AF64-AAAD02392266}"/>
    <cellStyle name="Note 2 3 2 9 2 2" xfId="33000" xr:uid="{E853E516-EDCA-4D16-8CE2-56F183BD7F07}"/>
    <cellStyle name="Note 2 3 2 9 2 3" xfId="33001" xr:uid="{7871090C-F52A-4187-A946-B937834EF564}"/>
    <cellStyle name="Note 2 3 2 9 2 4" xfId="33002" xr:uid="{22AA7B69-421C-4855-AD07-D20B92F25020}"/>
    <cellStyle name="Note 2 3 2 9 2 5" xfId="33003" xr:uid="{214D9EAA-0C05-4F92-9E28-2DF23F668E87}"/>
    <cellStyle name="Note 2 3 2 9 2 6" xfId="33004" xr:uid="{0F633831-1BA2-479C-930C-3CE394166D69}"/>
    <cellStyle name="Note 2 3 2 9 3" xfId="33005" xr:uid="{41224A34-EF04-4959-A9F0-8D3E8BF9ABFC}"/>
    <cellStyle name="Note 2 3 2 9 4" xfId="33006" xr:uid="{EA50ACEB-7A98-483A-9DE7-3D10F2099C97}"/>
    <cellStyle name="Note 2 3 2 9 5" xfId="33007" xr:uid="{8D3A8E9E-1622-4971-85CE-BD3E61022E8A}"/>
    <cellStyle name="Note 2 3 2 9 6" xfId="33008" xr:uid="{452DCD83-9891-439D-B0AF-1F101E18B6C7}"/>
    <cellStyle name="Note 2 3 2 9 7" xfId="33009" xr:uid="{582E7A6E-9541-4C31-934E-98B6534DAE20}"/>
    <cellStyle name="Note 2 3 20" xfId="2206" xr:uid="{5E81CB65-2CD5-4F81-B0E7-A5E0C750E212}"/>
    <cellStyle name="Note 2 3 20 2" xfId="11510" xr:uid="{E8C5BE0C-9AD7-4A85-A828-57ECDE84F442}"/>
    <cellStyle name="Note 2 3 20 2 2" xfId="33010" xr:uid="{909983E8-D449-45D3-BADE-C27CC21EF19A}"/>
    <cellStyle name="Note 2 3 20 2 3" xfId="33011" xr:uid="{8A9DED48-A1C6-4E08-9722-1EB994D81894}"/>
    <cellStyle name="Note 2 3 20 2 4" xfId="33012" xr:uid="{AB47DED5-5CED-43BE-A4B0-B12E521F4135}"/>
    <cellStyle name="Note 2 3 20 2 5" xfId="33013" xr:uid="{49CC6D82-AA47-4491-BB53-B1DA2DE30C09}"/>
    <cellStyle name="Note 2 3 20 2 6" xfId="33014" xr:uid="{D0B8D04F-8684-4E67-8089-17532F7DDDB5}"/>
    <cellStyle name="Note 2 3 20 3" xfId="33015" xr:uid="{4D5722CF-8CDB-4D4E-9B5F-3C292EA98897}"/>
    <cellStyle name="Note 2 3 20 4" xfId="33016" xr:uid="{E5EE254E-FBEE-46FE-A66A-972136496E8F}"/>
    <cellStyle name="Note 2 3 20 5" xfId="33017" xr:uid="{43E8FC01-457E-44AD-8F11-377346BC24F8}"/>
    <cellStyle name="Note 2 3 20 6" xfId="33018" xr:uid="{5BC3C203-7526-4138-BD76-32F09FDB1233}"/>
    <cellStyle name="Note 2 3 20 7" xfId="33019" xr:uid="{A4098914-7A3C-4E72-A7EA-B6E463B743E3}"/>
    <cellStyle name="Note 2 3 21" xfId="2207" xr:uid="{3E446B9E-6195-4802-9275-0F6CF6AEF9D4}"/>
    <cellStyle name="Note 2 3 21 2" xfId="11598" xr:uid="{C5298C18-721E-4139-BB4B-0AA725B6A35B}"/>
    <cellStyle name="Note 2 3 21 2 2" xfId="33020" xr:uid="{645FFED4-7776-4C29-A003-104457E22FAF}"/>
    <cellStyle name="Note 2 3 21 2 3" xfId="33021" xr:uid="{B3D5EEC3-C5AE-466B-9EB5-B75B7058E274}"/>
    <cellStyle name="Note 2 3 21 2 4" xfId="33022" xr:uid="{04B34949-F9DD-41FF-928A-6F6F2333669B}"/>
    <cellStyle name="Note 2 3 21 2 5" xfId="33023" xr:uid="{710E097F-4BF9-410F-BF40-04F9F11613A8}"/>
    <cellStyle name="Note 2 3 21 2 6" xfId="33024" xr:uid="{D393351A-AD19-4986-BE58-1017956AFAB4}"/>
    <cellStyle name="Note 2 3 21 3" xfId="33025" xr:uid="{7E56A66C-4E63-46CC-8AEC-6A6042AB85BF}"/>
    <cellStyle name="Note 2 3 21 4" xfId="33026" xr:uid="{CEB73F6F-FF55-417D-86CF-F1DDDE7E0123}"/>
    <cellStyle name="Note 2 3 21 5" xfId="33027" xr:uid="{46E816DB-AC6C-4569-A08A-8046219A0CCB}"/>
    <cellStyle name="Note 2 3 21 6" xfId="33028" xr:uid="{97B64D9B-9DA2-451A-AF47-1145762DD7A5}"/>
    <cellStyle name="Note 2 3 21 7" xfId="33029" xr:uid="{6943531F-074B-4DC6-81B4-E05F65C3D01C}"/>
    <cellStyle name="Note 2 3 22" xfId="2208" xr:uid="{25871741-DF6B-49AE-B315-866F7673942E}"/>
    <cellStyle name="Note 2 3 22 2" xfId="11683" xr:uid="{76625A23-8AF4-4990-806E-393B851C5462}"/>
    <cellStyle name="Note 2 3 22 2 2" xfId="33030" xr:uid="{CD464302-1058-44AC-9E9C-CF5855BDDDFF}"/>
    <cellStyle name="Note 2 3 22 2 3" xfId="33031" xr:uid="{7C4D5C35-38F5-4F34-BF23-EF6A29A0C054}"/>
    <cellStyle name="Note 2 3 22 2 4" xfId="33032" xr:uid="{5F4E6200-3F5D-4719-A1EA-2971E8699B21}"/>
    <cellStyle name="Note 2 3 22 2 5" xfId="33033" xr:uid="{27E7825F-21C2-40F2-AE6D-C295032EB565}"/>
    <cellStyle name="Note 2 3 22 2 6" xfId="33034" xr:uid="{5DE25773-0425-487D-A7D7-AC6062CB64AD}"/>
    <cellStyle name="Note 2 3 22 3" xfId="33035" xr:uid="{E86B9124-38B6-4FE8-A221-B53053247342}"/>
    <cellStyle name="Note 2 3 22 4" xfId="33036" xr:uid="{4794AA3C-49C1-467F-BADE-3E1397FBA0F1}"/>
    <cellStyle name="Note 2 3 22 5" xfId="33037" xr:uid="{C540C7BA-1A69-4297-ABA7-911416635946}"/>
    <cellStyle name="Note 2 3 22 6" xfId="33038" xr:uid="{78F63136-C748-40B3-9A16-DBEAC56863DD}"/>
    <cellStyle name="Note 2 3 22 7" xfId="33039" xr:uid="{06E2E62E-B9F6-4C94-A4D5-580B44AAB278}"/>
    <cellStyle name="Note 2 3 23" xfId="2209" xr:uid="{7FB06265-2FA7-49B1-9067-7362E695FCA5}"/>
    <cellStyle name="Note 2 3 23 2" xfId="11766" xr:uid="{FCEE3BC1-35EC-438E-94EC-55139555DB0D}"/>
    <cellStyle name="Note 2 3 23 2 2" xfId="33040" xr:uid="{5201EB3B-7E63-4B1E-B059-ABB50A3C308C}"/>
    <cellStyle name="Note 2 3 23 2 3" xfId="33041" xr:uid="{8DD24ACC-1EAE-4280-96A3-C088F09CE059}"/>
    <cellStyle name="Note 2 3 23 2 4" xfId="33042" xr:uid="{8F6E9C19-367E-4835-891F-15BE90EF4DB2}"/>
    <cellStyle name="Note 2 3 23 2 5" xfId="33043" xr:uid="{AC4DF0BA-6217-47B3-94C6-8A0BA022E202}"/>
    <cellStyle name="Note 2 3 23 2 6" xfId="33044" xr:uid="{865E2489-646C-44E9-BE1A-C1BF6FBE9CCE}"/>
    <cellStyle name="Note 2 3 23 3" xfId="33045" xr:uid="{1099028F-C26D-4419-875D-7624AAB760E7}"/>
    <cellStyle name="Note 2 3 23 4" xfId="33046" xr:uid="{DA214BE8-FEF9-44FA-853C-4C5F10AF39C2}"/>
    <cellStyle name="Note 2 3 23 5" xfId="33047" xr:uid="{C8C221EE-48DE-4C5C-90DC-7BB6BA1D1114}"/>
    <cellStyle name="Note 2 3 23 6" xfId="33048" xr:uid="{103B4083-F0EF-41B0-94D7-0AD9737A556A}"/>
    <cellStyle name="Note 2 3 23 7" xfId="33049" xr:uid="{599DCD12-C9AE-4335-849F-E1A4462626DF}"/>
    <cellStyle name="Note 2 3 24" xfId="2210" xr:uid="{B61D3154-9B45-4A20-9C70-67E85EF53675}"/>
    <cellStyle name="Note 2 3 24 2" xfId="11848" xr:uid="{B6D2DB15-803A-4903-85F8-58C119F22F79}"/>
    <cellStyle name="Note 2 3 24 2 2" xfId="33050" xr:uid="{217A64C4-9664-42A7-8BA2-80FA8A2ED6B1}"/>
    <cellStyle name="Note 2 3 24 2 3" xfId="33051" xr:uid="{37687311-5D39-4569-B0A6-5D932B077489}"/>
    <cellStyle name="Note 2 3 24 2 4" xfId="33052" xr:uid="{0DCB6FFD-321D-4376-ACD4-6E4392D5E4FC}"/>
    <cellStyle name="Note 2 3 24 2 5" xfId="33053" xr:uid="{FB042D78-1272-4DAA-9F01-D074DF217D35}"/>
    <cellStyle name="Note 2 3 24 2 6" xfId="33054" xr:uid="{DC55CDA7-1706-4C5E-A192-B51E844A5E03}"/>
    <cellStyle name="Note 2 3 24 3" xfId="33055" xr:uid="{B6E043EB-C4CE-4D01-8FE2-89059039C67F}"/>
    <cellStyle name="Note 2 3 24 4" xfId="33056" xr:uid="{727BCC6F-FF8E-4954-B10C-D8F1FF8B39D5}"/>
    <cellStyle name="Note 2 3 24 5" xfId="33057" xr:uid="{0C0F83B8-0C3A-4064-951A-162973283AA6}"/>
    <cellStyle name="Note 2 3 24 6" xfId="33058" xr:uid="{9618D3F8-3E4A-4927-949A-73E22ED6A914}"/>
    <cellStyle name="Note 2 3 24 7" xfId="33059" xr:uid="{12ABE89A-2AF7-4519-8A1B-5849989186B6}"/>
    <cellStyle name="Note 2 3 25" xfId="2211" xr:uid="{69F5EE20-2BF8-4FF9-A2CA-2856A35AF564}"/>
    <cellStyle name="Note 2 3 25 2" xfId="11932" xr:uid="{D9C6F4C2-32BA-46EE-B8AB-12B2D580D09A}"/>
    <cellStyle name="Note 2 3 25 2 2" xfId="33060" xr:uid="{93877B75-EAE5-4732-A126-D98F4C13B152}"/>
    <cellStyle name="Note 2 3 25 2 3" xfId="33061" xr:uid="{FA47E378-F803-4D51-932E-8052E56C3FC2}"/>
    <cellStyle name="Note 2 3 25 2 4" xfId="33062" xr:uid="{A687EF26-38B8-4F80-ABE6-0C2A9A1830C3}"/>
    <cellStyle name="Note 2 3 25 2 5" xfId="33063" xr:uid="{F05463F1-0C47-4541-9E65-351F2AA53B56}"/>
    <cellStyle name="Note 2 3 25 2 6" xfId="33064" xr:uid="{E00FBBD2-9084-4A5A-9198-FFFD7C3A01F2}"/>
    <cellStyle name="Note 2 3 25 3" xfId="33065" xr:uid="{2D689798-C5D2-413E-B1FD-D2D38B07405D}"/>
    <cellStyle name="Note 2 3 25 4" xfId="33066" xr:uid="{BAEB214D-0D70-4F1E-8116-9CFF5F717ADF}"/>
    <cellStyle name="Note 2 3 25 5" xfId="33067" xr:uid="{6FD488C1-8C24-4413-94A2-547BAEA92D9E}"/>
    <cellStyle name="Note 2 3 25 6" xfId="33068" xr:uid="{346AF578-9188-4BE7-BE17-25C38E6CF937}"/>
    <cellStyle name="Note 2 3 25 7" xfId="33069" xr:uid="{487229A5-1A6F-4547-BF1B-F5DE3F6946AB}"/>
    <cellStyle name="Note 2 3 26" xfId="2212" xr:uid="{2E03A2C0-5A9A-476A-921B-F604461CD20A}"/>
    <cellStyle name="Note 2 3 26 2" xfId="12016" xr:uid="{B705B241-F43C-4CDD-9308-AE96772CB59F}"/>
    <cellStyle name="Note 2 3 26 2 2" xfId="33070" xr:uid="{7D290EC6-EFFB-4B32-B480-A9EC25231E17}"/>
    <cellStyle name="Note 2 3 26 2 3" xfId="33071" xr:uid="{55D790A9-1A51-4B61-9F04-F9872C400A51}"/>
    <cellStyle name="Note 2 3 26 2 4" xfId="33072" xr:uid="{8C9480C1-0BDC-4021-B918-117E80E5FC7C}"/>
    <cellStyle name="Note 2 3 26 2 5" xfId="33073" xr:uid="{C29BD0D5-08A7-4E7C-B3A0-6CB598B035ED}"/>
    <cellStyle name="Note 2 3 26 2 6" xfId="33074" xr:uid="{26481653-8B84-490A-861C-1E203F1A7313}"/>
    <cellStyle name="Note 2 3 26 3" xfId="33075" xr:uid="{E83C814A-FEA4-4DAF-BFC9-FA0A3DE5765D}"/>
    <cellStyle name="Note 2 3 26 4" xfId="33076" xr:uid="{BB51798E-69CB-4E3C-B4B9-3B0E81686199}"/>
    <cellStyle name="Note 2 3 26 5" xfId="33077" xr:uid="{7F269D06-924B-46EF-ADF8-49C1F915333B}"/>
    <cellStyle name="Note 2 3 26 6" xfId="33078" xr:uid="{C908C3C2-1024-4E16-9664-922C6659E884}"/>
    <cellStyle name="Note 2 3 26 7" xfId="33079" xr:uid="{D00D9C86-7344-4F8E-ACD5-AF112CA870D4}"/>
    <cellStyle name="Note 2 3 27" xfId="2213" xr:uid="{47711C9B-42BB-46E5-A0C7-8C64262E540D}"/>
    <cellStyle name="Note 2 3 27 2" xfId="12099" xr:uid="{BF5FE103-C045-4DE7-A592-35C7BF889382}"/>
    <cellStyle name="Note 2 3 27 2 2" xfId="33080" xr:uid="{B70F0199-4EE1-46C8-ABE8-E62411B585B1}"/>
    <cellStyle name="Note 2 3 27 2 3" xfId="33081" xr:uid="{92AF9465-3D71-4AC2-B3D0-E92B1563E41D}"/>
    <cellStyle name="Note 2 3 27 2 4" xfId="33082" xr:uid="{C85A6DB9-4781-4BBC-A2B8-F6BBA10669F0}"/>
    <cellStyle name="Note 2 3 27 2 5" xfId="33083" xr:uid="{B4C77FE4-D3CF-45F8-BE69-2F64AC498B23}"/>
    <cellStyle name="Note 2 3 27 2 6" xfId="33084" xr:uid="{7D0953F8-1496-47D4-BDA3-2E3D53588BDD}"/>
    <cellStyle name="Note 2 3 27 3" xfId="33085" xr:uid="{98F89915-C41C-4632-8849-6F7BFE565AFF}"/>
    <cellStyle name="Note 2 3 27 4" xfId="33086" xr:uid="{546302EE-5902-46B5-B08B-3C799EE2F465}"/>
    <cellStyle name="Note 2 3 27 5" xfId="33087" xr:uid="{1611D231-843D-43D3-8738-188D0FFD5D2F}"/>
    <cellStyle name="Note 2 3 27 6" xfId="33088" xr:uid="{F89312E0-CECC-4721-A2D0-4524A42D306A}"/>
    <cellStyle name="Note 2 3 27 7" xfId="33089" xr:uid="{E0CD8AE9-5215-4992-B629-911277A29323}"/>
    <cellStyle name="Note 2 3 28" xfId="2214" xr:uid="{0A5C156D-B82B-483F-86EE-1A57C8FFABE5}"/>
    <cellStyle name="Note 2 3 28 2" xfId="12181" xr:uid="{144FFE66-8588-427A-9AC9-40A2F615D266}"/>
    <cellStyle name="Note 2 3 28 2 2" xfId="33090" xr:uid="{922CA041-C57D-43BE-998A-9AA3403343DE}"/>
    <cellStyle name="Note 2 3 28 2 3" xfId="33091" xr:uid="{A5CBA507-D255-4D14-942D-6EEC5AA7E9F5}"/>
    <cellStyle name="Note 2 3 28 2 4" xfId="33092" xr:uid="{39C8662B-A0F1-4CFD-9F75-93AF60A4C348}"/>
    <cellStyle name="Note 2 3 28 2 5" xfId="33093" xr:uid="{5E68A8D6-A453-4B2F-9975-5A7A8CF1FA8F}"/>
    <cellStyle name="Note 2 3 28 2 6" xfId="33094" xr:uid="{5170F94D-50F2-4286-9A00-F773184B4E15}"/>
    <cellStyle name="Note 2 3 28 3" xfId="33095" xr:uid="{7994E774-9BC8-463A-AA1E-566426FA8754}"/>
    <cellStyle name="Note 2 3 28 4" xfId="33096" xr:uid="{C4EAEA2C-3E25-4005-8337-79016E0339D4}"/>
    <cellStyle name="Note 2 3 28 5" xfId="33097" xr:uid="{0E49617F-2139-44B0-B0F7-DAE69951065A}"/>
    <cellStyle name="Note 2 3 28 6" xfId="33098" xr:uid="{C89ACF9F-81D6-4760-A0D1-B7F3B63B49FC}"/>
    <cellStyle name="Note 2 3 28 7" xfId="33099" xr:uid="{5F5F0D83-FCB8-47D3-B57D-25325F248760}"/>
    <cellStyle name="Note 2 3 29" xfId="2215" xr:uid="{7A37C51B-C7B7-4167-B654-1A537B1D1251}"/>
    <cellStyle name="Note 2 3 29 2" xfId="12261" xr:uid="{462371C0-04B0-4B0D-A093-F2B080D8A679}"/>
    <cellStyle name="Note 2 3 29 2 2" xfId="33100" xr:uid="{B245E0FC-1F59-43F1-BC34-20CFE38A14EB}"/>
    <cellStyle name="Note 2 3 29 2 3" xfId="33101" xr:uid="{93AABE35-913F-4846-8DE2-D9150870C5DF}"/>
    <cellStyle name="Note 2 3 29 2 4" xfId="33102" xr:uid="{A6DCA928-2026-40FC-89B1-4007ADD2F6D6}"/>
    <cellStyle name="Note 2 3 29 2 5" xfId="33103" xr:uid="{5D325B90-A815-45C1-B5C2-E405218B870D}"/>
    <cellStyle name="Note 2 3 29 2 6" xfId="33104" xr:uid="{C7BA18C5-7D4C-4C5E-A44D-9C872B054CE3}"/>
    <cellStyle name="Note 2 3 29 3" xfId="33105" xr:uid="{99463C02-FFE7-4DEC-BBC3-90B2BBD609AD}"/>
    <cellStyle name="Note 2 3 29 4" xfId="33106" xr:uid="{C22DEA1B-4E32-4F8A-BBF5-0B309779D8C3}"/>
    <cellStyle name="Note 2 3 29 5" xfId="33107" xr:uid="{B67F73EB-8622-4792-AA0A-115BDA266F6F}"/>
    <cellStyle name="Note 2 3 29 6" xfId="33108" xr:uid="{20986B36-F60D-4FCE-B2C0-10D714E29501}"/>
    <cellStyle name="Note 2 3 29 7" xfId="33109" xr:uid="{CD50AA5E-8B0E-4377-95DD-4FCDF82C5796}"/>
    <cellStyle name="Note 2 3 3" xfId="2216" xr:uid="{BAD64542-1A70-423A-A7C1-944E6AF5B582}"/>
    <cellStyle name="Note 2 3 3 2" xfId="8885" xr:uid="{270A06A3-EA88-492E-88AC-F2FED3614792}"/>
    <cellStyle name="Note 2 3 3 3" xfId="10017" xr:uid="{0F3130DD-52FC-42B0-BECE-38E544C2EE77}"/>
    <cellStyle name="Note 2 3 3 3 2" xfId="33110" xr:uid="{AE11FB27-5E3E-4914-A130-D3E3DAA7F677}"/>
    <cellStyle name="Note 2 3 3 3 3" xfId="33111" xr:uid="{51285DB0-7B11-49A6-B82E-7E7077C03E84}"/>
    <cellStyle name="Note 2 3 3 3 4" xfId="33112" xr:uid="{A65C0F64-0590-49F4-B9D3-FCB0F74198DE}"/>
    <cellStyle name="Note 2 3 3 3 5" xfId="33113" xr:uid="{133E1893-38BD-4A9F-B788-61AC1C52169E}"/>
    <cellStyle name="Note 2 3 3 3 6" xfId="33114" xr:uid="{C14737E8-BDAE-4907-8497-1B0280218565}"/>
    <cellStyle name="Note 2 3 3 4" xfId="33115" xr:uid="{000DEAD3-7DBD-4F90-A7A7-1C73F2110E76}"/>
    <cellStyle name="Note 2 3 3 5" xfId="33116" xr:uid="{ADC29D40-0C4D-4E9B-88AC-06D1707DBBDA}"/>
    <cellStyle name="Note 2 3 3 6" xfId="33117" xr:uid="{43B2AC87-79EE-454B-83BE-E88E938AF876}"/>
    <cellStyle name="Note 2 3 3 7" xfId="33118" xr:uid="{AA742BE7-D354-4865-95DD-BE9A27D71605}"/>
    <cellStyle name="Note 2 3 3 8" xfId="33119" xr:uid="{6CECB498-9653-4964-8427-185CE4A475DF}"/>
    <cellStyle name="Note 2 3 30" xfId="2217" xr:uid="{E85EB669-F6D5-4635-8E67-E53DAF1E63CF}"/>
    <cellStyle name="Note 2 3 30 2" xfId="12339" xr:uid="{87E70AC9-98F4-4CC5-BE50-C3F11BD5E421}"/>
    <cellStyle name="Note 2 3 30 2 2" xfId="33120" xr:uid="{3258D46E-2790-4BD9-ACB1-CE18D1C01613}"/>
    <cellStyle name="Note 2 3 30 2 3" xfId="33121" xr:uid="{23B48048-11B0-45F1-82AF-7518794E0604}"/>
    <cellStyle name="Note 2 3 30 2 4" xfId="33122" xr:uid="{C9A1275A-DF57-49A8-A3E2-64305DB39CED}"/>
    <cellStyle name="Note 2 3 30 2 5" xfId="33123" xr:uid="{B76B0AB1-53EB-475F-B0EA-8389F0A9B66D}"/>
    <cellStyle name="Note 2 3 30 2 6" xfId="33124" xr:uid="{5E0C563D-72C3-4A64-8B9E-F97D8D34B251}"/>
    <cellStyle name="Note 2 3 30 3" xfId="33125" xr:uid="{B6263F51-6A37-4E7C-AE69-1ACDD1D10456}"/>
    <cellStyle name="Note 2 3 30 4" xfId="33126" xr:uid="{72AC14F1-34BE-4DFD-98AF-039AC3CB6B71}"/>
    <cellStyle name="Note 2 3 30 5" xfId="33127" xr:uid="{F7DE4DAB-D039-4CD6-A2A0-2C4FE9D78128}"/>
    <cellStyle name="Note 2 3 30 6" xfId="33128" xr:uid="{0C492319-5F1E-43C1-B761-FD2B4BDC639D}"/>
    <cellStyle name="Note 2 3 30 7" xfId="33129" xr:uid="{CE0A6992-BA18-4520-845F-DD85D7CCD928}"/>
    <cellStyle name="Note 2 3 31" xfId="2218" xr:uid="{29DCC15E-41B6-46D4-A58E-7544ECCCB277}"/>
    <cellStyle name="Note 2 3 31 2" xfId="12418" xr:uid="{7A52A8A8-9B26-4F77-9C7C-00D08B8BC942}"/>
    <cellStyle name="Note 2 3 31 2 2" xfId="33130" xr:uid="{72145C49-7D4B-47E1-AD8D-E17B013117D9}"/>
    <cellStyle name="Note 2 3 31 2 3" xfId="33131" xr:uid="{B036BC55-2042-4A9E-88E7-B5F38700943C}"/>
    <cellStyle name="Note 2 3 31 2 4" xfId="33132" xr:uid="{9603AC98-C926-474E-A913-DBDE9F0C43EE}"/>
    <cellStyle name="Note 2 3 31 2 5" xfId="33133" xr:uid="{5E244F62-2942-4C5B-BF32-A6928A432251}"/>
    <cellStyle name="Note 2 3 31 2 6" xfId="33134" xr:uid="{6DE91BA9-2DC0-4EF2-BFD5-0ED5E1C9A751}"/>
    <cellStyle name="Note 2 3 31 3" xfId="33135" xr:uid="{7BB03501-0BFA-4B70-870E-98A1B5FA0CC4}"/>
    <cellStyle name="Note 2 3 31 4" xfId="33136" xr:uid="{9AE33795-65B4-4B68-A57C-EB44D0880502}"/>
    <cellStyle name="Note 2 3 31 5" xfId="33137" xr:uid="{577E3648-8802-4D05-AD74-8262F56F71F3}"/>
    <cellStyle name="Note 2 3 31 6" xfId="33138" xr:uid="{F30414FC-5DEE-4AE1-8B4C-8F9BA7ACBB89}"/>
    <cellStyle name="Note 2 3 31 7" xfId="33139" xr:uid="{086A8713-7D25-44E7-A3F2-28A88A18EA8E}"/>
    <cellStyle name="Note 2 3 32" xfId="2219" xr:uid="{A0CBCB75-8FBC-4A81-B29E-6EA6832FA435}"/>
    <cellStyle name="Note 2 3 32 2" xfId="12497" xr:uid="{6D0A9309-1142-471A-B4B3-3E03DA24CD31}"/>
    <cellStyle name="Note 2 3 32 2 2" xfId="33140" xr:uid="{DD8579C3-0877-422D-A57F-2FEB44EA1852}"/>
    <cellStyle name="Note 2 3 32 2 3" xfId="33141" xr:uid="{192B7612-CEFC-499F-9C8D-F75F8E095A08}"/>
    <cellStyle name="Note 2 3 32 2 4" xfId="33142" xr:uid="{06B1AAEF-3A13-49C0-BC94-26F0DA956860}"/>
    <cellStyle name="Note 2 3 32 2 5" xfId="33143" xr:uid="{011F34C1-5A18-44E7-A446-53908D3AB4BE}"/>
    <cellStyle name="Note 2 3 32 2 6" xfId="33144" xr:uid="{6CFEE518-9342-4B0F-9D3D-E146A75C4FE5}"/>
    <cellStyle name="Note 2 3 32 3" xfId="33145" xr:uid="{6BC43F0F-C5B4-49B5-9A55-63E2CB86BD4F}"/>
    <cellStyle name="Note 2 3 32 4" xfId="33146" xr:uid="{8EDD8042-1E49-4C31-A1A4-AD6F7FD2434B}"/>
    <cellStyle name="Note 2 3 32 5" xfId="33147" xr:uid="{0888201D-C839-4A5C-8022-004389947C47}"/>
    <cellStyle name="Note 2 3 32 6" xfId="33148" xr:uid="{599ECCD5-D19E-4142-9B46-5FFFF1962F4E}"/>
    <cellStyle name="Note 2 3 32 7" xfId="33149" xr:uid="{2AAAA995-2CEC-4C6E-B151-B3E01642634D}"/>
    <cellStyle name="Note 2 3 33" xfId="2220" xr:uid="{A0ED37AB-64DD-4C73-BC06-32E3883C6468}"/>
    <cellStyle name="Note 2 3 33 2" xfId="12576" xr:uid="{B69B7251-D6F6-4F76-A8A9-0D2ECD31AF92}"/>
    <cellStyle name="Note 2 3 33 2 2" xfId="33150" xr:uid="{2C648837-890A-4F39-A3FC-7B1026C9623D}"/>
    <cellStyle name="Note 2 3 33 2 3" xfId="33151" xr:uid="{0DDF1085-2E43-4B02-81FD-9674CD878E5B}"/>
    <cellStyle name="Note 2 3 33 2 4" xfId="33152" xr:uid="{E595B4BE-B41F-4717-A780-3C511594BB13}"/>
    <cellStyle name="Note 2 3 33 2 5" xfId="33153" xr:uid="{85444B95-66F0-4F81-ACC9-DFAE08523D3A}"/>
    <cellStyle name="Note 2 3 33 2 6" xfId="33154" xr:uid="{664A3A8D-371D-4042-AF4F-184F381AC153}"/>
    <cellStyle name="Note 2 3 33 3" xfId="33155" xr:uid="{85D1FEF0-2A3C-43F5-9075-E30DA1D12225}"/>
    <cellStyle name="Note 2 3 33 4" xfId="33156" xr:uid="{47805959-561F-48FB-85F7-CEEB2FAB1AA7}"/>
    <cellStyle name="Note 2 3 33 5" xfId="33157" xr:uid="{04ECAC7B-BCC9-40F4-94A4-8CB61D84A117}"/>
    <cellStyle name="Note 2 3 33 6" xfId="33158" xr:uid="{E321DA70-083C-4C68-8C61-48C7FD542B8D}"/>
    <cellStyle name="Note 2 3 33 7" xfId="33159" xr:uid="{DE52F2F1-5B17-4ABB-84EF-6F40854FD33E}"/>
    <cellStyle name="Note 2 3 34" xfId="2221" xr:uid="{6B9BA506-3145-494D-8E3C-C8A39F770A6D}"/>
    <cellStyle name="Note 2 3 34 2" xfId="12655" xr:uid="{964A1537-4E5C-4B86-A6CD-B1D97E8FE7FA}"/>
    <cellStyle name="Note 2 3 34 2 2" xfId="33160" xr:uid="{F987F541-D9DA-4722-B2A2-C90DDF33BB72}"/>
    <cellStyle name="Note 2 3 34 2 3" xfId="33161" xr:uid="{251491B4-15CE-43C3-B2B0-AED91C1FBC31}"/>
    <cellStyle name="Note 2 3 34 2 4" xfId="33162" xr:uid="{ABBD5D8E-27C3-477E-A0F9-4BA77DF25EF7}"/>
    <cellStyle name="Note 2 3 34 2 5" xfId="33163" xr:uid="{1A8041AA-993F-4BBA-BFCE-9749B57604F3}"/>
    <cellStyle name="Note 2 3 34 2 6" xfId="33164" xr:uid="{59FCBB21-6AE5-4EA9-8176-C592B3C7E0F8}"/>
    <cellStyle name="Note 2 3 34 3" xfId="33165" xr:uid="{AE7A13BD-43C4-48BD-9F11-22E9E3D26F89}"/>
    <cellStyle name="Note 2 3 34 4" xfId="33166" xr:uid="{C87FB309-AFDB-41F1-94EF-3BB2C32267B6}"/>
    <cellStyle name="Note 2 3 34 5" xfId="33167" xr:uid="{EBA7196D-1C3C-429C-96BF-CAA6CEB6D685}"/>
    <cellStyle name="Note 2 3 34 6" xfId="33168" xr:uid="{39FFD6AC-5F13-4CEF-9173-0EB8A40357BD}"/>
    <cellStyle name="Note 2 3 34 7" xfId="33169" xr:uid="{A9BDAF4F-18FA-4065-8E90-835DE05DF6F0}"/>
    <cellStyle name="Note 2 3 35" xfId="2222" xr:uid="{F7A3ED8C-DB9D-45C9-8E2D-90F012BA2F19}"/>
    <cellStyle name="Note 2 3 35 2" xfId="12739" xr:uid="{8F7A61DE-CE8F-41E9-BD19-325225474DC5}"/>
    <cellStyle name="Note 2 3 35 2 2" xfId="33170" xr:uid="{6774DCF0-CF6F-4AB1-B4F5-DE44CC332548}"/>
    <cellStyle name="Note 2 3 35 2 3" xfId="33171" xr:uid="{DAA90125-C1F1-4B47-9DE3-94215C9B5D32}"/>
    <cellStyle name="Note 2 3 35 2 4" xfId="33172" xr:uid="{1EFBF993-3E03-40EF-AFB9-5B6CA8C75C79}"/>
    <cellStyle name="Note 2 3 35 2 5" xfId="33173" xr:uid="{C5761CA7-44A3-4245-80DB-535521C35ED0}"/>
    <cellStyle name="Note 2 3 35 2 6" xfId="33174" xr:uid="{038EF827-B335-4108-BAD6-07183D6E08DA}"/>
    <cellStyle name="Note 2 3 35 3" xfId="33175" xr:uid="{0CBD9626-DEB8-4008-AED5-41F0A782AB9B}"/>
    <cellStyle name="Note 2 3 35 4" xfId="33176" xr:uid="{3A7B5FA8-19EB-45B9-9698-D7CDC6345E84}"/>
    <cellStyle name="Note 2 3 35 5" xfId="33177" xr:uid="{0127404A-23D8-451D-AE4B-FA723F4EC27F}"/>
    <cellStyle name="Note 2 3 35 6" xfId="33178" xr:uid="{263809C7-C6C9-4D07-B272-0A020D82B72C}"/>
    <cellStyle name="Note 2 3 35 7" xfId="33179" xr:uid="{3FC45210-8140-4071-AD1E-5B7D7181FAC5}"/>
    <cellStyle name="Note 2 3 36" xfId="8886" xr:uid="{50E37805-9A12-4513-A7F8-9E265243738B}"/>
    <cellStyle name="Note 2 3 36 2" xfId="33180" xr:uid="{EA117D7B-5225-44A3-B127-DE8A7EBB8C16}"/>
    <cellStyle name="Note 2 3 36 3" xfId="33181" xr:uid="{1DDEF7A1-F4B1-453E-8A09-CB318D3A49C1}"/>
    <cellStyle name="Note 2 3 36 4" xfId="33182" xr:uid="{7FAF8E4E-C688-4183-B8CD-62C35D0196A4}"/>
    <cellStyle name="Note 2 3 36 5" xfId="33183" xr:uid="{6C94123A-8A02-48CD-A1CF-CC3A34482C88}"/>
    <cellStyle name="Note 2 3 36 6" xfId="33184" xr:uid="{F0C79FB7-9FB9-4340-B415-6BAA18D7B242}"/>
    <cellStyle name="Note 2 3 37" xfId="9804" xr:uid="{D6192B87-B6C1-42C0-A1CE-149C1A2B0BAC}"/>
    <cellStyle name="Note 2 3 37 2" xfId="33185" xr:uid="{ACA6BAFF-105C-4390-91D5-17F2D35683E2}"/>
    <cellStyle name="Note 2 3 37 3" xfId="33186" xr:uid="{C441F437-A56F-4F37-91B8-EF9039F3A0EF}"/>
    <cellStyle name="Note 2 3 37 4" xfId="33187" xr:uid="{64A09816-8D28-4152-9062-DD79EB158AF5}"/>
    <cellStyle name="Note 2 3 37 5" xfId="33188" xr:uid="{40A2AE0E-30BB-42A8-92CF-DA5113427FD5}"/>
    <cellStyle name="Note 2 3 37 6" xfId="33189" xr:uid="{EB3A1493-FEF6-4B49-8115-14C6EBB02CFD}"/>
    <cellStyle name="Note 2 3 38" xfId="33190" xr:uid="{4DFBA8E9-F718-4063-BB6E-5C8C5D23E769}"/>
    <cellStyle name="Note 2 3 39" xfId="33191" xr:uid="{1DDA2ABD-B41A-441C-859A-A139C3FBC72B}"/>
    <cellStyle name="Note 2 3 4" xfId="2223" xr:uid="{5CA0452B-0178-4134-9414-243B6DC2E9AF}"/>
    <cellStyle name="Note 2 3 4 2" xfId="8887" xr:uid="{3E56AD0F-5F0B-4FAF-B735-73D929313B48}"/>
    <cellStyle name="Note 2 3 4 3" xfId="10108" xr:uid="{8E540179-9674-4BFF-804A-6D48296AEE93}"/>
    <cellStyle name="Note 2 3 4 3 2" xfId="33192" xr:uid="{674F539F-8881-4026-B8E2-19ED0E8EE1A7}"/>
    <cellStyle name="Note 2 3 4 3 3" xfId="33193" xr:uid="{5B420CB5-B314-4CD1-A752-F7202B81C191}"/>
    <cellStyle name="Note 2 3 4 3 4" xfId="33194" xr:uid="{433F9B27-27C7-49BF-BBB5-4451291AE38D}"/>
    <cellStyle name="Note 2 3 4 3 5" xfId="33195" xr:uid="{10CE1A8D-11C1-47D4-B7C7-8D8DD452528A}"/>
    <cellStyle name="Note 2 3 4 3 6" xfId="33196" xr:uid="{0A907E9B-E188-4DE8-95D0-256F665186BF}"/>
    <cellStyle name="Note 2 3 4 4" xfId="33197" xr:uid="{B8399ED0-2161-4A6A-8A9C-01CDA54401F0}"/>
    <cellStyle name="Note 2 3 4 5" xfId="33198" xr:uid="{D3ED3FA5-E457-4928-8192-B7C1C6BC402D}"/>
    <cellStyle name="Note 2 3 4 6" xfId="33199" xr:uid="{D45C50EF-1C03-49E9-8EAD-1FDBE15A6FCF}"/>
    <cellStyle name="Note 2 3 4 7" xfId="33200" xr:uid="{7515A37A-9AF6-4DBA-B02B-7DAFFA888847}"/>
    <cellStyle name="Note 2 3 4 8" xfId="33201" xr:uid="{DC18D967-7416-42F8-95F9-B5F76A2770B9}"/>
    <cellStyle name="Note 2 3 40" xfId="33202" xr:uid="{B599F939-E8FB-41EB-AD3F-CB2431BC9BCA}"/>
    <cellStyle name="Note 2 3 41" xfId="33203" xr:uid="{928494F6-7C86-4456-9A4D-795136F97ADC}"/>
    <cellStyle name="Note 2 3 42" xfId="33204" xr:uid="{8B8F4C5E-EC4D-4BEA-9C2C-AC40A17D5115}"/>
    <cellStyle name="Note 2 3 5" xfId="2224" xr:uid="{2C462500-B694-43DF-A7FF-C1A16AF0E049}"/>
    <cellStyle name="Note 2 3 5 2" xfId="10198" xr:uid="{F018911A-E7A7-491D-831F-48CC13BF91F4}"/>
    <cellStyle name="Note 2 3 5 2 2" xfId="33205" xr:uid="{43D15520-D4F4-46D6-96CD-857EBFAD8194}"/>
    <cellStyle name="Note 2 3 5 2 3" xfId="33206" xr:uid="{83F04A40-DA30-4AB3-A7BB-6E94872EED1A}"/>
    <cellStyle name="Note 2 3 5 2 4" xfId="33207" xr:uid="{B904D2C1-7113-4858-A8A2-DD106DAE18A0}"/>
    <cellStyle name="Note 2 3 5 2 5" xfId="33208" xr:uid="{14940E9E-4A3B-4A00-954A-06C39A5B7EC7}"/>
    <cellStyle name="Note 2 3 5 2 6" xfId="33209" xr:uid="{DA9D53DB-0A3C-4818-9F5B-8F804C33CF4C}"/>
    <cellStyle name="Note 2 3 5 3" xfId="33210" xr:uid="{5D0BE008-DD21-43EE-BF81-F5AAF295B316}"/>
    <cellStyle name="Note 2 3 5 4" xfId="33211" xr:uid="{163583AE-DEB4-4B0E-B7F1-6253D612530C}"/>
    <cellStyle name="Note 2 3 5 5" xfId="33212" xr:uid="{DBD1C4AA-F9ED-40A6-8AD8-DDE743899226}"/>
    <cellStyle name="Note 2 3 5 6" xfId="33213" xr:uid="{2F38BDDB-9762-40D7-8E85-AE1CEE6ED3F7}"/>
    <cellStyle name="Note 2 3 5 7" xfId="33214" xr:uid="{6480CBA9-36CB-4B53-B870-3102C7AE6E97}"/>
    <cellStyle name="Note 2 3 6" xfId="2225" xr:uid="{F2CFE1B4-97B8-477B-BD05-83B749F7B28D}"/>
    <cellStyle name="Note 2 3 6 2" xfId="10284" xr:uid="{427D62D3-4ABE-4C7D-BE8F-F79748306A87}"/>
    <cellStyle name="Note 2 3 6 2 2" xfId="33215" xr:uid="{0E975DAC-0016-4348-847B-80662B6D83CD}"/>
    <cellStyle name="Note 2 3 6 2 3" xfId="33216" xr:uid="{7C09BCC5-BE4E-42A6-A4A4-5613186CC1E3}"/>
    <cellStyle name="Note 2 3 6 2 4" xfId="33217" xr:uid="{01B614D7-5DE8-4F92-B568-67D085390333}"/>
    <cellStyle name="Note 2 3 6 2 5" xfId="33218" xr:uid="{1D54598D-E934-481A-A1FC-DA8D04C6545C}"/>
    <cellStyle name="Note 2 3 6 2 6" xfId="33219" xr:uid="{E48647AC-B6D8-4F20-927F-D3FA91849AC8}"/>
    <cellStyle name="Note 2 3 6 3" xfId="33220" xr:uid="{1E5B547F-D9FF-4B82-BD4E-4FFD6BFE136B}"/>
    <cellStyle name="Note 2 3 6 4" xfId="33221" xr:uid="{C0820FBC-8054-447D-9448-B3C9D05D2FA6}"/>
    <cellStyle name="Note 2 3 6 5" xfId="33222" xr:uid="{31B44982-3427-488B-BBE4-DC8895856A1F}"/>
    <cellStyle name="Note 2 3 6 6" xfId="33223" xr:uid="{CF85AFA3-BF84-4BCC-AC42-A8F972FBC0A6}"/>
    <cellStyle name="Note 2 3 6 7" xfId="33224" xr:uid="{668FD956-C539-4093-A144-8B6D889DE3DB}"/>
    <cellStyle name="Note 2 3 7" xfId="2226" xr:uid="{A1055EF1-DB98-4E90-A18B-9AB2F9BA29D7}"/>
    <cellStyle name="Note 2 3 7 2" xfId="10372" xr:uid="{374293AF-8CED-47E5-ABF5-1E0DED61D499}"/>
    <cellStyle name="Note 2 3 7 2 2" xfId="33225" xr:uid="{8E6B2A13-E7C1-4BCC-8A73-A56A71DC472E}"/>
    <cellStyle name="Note 2 3 7 2 3" xfId="33226" xr:uid="{CCBBAEDD-D9EF-4820-B2BC-48B3B01D5FF5}"/>
    <cellStyle name="Note 2 3 7 2 4" xfId="33227" xr:uid="{8B22F558-1D13-4378-9BD4-C015686D21DB}"/>
    <cellStyle name="Note 2 3 7 2 5" xfId="33228" xr:uid="{A9489C65-86DE-4645-B889-838989D40890}"/>
    <cellStyle name="Note 2 3 7 2 6" xfId="33229" xr:uid="{76893119-7365-4313-9879-2E2C01F26BBB}"/>
    <cellStyle name="Note 2 3 7 3" xfId="33230" xr:uid="{48D4DB6E-70D9-4DAB-B26B-DD648713E440}"/>
    <cellStyle name="Note 2 3 7 4" xfId="33231" xr:uid="{8CE13B61-5AA2-406A-A763-54DE4469811C}"/>
    <cellStyle name="Note 2 3 7 5" xfId="33232" xr:uid="{91BE83F9-8723-48B1-BAA6-6C2F17C3E09A}"/>
    <cellStyle name="Note 2 3 7 6" xfId="33233" xr:uid="{2E74ABF4-F2C8-470C-AC18-2D3BEE6A5E91}"/>
    <cellStyle name="Note 2 3 7 7" xfId="33234" xr:uid="{EAF34411-34B5-4B89-BE51-AA9DE7E151B5}"/>
    <cellStyle name="Note 2 3 8" xfId="2227" xr:uid="{B9ADB1B5-7BCF-46F4-9543-615DF648A3A0}"/>
    <cellStyle name="Note 2 3 8 2" xfId="10459" xr:uid="{2F38E02E-8938-4C81-ABA6-D1DF43066411}"/>
    <cellStyle name="Note 2 3 8 2 2" xfId="33235" xr:uid="{AD83A015-AC7E-49A8-B09B-47CBE1E0E070}"/>
    <cellStyle name="Note 2 3 8 2 3" xfId="33236" xr:uid="{26D7D83D-B8E8-4FD5-A3A6-44D0EA3CBC66}"/>
    <cellStyle name="Note 2 3 8 2 4" xfId="33237" xr:uid="{B469F54C-4E83-43BE-A69D-16B0776C2F4F}"/>
    <cellStyle name="Note 2 3 8 2 5" xfId="33238" xr:uid="{FD8AC314-F858-4C18-96C7-85CD9DBA006F}"/>
    <cellStyle name="Note 2 3 8 2 6" xfId="33239" xr:uid="{9F6D56D3-E8E9-4F73-B667-CEC04FD9F086}"/>
    <cellStyle name="Note 2 3 8 3" xfId="33240" xr:uid="{4FF2486E-E5E8-4678-99AB-C65792A7B9A5}"/>
    <cellStyle name="Note 2 3 8 4" xfId="33241" xr:uid="{B59FB90D-E841-41C1-83C4-6C396682E308}"/>
    <cellStyle name="Note 2 3 8 5" xfId="33242" xr:uid="{CD7E2C97-F74E-4EFF-AF2A-56D2819AB7DE}"/>
    <cellStyle name="Note 2 3 8 6" xfId="33243" xr:uid="{88B3F0FE-8EAA-4DB6-9224-4754984428C2}"/>
    <cellStyle name="Note 2 3 8 7" xfId="33244" xr:uid="{12D9AFE0-56BD-499B-97B7-47B1773A1384}"/>
    <cellStyle name="Note 2 3 9" xfId="2228" xr:uid="{FA1B7D39-0AB0-43E1-A013-F5E8B6A831EB}"/>
    <cellStyle name="Note 2 3 9 2" xfId="10548" xr:uid="{DFE35D57-5539-4B0E-B695-9F1E027D6D91}"/>
    <cellStyle name="Note 2 3 9 2 2" xfId="33245" xr:uid="{1D7801DD-2AD1-4B7A-8A20-F992AC15F3EE}"/>
    <cellStyle name="Note 2 3 9 2 3" xfId="33246" xr:uid="{AB3E1249-E7EB-43E3-A773-A2208681968B}"/>
    <cellStyle name="Note 2 3 9 2 4" xfId="33247" xr:uid="{E24D1534-3F78-4878-91EA-56E201262F85}"/>
    <cellStyle name="Note 2 3 9 2 5" xfId="33248" xr:uid="{B28ABA5C-35F7-4343-B322-2B7982A93A37}"/>
    <cellStyle name="Note 2 3 9 2 6" xfId="33249" xr:uid="{02193253-E950-4E98-B61B-DDDF7FED1FC9}"/>
    <cellStyle name="Note 2 3 9 3" xfId="33250" xr:uid="{FCE90A03-529F-482D-8327-344683EA2033}"/>
    <cellStyle name="Note 2 3 9 4" xfId="33251" xr:uid="{C0BB0468-8746-4232-80B7-972860FB9619}"/>
    <cellStyle name="Note 2 3 9 5" xfId="33252" xr:uid="{B174C373-44BF-4713-BC79-23D010639240}"/>
    <cellStyle name="Note 2 3 9 6" xfId="33253" xr:uid="{1792BC81-8C08-40F1-82F8-E3840140DB6F}"/>
    <cellStyle name="Note 2 3 9 7" xfId="33254" xr:uid="{4EA6ACF5-A269-4C8D-A2D3-38F90BD08D40}"/>
    <cellStyle name="Note 2 30" xfId="2229" xr:uid="{D7EC0213-8468-47C6-ADF1-56A860144EED}"/>
    <cellStyle name="Note 2 30 2" xfId="11736" xr:uid="{74D060DE-6F01-417B-AE96-2C77295D47C3}"/>
    <cellStyle name="Note 2 30 2 2" xfId="33255" xr:uid="{90384052-139D-4826-80EF-BA4C40101E18}"/>
    <cellStyle name="Note 2 30 2 3" xfId="33256" xr:uid="{92E18BE8-605E-4703-8723-EBE73D4388AA}"/>
    <cellStyle name="Note 2 30 2 4" xfId="33257" xr:uid="{140A9478-FC17-46D3-B374-69157199DC40}"/>
    <cellStyle name="Note 2 30 2 5" xfId="33258" xr:uid="{04FD989B-8866-47EC-86D5-82ED726EDA0C}"/>
    <cellStyle name="Note 2 30 2 6" xfId="33259" xr:uid="{95C2F80B-6274-429E-A9F9-1B0B7B1D2133}"/>
    <cellStyle name="Note 2 30 3" xfId="33260" xr:uid="{BC220C0A-BF45-4FED-A7DD-C422FE0035FD}"/>
    <cellStyle name="Note 2 30 4" xfId="33261" xr:uid="{41A5AB1C-6B23-4D32-9C04-7646D567A173}"/>
    <cellStyle name="Note 2 30 5" xfId="33262" xr:uid="{FCF50C2C-4D27-4D97-86BB-69B9161B0FED}"/>
    <cellStyle name="Note 2 30 6" xfId="33263" xr:uid="{38ED16D2-ECDF-43A8-810B-EC079E2B72D4}"/>
    <cellStyle name="Note 2 30 7" xfId="33264" xr:uid="{6EE01227-EF86-42EF-8887-CB372603E515}"/>
    <cellStyle name="Note 2 31" xfId="2230" xr:uid="{526678F7-F8E9-4F42-8438-A8DFF2C691E5}"/>
    <cellStyle name="Note 2 31 2" xfId="11939" xr:uid="{435BFE4A-DFB7-4E15-B13A-EB2D0DFECA97}"/>
    <cellStyle name="Note 2 31 2 2" xfId="33265" xr:uid="{6B53C357-1B91-4E52-B2B0-682A5EA28150}"/>
    <cellStyle name="Note 2 31 2 3" xfId="33266" xr:uid="{310B81E4-D72D-4962-BAA4-5DD2E2E38AC2}"/>
    <cellStyle name="Note 2 31 2 4" xfId="33267" xr:uid="{131D91C4-9C61-4E41-9653-BA726EFCE0FD}"/>
    <cellStyle name="Note 2 31 2 5" xfId="33268" xr:uid="{C806E7C3-DB45-458D-A722-8CBE9E33EA87}"/>
    <cellStyle name="Note 2 31 2 6" xfId="33269" xr:uid="{1415DE66-F29D-401C-A3D8-BD0488AE5521}"/>
    <cellStyle name="Note 2 31 3" xfId="33270" xr:uid="{6D1180EA-8561-47A2-8664-573A0C2D760C}"/>
    <cellStyle name="Note 2 31 4" xfId="33271" xr:uid="{D025386B-2828-4048-94F6-44B29827048E}"/>
    <cellStyle name="Note 2 31 5" xfId="33272" xr:uid="{0CD3AC28-A4B3-4D96-97A6-94605C1B82C6}"/>
    <cellStyle name="Note 2 31 6" xfId="33273" xr:uid="{BBAC4CB4-CC50-44A7-8890-5847DB7EBB66}"/>
    <cellStyle name="Note 2 31 7" xfId="33274" xr:uid="{9149CF0B-5B3D-4A14-8A44-7B327775DBFE}"/>
    <cellStyle name="Note 2 32" xfId="2231" xr:uid="{E0F4DBCC-1801-4E7B-9CC4-15455619D18C}"/>
    <cellStyle name="Note 2 32 2" xfId="11987" xr:uid="{D8A39C39-DDB5-412C-BC9C-07093C385EFA}"/>
    <cellStyle name="Note 2 32 2 2" xfId="33275" xr:uid="{39A3DDAF-0B36-4549-BB89-C12E3CA89F49}"/>
    <cellStyle name="Note 2 32 2 3" xfId="33276" xr:uid="{55850D86-A5A7-4CA0-8B0A-DE441F95B9B0}"/>
    <cellStyle name="Note 2 32 2 4" xfId="33277" xr:uid="{4174823D-52B3-45B1-9712-7458BC27B203}"/>
    <cellStyle name="Note 2 32 2 5" xfId="33278" xr:uid="{8739B78B-B2C7-4A01-91D7-9547DC5A0C26}"/>
    <cellStyle name="Note 2 32 2 6" xfId="33279" xr:uid="{6B8E35AB-7942-497C-A3FC-1CB61D1E7BF8}"/>
    <cellStyle name="Note 2 32 3" xfId="33280" xr:uid="{82BD5386-B57F-448F-A5B2-5C3CF8BE51C8}"/>
    <cellStyle name="Note 2 32 4" xfId="33281" xr:uid="{4DC45609-5337-49B4-ADDE-09347BEFCA78}"/>
    <cellStyle name="Note 2 32 5" xfId="33282" xr:uid="{CBBA6C67-9E3F-4B6D-BDFA-41B429BBC61C}"/>
    <cellStyle name="Note 2 32 6" xfId="33283" xr:uid="{F2184E65-45A9-48A9-AC74-60C3D64A676C}"/>
    <cellStyle name="Note 2 32 7" xfId="33284" xr:uid="{FD2D3828-C58E-4E16-B1E5-4E4052FA2314}"/>
    <cellStyle name="Note 2 33" xfId="2232" xr:uid="{5E9497FD-2BCC-44D7-9358-0BC2D3550903}"/>
    <cellStyle name="Note 2 33 2" xfId="12069" xr:uid="{37B8FB12-3073-4C46-A91C-1BA29A7B96AD}"/>
    <cellStyle name="Note 2 33 2 2" xfId="33285" xr:uid="{6DEDF565-2D3D-427D-A4CC-3F66DD22A807}"/>
    <cellStyle name="Note 2 33 2 3" xfId="33286" xr:uid="{6DEAB14F-CC6F-4ED7-9D70-E369D31A1841}"/>
    <cellStyle name="Note 2 33 2 4" xfId="33287" xr:uid="{726A9F0C-FA4D-4B6D-9BAC-7A9BA67DE4EE}"/>
    <cellStyle name="Note 2 33 2 5" xfId="33288" xr:uid="{C90A982B-BABF-4B20-99C8-617095F0D268}"/>
    <cellStyle name="Note 2 33 2 6" xfId="33289" xr:uid="{35F177A0-D495-4CEE-8E19-94DDE23B89DF}"/>
    <cellStyle name="Note 2 33 3" xfId="33290" xr:uid="{A6036672-F669-4BF1-9E6C-2A3F2AF1ABE1}"/>
    <cellStyle name="Note 2 33 4" xfId="33291" xr:uid="{4205E8F7-E460-4EAE-A215-3A55651920D4}"/>
    <cellStyle name="Note 2 33 5" xfId="33292" xr:uid="{FC9E65B4-C3BF-49C6-985C-DCE3F1F26614}"/>
    <cellStyle name="Note 2 33 6" xfId="33293" xr:uid="{1AEE435A-C41B-4E6E-964A-2736CFD47DE2}"/>
    <cellStyle name="Note 2 33 7" xfId="33294" xr:uid="{A0BF40A3-03DB-4D51-9896-1813C2426D08}"/>
    <cellStyle name="Note 2 34" xfId="2233" xr:uid="{73FF215E-55FE-46E2-A57B-FFDC7A5DC2A1}"/>
    <cellStyle name="Note 2 34 2" xfId="11481" xr:uid="{1B349034-4F76-4556-84B5-5B04530C9486}"/>
    <cellStyle name="Note 2 34 2 2" xfId="33295" xr:uid="{535A0896-F578-439D-B130-00667DAC3837}"/>
    <cellStyle name="Note 2 34 2 3" xfId="33296" xr:uid="{D6BF8854-F3A7-43C9-95FC-ED556067E484}"/>
    <cellStyle name="Note 2 34 2 4" xfId="33297" xr:uid="{E7785430-BE70-4612-B9E9-11D3BC6E0965}"/>
    <cellStyle name="Note 2 34 2 5" xfId="33298" xr:uid="{D40591C4-E7C2-4AF1-B6C6-B2FB1265A862}"/>
    <cellStyle name="Note 2 34 2 6" xfId="33299" xr:uid="{85F02024-C70D-4016-AA85-D505B42F1F53}"/>
    <cellStyle name="Note 2 34 3" xfId="33300" xr:uid="{4ACE8F11-493C-4F46-93CF-019D2837891E}"/>
    <cellStyle name="Note 2 34 4" xfId="33301" xr:uid="{60A7C5FD-98CF-4B75-A771-3AB821AC6482}"/>
    <cellStyle name="Note 2 34 5" xfId="33302" xr:uid="{CF810D23-6E43-41CF-BCB7-E6490A94A2B8}"/>
    <cellStyle name="Note 2 34 6" xfId="33303" xr:uid="{B539F858-3AA0-4962-8D64-26DAE58E3705}"/>
    <cellStyle name="Note 2 34 7" xfId="33304" xr:uid="{3E723C5A-6E44-4B97-ABE5-1C2F2647E4E8}"/>
    <cellStyle name="Note 2 35" xfId="2234" xr:uid="{30A6814E-E8C3-4C69-8925-0C4E910429E2}"/>
    <cellStyle name="Note 2 35 2" xfId="11220" xr:uid="{005FC3E6-CF6C-4F66-BCB8-D00F370104FA}"/>
    <cellStyle name="Note 2 35 2 2" xfId="33305" xr:uid="{1AC97432-3C1A-4189-AC0F-CAC6BEAA4658}"/>
    <cellStyle name="Note 2 35 2 3" xfId="33306" xr:uid="{8B74D922-0427-4627-AF8B-D1243A365586}"/>
    <cellStyle name="Note 2 35 2 4" xfId="33307" xr:uid="{56580A55-49DE-4388-A97B-C9CD8172EA24}"/>
    <cellStyle name="Note 2 35 2 5" xfId="33308" xr:uid="{A6E3CDAD-67BE-44ED-8174-241DA1A19C16}"/>
    <cellStyle name="Note 2 35 2 6" xfId="33309" xr:uid="{FE44E562-1555-4D75-95AA-9D220E0A1C9E}"/>
    <cellStyle name="Note 2 35 3" xfId="33310" xr:uid="{CAE4B62A-F4A9-43FE-B858-389557FB5DDE}"/>
    <cellStyle name="Note 2 35 4" xfId="33311" xr:uid="{DCA4ACD5-932D-4DC8-B444-D73780C0DE07}"/>
    <cellStyle name="Note 2 35 5" xfId="33312" xr:uid="{598BCA51-A45C-46E4-8525-3EC5DD6F0A56}"/>
    <cellStyle name="Note 2 35 6" xfId="33313" xr:uid="{FF67E484-9BD2-4F5C-8EE8-9C6001014338}"/>
    <cellStyle name="Note 2 35 7" xfId="33314" xr:uid="{A734BD24-16E6-4601-A81F-9A7ABB7F71BB}"/>
    <cellStyle name="Note 2 36" xfId="2235" xr:uid="{00D0BEBA-BD1D-48E0-9740-481AEC71DFB1}"/>
    <cellStyle name="Note 2 36 2" xfId="12706" xr:uid="{99E8C63A-E6DF-4851-AA64-2B4B7109470E}"/>
    <cellStyle name="Note 2 36 2 2" xfId="33315" xr:uid="{59330749-6A55-47A8-9BF5-231C0DF7B9FD}"/>
    <cellStyle name="Note 2 36 2 3" xfId="33316" xr:uid="{9DB6D8E8-E48F-43A8-B012-852EE8DAA773}"/>
    <cellStyle name="Note 2 36 2 4" xfId="33317" xr:uid="{1B419FF6-F7E7-4843-9D7F-575FC5F57722}"/>
    <cellStyle name="Note 2 36 2 5" xfId="33318" xr:uid="{3257C1BF-21E4-47E0-994C-7900779A6F27}"/>
    <cellStyle name="Note 2 36 2 6" xfId="33319" xr:uid="{135B1461-F426-400B-89DD-CF57FC10AA14}"/>
    <cellStyle name="Note 2 36 3" xfId="33320" xr:uid="{8F6C4B4C-70A3-4DEB-A757-652B36C98BF9}"/>
    <cellStyle name="Note 2 36 4" xfId="33321" xr:uid="{89DFD47E-0B1B-41CB-9CC4-CCACC18E743F}"/>
    <cellStyle name="Note 2 36 5" xfId="33322" xr:uid="{241CD1FD-FAA7-49DD-AF8B-D39B6D32C6E6}"/>
    <cellStyle name="Note 2 36 6" xfId="33323" xr:uid="{E0627171-93F2-45F4-A6B0-A2289A95D822}"/>
    <cellStyle name="Note 2 36 7" xfId="33324" xr:uid="{4121305F-94E2-4C01-94B4-AE2775FB30CB}"/>
    <cellStyle name="Note 2 37" xfId="8888" xr:uid="{C67C47FC-6436-4637-9797-8A8C0DF9B57C}"/>
    <cellStyle name="Note 2 37 2" xfId="33325" xr:uid="{7710B385-A5FD-48EB-AEA9-7A80A047B3C0}"/>
    <cellStyle name="Note 2 37 3" xfId="33326" xr:uid="{57BD7914-83ED-4576-B136-79A5812CC242}"/>
    <cellStyle name="Note 2 37 4" xfId="33327" xr:uid="{01CBF965-8882-46B3-AE35-023097AB19D9}"/>
    <cellStyle name="Note 2 37 5" xfId="33328" xr:uid="{97A331F3-BF59-42E2-A2C6-B56EBFF34E76}"/>
    <cellStyle name="Note 2 37 6" xfId="33329" xr:uid="{0D483BB8-362E-45AC-9F48-6B5F5A15C08C}"/>
    <cellStyle name="Note 2 38" xfId="33330" xr:uid="{059C8ADA-CC8B-47FE-88A6-1856B272462F}"/>
    <cellStyle name="Note 2 39" xfId="44184" xr:uid="{D8BCB278-8EE4-4DEC-A34D-90411E7EE441}"/>
    <cellStyle name="Note 2 4" xfId="2236" xr:uid="{5F49A991-4541-4A58-B7C7-51E9CDD6C2D1}"/>
    <cellStyle name="Note 2 4 10" xfId="2237" xr:uid="{A44B5DB4-A18F-4630-A392-A412531BCBA8}"/>
    <cellStyle name="Note 2 4 10 2" xfId="10706" xr:uid="{848DE301-654B-4D3D-935B-A6568F416CDD}"/>
    <cellStyle name="Note 2 4 10 2 2" xfId="33331" xr:uid="{D1520F7D-07F8-4B02-989E-F60D7E6768B5}"/>
    <cellStyle name="Note 2 4 10 2 3" xfId="33332" xr:uid="{4D5C52B0-A8BC-4FA5-B7EF-A01819A4206C}"/>
    <cellStyle name="Note 2 4 10 2 4" xfId="33333" xr:uid="{EBA3C8A4-30FD-44A0-A850-E1B1966B3E9E}"/>
    <cellStyle name="Note 2 4 10 2 5" xfId="33334" xr:uid="{BAF56F65-CE3B-4D2E-A7F4-512D8A0521B6}"/>
    <cellStyle name="Note 2 4 10 2 6" xfId="33335" xr:uid="{C193F1D5-486C-43A3-A62B-8912E26EBC3D}"/>
    <cellStyle name="Note 2 4 10 3" xfId="33336" xr:uid="{923A6B3A-0123-44AC-9837-AD8B314EE622}"/>
    <cellStyle name="Note 2 4 10 4" xfId="33337" xr:uid="{5CEA6ACB-122F-4EAC-B4C1-9DF04F7F26F2}"/>
    <cellStyle name="Note 2 4 10 5" xfId="33338" xr:uid="{5B5B1907-0ADC-402A-B88E-6B3612198908}"/>
    <cellStyle name="Note 2 4 10 6" xfId="33339" xr:uid="{32F766C2-E00A-458F-9E06-83817FF173D9}"/>
    <cellStyle name="Note 2 4 10 7" xfId="33340" xr:uid="{5D6F648A-0CDD-4854-B894-04DAAC66D940}"/>
    <cellStyle name="Note 2 4 11" xfId="2238" xr:uid="{9E8C1646-AD15-4469-9D76-BFB0BBEF0743}"/>
    <cellStyle name="Note 2 4 11 2" xfId="10797" xr:uid="{B1E79972-AA40-4FA8-87A0-36F0AD19C033}"/>
    <cellStyle name="Note 2 4 11 2 2" xfId="33341" xr:uid="{97CDE943-9180-4289-853E-0EC9FEAB8771}"/>
    <cellStyle name="Note 2 4 11 2 3" xfId="33342" xr:uid="{FCFD3375-FC27-4074-AD56-20A8E122937C}"/>
    <cellStyle name="Note 2 4 11 2 4" xfId="33343" xr:uid="{F2A14415-3F61-4982-8AD4-2F2AFB1C94B0}"/>
    <cellStyle name="Note 2 4 11 2 5" xfId="33344" xr:uid="{17E6EA49-522C-448B-9751-E21959AA1C0A}"/>
    <cellStyle name="Note 2 4 11 2 6" xfId="33345" xr:uid="{C9142A59-D0E6-4729-B162-2A246E4DA0CB}"/>
    <cellStyle name="Note 2 4 11 3" xfId="33346" xr:uid="{74DC818A-F85B-4539-BFA0-FB3726482B54}"/>
    <cellStyle name="Note 2 4 11 4" xfId="33347" xr:uid="{659F0DC9-7294-46BB-A5B4-22AA44BC5AB6}"/>
    <cellStyle name="Note 2 4 11 5" xfId="33348" xr:uid="{60E65A73-8A63-4A8E-B3ED-8CA75253146F}"/>
    <cellStyle name="Note 2 4 11 6" xfId="33349" xr:uid="{E4C521A7-C664-4234-922B-BA21D6486833}"/>
    <cellStyle name="Note 2 4 11 7" xfId="33350" xr:uid="{AFD94085-D0AC-43D3-A881-C5EA5113C4B9}"/>
    <cellStyle name="Note 2 4 12" xfId="2239" xr:uid="{502309B7-7AB4-48EF-9EED-3892455980A1}"/>
    <cellStyle name="Note 2 4 12 2" xfId="10884" xr:uid="{F3DB039A-C2B9-45F8-BBBE-3530713B69D6}"/>
    <cellStyle name="Note 2 4 12 2 2" xfId="33351" xr:uid="{DE8E1892-CB4C-4B5F-9BC4-6E4391C52597}"/>
    <cellStyle name="Note 2 4 12 2 3" xfId="33352" xr:uid="{11B46B14-3812-4A8C-940F-F372A47E4E22}"/>
    <cellStyle name="Note 2 4 12 2 4" xfId="33353" xr:uid="{8F7789BE-A923-411C-BC8A-CCC6DAE5B571}"/>
    <cellStyle name="Note 2 4 12 2 5" xfId="33354" xr:uid="{C26C8634-6672-4809-8058-927336B3EE74}"/>
    <cellStyle name="Note 2 4 12 2 6" xfId="33355" xr:uid="{F8895944-37F9-4905-A06B-DB8FC3C624B7}"/>
    <cellStyle name="Note 2 4 12 3" xfId="33356" xr:uid="{0908363D-380D-4C12-8511-397041A406C2}"/>
    <cellStyle name="Note 2 4 12 4" xfId="33357" xr:uid="{EAFE897B-856C-407E-85AA-3467C927C9F4}"/>
    <cellStyle name="Note 2 4 12 5" xfId="33358" xr:uid="{8E3CD2D6-20A6-45B1-8DB9-D0B6EAAE078B}"/>
    <cellStyle name="Note 2 4 12 6" xfId="33359" xr:uid="{F648359E-DA2A-4D91-AD2D-AE57A28F367C}"/>
    <cellStyle name="Note 2 4 12 7" xfId="33360" xr:uid="{64C82F65-BF36-4077-8774-F3CFA5099652}"/>
    <cellStyle name="Note 2 4 13" xfId="2240" xr:uid="{4ABDBB24-6342-4E4A-BB2E-37B30460B0C1}"/>
    <cellStyle name="Note 2 4 13 2" xfId="10973" xr:uid="{D7EBDD93-7F0E-4968-8B09-7507AA5C60D3}"/>
    <cellStyle name="Note 2 4 13 2 2" xfId="33361" xr:uid="{44B02627-9E54-456A-AD06-80DFE6ECEB74}"/>
    <cellStyle name="Note 2 4 13 2 3" xfId="33362" xr:uid="{12C713B3-B412-4B87-B16D-9546D5A6CABE}"/>
    <cellStyle name="Note 2 4 13 2 4" xfId="33363" xr:uid="{ECBAE46A-099A-4BD6-8E65-73A7956F23B6}"/>
    <cellStyle name="Note 2 4 13 2 5" xfId="33364" xr:uid="{DF684D14-817F-474D-9D69-9F8F43C45DF7}"/>
    <cellStyle name="Note 2 4 13 2 6" xfId="33365" xr:uid="{39E24693-B080-4D7C-9DE6-6D26A7D6D599}"/>
    <cellStyle name="Note 2 4 13 3" xfId="33366" xr:uid="{47E1B1CB-5AA0-47A0-B2A3-EC31A72C8EF8}"/>
    <cellStyle name="Note 2 4 13 4" xfId="33367" xr:uid="{1FE19A73-F60B-4AAA-B553-B651E6EF7B2A}"/>
    <cellStyle name="Note 2 4 13 5" xfId="33368" xr:uid="{9940F54B-C35D-4EBD-AF19-BC1944E380FD}"/>
    <cellStyle name="Note 2 4 13 6" xfId="33369" xr:uid="{A1B5678D-73A2-48EF-A0A4-83070EA9C3C0}"/>
    <cellStyle name="Note 2 4 13 7" xfId="33370" xr:uid="{F6F27888-E93B-4A6F-99D8-8D3780902C47}"/>
    <cellStyle name="Note 2 4 14" xfId="2241" xr:uid="{AC25CB78-95D9-4C2D-B7EC-1B6209D68D4A}"/>
    <cellStyle name="Note 2 4 14 2" xfId="11065" xr:uid="{466E08DF-8665-4C23-A2E6-0904955E788A}"/>
    <cellStyle name="Note 2 4 14 2 2" xfId="33371" xr:uid="{33DB4CF0-576B-4956-B7C3-F38CE330C85E}"/>
    <cellStyle name="Note 2 4 14 2 3" xfId="33372" xr:uid="{E17C24D9-A27B-430E-98DD-A2B08FBFD13E}"/>
    <cellStyle name="Note 2 4 14 2 4" xfId="33373" xr:uid="{554E6FC2-8949-475E-ACD6-21FB103B5FFC}"/>
    <cellStyle name="Note 2 4 14 2 5" xfId="33374" xr:uid="{86533888-15F4-44BC-95DB-A4F5B6BACE09}"/>
    <cellStyle name="Note 2 4 14 2 6" xfId="33375" xr:uid="{B3F3166D-8AB8-4265-8B3F-6C9B11F6A6C4}"/>
    <cellStyle name="Note 2 4 14 3" xfId="33376" xr:uid="{EE01AF3D-E286-4720-AC2C-AFD2AB862703}"/>
    <cellStyle name="Note 2 4 14 4" xfId="33377" xr:uid="{CDC33923-E677-494F-BA6A-A4318CA08A56}"/>
    <cellStyle name="Note 2 4 14 5" xfId="33378" xr:uid="{EFA4B179-19AB-420C-87BD-E7E57EDD3478}"/>
    <cellStyle name="Note 2 4 14 6" xfId="33379" xr:uid="{10251229-73E8-481E-9087-1BEF561DEC69}"/>
    <cellStyle name="Note 2 4 14 7" xfId="33380" xr:uid="{A9B39C11-1432-4A9D-9393-7A43289BD600}"/>
    <cellStyle name="Note 2 4 15" xfId="2242" xr:uid="{13F516FA-3CFE-496A-A762-FB4B1ED79962}"/>
    <cellStyle name="Note 2 4 15 2" xfId="11148" xr:uid="{BBBB6433-807C-4511-B7DF-9425A781F589}"/>
    <cellStyle name="Note 2 4 15 2 2" xfId="33381" xr:uid="{88185DD3-F5DB-4301-AD08-58D386A82FC7}"/>
    <cellStyle name="Note 2 4 15 2 3" xfId="33382" xr:uid="{E8CAEEBD-0835-4F69-A33D-4CB398DB9082}"/>
    <cellStyle name="Note 2 4 15 2 4" xfId="33383" xr:uid="{10FF03EF-CA2F-42EB-8ED2-B09AE3F04632}"/>
    <cellStyle name="Note 2 4 15 2 5" xfId="33384" xr:uid="{BEBDF23F-3ACB-4BF5-A91D-DCD0E7115E37}"/>
    <cellStyle name="Note 2 4 15 2 6" xfId="33385" xr:uid="{CA5013DF-5F17-4595-9123-9E0096B96185}"/>
    <cellStyle name="Note 2 4 15 3" xfId="33386" xr:uid="{8622B389-C958-43D8-8C4A-1AB360D482C5}"/>
    <cellStyle name="Note 2 4 15 4" xfId="33387" xr:uid="{83B71B89-3334-4543-BECA-920B8FC9CBB7}"/>
    <cellStyle name="Note 2 4 15 5" xfId="33388" xr:uid="{E6F44837-2BA6-4464-A543-11CB0E0231E3}"/>
    <cellStyle name="Note 2 4 15 6" xfId="33389" xr:uid="{58CE2882-BA98-4B40-9E79-184564CC5CFC}"/>
    <cellStyle name="Note 2 4 15 7" xfId="33390" xr:uid="{83F0E611-5007-42EF-8A67-4809190F182D}"/>
    <cellStyle name="Note 2 4 16" xfId="2243" xr:uid="{A3D73863-3392-46D3-AB44-E032E36DEFB3}"/>
    <cellStyle name="Note 2 4 16 2" xfId="11237" xr:uid="{E1807C18-8F67-47FC-B192-656825380C92}"/>
    <cellStyle name="Note 2 4 16 2 2" xfId="33391" xr:uid="{EFC9998C-F470-4B06-906B-041976A21D39}"/>
    <cellStyle name="Note 2 4 16 2 3" xfId="33392" xr:uid="{E95AC5EB-34D1-4DA9-AB12-7C0232D99107}"/>
    <cellStyle name="Note 2 4 16 2 4" xfId="33393" xr:uid="{4BEA874C-473B-43B1-B106-90A2BEF0C985}"/>
    <cellStyle name="Note 2 4 16 2 5" xfId="33394" xr:uid="{BCDBEEBD-C9B4-4369-A90E-C666BB2F402A}"/>
    <cellStyle name="Note 2 4 16 2 6" xfId="33395" xr:uid="{B7203EA6-5538-4826-9EFE-33DF4A4079F5}"/>
    <cellStyle name="Note 2 4 16 3" xfId="33396" xr:uid="{6F623863-2AC1-4717-A049-56FA5B0F6A30}"/>
    <cellStyle name="Note 2 4 16 4" xfId="33397" xr:uid="{EA00F6B1-D5EE-4832-99C5-2695B135BF49}"/>
    <cellStyle name="Note 2 4 16 5" xfId="33398" xr:uid="{EB7CF6BD-DEF5-4B22-A139-2EABC4F78072}"/>
    <cellStyle name="Note 2 4 16 6" xfId="33399" xr:uid="{AAEA43B8-149B-4F95-AB3A-2E5624A39EDF}"/>
    <cellStyle name="Note 2 4 16 7" xfId="33400" xr:uid="{11116F20-DE6A-471D-8F0B-0A83FDB530DC}"/>
    <cellStyle name="Note 2 4 17" xfId="2244" xr:uid="{DD5430BA-C8D8-4BF1-AA34-73F0EBC3170F}"/>
    <cellStyle name="Note 2 4 17 2" xfId="11323" xr:uid="{880C1C74-293F-4962-81A5-2D4AA4D3B9E9}"/>
    <cellStyle name="Note 2 4 17 2 2" xfId="33401" xr:uid="{E967F82E-9438-494A-9113-EC81CA8B9356}"/>
    <cellStyle name="Note 2 4 17 2 3" xfId="33402" xr:uid="{AF86258C-5101-4385-84A3-CF29E186CD50}"/>
    <cellStyle name="Note 2 4 17 2 4" xfId="33403" xr:uid="{DCA6C1DD-2BD5-4707-9A2C-676B490BD086}"/>
    <cellStyle name="Note 2 4 17 2 5" xfId="33404" xr:uid="{7E095508-7E3E-45D2-B563-3535F9B03F30}"/>
    <cellStyle name="Note 2 4 17 2 6" xfId="33405" xr:uid="{D5DC3B76-6082-448A-BBA4-EA138BBE2374}"/>
    <cellStyle name="Note 2 4 17 3" xfId="33406" xr:uid="{4A5A2F5B-AA16-4587-8265-AACF58189060}"/>
    <cellStyle name="Note 2 4 17 4" xfId="33407" xr:uid="{2D73E7C5-6DD7-4DD2-880A-3BD0B67F5179}"/>
    <cellStyle name="Note 2 4 17 5" xfId="33408" xr:uid="{4BDC1328-9AE3-4CF1-A31B-A67FFB700953}"/>
    <cellStyle name="Note 2 4 17 6" xfId="33409" xr:uid="{ACCDC70B-DE63-4E7A-87A5-B702E5EBB015}"/>
    <cellStyle name="Note 2 4 17 7" xfId="33410" xr:uid="{816F81F1-41E9-4F26-B1EB-F4DBCBDFACCE}"/>
    <cellStyle name="Note 2 4 18" xfId="2245" xr:uid="{50773F45-E6D6-4ABB-80B0-2E8BEFE86436}"/>
    <cellStyle name="Note 2 4 18 2" xfId="11410" xr:uid="{B32ED53C-E55B-428A-B5BD-71CFBAC2619F}"/>
    <cellStyle name="Note 2 4 18 2 2" xfId="33411" xr:uid="{A5B5720E-D8CE-4063-9B04-95336B02B38E}"/>
    <cellStyle name="Note 2 4 18 2 3" xfId="33412" xr:uid="{398065A1-5E72-47C1-BAA9-FE0BD6856B09}"/>
    <cellStyle name="Note 2 4 18 2 4" xfId="33413" xr:uid="{57E7A98A-6628-4D9D-9594-3EA485C02A58}"/>
    <cellStyle name="Note 2 4 18 2 5" xfId="33414" xr:uid="{BC105D1D-6EFB-47BD-A300-EFD06EF16A8F}"/>
    <cellStyle name="Note 2 4 18 2 6" xfId="33415" xr:uid="{9C48E80D-1A50-4E58-9021-64F0F4D2E1BE}"/>
    <cellStyle name="Note 2 4 18 3" xfId="33416" xr:uid="{BAC6F6B1-9052-4CCE-B80C-A6DFC9A0BE4C}"/>
    <cellStyle name="Note 2 4 18 4" xfId="33417" xr:uid="{292A68E4-7346-40D1-9E62-4D203AD5B73F}"/>
    <cellStyle name="Note 2 4 18 5" xfId="33418" xr:uid="{0F89DFD5-8066-4F8E-9023-0416AA8BA691}"/>
    <cellStyle name="Note 2 4 18 6" xfId="33419" xr:uid="{FFA59289-E282-4228-BCB5-821A22970062}"/>
    <cellStyle name="Note 2 4 18 7" xfId="33420" xr:uid="{C186E803-8927-49F2-A417-DD30633B04C5}"/>
    <cellStyle name="Note 2 4 19" xfId="2246" xr:uid="{EAC69366-6C9B-424F-A47B-FE271B9B02C6}"/>
    <cellStyle name="Note 2 4 19 2" xfId="11497" xr:uid="{9E0CE954-6574-4E63-B656-9225A33A64F4}"/>
    <cellStyle name="Note 2 4 19 2 2" xfId="33421" xr:uid="{5B274CB5-3AE4-44C2-8E90-A6223A6E4520}"/>
    <cellStyle name="Note 2 4 19 2 3" xfId="33422" xr:uid="{E29D4531-92EC-4B5F-8A38-F4F9B44204FC}"/>
    <cellStyle name="Note 2 4 19 2 4" xfId="33423" xr:uid="{0D7C40C7-99F9-496A-A8A8-7A4382B12D5D}"/>
    <cellStyle name="Note 2 4 19 2 5" xfId="33424" xr:uid="{6B25FDB2-2D65-44A1-93E1-32F74BCD6C41}"/>
    <cellStyle name="Note 2 4 19 2 6" xfId="33425" xr:uid="{22D80F90-9EA7-4C9B-8F66-BD149302B97E}"/>
    <cellStyle name="Note 2 4 19 3" xfId="33426" xr:uid="{D5CC9566-D2BA-48B8-95F9-43B32C103088}"/>
    <cellStyle name="Note 2 4 19 4" xfId="33427" xr:uid="{9453E88A-7E34-4684-A04B-B0BF0E9C0C9B}"/>
    <cellStyle name="Note 2 4 19 5" xfId="33428" xr:uid="{65CC4597-5FB5-46D8-ADAE-C374C4CF519C}"/>
    <cellStyle name="Note 2 4 19 6" xfId="33429" xr:uid="{0170A032-57D5-48B4-9864-F4A519C9263E}"/>
    <cellStyle name="Note 2 4 19 7" xfId="33430" xr:uid="{42F388E3-F2F1-4DDB-AEF9-0A5ACF51BC40}"/>
    <cellStyle name="Note 2 4 2" xfId="2247" xr:uid="{CA75F434-B198-46E1-905C-E8B84E9752B9}"/>
    <cellStyle name="Note 2 4 2 2" xfId="10003" xr:uid="{E160399D-0F69-465E-96CA-67C98E15CC86}"/>
    <cellStyle name="Note 2 4 2 2 2" xfId="33431" xr:uid="{D5665B1A-5BFA-43C3-A397-061F66EBA7FD}"/>
    <cellStyle name="Note 2 4 2 2 3" xfId="33432" xr:uid="{B4AD4C2C-006D-4029-B60E-517D9EF8DAD4}"/>
    <cellStyle name="Note 2 4 2 2 4" xfId="33433" xr:uid="{768673E3-797D-46D4-802E-3E0DCC7B93FD}"/>
    <cellStyle name="Note 2 4 2 2 5" xfId="33434" xr:uid="{BB14F947-5C45-4495-8A12-57FBE34C2CEB}"/>
    <cellStyle name="Note 2 4 2 2 6" xfId="33435" xr:uid="{A308A95F-148B-4238-8E4B-03F110FCF30E}"/>
    <cellStyle name="Note 2 4 2 3" xfId="33436" xr:uid="{7472FB38-6505-4E53-882B-B3C5958A7062}"/>
    <cellStyle name="Note 2 4 2 4" xfId="33437" xr:uid="{EACDA5AE-A0BD-4A91-9F74-FB98C3F0684D}"/>
    <cellStyle name="Note 2 4 2 5" xfId="33438" xr:uid="{B8C7228D-60C1-478E-88E1-397E3FF378A1}"/>
    <cellStyle name="Note 2 4 2 6" xfId="33439" xr:uid="{F3531194-BC6A-4656-A874-1DCC0BEECF3E}"/>
    <cellStyle name="Note 2 4 2 7" xfId="33440" xr:uid="{9FE3CF81-4E73-4DD4-95DC-CB1EC6E26601}"/>
    <cellStyle name="Note 2 4 20" xfId="2248" xr:uid="{968818D8-FD9C-40DA-83F0-FD6DAE02FC49}"/>
    <cellStyle name="Note 2 4 20 2" xfId="11585" xr:uid="{161C5EDA-16E9-41A1-ADD0-D1370137A85E}"/>
    <cellStyle name="Note 2 4 20 2 2" xfId="33441" xr:uid="{8FEA0EA4-FF3F-4018-8326-9B952BDCF2E9}"/>
    <cellStyle name="Note 2 4 20 2 3" xfId="33442" xr:uid="{ABC0D3F4-916C-4BE6-93DF-62C1A0703143}"/>
    <cellStyle name="Note 2 4 20 2 4" xfId="33443" xr:uid="{9B1D0A23-5355-490E-B9C4-0AA9E26E50DE}"/>
    <cellStyle name="Note 2 4 20 2 5" xfId="33444" xr:uid="{A9AE9DCC-91F0-4D5F-817F-FED092E88B9E}"/>
    <cellStyle name="Note 2 4 20 2 6" xfId="33445" xr:uid="{375F304A-E4E6-4228-9AEA-E5BED7D4AD61}"/>
    <cellStyle name="Note 2 4 20 3" xfId="33446" xr:uid="{A1B2C13F-7C29-4D94-B745-E631E124CF51}"/>
    <cellStyle name="Note 2 4 20 4" xfId="33447" xr:uid="{293D9A41-3AD4-4D84-831E-671D5BBE5191}"/>
    <cellStyle name="Note 2 4 20 5" xfId="33448" xr:uid="{91B3DD52-C48E-4D03-83F8-A6FDA59B6E14}"/>
    <cellStyle name="Note 2 4 20 6" xfId="33449" xr:uid="{46D60384-15E4-4B23-95CB-39B9D31F731D}"/>
    <cellStyle name="Note 2 4 20 7" xfId="33450" xr:uid="{AC31AFFD-4D0B-409D-B3EF-9DF0D58BB3AB}"/>
    <cellStyle name="Note 2 4 21" xfId="2249" xr:uid="{24DF2EEB-9AB5-4FCE-9754-FA5A54C8B55C}"/>
    <cellStyle name="Note 2 4 21 2" xfId="11671" xr:uid="{F91D9553-44D3-4D9B-B23F-C5F74480125F}"/>
    <cellStyle name="Note 2 4 21 2 2" xfId="33451" xr:uid="{298D7386-86A9-4767-B28C-1506AFD8FBD4}"/>
    <cellStyle name="Note 2 4 21 2 3" xfId="33452" xr:uid="{E6B0428A-1F4B-4353-995C-C48242D517E7}"/>
    <cellStyle name="Note 2 4 21 2 4" xfId="33453" xr:uid="{BC7246E9-3C53-469C-A399-4D2B858CAE12}"/>
    <cellStyle name="Note 2 4 21 2 5" xfId="33454" xr:uid="{AA87F669-59A7-40CA-9799-4579ADABE95C}"/>
    <cellStyle name="Note 2 4 21 2 6" xfId="33455" xr:uid="{57F08C13-108C-477D-88F9-C61040CE8180}"/>
    <cellStyle name="Note 2 4 21 3" xfId="33456" xr:uid="{764BAADE-E738-4A27-87C3-2FB4B6A28FF2}"/>
    <cellStyle name="Note 2 4 21 4" xfId="33457" xr:uid="{79CCB26B-ABE2-4DF4-B7FF-60FFD78BD00A}"/>
    <cellStyle name="Note 2 4 21 5" xfId="33458" xr:uid="{1C2FA8A9-F172-46DF-9351-1AEBA753FE37}"/>
    <cellStyle name="Note 2 4 21 6" xfId="33459" xr:uid="{FEFDA517-91F1-4443-9A93-E6894E62A8CA}"/>
    <cellStyle name="Note 2 4 21 7" xfId="33460" xr:uid="{33120A2E-C896-4F2D-BF6F-1C7A87897C76}"/>
    <cellStyle name="Note 2 4 22" xfId="2250" xr:uid="{C3F10260-EBDF-4615-9151-49156A10F294}"/>
    <cellStyle name="Note 2 4 22 2" xfId="11754" xr:uid="{5A84ED3E-9A6D-4571-A521-246E74A8892E}"/>
    <cellStyle name="Note 2 4 22 2 2" xfId="33461" xr:uid="{89DCF7E5-5378-481C-9270-2486E5E46A4C}"/>
    <cellStyle name="Note 2 4 22 2 3" xfId="33462" xr:uid="{125781D6-A7F2-49BC-8A39-C43E541C9525}"/>
    <cellStyle name="Note 2 4 22 2 4" xfId="33463" xr:uid="{10118D91-CD49-4900-8278-4C0CB55246C2}"/>
    <cellStyle name="Note 2 4 22 2 5" xfId="33464" xr:uid="{DC9B967E-F58E-4548-A3E5-DF9F6808923B}"/>
    <cellStyle name="Note 2 4 22 2 6" xfId="33465" xr:uid="{5EFBF1B5-103A-47AA-B2B0-55B1588C7D0E}"/>
    <cellStyle name="Note 2 4 22 3" xfId="33466" xr:uid="{9C5440BC-B9AD-435E-8235-BF9BB5573C3F}"/>
    <cellStyle name="Note 2 4 22 4" xfId="33467" xr:uid="{E54AE3B1-135A-4E1D-BAF2-46383BBFDDFB}"/>
    <cellStyle name="Note 2 4 22 5" xfId="33468" xr:uid="{64044063-0907-4626-9C2C-5FE02113511C}"/>
    <cellStyle name="Note 2 4 22 6" xfId="33469" xr:uid="{30BFBDC3-C257-48E3-944E-09A42A1E3E3C}"/>
    <cellStyle name="Note 2 4 22 7" xfId="33470" xr:uid="{BEBEB8A5-31FE-4F42-B717-B3CA1500A0F5}"/>
    <cellStyle name="Note 2 4 23" xfId="2251" xr:uid="{7F24AA1D-59B9-46B0-A486-E7A6483A4349}"/>
    <cellStyle name="Note 2 4 23 2" xfId="11836" xr:uid="{6055201E-D73F-475B-B6A1-73E90E8D83FD}"/>
    <cellStyle name="Note 2 4 23 2 2" xfId="33471" xr:uid="{BEAEBD3D-ABE3-4A07-AF9B-898F9AFA1947}"/>
    <cellStyle name="Note 2 4 23 2 3" xfId="33472" xr:uid="{CF14D1F3-BEF4-4DCF-97E7-39EB43B6C4CD}"/>
    <cellStyle name="Note 2 4 23 2 4" xfId="33473" xr:uid="{A4B43D37-BCE4-4994-ADAF-7FEF08210A0F}"/>
    <cellStyle name="Note 2 4 23 2 5" xfId="33474" xr:uid="{622A7592-2D98-488B-8086-66EE4DFC6687}"/>
    <cellStyle name="Note 2 4 23 2 6" xfId="33475" xr:uid="{68F5EA0A-62DE-4ACA-B903-7F99E4189094}"/>
    <cellStyle name="Note 2 4 23 3" xfId="33476" xr:uid="{A9EBD905-AEB9-4AE7-B0BF-DA0BA6ACAD6B}"/>
    <cellStyle name="Note 2 4 23 4" xfId="33477" xr:uid="{899A31D8-2FC5-437D-846A-FC3A16FB058C}"/>
    <cellStyle name="Note 2 4 23 5" xfId="33478" xr:uid="{1AED4AAD-C1A2-4DF4-BB72-AE44C378AFFE}"/>
    <cellStyle name="Note 2 4 23 6" xfId="33479" xr:uid="{2CFF13A8-65E0-4318-8946-8CF59A152FAC}"/>
    <cellStyle name="Note 2 4 23 7" xfId="33480" xr:uid="{9F3C4BF8-65E8-40E1-AA69-B74E5F986CB8}"/>
    <cellStyle name="Note 2 4 24" xfId="2252" xr:uid="{06E10C25-6B50-4A74-A763-3864E3371EFE}"/>
    <cellStyle name="Note 2 4 24 2" xfId="11920" xr:uid="{EA97C840-C23D-4D50-A866-A79F4A026285}"/>
    <cellStyle name="Note 2 4 24 2 2" xfId="33481" xr:uid="{02D00518-AEBF-4EE4-9135-FC1755BFDC5F}"/>
    <cellStyle name="Note 2 4 24 2 3" xfId="33482" xr:uid="{A62C5785-F0B3-4329-A070-CAD8BEFEF4E9}"/>
    <cellStyle name="Note 2 4 24 2 4" xfId="33483" xr:uid="{FB0BFEB7-9369-4B2C-8CAB-8C6E93765DA6}"/>
    <cellStyle name="Note 2 4 24 2 5" xfId="33484" xr:uid="{FEDFDB2F-65C8-4C2F-A0F3-4F6ECD41023B}"/>
    <cellStyle name="Note 2 4 24 2 6" xfId="33485" xr:uid="{1F3EBA6E-42DF-4CC8-98CB-C03EBA5942B6}"/>
    <cellStyle name="Note 2 4 24 3" xfId="33486" xr:uid="{74942916-4AFB-49FF-9FC0-471CD229ACE5}"/>
    <cellStyle name="Note 2 4 24 4" xfId="33487" xr:uid="{C182E006-B295-4B37-A917-2E55A430D3DE}"/>
    <cellStyle name="Note 2 4 24 5" xfId="33488" xr:uid="{6F9071EA-0072-4619-B12C-D630CC74D612}"/>
    <cellStyle name="Note 2 4 24 6" xfId="33489" xr:uid="{B1EDA26E-8CB5-446C-9CC0-BB91B3488C6B}"/>
    <cellStyle name="Note 2 4 24 7" xfId="33490" xr:uid="{438B9B47-3438-4583-B70E-707B9FD4714E}"/>
    <cellStyle name="Note 2 4 25" xfId="2253" xr:uid="{931ECF7C-E7C3-480F-8145-40524E7132CA}"/>
    <cellStyle name="Note 2 4 25 2" xfId="12004" xr:uid="{828A8418-31ED-4564-8945-641372F092A6}"/>
    <cellStyle name="Note 2 4 25 2 2" xfId="33491" xr:uid="{9327967C-EE1A-4853-A079-6E25F51C28BC}"/>
    <cellStyle name="Note 2 4 25 2 3" xfId="33492" xr:uid="{F504A6BB-06F6-46CB-B3D5-5969D385DEF2}"/>
    <cellStyle name="Note 2 4 25 2 4" xfId="33493" xr:uid="{91BFCCF3-E5B3-4D6A-A441-944722AA661C}"/>
    <cellStyle name="Note 2 4 25 2 5" xfId="33494" xr:uid="{981D6613-631B-481A-B732-3821AF6AA0C8}"/>
    <cellStyle name="Note 2 4 25 2 6" xfId="33495" xr:uid="{63EE8A43-97E8-4AE1-AA0F-899E4DDAAA0A}"/>
    <cellStyle name="Note 2 4 25 3" xfId="33496" xr:uid="{33FFFA37-E708-4DC0-9C0E-F704582069DD}"/>
    <cellStyle name="Note 2 4 25 4" xfId="33497" xr:uid="{F4B405E6-D942-415A-8AB9-0E30AEB662C8}"/>
    <cellStyle name="Note 2 4 25 5" xfId="33498" xr:uid="{EA1D1259-7C89-45F3-AD00-7EB06E86E5E0}"/>
    <cellStyle name="Note 2 4 25 6" xfId="33499" xr:uid="{556480C1-20BC-4672-8898-3519BCC8DF47}"/>
    <cellStyle name="Note 2 4 25 7" xfId="33500" xr:uid="{1E19E499-C981-4B5C-B54A-D779BFBE22FE}"/>
    <cellStyle name="Note 2 4 26" xfId="2254" xr:uid="{5D6AE243-1E19-4FBD-BE17-51AFA76F92D4}"/>
    <cellStyle name="Note 2 4 26 2" xfId="12087" xr:uid="{D4E3CA68-AB4A-421B-8B21-5DF46A2AF6AB}"/>
    <cellStyle name="Note 2 4 26 2 2" xfId="33501" xr:uid="{DDEDC298-0A76-4D67-AD47-E068B79B2007}"/>
    <cellStyle name="Note 2 4 26 2 3" xfId="33502" xr:uid="{1E1FAACE-A8D3-47EE-AC64-4B5490027C40}"/>
    <cellStyle name="Note 2 4 26 2 4" xfId="33503" xr:uid="{8E812282-E2BB-43F2-9122-4C85BB75D0BA}"/>
    <cellStyle name="Note 2 4 26 2 5" xfId="33504" xr:uid="{3B4E6C55-43D2-4419-BC05-D38C1D95DB1B}"/>
    <cellStyle name="Note 2 4 26 2 6" xfId="33505" xr:uid="{391B1E4A-E389-4742-83F7-A05F9B061042}"/>
    <cellStyle name="Note 2 4 26 3" xfId="33506" xr:uid="{393B260F-926B-428F-BEFF-52AEB68E34B9}"/>
    <cellStyle name="Note 2 4 26 4" xfId="33507" xr:uid="{7C7E91DC-93B1-490B-8025-3B7607884685}"/>
    <cellStyle name="Note 2 4 26 5" xfId="33508" xr:uid="{FE7B6AA8-B374-46A6-9CD2-AAD0648BC0A9}"/>
    <cellStyle name="Note 2 4 26 6" xfId="33509" xr:uid="{380533B6-E5C5-48CA-94DE-591BA72DBBF5}"/>
    <cellStyle name="Note 2 4 26 7" xfId="33510" xr:uid="{A160C57B-A458-43A0-8F64-62C5BB6DE824}"/>
    <cellStyle name="Note 2 4 27" xfId="2255" xr:uid="{CCC2238E-1142-44D9-9477-5F8754073B31}"/>
    <cellStyle name="Note 2 4 27 2" xfId="12170" xr:uid="{8DB5342E-158C-4544-8DFA-8692C26EE765}"/>
    <cellStyle name="Note 2 4 27 2 2" xfId="33511" xr:uid="{76FA6DC4-812F-474C-B2EA-344A7714520D}"/>
    <cellStyle name="Note 2 4 27 2 3" xfId="33512" xr:uid="{093B9FEE-35A9-4B4A-A570-15C92F2AB43C}"/>
    <cellStyle name="Note 2 4 27 2 4" xfId="33513" xr:uid="{903CC699-1D04-427F-B8F8-533F13C004A7}"/>
    <cellStyle name="Note 2 4 27 2 5" xfId="33514" xr:uid="{E5FB3986-A58C-4984-B2CA-CC23A53C9237}"/>
    <cellStyle name="Note 2 4 27 2 6" xfId="33515" xr:uid="{6F69FDE9-1D17-4E62-9723-8FA364A58CA2}"/>
    <cellStyle name="Note 2 4 27 3" xfId="33516" xr:uid="{D4AB3E29-DBD9-402F-9463-ACEB4200D113}"/>
    <cellStyle name="Note 2 4 27 4" xfId="33517" xr:uid="{0B21CA70-2126-4265-80C1-BD12C95383CB}"/>
    <cellStyle name="Note 2 4 27 5" xfId="33518" xr:uid="{2072781F-94E1-4B4B-BA21-0998B6F50D6E}"/>
    <cellStyle name="Note 2 4 27 6" xfId="33519" xr:uid="{4B71D919-BB9E-419B-9203-E024FC08FBEE}"/>
    <cellStyle name="Note 2 4 27 7" xfId="33520" xr:uid="{43EF51CF-BBA6-4364-A858-3111BCFB0EB4}"/>
    <cellStyle name="Note 2 4 28" xfId="2256" xr:uid="{010F3A11-9755-4318-BDD7-055080470A20}"/>
    <cellStyle name="Note 2 4 28 2" xfId="12249" xr:uid="{DF4735C2-0358-4AAC-9A59-E837462844A1}"/>
    <cellStyle name="Note 2 4 28 2 2" xfId="33521" xr:uid="{715211CD-83C6-4FE6-BE2D-C4111B305CC8}"/>
    <cellStyle name="Note 2 4 28 2 3" xfId="33522" xr:uid="{8AA63414-3380-4609-8458-FFE22336178C}"/>
    <cellStyle name="Note 2 4 28 2 4" xfId="33523" xr:uid="{E70B1D18-82EE-489F-A755-5D04B6E5879D}"/>
    <cellStyle name="Note 2 4 28 2 5" xfId="33524" xr:uid="{DEDA8EB0-0D0C-4355-8C23-731040F27B03}"/>
    <cellStyle name="Note 2 4 28 2 6" xfId="33525" xr:uid="{5CFBBA07-0C54-4318-83EB-5D8535D1A383}"/>
    <cellStyle name="Note 2 4 28 3" xfId="33526" xr:uid="{F2228464-14C3-4A0A-887A-19EAB5E68C9B}"/>
    <cellStyle name="Note 2 4 28 4" xfId="33527" xr:uid="{DFF6FAAE-93AD-4236-9AEF-CEC2877B835F}"/>
    <cellStyle name="Note 2 4 28 5" xfId="33528" xr:uid="{E9FF1833-CC67-44DC-9328-4D71D1891E32}"/>
    <cellStyle name="Note 2 4 28 6" xfId="33529" xr:uid="{B8DE7EE9-71AE-450D-8C9E-ACE3F8B8A46B}"/>
    <cellStyle name="Note 2 4 28 7" xfId="33530" xr:uid="{4E0083C5-F78D-4F9C-8844-1A2EEA2F511B}"/>
    <cellStyle name="Note 2 4 29" xfId="2257" xr:uid="{696DAB66-6E8B-4C24-B429-39C74E5A7C36}"/>
    <cellStyle name="Note 2 4 29 2" xfId="12328" xr:uid="{AF66EA61-B184-48D9-87CF-D761887A1766}"/>
    <cellStyle name="Note 2 4 29 2 2" xfId="33531" xr:uid="{03B9C1F5-D5FC-4B68-8F5F-2CCDCB84FA05}"/>
    <cellStyle name="Note 2 4 29 2 3" xfId="33532" xr:uid="{9A7D72A8-56FB-4D2D-ACE8-1B7FF497EEF9}"/>
    <cellStyle name="Note 2 4 29 2 4" xfId="33533" xr:uid="{E7798804-2E17-47E6-8569-B61476E6EAAE}"/>
    <cellStyle name="Note 2 4 29 2 5" xfId="33534" xr:uid="{C3DE970F-50CE-47E1-9E30-0B795D289B8B}"/>
    <cellStyle name="Note 2 4 29 2 6" xfId="33535" xr:uid="{D11DEA60-DB37-43A6-BD66-DACF4F69A847}"/>
    <cellStyle name="Note 2 4 29 3" xfId="33536" xr:uid="{C35E8FBF-4F28-4540-A453-848F8823CF34}"/>
    <cellStyle name="Note 2 4 29 4" xfId="33537" xr:uid="{A459FC2D-F80B-4C3D-BE71-EFD30A8D4182}"/>
    <cellStyle name="Note 2 4 29 5" xfId="33538" xr:uid="{B96BBCFE-498B-4DE9-8633-FA633426CB1E}"/>
    <cellStyle name="Note 2 4 29 6" xfId="33539" xr:uid="{119F47FE-5643-4FA8-A34E-2F2290301E6B}"/>
    <cellStyle name="Note 2 4 29 7" xfId="33540" xr:uid="{FA67AFFA-0611-42B4-8ADF-9901F7B1A296}"/>
    <cellStyle name="Note 2 4 3" xfId="2258" xr:uid="{9784F850-7D4C-474B-9945-6F334D35324E}"/>
    <cellStyle name="Note 2 4 3 2" xfId="10094" xr:uid="{C741BA12-67D8-4704-9B58-F74632351FF7}"/>
    <cellStyle name="Note 2 4 3 2 2" xfId="33541" xr:uid="{D8A7DF99-625C-4E4A-92C5-502BCA81BCA7}"/>
    <cellStyle name="Note 2 4 3 2 3" xfId="33542" xr:uid="{54B463B1-86C1-41E5-8864-ADADD644BE49}"/>
    <cellStyle name="Note 2 4 3 2 4" xfId="33543" xr:uid="{A70D13AC-3FF0-41E3-82A2-06C7AE5A62ED}"/>
    <cellStyle name="Note 2 4 3 2 5" xfId="33544" xr:uid="{B0AF91EE-B34A-4B7B-A2A1-CD2C772E7051}"/>
    <cellStyle name="Note 2 4 3 2 6" xfId="33545" xr:uid="{84687C37-ECA1-447A-AED5-9C5461F18B5C}"/>
    <cellStyle name="Note 2 4 3 3" xfId="33546" xr:uid="{8DB44D2E-1A4E-4BC1-8805-E617D48F05AA}"/>
    <cellStyle name="Note 2 4 3 4" xfId="33547" xr:uid="{012793D6-1EC2-46C8-A60D-266920C1C46D}"/>
    <cellStyle name="Note 2 4 3 5" xfId="33548" xr:uid="{5044D3F7-1A31-4EC3-B475-C5B669E5D7F8}"/>
    <cellStyle name="Note 2 4 3 6" xfId="33549" xr:uid="{560889BA-FCDD-4029-8CA3-FB0261F21949}"/>
    <cellStyle name="Note 2 4 3 7" xfId="33550" xr:uid="{BD857728-4C3F-4B04-A227-D697A87C8CC9}"/>
    <cellStyle name="Note 2 4 30" xfId="2259" xr:uid="{E3C857F0-260D-46AF-A28C-0FBE6BF71270}"/>
    <cellStyle name="Note 2 4 30 2" xfId="12407" xr:uid="{5BCB7073-8EDC-4B5B-84CA-16CDD5D5A37F}"/>
    <cellStyle name="Note 2 4 30 2 2" xfId="33551" xr:uid="{8ABF4377-9469-4036-8A73-9F9988DD426C}"/>
    <cellStyle name="Note 2 4 30 2 3" xfId="33552" xr:uid="{69B694B7-A54F-4D85-8989-71B348BD0F37}"/>
    <cellStyle name="Note 2 4 30 2 4" xfId="33553" xr:uid="{9A13AC84-A9EC-4639-979D-1542EE3B5B32}"/>
    <cellStyle name="Note 2 4 30 2 5" xfId="33554" xr:uid="{368BC5B3-E72F-4F1A-8DF7-AAA163ADA29C}"/>
    <cellStyle name="Note 2 4 30 2 6" xfId="33555" xr:uid="{02BFDF97-7F58-4D92-AD00-4C22DB909162}"/>
    <cellStyle name="Note 2 4 30 3" xfId="33556" xr:uid="{E61C06CD-7F0B-49CD-9D02-9F0799CD7599}"/>
    <cellStyle name="Note 2 4 30 4" xfId="33557" xr:uid="{B15DA825-6FE7-429B-A81B-2F4C4015902F}"/>
    <cellStyle name="Note 2 4 30 5" xfId="33558" xr:uid="{816A523E-7E5B-4009-9220-A76ED2DA1C7C}"/>
    <cellStyle name="Note 2 4 30 6" xfId="33559" xr:uid="{E21CCD49-5A6F-4FB2-AB05-9D9F92C1EDED}"/>
    <cellStyle name="Note 2 4 30 7" xfId="33560" xr:uid="{C6C3CB53-8D4F-4EF9-AE74-A29AF6A53C0E}"/>
    <cellStyle name="Note 2 4 31" xfId="2260" xr:uid="{A3403F4B-579F-40E7-8496-6F3152063402}"/>
    <cellStyle name="Note 2 4 31 2" xfId="12486" xr:uid="{9CFDCD54-54A0-40A9-8B8C-112493C5206F}"/>
    <cellStyle name="Note 2 4 31 2 2" xfId="33561" xr:uid="{F92630D2-1B80-4071-A46A-607030E8CA50}"/>
    <cellStyle name="Note 2 4 31 2 3" xfId="33562" xr:uid="{2001FDD0-A417-434F-BB00-C59AC8481AB0}"/>
    <cellStyle name="Note 2 4 31 2 4" xfId="33563" xr:uid="{307A0304-D431-4C03-B656-3A9965A506EA}"/>
    <cellStyle name="Note 2 4 31 2 5" xfId="33564" xr:uid="{4913CF20-8A3E-41E7-B0CF-81139C631FB5}"/>
    <cellStyle name="Note 2 4 31 2 6" xfId="33565" xr:uid="{7F5FF180-921E-4F78-8D16-ADABBEE2546B}"/>
    <cellStyle name="Note 2 4 31 3" xfId="33566" xr:uid="{A8751507-C3C6-4863-A4C3-6A2DA7243CAD}"/>
    <cellStyle name="Note 2 4 31 4" xfId="33567" xr:uid="{ED1EA47C-7C4D-484B-8A23-E5166317DF74}"/>
    <cellStyle name="Note 2 4 31 5" xfId="33568" xr:uid="{089E2779-0D7F-4591-BEE3-27DFCAD18633}"/>
    <cellStyle name="Note 2 4 31 6" xfId="33569" xr:uid="{5754216A-D499-462A-9593-CA6FF93AEC41}"/>
    <cellStyle name="Note 2 4 31 7" xfId="33570" xr:uid="{8A8818AF-50C7-4555-AC34-CF19AC06EFA6}"/>
    <cellStyle name="Note 2 4 32" xfId="2261" xr:uid="{530B7F7C-1269-4AF3-978B-7A8365F8EBA7}"/>
    <cellStyle name="Note 2 4 32 2" xfId="12565" xr:uid="{BCC15F5F-9C8B-47E1-9F3C-1A13A8C90479}"/>
    <cellStyle name="Note 2 4 32 2 2" xfId="33571" xr:uid="{EA9D9E43-5CD6-4AE2-8C8E-2EE683B324DA}"/>
    <cellStyle name="Note 2 4 32 2 3" xfId="33572" xr:uid="{AF8A7E5E-74D6-4659-A2DE-45CF7FB11686}"/>
    <cellStyle name="Note 2 4 32 2 4" xfId="33573" xr:uid="{292B4C13-BE2E-42C4-92A4-28D975AB351E}"/>
    <cellStyle name="Note 2 4 32 2 5" xfId="33574" xr:uid="{BAEBBC74-DB1C-49BA-9BC1-4E8FDFB4FB40}"/>
    <cellStyle name="Note 2 4 32 2 6" xfId="33575" xr:uid="{B43A4F60-D8D0-4D1F-84A3-BB200208C0A7}"/>
    <cellStyle name="Note 2 4 32 3" xfId="33576" xr:uid="{D3BC6ED7-D6EC-4841-9EC9-16E27266B175}"/>
    <cellStyle name="Note 2 4 32 4" xfId="33577" xr:uid="{F8A966AA-F8D3-4234-BE9E-8097F8A36D69}"/>
    <cellStyle name="Note 2 4 32 5" xfId="33578" xr:uid="{3F077A66-99C5-4C3C-B6B5-EE0D1A8119D9}"/>
    <cellStyle name="Note 2 4 32 6" xfId="33579" xr:uid="{079AE761-1542-4C14-8758-E2CB4DC4649B}"/>
    <cellStyle name="Note 2 4 32 7" xfId="33580" xr:uid="{ED70AAB3-E08F-4D63-9987-3EA95EE0494C}"/>
    <cellStyle name="Note 2 4 33" xfId="2262" xr:uid="{4EB08CC6-0644-4A77-BAED-FFD687EA42B6}"/>
    <cellStyle name="Note 2 4 33 2" xfId="12644" xr:uid="{E34A8D8A-22FB-47A3-8DF5-9BB7D8540586}"/>
    <cellStyle name="Note 2 4 33 2 2" xfId="33581" xr:uid="{008D44FF-62C0-48BB-9A00-3A2A3E1FFFCC}"/>
    <cellStyle name="Note 2 4 33 2 3" xfId="33582" xr:uid="{261589E1-A3ED-46B0-9F83-FB8B79B9EDE3}"/>
    <cellStyle name="Note 2 4 33 2 4" xfId="33583" xr:uid="{E52FD9C3-4535-4114-97DD-A8B219B2E0EA}"/>
    <cellStyle name="Note 2 4 33 2 5" xfId="33584" xr:uid="{8634A229-F37A-4040-A277-E5A6033FE84E}"/>
    <cellStyle name="Note 2 4 33 2 6" xfId="33585" xr:uid="{E4E03578-AE05-4ADA-AA0F-DA0AE784545B}"/>
    <cellStyle name="Note 2 4 33 3" xfId="33586" xr:uid="{53910BE3-B85F-43D9-8688-45C1ECE98CBB}"/>
    <cellStyle name="Note 2 4 33 4" xfId="33587" xr:uid="{59D99D76-463E-4F46-B02C-F564678CB134}"/>
    <cellStyle name="Note 2 4 33 5" xfId="33588" xr:uid="{02FC7418-C19E-4CBD-9D79-69F386136FD7}"/>
    <cellStyle name="Note 2 4 33 6" xfId="33589" xr:uid="{B5F5FE23-57F8-4990-A5A9-8C6879764A22}"/>
    <cellStyle name="Note 2 4 33 7" xfId="33590" xr:uid="{C7D42508-74E8-49C6-AF54-3999A458C75C}"/>
    <cellStyle name="Note 2 4 34" xfId="2263" xr:uid="{6A1FB89D-B1C4-4482-B7D5-813BBB075A41}"/>
    <cellStyle name="Note 2 4 34 2" xfId="12728" xr:uid="{A9D4EE0A-D27C-4D65-8F98-510EDE7E5E12}"/>
    <cellStyle name="Note 2 4 34 2 2" xfId="33591" xr:uid="{48C33FB4-8593-406E-8375-FC9A6EB7279C}"/>
    <cellStyle name="Note 2 4 34 2 3" xfId="33592" xr:uid="{6192D687-C822-4B11-9835-8491E022FD6B}"/>
    <cellStyle name="Note 2 4 34 2 4" xfId="33593" xr:uid="{B54C1880-0E2F-4D65-9A5C-F123A7188099}"/>
    <cellStyle name="Note 2 4 34 2 5" xfId="33594" xr:uid="{D8DA685F-E36B-4871-B271-9FD66D2B8E14}"/>
    <cellStyle name="Note 2 4 34 2 6" xfId="33595" xr:uid="{5A37D932-64FA-45AA-9250-BBEA5D9FC635}"/>
    <cellStyle name="Note 2 4 34 3" xfId="33596" xr:uid="{1857F061-8115-49CE-9FF4-74A9797EE4B4}"/>
    <cellStyle name="Note 2 4 34 4" xfId="33597" xr:uid="{BE0E1C11-22C5-41B9-AE1B-3DC9BF4B54C3}"/>
    <cellStyle name="Note 2 4 34 5" xfId="33598" xr:uid="{E9435065-1595-4C16-AF63-77C838C48A5A}"/>
    <cellStyle name="Note 2 4 34 6" xfId="33599" xr:uid="{C491DCC6-D3AB-4B67-923C-7DCB82663545}"/>
    <cellStyle name="Note 2 4 34 7" xfId="33600" xr:uid="{B5FBEE66-F4C3-4048-A373-3218F4D3FE0B}"/>
    <cellStyle name="Note 2 4 35" xfId="8889" xr:uid="{61D6ECE2-8230-4D4B-9E53-87AAB90A983E}"/>
    <cellStyle name="Note 2 4 36" xfId="9792" xr:uid="{E16CCC69-AD17-454F-8BFF-4D90FFF9FAD7}"/>
    <cellStyle name="Note 2 4 36 2" xfId="33601" xr:uid="{A325B34F-6B7B-4098-B94A-808FF95367AB}"/>
    <cellStyle name="Note 2 4 36 3" xfId="33602" xr:uid="{11753CFC-1337-491A-9287-8B756FAF1A8A}"/>
    <cellStyle name="Note 2 4 36 4" xfId="33603" xr:uid="{9309E2E8-C7AE-4E1B-9332-06367520C434}"/>
    <cellStyle name="Note 2 4 36 5" xfId="33604" xr:uid="{EC2992B0-A973-4532-A1CF-E81FFE482C37}"/>
    <cellStyle name="Note 2 4 36 6" xfId="33605" xr:uid="{233FBCFB-973F-430E-A3B4-70EF0FBB8512}"/>
    <cellStyle name="Note 2 4 37" xfId="33606" xr:uid="{A2A661C1-294B-4462-9A40-90833B3B7172}"/>
    <cellStyle name="Note 2 4 38" xfId="33607" xr:uid="{5D3533D9-DE37-427B-9BA4-C9880041DAB4}"/>
    <cellStyle name="Note 2 4 39" xfId="33608" xr:uid="{A0ED502A-A93C-46BE-A885-2FEAE3718913}"/>
    <cellStyle name="Note 2 4 4" xfId="2264" xr:uid="{FAAAB5D6-3929-4BF5-A227-3ABAEE9EECEA}"/>
    <cellStyle name="Note 2 4 4 2" xfId="10185" xr:uid="{42DCF4BE-1A2F-44DA-9C49-0E6E19F1AB5E}"/>
    <cellStyle name="Note 2 4 4 2 2" xfId="33609" xr:uid="{18A0E542-5C3A-4B2E-AC47-8F44F992FA24}"/>
    <cellStyle name="Note 2 4 4 2 3" xfId="33610" xr:uid="{2D19CC83-F777-4EB1-8754-7369A85B7EF6}"/>
    <cellStyle name="Note 2 4 4 2 4" xfId="33611" xr:uid="{33DB51BC-16FD-4C73-88F9-0CCCC2E70556}"/>
    <cellStyle name="Note 2 4 4 2 5" xfId="33612" xr:uid="{6AF55AC0-B1CA-4AC5-BFAF-0D09AB9547F4}"/>
    <cellStyle name="Note 2 4 4 2 6" xfId="33613" xr:uid="{1F0DDB34-1CE6-4CD0-A2A2-5C5480156394}"/>
    <cellStyle name="Note 2 4 4 3" xfId="33614" xr:uid="{7CDA7232-9045-48C3-96A5-2C63A4DCE90F}"/>
    <cellStyle name="Note 2 4 4 4" xfId="33615" xr:uid="{B027A8E7-435B-413A-8194-8DECA2D5B9E1}"/>
    <cellStyle name="Note 2 4 4 5" xfId="33616" xr:uid="{1E388B41-84EF-4A70-8F00-38BB4AFA4B9E}"/>
    <cellStyle name="Note 2 4 4 6" xfId="33617" xr:uid="{5FF0D385-7B9E-4272-AD6C-FE5FA45DD8FF}"/>
    <cellStyle name="Note 2 4 4 7" xfId="33618" xr:uid="{1A1893FD-BB81-4BD6-BAAE-D2614A1E5DE7}"/>
    <cellStyle name="Note 2 4 40" xfId="33619" xr:uid="{2F25248F-05DC-471F-B509-B00116372255}"/>
    <cellStyle name="Note 2 4 41" xfId="33620" xr:uid="{A0450619-0462-4CAE-B56C-83CF67BB9675}"/>
    <cellStyle name="Note 2 4 5" xfId="2265" xr:uid="{26CB6C57-BD68-4DC5-B832-9ACFC5BD62CA}"/>
    <cellStyle name="Note 2 4 5 2" xfId="10273" xr:uid="{6C412829-11E4-4074-AC6F-8807E7462046}"/>
    <cellStyle name="Note 2 4 5 2 2" xfId="33621" xr:uid="{EFF1BEFC-D9DB-4970-A65A-4CFE11348B67}"/>
    <cellStyle name="Note 2 4 5 2 3" xfId="33622" xr:uid="{0419453A-0564-4087-9E7A-6B875BA36883}"/>
    <cellStyle name="Note 2 4 5 2 4" xfId="33623" xr:uid="{F3DCEF8A-8AB8-4907-AEF6-2B337AF09ADC}"/>
    <cellStyle name="Note 2 4 5 2 5" xfId="33624" xr:uid="{E376B09D-42B3-4C8D-94E9-C3373BCC29BB}"/>
    <cellStyle name="Note 2 4 5 2 6" xfId="33625" xr:uid="{D7F38466-D8FA-4DB4-855A-1A3A74BF6056}"/>
    <cellStyle name="Note 2 4 5 3" xfId="33626" xr:uid="{7EEF5CB8-B0B5-4668-94D2-6E47570EBC26}"/>
    <cellStyle name="Note 2 4 5 4" xfId="33627" xr:uid="{C7D5AA3F-B53F-4DB0-93E0-3919E554D9B5}"/>
    <cellStyle name="Note 2 4 5 5" xfId="33628" xr:uid="{AE00A9F8-9145-4313-9FA3-27B63180A34A}"/>
    <cellStyle name="Note 2 4 5 6" xfId="33629" xr:uid="{6269109E-8EFC-4FA9-8E9B-1C5CDBFA6328}"/>
    <cellStyle name="Note 2 4 5 7" xfId="33630" xr:uid="{4C5FAC6A-9291-46B8-8E34-2FE2AA1453B2}"/>
    <cellStyle name="Note 2 4 6" xfId="2266" xr:uid="{91DC818B-2687-468D-B0CB-EACF55F758C5}"/>
    <cellStyle name="Note 2 4 6 2" xfId="10358" xr:uid="{F4506341-5C1E-4106-A3A1-07FA9996C84A}"/>
    <cellStyle name="Note 2 4 6 2 2" xfId="33631" xr:uid="{502230E8-C45F-44C4-A0BF-E569C5E284F2}"/>
    <cellStyle name="Note 2 4 6 2 3" xfId="33632" xr:uid="{0AB03CF0-1DA6-4603-9B7D-69B90E54E912}"/>
    <cellStyle name="Note 2 4 6 2 4" xfId="33633" xr:uid="{A9A2B5A1-61FE-4E81-8C97-4C5A3B85EE3B}"/>
    <cellStyle name="Note 2 4 6 2 5" xfId="33634" xr:uid="{442EA419-E9F1-428F-BDB4-837619335988}"/>
    <cellStyle name="Note 2 4 6 2 6" xfId="33635" xr:uid="{4630A01F-BAF2-430B-A026-D45FBB7F8B53}"/>
    <cellStyle name="Note 2 4 6 3" xfId="33636" xr:uid="{20A97EEA-CF72-404A-BA46-8A11C1576395}"/>
    <cellStyle name="Note 2 4 6 4" xfId="33637" xr:uid="{FDDF22E3-2B78-4CDD-A444-8087D92CA473}"/>
    <cellStyle name="Note 2 4 6 5" xfId="33638" xr:uid="{5AF6D676-B099-46F2-98F5-1829740EB5C2}"/>
    <cellStyle name="Note 2 4 6 6" xfId="33639" xr:uid="{0CF8C2E3-FC62-46F3-99F9-7863AF96147E}"/>
    <cellStyle name="Note 2 4 6 7" xfId="33640" xr:uid="{F32126C3-9950-4A75-94A5-00618999712C}"/>
    <cellStyle name="Note 2 4 7" xfId="2267" xr:uid="{AF27E6D3-89AA-41B0-B5D9-D8DA92825F16}"/>
    <cellStyle name="Note 2 4 7 2" xfId="10445" xr:uid="{53F29786-B5C0-43C8-8D7C-35B4B75C16FB}"/>
    <cellStyle name="Note 2 4 7 2 2" xfId="33641" xr:uid="{98901B9A-1924-4294-B8FD-A64EE6498E34}"/>
    <cellStyle name="Note 2 4 7 2 3" xfId="33642" xr:uid="{660FC3CE-1DFE-4D31-BE6B-A022E679C3C3}"/>
    <cellStyle name="Note 2 4 7 2 4" xfId="33643" xr:uid="{3EA7EC7E-2C68-4C1A-B202-8AB03B607CBB}"/>
    <cellStyle name="Note 2 4 7 2 5" xfId="33644" xr:uid="{23E76A33-8087-4FF3-B8DF-C678EFB9F3EB}"/>
    <cellStyle name="Note 2 4 7 2 6" xfId="33645" xr:uid="{00E3EBFD-3385-4BBE-B68F-CC8D83BE8DB0}"/>
    <cellStyle name="Note 2 4 7 3" xfId="33646" xr:uid="{8ABFC5E3-2A79-4A1D-8E24-AA29E315795F}"/>
    <cellStyle name="Note 2 4 7 4" xfId="33647" xr:uid="{23EF8D02-6D1C-40B4-8468-A1E438EDB79A}"/>
    <cellStyle name="Note 2 4 7 5" xfId="33648" xr:uid="{56D76310-5EA7-4AE2-9BFB-0D5DE0E81AE0}"/>
    <cellStyle name="Note 2 4 7 6" xfId="33649" xr:uid="{5BAE6CC9-19FF-4386-A4F4-9A089801B959}"/>
    <cellStyle name="Note 2 4 7 7" xfId="33650" xr:uid="{67254379-F089-494A-8F38-666D6B188346}"/>
    <cellStyle name="Note 2 4 8" xfId="2268" xr:uid="{BFF4655D-746B-4854-9091-B5789F3A1DCD}"/>
    <cellStyle name="Note 2 4 8 2" xfId="10534" xr:uid="{D99B0B4D-E35B-4164-9489-023D439A17CD}"/>
    <cellStyle name="Note 2 4 8 2 2" xfId="33651" xr:uid="{72E7DBE5-C56F-44FF-937D-986393E51DDE}"/>
    <cellStyle name="Note 2 4 8 2 3" xfId="33652" xr:uid="{0BDCCA1A-CA8F-403C-8DDB-7A074C73977A}"/>
    <cellStyle name="Note 2 4 8 2 4" xfId="33653" xr:uid="{3EDEBE6A-B64F-4D73-8CBC-40918BEAB6FC}"/>
    <cellStyle name="Note 2 4 8 2 5" xfId="33654" xr:uid="{964DBE36-F2F1-457A-94D7-F4005958366C}"/>
    <cellStyle name="Note 2 4 8 2 6" xfId="33655" xr:uid="{3A25FF6B-3F72-4CE3-8CCC-2002C8A8D30A}"/>
    <cellStyle name="Note 2 4 8 3" xfId="33656" xr:uid="{06890FFF-434C-4CE8-9722-B01E140FAEFC}"/>
    <cellStyle name="Note 2 4 8 4" xfId="33657" xr:uid="{1524C4A2-8841-4DEB-B8F7-860F885DE902}"/>
    <cellStyle name="Note 2 4 8 5" xfId="33658" xr:uid="{3C1A4BA5-5C8A-487B-AA57-B553AB1C2AEC}"/>
    <cellStyle name="Note 2 4 8 6" xfId="33659" xr:uid="{FC98DD66-0F4A-4305-9B9B-9156190071E2}"/>
    <cellStyle name="Note 2 4 8 7" xfId="33660" xr:uid="{69B8EF31-390E-48B8-B2E7-25633E22FDB9}"/>
    <cellStyle name="Note 2 4 9" xfId="2269" xr:uid="{E1CD439A-ECE2-4CBF-B575-BACBCE0C1DB4}"/>
    <cellStyle name="Note 2 4 9 2" xfId="10616" xr:uid="{D9101149-1A3A-4192-9A41-220420A17393}"/>
    <cellStyle name="Note 2 4 9 2 2" xfId="33661" xr:uid="{D267AED2-D948-4083-959F-127DF5D67138}"/>
    <cellStyle name="Note 2 4 9 2 3" xfId="33662" xr:uid="{449C9272-322A-4831-ABB0-89182A96E12D}"/>
    <cellStyle name="Note 2 4 9 2 4" xfId="33663" xr:uid="{DDBDBF41-452D-4796-8068-B559448627B0}"/>
    <cellStyle name="Note 2 4 9 2 5" xfId="33664" xr:uid="{6716B1E7-D766-4675-94B7-0A5B4B0DD866}"/>
    <cellStyle name="Note 2 4 9 2 6" xfId="33665" xr:uid="{855EDAAE-49AD-4067-AD89-AAB8551BD453}"/>
    <cellStyle name="Note 2 4 9 3" xfId="33666" xr:uid="{4E825FB4-5C69-476C-8BAE-02E5D4A73B98}"/>
    <cellStyle name="Note 2 4 9 4" xfId="33667" xr:uid="{AD9ECB4E-F1F3-4BF4-8298-C80ADB35C9F4}"/>
    <cellStyle name="Note 2 4 9 5" xfId="33668" xr:uid="{18F80206-78C3-418E-9FA2-F00F305CF8A9}"/>
    <cellStyle name="Note 2 4 9 6" xfId="33669" xr:uid="{D7F143C3-BCF3-45E1-91E3-C2D33AA89924}"/>
    <cellStyle name="Note 2 4 9 7" xfId="33670" xr:uid="{9787859B-322D-4001-AA8D-93D14DF8A8D3}"/>
    <cellStyle name="Note 2 40" xfId="2072" xr:uid="{9D6E1C06-B287-437C-AB51-07A4EF5C86B0}"/>
    <cellStyle name="Note 2 5" xfId="2270" xr:uid="{3B003366-B83B-437D-8B7A-985977D9A9C3}"/>
    <cellStyle name="Note 2 5 10" xfId="2271" xr:uid="{C7128CD5-5728-437B-839C-957369F65C02}"/>
    <cellStyle name="Note 2 5 10 2" xfId="10739" xr:uid="{0267EE1D-F167-444F-A335-BDEBECDED432}"/>
    <cellStyle name="Note 2 5 10 2 2" xfId="33671" xr:uid="{C505AE80-F604-4DB4-85D0-48678A78B3ED}"/>
    <cellStyle name="Note 2 5 10 2 3" xfId="33672" xr:uid="{1BAA1A7C-6868-48FD-A5D9-1B76C73DC833}"/>
    <cellStyle name="Note 2 5 10 2 4" xfId="33673" xr:uid="{EF2AA2EE-3196-4C76-942A-90AC2817EE98}"/>
    <cellStyle name="Note 2 5 10 2 5" xfId="33674" xr:uid="{2D4FA227-6925-429C-8283-140D07D86971}"/>
    <cellStyle name="Note 2 5 10 2 6" xfId="33675" xr:uid="{E7E99A64-8A84-4182-8617-7FED54488928}"/>
    <cellStyle name="Note 2 5 10 3" xfId="33676" xr:uid="{4595F02F-4947-4DC3-9448-40F325DD606C}"/>
    <cellStyle name="Note 2 5 10 4" xfId="33677" xr:uid="{6FF25673-F2C1-4D94-B8D1-22571A76CF7E}"/>
    <cellStyle name="Note 2 5 10 5" xfId="33678" xr:uid="{8B45D674-F70D-4856-8513-19FD0DEDA373}"/>
    <cellStyle name="Note 2 5 10 6" xfId="33679" xr:uid="{4AF71880-E557-4088-B2F3-D701CD903921}"/>
    <cellStyle name="Note 2 5 10 7" xfId="33680" xr:uid="{1444DC40-F430-4E0D-8512-1F7A7E5E4A0D}"/>
    <cellStyle name="Note 2 5 11" xfId="2272" xr:uid="{3FEEBB07-7A11-49E1-B08C-CE58571A7BD6}"/>
    <cellStyle name="Note 2 5 11 2" xfId="10827" xr:uid="{9ECEB5A7-96A7-4357-8202-7664D5EB2F46}"/>
    <cellStyle name="Note 2 5 11 2 2" xfId="33681" xr:uid="{5085C923-09A9-42C1-BBF1-6D9C0F67254E}"/>
    <cellStyle name="Note 2 5 11 2 3" xfId="33682" xr:uid="{6A835C98-5767-4A9E-8343-6A67F7EECD7F}"/>
    <cellStyle name="Note 2 5 11 2 4" xfId="33683" xr:uid="{CC8E1C16-D4AC-4BCD-BB97-AD0888545D95}"/>
    <cellStyle name="Note 2 5 11 2 5" xfId="33684" xr:uid="{146C75F4-6016-45AF-ABC3-999158AD5FB4}"/>
    <cellStyle name="Note 2 5 11 2 6" xfId="33685" xr:uid="{BBB3A5ED-9985-467E-BC23-D9E0CB4A8A20}"/>
    <cellStyle name="Note 2 5 11 3" xfId="33686" xr:uid="{C5BCF4B5-8262-4BAF-92E8-6D06B85A42EB}"/>
    <cellStyle name="Note 2 5 11 4" xfId="33687" xr:uid="{00D580E1-C02C-413C-B3E8-D312E827F88D}"/>
    <cellStyle name="Note 2 5 11 5" xfId="33688" xr:uid="{4536EC7E-35BE-4A5F-A0E9-E135FD936755}"/>
    <cellStyle name="Note 2 5 11 6" xfId="33689" xr:uid="{A43A1A49-7339-437B-9B2D-F83E34E7EDFD}"/>
    <cellStyle name="Note 2 5 11 7" xfId="33690" xr:uid="{2F85C272-CED2-4DE3-B9C9-267F0569D0AC}"/>
    <cellStyle name="Note 2 5 12" xfId="2273" xr:uid="{EDE0DA2C-5AA6-4819-8B6B-F337B9FBFEAB}"/>
    <cellStyle name="Note 2 5 12 2" xfId="10916" xr:uid="{FAFE0BF3-3552-4D50-84CF-D3B55AA2F421}"/>
    <cellStyle name="Note 2 5 12 2 2" xfId="33691" xr:uid="{6F1DF99B-7FF2-44C7-86AF-48C0FB56C779}"/>
    <cellStyle name="Note 2 5 12 2 3" xfId="33692" xr:uid="{F748B4A3-3F21-4973-B5CA-0D3837534307}"/>
    <cellStyle name="Note 2 5 12 2 4" xfId="33693" xr:uid="{5D5ECC55-63B1-4A4A-9B52-75769E853191}"/>
    <cellStyle name="Note 2 5 12 2 5" xfId="33694" xr:uid="{15E9FDE1-D9D1-4407-B63C-9BA0FED4FED2}"/>
    <cellStyle name="Note 2 5 12 2 6" xfId="33695" xr:uid="{673084DD-977E-4C65-853F-1F4EC6AFEAB2}"/>
    <cellStyle name="Note 2 5 12 3" xfId="33696" xr:uid="{0F3C17D6-781F-4394-A219-93DC5FF5E452}"/>
    <cellStyle name="Note 2 5 12 4" xfId="33697" xr:uid="{A34BE705-12A1-40E5-9545-A0AD7C7C0C5E}"/>
    <cellStyle name="Note 2 5 12 5" xfId="33698" xr:uid="{F2F5F6B8-979C-4657-9B6B-43C4DDAA02FD}"/>
    <cellStyle name="Note 2 5 12 6" xfId="33699" xr:uid="{FC3E9FFA-30F9-4708-A435-D01712205BA9}"/>
    <cellStyle name="Note 2 5 12 7" xfId="33700" xr:uid="{B7AC2BA3-34B3-4BA2-BB00-66A3327E228E}"/>
    <cellStyle name="Note 2 5 13" xfId="2274" xr:uid="{86591740-4479-4B76-95C7-F5DEA65F651D}"/>
    <cellStyle name="Note 2 5 13 2" xfId="11006" xr:uid="{526AA0D9-1217-4026-91AA-34D50BF65EFD}"/>
    <cellStyle name="Note 2 5 13 2 2" xfId="33701" xr:uid="{C7E40917-8B27-4810-AB92-8EC36CF8A2B6}"/>
    <cellStyle name="Note 2 5 13 2 3" xfId="33702" xr:uid="{2E7103D0-6A3F-4107-B046-0F8FA95DDCE4}"/>
    <cellStyle name="Note 2 5 13 2 4" xfId="33703" xr:uid="{6415000C-8295-4354-9966-E7DE0D3FF09B}"/>
    <cellStyle name="Note 2 5 13 2 5" xfId="33704" xr:uid="{D3309268-91E8-448D-988A-134A2D7BA550}"/>
    <cellStyle name="Note 2 5 13 2 6" xfId="33705" xr:uid="{54BCC99B-0CCF-4916-9DDB-6804BF240758}"/>
    <cellStyle name="Note 2 5 13 3" xfId="33706" xr:uid="{3F0EAE8B-F3EE-407C-9953-D26467B5260B}"/>
    <cellStyle name="Note 2 5 13 4" xfId="33707" xr:uid="{7DAAA355-1848-4A6B-9C1C-833BE6FB843D}"/>
    <cellStyle name="Note 2 5 13 5" xfId="33708" xr:uid="{9ACCD9D2-FF50-4C28-B9FF-52283FC8F8DA}"/>
    <cellStyle name="Note 2 5 13 6" xfId="33709" xr:uid="{992DFEB7-37EF-4C1C-BB53-1E23AE177816}"/>
    <cellStyle name="Note 2 5 13 7" xfId="33710" xr:uid="{D8B9C074-E873-4B0B-A9D2-6BDB669672F8}"/>
    <cellStyle name="Note 2 5 14" xfId="2275" xr:uid="{E6E9268A-2D60-47E6-9324-653474E74BDF}"/>
    <cellStyle name="Note 2 5 14 2" xfId="11096" xr:uid="{4BDCDEAA-4243-4434-B506-1B4A955995AD}"/>
    <cellStyle name="Note 2 5 14 2 2" xfId="33711" xr:uid="{AC18DA84-6866-42A7-87AD-541763E94FDD}"/>
    <cellStyle name="Note 2 5 14 2 3" xfId="33712" xr:uid="{EF1F6ADC-EF56-465C-B2F2-C94A5F5DA3FF}"/>
    <cellStyle name="Note 2 5 14 2 4" xfId="33713" xr:uid="{A479999A-D677-40B3-A509-52E3EF6331C6}"/>
    <cellStyle name="Note 2 5 14 2 5" xfId="33714" xr:uid="{8DD9411A-23C9-44AD-9EA7-B9AFD2CAAFC1}"/>
    <cellStyle name="Note 2 5 14 2 6" xfId="33715" xr:uid="{39CE08BB-C45D-4A57-815E-51332603F503}"/>
    <cellStyle name="Note 2 5 14 3" xfId="33716" xr:uid="{617F999E-96CD-44DB-8CE9-5FC25A564D87}"/>
    <cellStyle name="Note 2 5 14 4" xfId="33717" xr:uid="{ED90A2D1-B852-4058-83F0-D04BE2C94D8C}"/>
    <cellStyle name="Note 2 5 14 5" xfId="33718" xr:uid="{5FE9E326-C38D-4405-BA91-87872CDE381B}"/>
    <cellStyle name="Note 2 5 14 6" xfId="33719" xr:uid="{69DE8CDD-DF89-4BFF-B8DE-F148EFE42476}"/>
    <cellStyle name="Note 2 5 14 7" xfId="33720" xr:uid="{4FC18F0B-45C3-4EA1-BC95-B88B36770D18}"/>
    <cellStyle name="Note 2 5 15" xfId="2276" xr:uid="{EA3E9149-345F-44BA-9ADC-EFDDED6E4C3D}"/>
    <cellStyle name="Note 2 5 15 2" xfId="11179" xr:uid="{3A31DEB2-96BC-45C3-8653-B29CAB315C55}"/>
    <cellStyle name="Note 2 5 15 2 2" xfId="33721" xr:uid="{6D1478DE-5001-4103-A59C-7D2EF19AC24B}"/>
    <cellStyle name="Note 2 5 15 2 3" xfId="33722" xr:uid="{F0307935-2955-4950-A722-C15B579EA6B7}"/>
    <cellStyle name="Note 2 5 15 2 4" xfId="33723" xr:uid="{CDF5591E-1E91-47CB-99AE-D53BD67C0D88}"/>
    <cellStyle name="Note 2 5 15 2 5" xfId="33724" xr:uid="{EC33D509-EBFE-4893-B4C6-CD7A70D92916}"/>
    <cellStyle name="Note 2 5 15 2 6" xfId="33725" xr:uid="{2234C336-1F5B-44D1-A4FE-407220C442C7}"/>
    <cellStyle name="Note 2 5 15 3" xfId="33726" xr:uid="{74C5DA5F-CA58-4385-A728-BCD1919C5225}"/>
    <cellStyle name="Note 2 5 15 4" xfId="33727" xr:uid="{3A224EA5-B0FA-450D-8F35-729138DBF209}"/>
    <cellStyle name="Note 2 5 15 5" xfId="33728" xr:uid="{E9D4D47A-47A7-4D3F-8243-00CE798F23A7}"/>
    <cellStyle name="Note 2 5 15 6" xfId="33729" xr:uid="{971CF2F5-3BA0-41FE-8679-84CD8F53CBE1}"/>
    <cellStyle name="Note 2 5 15 7" xfId="33730" xr:uid="{855C206A-E809-4D62-AFE7-406D7E5D8426}"/>
    <cellStyle name="Note 2 5 16" xfId="2277" xr:uid="{46B02F64-EBB4-49E1-9BAA-4AD2E0CB3B45}"/>
    <cellStyle name="Note 2 5 16 2" xfId="11269" xr:uid="{E23F3F18-2211-4833-B386-6D16C3DE655B}"/>
    <cellStyle name="Note 2 5 16 2 2" xfId="33731" xr:uid="{207119B9-724D-45F7-874D-0B201EF22F95}"/>
    <cellStyle name="Note 2 5 16 2 3" xfId="33732" xr:uid="{B22FB333-FC66-4566-AD74-6F0E9B3D4B5A}"/>
    <cellStyle name="Note 2 5 16 2 4" xfId="33733" xr:uid="{A09733F2-32DE-4722-90B2-002A23335B80}"/>
    <cellStyle name="Note 2 5 16 2 5" xfId="33734" xr:uid="{8E226433-7CFF-405A-8BBC-07FA54A64BDD}"/>
    <cellStyle name="Note 2 5 16 2 6" xfId="33735" xr:uid="{77707D61-37D8-4927-B2C1-36F7A8FF3014}"/>
    <cellStyle name="Note 2 5 16 3" xfId="33736" xr:uid="{24F9DFD1-1B53-49A6-A2DB-A6E2791390A2}"/>
    <cellStyle name="Note 2 5 16 4" xfId="33737" xr:uid="{957B4C0D-CE97-4AF0-8648-71950BCDC6B7}"/>
    <cellStyle name="Note 2 5 16 5" xfId="33738" xr:uid="{63627B12-EB7A-45A5-A928-D15DC324D964}"/>
    <cellStyle name="Note 2 5 16 6" xfId="33739" xr:uid="{2E903152-887B-4FB1-BE22-26E24D9D8E0E}"/>
    <cellStyle name="Note 2 5 16 7" xfId="33740" xr:uid="{99898BA4-7FCA-492D-BFC9-98C99F2DEBA8}"/>
    <cellStyle name="Note 2 5 17" xfId="2278" xr:uid="{4D4C12F0-80CB-46EA-9280-0E5BE09372D0}"/>
    <cellStyle name="Note 2 5 17 2" xfId="11355" xr:uid="{DF31087D-BE38-413B-A924-6C442513F22F}"/>
    <cellStyle name="Note 2 5 17 2 2" xfId="33741" xr:uid="{73036026-46AA-441C-A3E5-D6071AECF73A}"/>
    <cellStyle name="Note 2 5 17 2 3" xfId="33742" xr:uid="{099BAD7D-0406-4765-8311-DD8B438E8BDB}"/>
    <cellStyle name="Note 2 5 17 2 4" xfId="33743" xr:uid="{ABFEEC37-4B28-4AA9-B1D5-C66DE56A3EE4}"/>
    <cellStyle name="Note 2 5 17 2 5" xfId="33744" xr:uid="{BE2420AA-A80C-4035-91FE-343F555EF019}"/>
    <cellStyle name="Note 2 5 17 2 6" xfId="33745" xr:uid="{36D5B49D-802F-40BE-A2C2-6AF7C3F74BC3}"/>
    <cellStyle name="Note 2 5 17 3" xfId="33746" xr:uid="{1CA16FB9-E826-42F3-B8AC-ED7A996544AD}"/>
    <cellStyle name="Note 2 5 17 4" xfId="33747" xr:uid="{6EC9BFDA-E36C-476C-8A7E-2D24F05FBFD2}"/>
    <cellStyle name="Note 2 5 17 5" xfId="33748" xr:uid="{4AFAF58C-264B-4653-8C45-B7014FA86D91}"/>
    <cellStyle name="Note 2 5 17 6" xfId="33749" xr:uid="{B02AA5A4-50E4-448E-8D2A-65A9BA16D12A}"/>
    <cellStyle name="Note 2 5 17 7" xfId="33750" xr:uid="{86B3501E-92C9-457F-9D9A-E1CD952C4102}"/>
    <cellStyle name="Note 2 5 18" xfId="2279" xr:uid="{8B06FC6E-37B0-4266-B2AD-AB9A620421F7}"/>
    <cellStyle name="Note 2 5 18 2" xfId="11442" xr:uid="{C24614E1-EDC1-4835-B5E7-7122DF370E09}"/>
    <cellStyle name="Note 2 5 18 2 2" xfId="33751" xr:uid="{32C179D5-A569-43A0-B4D9-DC2246C647E4}"/>
    <cellStyle name="Note 2 5 18 2 3" xfId="33752" xr:uid="{0B0ECD37-EF89-4804-BD0B-49186235C376}"/>
    <cellStyle name="Note 2 5 18 2 4" xfId="33753" xr:uid="{BCA50DC7-90EC-4DE6-8E0A-58D239B2D46A}"/>
    <cellStyle name="Note 2 5 18 2 5" xfId="33754" xr:uid="{AAB7A550-D82C-40D6-B4DE-F7DA1E3D3DF9}"/>
    <cellStyle name="Note 2 5 18 2 6" xfId="33755" xr:uid="{E9C39C84-00B8-4E91-B190-0084A7E540CC}"/>
    <cellStyle name="Note 2 5 18 3" xfId="33756" xr:uid="{DD60CC7A-4B1A-411E-B328-83B86147A8D4}"/>
    <cellStyle name="Note 2 5 18 4" xfId="33757" xr:uid="{2C098911-51BA-4120-8EBE-7BBCC97FE12D}"/>
    <cellStyle name="Note 2 5 18 5" xfId="33758" xr:uid="{D4AACD62-77D2-4158-B2BA-0AEBEEAC94B6}"/>
    <cellStyle name="Note 2 5 18 6" xfId="33759" xr:uid="{27E406E3-F0BA-464A-BC77-D12943E359A6}"/>
    <cellStyle name="Note 2 5 18 7" xfId="33760" xr:uid="{7402D2EE-402F-4666-BC39-E8FEC2C85378}"/>
    <cellStyle name="Note 2 5 19" xfId="2280" xr:uid="{5A72DC9F-7A6E-4D29-A484-D7FA5B525B89}"/>
    <cellStyle name="Note 2 5 19 2" xfId="11529" xr:uid="{62C0BB36-EBB4-467A-84F0-56ED1ED64FCB}"/>
    <cellStyle name="Note 2 5 19 2 2" xfId="33761" xr:uid="{657F3D97-5594-41A0-9A48-F5D8868DF83C}"/>
    <cellStyle name="Note 2 5 19 2 3" xfId="33762" xr:uid="{931E5BE9-9617-4900-B68E-36E02B20304C}"/>
    <cellStyle name="Note 2 5 19 2 4" xfId="33763" xr:uid="{0883598B-AB5B-4FC7-B39C-56606450CF15}"/>
    <cellStyle name="Note 2 5 19 2 5" xfId="33764" xr:uid="{17EBA747-D077-41CC-AB46-CBA7B4C1BCAA}"/>
    <cellStyle name="Note 2 5 19 2 6" xfId="33765" xr:uid="{77F34292-4AE8-47F6-A23E-9490F3DC7A52}"/>
    <cellStyle name="Note 2 5 19 3" xfId="33766" xr:uid="{84703C18-16AA-4C5B-A395-B790333D317F}"/>
    <cellStyle name="Note 2 5 19 4" xfId="33767" xr:uid="{97B18E70-EA8E-47B8-8049-7A16E4BB9656}"/>
    <cellStyle name="Note 2 5 19 5" xfId="33768" xr:uid="{64FD8EC4-FDD2-47FE-AD31-F6C8A8DFFBA5}"/>
    <cellStyle name="Note 2 5 19 6" xfId="33769" xr:uid="{DEE8EAC1-03B9-4C2F-BA2F-43B305AA0118}"/>
    <cellStyle name="Note 2 5 19 7" xfId="33770" xr:uid="{891B6553-DFBD-42F8-BB7E-7AE23E6A8289}"/>
    <cellStyle name="Note 2 5 2" xfId="2281" xr:uid="{8D5F8163-B3C4-4ECA-B3B8-4F8F722A5F00}"/>
    <cellStyle name="Note 2 5 2 2" xfId="10036" xr:uid="{676FDF57-808F-4C38-A8EA-31A5ABFEB1CF}"/>
    <cellStyle name="Note 2 5 2 2 2" xfId="33771" xr:uid="{28CC13B6-E18B-45CD-A125-45EB5527510C}"/>
    <cellStyle name="Note 2 5 2 2 3" xfId="33772" xr:uid="{532371BA-D345-4210-B9DF-65ED9E07FC43}"/>
    <cellStyle name="Note 2 5 2 2 4" xfId="33773" xr:uid="{016FC3D0-DFC5-4014-82E4-E18330A8859E}"/>
    <cellStyle name="Note 2 5 2 2 5" xfId="33774" xr:uid="{1E4455BD-30EE-41D6-9656-0723B1843BA0}"/>
    <cellStyle name="Note 2 5 2 2 6" xfId="33775" xr:uid="{D8ACC4C5-BEB1-4BE9-A788-BAC79B1F430C}"/>
    <cellStyle name="Note 2 5 2 3" xfId="33776" xr:uid="{8CA53D6F-A8C0-444B-8B11-D988977E5FA9}"/>
    <cellStyle name="Note 2 5 2 4" xfId="33777" xr:uid="{575F26FE-E970-4DDE-A3B0-02549978F25B}"/>
    <cellStyle name="Note 2 5 2 5" xfId="33778" xr:uid="{3AAD33B5-3363-4C91-BDD0-363BA84F9D41}"/>
    <cellStyle name="Note 2 5 2 6" xfId="33779" xr:uid="{E2B517DB-DA24-4026-8753-86BC0B0DFBD2}"/>
    <cellStyle name="Note 2 5 2 7" xfId="33780" xr:uid="{CCCF33BB-4D67-4DE1-BC4A-84C1085E2725}"/>
    <cellStyle name="Note 2 5 20" xfId="2282" xr:uid="{B3300979-D18A-40CA-A0AA-020610A9C516}"/>
    <cellStyle name="Note 2 5 20 2" xfId="11617" xr:uid="{91595E20-BE17-4E47-AB84-9A90EEF328DE}"/>
    <cellStyle name="Note 2 5 20 2 2" xfId="33781" xr:uid="{B795283E-8FBA-44CD-A7A2-7DB9CC716E9D}"/>
    <cellStyle name="Note 2 5 20 2 3" xfId="33782" xr:uid="{8A446924-C332-4220-B130-4F5221FC7D4B}"/>
    <cellStyle name="Note 2 5 20 2 4" xfId="33783" xr:uid="{37296F42-BA85-477A-A5C1-0AECF420396A}"/>
    <cellStyle name="Note 2 5 20 2 5" xfId="33784" xr:uid="{B73C6BD5-1FD3-4BDA-A45A-9C42DFE573A3}"/>
    <cellStyle name="Note 2 5 20 2 6" xfId="33785" xr:uid="{F7C09EF1-F6CA-4FBC-BA42-4CD68D49069C}"/>
    <cellStyle name="Note 2 5 20 3" xfId="33786" xr:uid="{D176B942-F13B-4C16-956C-7FB92795B483}"/>
    <cellStyle name="Note 2 5 20 4" xfId="33787" xr:uid="{506619B4-6627-41F6-A7FC-998BA2A6DF2E}"/>
    <cellStyle name="Note 2 5 20 5" xfId="33788" xr:uid="{2B1C036D-D776-45D5-BBD2-472D1B5E290B}"/>
    <cellStyle name="Note 2 5 20 6" xfId="33789" xr:uid="{AFD686B6-6A61-4EB7-B3C8-846C70ABB14E}"/>
    <cellStyle name="Note 2 5 20 7" xfId="33790" xr:uid="{5DDF20DD-861A-4241-B0B6-F963ADC5CD44}"/>
    <cellStyle name="Note 2 5 21" xfId="2283" xr:uid="{46934723-C294-42B8-B85C-1DD4FDC43950}"/>
    <cellStyle name="Note 2 5 21 2" xfId="11701" xr:uid="{0AB30654-3622-43B4-BA0F-E535B85367F0}"/>
    <cellStyle name="Note 2 5 21 2 2" xfId="33791" xr:uid="{BBC3C28D-10E4-4158-A756-B465713CD023}"/>
    <cellStyle name="Note 2 5 21 2 3" xfId="33792" xr:uid="{67A43915-0256-4D15-AA46-5D0495F23FBC}"/>
    <cellStyle name="Note 2 5 21 2 4" xfId="33793" xr:uid="{E1674052-006A-474A-BF7A-474E88412D32}"/>
    <cellStyle name="Note 2 5 21 2 5" xfId="33794" xr:uid="{F19DF96D-278F-485B-A3BD-3C8057A91D21}"/>
    <cellStyle name="Note 2 5 21 2 6" xfId="33795" xr:uid="{B29CD65B-EE8D-4D56-ADF4-D71D251F055A}"/>
    <cellStyle name="Note 2 5 21 3" xfId="33796" xr:uid="{38CDBF3E-3775-4E03-AE0C-83506AEB8B3E}"/>
    <cellStyle name="Note 2 5 21 4" xfId="33797" xr:uid="{CB3C2DB6-1378-4886-BCF7-5E816F81032E}"/>
    <cellStyle name="Note 2 5 21 5" xfId="33798" xr:uid="{B5C9F05C-8812-4030-A993-68E9C2D85B76}"/>
    <cellStyle name="Note 2 5 21 6" xfId="33799" xr:uid="{739DEFA3-32CC-478D-A508-BBC42267DDAB}"/>
    <cellStyle name="Note 2 5 21 7" xfId="33800" xr:uid="{733E8823-5070-4442-953E-E376E9C811C8}"/>
    <cellStyle name="Note 2 5 22" xfId="2284" xr:uid="{21CF4509-C44B-4B47-AB4D-94E5B75F601B}"/>
    <cellStyle name="Note 2 5 22 2" xfId="11784" xr:uid="{7936F26A-FC6D-4AEE-9CCE-54DA66D52411}"/>
    <cellStyle name="Note 2 5 22 2 2" xfId="33801" xr:uid="{F411AD7A-5662-47EF-B6F3-440AF87E474E}"/>
    <cellStyle name="Note 2 5 22 2 3" xfId="33802" xr:uid="{12DD3A4E-F822-4E70-9DE3-ECA37F5342D6}"/>
    <cellStyle name="Note 2 5 22 2 4" xfId="33803" xr:uid="{B1AB39AD-21E6-4781-950E-6922BBA05D7A}"/>
    <cellStyle name="Note 2 5 22 2 5" xfId="33804" xr:uid="{8128AD63-1F62-4736-8BA1-3A5224955A6B}"/>
    <cellStyle name="Note 2 5 22 2 6" xfId="33805" xr:uid="{A3480C84-501D-452C-A0E6-495EB72D256D}"/>
    <cellStyle name="Note 2 5 22 3" xfId="33806" xr:uid="{94642722-C348-414E-958B-C68D6DC8324A}"/>
    <cellStyle name="Note 2 5 22 4" xfId="33807" xr:uid="{689BFC83-255B-4B5A-9DB0-94511636D8E2}"/>
    <cellStyle name="Note 2 5 22 5" xfId="33808" xr:uid="{53141109-907A-4CE7-B30E-007BBAEA9650}"/>
    <cellStyle name="Note 2 5 22 6" xfId="33809" xr:uid="{7BA5B841-B4E2-4659-A8A7-4AD21C693781}"/>
    <cellStyle name="Note 2 5 22 7" xfId="33810" xr:uid="{03629C4F-24E3-4CA1-86F9-CA3829B8E879}"/>
    <cellStyle name="Note 2 5 23" xfId="2285" xr:uid="{BBD15A2E-40DF-44EB-942E-07ACCAD05F6E}"/>
    <cellStyle name="Note 2 5 23 2" xfId="11867" xr:uid="{9522B5DE-6A13-4F6C-94FC-744B6C468E3D}"/>
    <cellStyle name="Note 2 5 23 2 2" xfId="33811" xr:uid="{C77FA409-19AB-42F1-8E13-D8AF7CB8D199}"/>
    <cellStyle name="Note 2 5 23 2 3" xfId="33812" xr:uid="{285CC21B-5E48-49F7-B2C1-18C4E7B9CD85}"/>
    <cellStyle name="Note 2 5 23 2 4" xfId="33813" xr:uid="{2989EFC8-A412-4975-9D3D-6B7873F88CCA}"/>
    <cellStyle name="Note 2 5 23 2 5" xfId="33814" xr:uid="{3BB86CB3-83A7-4BE0-884A-61FD61885D8D}"/>
    <cellStyle name="Note 2 5 23 2 6" xfId="33815" xr:uid="{46FA9810-9FA4-43B2-A830-419D0D7B54BB}"/>
    <cellStyle name="Note 2 5 23 3" xfId="33816" xr:uid="{F0F9017A-4CBE-4CD8-9D14-F89106DA1FCF}"/>
    <cellStyle name="Note 2 5 23 4" xfId="33817" xr:uid="{EDF4B548-C788-4423-A6F9-658B2E7AC67E}"/>
    <cellStyle name="Note 2 5 23 5" xfId="33818" xr:uid="{9FB86A30-B056-4B5A-818F-AEC60DCEBBBB}"/>
    <cellStyle name="Note 2 5 23 6" xfId="33819" xr:uid="{54435044-092E-4FDC-90BE-0E16932FD830}"/>
    <cellStyle name="Note 2 5 23 7" xfId="33820" xr:uid="{0E2DCABB-4B71-47DF-89AF-0A520C74C9E1}"/>
    <cellStyle name="Note 2 5 24" xfId="2286" xr:uid="{D8EE0A57-248A-41B9-8163-11A35D31734A}"/>
    <cellStyle name="Note 2 5 24 2" xfId="11951" xr:uid="{BC8581C7-4E4C-40DA-9AA7-F3F385BEB1AE}"/>
    <cellStyle name="Note 2 5 24 2 2" xfId="33821" xr:uid="{677BAD35-0A89-4503-9366-E17DEF87A212}"/>
    <cellStyle name="Note 2 5 24 2 3" xfId="33822" xr:uid="{6AA86748-F384-4D70-ADA3-9E8680F5A709}"/>
    <cellStyle name="Note 2 5 24 2 4" xfId="33823" xr:uid="{03B8B727-5B92-458E-9020-9EF6456AA998}"/>
    <cellStyle name="Note 2 5 24 2 5" xfId="33824" xr:uid="{DC414E8E-68C8-4754-891A-FA971A1F0608}"/>
    <cellStyle name="Note 2 5 24 2 6" xfId="33825" xr:uid="{0E18A462-31DA-44F8-A1C4-D68B37229101}"/>
    <cellStyle name="Note 2 5 24 3" xfId="33826" xr:uid="{14A3C4A7-9302-41BD-A8A2-13C80DB73590}"/>
    <cellStyle name="Note 2 5 24 4" xfId="33827" xr:uid="{6F9B7A38-444D-4D5C-A582-052D5A52721C}"/>
    <cellStyle name="Note 2 5 24 5" xfId="33828" xr:uid="{81171B32-3313-4954-A0F0-B3F0ACBF4216}"/>
    <cellStyle name="Note 2 5 24 6" xfId="33829" xr:uid="{8E4F4B65-AE85-4049-9B39-4302D66175A6}"/>
    <cellStyle name="Note 2 5 24 7" xfId="33830" xr:uid="{F7ABA537-00CF-46CF-8939-5A9996DDF5F6}"/>
    <cellStyle name="Note 2 5 25" xfId="2287" xr:uid="{6A6D6F07-6F40-40BC-A4F1-7F326069F28A}"/>
    <cellStyle name="Note 2 5 25 2" xfId="12034" xr:uid="{74168495-7670-42C9-BDE3-EB4F07771857}"/>
    <cellStyle name="Note 2 5 25 2 2" xfId="33831" xr:uid="{28DC65ED-15A5-4467-A7DD-47D59979EE5F}"/>
    <cellStyle name="Note 2 5 25 2 3" xfId="33832" xr:uid="{6B07B682-3161-43C1-AE79-ECF9491026D0}"/>
    <cellStyle name="Note 2 5 25 2 4" xfId="33833" xr:uid="{6CBE2712-475A-44D5-A5DE-A809929AE390}"/>
    <cellStyle name="Note 2 5 25 2 5" xfId="33834" xr:uid="{FD85A60B-3732-463A-A806-F34AB32AC89B}"/>
    <cellStyle name="Note 2 5 25 2 6" xfId="33835" xr:uid="{1E3576EC-515C-449A-83E8-B7B0421347DF}"/>
    <cellStyle name="Note 2 5 25 3" xfId="33836" xr:uid="{149EB1CF-00A9-4BA6-A643-8DF61396E4EE}"/>
    <cellStyle name="Note 2 5 25 4" xfId="33837" xr:uid="{135685F6-F5E2-48AD-AA39-AD52F3ACA4ED}"/>
    <cellStyle name="Note 2 5 25 5" xfId="33838" xr:uid="{1FCE514D-AF21-4CEA-82E8-CF2B16B17994}"/>
    <cellStyle name="Note 2 5 25 6" xfId="33839" xr:uid="{AF7ACC8E-A4A6-4AE8-87AB-357E77DE8AA7}"/>
    <cellStyle name="Note 2 5 25 7" xfId="33840" xr:uid="{D37C78E7-EB4B-4EEE-A2CE-871E61FDADFB}"/>
    <cellStyle name="Note 2 5 26" xfId="2288" xr:uid="{297278F7-8EE4-443D-8655-3FE45E96BA90}"/>
    <cellStyle name="Note 2 5 26 2" xfId="12117" xr:uid="{0783F7AF-E382-4567-9EF2-842ECF8EFDC8}"/>
    <cellStyle name="Note 2 5 26 2 2" xfId="33841" xr:uid="{01C79421-BA60-4F1B-8A50-F1CE627C11A7}"/>
    <cellStyle name="Note 2 5 26 2 3" xfId="33842" xr:uid="{2C1352E3-901C-4AD7-87CE-40CAEAFD162D}"/>
    <cellStyle name="Note 2 5 26 2 4" xfId="33843" xr:uid="{B2AF3E23-6461-4F62-9DA5-747C4C146A26}"/>
    <cellStyle name="Note 2 5 26 2 5" xfId="33844" xr:uid="{B4315FF4-9A40-4ECB-82A6-101FDE29025E}"/>
    <cellStyle name="Note 2 5 26 2 6" xfId="33845" xr:uid="{AC3E14EE-A294-4021-BA07-206213736D55}"/>
    <cellStyle name="Note 2 5 26 3" xfId="33846" xr:uid="{C9882329-F2BE-4CB8-A062-C013345F462A}"/>
    <cellStyle name="Note 2 5 26 4" xfId="33847" xr:uid="{5B31E4AC-CF9D-41C5-A2AB-5FC3772B2D74}"/>
    <cellStyle name="Note 2 5 26 5" xfId="33848" xr:uid="{7EFEA517-ACD7-4E3A-93E9-C122F24F3F0F}"/>
    <cellStyle name="Note 2 5 26 6" xfId="33849" xr:uid="{6ACA826F-4C65-4246-A744-CAE3B35CBB2E}"/>
    <cellStyle name="Note 2 5 26 7" xfId="33850" xr:uid="{108D951A-BEDD-4FAB-8DDD-6F5DFC6ECD7D}"/>
    <cellStyle name="Note 2 5 27" xfId="2289" xr:uid="{7B2AD0EA-A51D-4FBD-B1CE-3E7200D50C91}"/>
    <cellStyle name="Note 2 5 27 2" xfId="12199" xr:uid="{996D0B18-8EC5-4C93-ABF7-34EAA58EA9B8}"/>
    <cellStyle name="Note 2 5 27 2 2" xfId="33851" xr:uid="{A3888149-C440-494A-B53F-9976B163A28C}"/>
    <cellStyle name="Note 2 5 27 2 3" xfId="33852" xr:uid="{F36F3250-B544-4BFE-9F50-C0C64F497246}"/>
    <cellStyle name="Note 2 5 27 2 4" xfId="33853" xr:uid="{67A8EF61-2B9C-4F5D-9FC3-E21301F2E7BA}"/>
    <cellStyle name="Note 2 5 27 2 5" xfId="33854" xr:uid="{6825FFB8-6D15-4385-9470-56BEA105CEEC}"/>
    <cellStyle name="Note 2 5 27 2 6" xfId="33855" xr:uid="{1BA85249-C114-4027-961A-3873F66AEFE2}"/>
    <cellStyle name="Note 2 5 27 3" xfId="33856" xr:uid="{76EF1234-13C9-4CD4-B1B3-66AC79A15C05}"/>
    <cellStyle name="Note 2 5 27 4" xfId="33857" xr:uid="{025820D4-6B34-47D7-A4FA-E98E50D80B64}"/>
    <cellStyle name="Note 2 5 27 5" xfId="33858" xr:uid="{9ED4D468-1FF3-4E0A-8C6D-85F7EC184C55}"/>
    <cellStyle name="Note 2 5 27 6" xfId="33859" xr:uid="{227C62E3-B1D8-41D3-8E07-606AB88CE655}"/>
    <cellStyle name="Note 2 5 27 7" xfId="33860" xr:uid="{54AA201F-1B67-4870-93B3-236D2EC99D69}"/>
    <cellStyle name="Note 2 5 28" xfId="2290" xr:uid="{54A6CD7A-1C68-43E6-82DA-F78F7973F070}"/>
    <cellStyle name="Note 2 5 28 2" xfId="12279" xr:uid="{CAEEB941-36D1-417E-9D2A-9BC752E34CA4}"/>
    <cellStyle name="Note 2 5 28 2 2" xfId="33861" xr:uid="{B4FC5391-4161-4A7B-91B3-B960D5BD34A4}"/>
    <cellStyle name="Note 2 5 28 2 3" xfId="33862" xr:uid="{CE8F6CBC-C8EA-4224-A9FF-ED67AC088620}"/>
    <cellStyle name="Note 2 5 28 2 4" xfId="33863" xr:uid="{A47900F9-1F63-4AA9-9EB2-9B653AA04E16}"/>
    <cellStyle name="Note 2 5 28 2 5" xfId="33864" xr:uid="{FDD54C5B-0F54-45EF-8FE9-0269F1CCD266}"/>
    <cellStyle name="Note 2 5 28 2 6" xfId="33865" xr:uid="{F5B417C2-52F0-4547-AA41-0A68B8DD7DEB}"/>
    <cellStyle name="Note 2 5 28 3" xfId="33866" xr:uid="{4238C61A-C95C-4F19-BD01-F8DF352FDA7B}"/>
    <cellStyle name="Note 2 5 28 4" xfId="33867" xr:uid="{CB003946-9AC9-4FBD-8DAA-20D4D5AB911C}"/>
    <cellStyle name="Note 2 5 28 5" xfId="33868" xr:uid="{DAF99C63-765E-4A9B-9088-3121B869B40B}"/>
    <cellStyle name="Note 2 5 28 6" xfId="33869" xr:uid="{310BF0D9-60A1-44B7-A8C2-02372F01BE37}"/>
    <cellStyle name="Note 2 5 28 7" xfId="33870" xr:uid="{2BC0B5E1-ED10-4C9B-932B-1D23CF5D053E}"/>
    <cellStyle name="Note 2 5 29" xfId="2291" xr:uid="{401A02BE-0E80-4B4F-99ED-BFD14B7813E2}"/>
    <cellStyle name="Note 2 5 29 2" xfId="12357" xr:uid="{C1DD773F-23E0-49F9-BB10-FFDBEFDE6123}"/>
    <cellStyle name="Note 2 5 29 2 2" xfId="33871" xr:uid="{3F776531-EEC9-45EF-9B9B-4CAFAF3969F4}"/>
    <cellStyle name="Note 2 5 29 2 3" xfId="33872" xr:uid="{B1441149-3A8A-43BB-9D6F-9669949F3DC2}"/>
    <cellStyle name="Note 2 5 29 2 4" xfId="33873" xr:uid="{0A5BB089-7AC8-4072-8CEF-2B6B545F12CA}"/>
    <cellStyle name="Note 2 5 29 2 5" xfId="33874" xr:uid="{8840DBDC-5C54-41B9-9C40-5B91776CD54E}"/>
    <cellStyle name="Note 2 5 29 2 6" xfId="33875" xr:uid="{207DC62E-3319-441A-97B9-6F0633127A83}"/>
    <cellStyle name="Note 2 5 29 3" xfId="33876" xr:uid="{D3B724A1-48AB-41AB-AFB6-C9FB4378DF97}"/>
    <cellStyle name="Note 2 5 29 4" xfId="33877" xr:uid="{973435FC-D7B9-4C88-9095-453BB1817A61}"/>
    <cellStyle name="Note 2 5 29 5" xfId="33878" xr:uid="{2BEA2AD7-6FCB-43E9-9FA4-83FBD39A3B94}"/>
    <cellStyle name="Note 2 5 29 6" xfId="33879" xr:uid="{E1D5734D-1245-4FF1-9E2B-90799EDD9729}"/>
    <cellStyle name="Note 2 5 29 7" xfId="33880" xr:uid="{A44E16CA-6A9B-486B-8299-B55E8AC34F71}"/>
    <cellStyle name="Note 2 5 3" xfId="2292" xr:uid="{71B2CB92-36FA-4C63-A844-E04AF9B787F9}"/>
    <cellStyle name="Note 2 5 3 2" xfId="10127" xr:uid="{8DF82E9F-A40D-4CDB-8122-1B2B2AB392A1}"/>
    <cellStyle name="Note 2 5 3 2 2" xfId="33881" xr:uid="{7130895B-4BE0-4161-AFB9-7960F3EE7C58}"/>
    <cellStyle name="Note 2 5 3 2 3" xfId="33882" xr:uid="{3FEA48A9-6793-481B-8D8A-812026A307AA}"/>
    <cellStyle name="Note 2 5 3 2 4" xfId="33883" xr:uid="{B6B438A0-81AD-4F90-AEA9-40981362F523}"/>
    <cellStyle name="Note 2 5 3 2 5" xfId="33884" xr:uid="{7DCFE89E-5FF5-4430-906D-86FBB7449D31}"/>
    <cellStyle name="Note 2 5 3 2 6" xfId="33885" xr:uid="{0EE70A63-E1E8-47B8-90EE-117087B5CC3F}"/>
    <cellStyle name="Note 2 5 3 3" xfId="33886" xr:uid="{324AD25E-50DC-45F3-A925-B282800CAD64}"/>
    <cellStyle name="Note 2 5 3 4" xfId="33887" xr:uid="{7AA96F98-0D68-402C-A282-72E4918B1BE5}"/>
    <cellStyle name="Note 2 5 3 5" xfId="33888" xr:uid="{34003E4B-D404-4397-992E-B6F83BAA74B0}"/>
    <cellStyle name="Note 2 5 3 6" xfId="33889" xr:uid="{E66B4D08-E8BD-4D55-AA28-60334F1EF6AD}"/>
    <cellStyle name="Note 2 5 3 7" xfId="33890" xr:uid="{45C4A7A1-FB9A-4F51-8A78-E499FBC49087}"/>
    <cellStyle name="Note 2 5 30" xfId="2293" xr:uid="{D331230B-E4BC-4C04-AE8A-7EDF4607B763}"/>
    <cellStyle name="Note 2 5 30 2" xfId="12436" xr:uid="{FF3E1862-52EA-4FAC-AB49-64D204328AF0}"/>
    <cellStyle name="Note 2 5 30 2 2" xfId="33891" xr:uid="{61999CD0-69AC-4716-B2F3-D85610FA2176}"/>
    <cellStyle name="Note 2 5 30 2 3" xfId="33892" xr:uid="{162701B6-9C74-4D79-BDB1-5292AF3F5C8B}"/>
    <cellStyle name="Note 2 5 30 2 4" xfId="33893" xr:uid="{E8BDDB8C-42EF-4A59-A740-69EB884C0084}"/>
    <cellStyle name="Note 2 5 30 2 5" xfId="33894" xr:uid="{41EB9C04-8620-446E-AF02-4743CA66B281}"/>
    <cellStyle name="Note 2 5 30 2 6" xfId="33895" xr:uid="{3034D1F5-119C-4D56-962C-724E0F269293}"/>
    <cellStyle name="Note 2 5 30 3" xfId="33896" xr:uid="{C5CB5732-00A1-4651-86A5-B53128AD7F6A}"/>
    <cellStyle name="Note 2 5 30 4" xfId="33897" xr:uid="{3BCC3C0F-1BA6-43BC-B5AE-0D5528BCAAA2}"/>
    <cellStyle name="Note 2 5 30 5" xfId="33898" xr:uid="{B28FE8DE-64EA-45D3-A7DD-3047216B94D1}"/>
    <cellStyle name="Note 2 5 30 6" xfId="33899" xr:uid="{019A22D9-E504-470F-AF11-A232F3EF29FD}"/>
    <cellStyle name="Note 2 5 30 7" xfId="33900" xr:uid="{699294A9-D4EA-4C46-BD42-DFDBD54F359E}"/>
    <cellStyle name="Note 2 5 31" xfId="2294" xr:uid="{58C99E2D-A897-42B5-BEB3-8CAF5FE8DD8B}"/>
    <cellStyle name="Note 2 5 31 2" xfId="12515" xr:uid="{F37ED42F-7C85-4297-8767-3F2F856E77E6}"/>
    <cellStyle name="Note 2 5 31 2 2" xfId="33901" xr:uid="{F7FCBA00-02E7-46B0-A70D-A017AC9F0828}"/>
    <cellStyle name="Note 2 5 31 2 3" xfId="33902" xr:uid="{699D4EEF-4935-4601-8993-8644F3A6612E}"/>
    <cellStyle name="Note 2 5 31 2 4" xfId="33903" xr:uid="{D00C8568-5506-4A37-92E2-728E05FF9715}"/>
    <cellStyle name="Note 2 5 31 2 5" xfId="33904" xr:uid="{03E8882C-EB28-44A2-8576-D1B5E4ECD3B0}"/>
    <cellStyle name="Note 2 5 31 2 6" xfId="33905" xr:uid="{61C0DE67-29EC-4E57-AED3-38B0101DAE6F}"/>
    <cellStyle name="Note 2 5 31 3" xfId="33906" xr:uid="{186F20FA-CB3F-4573-84CB-1150CAC286B1}"/>
    <cellStyle name="Note 2 5 31 4" xfId="33907" xr:uid="{53D4E8F2-97BC-4E23-9E48-3B17E06925F3}"/>
    <cellStyle name="Note 2 5 31 5" xfId="33908" xr:uid="{E472E9A9-6EB9-4B3A-AAE2-3B3DADC5AF17}"/>
    <cellStyle name="Note 2 5 31 6" xfId="33909" xr:uid="{8F1C0C7C-2B6D-4641-B9DF-E3117E01C63A}"/>
    <cellStyle name="Note 2 5 31 7" xfId="33910" xr:uid="{8B7D2445-5F18-4A9E-8D62-F7D66A3A5C71}"/>
    <cellStyle name="Note 2 5 32" xfId="2295" xr:uid="{91B900FE-31DC-4C06-95FC-92ED960A7E26}"/>
    <cellStyle name="Note 2 5 32 2" xfId="12594" xr:uid="{85C7C9DF-5B1B-41EC-951D-A057B1C3FCFA}"/>
    <cellStyle name="Note 2 5 32 2 2" xfId="33911" xr:uid="{2D77E92F-897F-49F2-B197-E32C37CD5694}"/>
    <cellStyle name="Note 2 5 32 2 3" xfId="33912" xr:uid="{FD539F42-A307-4AF1-8D3A-93B3F3B3672D}"/>
    <cellStyle name="Note 2 5 32 2 4" xfId="33913" xr:uid="{0B118D82-66C3-4C0F-BB32-C964D4EF45B7}"/>
    <cellStyle name="Note 2 5 32 2 5" xfId="33914" xr:uid="{B3D397C3-01C0-4F3D-A9AF-73F9A535E178}"/>
    <cellStyle name="Note 2 5 32 2 6" xfId="33915" xr:uid="{BC1643E5-E22A-41D4-A5B5-188450551853}"/>
    <cellStyle name="Note 2 5 32 3" xfId="33916" xr:uid="{1D2575CE-357F-4E43-854D-A88859F44A68}"/>
    <cellStyle name="Note 2 5 32 4" xfId="33917" xr:uid="{B11F4B24-AF92-42F5-A353-3FF1A9B657B0}"/>
    <cellStyle name="Note 2 5 32 5" xfId="33918" xr:uid="{6627F77A-FB6E-47F9-9EE3-289697F89210}"/>
    <cellStyle name="Note 2 5 32 6" xfId="33919" xr:uid="{21F3B899-19D4-4CEA-86B3-D36F8E03A972}"/>
    <cellStyle name="Note 2 5 32 7" xfId="33920" xr:uid="{C06A481D-1160-4DAF-B842-23A4F7CA94EF}"/>
    <cellStyle name="Note 2 5 33" xfId="2296" xr:uid="{CA915151-1589-4094-9FC8-40074F6D4A1C}"/>
    <cellStyle name="Note 2 5 33 2" xfId="12673" xr:uid="{0308AB09-FD32-4F62-A33B-911386848499}"/>
    <cellStyle name="Note 2 5 33 2 2" xfId="33921" xr:uid="{03700C44-05D0-40A4-9E6C-B3B529803184}"/>
    <cellStyle name="Note 2 5 33 2 3" xfId="33922" xr:uid="{2930D694-A52B-4280-B518-248DA62EAB95}"/>
    <cellStyle name="Note 2 5 33 2 4" xfId="33923" xr:uid="{4A4CF1FA-D654-4B3B-A894-66C8E43656D0}"/>
    <cellStyle name="Note 2 5 33 2 5" xfId="33924" xr:uid="{2BCFA24E-BBE8-4720-80F3-F49666F89094}"/>
    <cellStyle name="Note 2 5 33 2 6" xfId="33925" xr:uid="{1EC2B41C-2FF1-47B8-9DC7-8D0459AA52F3}"/>
    <cellStyle name="Note 2 5 33 3" xfId="33926" xr:uid="{078345BA-E43F-4A43-9DA8-1BCB06E7806A}"/>
    <cellStyle name="Note 2 5 33 4" xfId="33927" xr:uid="{E74C6487-CD5D-4EE2-9EF6-23DA84F1999C}"/>
    <cellStyle name="Note 2 5 33 5" xfId="33928" xr:uid="{D1231DFD-4972-443F-BB12-2A6BA8934AA8}"/>
    <cellStyle name="Note 2 5 33 6" xfId="33929" xr:uid="{CFCDA1E5-190F-4E1E-B48A-2731E3F48395}"/>
    <cellStyle name="Note 2 5 33 7" xfId="33930" xr:uid="{F067A98B-9A16-47C7-AFB9-99EBDF8E364D}"/>
    <cellStyle name="Note 2 5 34" xfId="2297" xr:uid="{A6024488-717B-41A8-989E-E39C3CC94693}"/>
    <cellStyle name="Note 2 5 34 2" xfId="12757" xr:uid="{C6DDD209-671C-4A31-8B1C-9734016541E1}"/>
    <cellStyle name="Note 2 5 34 2 2" xfId="33931" xr:uid="{5D91BCC9-DA84-419E-B903-1BD3D58EAFF1}"/>
    <cellStyle name="Note 2 5 34 2 3" xfId="33932" xr:uid="{946F768E-E5C2-4E87-B165-E4CBEE4E5B02}"/>
    <cellStyle name="Note 2 5 34 2 4" xfId="33933" xr:uid="{5EE51A1A-1408-45F9-B30E-0DD61BF62AD8}"/>
    <cellStyle name="Note 2 5 34 2 5" xfId="33934" xr:uid="{29E7AB56-1993-491F-9B87-5BC969B98555}"/>
    <cellStyle name="Note 2 5 34 2 6" xfId="33935" xr:uid="{B5CD465A-E926-4707-BBC7-42B20086A868}"/>
    <cellStyle name="Note 2 5 34 3" xfId="33936" xr:uid="{3FFFEC30-3F48-4053-85CB-C2869E23AF46}"/>
    <cellStyle name="Note 2 5 34 4" xfId="33937" xr:uid="{A0E33C6D-D327-4689-85A5-603EF2065083}"/>
    <cellStyle name="Note 2 5 34 5" xfId="33938" xr:uid="{697775D1-7081-4ACE-B4DF-07A96A39F2FB}"/>
    <cellStyle name="Note 2 5 34 6" xfId="33939" xr:uid="{CAF12C49-AFB5-492D-85B3-1A8282174178}"/>
    <cellStyle name="Note 2 5 34 7" xfId="33940" xr:uid="{9B32E3CD-C2AB-4EA4-8619-A814A0FAE845}"/>
    <cellStyle name="Note 2 5 35" xfId="8890" xr:uid="{07B6C0F5-E77B-4CE6-8CD4-741B0F363252}"/>
    <cellStyle name="Note 2 5 36" xfId="9823" xr:uid="{957A7367-08D1-4AC6-8CA8-2AA4117954BA}"/>
    <cellStyle name="Note 2 5 36 2" xfId="33941" xr:uid="{A0D58A15-4EAF-40E2-949C-565784F550ED}"/>
    <cellStyle name="Note 2 5 36 3" xfId="33942" xr:uid="{3E6004FA-03AF-4440-B283-03762F80FBFF}"/>
    <cellStyle name="Note 2 5 36 4" xfId="33943" xr:uid="{8AC92FED-AB8C-4540-9035-5A321E3364F9}"/>
    <cellStyle name="Note 2 5 36 5" xfId="33944" xr:uid="{4BADE053-C151-4625-846C-17D19986FEB8}"/>
    <cellStyle name="Note 2 5 36 6" xfId="33945" xr:uid="{B3156A28-C17A-43D4-99DB-6201D32DE659}"/>
    <cellStyle name="Note 2 5 37" xfId="33946" xr:uid="{1E8647D2-D877-43C5-BB14-2129023AF8EA}"/>
    <cellStyle name="Note 2 5 38" xfId="33947" xr:uid="{110224C0-6F1B-47F8-A42F-2BEFA623BBF1}"/>
    <cellStyle name="Note 2 5 39" xfId="33948" xr:uid="{FAF8C806-2C18-42B7-B8F8-27BD243B8BE4}"/>
    <cellStyle name="Note 2 5 4" xfId="2298" xr:uid="{44E7D4C7-C110-485E-A1BA-660FB7A57371}"/>
    <cellStyle name="Note 2 5 4 2" xfId="10217" xr:uid="{ACCE939E-438B-47E2-8D7B-8F76D88E89D2}"/>
    <cellStyle name="Note 2 5 4 2 2" xfId="33949" xr:uid="{052E8520-5700-4A25-B89B-4A6D91A6A8B1}"/>
    <cellStyle name="Note 2 5 4 2 3" xfId="33950" xr:uid="{82E0F346-91E2-4780-89F6-ABC993334D69}"/>
    <cellStyle name="Note 2 5 4 2 4" xfId="33951" xr:uid="{7CB2E41D-AF0B-4A4E-AFFA-8D3730D13AF3}"/>
    <cellStyle name="Note 2 5 4 2 5" xfId="33952" xr:uid="{38D5775E-2C74-4259-AB44-AB92807A79BE}"/>
    <cellStyle name="Note 2 5 4 2 6" xfId="33953" xr:uid="{7585FDFC-2818-4510-95C1-D2FD99A3B9F9}"/>
    <cellStyle name="Note 2 5 4 3" xfId="33954" xr:uid="{E22D3F13-8014-456A-8088-BCF859C418B2}"/>
    <cellStyle name="Note 2 5 4 4" xfId="33955" xr:uid="{EC8F5E55-2813-4E29-955E-7A5AA966DFF5}"/>
    <cellStyle name="Note 2 5 4 5" xfId="33956" xr:uid="{27A3AD43-F1DB-4F8E-83C7-B1C92136CF35}"/>
    <cellStyle name="Note 2 5 4 6" xfId="33957" xr:uid="{9EBC79F0-548C-429E-853F-9F90B3EA91AB}"/>
    <cellStyle name="Note 2 5 4 7" xfId="33958" xr:uid="{80896BB0-B318-47E6-A22C-7EB0D4140FC5}"/>
    <cellStyle name="Note 2 5 40" xfId="33959" xr:uid="{33BCA812-D581-4D42-9B4E-2C634ADEA513}"/>
    <cellStyle name="Note 2 5 41" xfId="33960" xr:uid="{8B0BC7F9-7B02-4729-A6D5-867ACF98207D}"/>
    <cellStyle name="Note 2 5 5" xfId="2299" xr:uid="{68B7B01B-F841-40E3-AD22-E4C482FAE9EC}"/>
    <cellStyle name="Note 2 5 5 2" xfId="10303" xr:uid="{E4A7FADE-CC65-434A-9B3F-679B385C3AF3}"/>
    <cellStyle name="Note 2 5 5 2 2" xfId="33961" xr:uid="{D686B11E-1991-46F2-81F1-A24276FB1EC1}"/>
    <cellStyle name="Note 2 5 5 2 3" xfId="33962" xr:uid="{7305E695-7822-4022-9E1E-60178C2BEE94}"/>
    <cellStyle name="Note 2 5 5 2 4" xfId="33963" xr:uid="{E241A6DF-6FA4-456A-B534-B62535F2BE43}"/>
    <cellStyle name="Note 2 5 5 2 5" xfId="33964" xr:uid="{656569AC-6D29-4473-A1C1-3646C2FEBE5E}"/>
    <cellStyle name="Note 2 5 5 2 6" xfId="33965" xr:uid="{5EFB50CB-B978-47AA-94FF-6D1781ED7AEF}"/>
    <cellStyle name="Note 2 5 5 3" xfId="33966" xr:uid="{22D2FF04-BB00-4961-8B58-4AEB511A5A4A}"/>
    <cellStyle name="Note 2 5 5 4" xfId="33967" xr:uid="{9D29E73F-BAFD-4C1B-B5BC-CA677E5AFFF0}"/>
    <cellStyle name="Note 2 5 5 5" xfId="33968" xr:uid="{4284773F-F313-401E-8909-582CE1B95E51}"/>
    <cellStyle name="Note 2 5 5 6" xfId="33969" xr:uid="{7271AB83-B5AD-461D-9316-75BDC4481F99}"/>
    <cellStyle name="Note 2 5 5 7" xfId="33970" xr:uid="{2AFBA30E-7587-486D-BC6D-69664069BCBB}"/>
    <cellStyle name="Note 2 5 6" xfId="2300" xr:uid="{11121AB1-93B9-42EA-9F7F-9A84F8D56BF3}"/>
    <cellStyle name="Note 2 5 6 2" xfId="10391" xr:uid="{25D47F1B-55B5-43BD-B637-08935C0ADB15}"/>
    <cellStyle name="Note 2 5 6 2 2" xfId="33971" xr:uid="{A46F9792-2A27-4F84-BDE6-75FC1CDD2323}"/>
    <cellStyle name="Note 2 5 6 2 3" xfId="33972" xr:uid="{19876986-954E-4F31-A2B8-EA636D2453F0}"/>
    <cellStyle name="Note 2 5 6 2 4" xfId="33973" xr:uid="{92392833-5CDE-47B6-BD76-AC9E73E827F4}"/>
    <cellStyle name="Note 2 5 6 2 5" xfId="33974" xr:uid="{368608C8-FF98-48E3-BF99-6E096F7FD102}"/>
    <cellStyle name="Note 2 5 6 2 6" xfId="33975" xr:uid="{24D5A351-ED4A-4282-9B4B-AA8E777C29FF}"/>
    <cellStyle name="Note 2 5 6 3" xfId="33976" xr:uid="{6E6E3452-4AF9-4D17-B7FF-0F43B90AA0A1}"/>
    <cellStyle name="Note 2 5 6 4" xfId="33977" xr:uid="{622E7B60-0666-4951-94CC-2877C16151AD}"/>
    <cellStyle name="Note 2 5 6 5" xfId="33978" xr:uid="{DB65CF29-6989-4BFF-9C05-5D042CAF920C}"/>
    <cellStyle name="Note 2 5 6 6" xfId="33979" xr:uid="{64CD30C2-613A-466D-AAD1-52E67B120D27}"/>
    <cellStyle name="Note 2 5 6 7" xfId="33980" xr:uid="{5A5985EA-9D53-4963-8E19-FF7F9FCE21A1}"/>
    <cellStyle name="Note 2 5 7" xfId="2301" xr:uid="{3AAFF50F-C93D-4726-BFC7-7241A81BE4DB}"/>
    <cellStyle name="Note 2 5 7 2" xfId="10478" xr:uid="{FEC8683B-7556-4508-80F9-84C6A3BF0D4B}"/>
    <cellStyle name="Note 2 5 7 2 2" xfId="33981" xr:uid="{CC0FCA0E-52DB-4D7E-B79B-33F644EC5F35}"/>
    <cellStyle name="Note 2 5 7 2 3" xfId="33982" xr:uid="{2AAE661D-2B7F-49E6-8F10-34DFF3F17889}"/>
    <cellStyle name="Note 2 5 7 2 4" xfId="33983" xr:uid="{8152AFB4-B26E-488F-9094-538C99B56935}"/>
    <cellStyle name="Note 2 5 7 2 5" xfId="33984" xr:uid="{307DED3D-2DCB-43D8-A9F5-9AB04CED7A87}"/>
    <cellStyle name="Note 2 5 7 2 6" xfId="33985" xr:uid="{9F3BAA7F-0CEC-4E8D-A71F-E1B39D70BCEF}"/>
    <cellStyle name="Note 2 5 7 3" xfId="33986" xr:uid="{524045E4-68A9-4ABF-B3D3-615BB90CB3CA}"/>
    <cellStyle name="Note 2 5 7 4" xfId="33987" xr:uid="{3E6208BC-3EFB-49AA-BE0A-E49960A67C83}"/>
    <cellStyle name="Note 2 5 7 5" xfId="33988" xr:uid="{3A874BD2-01D9-4F8E-B3E1-4D81611D4BE8}"/>
    <cellStyle name="Note 2 5 7 6" xfId="33989" xr:uid="{421AAE12-9F03-440E-A844-8B6AA2249D88}"/>
    <cellStyle name="Note 2 5 7 7" xfId="33990" xr:uid="{22E5178B-E05B-412D-8DC6-5F63EF431642}"/>
    <cellStyle name="Note 2 5 8" xfId="2302" xr:uid="{2226B22E-6D24-4432-A240-E0642CD3CC8E}"/>
    <cellStyle name="Note 2 5 8 2" xfId="10566" xr:uid="{3A5710CF-6E19-41BE-B0E9-1BF398C638EC}"/>
    <cellStyle name="Note 2 5 8 2 2" xfId="33991" xr:uid="{AAC379C4-8B0F-4A57-A004-A80390B1881E}"/>
    <cellStyle name="Note 2 5 8 2 3" xfId="33992" xr:uid="{C6DD80A5-8F80-47FB-BD2C-EE5EE8877603}"/>
    <cellStyle name="Note 2 5 8 2 4" xfId="33993" xr:uid="{54037724-9971-4DD0-9050-50FFB1E25E78}"/>
    <cellStyle name="Note 2 5 8 2 5" xfId="33994" xr:uid="{EB4CAB3A-823B-4421-9352-466D4AC4CEB4}"/>
    <cellStyle name="Note 2 5 8 2 6" xfId="33995" xr:uid="{16BE03E6-574B-4864-A0BD-0C491A73BDAE}"/>
    <cellStyle name="Note 2 5 8 3" xfId="33996" xr:uid="{CD4EBC34-0276-467F-9293-D57ED43C15DB}"/>
    <cellStyle name="Note 2 5 8 4" xfId="33997" xr:uid="{87C909C6-D59E-4635-BD79-6A03026D4777}"/>
    <cellStyle name="Note 2 5 8 5" xfId="33998" xr:uid="{A6ECEF1D-B36F-43FB-9C9E-A1545ED62F51}"/>
    <cellStyle name="Note 2 5 8 6" xfId="33999" xr:uid="{DE7316B4-873C-477C-B7D2-89D6F1F9BA39}"/>
    <cellStyle name="Note 2 5 8 7" xfId="34000" xr:uid="{739F29F3-1C3C-4729-8615-4DC68BE97181}"/>
    <cellStyle name="Note 2 5 9" xfId="2303" xr:uid="{E71EECA0-C5DB-4F5F-850B-2E0B71F7F89B}"/>
    <cellStyle name="Note 2 5 9 2" xfId="10648" xr:uid="{621CF619-FB6B-4444-8DC4-E4C57CD6B5DE}"/>
    <cellStyle name="Note 2 5 9 2 2" xfId="34001" xr:uid="{5DADE41A-BC8F-4E4E-A2D6-00D49DDBF8A7}"/>
    <cellStyle name="Note 2 5 9 2 3" xfId="34002" xr:uid="{87382BE1-E3EB-46D9-87CD-3300EE6FA0C7}"/>
    <cellStyle name="Note 2 5 9 2 4" xfId="34003" xr:uid="{787479E3-869B-4B9D-8928-37DCFB3779A9}"/>
    <cellStyle name="Note 2 5 9 2 5" xfId="34004" xr:uid="{8C3CB0F1-1F71-4A37-8008-4B94562AAB98}"/>
    <cellStyle name="Note 2 5 9 2 6" xfId="34005" xr:uid="{CF9DB248-7739-4A13-81B1-D49010EC389C}"/>
    <cellStyle name="Note 2 5 9 3" xfId="34006" xr:uid="{9F21F719-9E70-4083-82A7-9F7E2D1C5A3E}"/>
    <cellStyle name="Note 2 5 9 4" xfId="34007" xr:uid="{B498F1B4-3B51-405F-BE03-93938FBED668}"/>
    <cellStyle name="Note 2 5 9 5" xfId="34008" xr:uid="{A3BE5C37-FA1F-4F35-85DA-9478F26D09F1}"/>
    <cellStyle name="Note 2 5 9 6" xfId="34009" xr:uid="{2E47B1D4-A1BB-47D4-A9BE-9D77F05CB606}"/>
    <cellStyle name="Note 2 5 9 7" xfId="34010" xr:uid="{4ECD8433-DF1D-444B-A7FB-B93E66091126}"/>
    <cellStyle name="Note 2 6" xfId="2304" xr:uid="{7A8C46B4-919E-4602-832A-71C33C6A214F}"/>
    <cellStyle name="Note 2 6 2" xfId="8891" xr:uid="{29D8DA11-C6AB-485F-883A-88B34A1EB705}"/>
    <cellStyle name="Note 2 6 3" xfId="9973" xr:uid="{1334E2F8-A12D-4B5F-AE9B-6ADFBA9D9768}"/>
    <cellStyle name="Note 2 6 3 2" xfId="34011" xr:uid="{2645202C-1B93-4729-98D6-A6FC767DB0C7}"/>
    <cellStyle name="Note 2 6 3 3" xfId="34012" xr:uid="{559575D4-0BC1-42E0-AAE7-C3548BA42C19}"/>
    <cellStyle name="Note 2 6 3 4" xfId="34013" xr:uid="{582A0D79-DE4D-4081-9E2E-597A18FFAAD4}"/>
    <cellStyle name="Note 2 6 3 5" xfId="34014" xr:uid="{DF4A7B3D-FD89-4F6C-B0AD-F303BF0346F3}"/>
    <cellStyle name="Note 2 6 3 6" xfId="34015" xr:uid="{912FE3C8-17B5-4E2D-96E5-8D1991F38B74}"/>
    <cellStyle name="Note 2 6 4" xfId="34016" xr:uid="{56AB5276-C2C5-4B6F-8B17-65D411C7F38B}"/>
    <cellStyle name="Note 2 6 5" xfId="34017" xr:uid="{A2015D19-C70F-48CD-B1F4-6554F2CE6247}"/>
    <cellStyle name="Note 2 6 6" xfId="34018" xr:uid="{CBBB7E34-E5B2-41EB-A4CD-8708920FF089}"/>
    <cellStyle name="Note 2 6 7" xfId="34019" xr:uid="{5EBE5B97-459E-4F14-8F26-3169A1F5095B}"/>
    <cellStyle name="Note 2 6 8" xfId="34020" xr:uid="{D2F33AEF-2930-43E7-BC80-B4DDF2FBFFA0}"/>
    <cellStyle name="Note 2 7" xfId="2305" xr:uid="{DD9E8B12-EA51-424C-91C8-BD5CEADDC851}"/>
    <cellStyle name="Note 2 7 2" xfId="8892" xr:uid="{F33503C9-6F4C-4983-8968-5FF97F86B054}"/>
    <cellStyle name="Note 2 7 2 2" xfId="34021" xr:uid="{8C9BDBBD-327B-45D5-B4AF-65E2E241B29C}"/>
    <cellStyle name="Note 2 7 2 3" xfId="34022" xr:uid="{6381A92F-76E2-4AFE-B3BE-8B8EEEEA93D3}"/>
    <cellStyle name="Note 2 7 2 4" xfId="34023" xr:uid="{78699BC5-40D2-4B17-B296-26DDDF9E0171}"/>
    <cellStyle name="Note 2 7 2 5" xfId="34024" xr:uid="{58E96A8E-FA4B-4BC5-91A9-01A38E614C6C}"/>
    <cellStyle name="Note 2 7 2 6" xfId="34025" xr:uid="{A2832A21-A795-4B93-B689-CE221E632B6C}"/>
    <cellStyle name="Note 2 7 3" xfId="9873" xr:uid="{FFF51C11-2872-49A2-9F7B-BC9357F247E6}"/>
    <cellStyle name="Note 2 7 3 2" xfId="34026" xr:uid="{95B203FF-81D1-43C3-A63F-8803058412A6}"/>
    <cellStyle name="Note 2 7 3 3" xfId="34027" xr:uid="{ED3FEAE1-35F3-48F5-9325-F5F219E681B8}"/>
    <cellStyle name="Note 2 7 3 4" xfId="34028" xr:uid="{D87C69B8-1376-40DA-90EE-3E0626D02668}"/>
    <cellStyle name="Note 2 7 3 5" xfId="34029" xr:uid="{0005F5AF-9330-410E-A104-1304E402E657}"/>
    <cellStyle name="Note 2 7 3 6" xfId="34030" xr:uid="{7D658814-0EF0-4671-8D7C-B04000A73E07}"/>
    <cellStyle name="Note 2 7 4" xfId="34031" xr:uid="{0539CE18-98A9-4EEB-96CB-688763914A30}"/>
    <cellStyle name="Note 2 7 5" xfId="34032" xr:uid="{DF03A3A3-A49C-4469-86B6-E778A8222E92}"/>
    <cellStyle name="Note 2 7 6" xfId="34033" xr:uid="{60CBBBEF-349A-4C55-9FA5-58FF7B0BD367}"/>
    <cellStyle name="Note 2 7 7" xfId="34034" xr:uid="{803557F4-B982-495F-8F92-31AD65440A8E}"/>
    <cellStyle name="Note 2 7 8" xfId="34035" xr:uid="{AFA262D2-8778-4437-8BF4-04B0BBB51BF4}"/>
    <cellStyle name="Note 2 8" xfId="2306" xr:uid="{BDACF622-9836-45FF-B383-D492621959F7}"/>
    <cellStyle name="Note 2 8 2" xfId="8893" xr:uid="{8CEE8DB8-827D-4EE3-B95E-0D4BA9DE617A}"/>
    <cellStyle name="Note 2 8 3" xfId="9948" xr:uid="{3B2BB45C-DE0F-4D3F-A2F8-E8A0F6627976}"/>
    <cellStyle name="Note 2 8 3 2" xfId="34036" xr:uid="{C6E98191-7E7D-4075-9075-E8B4E775B93E}"/>
    <cellStyle name="Note 2 8 3 3" xfId="34037" xr:uid="{1FF6D377-558B-4228-B69F-BBFC48C74D24}"/>
    <cellStyle name="Note 2 8 3 4" xfId="34038" xr:uid="{F2945461-B139-4A85-95E4-2B29C33F2DF4}"/>
    <cellStyle name="Note 2 8 3 5" xfId="34039" xr:uid="{2AE1E27A-E9B2-4FDB-BC99-71A964A9A422}"/>
    <cellStyle name="Note 2 8 3 6" xfId="34040" xr:uid="{05DF108F-59F7-405C-968A-0C3DA389F215}"/>
    <cellStyle name="Note 2 8 4" xfId="34041" xr:uid="{16891A7D-5462-411B-9F15-C9489BBD3DD8}"/>
    <cellStyle name="Note 2 8 5" xfId="34042" xr:uid="{0D6D212D-341C-4EE8-A4C8-78EF3626F23F}"/>
    <cellStyle name="Note 2 8 6" xfId="34043" xr:uid="{960D8EDE-42DD-4370-89D5-769E00A586A1}"/>
    <cellStyle name="Note 2 8 7" xfId="34044" xr:uid="{675BA960-F7BD-40A3-8314-FFE9CEF2FB3B}"/>
    <cellStyle name="Note 2 8 8" xfId="34045" xr:uid="{EF465CA4-7411-451E-B1C5-D8CDD851396C}"/>
    <cellStyle name="Note 2 9" xfId="2307" xr:uid="{7C567ECF-FF47-479E-B39B-EBFF5CCA4633}"/>
    <cellStyle name="Note 2 9 2" xfId="8894" xr:uid="{B082B569-9F70-4F4A-8F0E-FA43795DBAF5}"/>
    <cellStyle name="Note 2 9 3" xfId="9898" xr:uid="{05074421-0D84-4C02-943D-DAD46DB06EF7}"/>
    <cellStyle name="Note 2 9 3 2" xfId="34046" xr:uid="{01763247-D6E9-4BD8-A7CA-B6CEB16E67FE}"/>
    <cellStyle name="Note 2 9 3 3" xfId="34047" xr:uid="{1F3CCD04-C492-44FA-B02A-8704DC97AC5A}"/>
    <cellStyle name="Note 2 9 3 4" xfId="34048" xr:uid="{7D6366D1-9409-4849-B2D0-7E969342DE3E}"/>
    <cellStyle name="Note 2 9 3 5" xfId="34049" xr:uid="{77703F1F-71F3-4033-A0BD-CC5BE184E0A5}"/>
    <cellStyle name="Note 2 9 3 6" xfId="34050" xr:uid="{8D2BC009-8644-4445-A2A2-30BB76344681}"/>
    <cellStyle name="Note 2 9 4" xfId="34051" xr:uid="{2D65614D-47E5-428D-9638-9C8029223F22}"/>
    <cellStyle name="Note 2 9 5" xfId="34052" xr:uid="{F75123C5-D38B-4D48-A5E6-809DABC2BD77}"/>
    <cellStyle name="Note 2 9 6" xfId="34053" xr:uid="{4010B6E5-3040-4FB0-B847-E89F8D377F40}"/>
    <cellStyle name="Note 2 9 7" xfId="34054" xr:uid="{3182F42C-BCE3-4922-B20F-A9E06C754B0E}"/>
    <cellStyle name="Note 2 9 8" xfId="34055" xr:uid="{B7EB6FAC-5DDA-413D-B703-C05591AA1E3C}"/>
    <cellStyle name="Note 3" xfId="2308" xr:uid="{5BEA7BF7-572B-4B77-9BB3-39D56137E6D7}"/>
    <cellStyle name="Note 3 10" xfId="2309" xr:uid="{C5F7E456-EEB7-4979-810B-7158F5890708}"/>
    <cellStyle name="Note 3 10 2" xfId="9860" xr:uid="{79B68DFC-CD03-466A-BA4E-FE8A7D3D3712}"/>
    <cellStyle name="Note 3 10 2 2" xfId="34056" xr:uid="{0F704943-C1ED-4225-8237-64BF0B6B59A9}"/>
    <cellStyle name="Note 3 10 2 3" xfId="34057" xr:uid="{6D708E49-0FA8-4C32-9AD8-9D33386CD36C}"/>
    <cellStyle name="Note 3 10 2 4" xfId="34058" xr:uid="{67E5A0C8-F2CA-4679-9256-F8293FEB0D82}"/>
    <cellStyle name="Note 3 10 2 5" xfId="34059" xr:uid="{A6A31EB2-46F2-486D-824B-ADCFCCCFFEE5}"/>
    <cellStyle name="Note 3 10 2 6" xfId="34060" xr:uid="{9AC5B237-CB50-42DB-8DF2-63612372ED7F}"/>
    <cellStyle name="Note 3 10 3" xfId="34061" xr:uid="{B3275F7F-CFA0-468C-B781-86699B6A2E5C}"/>
    <cellStyle name="Note 3 10 4" xfId="34062" xr:uid="{7C57DC82-BCD1-4770-A749-C7539936A74D}"/>
    <cellStyle name="Note 3 10 5" xfId="34063" xr:uid="{BE0C02B5-E6B3-48B4-8BDC-6D7ECCF4B52C}"/>
    <cellStyle name="Note 3 10 6" xfId="34064" xr:uid="{FB7B1ED7-9BC6-407B-B817-C4B115F00C00}"/>
    <cellStyle name="Note 3 10 7" xfId="34065" xr:uid="{DB153812-EE47-43F1-B77B-328A915E102F}"/>
    <cellStyle name="Note 3 11" xfId="2310" xr:uid="{44BD4C11-D350-428B-ACA5-3C30D9BD4FA2}"/>
    <cellStyle name="Note 3 11 2" xfId="10078" xr:uid="{A04F7EC5-BBEE-4879-A3CC-C81402FCAF4B}"/>
    <cellStyle name="Note 3 11 2 2" xfId="34066" xr:uid="{3884BD07-EEAE-451C-B8E4-C42D10A71347}"/>
    <cellStyle name="Note 3 11 2 3" xfId="34067" xr:uid="{48BC9CCE-EC42-4516-BB54-8977F9D0B47C}"/>
    <cellStyle name="Note 3 11 2 4" xfId="34068" xr:uid="{47ADF07B-DE2D-4A0D-A7B0-C9B01952F54C}"/>
    <cellStyle name="Note 3 11 2 5" xfId="34069" xr:uid="{244C14E1-6F7A-4EA9-90B3-2CA1660348A4}"/>
    <cellStyle name="Note 3 11 2 6" xfId="34070" xr:uid="{BABD1EB3-5339-4DF6-9269-9FEC50378886}"/>
    <cellStyle name="Note 3 11 3" xfId="34071" xr:uid="{D6FEC3C2-77F0-4D1F-B836-DDF29A2E8E86}"/>
    <cellStyle name="Note 3 11 4" xfId="34072" xr:uid="{304412AA-1FB1-4AB5-B942-6FF7D65576EE}"/>
    <cellStyle name="Note 3 11 5" xfId="34073" xr:uid="{E6A7B5E2-B15E-4BF9-99C9-70F6E717D730}"/>
    <cellStyle name="Note 3 11 6" xfId="34074" xr:uid="{3847BD3A-5ABF-47A8-8ABD-73692FA8BCE6}"/>
    <cellStyle name="Note 3 11 7" xfId="34075" xr:uid="{4255E496-EF92-4E8B-A9A7-849BF8E3BF67}"/>
    <cellStyle name="Note 3 12" xfId="2311" xr:uid="{2BD526D3-EA0C-42BA-813A-C1317CFF67BA}"/>
    <cellStyle name="Note 3 12 2" xfId="9962" xr:uid="{D03CD854-D72A-4FD5-92B9-161EAA2C67F5}"/>
    <cellStyle name="Note 3 12 2 2" xfId="34076" xr:uid="{4FF46F3F-55C8-4692-B675-E313AE5D2B33}"/>
    <cellStyle name="Note 3 12 2 3" xfId="34077" xr:uid="{4B8BCAAD-E491-4D87-B7B4-636AD4B6B754}"/>
    <cellStyle name="Note 3 12 2 4" xfId="34078" xr:uid="{F2BFEFAA-0342-41D0-B326-1CF2F2BC68FF}"/>
    <cellStyle name="Note 3 12 2 5" xfId="34079" xr:uid="{B76BDD1B-FB5F-493D-89B5-4352EA295A47}"/>
    <cellStyle name="Note 3 12 2 6" xfId="34080" xr:uid="{FC96A3EE-BA1C-4E95-A209-52FBA33BE4D9}"/>
    <cellStyle name="Note 3 12 3" xfId="34081" xr:uid="{F78297B9-1515-4708-AEB9-0EA8BC4E2D09}"/>
    <cellStyle name="Note 3 12 4" xfId="34082" xr:uid="{0B7194A8-9EFD-4AF1-81DA-749822D8EEC4}"/>
    <cellStyle name="Note 3 12 5" xfId="34083" xr:uid="{16D468C0-7C57-4216-A0E3-398028357AA2}"/>
    <cellStyle name="Note 3 12 6" xfId="34084" xr:uid="{D1EDA08F-EC6B-4DFE-BFC4-4279AE7F590B}"/>
    <cellStyle name="Note 3 12 7" xfId="34085" xr:uid="{9673BC00-9958-4A20-BD71-9013CF6F1B64}"/>
    <cellStyle name="Note 3 13" xfId="2312" xr:uid="{EE4BB6EB-7437-43B3-9B3E-1FAD8987A75B}"/>
    <cellStyle name="Note 3 13 2" xfId="10160" xr:uid="{C9490CE7-CC7D-4CC6-90B8-2353DF77C237}"/>
    <cellStyle name="Note 3 13 2 2" xfId="34086" xr:uid="{68C98ACF-1924-43E0-9E56-C4C4E69F2AFA}"/>
    <cellStyle name="Note 3 13 2 3" xfId="34087" xr:uid="{9F279D2C-603B-42DA-9941-E5B4779EC530}"/>
    <cellStyle name="Note 3 13 2 4" xfId="34088" xr:uid="{15871C66-2E38-4D1D-A6B5-8CFE6EE4E71A}"/>
    <cellStyle name="Note 3 13 2 5" xfId="34089" xr:uid="{2F4E7810-9366-4D11-B10B-44F1CE68F26E}"/>
    <cellStyle name="Note 3 13 2 6" xfId="34090" xr:uid="{EF624EA4-A848-4F10-ADED-00DDF9F36B16}"/>
    <cellStyle name="Note 3 13 3" xfId="34091" xr:uid="{32019784-491F-4AD8-A424-2BB170E149C6}"/>
    <cellStyle name="Note 3 13 4" xfId="34092" xr:uid="{59F92072-D80C-4EB2-8B76-87AD273C68A6}"/>
    <cellStyle name="Note 3 13 5" xfId="34093" xr:uid="{2F71A825-3458-4B80-8B8F-5C915AA23829}"/>
    <cellStyle name="Note 3 13 6" xfId="34094" xr:uid="{5AC07F6D-F41F-434A-8BF1-90C66D8A5972}"/>
    <cellStyle name="Note 3 13 7" xfId="34095" xr:uid="{1603168E-3792-4577-89E7-328AAFC47A9A}"/>
    <cellStyle name="Note 3 14" xfId="2313" xr:uid="{9E452243-27EC-4E73-B4F7-71518790FC07}"/>
    <cellStyle name="Note 3 14 2" xfId="9722" xr:uid="{263EFF21-3382-4E2C-9C92-52E856167831}"/>
    <cellStyle name="Note 3 14 2 2" xfId="34096" xr:uid="{B6C82FCB-FDB5-428B-9025-EB666F5A2D39}"/>
    <cellStyle name="Note 3 14 2 3" xfId="34097" xr:uid="{BA4B6E34-49CB-4F22-9A80-4A0774605A86}"/>
    <cellStyle name="Note 3 14 2 4" xfId="34098" xr:uid="{925634EC-6293-4803-907B-F0D081F34CFC}"/>
    <cellStyle name="Note 3 14 2 5" xfId="34099" xr:uid="{4CE2E6C6-9012-4DB0-B952-915E4094731E}"/>
    <cellStyle name="Note 3 14 2 6" xfId="34100" xr:uid="{6B1CD957-E4FE-4CB4-A8E9-B20EA6E14F20}"/>
    <cellStyle name="Note 3 14 3" xfId="34101" xr:uid="{B324585F-7F0A-4CDF-B538-77DFE4CC7815}"/>
    <cellStyle name="Note 3 14 4" xfId="34102" xr:uid="{9BAA45F1-DB66-4D0A-8025-BC9F9080F6F8}"/>
    <cellStyle name="Note 3 14 5" xfId="34103" xr:uid="{CF83E256-951D-4D5C-9C56-97DC5DA77385}"/>
    <cellStyle name="Note 3 14 6" xfId="34104" xr:uid="{EB991EF9-EE87-4F54-A011-E2CC47296AA9}"/>
    <cellStyle name="Note 3 14 7" xfId="34105" xr:uid="{670C42BF-3718-48DB-B93C-64DF4339E179}"/>
    <cellStyle name="Note 3 15" xfId="2314" xr:uid="{6D598BE8-97F2-4A20-8B93-95BFF79DA4E9}"/>
    <cellStyle name="Note 3 15 2" xfId="9987" xr:uid="{A645DE89-2061-4489-BB47-CF2B16CEA327}"/>
    <cellStyle name="Note 3 15 2 2" xfId="34106" xr:uid="{3DEED14B-829F-443F-AFC9-449BA1204CEA}"/>
    <cellStyle name="Note 3 15 2 3" xfId="34107" xr:uid="{16AB0886-FBF6-4EA5-94F3-668031636ECF}"/>
    <cellStyle name="Note 3 15 2 4" xfId="34108" xr:uid="{A1E090A6-0092-4142-8997-8F546A0A16F7}"/>
    <cellStyle name="Note 3 15 2 5" xfId="34109" xr:uid="{97443F2A-F08C-4BBC-9EB2-98F95BC79D5D}"/>
    <cellStyle name="Note 3 15 2 6" xfId="34110" xr:uid="{7AA2297B-626C-4692-8F3C-1E34F04C831F}"/>
    <cellStyle name="Note 3 15 3" xfId="34111" xr:uid="{E42735C1-7600-4103-97BA-3B0E1446515A}"/>
    <cellStyle name="Note 3 15 4" xfId="34112" xr:uid="{DB9546E8-B913-484E-8A21-E277BE104DF1}"/>
    <cellStyle name="Note 3 15 5" xfId="34113" xr:uid="{77F60BC8-D9DA-4232-AF44-7E6C0BD78E4C}"/>
    <cellStyle name="Note 3 15 6" xfId="34114" xr:uid="{CA3977E3-E79A-4437-9BC3-4E56480BFD85}"/>
    <cellStyle name="Note 3 15 7" xfId="34115" xr:uid="{1724DEA6-C6A8-4F16-BC67-1FE32D16316C}"/>
    <cellStyle name="Note 3 16" xfId="2315" xr:uid="{333CF1EA-FAC8-4644-8838-562CD87D4AFE}"/>
    <cellStyle name="Note 3 16 2" xfId="9875" xr:uid="{D49B7751-385D-4990-9351-4B5773E9F3E9}"/>
    <cellStyle name="Note 3 16 2 2" xfId="34116" xr:uid="{2A75D391-8753-4009-A920-2D954B9234B7}"/>
    <cellStyle name="Note 3 16 2 3" xfId="34117" xr:uid="{322F7C52-2C6F-44A4-87C4-265B6BB5B5CD}"/>
    <cellStyle name="Note 3 16 2 4" xfId="34118" xr:uid="{D4A9ADBA-A866-4AF4-8E99-3D4C93CC9518}"/>
    <cellStyle name="Note 3 16 2 5" xfId="34119" xr:uid="{0F91646C-598D-4244-9FA1-C0F69BA31BA4}"/>
    <cellStyle name="Note 3 16 2 6" xfId="34120" xr:uid="{0DB0DF6F-4406-471A-BAA5-3418AFBA390D}"/>
    <cellStyle name="Note 3 16 3" xfId="34121" xr:uid="{61025E5E-A86C-460A-8F3B-02FE0E78899D}"/>
    <cellStyle name="Note 3 16 4" xfId="34122" xr:uid="{2C4020F2-3B4D-4CE6-AD4D-7DDD65F0407F}"/>
    <cellStyle name="Note 3 16 5" xfId="34123" xr:uid="{A24D69B7-93A1-4497-8FD4-AE2B6A3F02CE}"/>
    <cellStyle name="Note 3 16 6" xfId="34124" xr:uid="{41A9C611-BB7E-4718-AC21-1F2F177C0EFA}"/>
    <cellStyle name="Note 3 16 7" xfId="34125" xr:uid="{AFCF9B7B-9C95-463D-8F0E-8C5F0C0C17BE}"/>
    <cellStyle name="Note 3 17" xfId="2316" xr:uid="{B7089630-977F-4B41-B7BB-C5B10E9EAD1B}"/>
    <cellStyle name="Note 3 17 2" xfId="10007" xr:uid="{B996AF57-F81D-4EE7-835C-572AA1DDB31B}"/>
    <cellStyle name="Note 3 17 2 2" xfId="34126" xr:uid="{468BC3C6-1E68-4C7E-B0E8-C2302B3D94B7}"/>
    <cellStyle name="Note 3 17 2 3" xfId="34127" xr:uid="{E50120DF-32AD-44F5-9C7A-96BEC7AA6516}"/>
    <cellStyle name="Note 3 17 2 4" xfId="34128" xr:uid="{EB81B205-FEB6-40B8-B0CA-29E569B990CF}"/>
    <cellStyle name="Note 3 17 2 5" xfId="34129" xr:uid="{1DF2EF0E-0FCA-4830-B2F1-BEDA505DE940}"/>
    <cellStyle name="Note 3 17 2 6" xfId="34130" xr:uid="{CC2B2B60-B9D6-462F-9923-DA69AEA0C894}"/>
    <cellStyle name="Note 3 17 3" xfId="34131" xr:uid="{1ADFD513-FF6B-47B7-9444-363B5E3C86FD}"/>
    <cellStyle name="Note 3 17 4" xfId="34132" xr:uid="{54C6A250-8E97-4DDB-9943-C1326E335968}"/>
    <cellStyle name="Note 3 17 5" xfId="34133" xr:uid="{6BE38D45-1346-46FB-9605-81B84178F7DC}"/>
    <cellStyle name="Note 3 17 6" xfId="34134" xr:uid="{369A6153-DFB9-4DC5-9E66-56E3EAE4F99A}"/>
    <cellStyle name="Note 3 17 7" xfId="34135" xr:uid="{819F18D2-146B-45D7-A10F-C6085874B09C}"/>
    <cellStyle name="Note 3 18" xfId="2317" xr:uid="{875414C7-8515-4F53-8DEB-02876F69CF99}"/>
    <cellStyle name="Note 3 18 2" xfId="10710" xr:uid="{A9516603-D92F-49BE-BDBD-036ACCC2B3AE}"/>
    <cellStyle name="Note 3 18 2 2" xfId="34136" xr:uid="{68CBB464-797C-4AF6-99C8-F128A9B2AC7A}"/>
    <cellStyle name="Note 3 18 2 3" xfId="34137" xr:uid="{83C2EB43-751E-4318-904A-C30C9AF24048}"/>
    <cellStyle name="Note 3 18 2 4" xfId="34138" xr:uid="{60E27DF6-2E79-44DC-9D48-7BB9291AAE90}"/>
    <cellStyle name="Note 3 18 2 5" xfId="34139" xr:uid="{5677015F-D023-41C4-8EBC-8BF66290A1EE}"/>
    <cellStyle name="Note 3 18 2 6" xfId="34140" xr:uid="{C6A67402-B137-40DF-89A2-A5CA2E6D8E25}"/>
    <cellStyle name="Note 3 18 3" xfId="34141" xr:uid="{27DE2C9C-EE72-4CCB-9E3A-66628F7C0F2E}"/>
    <cellStyle name="Note 3 18 4" xfId="34142" xr:uid="{5E79AC15-9FB5-46FF-92CC-B635355BF0BD}"/>
    <cellStyle name="Note 3 18 5" xfId="34143" xr:uid="{CC93542B-93E5-46E0-A68F-A736C29FB5D4}"/>
    <cellStyle name="Note 3 18 6" xfId="34144" xr:uid="{A2CB883B-4064-434F-8207-78E7A74ED958}"/>
    <cellStyle name="Note 3 18 7" xfId="34145" xr:uid="{0E6C0CDA-CB41-4618-8B3E-C9AC2879CAEC}"/>
    <cellStyle name="Note 3 19" xfId="2318" xr:uid="{76F983A8-B553-40A8-A4F2-B5E50BA03EA7}"/>
    <cellStyle name="Note 3 19 2" xfId="10115" xr:uid="{9EDB7226-994B-4269-949E-6445D086624C}"/>
    <cellStyle name="Note 3 19 2 2" xfId="34146" xr:uid="{718A25B7-56FA-4E86-B11D-3E1737529C9C}"/>
    <cellStyle name="Note 3 19 2 3" xfId="34147" xr:uid="{DFE0C102-09BF-422E-A9B0-4677B6CA61A9}"/>
    <cellStyle name="Note 3 19 2 4" xfId="34148" xr:uid="{6251CE1A-A4B8-4ECD-9BFA-501BA2771C56}"/>
    <cellStyle name="Note 3 19 2 5" xfId="34149" xr:uid="{5AF6D79E-5DBB-409B-9457-418876E3F36E}"/>
    <cellStyle name="Note 3 19 2 6" xfId="34150" xr:uid="{CEF9FFCB-3D49-49CD-8EC6-7A91453A4E78}"/>
    <cellStyle name="Note 3 19 3" xfId="34151" xr:uid="{311B912C-316B-4507-B130-121BA94D3C16}"/>
    <cellStyle name="Note 3 19 4" xfId="34152" xr:uid="{FE79F71A-BCBB-4191-9600-A17A1B0B4C57}"/>
    <cellStyle name="Note 3 19 5" xfId="34153" xr:uid="{7F55B5E6-25E6-4DBB-8EA0-0B513C64EDE2}"/>
    <cellStyle name="Note 3 19 6" xfId="34154" xr:uid="{6CAB4CD3-1E58-4AFD-853E-A63344E481F3}"/>
    <cellStyle name="Note 3 19 7" xfId="34155" xr:uid="{222D32D0-C80A-48CD-B9D2-BD6FFF24B56C}"/>
    <cellStyle name="Note 3 2" xfId="2319" xr:uid="{A89304D2-0D10-4ED1-8BA1-B6E4DE6BBE6E}"/>
    <cellStyle name="Note 3 2 10" xfId="2320" xr:uid="{79A74CF7-55BB-4B0A-A9E9-F32F871E57CF}"/>
    <cellStyle name="Note 3 2 10 2" xfId="10646" xr:uid="{58DBEA02-00AF-4EDF-BAAC-561CAFFD39FE}"/>
    <cellStyle name="Note 3 2 10 2 2" xfId="34156" xr:uid="{37D71BF7-D94A-4206-891D-DED776AFFB12}"/>
    <cellStyle name="Note 3 2 10 2 3" xfId="34157" xr:uid="{F8D8C42E-8226-4847-BDB1-BCA86C36EF4B}"/>
    <cellStyle name="Note 3 2 10 2 4" xfId="34158" xr:uid="{85FBAF2F-C497-4C67-B9E8-5845DD378C72}"/>
    <cellStyle name="Note 3 2 10 2 5" xfId="34159" xr:uid="{DD2EBBF9-9570-41D3-BA7D-41E8DB6A85A7}"/>
    <cellStyle name="Note 3 2 10 2 6" xfId="34160" xr:uid="{D6F017C6-A702-4267-8A56-1E0705E107B3}"/>
    <cellStyle name="Note 3 2 10 3" xfId="34161" xr:uid="{56B3723C-AD6E-4525-8A32-7B517463B5B4}"/>
    <cellStyle name="Note 3 2 10 4" xfId="34162" xr:uid="{05890B71-ABD8-45BA-943D-6EEA6D705A05}"/>
    <cellStyle name="Note 3 2 10 5" xfId="34163" xr:uid="{C719B865-27E1-4060-A03F-51D16283ECB3}"/>
    <cellStyle name="Note 3 2 10 6" xfId="34164" xr:uid="{CDFE8213-65CE-42F8-A6F5-1E7CA9C49415}"/>
    <cellStyle name="Note 3 2 10 7" xfId="34165" xr:uid="{B7337592-8452-46CD-A0BE-2BA0EFA23A9D}"/>
    <cellStyle name="Note 3 2 11" xfId="2321" xr:uid="{8A051B03-D34F-4894-B9EA-C84ED7A6AB20}"/>
    <cellStyle name="Note 3 2 11 2" xfId="10737" xr:uid="{CB83D3BB-BF8A-428D-BCF1-C5353DAC3DE6}"/>
    <cellStyle name="Note 3 2 11 2 2" xfId="34166" xr:uid="{3BAEC7EC-AFBC-4288-9010-CA92F6C11015}"/>
    <cellStyle name="Note 3 2 11 2 3" xfId="34167" xr:uid="{36DC8AF9-364A-4BEC-8924-6C49713D9A0E}"/>
    <cellStyle name="Note 3 2 11 2 4" xfId="34168" xr:uid="{37F6251D-D284-4374-B366-186812B4A20E}"/>
    <cellStyle name="Note 3 2 11 2 5" xfId="34169" xr:uid="{52AD1088-EF02-4845-9DB3-9396EC9E7B18}"/>
    <cellStyle name="Note 3 2 11 2 6" xfId="34170" xr:uid="{D53F1D90-8824-4AFB-950F-3A90869E943A}"/>
    <cellStyle name="Note 3 2 11 3" xfId="34171" xr:uid="{029F865C-7E38-47BA-A19F-C38E31DBDF28}"/>
    <cellStyle name="Note 3 2 11 4" xfId="34172" xr:uid="{8F176077-FF28-4868-B50B-D2A13A74F7E5}"/>
    <cellStyle name="Note 3 2 11 5" xfId="34173" xr:uid="{6AE033D7-0470-4801-97CB-9A13BEC979D1}"/>
    <cellStyle name="Note 3 2 11 6" xfId="34174" xr:uid="{0F966E27-8ECF-4F58-B3EE-5515029CD6C2}"/>
    <cellStyle name="Note 3 2 11 7" xfId="34175" xr:uid="{FFB58B0C-96F8-4356-9A5F-BF9470554EE2}"/>
    <cellStyle name="Note 3 2 12" xfId="2322" xr:uid="{27BE588C-406F-441C-8EB4-0BE48C3FB233}"/>
    <cellStyle name="Note 3 2 12 2" xfId="10825" xr:uid="{D2A0F4E5-7A89-4C21-AA93-CF4C9A6AFD37}"/>
    <cellStyle name="Note 3 2 12 2 2" xfId="34176" xr:uid="{B274263F-B9D1-4BEE-BAFA-298F4E9B544E}"/>
    <cellStyle name="Note 3 2 12 2 3" xfId="34177" xr:uid="{E281FD66-FE16-4D60-A17F-03EE6DEE0F0E}"/>
    <cellStyle name="Note 3 2 12 2 4" xfId="34178" xr:uid="{80AE86CA-C9C9-42FC-B333-C66014134B22}"/>
    <cellStyle name="Note 3 2 12 2 5" xfId="34179" xr:uid="{55C3BD22-45D9-44EC-ACAA-097C55BFDBE4}"/>
    <cellStyle name="Note 3 2 12 2 6" xfId="34180" xr:uid="{56E8C3D7-56D9-4CDB-897A-44844D372E90}"/>
    <cellStyle name="Note 3 2 12 3" xfId="34181" xr:uid="{E203497F-89EE-454B-898B-9C63ABF025D0}"/>
    <cellStyle name="Note 3 2 12 4" xfId="34182" xr:uid="{EAE1A3C2-4984-4749-B949-D02B25B243FD}"/>
    <cellStyle name="Note 3 2 12 5" xfId="34183" xr:uid="{6AB4021A-2137-4D07-A455-E9567208202C}"/>
    <cellStyle name="Note 3 2 12 6" xfId="34184" xr:uid="{04BED48B-C9D8-4B33-AEBC-DC2FB1DD2860}"/>
    <cellStyle name="Note 3 2 12 7" xfId="34185" xr:uid="{9E546595-46EE-427D-B7D6-F55D70BF3F0B}"/>
    <cellStyle name="Note 3 2 13" xfId="2323" xr:uid="{20255AD0-8C81-4558-BD08-EAC74206A02A}"/>
    <cellStyle name="Note 3 2 13 2" xfId="10914" xr:uid="{1CF005AB-A53C-4ACA-A5DB-9BD7604758EC}"/>
    <cellStyle name="Note 3 2 13 2 2" xfId="34186" xr:uid="{0920DE3F-B533-422B-B51A-29C8EF4AC8B0}"/>
    <cellStyle name="Note 3 2 13 2 3" xfId="34187" xr:uid="{04E3637B-AC44-418A-9420-40B8ECC2208B}"/>
    <cellStyle name="Note 3 2 13 2 4" xfId="34188" xr:uid="{52F6D485-732B-4AC6-8791-A2DAE8716811}"/>
    <cellStyle name="Note 3 2 13 2 5" xfId="34189" xr:uid="{115614AA-5818-41A7-8A8C-83F668F4D575}"/>
    <cellStyle name="Note 3 2 13 2 6" xfId="34190" xr:uid="{EA0569E3-E124-4901-AF69-AFE46AC9C06F}"/>
    <cellStyle name="Note 3 2 13 3" xfId="34191" xr:uid="{A1DBEDEF-4898-40E7-80B2-F86A48EC9D84}"/>
    <cellStyle name="Note 3 2 13 4" xfId="34192" xr:uid="{D9538FF2-5BD7-4ACB-80A7-5F54347058B9}"/>
    <cellStyle name="Note 3 2 13 5" xfId="34193" xr:uid="{661BD79A-A0DB-4777-88AB-7DA9BD0D93B5}"/>
    <cellStyle name="Note 3 2 13 6" xfId="34194" xr:uid="{DAD62858-0EED-4E0F-B775-BF4805A7BA65}"/>
    <cellStyle name="Note 3 2 13 7" xfId="34195" xr:uid="{D13CD589-0EDC-4A9E-BD0E-2782CABEDC6F}"/>
    <cellStyle name="Note 3 2 14" xfId="2324" xr:uid="{EB791FD5-B034-4C4E-B445-C3B549DD5F13}"/>
    <cellStyle name="Note 3 2 14 2" xfId="11004" xr:uid="{657BC200-EF1B-48F2-9270-567F8C8B9012}"/>
    <cellStyle name="Note 3 2 14 2 2" xfId="34196" xr:uid="{744E6BBD-46E5-4A9A-9800-214754DA1397}"/>
    <cellStyle name="Note 3 2 14 2 3" xfId="34197" xr:uid="{9F7BC1DC-A54A-4F41-8EF2-F02C69A59C3E}"/>
    <cellStyle name="Note 3 2 14 2 4" xfId="34198" xr:uid="{2758843F-C105-4EDE-BA70-84FC31A3C300}"/>
    <cellStyle name="Note 3 2 14 2 5" xfId="34199" xr:uid="{5D25CBE4-CB34-4C84-B3CC-232E7401E137}"/>
    <cellStyle name="Note 3 2 14 2 6" xfId="34200" xr:uid="{F49BC5EC-EA37-498A-8FCA-332E66960591}"/>
    <cellStyle name="Note 3 2 14 3" xfId="34201" xr:uid="{5386EF31-7A82-4915-98C7-C1C57617BC07}"/>
    <cellStyle name="Note 3 2 14 4" xfId="34202" xr:uid="{CDC2A8FC-7A51-4DDF-8C50-D8B5DB3B61A3}"/>
    <cellStyle name="Note 3 2 14 5" xfId="34203" xr:uid="{0DD07838-A0D0-45F2-B02D-6543B969B5EA}"/>
    <cellStyle name="Note 3 2 14 6" xfId="34204" xr:uid="{97106B28-C63F-42D5-9665-D4113059AE97}"/>
    <cellStyle name="Note 3 2 14 7" xfId="34205" xr:uid="{8D5E2B33-48E7-4E27-8906-2FF515BDF7F0}"/>
    <cellStyle name="Note 3 2 15" xfId="2325" xr:uid="{8D9B1FF4-DD8E-44FA-9077-027880E517A2}"/>
    <cellStyle name="Note 3 2 15 2" xfId="11094" xr:uid="{3A3D6729-9EFD-4AE2-8DB6-7B6A64ABFF3F}"/>
    <cellStyle name="Note 3 2 15 2 2" xfId="34206" xr:uid="{9622CD2B-947A-4F9C-934B-4C6FE96F98C2}"/>
    <cellStyle name="Note 3 2 15 2 3" xfId="34207" xr:uid="{3B0BA24C-4F04-402B-A510-7C4DBD35A089}"/>
    <cellStyle name="Note 3 2 15 2 4" xfId="34208" xr:uid="{91A6AAA2-3860-48DF-AD8F-D778E9C0CC88}"/>
    <cellStyle name="Note 3 2 15 2 5" xfId="34209" xr:uid="{71EBE256-F68C-40DD-B882-EF9CD8F10844}"/>
    <cellStyle name="Note 3 2 15 2 6" xfId="34210" xr:uid="{E488538F-5DF5-4678-AFEF-A3AC127BBC4D}"/>
    <cellStyle name="Note 3 2 15 3" xfId="34211" xr:uid="{D86E1638-970B-4B52-9715-4B21EBD0003C}"/>
    <cellStyle name="Note 3 2 15 4" xfId="34212" xr:uid="{C9212D61-3F55-4A6D-9C05-9F5A4A72E713}"/>
    <cellStyle name="Note 3 2 15 5" xfId="34213" xr:uid="{BAE0524A-1AFB-4D46-83C2-39F59E0CB2D5}"/>
    <cellStyle name="Note 3 2 15 6" xfId="34214" xr:uid="{2DE32D1A-A67D-4EE8-B51D-45BE7A5E5B5A}"/>
    <cellStyle name="Note 3 2 15 7" xfId="34215" xr:uid="{AF27AB44-9736-4DF7-9C64-F5C754A57DD5}"/>
    <cellStyle name="Note 3 2 16" xfId="2326" xr:uid="{1F72E5BA-56B3-4BA1-8951-053F5D7FD067}"/>
    <cellStyle name="Note 3 2 16 2" xfId="11177" xr:uid="{0C374FF6-6CDF-48CE-8FF1-C24C69D9C650}"/>
    <cellStyle name="Note 3 2 16 2 2" xfId="34216" xr:uid="{180B64D5-D49B-4EEE-B13F-5A98F97BD044}"/>
    <cellStyle name="Note 3 2 16 2 3" xfId="34217" xr:uid="{D60A7535-F439-44A1-9BD2-B3B72F410B34}"/>
    <cellStyle name="Note 3 2 16 2 4" xfId="34218" xr:uid="{4387D3D2-D7B9-40EB-B884-97492741A47E}"/>
    <cellStyle name="Note 3 2 16 2 5" xfId="34219" xr:uid="{629C2700-988D-44E2-BB46-E261E0595A67}"/>
    <cellStyle name="Note 3 2 16 2 6" xfId="34220" xr:uid="{E60CF66E-08DD-4C15-A468-E47BF9BBD7B5}"/>
    <cellStyle name="Note 3 2 16 3" xfId="34221" xr:uid="{A2C73F22-3CB5-41D0-A66B-95DEFBC3610F}"/>
    <cellStyle name="Note 3 2 16 4" xfId="34222" xr:uid="{F188844F-7120-432A-A8C1-79BA61EC1FF4}"/>
    <cellStyle name="Note 3 2 16 5" xfId="34223" xr:uid="{C19B40DC-3ED0-44DE-B2E5-EAEA5729779B}"/>
    <cellStyle name="Note 3 2 16 6" xfId="34224" xr:uid="{8D100C01-8E67-4F42-98E3-95365EC0C903}"/>
    <cellStyle name="Note 3 2 16 7" xfId="34225" xr:uid="{C5454FB7-9851-4BD9-A177-202583E9E9DD}"/>
    <cellStyle name="Note 3 2 17" xfId="2327" xr:uid="{870F4BEB-99DB-441F-8F94-E37F184A7B90}"/>
    <cellStyle name="Note 3 2 17 2" xfId="11267" xr:uid="{D161F266-E77D-43B9-9A7C-90546CD5DF0A}"/>
    <cellStyle name="Note 3 2 17 2 2" xfId="34226" xr:uid="{7F36DE78-80E9-405E-B536-2C5DA22BB3C3}"/>
    <cellStyle name="Note 3 2 17 2 3" xfId="34227" xr:uid="{5C6338A5-54F5-4573-AFD9-CE1FA090E100}"/>
    <cellStyle name="Note 3 2 17 2 4" xfId="34228" xr:uid="{6C69D09B-9162-41D0-8397-C270BD34AD2A}"/>
    <cellStyle name="Note 3 2 17 2 5" xfId="34229" xr:uid="{B422C65C-CE31-4082-AEF2-A71D642BAEF8}"/>
    <cellStyle name="Note 3 2 17 2 6" xfId="34230" xr:uid="{11B4E98B-AF93-44C1-AF7E-9D56614647AB}"/>
    <cellStyle name="Note 3 2 17 3" xfId="34231" xr:uid="{1AFE9F83-B7C7-4F1A-812D-B01C3C887BC3}"/>
    <cellStyle name="Note 3 2 17 4" xfId="34232" xr:uid="{BE9A657C-1DF1-4EC0-AC6E-DC45E4DD9B35}"/>
    <cellStyle name="Note 3 2 17 5" xfId="34233" xr:uid="{E77670B4-84C2-49F6-91AB-9FF5AC198246}"/>
    <cellStyle name="Note 3 2 17 6" xfId="34234" xr:uid="{05B874E6-3ACF-4833-8ADD-E088FDBCBAC5}"/>
    <cellStyle name="Note 3 2 17 7" xfId="34235" xr:uid="{E368E6BB-299A-4C0F-8D2E-D3F523E7A9DC}"/>
    <cellStyle name="Note 3 2 18" xfId="2328" xr:uid="{A51180E5-1313-4E3E-8EC0-1AD8A1DE758F}"/>
    <cellStyle name="Note 3 2 18 2" xfId="11353" xr:uid="{C34C54AE-101F-4AEA-A798-920011ED3760}"/>
    <cellStyle name="Note 3 2 18 2 2" xfId="34236" xr:uid="{2BBB555A-1A85-468D-8B8F-74830E5C0BE1}"/>
    <cellStyle name="Note 3 2 18 2 3" xfId="34237" xr:uid="{C9796209-83F6-48F6-B5C9-7A0F7BA06F8D}"/>
    <cellStyle name="Note 3 2 18 2 4" xfId="34238" xr:uid="{1D0D1A0E-CE94-44B1-BCC2-2F8681B90879}"/>
    <cellStyle name="Note 3 2 18 2 5" xfId="34239" xr:uid="{EF999133-1E83-46C2-8B1B-7B553CE52A6C}"/>
    <cellStyle name="Note 3 2 18 2 6" xfId="34240" xr:uid="{4C6BE56B-CAD3-4B76-9551-27DAA8E5E4B4}"/>
    <cellStyle name="Note 3 2 18 3" xfId="34241" xr:uid="{44DD67E6-FC4F-4512-A3D7-CECC1FC803AF}"/>
    <cellStyle name="Note 3 2 18 4" xfId="34242" xr:uid="{AC8911AC-D486-4111-B464-CB84B93F67F7}"/>
    <cellStyle name="Note 3 2 18 5" xfId="34243" xr:uid="{A6E28C32-E8C6-4710-AB6A-6F7C846350BB}"/>
    <cellStyle name="Note 3 2 18 6" xfId="34244" xr:uid="{EF97B57D-4FF1-4857-A348-A218ED0394AC}"/>
    <cellStyle name="Note 3 2 18 7" xfId="34245" xr:uid="{318FBDAC-CF70-4FF9-802D-245A7B1D8E20}"/>
    <cellStyle name="Note 3 2 19" xfId="2329" xr:uid="{159D8F1F-AA3E-43AD-BCE6-B3CB85376388}"/>
    <cellStyle name="Note 3 2 19 2" xfId="11440" xr:uid="{46931EBC-629C-4842-8505-6D37E9826260}"/>
    <cellStyle name="Note 3 2 19 2 2" xfId="34246" xr:uid="{A0B1B7C1-7A91-4533-BAF8-C9D063C716AE}"/>
    <cellStyle name="Note 3 2 19 2 3" xfId="34247" xr:uid="{969AFF2B-3AC1-4690-AEE5-958904C6667B}"/>
    <cellStyle name="Note 3 2 19 2 4" xfId="34248" xr:uid="{1B247101-790D-4B02-89FB-F75DEED7BC4D}"/>
    <cellStyle name="Note 3 2 19 2 5" xfId="34249" xr:uid="{DC9E909B-6084-4665-AEC0-B14949C05E4F}"/>
    <cellStyle name="Note 3 2 19 2 6" xfId="34250" xr:uid="{CCA48771-6253-41E9-805B-E893F6F3C017}"/>
    <cellStyle name="Note 3 2 19 3" xfId="34251" xr:uid="{542084BE-85FB-482B-88AE-4A2AA9981964}"/>
    <cellStyle name="Note 3 2 19 4" xfId="34252" xr:uid="{F8E6CE79-8602-45DE-9520-492B27D98FAC}"/>
    <cellStyle name="Note 3 2 19 5" xfId="34253" xr:uid="{79F955A8-7A1A-4EAD-BA0B-6457B93AD4EA}"/>
    <cellStyle name="Note 3 2 19 6" xfId="34254" xr:uid="{99069E78-ADF1-41BA-8687-89BC7FA3372B}"/>
    <cellStyle name="Note 3 2 19 7" xfId="34255" xr:uid="{37059BF6-04AF-4C43-9BD0-5AF29A676719}"/>
    <cellStyle name="Note 3 2 2" xfId="2330" xr:uid="{8852180A-6666-49B7-9DBC-239BD0F45783}"/>
    <cellStyle name="Note 3 2 2 10" xfId="2331" xr:uid="{790C8AA0-23F1-4D65-9F7F-DE1DDCC695F7}"/>
    <cellStyle name="Note 3 2 2 10 2" xfId="10770" xr:uid="{807EAD6D-F2BF-48A4-8B85-C35DC5D8A978}"/>
    <cellStyle name="Note 3 2 2 10 2 2" xfId="34256" xr:uid="{9F32DEA1-EB1B-40A1-BC24-8A228A4881CF}"/>
    <cellStyle name="Note 3 2 2 10 2 3" xfId="34257" xr:uid="{6B7E18C4-3CD0-4C5F-B439-82420C977520}"/>
    <cellStyle name="Note 3 2 2 10 2 4" xfId="34258" xr:uid="{7F7DAC84-2F49-414B-A807-866B877E4310}"/>
    <cellStyle name="Note 3 2 2 10 2 5" xfId="34259" xr:uid="{8FFB3A76-EEEB-4303-B353-B939F36A5282}"/>
    <cellStyle name="Note 3 2 2 10 2 6" xfId="34260" xr:uid="{C2F0503E-D3A2-48CF-89A1-14158822F1A7}"/>
    <cellStyle name="Note 3 2 2 10 3" xfId="34261" xr:uid="{C1929DC2-B037-4840-B3B0-70341D2AEC6A}"/>
    <cellStyle name="Note 3 2 2 10 4" xfId="34262" xr:uid="{BB44C95F-1C0F-405F-BDE1-316F27D4168B}"/>
    <cellStyle name="Note 3 2 2 10 5" xfId="34263" xr:uid="{0BE26B75-4D5A-40BC-B7F9-0D70961AAF1F}"/>
    <cellStyle name="Note 3 2 2 10 6" xfId="34264" xr:uid="{59446142-7C82-4D82-AAE8-4F967EC427E8}"/>
    <cellStyle name="Note 3 2 2 10 7" xfId="34265" xr:uid="{1D36CF9A-7338-4C5B-A953-D30199F273C0}"/>
    <cellStyle name="Note 3 2 2 11" xfId="2332" xr:uid="{EA824C6E-9DAF-4708-97DC-ADF34C996D90}"/>
    <cellStyle name="Note 3 2 2 11 2" xfId="10858" xr:uid="{EE8014FF-2E10-46FE-821D-50BBF2D64022}"/>
    <cellStyle name="Note 3 2 2 11 2 2" xfId="34266" xr:uid="{8A4D14C0-17CC-4E09-8C3C-AB2EC168187E}"/>
    <cellStyle name="Note 3 2 2 11 2 3" xfId="34267" xr:uid="{BCEF4515-A682-4047-890E-6F86CB06869D}"/>
    <cellStyle name="Note 3 2 2 11 2 4" xfId="34268" xr:uid="{2DCF153A-F1F1-4E6B-87C0-63EF00438F3D}"/>
    <cellStyle name="Note 3 2 2 11 2 5" xfId="34269" xr:uid="{041EF4F4-5A8F-4786-B217-00FE8B0B67F9}"/>
    <cellStyle name="Note 3 2 2 11 2 6" xfId="34270" xr:uid="{B27D4794-BDC4-40B3-BC57-2DE97771A19A}"/>
    <cellStyle name="Note 3 2 2 11 3" xfId="34271" xr:uid="{1BE08E10-7ABC-4A5A-8578-FAA3436EB731}"/>
    <cellStyle name="Note 3 2 2 11 4" xfId="34272" xr:uid="{88BC0302-D9B9-4CB5-8CF4-6AFDA0AF37F7}"/>
    <cellStyle name="Note 3 2 2 11 5" xfId="34273" xr:uid="{97938E69-4D94-4E0D-B0F9-9DA9BD671757}"/>
    <cellStyle name="Note 3 2 2 11 6" xfId="34274" xr:uid="{69A1DB22-8B19-440F-8C11-F4C6C620D556}"/>
    <cellStyle name="Note 3 2 2 11 7" xfId="34275" xr:uid="{69E0F691-D94E-49E0-AA44-A48BF104907A}"/>
    <cellStyle name="Note 3 2 2 12" xfId="2333" xr:uid="{D0537338-679D-42DC-97D4-199399B10C59}"/>
    <cellStyle name="Note 3 2 2 12 2" xfId="10947" xr:uid="{CA025579-6C19-45BE-A1BE-4DDCFF336B08}"/>
    <cellStyle name="Note 3 2 2 12 2 2" xfId="34276" xr:uid="{FB8F4A9E-1503-44DB-B786-AEB4A03A2B0B}"/>
    <cellStyle name="Note 3 2 2 12 2 3" xfId="34277" xr:uid="{8275BAC4-3D7E-4A35-96EE-00BBF003027D}"/>
    <cellStyle name="Note 3 2 2 12 2 4" xfId="34278" xr:uid="{1940FE89-1C82-4AA7-8207-4BD73A56B852}"/>
    <cellStyle name="Note 3 2 2 12 2 5" xfId="34279" xr:uid="{AAA0C50B-A74D-462A-8F99-B3D9D27C233D}"/>
    <cellStyle name="Note 3 2 2 12 2 6" xfId="34280" xr:uid="{2780DCE4-BA3B-44FB-A377-A56FBF5AC085}"/>
    <cellStyle name="Note 3 2 2 12 3" xfId="34281" xr:uid="{A6D8DE6C-F1D4-482F-A3B0-D4885AC7127B}"/>
    <cellStyle name="Note 3 2 2 12 4" xfId="34282" xr:uid="{6C08C877-D7FC-41F4-84B4-D1E78B378DC9}"/>
    <cellStyle name="Note 3 2 2 12 5" xfId="34283" xr:uid="{12C4ECA6-6570-4E95-9256-B09322AD121B}"/>
    <cellStyle name="Note 3 2 2 12 6" xfId="34284" xr:uid="{BE7636D7-AF2F-4861-AAB8-1242AF11794C}"/>
    <cellStyle name="Note 3 2 2 12 7" xfId="34285" xr:uid="{5797E188-A5FB-4445-8C10-C145E8626CBB}"/>
    <cellStyle name="Note 3 2 2 13" xfId="2334" xr:uid="{FAF9D654-2C7A-422E-90F1-F094B085D260}"/>
    <cellStyle name="Note 3 2 2 13 2" xfId="11037" xr:uid="{CFAF2020-06F7-40B0-B0B5-7B6E66102CC9}"/>
    <cellStyle name="Note 3 2 2 13 2 2" xfId="34286" xr:uid="{F8A560E7-B2B7-4DFF-A3B3-2CBBED6AFA11}"/>
    <cellStyle name="Note 3 2 2 13 2 3" xfId="34287" xr:uid="{02D64871-E255-4D15-BBC1-32A97EE76777}"/>
    <cellStyle name="Note 3 2 2 13 2 4" xfId="34288" xr:uid="{AD80DDD5-794C-44F9-B0B5-DE226CA5FA3E}"/>
    <cellStyle name="Note 3 2 2 13 2 5" xfId="34289" xr:uid="{9D7A61D3-F0F9-48CE-9E2B-DF916BBFFE17}"/>
    <cellStyle name="Note 3 2 2 13 2 6" xfId="34290" xr:uid="{600D2A33-7F0C-4284-AB59-04193B0895CB}"/>
    <cellStyle name="Note 3 2 2 13 3" xfId="34291" xr:uid="{154F767E-2D07-44E6-93C0-B14E0ACA63AC}"/>
    <cellStyle name="Note 3 2 2 13 4" xfId="34292" xr:uid="{4EDFFA23-DD91-448C-B450-F9F7F6675023}"/>
    <cellStyle name="Note 3 2 2 13 5" xfId="34293" xr:uid="{F496C366-BE5D-4EAC-AAB4-CCF8E4983976}"/>
    <cellStyle name="Note 3 2 2 13 6" xfId="34294" xr:uid="{2273D5E3-E85E-4165-A75A-088248615660}"/>
    <cellStyle name="Note 3 2 2 13 7" xfId="34295" xr:uid="{03F57A94-418C-48F4-AEE2-DEAF8D01CF71}"/>
    <cellStyle name="Note 3 2 2 14" xfId="2335" xr:uid="{591C7042-FE17-4A4E-BF69-EEDF85B68D84}"/>
    <cellStyle name="Note 3 2 2 14 2" xfId="11127" xr:uid="{2A82450C-A493-41F0-94FA-44CF86702510}"/>
    <cellStyle name="Note 3 2 2 14 2 2" xfId="34296" xr:uid="{9CA4D1A1-30CA-4079-9DBB-D38013FC5AD5}"/>
    <cellStyle name="Note 3 2 2 14 2 3" xfId="34297" xr:uid="{D204D62D-BA09-4144-BACA-E66FCC505482}"/>
    <cellStyle name="Note 3 2 2 14 2 4" xfId="34298" xr:uid="{A66939D6-B54B-4D46-BFFA-CB4DC683725F}"/>
    <cellStyle name="Note 3 2 2 14 2 5" xfId="34299" xr:uid="{908A91F9-5D6E-4F5E-9013-F3C21E4B2923}"/>
    <cellStyle name="Note 3 2 2 14 2 6" xfId="34300" xr:uid="{9D1510D5-660D-4052-A671-D4A9F986B3DD}"/>
    <cellStyle name="Note 3 2 2 14 3" xfId="34301" xr:uid="{5A255C52-24C6-4412-B39E-A855C8F8B330}"/>
    <cellStyle name="Note 3 2 2 14 4" xfId="34302" xr:uid="{E6456BE5-66A9-4EDA-BEA7-842117FDB332}"/>
    <cellStyle name="Note 3 2 2 14 5" xfId="34303" xr:uid="{5EFEB252-6BAD-4305-B21D-24D94F37110B}"/>
    <cellStyle name="Note 3 2 2 14 6" xfId="34304" xr:uid="{7AFDEB6A-A8F1-4AFF-A3C4-002089C79615}"/>
    <cellStyle name="Note 3 2 2 14 7" xfId="34305" xr:uid="{589A577F-BB05-454E-9947-3A0A4E6E21B3}"/>
    <cellStyle name="Note 3 2 2 15" xfId="2336" xr:uid="{1293FE5A-6E74-48C7-9E80-0DE676D4714E}"/>
    <cellStyle name="Note 3 2 2 15 2" xfId="11210" xr:uid="{396204CD-7E4A-4DA2-9FEF-73C1247F0857}"/>
    <cellStyle name="Note 3 2 2 15 2 2" xfId="34306" xr:uid="{AE613026-FF20-47CE-96E4-C981CDD23C89}"/>
    <cellStyle name="Note 3 2 2 15 2 3" xfId="34307" xr:uid="{EC0AC619-CC51-4585-8AB0-8F1B29B6F50F}"/>
    <cellStyle name="Note 3 2 2 15 2 4" xfId="34308" xr:uid="{1C28CD48-2B3A-4E6D-A42C-F0520A00A21E}"/>
    <cellStyle name="Note 3 2 2 15 2 5" xfId="34309" xr:uid="{C8D782E5-B410-403F-96B4-3DFC5E57EF66}"/>
    <cellStyle name="Note 3 2 2 15 2 6" xfId="34310" xr:uid="{D2C4FBC4-640B-4572-A603-830195C33DF2}"/>
    <cellStyle name="Note 3 2 2 15 3" xfId="34311" xr:uid="{C762F206-2DD6-493C-BB1D-F361B47A6EBE}"/>
    <cellStyle name="Note 3 2 2 15 4" xfId="34312" xr:uid="{9C02D5E8-EDCF-4F2F-8E8F-83E27CA63731}"/>
    <cellStyle name="Note 3 2 2 15 5" xfId="34313" xr:uid="{1F4EBEEF-7E6F-4E39-82FB-861A3E5438D7}"/>
    <cellStyle name="Note 3 2 2 15 6" xfId="34314" xr:uid="{E70DB1E4-7340-484E-9602-B40A40ED8604}"/>
    <cellStyle name="Note 3 2 2 15 7" xfId="34315" xr:uid="{32704202-3526-421B-833E-932A5155FC01}"/>
    <cellStyle name="Note 3 2 2 16" xfId="2337" xr:uid="{FBD9A386-A7BD-4378-95D4-1E94204A1AC9}"/>
    <cellStyle name="Note 3 2 2 16 2" xfId="11300" xr:uid="{07942E8A-F2E1-47B6-AF51-12FB4F35DEFC}"/>
    <cellStyle name="Note 3 2 2 16 2 2" xfId="34316" xr:uid="{CD9EFBB1-08F0-4CC1-A054-ED9B56ED7388}"/>
    <cellStyle name="Note 3 2 2 16 2 3" xfId="34317" xr:uid="{906AC0FA-BAB9-4BFC-9693-9B59B444F8B5}"/>
    <cellStyle name="Note 3 2 2 16 2 4" xfId="34318" xr:uid="{EC94AC5A-631C-44BE-BBDB-E37BD128D5AF}"/>
    <cellStyle name="Note 3 2 2 16 2 5" xfId="34319" xr:uid="{AC8E1E8C-D950-491A-8CAA-E69EDE5681FE}"/>
    <cellStyle name="Note 3 2 2 16 2 6" xfId="34320" xr:uid="{2A6A8B84-76A0-4CC4-90C3-EB200B0CE435}"/>
    <cellStyle name="Note 3 2 2 16 3" xfId="34321" xr:uid="{8DC7FC67-FDB6-47B3-AAD4-5D0B8131EE91}"/>
    <cellStyle name="Note 3 2 2 16 4" xfId="34322" xr:uid="{5A02767D-64D2-49EF-95E3-2AEAEB0DF20F}"/>
    <cellStyle name="Note 3 2 2 16 5" xfId="34323" xr:uid="{77067F42-1C90-473E-8FB6-6401993B97C9}"/>
    <cellStyle name="Note 3 2 2 16 6" xfId="34324" xr:uid="{4EE30247-5216-43D8-9F28-A5AD03587B55}"/>
    <cellStyle name="Note 3 2 2 16 7" xfId="34325" xr:uid="{9D1FB204-7A41-46B9-8CF1-2880FE6AEFC8}"/>
    <cellStyle name="Note 3 2 2 17" xfId="2338" xr:uid="{C94BA7C3-52C1-45C8-9D91-778CF809691F}"/>
    <cellStyle name="Note 3 2 2 17 2" xfId="11386" xr:uid="{CCADAF8F-A4C0-405D-9E00-BC6F8AE71D23}"/>
    <cellStyle name="Note 3 2 2 17 2 2" xfId="34326" xr:uid="{6EE19BEF-3A39-44B3-A841-8D0EE4CDB348}"/>
    <cellStyle name="Note 3 2 2 17 2 3" xfId="34327" xr:uid="{CC247008-98DC-48A3-A41F-B1392AF74D77}"/>
    <cellStyle name="Note 3 2 2 17 2 4" xfId="34328" xr:uid="{C5CEE12A-8697-41CE-8281-A63FEDCE23E9}"/>
    <cellStyle name="Note 3 2 2 17 2 5" xfId="34329" xr:uid="{E6EAB8F2-97AF-4423-84A4-AC24E037DD45}"/>
    <cellStyle name="Note 3 2 2 17 2 6" xfId="34330" xr:uid="{B4F8FEA9-5318-424A-84F0-CA274C08BC82}"/>
    <cellStyle name="Note 3 2 2 17 3" xfId="34331" xr:uid="{E5E94219-D55F-4910-B948-AB5FACAC8C74}"/>
    <cellStyle name="Note 3 2 2 17 4" xfId="34332" xr:uid="{19FD9440-CF93-48AB-8AA4-357DC3AF92DF}"/>
    <cellStyle name="Note 3 2 2 17 5" xfId="34333" xr:uid="{AD8DD757-91CF-4247-92E1-643E59754CB4}"/>
    <cellStyle name="Note 3 2 2 17 6" xfId="34334" xr:uid="{F887ACF8-2B46-4A77-91CE-C5F569D1449B}"/>
    <cellStyle name="Note 3 2 2 17 7" xfId="34335" xr:uid="{407FB853-F79F-47A1-BE60-43CAE9F63F25}"/>
    <cellStyle name="Note 3 2 2 18" xfId="2339" xr:uid="{858DAB12-D1E4-465F-9FFE-FADE5D10575B}"/>
    <cellStyle name="Note 3 2 2 18 2" xfId="11473" xr:uid="{46DC0D8F-F606-4362-B109-43D7FC366A04}"/>
    <cellStyle name="Note 3 2 2 18 2 2" xfId="34336" xr:uid="{BE22CD89-7C38-4ACF-98B0-726E09C9D7E3}"/>
    <cellStyle name="Note 3 2 2 18 2 3" xfId="34337" xr:uid="{329172E0-1CCE-4AF8-A4EE-58096367A148}"/>
    <cellStyle name="Note 3 2 2 18 2 4" xfId="34338" xr:uid="{A7153F3B-CA11-4B62-9D06-25C54574DB4B}"/>
    <cellStyle name="Note 3 2 2 18 2 5" xfId="34339" xr:uid="{F37D0F30-0109-4EA6-9864-A6041CC67F07}"/>
    <cellStyle name="Note 3 2 2 18 2 6" xfId="34340" xr:uid="{72180E8C-D675-4179-8EB7-E3C7F39F8706}"/>
    <cellStyle name="Note 3 2 2 18 3" xfId="34341" xr:uid="{FCB57A3D-8C3D-4773-AAD7-3043EE6CEBC8}"/>
    <cellStyle name="Note 3 2 2 18 4" xfId="34342" xr:uid="{2D4C8835-22D2-4ACB-A35A-18DC1F689CD9}"/>
    <cellStyle name="Note 3 2 2 18 5" xfId="34343" xr:uid="{DEE05B3F-41DF-41F8-815B-3E181019CD09}"/>
    <cellStyle name="Note 3 2 2 18 6" xfId="34344" xr:uid="{A686C8CB-F0AE-4693-8205-69520179EEA5}"/>
    <cellStyle name="Note 3 2 2 18 7" xfId="34345" xr:uid="{E5676A36-DCAC-442D-B40E-05A0352B471B}"/>
    <cellStyle name="Note 3 2 2 19" xfId="2340" xr:uid="{378F7900-C06B-47C6-86E0-9A74971B1957}"/>
    <cellStyle name="Note 3 2 2 19 2" xfId="11560" xr:uid="{D9C27A1B-DF8D-4204-80F2-8907672BC030}"/>
    <cellStyle name="Note 3 2 2 19 2 2" xfId="34346" xr:uid="{07D1B6AE-9341-4309-BB8C-E75B4CAD404F}"/>
    <cellStyle name="Note 3 2 2 19 2 3" xfId="34347" xr:uid="{F9564900-55CC-43C5-A0EF-52AC017FAEF1}"/>
    <cellStyle name="Note 3 2 2 19 2 4" xfId="34348" xr:uid="{253E35D6-D57B-4DB0-8CCA-465CE055DEDC}"/>
    <cellStyle name="Note 3 2 2 19 2 5" xfId="34349" xr:uid="{E3995A11-C73E-4BE4-8BF2-2A1306D265C1}"/>
    <cellStyle name="Note 3 2 2 19 2 6" xfId="34350" xr:uid="{06888C76-8C2F-40CF-92B6-61ADB8A6F158}"/>
    <cellStyle name="Note 3 2 2 19 3" xfId="34351" xr:uid="{F413BC3A-972F-460C-B0F8-E580CAA99DC6}"/>
    <cellStyle name="Note 3 2 2 19 4" xfId="34352" xr:uid="{A6C5DA5B-38E3-4DEC-8389-53342D224A2B}"/>
    <cellStyle name="Note 3 2 2 19 5" xfId="34353" xr:uid="{71F76CE6-6A2E-44D6-99A6-981C5BBFAEA1}"/>
    <cellStyle name="Note 3 2 2 19 6" xfId="34354" xr:uid="{927FF113-B956-4041-ADE7-97DF336A1C41}"/>
    <cellStyle name="Note 3 2 2 19 7" xfId="34355" xr:uid="{C40D5EB9-3BFD-4651-97B6-D7E2E5425333}"/>
    <cellStyle name="Note 3 2 2 2" xfId="2341" xr:uid="{75689C14-885C-42D0-9553-6D5D1EBDFC9F}"/>
    <cellStyle name="Note 3 2 2 2 2" xfId="8895" xr:uid="{C55294FB-38D6-46DD-8998-7FE2F68C561A}"/>
    <cellStyle name="Note 3 2 2 2 2 2" xfId="34356" xr:uid="{A0FCBC83-0963-421E-9203-BA2626E4D789}"/>
    <cellStyle name="Note 3 2 2 2 3" xfId="10067" xr:uid="{A4A8E2E9-4F10-44A7-BB70-71D492FE9485}"/>
    <cellStyle name="Note 3 2 2 2 3 2" xfId="34357" xr:uid="{BE5EE7D1-F65F-4465-BC1A-F86EA04D6FC5}"/>
    <cellStyle name="Note 3 2 2 2 3 3" xfId="34358" xr:uid="{0487012A-F918-4998-A23A-1FAA54EC5964}"/>
    <cellStyle name="Note 3 2 2 2 3 4" xfId="34359" xr:uid="{F5654D56-42E1-4FC3-B121-4FCB6FD5CDFD}"/>
    <cellStyle name="Note 3 2 2 2 3 5" xfId="34360" xr:uid="{CEC75E9C-5AE7-4A35-A3E6-4FA76BC27449}"/>
    <cellStyle name="Note 3 2 2 2 3 6" xfId="34361" xr:uid="{FAA8975E-724D-4AD7-9E8D-53B15E8797B9}"/>
    <cellStyle name="Note 3 2 2 2 4" xfId="34362" xr:uid="{E1D23936-A3DC-485B-A8DA-65A643241F81}"/>
    <cellStyle name="Note 3 2 2 2 5" xfId="34363" xr:uid="{702E5E11-38A4-4A5C-B94F-809C020527AB}"/>
    <cellStyle name="Note 3 2 2 2 6" xfId="34364" xr:uid="{A2021E5E-E8D7-4211-80A5-E452569ED7E5}"/>
    <cellStyle name="Note 3 2 2 2 7" xfId="34365" xr:uid="{AB51CA91-3035-432E-B375-98BE38747733}"/>
    <cellStyle name="Note 3 2 2 2 8" xfId="34366" xr:uid="{2FB01645-E392-4BC3-9BED-2CCE4B683F0D}"/>
    <cellStyle name="Note 3 2 2 20" xfId="2342" xr:uid="{31792747-B584-4A1F-B063-924B0BA94498}"/>
    <cellStyle name="Note 3 2 2 20 2" xfId="11648" xr:uid="{AA575F30-FD5B-4AD0-AED0-A9EBB74AC65F}"/>
    <cellStyle name="Note 3 2 2 20 2 2" xfId="34367" xr:uid="{301B6447-7EC2-45C8-923E-648296BA102D}"/>
    <cellStyle name="Note 3 2 2 20 2 3" xfId="34368" xr:uid="{76557E62-CDA0-4024-A435-75E42030AB31}"/>
    <cellStyle name="Note 3 2 2 20 2 4" xfId="34369" xr:uid="{9568AB10-84E0-41CD-9042-66667216D774}"/>
    <cellStyle name="Note 3 2 2 20 2 5" xfId="34370" xr:uid="{2D6785C2-01C3-4182-B37F-B494C8CCE0E5}"/>
    <cellStyle name="Note 3 2 2 20 2 6" xfId="34371" xr:uid="{E119A70F-B7BB-4D69-AEF3-FC22EE20C062}"/>
    <cellStyle name="Note 3 2 2 20 3" xfId="34372" xr:uid="{A15C896D-AD0F-4B3C-874F-10F241DC7B15}"/>
    <cellStyle name="Note 3 2 2 20 4" xfId="34373" xr:uid="{8E420FB4-0895-425B-B0A3-B27F72E32244}"/>
    <cellStyle name="Note 3 2 2 20 5" xfId="34374" xr:uid="{E6855482-7CE9-474F-A4F3-09CD224789B9}"/>
    <cellStyle name="Note 3 2 2 20 6" xfId="34375" xr:uid="{A0948DB9-D3B0-4224-96D0-F60C0E43CE3A}"/>
    <cellStyle name="Note 3 2 2 20 7" xfId="34376" xr:uid="{B726CC72-37EC-4F63-B369-EF0A074FEBB9}"/>
    <cellStyle name="Note 3 2 2 21" xfId="2343" xr:uid="{F054CEC7-733C-43AA-87BD-0FDCDFA88AF8}"/>
    <cellStyle name="Note 3 2 2 21 2" xfId="11732" xr:uid="{123216A0-85C5-4906-95E4-A1B5BBF073B3}"/>
    <cellStyle name="Note 3 2 2 21 2 2" xfId="34377" xr:uid="{6D54B6EB-8E49-4926-9F1C-D82C7A2B2142}"/>
    <cellStyle name="Note 3 2 2 21 2 3" xfId="34378" xr:uid="{2F26AE17-4B5C-437C-BDB6-1C999D4DA081}"/>
    <cellStyle name="Note 3 2 2 21 2 4" xfId="34379" xr:uid="{1EE18296-8EA8-421C-9BBF-3495B78A9344}"/>
    <cellStyle name="Note 3 2 2 21 2 5" xfId="34380" xr:uid="{5419875B-1BCC-4A3F-9F16-4FED9D14D123}"/>
    <cellStyle name="Note 3 2 2 21 2 6" xfId="34381" xr:uid="{05EEDFB4-C102-42F3-850B-673631AB27FD}"/>
    <cellStyle name="Note 3 2 2 21 3" xfId="34382" xr:uid="{0777D88B-67DD-4F7E-B3D4-86BBDF3E53E8}"/>
    <cellStyle name="Note 3 2 2 21 4" xfId="34383" xr:uid="{59541E0D-A0E8-4776-A14C-79D09207541B}"/>
    <cellStyle name="Note 3 2 2 21 5" xfId="34384" xr:uid="{98D3B62F-E8D1-48FC-B46F-9BFA8B1839D1}"/>
    <cellStyle name="Note 3 2 2 21 6" xfId="34385" xr:uid="{FD003E54-037D-411D-A176-09FC3A966354}"/>
    <cellStyle name="Note 3 2 2 21 7" xfId="34386" xr:uid="{E3DD7FB7-D8AE-4250-8813-5A268B17C262}"/>
    <cellStyle name="Note 3 2 2 22" xfId="2344" xr:uid="{4BFB122F-B736-4FE3-BE8F-9632D684C6B1}"/>
    <cellStyle name="Note 3 2 2 22 2" xfId="11815" xr:uid="{116B221C-A9BE-4EE5-9179-40C3A2F73709}"/>
    <cellStyle name="Note 3 2 2 22 2 2" xfId="34387" xr:uid="{4C00758D-BA24-4153-AC80-3C93411F2DD0}"/>
    <cellStyle name="Note 3 2 2 22 2 3" xfId="34388" xr:uid="{2BD28C22-BD27-4990-97B5-88CC5AD5D955}"/>
    <cellStyle name="Note 3 2 2 22 2 4" xfId="34389" xr:uid="{52620891-385C-4E98-B1D7-9E7679FA299C}"/>
    <cellStyle name="Note 3 2 2 22 2 5" xfId="34390" xr:uid="{11741B00-2EB2-4F62-9CB7-D0C63AB74F22}"/>
    <cellStyle name="Note 3 2 2 22 2 6" xfId="34391" xr:uid="{45F120CB-EBDC-4682-BEFB-DD3D1DD09310}"/>
    <cellStyle name="Note 3 2 2 22 3" xfId="34392" xr:uid="{096482BE-A96A-4DED-B872-BAF0384011F1}"/>
    <cellStyle name="Note 3 2 2 22 4" xfId="34393" xr:uid="{79187B36-7D7D-4EB2-929B-B33EC9D6C80B}"/>
    <cellStyle name="Note 3 2 2 22 5" xfId="34394" xr:uid="{4B9FC350-8DDA-4AD6-A2AC-4C1A8D68AAF6}"/>
    <cellStyle name="Note 3 2 2 22 6" xfId="34395" xr:uid="{7E1AB044-8EE0-4E8E-9AD0-D9D8065260FC}"/>
    <cellStyle name="Note 3 2 2 22 7" xfId="34396" xr:uid="{E6A3C931-B4EF-4C4A-9BAB-D518B51F5F35}"/>
    <cellStyle name="Note 3 2 2 23" xfId="2345" xr:uid="{B1C5EF13-6A0C-4A84-8844-C79F12CE7921}"/>
    <cellStyle name="Note 3 2 2 23 2" xfId="11898" xr:uid="{1A461881-5C5C-4D58-999B-BD6D802D8556}"/>
    <cellStyle name="Note 3 2 2 23 2 2" xfId="34397" xr:uid="{462807D9-1A65-4A2A-AA86-A3EC3288CB00}"/>
    <cellStyle name="Note 3 2 2 23 2 3" xfId="34398" xr:uid="{E75421EB-94CE-49E7-A27C-022FC84870FF}"/>
    <cellStyle name="Note 3 2 2 23 2 4" xfId="34399" xr:uid="{4B6BBCF9-BD82-4FA2-88AE-80D89CDE7A82}"/>
    <cellStyle name="Note 3 2 2 23 2 5" xfId="34400" xr:uid="{EBCBFB14-88B0-48B4-AE18-B83459858806}"/>
    <cellStyle name="Note 3 2 2 23 2 6" xfId="34401" xr:uid="{790CDC13-B69B-44B4-85CA-2687FFC7BDCF}"/>
    <cellStyle name="Note 3 2 2 23 3" xfId="34402" xr:uid="{C3D954D9-8E79-4DE3-A49B-FBF506C69017}"/>
    <cellStyle name="Note 3 2 2 23 4" xfId="34403" xr:uid="{B1D5E919-F9DB-4664-876F-FAE2DBD625F0}"/>
    <cellStyle name="Note 3 2 2 23 5" xfId="34404" xr:uid="{83FB022F-360E-46A3-B40B-C744A6CA8B2F}"/>
    <cellStyle name="Note 3 2 2 23 6" xfId="34405" xr:uid="{90775CD4-749F-483A-96E6-C2C9E0E9A494}"/>
    <cellStyle name="Note 3 2 2 23 7" xfId="34406" xr:uid="{AAD7E0C2-538E-4F36-BD99-228E0985BE37}"/>
    <cellStyle name="Note 3 2 2 24" xfId="2346" xr:uid="{E8A5653E-9440-461B-B428-09691408F01B}"/>
    <cellStyle name="Note 3 2 2 24 2" xfId="11982" xr:uid="{E2474224-CB13-4721-8F77-0C54F51F8D7D}"/>
    <cellStyle name="Note 3 2 2 24 2 2" xfId="34407" xr:uid="{0EB7D074-2DE0-45DA-996B-06691D3495E7}"/>
    <cellStyle name="Note 3 2 2 24 2 3" xfId="34408" xr:uid="{538710F4-BA79-499B-BFBE-6B275DCBE29A}"/>
    <cellStyle name="Note 3 2 2 24 2 4" xfId="34409" xr:uid="{0B9ACC59-5EC0-43D1-80D8-CD5C111BE6E8}"/>
    <cellStyle name="Note 3 2 2 24 2 5" xfId="34410" xr:uid="{E53D88A4-3418-41D3-A541-80BC3B219B1E}"/>
    <cellStyle name="Note 3 2 2 24 2 6" xfId="34411" xr:uid="{B626BE96-960D-4EE2-80A4-27281129D601}"/>
    <cellStyle name="Note 3 2 2 24 3" xfId="34412" xr:uid="{17EF32BD-1B5A-46EF-B36A-8CFA792A0618}"/>
    <cellStyle name="Note 3 2 2 24 4" xfId="34413" xr:uid="{4C162910-313A-44CA-B9A1-43D0F392FE0E}"/>
    <cellStyle name="Note 3 2 2 24 5" xfId="34414" xr:uid="{72661C5B-EEF7-4F66-8FBC-28C538BF903A}"/>
    <cellStyle name="Note 3 2 2 24 6" xfId="34415" xr:uid="{E602694A-6EC0-4E12-B7CE-9BDAF89D8E97}"/>
    <cellStyle name="Note 3 2 2 24 7" xfId="34416" xr:uid="{6915CD9E-5FA0-49B9-A194-BE8F583DAED6}"/>
    <cellStyle name="Note 3 2 2 25" xfId="2347" xr:uid="{8823262C-92B3-405C-BED6-665A326E8DA9}"/>
    <cellStyle name="Note 3 2 2 25 2" xfId="12065" xr:uid="{40E39D41-6775-4156-9CB0-82077A0592D7}"/>
    <cellStyle name="Note 3 2 2 25 2 2" xfId="34417" xr:uid="{FA122F03-38BE-4178-9C7E-470B4632F437}"/>
    <cellStyle name="Note 3 2 2 25 2 3" xfId="34418" xr:uid="{A13604EE-FF93-48E4-8EBB-B0D21751C371}"/>
    <cellStyle name="Note 3 2 2 25 2 4" xfId="34419" xr:uid="{F8B5BB79-B61B-4D22-B6B9-58F932D20C33}"/>
    <cellStyle name="Note 3 2 2 25 2 5" xfId="34420" xr:uid="{7C2FA8C5-4CD5-4E94-A062-8E6BBB1D7C19}"/>
    <cellStyle name="Note 3 2 2 25 2 6" xfId="34421" xr:uid="{900A694D-18DB-4B81-8819-AD98BD403677}"/>
    <cellStyle name="Note 3 2 2 25 3" xfId="34422" xr:uid="{01C7945C-2A24-472E-B0E1-DF2953A1626D}"/>
    <cellStyle name="Note 3 2 2 25 4" xfId="34423" xr:uid="{7264AF16-5649-4603-BB08-655CF45C0856}"/>
    <cellStyle name="Note 3 2 2 25 5" xfId="34424" xr:uid="{250A51C7-689F-4239-934C-238C75B74FEE}"/>
    <cellStyle name="Note 3 2 2 25 6" xfId="34425" xr:uid="{322B828C-5C31-48C3-A03B-5A50BCD7DB34}"/>
    <cellStyle name="Note 3 2 2 25 7" xfId="34426" xr:uid="{EC1EF350-0D5A-4042-AAF4-C2570C81DE70}"/>
    <cellStyle name="Note 3 2 2 26" xfId="2348" xr:uid="{C399DBB8-4791-4DEC-9125-B19D525D09E9}"/>
    <cellStyle name="Note 3 2 2 26 2" xfId="12148" xr:uid="{1096513A-446C-47B4-BC90-6C6EC46DE75B}"/>
    <cellStyle name="Note 3 2 2 26 2 2" xfId="34427" xr:uid="{5E000BF9-5BC6-43D5-9B19-452588E364CC}"/>
    <cellStyle name="Note 3 2 2 26 2 3" xfId="34428" xr:uid="{3DAF6E26-0032-4406-954B-D16FC3BFB0B7}"/>
    <cellStyle name="Note 3 2 2 26 2 4" xfId="34429" xr:uid="{A84D6264-8A1C-46F6-A044-3604F2082E42}"/>
    <cellStyle name="Note 3 2 2 26 2 5" xfId="34430" xr:uid="{6AC41E07-CB8D-463D-94A7-2B176C6BD36B}"/>
    <cellStyle name="Note 3 2 2 26 2 6" xfId="34431" xr:uid="{863CD2C3-2226-417C-B4B8-8BECDAD34E64}"/>
    <cellStyle name="Note 3 2 2 26 3" xfId="34432" xr:uid="{130AEFA5-E03D-4C51-8716-BE9DB12B1CD1}"/>
    <cellStyle name="Note 3 2 2 26 4" xfId="34433" xr:uid="{4DFB663E-53F4-40E5-8CE6-FE120CC549D7}"/>
    <cellStyle name="Note 3 2 2 26 5" xfId="34434" xr:uid="{34957A07-E012-4AF2-B0A1-1A1952BA49CD}"/>
    <cellStyle name="Note 3 2 2 26 6" xfId="34435" xr:uid="{33489429-C20A-4AD9-A66D-13CD761E7DD5}"/>
    <cellStyle name="Note 3 2 2 26 7" xfId="34436" xr:uid="{35D5A696-F273-444E-A5FB-CD6EB9221DD6}"/>
    <cellStyle name="Note 3 2 2 27" xfId="2349" xr:uid="{E378D782-B0FF-44AA-8272-7DB758482395}"/>
    <cellStyle name="Note 3 2 2 27 2" xfId="12230" xr:uid="{18F85E40-4057-4FAF-842C-F73F4F65F594}"/>
    <cellStyle name="Note 3 2 2 27 2 2" xfId="34437" xr:uid="{913FA890-FEA0-441A-AE22-9A5F677A5479}"/>
    <cellStyle name="Note 3 2 2 27 2 3" xfId="34438" xr:uid="{6F372963-5EC6-46C7-9502-C8182A5709D3}"/>
    <cellStyle name="Note 3 2 2 27 2 4" xfId="34439" xr:uid="{83452CE3-7D28-4045-8084-8C7D73972EE8}"/>
    <cellStyle name="Note 3 2 2 27 2 5" xfId="34440" xr:uid="{4EAA34D1-B088-41AC-BE33-000B616A78E6}"/>
    <cellStyle name="Note 3 2 2 27 2 6" xfId="34441" xr:uid="{64A8E757-9E27-49C7-B89A-244DBD2FB811}"/>
    <cellStyle name="Note 3 2 2 27 3" xfId="34442" xr:uid="{AFDCA80F-58B0-4C94-9870-B4C1AAE3623F}"/>
    <cellStyle name="Note 3 2 2 27 4" xfId="34443" xr:uid="{67E03630-A910-4753-BDD1-D9A5B4E69F41}"/>
    <cellStyle name="Note 3 2 2 27 5" xfId="34444" xr:uid="{6B39CABC-E7D2-40CA-96C9-66867CC73923}"/>
    <cellStyle name="Note 3 2 2 27 6" xfId="34445" xr:uid="{9E725217-64EE-4CAF-B919-0074E2B69642}"/>
    <cellStyle name="Note 3 2 2 27 7" xfId="34446" xr:uid="{49AEC507-7FC2-4AE3-9951-E62F09CA39A3}"/>
    <cellStyle name="Note 3 2 2 28" xfId="2350" xr:uid="{45A18188-F46B-47AA-B3F0-55FAF881AA64}"/>
    <cellStyle name="Note 3 2 2 28 2" xfId="12310" xr:uid="{7C50C53E-BF6C-4A74-A1B2-04FE15A071BB}"/>
    <cellStyle name="Note 3 2 2 28 2 2" xfId="34447" xr:uid="{93717A21-2B28-4041-BA39-295DF90A4948}"/>
    <cellStyle name="Note 3 2 2 28 2 3" xfId="34448" xr:uid="{458BC047-8B9B-4270-90AD-3DFB0F99918B}"/>
    <cellStyle name="Note 3 2 2 28 2 4" xfId="34449" xr:uid="{76ED75CB-8E38-48AE-9AE6-1252175DEA30}"/>
    <cellStyle name="Note 3 2 2 28 2 5" xfId="34450" xr:uid="{4BA708FC-1E75-450F-9987-6FC18AAE1062}"/>
    <cellStyle name="Note 3 2 2 28 2 6" xfId="34451" xr:uid="{9A0192F2-18BD-4C36-99F4-53227D113FC1}"/>
    <cellStyle name="Note 3 2 2 28 3" xfId="34452" xr:uid="{08B226E1-5D9F-4365-9AAD-A8C79A6E24D3}"/>
    <cellStyle name="Note 3 2 2 28 4" xfId="34453" xr:uid="{038BB672-3326-4735-8497-2FAA37005A1F}"/>
    <cellStyle name="Note 3 2 2 28 5" xfId="34454" xr:uid="{392A61BA-764A-437F-94B1-BCEC676A799F}"/>
    <cellStyle name="Note 3 2 2 28 6" xfId="34455" xr:uid="{30491ADB-5275-4000-93C8-8FF2BFDD4B0A}"/>
    <cellStyle name="Note 3 2 2 28 7" xfId="34456" xr:uid="{26747A8A-9B3C-4B1C-927D-B9FAF5CF90EF}"/>
    <cellStyle name="Note 3 2 2 29" xfId="2351" xr:uid="{144607F0-74B8-41E8-AE7E-C72816EF300D}"/>
    <cellStyle name="Note 3 2 2 29 2" xfId="12388" xr:uid="{7AF94F5C-1A55-4FA8-AF96-B25094C3960F}"/>
    <cellStyle name="Note 3 2 2 29 2 2" xfId="34457" xr:uid="{0FCC4AE9-0A94-4912-A374-B09AB00AC53B}"/>
    <cellStyle name="Note 3 2 2 29 2 3" xfId="34458" xr:uid="{09308ACA-E488-45FF-B410-9A5B83F1CE5E}"/>
    <cellStyle name="Note 3 2 2 29 2 4" xfId="34459" xr:uid="{15E94A8B-9985-4C32-878E-9F725A48A806}"/>
    <cellStyle name="Note 3 2 2 29 2 5" xfId="34460" xr:uid="{BCB1E9B4-7ABB-43E8-83EB-C2CB8DB1909F}"/>
    <cellStyle name="Note 3 2 2 29 2 6" xfId="34461" xr:uid="{DD1B65CB-354E-4926-B8CA-F59653456692}"/>
    <cellStyle name="Note 3 2 2 29 3" xfId="34462" xr:uid="{59601A5E-9BFF-4E50-B3D1-DD1433FF31A5}"/>
    <cellStyle name="Note 3 2 2 29 4" xfId="34463" xr:uid="{0FE00346-CFE4-4284-BC47-3EAAB2F4F259}"/>
    <cellStyle name="Note 3 2 2 29 5" xfId="34464" xr:uid="{43633463-D649-4DEC-ADF6-1DBF1D6DDEAD}"/>
    <cellStyle name="Note 3 2 2 29 6" xfId="34465" xr:uid="{AB5D5EB4-E62A-4BA9-9ADB-43740F03B2E5}"/>
    <cellStyle name="Note 3 2 2 29 7" xfId="34466" xr:uid="{D5DBBEA3-0D01-43A5-8EC6-0418E7A450D3}"/>
    <cellStyle name="Note 3 2 2 3" xfId="2352" xr:uid="{F56EB041-CD6F-4A17-8DED-6E557D68F713}"/>
    <cellStyle name="Note 3 2 2 3 2" xfId="10158" xr:uid="{84BF5C3F-E20B-4BE7-A993-301CEDD51E28}"/>
    <cellStyle name="Note 3 2 2 3 2 2" xfId="34467" xr:uid="{86942282-F5F9-45D4-8DC5-FAF76FE1A1E4}"/>
    <cellStyle name="Note 3 2 2 3 2 3" xfId="34468" xr:uid="{52195481-9516-4497-A8C7-5C2A07282554}"/>
    <cellStyle name="Note 3 2 2 3 2 4" xfId="34469" xr:uid="{1BB2A664-437C-493E-B1E8-E774DC83CC72}"/>
    <cellStyle name="Note 3 2 2 3 2 5" xfId="34470" xr:uid="{A5ED3D7F-58A1-4B29-B111-4325A33075BC}"/>
    <cellStyle name="Note 3 2 2 3 2 6" xfId="34471" xr:uid="{3D788D57-FB06-47A2-9106-E749EDFB948D}"/>
    <cellStyle name="Note 3 2 2 3 3" xfId="34472" xr:uid="{BA399739-CB43-492E-BEA5-E305DC027810}"/>
    <cellStyle name="Note 3 2 2 3 4" xfId="34473" xr:uid="{F8375A27-A28A-4739-B01B-410126402A16}"/>
    <cellStyle name="Note 3 2 2 3 5" xfId="34474" xr:uid="{36EF1BFB-104A-4CF0-BA6F-8B5DD4A369EF}"/>
    <cellStyle name="Note 3 2 2 3 6" xfId="34475" xr:uid="{B42DFA14-0462-4E05-AE92-77204FF1BFF7}"/>
    <cellStyle name="Note 3 2 2 3 7" xfId="34476" xr:uid="{2358445F-DA3C-4C70-92D0-8F02CCDE1F95}"/>
    <cellStyle name="Note 3 2 2 30" xfId="2353" xr:uid="{3D2617ED-BFC1-4E24-846D-F6D0DA4BD5DA}"/>
    <cellStyle name="Note 3 2 2 30 2" xfId="12467" xr:uid="{A3C5D700-B773-43F1-A486-F31F4CC2DE49}"/>
    <cellStyle name="Note 3 2 2 30 2 2" xfId="34477" xr:uid="{48C05E27-5830-43C1-B891-B942FDBEFE3A}"/>
    <cellStyle name="Note 3 2 2 30 2 3" xfId="34478" xr:uid="{B78408F8-445A-4E03-8EF6-27D645E2DA3A}"/>
    <cellStyle name="Note 3 2 2 30 2 4" xfId="34479" xr:uid="{1DE9BBF3-FD08-423F-9B86-28122C0B2B5D}"/>
    <cellStyle name="Note 3 2 2 30 2 5" xfId="34480" xr:uid="{D453C452-9736-49E3-8D12-C098829AB8C3}"/>
    <cellStyle name="Note 3 2 2 30 2 6" xfId="34481" xr:uid="{7D46DE55-0D4C-4B5D-9F98-8F4DAFABCFC9}"/>
    <cellStyle name="Note 3 2 2 30 3" xfId="34482" xr:uid="{A771CC15-C697-43EF-8B49-1FFD7586FF85}"/>
    <cellStyle name="Note 3 2 2 30 4" xfId="34483" xr:uid="{BB95A47B-5317-436B-8D7A-790F1393B8D6}"/>
    <cellStyle name="Note 3 2 2 30 5" xfId="34484" xr:uid="{1C7F217B-C182-41E4-8A7A-A0F69092B73E}"/>
    <cellStyle name="Note 3 2 2 30 6" xfId="34485" xr:uid="{3B96F247-C29D-4B8F-B896-E30402C27B5F}"/>
    <cellStyle name="Note 3 2 2 30 7" xfId="34486" xr:uid="{C21F052F-977A-485D-85CE-95F59CF17B7C}"/>
    <cellStyle name="Note 3 2 2 31" xfId="2354" xr:uid="{C0CA1651-BE31-4F30-8A38-CCB0933A4AD9}"/>
    <cellStyle name="Note 3 2 2 31 2" xfId="12546" xr:uid="{04C376C8-4DEB-4F88-837B-C14E563A8E42}"/>
    <cellStyle name="Note 3 2 2 31 2 2" xfId="34487" xr:uid="{AE714C0A-CB1B-4263-8138-FAD9AD815DED}"/>
    <cellStyle name="Note 3 2 2 31 2 3" xfId="34488" xr:uid="{11C5FE1B-54A3-4D9E-8B83-3F4C66ECA2C2}"/>
    <cellStyle name="Note 3 2 2 31 2 4" xfId="34489" xr:uid="{AFCEC28A-69E5-42C7-B0A1-5E80BEAB0B95}"/>
    <cellStyle name="Note 3 2 2 31 2 5" xfId="34490" xr:uid="{DA7A7B96-90DE-4E99-8018-1CFE9737D49C}"/>
    <cellStyle name="Note 3 2 2 31 2 6" xfId="34491" xr:uid="{3A4A66D2-E4F8-446D-B228-B7CB5405C401}"/>
    <cellStyle name="Note 3 2 2 31 3" xfId="34492" xr:uid="{DA476C71-1E70-4CA7-B07A-2D5A9315602B}"/>
    <cellStyle name="Note 3 2 2 31 4" xfId="34493" xr:uid="{F29650FB-507D-4087-A2AF-22E89CAAD5C7}"/>
    <cellStyle name="Note 3 2 2 31 5" xfId="34494" xr:uid="{71DCE550-C638-4389-93C3-FB9466116893}"/>
    <cellStyle name="Note 3 2 2 31 6" xfId="34495" xr:uid="{C4720E47-9F76-4A39-A645-DF0A13F9A688}"/>
    <cellStyle name="Note 3 2 2 31 7" xfId="34496" xr:uid="{9D78DEF1-2AD1-469D-BDEE-7F2A017FFD58}"/>
    <cellStyle name="Note 3 2 2 32" xfId="2355" xr:uid="{AC784BCA-1C3F-4E8F-9F27-2CA25CCB52D3}"/>
    <cellStyle name="Note 3 2 2 32 2" xfId="12625" xr:uid="{7F3D518E-1FC2-4964-B80B-B8DA557F309D}"/>
    <cellStyle name="Note 3 2 2 32 2 2" xfId="34497" xr:uid="{8F3283B0-D48D-4439-A9EB-1CC8E06C6362}"/>
    <cellStyle name="Note 3 2 2 32 2 3" xfId="34498" xr:uid="{037FDA53-82FF-469A-8FE4-105F32464D14}"/>
    <cellStyle name="Note 3 2 2 32 2 4" xfId="34499" xr:uid="{0105707E-ED51-4A04-B804-17EA5684229A}"/>
    <cellStyle name="Note 3 2 2 32 2 5" xfId="34500" xr:uid="{6B7F214F-529A-4B7F-9848-0D9DECB6DE2A}"/>
    <cellStyle name="Note 3 2 2 32 2 6" xfId="34501" xr:uid="{656BFD6B-2A63-4B3D-A2C7-4BAD4C125AF2}"/>
    <cellStyle name="Note 3 2 2 32 3" xfId="34502" xr:uid="{80771BF4-3F7E-4BE9-BEE8-CA5EAF33FF80}"/>
    <cellStyle name="Note 3 2 2 32 4" xfId="34503" xr:uid="{D3D1389C-FEB1-42E5-80D4-2C2AB474FA0D}"/>
    <cellStyle name="Note 3 2 2 32 5" xfId="34504" xr:uid="{732A4C14-C040-4228-9F66-0620BA91E057}"/>
    <cellStyle name="Note 3 2 2 32 6" xfId="34505" xr:uid="{91CC8FB3-A832-42F6-B124-FDAEDDE06534}"/>
    <cellStyle name="Note 3 2 2 32 7" xfId="34506" xr:uid="{2668E224-538D-411C-9057-BF3565BF28A7}"/>
    <cellStyle name="Note 3 2 2 33" xfId="2356" xr:uid="{11CFBA6D-A1A4-4814-9C59-15AFA5F8FE21}"/>
    <cellStyle name="Note 3 2 2 33 2" xfId="12704" xr:uid="{0612D093-8408-4EBA-97F7-87C9751F5F4D}"/>
    <cellStyle name="Note 3 2 2 33 2 2" xfId="34507" xr:uid="{63CFB51F-B523-4D8D-B3C2-0ACCF498E99B}"/>
    <cellStyle name="Note 3 2 2 33 2 3" xfId="34508" xr:uid="{0059BEA3-5562-42C7-B917-8F1E60CF8C9E}"/>
    <cellStyle name="Note 3 2 2 33 2 4" xfId="34509" xr:uid="{649BD6E2-90A0-4456-9FB2-C3E70593A1D2}"/>
    <cellStyle name="Note 3 2 2 33 2 5" xfId="34510" xr:uid="{9ED2B360-7492-46E8-B7A2-789A50A6B597}"/>
    <cellStyle name="Note 3 2 2 33 2 6" xfId="34511" xr:uid="{71E81612-941A-49B2-95CF-A770E7D322CA}"/>
    <cellStyle name="Note 3 2 2 33 3" xfId="34512" xr:uid="{42F53ED9-83A5-44E8-93B5-1DD8653FDA00}"/>
    <cellStyle name="Note 3 2 2 33 4" xfId="34513" xr:uid="{EB0B6104-C7FE-4C33-94E3-26E5C00EEDB7}"/>
    <cellStyle name="Note 3 2 2 33 5" xfId="34514" xr:uid="{1114AED5-F2F7-4883-8A4B-823C7A6F39CA}"/>
    <cellStyle name="Note 3 2 2 33 6" xfId="34515" xr:uid="{A38FDCED-01DD-43E5-BB9A-78A48A62011C}"/>
    <cellStyle name="Note 3 2 2 33 7" xfId="34516" xr:uid="{C6594CD2-F68D-4BAB-BD1C-8A2FDD2176EC}"/>
    <cellStyle name="Note 3 2 2 34" xfId="2357" xr:uid="{D101F8D6-3865-4CFD-8DAC-55DC2B5370EE}"/>
    <cellStyle name="Note 3 2 2 34 2" xfId="12788" xr:uid="{44D10561-E464-4D2D-BF92-1A4A029BABE2}"/>
    <cellStyle name="Note 3 2 2 34 2 2" xfId="34517" xr:uid="{71407A3D-DA67-4BB8-AC79-D51300648050}"/>
    <cellStyle name="Note 3 2 2 34 2 3" xfId="34518" xr:uid="{16CD7A7B-3308-46E1-B058-48AC12D80ED4}"/>
    <cellStyle name="Note 3 2 2 34 2 4" xfId="34519" xr:uid="{2C5AAC09-7A72-43C0-90D5-61DE7D20F033}"/>
    <cellStyle name="Note 3 2 2 34 2 5" xfId="34520" xr:uid="{7DADB882-2955-478D-9590-5A9507D918CA}"/>
    <cellStyle name="Note 3 2 2 34 2 6" xfId="34521" xr:uid="{7628944F-B449-4995-9798-E85F6CFAFE3D}"/>
    <cellStyle name="Note 3 2 2 34 3" xfId="34522" xr:uid="{B3AF7C04-C94D-45E3-B09C-C81F858ABF9A}"/>
    <cellStyle name="Note 3 2 2 35" xfId="8896" xr:uid="{D3B8D364-7B6E-4776-B00F-AD5ADD831ED9}"/>
    <cellStyle name="Note 3 2 2 35 2" xfId="34523" xr:uid="{CBA99C37-CF2F-40CF-935B-048E4946D3A4}"/>
    <cellStyle name="Note 3 2 2 36" xfId="9854" xr:uid="{64FACD8D-EFC8-4B27-9E19-660A3EFD3C26}"/>
    <cellStyle name="Note 3 2 2 36 2" xfId="34524" xr:uid="{BFD73729-0B83-4897-882C-0C5140B72A05}"/>
    <cellStyle name="Note 3 2 2 36 3" xfId="34525" xr:uid="{C459DFA4-438C-4350-9664-F657F752D6F1}"/>
    <cellStyle name="Note 3 2 2 36 4" xfId="34526" xr:uid="{82CBD1EF-6FB0-4D1D-96FE-4BFDE089D03B}"/>
    <cellStyle name="Note 3 2 2 36 5" xfId="34527" xr:uid="{2F812A3D-F17F-49BD-AFC7-7DB7E642043F}"/>
    <cellStyle name="Note 3 2 2 36 6" xfId="34528" xr:uid="{9F895075-871F-4CDA-8876-BF6B701E5B92}"/>
    <cellStyle name="Note 3 2 2 37" xfId="34529" xr:uid="{D64D7C2F-53B4-4286-8C64-BC3143F118A8}"/>
    <cellStyle name="Note 3 2 2 4" xfId="2358" xr:uid="{E813554F-D611-4405-BD53-FE9282976029}"/>
    <cellStyle name="Note 3 2 2 4 2" xfId="10248" xr:uid="{BC52F0BF-6121-44C3-BAB3-43EB72220A02}"/>
    <cellStyle name="Note 3 2 2 4 2 2" xfId="34530" xr:uid="{E6527AD6-552E-4B2A-BD8D-BAD7AB14A0C2}"/>
    <cellStyle name="Note 3 2 2 4 2 3" xfId="34531" xr:uid="{14CAB972-5684-4C18-A0DB-638026352CDB}"/>
    <cellStyle name="Note 3 2 2 4 2 4" xfId="34532" xr:uid="{76373EF9-6D94-41B9-85DA-EB31A82DA48A}"/>
    <cellStyle name="Note 3 2 2 4 2 5" xfId="34533" xr:uid="{A410A196-B944-416E-84B5-D5C703AB1161}"/>
    <cellStyle name="Note 3 2 2 4 2 6" xfId="34534" xr:uid="{A505984F-F90C-4229-945A-D6B2F7CBAEC3}"/>
    <cellStyle name="Note 3 2 2 4 3" xfId="34535" xr:uid="{F798B2B6-8270-4565-B068-F10F0CFA8A3C}"/>
    <cellStyle name="Note 3 2 2 4 4" xfId="34536" xr:uid="{11616B3C-3D34-4B10-A9BE-BCAA84BCEFBF}"/>
    <cellStyle name="Note 3 2 2 4 5" xfId="34537" xr:uid="{001E0575-A81E-40C4-B37D-062705654F86}"/>
    <cellStyle name="Note 3 2 2 4 6" xfId="34538" xr:uid="{B0D4C736-EA8C-4C4E-BED1-6CB0CD3F79D7}"/>
    <cellStyle name="Note 3 2 2 4 7" xfId="34539" xr:uid="{B6FF4F3B-16F7-4E05-9900-3680A7769006}"/>
    <cellStyle name="Note 3 2 2 5" xfId="2359" xr:uid="{90B9F437-8E07-404F-AC6B-8F7FEBE2D81E}"/>
    <cellStyle name="Note 3 2 2 5 2" xfId="10334" xr:uid="{8ECBDC52-3FDE-4139-AD7E-6B8787C61F1E}"/>
    <cellStyle name="Note 3 2 2 5 2 2" xfId="34540" xr:uid="{E30D9289-089E-4C57-A1DB-75F825A0F98B}"/>
    <cellStyle name="Note 3 2 2 5 2 3" xfId="34541" xr:uid="{36768FDF-2353-4C7E-9349-A37A2F03F24D}"/>
    <cellStyle name="Note 3 2 2 5 2 4" xfId="34542" xr:uid="{C8AEE752-218C-4396-831D-AEADC30E3C7D}"/>
    <cellStyle name="Note 3 2 2 5 2 5" xfId="34543" xr:uid="{5061CF8A-41C3-47D7-B654-8A4150297759}"/>
    <cellStyle name="Note 3 2 2 5 2 6" xfId="34544" xr:uid="{4994E3AA-7941-4EBD-8588-829F39E39C8C}"/>
    <cellStyle name="Note 3 2 2 5 3" xfId="34545" xr:uid="{7A902CF4-FB70-4B34-976B-5ECAA060B4B4}"/>
    <cellStyle name="Note 3 2 2 5 4" xfId="34546" xr:uid="{80774933-A7CA-47F0-92C2-A347C2B025BA}"/>
    <cellStyle name="Note 3 2 2 5 5" xfId="34547" xr:uid="{460B4949-A7DA-4892-9062-99B2E71E5B4D}"/>
    <cellStyle name="Note 3 2 2 5 6" xfId="34548" xr:uid="{83583CAF-79ED-49AE-B1AE-0657D1F5E9BB}"/>
    <cellStyle name="Note 3 2 2 5 7" xfId="34549" xr:uid="{1201BF48-43C9-456F-9256-AF033F6D9CA2}"/>
    <cellStyle name="Note 3 2 2 6" xfId="2360" xr:uid="{EAF9A821-CC44-45A5-ABEF-3B3FA1D85651}"/>
    <cellStyle name="Note 3 2 2 6 2" xfId="10422" xr:uid="{FA066DF8-C688-48A1-AC08-7D4763838D95}"/>
    <cellStyle name="Note 3 2 2 6 2 2" xfId="34550" xr:uid="{3CB6C3F5-1317-4440-A263-3EF66EF2BE64}"/>
    <cellStyle name="Note 3 2 2 6 2 3" xfId="34551" xr:uid="{F15DFBD7-2C62-4958-829D-C6D5CF730F92}"/>
    <cellStyle name="Note 3 2 2 6 2 4" xfId="34552" xr:uid="{93D11410-0AD1-49F3-A618-61E6C95965EF}"/>
    <cellStyle name="Note 3 2 2 6 2 5" xfId="34553" xr:uid="{1A6EB439-026E-4F35-AF37-079310994406}"/>
    <cellStyle name="Note 3 2 2 6 2 6" xfId="34554" xr:uid="{9834E0BF-962F-4307-9A31-0C5F6C1135FF}"/>
    <cellStyle name="Note 3 2 2 6 3" xfId="34555" xr:uid="{21F67B28-E13E-4232-AD59-1BEE99A34C2F}"/>
    <cellStyle name="Note 3 2 2 6 4" xfId="34556" xr:uid="{497012EE-E8C7-4A72-8777-FD4D43A6E294}"/>
    <cellStyle name="Note 3 2 2 6 5" xfId="34557" xr:uid="{21F16DC1-9952-4A20-899C-194C65D3F3AD}"/>
    <cellStyle name="Note 3 2 2 6 6" xfId="34558" xr:uid="{AE590A32-2347-4A07-885F-3ED2A67A9B84}"/>
    <cellStyle name="Note 3 2 2 6 7" xfId="34559" xr:uid="{EB5BA34F-BEF4-4FA3-978C-77BA9BEBD8FF}"/>
    <cellStyle name="Note 3 2 2 7" xfId="2361" xr:uid="{CEB40A98-8A61-4274-A9CA-EA66DB28FA12}"/>
    <cellStyle name="Note 3 2 2 7 2" xfId="10509" xr:uid="{BE9B6878-35EB-4EC7-8A9F-AE768B4F2CC8}"/>
    <cellStyle name="Note 3 2 2 7 2 2" xfId="34560" xr:uid="{F782F56F-F7F4-4D2C-935D-03D62D4581DA}"/>
    <cellStyle name="Note 3 2 2 7 2 3" xfId="34561" xr:uid="{B9D2EE9D-86CF-429B-8F02-3B27ED8EE000}"/>
    <cellStyle name="Note 3 2 2 7 2 4" xfId="34562" xr:uid="{9358434B-E603-42DA-ACB4-89DCB7927B87}"/>
    <cellStyle name="Note 3 2 2 7 2 5" xfId="34563" xr:uid="{3B4C97B3-8481-402C-AB39-03AB4987878C}"/>
    <cellStyle name="Note 3 2 2 7 2 6" xfId="34564" xr:uid="{5A871DEF-309F-42DE-AA8E-BA12E35A7C49}"/>
    <cellStyle name="Note 3 2 2 7 3" xfId="34565" xr:uid="{D2FDF982-3C98-4223-B6F2-E959FAA25C98}"/>
    <cellStyle name="Note 3 2 2 7 4" xfId="34566" xr:uid="{6FBC4244-508B-4DEB-B01D-984E33E17AF0}"/>
    <cellStyle name="Note 3 2 2 7 5" xfId="34567" xr:uid="{F37B5FD8-4CF3-45F1-ABB1-B5744FFB7B3C}"/>
    <cellStyle name="Note 3 2 2 7 6" xfId="34568" xr:uid="{7ADAEFA6-35F1-4DCC-BD06-7DC4769BEC6E}"/>
    <cellStyle name="Note 3 2 2 7 7" xfId="34569" xr:uid="{51D4CC13-C57E-4093-AAB3-820BB38E452F}"/>
    <cellStyle name="Note 3 2 2 8" xfId="2362" xr:uid="{0E41B652-619B-4D9A-A4EC-D1B03AB47601}"/>
    <cellStyle name="Note 3 2 2 8 2" xfId="10597" xr:uid="{D2586351-34BC-4BB1-8165-32B847222540}"/>
    <cellStyle name="Note 3 2 2 8 2 2" xfId="34570" xr:uid="{666C25B6-A9DD-4893-9382-8971FE4A1188}"/>
    <cellStyle name="Note 3 2 2 8 2 3" xfId="34571" xr:uid="{928A8B14-1BA2-4A1D-9D80-AD821586F6D7}"/>
    <cellStyle name="Note 3 2 2 8 2 4" xfId="34572" xr:uid="{2628E6F6-E6E3-471E-8988-0EA473C4C6FF}"/>
    <cellStyle name="Note 3 2 2 8 2 5" xfId="34573" xr:uid="{373FB96B-16BE-4E7E-A184-68492A8F3867}"/>
    <cellStyle name="Note 3 2 2 8 2 6" xfId="34574" xr:uid="{D8BC9018-5F7E-4983-A272-7167BFDD6354}"/>
    <cellStyle name="Note 3 2 2 8 3" xfId="34575" xr:uid="{B2E264B3-B196-4D9E-A888-47340E8BF39B}"/>
    <cellStyle name="Note 3 2 2 8 4" xfId="34576" xr:uid="{647E074E-FCC4-43CF-8266-971D8A4CF9CA}"/>
    <cellStyle name="Note 3 2 2 8 5" xfId="34577" xr:uid="{388BFEAC-3E4B-4547-963B-1C5758D41CF8}"/>
    <cellStyle name="Note 3 2 2 8 6" xfId="34578" xr:uid="{FB8F9680-A6EA-47E3-95C1-C35C52A84513}"/>
    <cellStyle name="Note 3 2 2 8 7" xfId="34579" xr:uid="{0A3671D7-7BE8-4D59-9F34-BCE133113174}"/>
    <cellStyle name="Note 3 2 2 9" xfId="2363" xr:uid="{FDACB151-9A55-429F-9499-46352BCCE0D4}"/>
    <cellStyle name="Note 3 2 2 9 2" xfId="10679" xr:uid="{4E74F956-3EF8-4EA6-830A-F3E2A20BAE0F}"/>
    <cellStyle name="Note 3 2 2 9 2 2" xfId="34580" xr:uid="{055B7750-02B2-436C-A5CA-412BEF54B10D}"/>
    <cellStyle name="Note 3 2 2 9 2 3" xfId="34581" xr:uid="{D2C57779-AB1E-49CB-AA2B-7B141E57D8D1}"/>
    <cellStyle name="Note 3 2 2 9 2 4" xfId="34582" xr:uid="{D08D5D4A-8042-494D-9123-75367F829C6C}"/>
    <cellStyle name="Note 3 2 2 9 2 5" xfId="34583" xr:uid="{7C328BC2-5231-4EF7-87F1-81343AEE11B9}"/>
    <cellStyle name="Note 3 2 2 9 2 6" xfId="34584" xr:uid="{8D2730EC-9A33-4C14-AB6E-F2B4D5C3E1B1}"/>
    <cellStyle name="Note 3 2 2 9 3" xfId="34585" xr:uid="{026DAE33-CE30-424B-9B17-0CB9DCD5CD28}"/>
    <cellStyle name="Note 3 2 2 9 4" xfId="34586" xr:uid="{A943F755-B052-4B35-9F48-AC55828B5A85}"/>
    <cellStyle name="Note 3 2 2 9 5" xfId="34587" xr:uid="{59899877-0A08-4859-A86A-A9ABA96399D7}"/>
    <cellStyle name="Note 3 2 2 9 6" xfId="34588" xr:uid="{2E801ADB-5919-4B2F-A3FA-85FA3DE5F000}"/>
    <cellStyle name="Note 3 2 2 9 7" xfId="34589" xr:uid="{524F9716-C0FA-4CA9-8F08-B37774C6CAD6}"/>
    <cellStyle name="Note 3 2 20" xfId="2364" xr:uid="{AEC43E06-4188-40A7-A8D1-ABDAC66F163E}"/>
    <cellStyle name="Note 3 2 20 2" xfId="11527" xr:uid="{6E7C7B25-A6C4-4BA2-9023-C15D762D61B4}"/>
    <cellStyle name="Note 3 2 20 2 2" xfId="34590" xr:uid="{1C121A8A-923B-4E27-928D-17D65E363C1F}"/>
    <cellStyle name="Note 3 2 20 2 3" xfId="34591" xr:uid="{2DD4D0E7-078F-43C7-86CF-3FA2AB1A88CB}"/>
    <cellStyle name="Note 3 2 20 2 4" xfId="34592" xr:uid="{71B30976-7AFB-4BAE-8716-E64306E2BB33}"/>
    <cellStyle name="Note 3 2 20 2 5" xfId="34593" xr:uid="{59ED179B-D79C-481E-8DE3-DAD330F1BE07}"/>
    <cellStyle name="Note 3 2 20 2 6" xfId="34594" xr:uid="{2B3B4974-7529-49E9-8687-FD6C50F6053A}"/>
    <cellStyle name="Note 3 2 20 3" xfId="34595" xr:uid="{CC8CFCA3-316C-4F1F-8FC0-CC592EAD767A}"/>
    <cellStyle name="Note 3 2 20 4" xfId="34596" xr:uid="{33B55BEB-A7B5-425D-B484-CA2C24C9AC7D}"/>
    <cellStyle name="Note 3 2 20 5" xfId="34597" xr:uid="{7669855C-0F95-4EAA-9480-F61AC2C14711}"/>
    <cellStyle name="Note 3 2 20 6" xfId="34598" xr:uid="{7C20BD89-2A9B-462F-B190-9E337D8293BE}"/>
    <cellStyle name="Note 3 2 20 7" xfId="34599" xr:uid="{5795F93A-35AF-46FF-A9BF-E4AA0445A214}"/>
    <cellStyle name="Note 3 2 21" xfId="2365" xr:uid="{C957B736-219F-459A-ABBD-F464A3D9F82D}"/>
    <cellStyle name="Note 3 2 21 2" xfId="11615" xr:uid="{DDD75A17-B6D2-4E49-A5EA-F5C77484FF8F}"/>
    <cellStyle name="Note 3 2 21 2 2" xfId="34600" xr:uid="{337A8708-90C7-40AE-963C-1A5532B24768}"/>
    <cellStyle name="Note 3 2 21 2 3" xfId="34601" xr:uid="{3E90E384-DB2A-43DC-B3ED-D6C38F8A75CE}"/>
    <cellStyle name="Note 3 2 21 2 4" xfId="34602" xr:uid="{B96A6640-0DE5-4EB2-9D63-198F59747644}"/>
    <cellStyle name="Note 3 2 21 2 5" xfId="34603" xr:uid="{54A17647-B961-4365-B4CD-2643BA407E48}"/>
    <cellStyle name="Note 3 2 21 2 6" xfId="34604" xr:uid="{EA1E0AC5-0A17-47C7-AE92-559580B624B9}"/>
    <cellStyle name="Note 3 2 21 3" xfId="34605" xr:uid="{F1DB4055-0400-484E-A8ED-0FAB90DA6BF1}"/>
    <cellStyle name="Note 3 2 21 4" xfId="34606" xr:uid="{91B6BEFE-EFD7-4520-901E-58705E12793D}"/>
    <cellStyle name="Note 3 2 21 5" xfId="34607" xr:uid="{E6C839F9-6A50-40FF-B016-2A43798AC078}"/>
    <cellStyle name="Note 3 2 21 6" xfId="34608" xr:uid="{68E6B10C-1DBE-4F9F-84C3-7B761BF02C5B}"/>
    <cellStyle name="Note 3 2 21 7" xfId="34609" xr:uid="{2DD7AF71-9833-439D-9B98-8847B0467B3A}"/>
    <cellStyle name="Note 3 2 22" xfId="2366" xr:uid="{6FC99DAD-B511-4133-ABF0-0A0F0E2D2479}"/>
    <cellStyle name="Note 3 2 22 2" xfId="11699" xr:uid="{28A3D901-863C-4173-83AA-63C9D71966EB}"/>
    <cellStyle name="Note 3 2 22 2 2" xfId="34610" xr:uid="{E4083D7E-8DDE-478A-8B74-C22977992E92}"/>
    <cellStyle name="Note 3 2 22 2 3" xfId="34611" xr:uid="{569070CA-AF68-4C24-96DA-87CF1485B166}"/>
    <cellStyle name="Note 3 2 22 2 4" xfId="34612" xr:uid="{F9570A9D-98A8-48B4-8287-A0AAF388C99F}"/>
    <cellStyle name="Note 3 2 22 2 5" xfId="34613" xr:uid="{1D787AA4-276B-4801-9251-A07C3EB73DFD}"/>
    <cellStyle name="Note 3 2 22 2 6" xfId="34614" xr:uid="{A1D936BF-0E82-4647-93A4-12FD6F9B0B8E}"/>
    <cellStyle name="Note 3 2 22 3" xfId="34615" xr:uid="{361B2FEC-32C7-464E-8807-9AF8CEE4BFD1}"/>
    <cellStyle name="Note 3 2 22 4" xfId="34616" xr:uid="{6D013D1E-C47D-48ED-9279-33FBCD4F1154}"/>
    <cellStyle name="Note 3 2 22 5" xfId="34617" xr:uid="{BEBCDA37-42D7-4A24-B9D4-B94EFE031F4A}"/>
    <cellStyle name="Note 3 2 22 6" xfId="34618" xr:uid="{0B46059C-68FD-4842-BB03-074C653D9EBC}"/>
    <cellStyle name="Note 3 2 22 7" xfId="34619" xr:uid="{6CCB0DC2-F65E-47A0-83B5-4B64EDE19ABA}"/>
    <cellStyle name="Note 3 2 23" xfId="2367" xr:uid="{17FE8139-B7CA-4B21-99D0-AA1CF5FA1F99}"/>
    <cellStyle name="Note 3 2 23 2" xfId="11782" xr:uid="{976FA06D-6BF0-4A01-9909-C217675B74AA}"/>
    <cellStyle name="Note 3 2 23 2 2" xfId="34620" xr:uid="{E653EBC6-D045-49D2-8E89-CE840C4F44F3}"/>
    <cellStyle name="Note 3 2 23 2 3" xfId="34621" xr:uid="{5F76B36F-0297-4CB1-87F8-443514F561BF}"/>
    <cellStyle name="Note 3 2 23 2 4" xfId="34622" xr:uid="{3BE38949-CFB3-48BD-B7B6-FB125747303B}"/>
    <cellStyle name="Note 3 2 23 2 5" xfId="34623" xr:uid="{12FC3B52-D440-4092-A42E-FB9427D1FDFC}"/>
    <cellStyle name="Note 3 2 23 2 6" xfId="34624" xr:uid="{6B7D1C11-3734-4ADA-83F1-FF5D00D63596}"/>
    <cellStyle name="Note 3 2 23 3" xfId="34625" xr:uid="{408F6F95-A81E-48ED-BBFF-D732D560AF04}"/>
    <cellStyle name="Note 3 2 23 4" xfId="34626" xr:uid="{F21F4CB6-2AB5-45F9-B77E-8701549ED9FB}"/>
    <cellStyle name="Note 3 2 23 5" xfId="34627" xr:uid="{82F87D15-974A-4780-BBDC-6952256B19B9}"/>
    <cellStyle name="Note 3 2 23 6" xfId="34628" xr:uid="{1B07A766-F70F-41D7-BAE3-497597DA4B15}"/>
    <cellStyle name="Note 3 2 23 7" xfId="34629" xr:uid="{B03D393F-CEC7-418F-AD47-3008A2F559F8}"/>
    <cellStyle name="Note 3 2 24" xfId="2368" xr:uid="{B18B42B4-C849-4607-A111-D16C1F6FDFF8}"/>
    <cellStyle name="Note 3 2 24 2" xfId="11865" xr:uid="{6F32951B-10CF-4DDF-BF4F-E3787299D3FE}"/>
    <cellStyle name="Note 3 2 24 2 2" xfId="34630" xr:uid="{0458B290-C41D-417B-986F-BEC7C2534923}"/>
    <cellStyle name="Note 3 2 24 2 3" xfId="34631" xr:uid="{A1705BA2-749D-42AA-B20A-2ABBB0C85748}"/>
    <cellStyle name="Note 3 2 24 2 4" xfId="34632" xr:uid="{832CF99A-89B1-47D3-8A51-5B65647B41E7}"/>
    <cellStyle name="Note 3 2 24 2 5" xfId="34633" xr:uid="{AF9D372C-EDDC-4D6F-952E-7B028112CF88}"/>
    <cellStyle name="Note 3 2 24 2 6" xfId="34634" xr:uid="{12F04EEC-B165-440C-BF30-A2B0B1D32AA2}"/>
    <cellStyle name="Note 3 2 24 3" xfId="34635" xr:uid="{7E9AC995-AC54-406F-BAF8-F46189275167}"/>
    <cellStyle name="Note 3 2 24 4" xfId="34636" xr:uid="{3ECC2FE1-4631-4993-A5F5-0D38C9D18662}"/>
    <cellStyle name="Note 3 2 24 5" xfId="34637" xr:uid="{1FA08562-D7DD-4619-9AE9-94823E87C234}"/>
    <cellStyle name="Note 3 2 24 6" xfId="34638" xr:uid="{71E9778A-B3E3-4949-9034-3D7AAF564C32}"/>
    <cellStyle name="Note 3 2 24 7" xfId="34639" xr:uid="{4FFE3A24-2C79-42F8-A1E3-202F9AA4322C}"/>
    <cellStyle name="Note 3 2 25" xfId="2369" xr:uid="{D0FEDFBF-FDFC-4C89-BF78-79BA3DF9CFA7}"/>
    <cellStyle name="Note 3 2 25 2" xfId="11949" xr:uid="{88ACBEFC-B94A-49A6-85D6-6663A0AB85E1}"/>
    <cellStyle name="Note 3 2 25 2 2" xfId="34640" xr:uid="{7E188AD0-BAA0-47B3-95B6-3945D6672CCC}"/>
    <cellStyle name="Note 3 2 25 2 3" xfId="34641" xr:uid="{8C4DCC3E-F94F-4F8C-A906-78C17DABF884}"/>
    <cellStyle name="Note 3 2 25 2 4" xfId="34642" xr:uid="{9E4F165F-3554-4689-BDC4-82A3299E60C8}"/>
    <cellStyle name="Note 3 2 25 2 5" xfId="34643" xr:uid="{D13B86B3-5E31-4A80-85B1-1865767905C9}"/>
    <cellStyle name="Note 3 2 25 2 6" xfId="34644" xr:uid="{02F1BF0C-B36F-4B6B-B95E-A5B898EA6850}"/>
    <cellStyle name="Note 3 2 25 3" xfId="34645" xr:uid="{8A297B35-54F8-4316-8784-663573E12B40}"/>
    <cellStyle name="Note 3 2 25 4" xfId="34646" xr:uid="{D318ED51-1FBA-4F06-B7E1-1402E6CB8B51}"/>
    <cellStyle name="Note 3 2 25 5" xfId="34647" xr:uid="{E098B692-05B8-493B-A2F2-4C54E241CC3A}"/>
    <cellStyle name="Note 3 2 25 6" xfId="34648" xr:uid="{22CB47DB-71F6-4EE2-8E47-4313334D9802}"/>
    <cellStyle name="Note 3 2 25 7" xfId="34649" xr:uid="{3E18CDB9-29CB-45E0-8CA4-FB644A184D13}"/>
    <cellStyle name="Note 3 2 26" xfId="2370" xr:uid="{BF6A40C3-C688-4785-A491-E82823BE4E2C}"/>
    <cellStyle name="Note 3 2 26 2" xfId="12032" xr:uid="{0E34292E-1345-42C0-9856-8893DA8224C5}"/>
    <cellStyle name="Note 3 2 26 2 2" xfId="34650" xr:uid="{C2D5703A-26B3-4DFA-B0F2-3784ADF58B5C}"/>
    <cellStyle name="Note 3 2 26 2 3" xfId="34651" xr:uid="{F81F1971-6612-49EF-9F64-C21C4218C02B}"/>
    <cellStyle name="Note 3 2 26 2 4" xfId="34652" xr:uid="{08A0A377-8DA7-48C3-8803-7608A6F73E5A}"/>
    <cellStyle name="Note 3 2 26 2 5" xfId="34653" xr:uid="{E63BA6E6-7676-475F-89C0-9C3A109F7863}"/>
    <cellStyle name="Note 3 2 26 2 6" xfId="34654" xr:uid="{6B42F783-4C7B-4029-9F4E-A7DA33086197}"/>
    <cellStyle name="Note 3 2 26 3" xfId="34655" xr:uid="{8E77AD91-2EC4-411E-82FE-BBEE29C02975}"/>
    <cellStyle name="Note 3 2 26 4" xfId="34656" xr:uid="{F09F742E-46A1-40F3-B680-D28D5CC82454}"/>
    <cellStyle name="Note 3 2 26 5" xfId="34657" xr:uid="{6E8B129B-65AB-44FA-A55D-3EDC93784327}"/>
    <cellStyle name="Note 3 2 26 6" xfId="34658" xr:uid="{261B96C4-18FE-48CD-AAA9-AB65669C4A62}"/>
    <cellStyle name="Note 3 2 26 7" xfId="34659" xr:uid="{44F1F352-7585-449C-B01D-40416A1CDA81}"/>
    <cellStyle name="Note 3 2 27" xfId="2371" xr:uid="{B38691DE-B6DD-4984-A1A4-39EE4B103CE6}"/>
    <cellStyle name="Note 3 2 27 2" xfId="12115" xr:uid="{D9799055-C10E-447F-9293-560891122A65}"/>
    <cellStyle name="Note 3 2 27 2 2" xfId="34660" xr:uid="{B351649A-0983-4E80-BDB2-8109A913EBD0}"/>
    <cellStyle name="Note 3 2 27 2 3" xfId="34661" xr:uid="{9A809355-C677-4599-ABEC-53D209D1BEAD}"/>
    <cellStyle name="Note 3 2 27 2 4" xfId="34662" xr:uid="{71465390-2E4C-4260-B35A-4FCDB8FDD706}"/>
    <cellStyle name="Note 3 2 27 2 5" xfId="34663" xr:uid="{3B45EB5F-BD90-46F4-8AAD-8CF4DA336A6E}"/>
    <cellStyle name="Note 3 2 27 2 6" xfId="34664" xr:uid="{C70C4E8D-C4DA-40F8-8542-0DB26F0DD4A9}"/>
    <cellStyle name="Note 3 2 27 3" xfId="34665" xr:uid="{0D75B1D0-D517-4387-BD4D-39ADC4ED37B8}"/>
    <cellStyle name="Note 3 2 27 4" xfId="34666" xr:uid="{8111AD2F-5F3B-4AF6-B5E8-75F109464BB8}"/>
    <cellStyle name="Note 3 2 27 5" xfId="34667" xr:uid="{75FC690E-CF8F-4918-A894-AB3C1BF68CB8}"/>
    <cellStyle name="Note 3 2 27 6" xfId="34668" xr:uid="{39F5AD2F-22D9-4D61-A2E3-2990ADC418AD}"/>
    <cellStyle name="Note 3 2 27 7" xfId="34669" xr:uid="{9BD12045-12D8-4948-B9FB-FA0503F04233}"/>
    <cellStyle name="Note 3 2 28" xfId="2372" xr:uid="{0383BE20-A22A-4C9B-8F8E-D6930CC8E2BD}"/>
    <cellStyle name="Note 3 2 28 2" xfId="12197" xr:uid="{84E75DA9-6285-482A-95E9-D373CCBBB712}"/>
    <cellStyle name="Note 3 2 28 2 2" xfId="34670" xr:uid="{8FC46A96-D9D0-485B-9ECF-817C79E84821}"/>
    <cellStyle name="Note 3 2 28 2 3" xfId="34671" xr:uid="{20D5AA9F-0FDA-4BA2-9681-1127A5146586}"/>
    <cellStyle name="Note 3 2 28 2 4" xfId="34672" xr:uid="{34010133-D172-4711-AC8F-8ABB295882AD}"/>
    <cellStyle name="Note 3 2 28 2 5" xfId="34673" xr:uid="{DD5D6E78-C368-4BC3-B15A-86E941180F70}"/>
    <cellStyle name="Note 3 2 28 2 6" xfId="34674" xr:uid="{F3E76528-5FA8-45A4-96DC-152EF1F5C514}"/>
    <cellStyle name="Note 3 2 28 3" xfId="34675" xr:uid="{7CA59A84-6783-4D26-9D19-A6D61B374271}"/>
    <cellStyle name="Note 3 2 28 4" xfId="34676" xr:uid="{61145571-9B5C-4364-AFCB-119C1C9E0ED1}"/>
    <cellStyle name="Note 3 2 28 5" xfId="34677" xr:uid="{86F75F27-6F33-4AC6-A8EF-8E58E8CF2517}"/>
    <cellStyle name="Note 3 2 28 6" xfId="34678" xr:uid="{D43E9696-E6DC-4701-AEEC-244BC19E5058}"/>
    <cellStyle name="Note 3 2 28 7" xfId="34679" xr:uid="{D0B3646A-7F7E-4572-8FAD-FBA4862838AA}"/>
    <cellStyle name="Note 3 2 29" xfId="2373" xr:uid="{52BB3CC0-D250-4E11-B49D-E8BEB3AE510F}"/>
    <cellStyle name="Note 3 2 29 2" xfId="12277" xr:uid="{F205CD26-C8D6-42B3-9B54-6789AFECF3D3}"/>
    <cellStyle name="Note 3 2 29 2 2" xfId="34680" xr:uid="{C9CA4E59-4D62-4FC3-9F66-C179E50F12F9}"/>
    <cellStyle name="Note 3 2 29 2 3" xfId="34681" xr:uid="{2F1E71A0-AAB7-48C7-8EA9-0D878BEF65ED}"/>
    <cellStyle name="Note 3 2 29 2 4" xfId="34682" xr:uid="{5E15D5E9-2AA9-4543-8BAD-7B744AA3FDA0}"/>
    <cellStyle name="Note 3 2 29 2 5" xfId="34683" xr:uid="{DB7C4D6A-0328-4DA7-9D1D-9E019373EBD7}"/>
    <cellStyle name="Note 3 2 29 2 6" xfId="34684" xr:uid="{D93659B6-111F-45F3-9BD1-16E22635AF9D}"/>
    <cellStyle name="Note 3 2 29 3" xfId="34685" xr:uid="{AAF12835-BA8D-4194-B553-7B0D997BA22F}"/>
    <cellStyle name="Note 3 2 29 4" xfId="34686" xr:uid="{B1D559B1-965F-4126-B8E6-21AB3C607B4F}"/>
    <cellStyle name="Note 3 2 29 5" xfId="34687" xr:uid="{1D7D520D-CC3D-49EC-AAF2-19A3260FD38F}"/>
    <cellStyle name="Note 3 2 29 6" xfId="34688" xr:uid="{E811ABDE-492B-4EE9-BE54-A8B4D0CBB2C9}"/>
    <cellStyle name="Note 3 2 29 7" xfId="34689" xr:uid="{71192B4B-8DDA-4E62-8D5F-697BBE55FAF9}"/>
    <cellStyle name="Note 3 2 3" xfId="2374" xr:uid="{BA0DA197-E92B-489D-B29F-7E34628A1E6E}"/>
    <cellStyle name="Note 3 2 3 2" xfId="8897" xr:uid="{A1B60614-85EF-49FB-BDFB-93DD1629C887}"/>
    <cellStyle name="Note 3 2 3 2 2" xfId="34690" xr:uid="{43771167-1CEC-49A6-A9D1-F31E42E5FA35}"/>
    <cellStyle name="Note 3 2 3 3" xfId="10034" xr:uid="{F0C69B29-A297-4B7A-A111-F76B83B51C00}"/>
    <cellStyle name="Note 3 2 3 3 2" xfId="34691" xr:uid="{5CF41619-7CD9-4076-9DA0-3DA75AFBCF5B}"/>
    <cellStyle name="Note 3 2 3 3 3" xfId="34692" xr:uid="{00A4C4D7-DBDE-446E-9A49-80991A726A66}"/>
    <cellStyle name="Note 3 2 3 3 4" xfId="34693" xr:uid="{A30159B7-F152-4672-915F-D52C71A4F360}"/>
    <cellStyle name="Note 3 2 3 3 5" xfId="34694" xr:uid="{A4911EC8-7EB7-4B43-BDDE-AA6762F28E0F}"/>
    <cellStyle name="Note 3 2 3 3 6" xfId="34695" xr:uid="{5F0A4716-A4B6-4FB0-B067-D3A6F60EA8E7}"/>
    <cellStyle name="Note 3 2 3 4" xfId="34696" xr:uid="{8CF94851-5F20-420C-9514-1EAC8C49193E}"/>
    <cellStyle name="Note 3 2 3 5" xfId="34697" xr:uid="{BBCDBE98-8F00-4FDB-8667-071C6576B7CD}"/>
    <cellStyle name="Note 3 2 3 6" xfId="34698" xr:uid="{3B2388A9-1859-4133-981C-3E5F0B217814}"/>
    <cellStyle name="Note 3 2 3 7" xfId="34699" xr:uid="{6E515B46-8B6B-44D5-8AC4-27F12E0F4F28}"/>
    <cellStyle name="Note 3 2 3 8" xfId="34700" xr:uid="{EFDBF1CC-8E72-4E71-ACD7-232636186FDC}"/>
    <cellStyle name="Note 3 2 30" xfId="2375" xr:uid="{1CC507C4-FBA4-48AD-8A6D-F40FC74155EF}"/>
    <cellStyle name="Note 3 2 30 2" xfId="12355" xr:uid="{33D1F9A9-A29B-4A65-9842-4DE607667DE4}"/>
    <cellStyle name="Note 3 2 30 2 2" xfId="34701" xr:uid="{C6EB04A4-7A75-49BE-B8FD-0BD57E3A478F}"/>
    <cellStyle name="Note 3 2 30 2 3" xfId="34702" xr:uid="{EA45CB4B-275E-40FF-8145-D258D1A79FA1}"/>
    <cellStyle name="Note 3 2 30 2 4" xfId="34703" xr:uid="{FB6BF0A0-9839-4877-B364-A238CC2BF3FB}"/>
    <cellStyle name="Note 3 2 30 2 5" xfId="34704" xr:uid="{458EB147-74DE-4202-A752-6C3E7ECB6C3C}"/>
    <cellStyle name="Note 3 2 30 2 6" xfId="34705" xr:uid="{C4B33897-7E79-4E0A-A996-9CC0999B19A4}"/>
    <cellStyle name="Note 3 2 30 3" xfId="34706" xr:uid="{6E8138AC-A996-40D3-BDBC-8E2F9E7F55C8}"/>
    <cellStyle name="Note 3 2 30 4" xfId="34707" xr:uid="{61087A4E-E235-4CD6-88B5-F24C63AF58D3}"/>
    <cellStyle name="Note 3 2 30 5" xfId="34708" xr:uid="{461DFAA1-8B3D-4A5E-B60E-8AEACC69FE93}"/>
    <cellStyle name="Note 3 2 30 6" xfId="34709" xr:uid="{E32539A6-69C3-41A0-8889-B3CBD5DD82E8}"/>
    <cellStyle name="Note 3 2 30 7" xfId="34710" xr:uid="{0B2F3F2A-AF72-44B0-9844-E6F71A3BF0D8}"/>
    <cellStyle name="Note 3 2 31" xfId="2376" xr:uid="{79136540-9A66-4F9B-BC16-B979E0E2A98E}"/>
    <cellStyle name="Note 3 2 31 2" xfId="12434" xr:uid="{4DB3B569-321B-4AC7-91A6-CB5D2E8A3816}"/>
    <cellStyle name="Note 3 2 31 2 2" xfId="34711" xr:uid="{724688E9-D6B5-4003-B373-B7CBD1E9B63A}"/>
    <cellStyle name="Note 3 2 31 2 3" xfId="34712" xr:uid="{804A5710-3DBD-4D3B-A2BC-402617982146}"/>
    <cellStyle name="Note 3 2 31 2 4" xfId="34713" xr:uid="{A87058D1-D07A-44D9-92A7-120D3DBFFD72}"/>
    <cellStyle name="Note 3 2 31 2 5" xfId="34714" xr:uid="{B469C171-00CC-4081-B1CE-E78E7955F668}"/>
    <cellStyle name="Note 3 2 31 2 6" xfId="34715" xr:uid="{265B09B9-4288-4E01-BB28-562D0513D71C}"/>
    <cellStyle name="Note 3 2 31 3" xfId="34716" xr:uid="{0C958B49-3EB8-4955-8A44-6102F24EC2AD}"/>
    <cellStyle name="Note 3 2 31 4" xfId="34717" xr:uid="{F5EA07CC-3451-445F-9EB9-E0A67E220A13}"/>
    <cellStyle name="Note 3 2 31 5" xfId="34718" xr:uid="{F934C95A-25BB-4431-9F96-7F67FC001FFA}"/>
    <cellStyle name="Note 3 2 31 6" xfId="34719" xr:uid="{28102D98-CECE-45BA-A796-1208B40B97D3}"/>
    <cellStyle name="Note 3 2 31 7" xfId="34720" xr:uid="{3CBBACB0-2830-42D0-A375-47B4862C1BAD}"/>
    <cellStyle name="Note 3 2 32" xfId="2377" xr:uid="{7650B961-93CF-41E5-80A8-AEF957FB26A1}"/>
    <cellStyle name="Note 3 2 32 2" xfId="12513" xr:uid="{DE1A79B7-C520-4E3F-99FB-1CAC1B1585E0}"/>
    <cellStyle name="Note 3 2 32 2 2" xfId="34721" xr:uid="{7B3D0263-23B2-4AAF-A5E6-67E7ADC8CA1F}"/>
    <cellStyle name="Note 3 2 32 2 3" xfId="34722" xr:uid="{DB4B7B1F-ED8F-4371-9E65-1ECD72835E3E}"/>
    <cellStyle name="Note 3 2 32 2 4" xfId="34723" xr:uid="{843CE515-39C5-4185-80C3-0EDA02F3B80A}"/>
    <cellStyle name="Note 3 2 32 2 5" xfId="34724" xr:uid="{38E41C02-99F5-4AF7-9F8A-C9483A847361}"/>
    <cellStyle name="Note 3 2 32 2 6" xfId="34725" xr:uid="{4C9085BB-5C2B-4EC6-82CE-46DC804A8912}"/>
    <cellStyle name="Note 3 2 32 3" xfId="34726" xr:uid="{582F6D69-7167-492F-A8AE-1C58ED3C430A}"/>
    <cellStyle name="Note 3 2 32 4" xfId="34727" xr:uid="{4843C1EA-A259-4C35-A6ED-067ABC1A1CC2}"/>
    <cellStyle name="Note 3 2 32 5" xfId="34728" xr:uid="{7D13D8B4-BFA2-42A4-87C9-9B697C552117}"/>
    <cellStyle name="Note 3 2 32 6" xfId="34729" xr:uid="{FA493D1D-D2EE-4D7C-9ACC-977C69A9027B}"/>
    <cellStyle name="Note 3 2 32 7" xfId="34730" xr:uid="{7E79A8A8-0350-46C3-ADD1-E93E5E17C983}"/>
    <cellStyle name="Note 3 2 33" xfId="2378" xr:uid="{1E614118-F3FE-4FFD-99AA-68522F4692D3}"/>
    <cellStyle name="Note 3 2 33 2" xfId="12592" xr:uid="{5A7B7C02-7A5E-4B12-890C-2279DFDC5A1E}"/>
    <cellStyle name="Note 3 2 33 2 2" xfId="34731" xr:uid="{051F7919-6543-48B1-8D43-C26B81730045}"/>
    <cellStyle name="Note 3 2 33 2 3" xfId="34732" xr:uid="{6F307DDE-E761-4931-8453-0D2EA5EDD797}"/>
    <cellStyle name="Note 3 2 33 2 4" xfId="34733" xr:uid="{C1A40ED9-8096-4217-9102-42D593434C5A}"/>
    <cellStyle name="Note 3 2 33 2 5" xfId="34734" xr:uid="{100EB076-158A-4FB9-8169-F6C38211AC90}"/>
    <cellStyle name="Note 3 2 33 2 6" xfId="34735" xr:uid="{AB6DF9A4-F579-451B-A61F-CA0254899BD2}"/>
    <cellStyle name="Note 3 2 33 3" xfId="34736" xr:uid="{A2499355-6954-43C0-AD67-922F3C432B35}"/>
    <cellStyle name="Note 3 2 33 4" xfId="34737" xr:uid="{524BEEAB-DC88-48C7-824A-BDB99DCF1CF1}"/>
    <cellStyle name="Note 3 2 33 5" xfId="34738" xr:uid="{1B653D12-C65F-4B72-A26C-C587D1670A2E}"/>
    <cellStyle name="Note 3 2 33 6" xfId="34739" xr:uid="{2093BDEC-DD4B-47F0-8CA6-F0BDCD9CE06C}"/>
    <cellStyle name="Note 3 2 33 7" xfId="34740" xr:uid="{2C32FBCC-F0C6-437A-BB4C-4B1E07861E06}"/>
    <cellStyle name="Note 3 2 34" xfId="2379" xr:uid="{3FE930A9-5029-410C-B25A-359E22387B72}"/>
    <cellStyle name="Note 3 2 34 2" xfId="12671" xr:uid="{9A28860E-024D-46FD-9E95-0E576BB950CD}"/>
    <cellStyle name="Note 3 2 34 2 2" xfId="34741" xr:uid="{0627D528-E9AF-4215-A5B4-D0CD03E5F9D0}"/>
    <cellStyle name="Note 3 2 34 2 3" xfId="34742" xr:uid="{78158F01-C165-4675-BD91-919FD8C1D946}"/>
    <cellStyle name="Note 3 2 34 2 4" xfId="34743" xr:uid="{60D96719-9007-47EF-9171-0F053C8B8271}"/>
    <cellStyle name="Note 3 2 34 2 5" xfId="34744" xr:uid="{AAC72E1A-BD17-472A-B150-2E1BF536BA93}"/>
    <cellStyle name="Note 3 2 34 2 6" xfId="34745" xr:uid="{D4B1109D-883B-4704-8140-7141172EA983}"/>
    <cellStyle name="Note 3 2 34 3" xfId="34746" xr:uid="{92C4B4F6-D688-4627-A006-47DC3F3A0139}"/>
    <cellStyle name="Note 3 2 34 4" xfId="34747" xr:uid="{68642415-11C1-484C-A9B4-9BE7AAE15932}"/>
    <cellStyle name="Note 3 2 34 5" xfId="34748" xr:uid="{4D9CDFD9-5EBD-48E0-9A81-7379D35F095D}"/>
    <cellStyle name="Note 3 2 34 6" xfId="34749" xr:uid="{5C3F633D-E48D-45C1-99E6-2D270CF11AF1}"/>
    <cellStyle name="Note 3 2 34 7" xfId="34750" xr:uid="{2D6E43B7-EF6B-4444-9C8B-2C69C18E7734}"/>
    <cellStyle name="Note 3 2 35" xfId="2380" xr:uid="{ECEE58CD-E5B8-4A59-B2F2-22577523822C}"/>
    <cellStyle name="Note 3 2 35 2" xfId="12755" xr:uid="{CCD887CD-A2CC-4356-A13E-B011F65838E8}"/>
    <cellStyle name="Note 3 2 35 2 2" xfId="34751" xr:uid="{4503EF9F-CFB4-46A0-B497-37F095637E12}"/>
    <cellStyle name="Note 3 2 35 2 3" xfId="34752" xr:uid="{138EF07E-BB28-497C-8595-4AB1F6D1A0F3}"/>
    <cellStyle name="Note 3 2 35 2 4" xfId="34753" xr:uid="{8336EBBB-B791-476E-A95F-B3DFEFE1EE34}"/>
    <cellStyle name="Note 3 2 35 2 5" xfId="34754" xr:uid="{BF1FE690-D0AE-4AE2-9DF8-E809165C3C34}"/>
    <cellStyle name="Note 3 2 35 2 6" xfId="34755" xr:uid="{DBB84950-990D-4B7A-B0CC-BACD89A79E74}"/>
    <cellStyle name="Note 3 2 35 3" xfId="34756" xr:uid="{E92A58E9-84FE-4045-902F-8A4864631E4A}"/>
    <cellStyle name="Note 3 2 35 4" xfId="34757" xr:uid="{D9711FB2-A514-499D-AC54-CFCF3706BA6D}"/>
    <cellStyle name="Note 3 2 35 5" xfId="34758" xr:uid="{C144326D-F323-47C7-B8FF-982C93F622BA}"/>
    <cellStyle name="Note 3 2 35 6" xfId="34759" xr:uid="{1DF8BC95-471D-452E-8747-4DF10CD574A9}"/>
    <cellStyle name="Note 3 2 36" xfId="8898" xr:uid="{4AC7A532-853E-4A98-ADA1-E54581CA7536}"/>
    <cellStyle name="Note 3 2 36 2" xfId="34760" xr:uid="{55C362A0-BB10-4531-AB01-015504A25CEB}"/>
    <cellStyle name="Note 3 2 37" xfId="9821" xr:uid="{3B133937-6D3F-4321-95FB-8E1F83F31EEB}"/>
    <cellStyle name="Note 3 2 37 2" xfId="34761" xr:uid="{15A2BCAA-1097-4F8B-80D7-4787E0B5EF7C}"/>
    <cellStyle name="Note 3 2 37 3" xfId="34762" xr:uid="{997B66A4-DDAF-4686-9350-D212F768E93E}"/>
    <cellStyle name="Note 3 2 37 4" xfId="34763" xr:uid="{D8415658-0BAC-49A2-95A5-2D963C5653DB}"/>
    <cellStyle name="Note 3 2 37 5" xfId="34764" xr:uid="{848E764A-B19C-402D-A990-07750B932439}"/>
    <cellStyle name="Note 3 2 37 6" xfId="34765" xr:uid="{7F6414E5-AA21-48C2-8152-E0C86FE77FAB}"/>
    <cellStyle name="Note 3 2 38" xfId="34766" xr:uid="{C81EAC51-A76E-4F31-9BF8-4669E93913D2}"/>
    <cellStyle name="Note 3 2 4" xfId="2381" xr:uid="{05BC3B0A-FD59-4828-BEC5-B3C6A6340C84}"/>
    <cellStyle name="Note 3 2 4 2" xfId="8899" xr:uid="{B7EBA7F8-D166-445A-8CE4-4D35215E60B0}"/>
    <cellStyle name="Note 3 2 4 2 2" xfId="34767" xr:uid="{657F0A5A-CE68-436F-8C65-09973D2FA2E7}"/>
    <cellStyle name="Note 3 2 4 3" xfId="10125" xr:uid="{90C05E57-565F-4CAF-BEE7-A4108B04E623}"/>
    <cellStyle name="Note 3 2 4 3 2" xfId="34768" xr:uid="{61314CE8-77CB-4457-A6FA-60B8B10E3952}"/>
    <cellStyle name="Note 3 2 4 3 3" xfId="34769" xr:uid="{7FA811F6-8A2E-40A8-8B21-24177F0EE3AC}"/>
    <cellStyle name="Note 3 2 4 3 4" xfId="34770" xr:uid="{D442D7BE-7E79-448B-9482-0338A43CFF28}"/>
    <cellStyle name="Note 3 2 4 3 5" xfId="34771" xr:uid="{1B32E2B0-7416-4AC5-89B1-AB8DA19AADE5}"/>
    <cellStyle name="Note 3 2 4 3 6" xfId="34772" xr:uid="{859497D8-7288-439D-B195-B4E16664D804}"/>
    <cellStyle name="Note 3 2 4 4" xfId="34773" xr:uid="{BFD612CD-E4EC-4DC4-B8BB-252D8F87AE6B}"/>
    <cellStyle name="Note 3 2 4 5" xfId="34774" xr:uid="{83B63770-EAB4-4DD4-A20D-770B71C0C295}"/>
    <cellStyle name="Note 3 2 4 6" xfId="34775" xr:uid="{3FF4B20F-6288-4F46-944F-D13FC35EE1AA}"/>
    <cellStyle name="Note 3 2 4 7" xfId="34776" xr:uid="{5CF38ECF-A2F3-4379-9E2E-F2A5C0C0CDD4}"/>
    <cellStyle name="Note 3 2 4 8" xfId="34777" xr:uid="{AA62558B-AB47-4709-B676-A3BA1FADD01F}"/>
    <cellStyle name="Note 3 2 5" xfId="2382" xr:uid="{D7984F6F-47E0-48DD-8608-7435A3056E11}"/>
    <cellStyle name="Note 3 2 5 2" xfId="10215" xr:uid="{86C363D5-C9F2-45FB-AC63-D105A25C89DE}"/>
    <cellStyle name="Note 3 2 5 2 2" xfId="34778" xr:uid="{45FC9213-D075-4C4C-BB5A-32F210E5FB1B}"/>
    <cellStyle name="Note 3 2 5 2 3" xfId="34779" xr:uid="{B02BB179-B569-4185-BD16-84209F127CC1}"/>
    <cellStyle name="Note 3 2 5 2 4" xfId="34780" xr:uid="{898CB612-C6D8-49EC-8BFD-5BEF46FEA20F}"/>
    <cellStyle name="Note 3 2 5 2 5" xfId="34781" xr:uid="{2397AA7E-4BA2-4589-A684-5BC7A44DFD0E}"/>
    <cellStyle name="Note 3 2 5 2 6" xfId="34782" xr:uid="{B469637B-D82E-45E6-B787-8C9FC51006A3}"/>
    <cellStyle name="Note 3 2 5 3" xfId="34783" xr:uid="{DC5696CE-71BF-45B8-8FDD-6D3828564FC1}"/>
    <cellStyle name="Note 3 2 5 4" xfId="34784" xr:uid="{A6EEC9BB-34F5-4F47-AF51-C2315B6764FE}"/>
    <cellStyle name="Note 3 2 5 5" xfId="34785" xr:uid="{E7C2A151-6BA6-4BF1-B31A-6F333671BBEA}"/>
    <cellStyle name="Note 3 2 5 6" xfId="34786" xr:uid="{3EF85028-7485-4767-8130-7B41DA8C912C}"/>
    <cellStyle name="Note 3 2 5 7" xfId="34787" xr:uid="{C0705A72-60C4-4AB2-8CAD-0E075852E1F4}"/>
    <cellStyle name="Note 3 2 6" xfId="2383" xr:uid="{5D9FD65B-C98B-4708-9834-75A0526B662F}"/>
    <cellStyle name="Note 3 2 6 2" xfId="10301" xr:uid="{DDFE80C4-FD9B-4EF1-8143-AF7FB5BBED14}"/>
    <cellStyle name="Note 3 2 6 2 2" xfId="34788" xr:uid="{FCC1CE10-CCEB-4200-8AF1-4982CC7F0B1F}"/>
    <cellStyle name="Note 3 2 6 2 3" xfId="34789" xr:uid="{99FC9779-E309-495D-A4C0-FAF1821DD309}"/>
    <cellStyle name="Note 3 2 6 2 4" xfId="34790" xr:uid="{0A9077A7-15E4-42A2-8EA7-BAA89E7E6486}"/>
    <cellStyle name="Note 3 2 6 2 5" xfId="34791" xr:uid="{08BB3E94-D448-4C00-8338-7073FE99BC11}"/>
    <cellStyle name="Note 3 2 6 2 6" xfId="34792" xr:uid="{2C5D2A7E-B666-4570-8ADA-5CB76421F8AA}"/>
    <cellStyle name="Note 3 2 6 3" xfId="34793" xr:uid="{86D097BF-3278-4B4B-99F8-3393C9174924}"/>
    <cellStyle name="Note 3 2 6 4" xfId="34794" xr:uid="{4134880B-3372-4E07-8178-C9B53963F39D}"/>
    <cellStyle name="Note 3 2 6 5" xfId="34795" xr:uid="{8E179F6B-30E6-42ED-9AD8-99095BFD03FC}"/>
    <cellStyle name="Note 3 2 6 6" xfId="34796" xr:uid="{A766E096-372C-4AA9-BD88-4D1E0F826F27}"/>
    <cellStyle name="Note 3 2 6 7" xfId="34797" xr:uid="{A5DE9C85-4EF9-48C4-AF6E-169800A84884}"/>
    <cellStyle name="Note 3 2 7" xfId="2384" xr:uid="{D1F99DB2-4130-40CC-A3D0-8CCB37AE29F5}"/>
    <cellStyle name="Note 3 2 7 2" xfId="10389" xr:uid="{191EF7E3-DAAE-462D-9450-A87CC1D920EE}"/>
    <cellStyle name="Note 3 2 7 2 2" xfId="34798" xr:uid="{D00E5C0F-BF70-4B93-9384-0F269AF94A15}"/>
    <cellStyle name="Note 3 2 7 2 3" xfId="34799" xr:uid="{2E14CFCF-2C8C-427A-BC8A-887840B4D247}"/>
    <cellStyle name="Note 3 2 7 2 4" xfId="34800" xr:uid="{4D0D33A0-3489-44F9-8611-F99E21F449A8}"/>
    <cellStyle name="Note 3 2 7 2 5" xfId="34801" xr:uid="{458A199D-FFD8-4C78-B719-3341D8B4A3B9}"/>
    <cellStyle name="Note 3 2 7 2 6" xfId="34802" xr:uid="{E63CE86B-4040-4A0D-B432-89C878E365FE}"/>
    <cellStyle name="Note 3 2 7 3" xfId="34803" xr:uid="{D81826A0-F810-4BAF-B953-A3C7BA0D66EC}"/>
    <cellStyle name="Note 3 2 7 4" xfId="34804" xr:uid="{8E1D0693-118F-4C34-89F4-5DCE8855928E}"/>
    <cellStyle name="Note 3 2 7 5" xfId="34805" xr:uid="{ECD83EA4-561B-46CC-9684-190CE09993B0}"/>
    <cellStyle name="Note 3 2 7 6" xfId="34806" xr:uid="{A5A102B6-D5AB-430E-9B24-269F9295FA32}"/>
    <cellStyle name="Note 3 2 7 7" xfId="34807" xr:uid="{0802CE01-DF52-48D9-A17A-4BAD8D3AA33E}"/>
    <cellStyle name="Note 3 2 8" xfId="2385" xr:uid="{CF5C317C-8106-4A3D-B9A5-13155BB84C30}"/>
    <cellStyle name="Note 3 2 8 2" xfId="10476" xr:uid="{2F670D14-8FE3-43AB-A77D-D69F05F21562}"/>
    <cellStyle name="Note 3 2 8 2 2" xfId="34808" xr:uid="{FD8CF796-0ECF-4213-B30B-3A53B34263BD}"/>
    <cellStyle name="Note 3 2 8 2 3" xfId="34809" xr:uid="{0D1ED1AB-A59E-403E-A2BE-765E18B56F05}"/>
    <cellStyle name="Note 3 2 8 2 4" xfId="34810" xr:uid="{D66ADC05-FC33-4782-BE9B-69A6A7F42B55}"/>
    <cellStyle name="Note 3 2 8 2 5" xfId="34811" xr:uid="{72781815-3A41-42A4-813B-04DE36B75682}"/>
    <cellStyle name="Note 3 2 8 2 6" xfId="34812" xr:uid="{ABC5C3DC-0C95-4873-B45E-8F1091363C9D}"/>
    <cellStyle name="Note 3 2 8 3" xfId="34813" xr:uid="{BF03B29C-D71C-479C-8C92-3DA2F760E9A9}"/>
    <cellStyle name="Note 3 2 8 4" xfId="34814" xr:uid="{6D680B66-F98B-4875-B218-473A1E85FBA2}"/>
    <cellStyle name="Note 3 2 8 5" xfId="34815" xr:uid="{1EFCC852-75BF-4004-8705-DFAFE9E98887}"/>
    <cellStyle name="Note 3 2 8 6" xfId="34816" xr:uid="{7C62D55E-FC28-4E4D-B9CC-A65D96D6912E}"/>
    <cellStyle name="Note 3 2 8 7" xfId="34817" xr:uid="{F8B7BFAA-5AF3-494F-B0C3-67597D5D8300}"/>
    <cellStyle name="Note 3 2 9" xfId="2386" xr:uid="{386FBCB7-2FF3-4D43-B8EB-30659B718D24}"/>
    <cellStyle name="Note 3 2 9 2" xfId="10564" xr:uid="{305D434A-924E-4831-B1CB-97712A91E1BA}"/>
    <cellStyle name="Note 3 2 9 2 2" xfId="34818" xr:uid="{AB5C5A3E-F2CF-45A6-A5AF-F3B709FCD706}"/>
    <cellStyle name="Note 3 2 9 2 3" xfId="34819" xr:uid="{68F17234-E0E2-46DD-AC52-87509D523882}"/>
    <cellStyle name="Note 3 2 9 2 4" xfId="34820" xr:uid="{A8CF7588-4B65-42AC-B5EA-FD03FA11C1A5}"/>
    <cellStyle name="Note 3 2 9 2 5" xfId="34821" xr:uid="{A6BB3C8B-10D9-4B04-9A30-04A5AB7EA84B}"/>
    <cellStyle name="Note 3 2 9 2 6" xfId="34822" xr:uid="{1C875203-514C-4CF9-A831-4DC04521DAB7}"/>
    <cellStyle name="Note 3 2 9 3" xfId="34823" xr:uid="{FBD60C5D-D5FD-4D9A-B1EF-D2C64702B066}"/>
    <cellStyle name="Note 3 2 9 4" xfId="34824" xr:uid="{6731FCFE-6B55-470E-AC09-E84487671FFD}"/>
    <cellStyle name="Note 3 2 9 5" xfId="34825" xr:uid="{28B15879-D839-45FB-9D18-4CC1CB2C15D5}"/>
    <cellStyle name="Note 3 2 9 6" xfId="34826" xr:uid="{F81D85A8-25B3-4731-A73A-0B35F4052BC0}"/>
    <cellStyle name="Note 3 2 9 7" xfId="34827" xr:uid="{5C3897C4-84B4-4287-AE29-6774E644F100}"/>
    <cellStyle name="Note 3 20" xfId="2387" xr:uid="{DDDFC3F9-F3CC-49FE-97A9-CEB9EBF63551}"/>
    <cellStyle name="Note 3 20 2" xfId="9954" xr:uid="{A5F71724-5F9C-4335-ADCB-33AF358653AA}"/>
    <cellStyle name="Note 3 20 2 2" xfId="34828" xr:uid="{6FF99051-F51F-438B-BB66-B439C22AFFF8}"/>
    <cellStyle name="Note 3 20 2 3" xfId="34829" xr:uid="{5F07CBA6-DD98-4128-B73C-5770B367C28B}"/>
    <cellStyle name="Note 3 20 2 4" xfId="34830" xr:uid="{2EBFB1AE-6B02-4196-BDBA-97456D9AF16C}"/>
    <cellStyle name="Note 3 20 2 5" xfId="34831" xr:uid="{CA2842CE-958F-4CDC-81B1-8B5BE63BAF01}"/>
    <cellStyle name="Note 3 20 2 6" xfId="34832" xr:uid="{3D8AB318-7021-461A-84BC-7CC16252E099}"/>
    <cellStyle name="Note 3 20 3" xfId="34833" xr:uid="{FC3D36E6-72B9-4AB8-8159-DC71E42AE44A}"/>
    <cellStyle name="Note 3 20 4" xfId="34834" xr:uid="{83E03065-66E6-4770-A32D-5756CA0CD3D6}"/>
    <cellStyle name="Note 3 20 5" xfId="34835" xr:uid="{0C4BAB32-F621-4588-814C-C64B2F1316A7}"/>
    <cellStyle name="Note 3 20 6" xfId="34836" xr:uid="{EF110285-B2FA-47AD-BEA1-6FDA20FF6AB1}"/>
    <cellStyle name="Note 3 20 7" xfId="34837" xr:uid="{F0F233FF-05D5-4F9D-9225-C8EF06683DC3}"/>
    <cellStyle name="Note 3 21" xfId="2388" xr:uid="{EBAA5F3C-91E5-4F63-86A7-4ECD95EE773F}"/>
    <cellStyle name="Note 3 21 2" xfId="9728" xr:uid="{D205DB92-4117-4C33-948F-0E6D2DB77CC7}"/>
    <cellStyle name="Note 3 21 2 2" xfId="34838" xr:uid="{482D97CE-D6FE-47FA-A3A9-520E1D227D7F}"/>
    <cellStyle name="Note 3 21 2 3" xfId="34839" xr:uid="{73848860-216F-4BC1-98BD-DB03E18F51D3}"/>
    <cellStyle name="Note 3 21 2 4" xfId="34840" xr:uid="{89886B3C-CAE4-4B9E-BA38-814B1D238D16}"/>
    <cellStyle name="Note 3 21 2 5" xfId="34841" xr:uid="{EB807BC0-1881-4B17-A5BB-FD1C328A3A13}"/>
    <cellStyle name="Note 3 21 2 6" xfId="34842" xr:uid="{3AAC6FD4-95B2-4580-AAA1-9EE9824E154A}"/>
    <cellStyle name="Note 3 21 3" xfId="34843" xr:uid="{751AB39F-3546-4913-9580-21E30B6FA216}"/>
    <cellStyle name="Note 3 21 4" xfId="34844" xr:uid="{969ED547-AA12-4653-B8EE-1137C4FE9E49}"/>
    <cellStyle name="Note 3 21 5" xfId="34845" xr:uid="{544EF386-B058-4FB5-9125-3F47E859C3C8}"/>
    <cellStyle name="Note 3 21 6" xfId="34846" xr:uid="{4D2409AC-2CBE-443B-BABE-8AC004FBDF3B}"/>
    <cellStyle name="Note 3 21 7" xfId="34847" xr:uid="{BD37B896-E2E5-4573-81D9-AB9EA1746514}"/>
    <cellStyle name="Note 3 22" xfId="2389" xr:uid="{35AD2CDF-61B0-43E4-91E2-07701FFE27B6}"/>
    <cellStyle name="Note 3 22 2" xfId="11129" xr:uid="{6553E622-2F7E-4CB9-A897-8319107405DC}"/>
    <cellStyle name="Note 3 22 2 2" xfId="34848" xr:uid="{B6317BBB-6876-4290-8C89-854DC8EDD12E}"/>
    <cellStyle name="Note 3 22 2 3" xfId="34849" xr:uid="{D8BDDFF7-F8F1-4A89-868A-5D607784669D}"/>
    <cellStyle name="Note 3 22 2 4" xfId="34850" xr:uid="{CE5004E3-29A9-4125-9458-A99E0E46F874}"/>
    <cellStyle name="Note 3 22 2 5" xfId="34851" xr:uid="{1E324921-AD60-47F6-842E-32D874364323}"/>
    <cellStyle name="Note 3 22 2 6" xfId="34852" xr:uid="{AEE98A6F-D03D-4010-97EF-2AC4F0E57102}"/>
    <cellStyle name="Note 3 22 3" xfId="34853" xr:uid="{8A480B3C-781B-4FB1-968D-A29D42A123F2}"/>
    <cellStyle name="Note 3 22 4" xfId="34854" xr:uid="{94ACD3E1-C25F-4CC6-90B9-BE76D68E140F}"/>
    <cellStyle name="Note 3 22 5" xfId="34855" xr:uid="{713FC690-A860-4349-A4B2-E1298EF182FE}"/>
    <cellStyle name="Note 3 22 6" xfId="34856" xr:uid="{AA7DB79B-F56B-4D13-B4B4-C21077FAEC32}"/>
    <cellStyle name="Note 3 22 7" xfId="34857" xr:uid="{492DE2AC-04FB-4136-9B65-EC3B21C2F0B8}"/>
    <cellStyle name="Note 3 23" xfId="2390" xr:uid="{DA14059E-D2F6-4810-AF46-C6EFF8249780}"/>
    <cellStyle name="Note 3 23 2" xfId="9912" xr:uid="{98C3CE20-05B1-4C54-AA97-CBC32ED79E8D}"/>
    <cellStyle name="Note 3 23 2 2" xfId="34858" xr:uid="{3EEBD026-F131-4942-8F22-9C1B3ED9E876}"/>
    <cellStyle name="Note 3 23 2 3" xfId="34859" xr:uid="{0DE73182-2EAC-44BC-A472-58FB9F890F09}"/>
    <cellStyle name="Note 3 23 2 4" xfId="34860" xr:uid="{8FD8E929-13DE-4D98-9EC7-6AFB4A1C3109}"/>
    <cellStyle name="Note 3 23 2 5" xfId="34861" xr:uid="{1728BE7A-6EA5-4431-B9C7-EFB8E85AAA5F}"/>
    <cellStyle name="Note 3 23 2 6" xfId="34862" xr:uid="{4D96008E-21ED-47A7-8AEB-20DB5B6CAE17}"/>
    <cellStyle name="Note 3 23 3" xfId="34863" xr:uid="{B7F646D5-C72F-4716-A4C9-90D0CFF4CE22}"/>
    <cellStyle name="Note 3 23 4" xfId="34864" xr:uid="{B892D182-2B4F-41F4-AC37-4E27DAF66AD2}"/>
    <cellStyle name="Note 3 23 5" xfId="34865" xr:uid="{64361A74-6B42-4B1E-BA8C-ECEEDF10E6DD}"/>
    <cellStyle name="Note 3 23 6" xfId="34866" xr:uid="{9903CB77-2EBB-4AD0-BCC1-966EB856ADB3}"/>
    <cellStyle name="Note 3 23 7" xfId="34867" xr:uid="{D2A48DE8-9807-4865-AA7B-ABC8E62B73BD}"/>
    <cellStyle name="Note 3 24" xfId="2391" xr:uid="{7129DBDC-868C-4B11-80C5-9E1ED316AC7E}"/>
    <cellStyle name="Note 3 24 2" xfId="10709" xr:uid="{E1856E7F-6F42-4ED3-AB00-41E2B85A9F11}"/>
    <cellStyle name="Note 3 24 2 2" xfId="34868" xr:uid="{933DCBF2-35CD-443F-99B2-FF1DFFA570B5}"/>
    <cellStyle name="Note 3 24 2 3" xfId="34869" xr:uid="{627B9CFE-2A9E-4F70-A5B2-B6477A90DD97}"/>
    <cellStyle name="Note 3 24 2 4" xfId="34870" xr:uid="{D22ED9C5-FC53-4A79-8CDF-AFFC8B8E4052}"/>
    <cellStyle name="Note 3 24 2 5" xfId="34871" xr:uid="{5434AC53-8C7A-4512-B0FF-107332B88FF5}"/>
    <cellStyle name="Note 3 24 2 6" xfId="34872" xr:uid="{2AD28C1F-1FD3-413A-83D4-9A1D91E149F5}"/>
    <cellStyle name="Note 3 24 3" xfId="34873" xr:uid="{0497629C-9FC5-4EBD-863E-5419D54F13F3}"/>
    <cellStyle name="Note 3 24 4" xfId="34874" xr:uid="{E4D80760-6BD0-4AF6-A1DB-6FA768C5B1F4}"/>
    <cellStyle name="Note 3 24 5" xfId="34875" xr:uid="{BF2B6D2C-916F-49E1-9840-646ADFDFD98F}"/>
    <cellStyle name="Note 3 24 6" xfId="34876" xr:uid="{7427103E-4B63-4A7A-9257-709C9C8D0B00}"/>
    <cellStyle name="Note 3 24 7" xfId="34877" xr:uid="{077E725A-6494-4B8F-810E-5CB6488562B9}"/>
    <cellStyle name="Note 3 25" xfId="2392" xr:uid="{E14B73F5-2B8F-4D03-85CB-D2F61C9C66FD}"/>
    <cellStyle name="Note 3 25 2" xfId="11042" xr:uid="{C67BB196-340E-462E-8AF1-0763F74C7187}"/>
    <cellStyle name="Note 3 25 2 2" xfId="34878" xr:uid="{82B25DD2-2E39-41C9-8B88-8053E1B6E81C}"/>
    <cellStyle name="Note 3 25 2 3" xfId="34879" xr:uid="{70718927-90D9-4530-BAFA-354D261A3BBB}"/>
    <cellStyle name="Note 3 25 2 4" xfId="34880" xr:uid="{F47AF37C-5CAB-4545-9B19-467A79A8EEF3}"/>
    <cellStyle name="Note 3 25 2 5" xfId="34881" xr:uid="{593AF08B-6150-4367-A565-2219EDEE11EF}"/>
    <cellStyle name="Note 3 25 2 6" xfId="34882" xr:uid="{C82B8C92-97AA-4FA7-9E4F-BD98A7542EF2}"/>
    <cellStyle name="Note 3 25 3" xfId="34883" xr:uid="{F6B69146-F57B-4A62-9A9F-B226514B444E}"/>
    <cellStyle name="Note 3 25 4" xfId="34884" xr:uid="{ED67AC95-BEF4-49EC-B393-816CB1AA0558}"/>
    <cellStyle name="Note 3 25 5" xfId="34885" xr:uid="{EAA88A54-8E73-40A2-A006-9DFFBDE3F0FF}"/>
    <cellStyle name="Note 3 25 6" xfId="34886" xr:uid="{E7DE0AEA-5F8B-4ACE-BB51-CD3197000843}"/>
    <cellStyle name="Note 3 25 7" xfId="34887" xr:uid="{6E7F4575-B874-4887-A076-A51E5F67BA2B}"/>
    <cellStyle name="Note 3 26" xfId="2393" xr:uid="{B4B71B70-939E-4E0B-B165-8B0B3CCAE3D5}"/>
    <cellStyle name="Note 3 26 2" xfId="11068" xr:uid="{60C5875C-2D1A-41C2-B3AA-2DBA484F8899}"/>
    <cellStyle name="Note 3 26 2 2" xfId="34888" xr:uid="{B7591D63-E605-438B-A770-E465EA0FDA8A}"/>
    <cellStyle name="Note 3 26 2 3" xfId="34889" xr:uid="{08BA5F0F-04B0-4540-98D6-4A4492F66AF3}"/>
    <cellStyle name="Note 3 26 2 4" xfId="34890" xr:uid="{6A9E1F09-4531-4505-B3F7-1FDB12AD3209}"/>
    <cellStyle name="Note 3 26 2 5" xfId="34891" xr:uid="{056A2825-506C-43CE-B757-D843444B7A9B}"/>
    <cellStyle name="Note 3 26 2 6" xfId="34892" xr:uid="{50C98261-9F7F-4654-839C-2E763831D461}"/>
    <cellStyle name="Note 3 26 3" xfId="34893" xr:uid="{29C651A6-BEF2-4D57-80CC-1ABDF36C3183}"/>
    <cellStyle name="Note 3 26 4" xfId="34894" xr:uid="{761B1492-E587-481B-86AD-E88172946459}"/>
    <cellStyle name="Note 3 26 5" xfId="34895" xr:uid="{D19B1ADF-0265-4F07-9693-F005C1D8DFA7}"/>
    <cellStyle name="Note 3 26 6" xfId="34896" xr:uid="{CABF7A38-14E9-4005-BDF8-25151C64A7A9}"/>
    <cellStyle name="Note 3 26 7" xfId="34897" xr:uid="{E608ACD5-0EAA-4862-A6A7-FE007CEEEED0}"/>
    <cellStyle name="Note 3 27" xfId="2394" xr:uid="{8F268743-A6C3-4207-A1CA-A534C9332A50}"/>
    <cellStyle name="Note 3 27 2" xfId="10340" xr:uid="{A05C795F-B039-4839-8DB6-BCB62BD96267}"/>
    <cellStyle name="Note 3 27 2 2" xfId="34898" xr:uid="{0A26F4AF-CC21-4802-92CD-BF92F176DE75}"/>
    <cellStyle name="Note 3 27 2 3" xfId="34899" xr:uid="{C88C88E1-7990-43A2-91B3-9FFFAFA3304F}"/>
    <cellStyle name="Note 3 27 2 4" xfId="34900" xr:uid="{5035516E-2B15-410C-A861-2739D6994F93}"/>
    <cellStyle name="Note 3 27 2 5" xfId="34901" xr:uid="{4A1E45F1-4959-436B-A267-CABE43BCAAFD}"/>
    <cellStyle name="Note 3 27 2 6" xfId="34902" xr:uid="{125422A5-D054-4364-BE09-ED5FFB2790B4}"/>
    <cellStyle name="Note 3 27 3" xfId="34903" xr:uid="{20242337-2EAA-42B0-A581-30072985B426}"/>
    <cellStyle name="Note 3 27 4" xfId="34904" xr:uid="{BB63D3F3-9583-4979-B922-4AF048E74554}"/>
    <cellStyle name="Note 3 27 5" xfId="34905" xr:uid="{27E49CDD-7449-47D3-BFD0-566C30A53225}"/>
    <cellStyle name="Note 3 27 6" xfId="34906" xr:uid="{833CB530-33EF-4C9E-A86E-46326A5EA2B4}"/>
    <cellStyle name="Note 3 27 7" xfId="34907" xr:uid="{ECEC4300-1442-4356-AF7F-0275687030F9}"/>
    <cellStyle name="Note 3 28" xfId="2395" xr:uid="{FA71CF2C-3B15-4146-8721-B5B91AC09468}"/>
    <cellStyle name="Note 3 28 2" xfId="10097" xr:uid="{A42D9CA6-8553-41BC-9CD5-2B40D0AEE99F}"/>
    <cellStyle name="Note 3 28 2 2" xfId="34908" xr:uid="{2810CC35-9F0B-4FFA-87C2-0C53C8F807F5}"/>
    <cellStyle name="Note 3 28 2 3" xfId="34909" xr:uid="{E919FBFE-FD39-438F-B2AA-B0F9B3A53666}"/>
    <cellStyle name="Note 3 28 2 4" xfId="34910" xr:uid="{EAA9C9AF-B08A-4EF6-B613-CE8F62D11372}"/>
    <cellStyle name="Note 3 28 2 5" xfId="34911" xr:uid="{8FD53B03-B585-46DA-9B4E-DC0B50EABBB0}"/>
    <cellStyle name="Note 3 28 2 6" xfId="34912" xr:uid="{4A2F3384-65C7-46B2-817E-B693C1DA35C7}"/>
    <cellStyle name="Note 3 28 3" xfId="34913" xr:uid="{152477E5-1CC0-429A-A83F-8DBBDA5A0BF4}"/>
    <cellStyle name="Note 3 28 4" xfId="34914" xr:uid="{1157156F-55EC-4A87-A836-24F3935B918E}"/>
    <cellStyle name="Note 3 28 5" xfId="34915" xr:uid="{746894E5-7660-4810-B071-924FB85FFB84}"/>
    <cellStyle name="Note 3 28 6" xfId="34916" xr:uid="{2E6F85E6-CFAC-43D2-8AE4-E839BA5F4788}"/>
    <cellStyle name="Note 3 28 7" xfId="34917" xr:uid="{DC6EAE77-5E01-4B7F-A061-C1F56F89B0A6}"/>
    <cellStyle name="Note 3 29" xfId="2396" xr:uid="{1457D7E1-C181-487E-94F1-A82E999126F1}"/>
    <cellStyle name="Note 3 29 2" xfId="11820" xr:uid="{BACE9CB5-63A7-4962-8932-612DCDBBB140}"/>
    <cellStyle name="Note 3 29 2 2" xfId="34918" xr:uid="{CC8CE68C-C48B-46EE-96A1-6E9CC89B9BB9}"/>
    <cellStyle name="Note 3 29 2 3" xfId="34919" xr:uid="{75CADEA2-8449-4BA0-BE8F-C873204D33B8}"/>
    <cellStyle name="Note 3 29 2 4" xfId="34920" xr:uid="{D0D65A0A-61EC-4495-87FD-D6F6876E573C}"/>
    <cellStyle name="Note 3 29 2 5" xfId="34921" xr:uid="{338BFA2E-08A1-42AE-A9FA-84A916F6B504}"/>
    <cellStyle name="Note 3 29 2 6" xfId="34922" xr:uid="{6B1A42F0-A162-4FDD-8CA1-62A7599429E0}"/>
    <cellStyle name="Note 3 29 3" xfId="34923" xr:uid="{5E8CD50D-B501-420E-A78D-08B45DAF89A3}"/>
    <cellStyle name="Note 3 29 4" xfId="34924" xr:uid="{A196AEF2-2F72-466E-A19C-0A73B2CEAC40}"/>
    <cellStyle name="Note 3 29 5" xfId="34925" xr:uid="{6085505B-04FE-43E0-B760-500B749003BF}"/>
    <cellStyle name="Note 3 29 6" xfId="34926" xr:uid="{CF08D7E9-78F5-405F-9108-71B795019FF6}"/>
    <cellStyle name="Note 3 29 7" xfId="34927" xr:uid="{DF093E6A-A8FF-4F6F-8F1C-6E8CDFBC16F7}"/>
    <cellStyle name="Note 3 3" xfId="2397" xr:uid="{97ACBAC1-6208-41A4-889D-F26388C10345}"/>
    <cellStyle name="Note 3 3 10" xfId="2398" xr:uid="{CB257C55-CE96-4B6F-8C3D-8D4B4BD26A43}"/>
    <cellStyle name="Note 3 3 10 2" xfId="10630" xr:uid="{FE85C488-588A-4DB7-8210-870845E9CE7B}"/>
    <cellStyle name="Note 3 3 10 2 2" xfId="34928" xr:uid="{71747427-7BE4-438C-8E9F-4D90D4F8F56E}"/>
    <cellStyle name="Note 3 3 10 2 3" xfId="34929" xr:uid="{95A2EDCF-6672-4425-B838-F2E70A5AA8EB}"/>
    <cellStyle name="Note 3 3 10 2 4" xfId="34930" xr:uid="{4E65F95C-7741-4275-BB80-4A79DC10F8BF}"/>
    <cellStyle name="Note 3 3 10 2 5" xfId="34931" xr:uid="{2C057943-E280-4072-BE6F-7BEBA452A084}"/>
    <cellStyle name="Note 3 3 10 2 6" xfId="34932" xr:uid="{E8723FA4-F58F-47F1-B95A-1D9BC70C01B5}"/>
    <cellStyle name="Note 3 3 10 3" xfId="34933" xr:uid="{442FC37A-CE41-4B1D-A24D-D1AD7D1C88CB}"/>
    <cellStyle name="Note 3 3 10 4" xfId="34934" xr:uid="{7D4FAB11-A4A1-4AB4-B925-5CB1336B6EB9}"/>
    <cellStyle name="Note 3 3 10 5" xfId="34935" xr:uid="{86D1E99A-D34C-433E-83DF-B79D332B37A4}"/>
    <cellStyle name="Note 3 3 10 6" xfId="34936" xr:uid="{81512D52-4AAA-48C2-83A9-D0E33D71AAF3}"/>
    <cellStyle name="Note 3 3 10 7" xfId="34937" xr:uid="{2CAD91D4-E3FF-428B-ACC7-F931CD2672A0}"/>
    <cellStyle name="Note 3 3 11" xfId="2399" xr:uid="{F84B59F8-6524-456E-AAB5-7A3BB66D0A0C}"/>
    <cellStyle name="Note 3 3 11 2" xfId="10721" xr:uid="{E9FAA25B-BD25-4E45-B74C-40DB549D8045}"/>
    <cellStyle name="Note 3 3 11 2 2" xfId="34938" xr:uid="{F987F861-644C-40F5-BE24-A15C4FC0258C}"/>
    <cellStyle name="Note 3 3 11 2 3" xfId="34939" xr:uid="{0AB3C16A-7A29-4E42-AB49-5522B965A62C}"/>
    <cellStyle name="Note 3 3 11 2 4" xfId="34940" xr:uid="{6AB232F1-C935-4497-88E5-C9D1EB06EF19}"/>
    <cellStyle name="Note 3 3 11 2 5" xfId="34941" xr:uid="{ADB735D1-FD04-4539-B74E-A8826AC93C70}"/>
    <cellStyle name="Note 3 3 11 2 6" xfId="34942" xr:uid="{D95A6878-1B4B-4D55-912E-02402B8FED2A}"/>
    <cellStyle name="Note 3 3 11 3" xfId="34943" xr:uid="{3B36D403-5AEB-45B0-B67E-1E3783811747}"/>
    <cellStyle name="Note 3 3 11 4" xfId="34944" xr:uid="{BF19D098-2B2F-4E7B-8FF7-AECD7C884BD2}"/>
    <cellStyle name="Note 3 3 11 5" xfId="34945" xr:uid="{5A2200B2-DCEA-43AE-959F-0CD20CF9182A}"/>
    <cellStyle name="Note 3 3 11 6" xfId="34946" xr:uid="{50FA6436-D2B2-4C24-B1E0-C1994D985191}"/>
    <cellStyle name="Note 3 3 11 7" xfId="34947" xr:uid="{2146DF07-FFB5-416C-80D9-600131437AFA}"/>
    <cellStyle name="Note 3 3 12" xfId="2400" xr:uid="{5BABC0E7-FF4B-4E9B-B6C3-30412740C886}"/>
    <cellStyle name="Note 3 3 12 2" xfId="10809" xr:uid="{1F43F6AA-D84F-41CD-9179-13658030F3C5}"/>
    <cellStyle name="Note 3 3 12 2 2" xfId="34948" xr:uid="{C3E672E4-E346-4B2A-AAEB-17FE84E03EF5}"/>
    <cellStyle name="Note 3 3 12 2 3" xfId="34949" xr:uid="{F0A98972-928F-4D10-BEE2-2CDF7A74D2D4}"/>
    <cellStyle name="Note 3 3 12 2 4" xfId="34950" xr:uid="{B704B36D-08F5-4F2A-8819-D5CA4558191C}"/>
    <cellStyle name="Note 3 3 12 2 5" xfId="34951" xr:uid="{D111EC2E-0E89-487A-9952-FB31126FBC09}"/>
    <cellStyle name="Note 3 3 12 2 6" xfId="34952" xr:uid="{2606E46A-0902-49CF-A078-9DA92676269E}"/>
    <cellStyle name="Note 3 3 12 3" xfId="34953" xr:uid="{00866E47-5642-4669-BA02-61DDF0B54818}"/>
    <cellStyle name="Note 3 3 12 4" xfId="34954" xr:uid="{0F08BEE1-7E30-4245-B09C-3F348803470F}"/>
    <cellStyle name="Note 3 3 12 5" xfId="34955" xr:uid="{D054E0B8-AC9C-4131-A26F-E02466653BF0}"/>
    <cellStyle name="Note 3 3 12 6" xfId="34956" xr:uid="{40B5A896-9B21-4571-88C7-B451F8CB6221}"/>
    <cellStyle name="Note 3 3 12 7" xfId="34957" xr:uid="{800C7DBE-07DE-493C-951B-B319576992C5}"/>
    <cellStyle name="Note 3 3 13" xfId="2401" xr:uid="{71AD260B-DBD4-4801-9C4D-973D0523A167}"/>
    <cellStyle name="Note 3 3 13 2" xfId="10898" xr:uid="{D6103CE6-EB1B-415D-BDDC-6AABCDFCEBB4}"/>
    <cellStyle name="Note 3 3 13 2 2" xfId="34958" xr:uid="{DCB3BAD9-FD01-4ED4-BF3C-5DA85A4AD6FC}"/>
    <cellStyle name="Note 3 3 13 2 3" xfId="34959" xr:uid="{FCCFDC4E-06B8-4993-8B32-D011AC96E0BE}"/>
    <cellStyle name="Note 3 3 13 2 4" xfId="34960" xr:uid="{B2390851-269D-49E9-A512-C18E78268A2B}"/>
    <cellStyle name="Note 3 3 13 2 5" xfId="34961" xr:uid="{93DE0CA1-9425-408F-A030-E2C48D5ED32E}"/>
    <cellStyle name="Note 3 3 13 2 6" xfId="34962" xr:uid="{39F67136-8F9D-4E32-89B4-9957DC567E18}"/>
    <cellStyle name="Note 3 3 13 3" xfId="34963" xr:uid="{E61FD80D-18EE-4D1C-842D-F86CD652D30D}"/>
    <cellStyle name="Note 3 3 13 4" xfId="34964" xr:uid="{5D7CCF9B-5094-45C9-BE89-D1A4E0B0A9DD}"/>
    <cellStyle name="Note 3 3 13 5" xfId="34965" xr:uid="{0BB29C7F-2B72-4DD8-BB55-A4123693FE46}"/>
    <cellStyle name="Note 3 3 13 6" xfId="34966" xr:uid="{FB0DD998-D877-4019-AD96-D596685DCDD5}"/>
    <cellStyle name="Note 3 3 13 7" xfId="34967" xr:uid="{C1902207-4DC0-4612-BEDF-332856E1E093}"/>
    <cellStyle name="Note 3 3 14" xfId="2402" xr:uid="{95A62F99-0922-4246-AE23-4F54C81C0A8D}"/>
    <cellStyle name="Note 3 3 14 2" xfId="10988" xr:uid="{E17B9C4D-295F-464E-8B12-66FBC7A84648}"/>
    <cellStyle name="Note 3 3 14 2 2" xfId="34968" xr:uid="{A3D89685-1C72-48A7-B5C8-AF324A2BA168}"/>
    <cellStyle name="Note 3 3 14 2 3" xfId="34969" xr:uid="{D05B1362-AC22-4DDF-9BB0-03CA1A649E77}"/>
    <cellStyle name="Note 3 3 14 2 4" xfId="34970" xr:uid="{CF145CE0-E275-49E7-8E07-1903CD0ADEE5}"/>
    <cellStyle name="Note 3 3 14 2 5" xfId="34971" xr:uid="{93BF59A8-C50B-4761-955A-DAF9DE46A4F2}"/>
    <cellStyle name="Note 3 3 14 2 6" xfId="34972" xr:uid="{858BB2C3-4BD0-480E-BCB3-D7B905CF8D0F}"/>
    <cellStyle name="Note 3 3 14 3" xfId="34973" xr:uid="{880D81A3-4EE2-4E23-9332-68D7B989215E}"/>
    <cellStyle name="Note 3 3 14 4" xfId="34974" xr:uid="{BE595EAF-6A51-4B39-9824-412E895F9AC2}"/>
    <cellStyle name="Note 3 3 14 5" xfId="34975" xr:uid="{69407787-49F1-4AC3-9413-60EFC1FC7E76}"/>
    <cellStyle name="Note 3 3 14 6" xfId="34976" xr:uid="{A4480699-FE96-43D2-A585-7060BCDC60AC}"/>
    <cellStyle name="Note 3 3 14 7" xfId="34977" xr:uid="{ECB2D125-1D18-428F-86C3-E5E54D8F988B}"/>
    <cellStyle name="Note 3 3 15" xfId="2403" xr:uid="{996AC26E-8989-4E23-8FB5-8B32E887E906}"/>
    <cellStyle name="Note 3 3 15 2" xfId="11079" xr:uid="{6EAEDDC5-570B-4AE9-A369-A95DDC2FBEE4}"/>
    <cellStyle name="Note 3 3 15 2 2" xfId="34978" xr:uid="{91E50EE5-2119-4B1A-A814-CE1CAE17D9CE}"/>
    <cellStyle name="Note 3 3 15 2 3" xfId="34979" xr:uid="{AF46E85A-9C05-48BE-BB4B-946FB1154BCD}"/>
    <cellStyle name="Note 3 3 15 2 4" xfId="34980" xr:uid="{B6372D42-478D-4D08-95D1-F28856ECFA46}"/>
    <cellStyle name="Note 3 3 15 2 5" xfId="34981" xr:uid="{9C9DF3C7-1132-4CEE-8E27-02C650A77134}"/>
    <cellStyle name="Note 3 3 15 2 6" xfId="34982" xr:uid="{58B25335-5B8A-46CC-B37A-9CAFBCEEDD17}"/>
    <cellStyle name="Note 3 3 15 3" xfId="34983" xr:uid="{CCD72596-A2AA-4298-9CBA-C7A23F1EC128}"/>
    <cellStyle name="Note 3 3 15 4" xfId="34984" xr:uid="{A50EA192-4A05-496E-BAE3-5FF8C5808662}"/>
    <cellStyle name="Note 3 3 15 5" xfId="34985" xr:uid="{A0A92143-5B49-4D8F-A485-E6C9F3E3422B}"/>
    <cellStyle name="Note 3 3 15 6" xfId="34986" xr:uid="{830B62B1-5A9C-449A-99E6-33385836B4B3}"/>
    <cellStyle name="Note 3 3 15 7" xfId="34987" xr:uid="{12EDEE8E-21AB-43C3-919E-C3AA5885E7EA}"/>
    <cellStyle name="Note 3 3 16" xfId="2404" xr:uid="{B98CEC39-9508-47CB-98C9-99F209ABEF10}"/>
    <cellStyle name="Note 3 3 16 2" xfId="11162" xr:uid="{27EA5FF0-1F16-4128-982B-4935851D806C}"/>
    <cellStyle name="Note 3 3 16 2 2" xfId="34988" xr:uid="{5EA53B00-DCD2-4CB3-93C5-5F0644E4F05E}"/>
    <cellStyle name="Note 3 3 16 2 3" xfId="34989" xr:uid="{1BAE589B-4200-4ABD-AB1E-35528E1418A8}"/>
    <cellStyle name="Note 3 3 16 2 4" xfId="34990" xr:uid="{44E87831-BD95-4AA5-A85E-1BA8C4FB3CCE}"/>
    <cellStyle name="Note 3 3 16 2 5" xfId="34991" xr:uid="{7D6038C7-5449-49C4-88C0-82BD4983AC7E}"/>
    <cellStyle name="Note 3 3 16 2 6" xfId="34992" xr:uid="{EF67F899-B825-497A-8D65-26B4AA64EA6F}"/>
    <cellStyle name="Note 3 3 16 3" xfId="34993" xr:uid="{503A06D4-1D2A-4A92-9C35-C70A57EC05A0}"/>
    <cellStyle name="Note 3 3 16 4" xfId="34994" xr:uid="{AC09414D-03AC-463F-B424-A0FA79049A75}"/>
    <cellStyle name="Note 3 3 16 5" xfId="34995" xr:uid="{0C130758-788A-4539-A813-E0032AE84ACA}"/>
    <cellStyle name="Note 3 3 16 6" xfId="34996" xr:uid="{E2F6D509-9994-4952-A480-DA1C1EA0C6D0}"/>
    <cellStyle name="Note 3 3 16 7" xfId="34997" xr:uid="{56B03D07-2665-4949-B7B6-003F7F28281D}"/>
    <cellStyle name="Note 3 3 17" xfId="2405" xr:uid="{1B3FAA37-42D4-4D45-B510-48C9B74968EF}"/>
    <cellStyle name="Note 3 3 17 2" xfId="11252" xr:uid="{2B411A35-8B49-4810-97A1-52089D20306E}"/>
    <cellStyle name="Note 3 3 17 2 2" xfId="34998" xr:uid="{6E700ACC-B6EB-4C7D-8646-7D371BAC966F}"/>
    <cellStyle name="Note 3 3 17 2 3" xfId="34999" xr:uid="{CEC3CE0E-FF11-4F37-80BC-44B58436E74E}"/>
    <cellStyle name="Note 3 3 17 2 4" xfId="35000" xr:uid="{98B941BA-579E-4229-9005-912622412B47}"/>
    <cellStyle name="Note 3 3 17 2 5" xfId="35001" xr:uid="{9E1ADF5B-F2B1-48BF-BD9B-ECE9E61C9549}"/>
    <cellStyle name="Note 3 3 17 2 6" xfId="35002" xr:uid="{04730AE7-4AD0-4AEF-BDA4-DA22AAB327E4}"/>
    <cellStyle name="Note 3 3 17 3" xfId="35003" xr:uid="{2E493CD3-57A4-4144-A871-C45F7083228A}"/>
    <cellStyle name="Note 3 3 17 4" xfId="35004" xr:uid="{9A19B6F3-53BE-4EE3-8396-7DD600397E0A}"/>
    <cellStyle name="Note 3 3 17 5" xfId="35005" xr:uid="{73B7B9DB-9724-42E3-9462-5094C54141E2}"/>
    <cellStyle name="Note 3 3 17 6" xfId="35006" xr:uid="{8AD321D0-97B9-4760-90A8-3F4569EBCF03}"/>
    <cellStyle name="Note 3 3 17 7" xfId="35007" xr:uid="{836D9EE0-9E96-459E-9364-E57CC5D1B31C}"/>
    <cellStyle name="Note 3 3 18" xfId="2406" xr:uid="{2BE7BBB2-6DEF-4635-A5E3-F3F3D5DFC4FC}"/>
    <cellStyle name="Note 3 3 18 2" xfId="11338" xr:uid="{893CDB1E-52CA-4B13-8EC5-AC6434C0F0F5}"/>
    <cellStyle name="Note 3 3 18 2 2" xfId="35008" xr:uid="{5FE60B9C-C2EB-4121-A4B4-65223638259D}"/>
    <cellStyle name="Note 3 3 18 2 3" xfId="35009" xr:uid="{7B75D1D7-389A-4253-9726-29739E7CE25B}"/>
    <cellStyle name="Note 3 3 18 2 4" xfId="35010" xr:uid="{C89AA13F-24A9-4CB3-8DD1-41BAACBCDA8C}"/>
    <cellStyle name="Note 3 3 18 2 5" xfId="35011" xr:uid="{149C8EDB-D9CD-4D02-9191-2CE0C540047B}"/>
    <cellStyle name="Note 3 3 18 2 6" xfId="35012" xr:uid="{C3BED193-43E5-490D-AD64-94120AB0D634}"/>
    <cellStyle name="Note 3 3 18 3" xfId="35013" xr:uid="{1EB4AE05-AB53-449F-8745-F73FF84679C3}"/>
    <cellStyle name="Note 3 3 18 4" xfId="35014" xr:uid="{C5D8A60C-D3B7-46F9-B5A3-FFD927D51619}"/>
    <cellStyle name="Note 3 3 18 5" xfId="35015" xr:uid="{9F1BFD1D-780D-47C7-BF31-583983ED8BD3}"/>
    <cellStyle name="Note 3 3 18 6" xfId="35016" xr:uid="{D60C0EE5-F718-4BD2-9B5F-C00B3D4692B3}"/>
    <cellStyle name="Note 3 3 18 7" xfId="35017" xr:uid="{CE93C6DC-BE90-4BAD-9428-6C57E9956732}"/>
    <cellStyle name="Note 3 3 19" xfId="2407" xr:uid="{38CCA152-D841-41CB-AF19-C266CF9F6A85}"/>
    <cellStyle name="Note 3 3 19 2" xfId="11424" xr:uid="{13EFBDB6-4E1D-4970-B45C-F2E30A8078B1}"/>
    <cellStyle name="Note 3 3 19 2 2" xfId="35018" xr:uid="{B19B6EA8-6A01-474A-8953-096CA2F2D42E}"/>
    <cellStyle name="Note 3 3 19 2 3" xfId="35019" xr:uid="{389E6839-CEE5-48ED-985B-3A79EAC05EF5}"/>
    <cellStyle name="Note 3 3 19 2 4" xfId="35020" xr:uid="{C5C7ACE3-3453-419D-89CB-51FF61CD9DA6}"/>
    <cellStyle name="Note 3 3 19 2 5" xfId="35021" xr:uid="{EB32E2CF-2010-4D3C-83AA-C95FDECEB1BE}"/>
    <cellStyle name="Note 3 3 19 2 6" xfId="35022" xr:uid="{0F155EA1-4507-4404-9E06-11F2AE924195}"/>
    <cellStyle name="Note 3 3 19 3" xfId="35023" xr:uid="{5E27D05A-AC24-495D-A343-1C71293BE990}"/>
    <cellStyle name="Note 3 3 19 4" xfId="35024" xr:uid="{F0306BAC-A3EF-4496-AF81-1A1F9065B433}"/>
    <cellStyle name="Note 3 3 19 5" xfId="35025" xr:uid="{5A4B26B8-FF0B-431E-9867-ADF5280D78E9}"/>
    <cellStyle name="Note 3 3 19 6" xfId="35026" xr:uid="{C5ABC7F1-73D0-44A1-AF13-83C065348893}"/>
    <cellStyle name="Note 3 3 19 7" xfId="35027" xr:uid="{19C1FE95-0172-4579-81FB-E0781ABD4A9A}"/>
    <cellStyle name="Note 3 3 2" xfId="2408" xr:uid="{2953499F-B6A6-4832-A7CA-809FBD399631}"/>
    <cellStyle name="Note 3 3 2 10" xfId="2409" xr:uid="{5AC9F0FD-4D14-4080-B5DF-22BFF0A0789D}"/>
    <cellStyle name="Note 3 3 2 10 2" xfId="10755" xr:uid="{6A807585-882B-4E34-92A7-9BA554F01667}"/>
    <cellStyle name="Note 3 3 2 10 2 2" xfId="35028" xr:uid="{84D16521-9868-40C2-97A1-02C223333B6C}"/>
    <cellStyle name="Note 3 3 2 10 2 3" xfId="35029" xr:uid="{B4CD6270-8890-4CAB-B117-D682C4F19523}"/>
    <cellStyle name="Note 3 3 2 10 2 4" xfId="35030" xr:uid="{E81A8A23-B2EB-4754-930A-C491B7D68152}"/>
    <cellStyle name="Note 3 3 2 10 2 5" xfId="35031" xr:uid="{DDC00D53-C249-43A0-B7D6-F0BBE827CE27}"/>
    <cellStyle name="Note 3 3 2 10 2 6" xfId="35032" xr:uid="{DA9A4B1B-1059-4CC6-B3B1-BBF1D48ADF58}"/>
    <cellStyle name="Note 3 3 2 10 3" xfId="35033" xr:uid="{B2A2BCF7-0F8D-468D-97F2-0F1CC2D11191}"/>
    <cellStyle name="Note 3 3 2 10 4" xfId="35034" xr:uid="{CA2F279E-9E13-4822-80D0-E47D5D204911}"/>
    <cellStyle name="Note 3 3 2 10 5" xfId="35035" xr:uid="{D805752D-F9F5-47CD-AC4B-718AC9968494}"/>
    <cellStyle name="Note 3 3 2 10 6" xfId="35036" xr:uid="{6241AB89-F481-4E78-9DD5-3D4E5B39A234}"/>
    <cellStyle name="Note 3 3 2 10 7" xfId="35037" xr:uid="{5A0F14E2-855D-455D-8CFE-A82841BC4B78}"/>
    <cellStyle name="Note 3 3 2 11" xfId="2410" xr:uid="{20A4E50B-6E29-4B98-B624-E775847B6C9C}"/>
    <cellStyle name="Note 3 3 2 11 2" xfId="10843" xr:uid="{BFE468DF-2BC8-438A-BE6C-6C8E5776DB3C}"/>
    <cellStyle name="Note 3 3 2 11 2 2" xfId="35038" xr:uid="{002C4DC9-F64E-4795-98CB-D1AC53695A84}"/>
    <cellStyle name="Note 3 3 2 11 2 3" xfId="35039" xr:uid="{BE46CCBB-E7EE-4279-82F9-72D2FE984763}"/>
    <cellStyle name="Note 3 3 2 11 2 4" xfId="35040" xr:uid="{B7FB8DE8-62C0-49C7-95B5-6D674D70677D}"/>
    <cellStyle name="Note 3 3 2 11 2 5" xfId="35041" xr:uid="{276ACE1D-0C7E-4CEA-82DB-F8A9B5763FC5}"/>
    <cellStyle name="Note 3 3 2 11 2 6" xfId="35042" xr:uid="{77F80FED-D0B8-4AEB-BE56-C95A100EA551}"/>
    <cellStyle name="Note 3 3 2 11 3" xfId="35043" xr:uid="{D98B5E65-FAE1-44F3-9A65-4E02E20E5619}"/>
    <cellStyle name="Note 3 3 2 11 4" xfId="35044" xr:uid="{C10F69B2-B18D-40C8-9EA4-8FE7F089FBB3}"/>
    <cellStyle name="Note 3 3 2 11 5" xfId="35045" xr:uid="{8C215EB9-C5EF-4714-BE2B-84B6B120F5E0}"/>
    <cellStyle name="Note 3 3 2 11 6" xfId="35046" xr:uid="{6F348248-2CB6-469F-A63D-6B3BF9037E8E}"/>
    <cellStyle name="Note 3 3 2 11 7" xfId="35047" xr:uid="{40A0420E-C955-4545-BFC2-1B30E3E14877}"/>
    <cellStyle name="Note 3 3 2 12" xfId="2411" xr:uid="{20AA4167-DE9A-472B-B401-C32831F1789F}"/>
    <cellStyle name="Note 3 3 2 12 2" xfId="10932" xr:uid="{2296320C-A0A6-4DE0-956A-C24AA5CE5F8C}"/>
    <cellStyle name="Note 3 3 2 12 2 2" xfId="35048" xr:uid="{A52B0E32-1B54-4CFA-8FB9-67F548C3FD15}"/>
    <cellStyle name="Note 3 3 2 12 2 3" xfId="35049" xr:uid="{5F35B2DB-7A89-4EA9-BF5F-59C38EAC5BFC}"/>
    <cellStyle name="Note 3 3 2 12 2 4" xfId="35050" xr:uid="{3DDF9C65-CC6B-4133-BD92-2EAF9601EAB9}"/>
    <cellStyle name="Note 3 3 2 12 2 5" xfId="35051" xr:uid="{6B47DEAD-486F-4E56-BC88-383A822222CD}"/>
    <cellStyle name="Note 3 3 2 12 2 6" xfId="35052" xr:uid="{450AD8A0-10BB-4C8C-A330-4AD41C19BC09}"/>
    <cellStyle name="Note 3 3 2 12 3" xfId="35053" xr:uid="{3494F894-17C6-457B-AC26-6492EB97AA6A}"/>
    <cellStyle name="Note 3 3 2 12 4" xfId="35054" xr:uid="{F39D0B11-869E-430B-BBA5-971EB6EAF1B2}"/>
    <cellStyle name="Note 3 3 2 12 5" xfId="35055" xr:uid="{F0953E77-E9BA-4E5D-AA84-6EF9AEDA3A60}"/>
    <cellStyle name="Note 3 3 2 12 6" xfId="35056" xr:uid="{C7C076FF-4573-4725-8CA3-8E5542873713}"/>
    <cellStyle name="Note 3 3 2 12 7" xfId="35057" xr:uid="{661BA019-5B52-48C7-A45F-3F65BF327283}"/>
    <cellStyle name="Note 3 3 2 13" xfId="2412" xr:uid="{A7110EBA-569F-41A6-B7D0-8C3A892454DA}"/>
    <cellStyle name="Note 3 3 2 13 2" xfId="11022" xr:uid="{90113395-42DC-44CF-A4D0-E0644D015457}"/>
    <cellStyle name="Note 3 3 2 13 2 2" xfId="35058" xr:uid="{24A16DFE-6739-49A4-97AE-FF6F20B7DC94}"/>
    <cellStyle name="Note 3 3 2 13 2 3" xfId="35059" xr:uid="{B9AB0D70-3FAB-431A-8EB2-0F28B4821A36}"/>
    <cellStyle name="Note 3 3 2 13 2 4" xfId="35060" xr:uid="{493BAA7E-A08A-4721-95E7-A000CAC01033}"/>
    <cellStyle name="Note 3 3 2 13 2 5" xfId="35061" xr:uid="{E4CE580E-7DFC-4F11-8CD7-A61B592BC0D6}"/>
    <cellStyle name="Note 3 3 2 13 2 6" xfId="35062" xr:uid="{032F3B15-AA8C-467D-A7E0-E5DCCD20359E}"/>
    <cellStyle name="Note 3 3 2 13 3" xfId="35063" xr:uid="{D5A4D876-B5F6-4BE2-B64F-F82EA54AA215}"/>
    <cellStyle name="Note 3 3 2 13 4" xfId="35064" xr:uid="{BFDBE1CC-9BDD-4306-8409-F059476CB411}"/>
    <cellStyle name="Note 3 3 2 13 5" xfId="35065" xr:uid="{1C4C9AB8-6938-4F3B-8B66-3FB8D7DDB81B}"/>
    <cellStyle name="Note 3 3 2 13 6" xfId="35066" xr:uid="{810B39F2-8366-4F9B-8EE8-91DE1ECB1876}"/>
    <cellStyle name="Note 3 3 2 13 7" xfId="35067" xr:uid="{DAB8D43F-B50A-4FE5-BB8C-DDE71364E3A1}"/>
    <cellStyle name="Note 3 3 2 14" xfId="2413" xr:uid="{3A7E4A99-2E70-473D-8C78-A9D5890385CE}"/>
    <cellStyle name="Note 3 3 2 14 2" xfId="11112" xr:uid="{2FD02826-1976-464E-932C-1746CD466208}"/>
    <cellStyle name="Note 3 3 2 14 2 2" xfId="35068" xr:uid="{4EB6F9E4-B7F6-4784-819E-C5675EF66E0F}"/>
    <cellStyle name="Note 3 3 2 14 2 3" xfId="35069" xr:uid="{EC3C8860-CAC9-490F-BD62-78B9C2782CFA}"/>
    <cellStyle name="Note 3 3 2 14 2 4" xfId="35070" xr:uid="{053BDDD7-ACAA-438A-9545-897E6E8578C7}"/>
    <cellStyle name="Note 3 3 2 14 2 5" xfId="35071" xr:uid="{9CB12F57-35B1-4F94-804E-B34D6F68A3C4}"/>
    <cellStyle name="Note 3 3 2 14 2 6" xfId="35072" xr:uid="{8674C061-A08C-4B43-A8DE-4A40826FD104}"/>
    <cellStyle name="Note 3 3 2 14 3" xfId="35073" xr:uid="{3C6B9BAC-7301-4BC0-A8D4-DF55F150E766}"/>
    <cellStyle name="Note 3 3 2 14 4" xfId="35074" xr:uid="{7ACC911A-EEB4-4C0F-894B-B157B1A0D526}"/>
    <cellStyle name="Note 3 3 2 14 5" xfId="35075" xr:uid="{9C086E76-6BAC-4AF8-93A2-F3E7236E43AF}"/>
    <cellStyle name="Note 3 3 2 14 6" xfId="35076" xr:uid="{264E3BAF-5856-4DF0-8929-CFE4388E81BD}"/>
    <cellStyle name="Note 3 3 2 14 7" xfId="35077" xr:uid="{CBAB4900-A3FD-4777-92AB-654A2CE961D3}"/>
    <cellStyle name="Note 3 3 2 15" xfId="2414" xr:uid="{48C146AA-F134-4721-A2C4-37A403E56C86}"/>
    <cellStyle name="Note 3 3 2 15 2" xfId="11195" xr:uid="{9F70ED23-E561-435F-82B5-22C32B06FFCF}"/>
    <cellStyle name="Note 3 3 2 15 2 2" xfId="35078" xr:uid="{02D1A6A4-6B30-4BE1-A2E3-B8B341FF79A5}"/>
    <cellStyle name="Note 3 3 2 15 2 3" xfId="35079" xr:uid="{E91DC15D-5BCA-4728-8705-0939C688A215}"/>
    <cellStyle name="Note 3 3 2 15 2 4" xfId="35080" xr:uid="{91E73460-F9DC-4EBD-B891-A525BA6DDB65}"/>
    <cellStyle name="Note 3 3 2 15 2 5" xfId="35081" xr:uid="{F5E774FF-AB24-4013-A886-C547CBD01A49}"/>
    <cellStyle name="Note 3 3 2 15 2 6" xfId="35082" xr:uid="{8D180897-71CA-48D2-B44D-F51B36B3A7F1}"/>
    <cellStyle name="Note 3 3 2 15 3" xfId="35083" xr:uid="{5824D6B3-F64F-41A2-9492-E6FA5F6FA1D4}"/>
    <cellStyle name="Note 3 3 2 15 4" xfId="35084" xr:uid="{40C60390-2A3A-4E12-AE8C-9D18BFCB9EC1}"/>
    <cellStyle name="Note 3 3 2 15 5" xfId="35085" xr:uid="{43EA8F67-E67E-4C4A-89E9-170D4418D2E8}"/>
    <cellStyle name="Note 3 3 2 15 6" xfId="35086" xr:uid="{B9971BCF-D92B-4B85-B9CD-884634336180}"/>
    <cellStyle name="Note 3 3 2 15 7" xfId="35087" xr:uid="{91AD4463-57C5-4571-9C56-5D8705130279}"/>
    <cellStyle name="Note 3 3 2 16" xfId="2415" xr:uid="{D9E3597A-B801-4E15-B2BB-6BA1543440D7}"/>
    <cellStyle name="Note 3 3 2 16 2" xfId="11285" xr:uid="{E8118EA9-DA85-49C4-80C9-EE6E6CAA29B9}"/>
    <cellStyle name="Note 3 3 2 16 2 2" xfId="35088" xr:uid="{64C698BB-93B5-42C9-8873-8954BAF5868F}"/>
    <cellStyle name="Note 3 3 2 16 2 3" xfId="35089" xr:uid="{1A5F4EA4-DA30-4286-8B5D-231DFA0912FC}"/>
    <cellStyle name="Note 3 3 2 16 2 4" xfId="35090" xr:uid="{4D96C028-BD73-4297-B099-43E68E237EEE}"/>
    <cellStyle name="Note 3 3 2 16 2 5" xfId="35091" xr:uid="{E23D81EB-8882-407E-B0E7-AA853BDDCAF4}"/>
    <cellStyle name="Note 3 3 2 16 2 6" xfId="35092" xr:uid="{D42D9905-6DB1-4ED8-92B5-BC21509BE84A}"/>
    <cellStyle name="Note 3 3 2 16 3" xfId="35093" xr:uid="{42A15BDC-6A18-439E-B816-A7B9DD6C028F}"/>
    <cellStyle name="Note 3 3 2 16 4" xfId="35094" xr:uid="{16F22C92-A41B-4882-9533-B8A965437B61}"/>
    <cellStyle name="Note 3 3 2 16 5" xfId="35095" xr:uid="{9B72D16C-8A30-4C0D-882A-133948F9A8E7}"/>
    <cellStyle name="Note 3 3 2 16 6" xfId="35096" xr:uid="{D602510F-8836-4A68-9564-CCDF0B507CF3}"/>
    <cellStyle name="Note 3 3 2 16 7" xfId="35097" xr:uid="{703E6ACD-FB6D-4EFA-8728-B1036ED23A05}"/>
    <cellStyle name="Note 3 3 2 17" xfId="2416" xr:uid="{D0B0B4B4-9F84-4175-A5DF-5A89B0D1A83E}"/>
    <cellStyle name="Note 3 3 2 17 2" xfId="11371" xr:uid="{09BA96F0-CE66-4A36-8897-027E0B189E2B}"/>
    <cellStyle name="Note 3 3 2 17 2 2" xfId="35098" xr:uid="{F998BEB5-CAB4-4396-B087-366FD7F47DFB}"/>
    <cellStyle name="Note 3 3 2 17 2 3" xfId="35099" xr:uid="{64B4341D-FAE1-4577-94F6-5671AF62C52B}"/>
    <cellStyle name="Note 3 3 2 17 2 4" xfId="35100" xr:uid="{E532B2B9-6991-49CA-9C04-3AECD54BDC40}"/>
    <cellStyle name="Note 3 3 2 17 2 5" xfId="35101" xr:uid="{4765B128-DCFE-4C71-8FDF-9DEE4926F2BC}"/>
    <cellStyle name="Note 3 3 2 17 2 6" xfId="35102" xr:uid="{504B2DBB-D2C7-4A5E-8E65-1D4208125DB5}"/>
    <cellStyle name="Note 3 3 2 17 3" xfId="35103" xr:uid="{51FA2E4E-8199-4DFC-888B-48636527DC4B}"/>
    <cellStyle name="Note 3 3 2 17 4" xfId="35104" xr:uid="{5F25C68B-50E2-41A6-8727-D9EA5D0D810C}"/>
    <cellStyle name="Note 3 3 2 17 5" xfId="35105" xr:uid="{B61AE206-B757-4917-82CA-620DB81DB8F0}"/>
    <cellStyle name="Note 3 3 2 17 6" xfId="35106" xr:uid="{F0DF340B-2F32-4ABA-B089-651633D1732F}"/>
    <cellStyle name="Note 3 3 2 17 7" xfId="35107" xr:uid="{F1EB5A48-B9E0-4661-B380-67E7074307C9}"/>
    <cellStyle name="Note 3 3 2 18" xfId="2417" xr:uid="{F9A08532-AB1A-4F48-B25E-C8724DD3222B}"/>
    <cellStyle name="Note 3 3 2 18 2" xfId="11458" xr:uid="{D5435BC6-F3BB-4500-8E5C-E6CB4C8680C6}"/>
    <cellStyle name="Note 3 3 2 18 2 2" xfId="35108" xr:uid="{9E99C9F2-893A-4C15-ACB6-49BA2D5849E7}"/>
    <cellStyle name="Note 3 3 2 18 2 3" xfId="35109" xr:uid="{93FD7875-A6BC-4601-ACA5-68E0CEB991DA}"/>
    <cellStyle name="Note 3 3 2 18 2 4" xfId="35110" xr:uid="{FCA56E5E-6E70-4824-919D-EF6F14776CAD}"/>
    <cellStyle name="Note 3 3 2 18 2 5" xfId="35111" xr:uid="{70537A90-CBA7-47E1-A611-19BFC9B118FD}"/>
    <cellStyle name="Note 3 3 2 18 2 6" xfId="35112" xr:uid="{81C48478-4B40-4863-96CB-4B76479A1C8A}"/>
    <cellStyle name="Note 3 3 2 18 3" xfId="35113" xr:uid="{47C143F4-C7B9-4685-B41E-FEA45E8FFF65}"/>
    <cellStyle name="Note 3 3 2 18 4" xfId="35114" xr:uid="{388F937E-2EE8-41FB-A21C-686F1909B1D8}"/>
    <cellStyle name="Note 3 3 2 18 5" xfId="35115" xr:uid="{16AFB707-077E-4587-A6F9-55C524A28AE9}"/>
    <cellStyle name="Note 3 3 2 18 6" xfId="35116" xr:uid="{AD37ABA8-E9B9-43CF-9469-84D0144EB0DD}"/>
    <cellStyle name="Note 3 3 2 18 7" xfId="35117" xr:uid="{7A4C51EC-51D9-4850-B06D-2D2D1D11F0C0}"/>
    <cellStyle name="Note 3 3 2 19" xfId="2418" xr:uid="{6006F55F-0A2E-4CDF-8B9C-128C4D5ED860}"/>
    <cellStyle name="Note 3 3 2 19 2" xfId="11545" xr:uid="{89F7669B-3101-4D7F-A069-73930991CA6D}"/>
    <cellStyle name="Note 3 3 2 19 2 2" xfId="35118" xr:uid="{7ECD8D3F-5960-425C-AF92-B4DF7A3C15BF}"/>
    <cellStyle name="Note 3 3 2 19 2 3" xfId="35119" xr:uid="{4EF77FD7-D96E-4F7D-9A84-006626D6EDB1}"/>
    <cellStyle name="Note 3 3 2 19 2 4" xfId="35120" xr:uid="{CC5B12E7-414C-430B-A2F0-53F4EDCDE379}"/>
    <cellStyle name="Note 3 3 2 19 2 5" xfId="35121" xr:uid="{E8101795-79D4-4F29-95F0-46CD45DAA046}"/>
    <cellStyle name="Note 3 3 2 19 2 6" xfId="35122" xr:uid="{FA0F4BE1-89C8-4946-9282-5120228F2B44}"/>
    <cellStyle name="Note 3 3 2 19 3" xfId="35123" xr:uid="{C3F1A97D-7642-4422-BF9F-BAFA247B95A0}"/>
    <cellStyle name="Note 3 3 2 19 4" xfId="35124" xr:uid="{E287959F-A8BA-4ED9-8086-CC90864D5030}"/>
    <cellStyle name="Note 3 3 2 19 5" xfId="35125" xr:uid="{EDC1D416-AEB8-4FF4-AE8A-C90663F15BE7}"/>
    <cellStyle name="Note 3 3 2 19 6" xfId="35126" xr:uid="{C72E16F7-EC6D-408C-941F-506C23C73B6D}"/>
    <cellStyle name="Note 3 3 2 19 7" xfId="35127" xr:uid="{5912AC66-4E20-4198-9728-8794BD07E45E}"/>
    <cellStyle name="Note 3 3 2 2" xfId="2419" xr:uid="{13E91742-382E-4EA4-9780-1C350A9EC645}"/>
    <cellStyle name="Note 3 3 2 2 2" xfId="8900" xr:uid="{03AFFCA5-40FA-4089-A21B-A9F4D529E377}"/>
    <cellStyle name="Note 3 3 2 2 2 2" xfId="35128" xr:uid="{CA1B3B6E-E93B-4174-87C2-E9BC615431D5}"/>
    <cellStyle name="Note 3 3 2 2 3" xfId="10052" xr:uid="{3A03217B-13A9-4D44-BC3E-9EABA95FD468}"/>
    <cellStyle name="Note 3 3 2 2 3 2" xfId="35129" xr:uid="{CA460325-BFAF-4ECF-8124-6976069435C7}"/>
    <cellStyle name="Note 3 3 2 2 3 3" xfId="35130" xr:uid="{CB4A543F-8941-485F-96FD-D2F5524B1AE9}"/>
    <cellStyle name="Note 3 3 2 2 3 4" xfId="35131" xr:uid="{054F5454-7FBD-4CBB-A02D-EC80783AD36C}"/>
    <cellStyle name="Note 3 3 2 2 3 5" xfId="35132" xr:uid="{54EC9BD1-1155-4DC4-A5EA-059CF2CC685A}"/>
    <cellStyle name="Note 3 3 2 2 3 6" xfId="35133" xr:uid="{A63747D3-76B0-4DF1-AFF6-100AC890BE4E}"/>
    <cellStyle name="Note 3 3 2 2 4" xfId="35134" xr:uid="{782C4827-5E2B-4087-9FDA-F486C05314A7}"/>
    <cellStyle name="Note 3 3 2 2 5" xfId="35135" xr:uid="{99BDC7D0-E66C-4DE6-A205-310C8460C42C}"/>
    <cellStyle name="Note 3 3 2 2 6" xfId="35136" xr:uid="{5FD19DAD-0A8E-42F1-A8CE-8831D26BB7D4}"/>
    <cellStyle name="Note 3 3 2 2 7" xfId="35137" xr:uid="{F9FF8803-C51D-45C4-941E-A1C596F632F1}"/>
    <cellStyle name="Note 3 3 2 2 8" xfId="35138" xr:uid="{F73BDA91-033D-46A0-9B8C-BE7237E53390}"/>
    <cellStyle name="Note 3 3 2 20" xfId="2420" xr:uid="{5FE47D92-EB17-45BB-A308-65434AB81441}"/>
    <cellStyle name="Note 3 3 2 20 2" xfId="11633" xr:uid="{D8F54563-FB82-4D76-BBD5-D958FFAF4C9C}"/>
    <cellStyle name="Note 3 3 2 20 2 2" xfId="35139" xr:uid="{B6B17530-AC52-4063-A202-E6940AF63232}"/>
    <cellStyle name="Note 3 3 2 20 2 3" xfId="35140" xr:uid="{3F6C4FBC-2999-4BC4-983F-84B68BD30F16}"/>
    <cellStyle name="Note 3 3 2 20 2 4" xfId="35141" xr:uid="{37A5E0D5-129A-49FE-A653-CB44EE2D8C95}"/>
    <cellStyle name="Note 3 3 2 20 2 5" xfId="35142" xr:uid="{797FE3CA-B37C-4CD8-A248-EC001B4F9DB1}"/>
    <cellStyle name="Note 3 3 2 20 2 6" xfId="35143" xr:uid="{8B67BCAA-FA66-4E89-B6D1-0651ACB4A602}"/>
    <cellStyle name="Note 3 3 2 20 3" xfId="35144" xr:uid="{E0EF1A55-AB56-4FEF-A106-B5CA01E3CCA3}"/>
    <cellStyle name="Note 3 3 2 20 4" xfId="35145" xr:uid="{61AC6784-9AFE-4A27-8698-CF3B8A69B74B}"/>
    <cellStyle name="Note 3 3 2 20 5" xfId="35146" xr:uid="{BD47AA3E-40C5-45B6-9959-FEBAF81F3F08}"/>
    <cellStyle name="Note 3 3 2 20 6" xfId="35147" xr:uid="{D29F831A-18D0-475F-97C0-87F4AE8C1E00}"/>
    <cellStyle name="Note 3 3 2 20 7" xfId="35148" xr:uid="{8CB2DD67-21ED-42E0-8136-9D6B3794EBB0}"/>
    <cellStyle name="Note 3 3 2 21" xfId="2421" xr:uid="{295E0AE2-E956-4A37-A31A-3D48918BED4D}"/>
    <cellStyle name="Note 3 3 2 21 2" xfId="11717" xr:uid="{1FD7F2AF-B7AD-4ABF-8E9F-06A42BC311DE}"/>
    <cellStyle name="Note 3 3 2 21 2 2" xfId="35149" xr:uid="{40B174F9-0C92-4177-BA18-5E87521E141C}"/>
    <cellStyle name="Note 3 3 2 21 2 3" xfId="35150" xr:uid="{F80425F4-F0CB-4446-931C-6AF682D04401}"/>
    <cellStyle name="Note 3 3 2 21 2 4" xfId="35151" xr:uid="{C75FD835-D0C7-466B-AD7E-53A00BD65057}"/>
    <cellStyle name="Note 3 3 2 21 2 5" xfId="35152" xr:uid="{B1199692-7AF3-4010-A669-E9EDB86E7FE4}"/>
    <cellStyle name="Note 3 3 2 21 2 6" xfId="35153" xr:uid="{46DA1D37-9878-49A9-9DA2-7DD11EE048F8}"/>
    <cellStyle name="Note 3 3 2 21 3" xfId="35154" xr:uid="{90135C8E-C081-4D1C-A7F1-69D0336B1A4B}"/>
    <cellStyle name="Note 3 3 2 21 4" xfId="35155" xr:uid="{B6F6625B-3CA6-4A53-BD03-3AC7C22BE6A5}"/>
    <cellStyle name="Note 3 3 2 21 5" xfId="35156" xr:uid="{EA4E8362-85FB-46B6-BFEF-51DAEE69A8C0}"/>
    <cellStyle name="Note 3 3 2 21 6" xfId="35157" xr:uid="{6A772B1C-A8DC-4C5A-8EBD-78F05C4C263E}"/>
    <cellStyle name="Note 3 3 2 21 7" xfId="35158" xr:uid="{8C2C14D0-062A-4276-AC41-341D5BDA58B2}"/>
    <cellStyle name="Note 3 3 2 22" xfId="2422" xr:uid="{9F85F379-D1B2-4990-A25B-59D69396F2AE}"/>
    <cellStyle name="Note 3 3 2 22 2" xfId="11800" xr:uid="{806E8160-2D88-4799-BEC4-5C8BD17598C7}"/>
    <cellStyle name="Note 3 3 2 22 2 2" xfId="35159" xr:uid="{4E103C36-48D6-44AA-A1A4-8EBC1385A299}"/>
    <cellStyle name="Note 3 3 2 22 2 3" xfId="35160" xr:uid="{3470CFBF-55A3-4767-A464-89AACE7C1421}"/>
    <cellStyle name="Note 3 3 2 22 2 4" xfId="35161" xr:uid="{B884EA9C-1C4D-4F59-A9DB-EAD449E16C2E}"/>
    <cellStyle name="Note 3 3 2 22 2 5" xfId="35162" xr:uid="{A7C97BB9-45D3-4396-A41D-C8AD10392F41}"/>
    <cellStyle name="Note 3 3 2 22 2 6" xfId="35163" xr:uid="{709496A8-6927-43FC-AC13-02C86696B70D}"/>
    <cellStyle name="Note 3 3 2 22 3" xfId="35164" xr:uid="{D7DCF3F2-12F5-4FAF-A1AF-90D980BBA378}"/>
    <cellStyle name="Note 3 3 2 22 4" xfId="35165" xr:uid="{3707E7D6-4209-47A3-B2F5-74E3FF05CAB1}"/>
    <cellStyle name="Note 3 3 2 22 5" xfId="35166" xr:uid="{050D14F3-C2DB-4916-BC2D-F3B8C57CAE2C}"/>
    <cellStyle name="Note 3 3 2 22 6" xfId="35167" xr:uid="{7F464DFC-A24A-4F3C-AD5F-24A2F782E4E4}"/>
    <cellStyle name="Note 3 3 2 22 7" xfId="35168" xr:uid="{49B7653F-A3E9-4962-877A-536BE0731B68}"/>
    <cellStyle name="Note 3 3 2 23" xfId="2423" xr:uid="{2C62A4E4-0901-4C59-BB9B-9E5080F500C7}"/>
    <cellStyle name="Note 3 3 2 23 2" xfId="11883" xr:uid="{0586CDC9-15AE-475D-B203-C0268B448218}"/>
    <cellStyle name="Note 3 3 2 23 2 2" xfId="35169" xr:uid="{47658FFB-13D4-4193-B102-24019BD88349}"/>
    <cellStyle name="Note 3 3 2 23 2 3" xfId="35170" xr:uid="{B46ABC37-DE29-46A7-B57D-316C2631270A}"/>
    <cellStyle name="Note 3 3 2 23 2 4" xfId="35171" xr:uid="{50AB1E3B-C9B8-4DD4-96BF-653DE4AD7681}"/>
    <cellStyle name="Note 3 3 2 23 2 5" xfId="35172" xr:uid="{4EB52383-F692-449D-82EC-7D8542A12022}"/>
    <cellStyle name="Note 3 3 2 23 2 6" xfId="35173" xr:uid="{71F5942E-AD05-493B-8960-85259A2509DC}"/>
    <cellStyle name="Note 3 3 2 23 3" xfId="35174" xr:uid="{D7B35EE6-F832-4C1F-8084-44EADF6249DC}"/>
    <cellStyle name="Note 3 3 2 23 4" xfId="35175" xr:uid="{5880AD33-E7AC-44F0-B55A-5D6006EBB678}"/>
    <cellStyle name="Note 3 3 2 23 5" xfId="35176" xr:uid="{DF7CE0AE-5698-4970-A4D2-1C24A0EF9788}"/>
    <cellStyle name="Note 3 3 2 23 6" xfId="35177" xr:uid="{B59E6405-A126-4F04-B4B9-414E7B6BECDE}"/>
    <cellStyle name="Note 3 3 2 23 7" xfId="35178" xr:uid="{226B7916-B0AD-47A4-A7E7-BFC45DFA0757}"/>
    <cellStyle name="Note 3 3 2 24" xfId="2424" xr:uid="{6D39EC89-5D5C-4D35-8C50-8EC7CF09F850}"/>
    <cellStyle name="Note 3 3 2 24 2" xfId="11967" xr:uid="{6BDE0457-8667-4B4C-9A0A-4859696F5354}"/>
    <cellStyle name="Note 3 3 2 24 2 2" xfId="35179" xr:uid="{163C3FC9-EDB6-4429-AD4F-651AE8B22E70}"/>
    <cellStyle name="Note 3 3 2 24 2 3" xfId="35180" xr:uid="{1C5223D1-BEFB-40D3-88AE-98AE0263EA4C}"/>
    <cellStyle name="Note 3 3 2 24 2 4" xfId="35181" xr:uid="{FDA61C20-AB73-4DBC-A8AF-71BA1A875437}"/>
    <cellStyle name="Note 3 3 2 24 2 5" xfId="35182" xr:uid="{31AA76ED-AA01-4CD5-B6D7-93984DCF7781}"/>
    <cellStyle name="Note 3 3 2 24 2 6" xfId="35183" xr:uid="{5116B7F1-30F5-49A6-9E3A-AC09B21F9AB5}"/>
    <cellStyle name="Note 3 3 2 24 3" xfId="35184" xr:uid="{641D085F-2091-41BE-9193-54A067637465}"/>
    <cellStyle name="Note 3 3 2 24 4" xfId="35185" xr:uid="{26424AF5-4DBF-4D28-AC2C-7AA24B27C119}"/>
    <cellStyle name="Note 3 3 2 24 5" xfId="35186" xr:uid="{97161827-00DE-43C2-867D-C8C3D1F5EE96}"/>
    <cellStyle name="Note 3 3 2 24 6" xfId="35187" xr:uid="{12C53740-0CF4-4D4B-B99F-EB4226475B3E}"/>
    <cellStyle name="Note 3 3 2 24 7" xfId="35188" xr:uid="{F41E2230-5824-458E-BAC5-687BAC2B58E7}"/>
    <cellStyle name="Note 3 3 2 25" xfId="2425" xr:uid="{06DC8FE6-8C84-4EED-82B2-F155E09006E6}"/>
    <cellStyle name="Note 3 3 2 25 2" xfId="12050" xr:uid="{009B20F9-E65E-433B-AC98-264530DC4111}"/>
    <cellStyle name="Note 3 3 2 25 2 2" xfId="35189" xr:uid="{DB15C40A-8CC9-4C61-B4FC-7221D9189AA5}"/>
    <cellStyle name="Note 3 3 2 25 2 3" xfId="35190" xr:uid="{023E0EFE-3EB3-416E-B8CC-C7AD61636508}"/>
    <cellStyle name="Note 3 3 2 25 2 4" xfId="35191" xr:uid="{F499CF0E-064F-41E4-A9AC-7087FAC97EEF}"/>
    <cellStyle name="Note 3 3 2 25 2 5" xfId="35192" xr:uid="{2B69F4F8-7C89-41C9-B814-F8D096629C0F}"/>
    <cellStyle name="Note 3 3 2 25 2 6" xfId="35193" xr:uid="{94FF0B9A-7979-4FC1-9984-7F4C5DB6C17E}"/>
    <cellStyle name="Note 3 3 2 25 3" xfId="35194" xr:uid="{58B57498-1ACF-4DAB-88DC-1CB8C8624616}"/>
    <cellStyle name="Note 3 3 2 25 4" xfId="35195" xr:uid="{D8546A90-5D6F-40B3-85CE-4286CC265A2B}"/>
    <cellStyle name="Note 3 3 2 25 5" xfId="35196" xr:uid="{B9B2DFF0-DA4B-41C1-BEE8-830DBCD2148D}"/>
    <cellStyle name="Note 3 3 2 25 6" xfId="35197" xr:uid="{C2AD05A2-03AA-46C3-94BE-D5C5B013E0F0}"/>
    <cellStyle name="Note 3 3 2 25 7" xfId="35198" xr:uid="{30FB219A-AC52-4D72-98C5-9DA01B1446FA}"/>
    <cellStyle name="Note 3 3 2 26" xfId="2426" xr:uid="{1E9B8844-D83B-41D8-97FC-2658792E4B0E}"/>
    <cellStyle name="Note 3 3 2 26 2" xfId="12133" xr:uid="{2B89715F-93FF-4C68-98FB-996828F905BE}"/>
    <cellStyle name="Note 3 3 2 26 2 2" xfId="35199" xr:uid="{66624267-699A-4C33-8CFA-C75F9BD6FA99}"/>
    <cellStyle name="Note 3 3 2 26 2 3" xfId="35200" xr:uid="{92F200EE-D2FA-4952-A909-1D853F6898A7}"/>
    <cellStyle name="Note 3 3 2 26 2 4" xfId="35201" xr:uid="{7E2588C0-9AE0-4CB1-922A-CA762E1E33F9}"/>
    <cellStyle name="Note 3 3 2 26 2 5" xfId="35202" xr:uid="{AB7E6AA3-5414-41AD-86E1-DDEA39F99538}"/>
    <cellStyle name="Note 3 3 2 26 2 6" xfId="35203" xr:uid="{7F655431-B3AE-4732-AE05-7C9ECF3B4B7A}"/>
    <cellStyle name="Note 3 3 2 26 3" xfId="35204" xr:uid="{25DB3E5B-F6D7-48DD-9579-C6A68918A267}"/>
    <cellStyle name="Note 3 3 2 26 4" xfId="35205" xr:uid="{4F5B6180-DBB1-420D-8AE5-69181ED9C75F}"/>
    <cellStyle name="Note 3 3 2 26 5" xfId="35206" xr:uid="{41D43936-B70F-489D-9552-AFE947ADEF3E}"/>
    <cellStyle name="Note 3 3 2 26 6" xfId="35207" xr:uid="{C2569E02-0897-44AC-9620-693CA31CFC54}"/>
    <cellStyle name="Note 3 3 2 26 7" xfId="35208" xr:uid="{3F697CBA-1B0E-42EC-B4B5-0A7ADDF1C0BA}"/>
    <cellStyle name="Note 3 3 2 27" xfId="2427" xr:uid="{E183CA82-C5BA-44AB-A26F-1494274F6883}"/>
    <cellStyle name="Note 3 3 2 27 2" xfId="12215" xr:uid="{565543FF-6058-456D-A5EB-0925D610680B}"/>
    <cellStyle name="Note 3 3 2 27 2 2" xfId="35209" xr:uid="{BDB18431-D6F2-4F3A-AC4E-C24C745B219F}"/>
    <cellStyle name="Note 3 3 2 27 2 3" xfId="35210" xr:uid="{BF94A423-9C3F-41B9-8F60-16FD0F92BCF3}"/>
    <cellStyle name="Note 3 3 2 27 2 4" xfId="35211" xr:uid="{574F28E9-F89C-4E44-8764-1AFAAD6D0A80}"/>
    <cellStyle name="Note 3 3 2 27 2 5" xfId="35212" xr:uid="{EFAC0990-C170-444A-82F5-36D1C638B872}"/>
    <cellStyle name="Note 3 3 2 27 2 6" xfId="35213" xr:uid="{A16B751A-A6DA-43AC-B756-866E3194E638}"/>
    <cellStyle name="Note 3 3 2 27 3" xfId="35214" xr:uid="{5E0EA129-6B4D-4E36-A307-1143D35F8921}"/>
    <cellStyle name="Note 3 3 2 27 4" xfId="35215" xr:uid="{3A21186C-B764-466B-B85A-862CAE49E6C9}"/>
    <cellStyle name="Note 3 3 2 27 5" xfId="35216" xr:uid="{3F897F00-156C-4BDE-AE98-A2FE1FC5FA74}"/>
    <cellStyle name="Note 3 3 2 27 6" xfId="35217" xr:uid="{78EA712D-D0B5-4D00-85D0-1C74ACA58222}"/>
    <cellStyle name="Note 3 3 2 27 7" xfId="35218" xr:uid="{73BA7616-574F-4BFF-96F6-92269F1F297D}"/>
    <cellStyle name="Note 3 3 2 28" xfId="2428" xr:uid="{4BDDF963-71FA-484C-A7C9-4E57382B313F}"/>
    <cellStyle name="Note 3 3 2 28 2" xfId="12295" xr:uid="{4A218E7D-3F2D-4352-9381-15FA628C0E0D}"/>
    <cellStyle name="Note 3 3 2 28 2 2" xfId="35219" xr:uid="{3B6A6AAF-E78D-413C-91EB-16F83A0A0B7C}"/>
    <cellStyle name="Note 3 3 2 28 2 3" xfId="35220" xr:uid="{55878B4C-BA15-4811-B630-20965EB81B8E}"/>
    <cellStyle name="Note 3 3 2 28 2 4" xfId="35221" xr:uid="{4234A486-1586-4E54-9EB8-0966E330D4CA}"/>
    <cellStyle name="Note 3 3 2 28 2 5" xfId="35222" xr:uid="{B83402B5-6CF2-499E-9483-E4CC84D2E956}"/>
    <cellStyle name="Note 3 3 2 28 2 6" xfId="35223" xr:uid="{A0B05817-EFF9-4A83-955F-1415A694D537}"/>
    <cellStyle name="Note 3 3 2 28 3" xfId="35224" xr:uid="{DF287151-744B-4040-864F-D023AFA43094}"/>
    <cellStyle name="Note 3 3 2 28 4" xfId="35225" xr:uid="{66C5F2EA-34BD-4BA8-852B-F9E9D6DDECF9}"/>
    <cellStyle name="Note 3 3 2 28 5" xfId="35226" xr:uid="{6F046571-A299-4637-855A-0A5804026B94}"/>
    <cellStyle name="Note 3 3 2 28 6" xfId="35227" xr:uid="{34C9F14A-E9CC-4E92-90CB-382CEF7D2FC9}"/>
    <cellStyle name="Note 3 3 2 28 7" xfId="35228" xr:uid="{DE912A74-FE7B-4480-86CD-D4DD62EF25B9}"/>
    <cellStyle name="Note 3 3 2 29" xfId="2429" xr:uid="{4AD62BD5-AC0B-4F16-9F39-AB984D640213}"/>
    <cellStyle name="Note 3 3 2 29 2" xfId="12373" xr:uid="{E40AC787-BE15-4AD7-8A2B-87EE09DA1B01}"/>
    <cellStyle name="Note 3 3 2 29 2 2" xfId="35229" xr:uid="{DE202454-E893-494C-9B4A-9F0980E03568}"/>
    <cellStyle name="Note 3 3 2 29 2 3" xfId="35230" xr:uid="{53DE70EA-F006-4837-961D-0BD93A4811CD}"/>
    <cellStyle name="Note 3 3 2 29 2 4" xfId="35231" xr:uid="{0F70D5BB-C205-44A6-99C9-DB2B298ABDA3}"/>
    <cellStyle name="Note 3 3 2 29 2 5" xfId="35232" xr:uid="{31356FCF-69A1-4FCA-B7B6-BFE878E069C1}"/>
    <cellStyle name="Note 3 3 2 29 2 6" xfId="35233" xr:uid="{37C58AC2-5702-4657-A209-A64C91D21A57}"/>
    <cellStyle name="Note 3 3 2 29 3" xfId="35234" xr:uid="{515E9BCE-DE8E-4E72-9D11-8999510EE01C}"/>
    <cellStyle name="Note 3 3 2 29 4" xfId="35235" xr:uid="{9E093349-A830-459E-AE27-414594BE6FA0}"/>
    <cellStyle name="Note 3 3 2 29 5" xfId="35236" xr:uid="{44C13D66-1F59-4C63-AEE6-095C41D89252}"/>
    <cellStyle name="Note 3 3 2 29 6" xfId="35237" xr:uid="{75C43C6D-ECB5-44FA-8830-DAEB7419DC05}"/>
    <cellStyle name="Note 3 3 2 29 7" xfId="35238" xr:uid="{DDF17D42-EF7C-4F47-A48E-B5AD48C4A05B}"/>
    <cellStyle name="Note 3 3 2 3" xfId="2430" xr:uid="{30D99AC2-5C5D-4F2F-A4B1-81CA7B48A3CD}"/>
    <cellStyle name="Note 3 3 2 3 2" xfId="10143" xr:uid="{7717AD1E-3F77-4FB7-9606-1071BC23BC5A}"/>
    <cellStyle name="Note 3 3 2 3 2 2" xfId="35239" xr:uid="{FB823076-B79B-42B8-AC1A-7EBEE6FAECDF}"/>
    <cellStyle name="Note 3 3 2 3 2 3" xfId="35240" xr:uid="{CCCAE335-AFC9-4E59-A13C-0F0691F314FC}"/>
    <cellStyle name="Note 3 3 2 3 2 4" xfId="35241" xr:uid="{183A89A2-3F82-45A2-A60D-5AA0DB3810C4}"/>
    <cellStyle name="Note 3 3 2 3 2 5" xfId="35242" xr:uid="{00EED268-D4AB-453C-B5ED-25D9C79C33D3}"/>
    <cellStyle name="Note 3 3 2 3 2 6" xfId="35243" xr:uid="{D7D4FD1E-563F-404E-8BBB-2895F0CB2E4E}"/>
    <cellStyle name="Note 3 3 2 3 3" xfId="35244" xr:uid="{EB63A608-7CDE-4588-8297-ECE97D46435A}"/>
    <cellStyle name="Note 3 3 2 3 4" xfId="35245" xr:uid="{23967E32-8479-45E2-A247-6B67A20FE16F}"/>
    <cellStyle name="Note 3 3 2 3 5" xfId="35246" xr:uid="{6947D1BB-A11C-46E4-B879-B34D03CA7282}"/>
    <cellStyle name="Note 3 3 2 3 6" xfId="35247" xr:uid="{C51F6652-22F4-4824-9059-D100CA0DE299}"/>
    <cellStyle name="Note 3 3 2 3 7" xfId="35248" xr:uid="{DBD5539A-DCC5-4E7D-865C-9786FEB49597}"/>
    <cellStyle name="Note 3 3 2 30" xfId="2431" xr:uid="{2F8D3168-7F3F-43AA-B71F-6D7A3800DFC4}"/>
    <cellStyle name="Note 3 3 2 30 2" xfId="12452" xr:uid="{A8F07C62-032A-464A-A5E4-FAC1CB146FF3}"/>
    <cellStyle name="Note 3 3 2 30 2 2" xfId="35249" xr:uid="{C4ECFC3E-E4C5-462B-AA86-8163DA30AC03}"/>
    <cellStyle name="Note 3 3 2 30 2 3" xfId="35250" xr:uid="{464EDD29-DA43-42B1-B11B-D41E67977DB2}"/>
    <cellStyle name="Note 3 3 2 30 2 4" xfId="35251" xr:uid="{F976C216-A552-4C7E-983E-3B366684D38E}"/>
    <cellStyle name="Note 3 3 2 30 2 5" xfId="35252" xr:uid="{E6C74A76-317B-47CD-B86B-077D15ED0F3C}"/>
    <cellStyle name="Note 3 3 2 30 2 6" xfId="35253" xr:uid="{1FF2F25A-DE56-48F6-878D-0F9FAE534F8A}"/>
    <cellStyle name="Note 3 3 2 30 3" xfId="35254" xr:uid="{A0A724A5-FF19-424A-A09B-CDA4FE656871}"/>
    <cellStyle name="Note 3 3 2 30 4" xfId="35255" xr:uid="{0C3645F5-337A-4E74-8FF9-F2FD05B1AE86}"/>
    <cellStyle name="Note 3 3 2 30 5" xfId="35256" xr:uid="{AAA3BA55-0A2C-47E8-AFCA-3D8AAC9EA532}"/>
    <cellStyle name="Note 3 3 2 30 6" xfId="35257" xr:uid="{50E8954E-13D3-46F4-8E36-BACCB904AB3A}"/>
    <cellStyle name="Note 3 3 2 30 7" xfId="35258" xr:uid="{5E5FD16B-D06B-49CC-AE9F-B5050ED4A6F9}"/>
    <cellStyle name="Note 3 3 2 31" xfId="2432" xr:uid="{106B3192-C1E0-4C86-94E2-AC7209A25889}"/>
    <cellStyle name="Note 3 3 2 31 2" xfId="12531" xr:uid="{6AD27D4D-80EA-42D9-BEF0-43C07920BC9D}"/>
    <cellStyle name="Note 3 3 2 31 2 2" xfId="35259" xr:uid="{9EB9B49C-B85B-4590-AA50-8720BB078582}"/>
    <cellStyle name="Note 3 3 2 31 2 3" xfId="35260" xr:uid="{83DFE977-5685-4ACE-A0BA-AAFF5FDF73D9}"/>
    <cellStyle name="Note 3 3 2 31 2 4" xfId="35261" xr:uid="{93B056E1-12EF-4FD5-A21D-933BFB20FA63}"/>
    <cellStyle name="Note 3 3 2 31 2 5" xfId="35262" xr:uid="{8E89823E-104C-4D53-8AEF-F95407ADD2BF}"/>
    <cellStyle name="Note 3 3 2 31 2 6" xfId="35263" xr:uid="{D2016FF0-C7F5-4C94-B03C-D2D98ABE1C00}"/>
    <cellStyle name="Note 3 3 2 31 3" xfId="35264" xr:uid="{D1E26E78-1CFA-46B9-B6C5-026D563BD5B6}"/>
    <cellStyle name="Note 3 3 2 31 4" xfId="35265" xr:uid="{1E8D5886-896C-4DA8-A116-942CEB2C5CB6}"/>
    <cellStyle name="Note 3 3 2 31 5" xfId="35266" xr:uid="{CB19DCEB-491C-4341-BFC3-0347CCC9A214}"/>
    <cellStyle name="Note 3 3 2 31 6" xfId="35267" xr:uid="{9E185C4D-887C-4AFB-A939-3F7DB93D8CCB}"/>
    <cellStyle name="Note 3 3 2 31 7" xfId="35268" xr:uid="{A2B1B09A-AFC4-4CD2-9E71-3875102FE0BA}"/>
    <cellStyle name="Note 3 3 2 32" xfId="2433" xr:uid="{F94938EA-7069-4665-8B07-A8919F65A3A6}"/>
    <cellStyle name="Note 3 3 2 32 2" xfId="12610" xr:uid="{5F038D29-E2BD-4F39-A3DE-F549E7B794FC}"/>
    <cellStyle name="Note 3 3 2 32 2 2" xfId="35269" xr:uid="{DA51FFB0-99E7-4129-B27A-72550895EF30}"/>
    <cellStyle name="Note 3 3 2 32 2 3" xfId="35270" xr:uid="{BDE5C228-58EB-4301-8AE6-ABBA2C6046E8}"/>
    <cellStyle name="Note 3 3 2 32 2 4" xfId="35271" xr:uid="{68988638-BC7A-4698-A5CB-9F7104397C49}"/>
    <cellStyle name="Note 3 3 2 32 2 5" xfId="35272" xr:uid="{B3D48631-FFDE-41EC-94F1-7878036E395F}"/>
    <cellStyle name="Note 3 3 2 32 2 6" xfId="35273" xr:uid="{46229E52-5AC1-4D91-AC50-1269F4F2CCCC}"/>
    <cellStyle name="Note 3 3 2 32 3" xfId="35274" xr:uid="{08C71D01-EA1B-41C4-91C4-7CC57A7E17B2}"/>
    <cellStyle name="Note 3 3 2 32 4" xfId="35275" xr:uid="{B543E4E6-B04D-4C9D-82E4-61E111BE3C4B}"/>
    <cellStyle name="Note 3 3 2 32 5" xfId="35276" xr:uid="{C4F91C3F-E603-4648-B7B3-354871980CBA}"/>
    <cellStyle name="Note 3 3 2 32 6" xfId="35277" xr:uid="{CF32C1B1-ACBF-4B01-A930-428BBEFDF50D}"/>
    <cellStyle name="Note 3 3 2 32 7" xfId="35278" xr:uid="{E864A46D-E65B-43F9-B572-4B0FA85D173A}"/>
    <cellStyle name="Note 3 3 2 33" xfId="2434" xr:uid="{93E751BD-35EA-43FC-AEC5-F5EEBEAFE827}"/>
    <cellStyle name="Note 3 3 2 33 2" xfId="12689" xr:uid="{E3B13EBC-EA63-47E0-87AA-98B06CBAEC4E}"/>
    <cellStyle name="Note 3 3 2 33 2 2" xfId="35279" xr:uid="{46B5B3DE-9155-496C-8C5A-B38700915AD7}"/>
    <cellStyle name="Note 3 3 2 33 2 3" xfId="35280" xr:uid="{E48851EC-9A2B-41F3-94FE-25E8946C5CE1}"/>
    <cellStyle name="Note 3 3 2 33 2 4" xfId="35281" xr:uid="{E53C8848-7915-4DE8-A67E-BE7E1C58B97D}"/>
    <cellStyle name="Note 3 3 2 33 2 5" xfId="35282" xr:uid="{1A0DF986-3578-48B6-B60D-D4A450DAE8C6}"/>
    <cellStyle name="Note 3 3 2 33 2 6" xfId="35283" xr:uid="{53A29374-B44E-46FD-BB5B-0FDB605EE875}"/>
    <cellStyle name="Note 3 3 2 33 3" xfId="35284" xr:uid="{81C1B48C-8363-4ED4-AA42-5FBCE79E2F6D}"/>
    <cellStyle name="Note 3 3 2 33 4" xfId="35285" xr:uid="{688552E2-1432-40AD-B77C-826F64BBAD9D}"/>
    <cellStyle name="Note 3 3 2 33 5" xfId="35286" xr:uid="{35D6B05F-8220-424D-ADF8-DA5557799903}"/>
    <cellStyle name="Note 3 3 2 33 6" xfId="35287" xr:uid="{B19A42BE-E1D4-4346-BAD1-FEE9AE585FE7}"/>
    <cellStyle name="Note 3 3 2 33 7" xfId="35288" xr:uid="{4C8EDB36-206B-4932-BAA7-9D7B74413189}"/>
    <cellStyle name="Note 3 3 2 34" xfId="2435" xr:uid="{BED9921F-F10E-4A66-AEE3-C2003C8610F5}"/>
    <cellStyle name="Note 3 3 2 34 2" xfId="12773" xr:uid="{2639647A-7CE2-4D35-8943-AC2D50F0B589}"/>
    <cellStyle name="Note 3 3 2 34 2 2" xfId="35289" xr:uid="{9D4CA33C-9089-43E9-A76C-65A15C9333B4}"/>
    <cellStyle name="Note 3 3 2 34 2 3" xfId="35290" xr:uid="{46445FFA-E531-446A-B443-3DFEE0CD489F}"/>
    <cellStyle name="Note 3 3 2 34 2 4" xfId="35291" xr:uid="{CC8535A0-66C3-4960-AF34-8FB9BB853C9C}"/>
    <cellStyle name="Note 3 3 2 34 2 5" xfId="35292" xr:uid="{A3CB1409-29C9-402B-A2C9-13E697733684}"/>
    <cellStyle name="Note 3 3 2 34 2 6" xfId="35293" xr:uid="{E1A843E7-0F37-495B-850B-113FD875BCA2}"/>
    <cellStyle name="Note 3 3 2 34 3" xfId="35294" xr:uid="{3CF096E5-173B-4736-9FE8-A5A5127B026D}"/>
    <cellStyle name="Note 3 3 2 34 4" xfId="35295" xr:uid="{2C80CA7F-2A31-44B6-8A63-6148C57BBB2C}"/>
    <cellStyle name="Note 3 3 2 34 5" xfId="35296" xr:uid="{7C2E78EF-157E-4E28-AB39-49135FA6578E}"/>
    <cellStyle name="Note 3 3 2 34 6" xfId="35297" xr:uid="{45C9834B-63F2-4E7A-990D-1DED4E4A56F3}"/>
    <cellStyle name="Note 3 3 2 34 7" xfId="35298" xr:uid="{8397FAE1-1EE1-4457-B2B5-23EB2A0C2805}"/>
    <cellStyle name="Note 3 3 2 35" xfId="8901" xr:uid="{10246F9E-87D8-48FD-871D-1172B64F1AE4}"/>
    <cellStyle name="Note 3 3 2 35 2" xfId="35299" xr:uid="{FE81C230-4805-4E38-ACE6-6FBA510F68F9}"/>
    <cellStyle name="Note 3 3 2 36" xfId="9839" xr:uid="{AA28C3A6-4451-4833-A498-8D0CAEC71A03}"/>
    <cellStyle name="Note 3 3 2 36 2" xfId="35300" xr:uid="{2DB94C20-47C4-42CB-9800-446F50E5E332}"/>
    <cellStyle name="Note 3 3 2 36 3" xfId="35301" xr:uid="{72832A22-FB9C-4E22-A7F9-C8676AA618D3}"/>
    <cellStyle name="Note 3 3 2 36 4" xfId="35302" xr:uid="{F6550133-5D70-4D79-9509-D11F7878A02E}"/>
    <cellStyle name="Note 3 3 2 36 5" xfId="35303" xr:uid="{792534C4-B24D-47D2-A2E1-8DC91AA2418D}"/>
    <cellStyle name="Note 3 3 2 36 6" xfId="35304" xr:uid="{C8F0B1F9-40F1-42D7-8F99-8EDA259A9A4C}"/>
    <cellStyle name="Note 3 3 2 37" xfId="35305" xr:uid="{F9F982E0-0094-4978-BE12-5C037681C111}"/>
    <cellStyle name="Note 3 3 2 38" xfId="35306" xr:uid="{E67C6578-D769-4A91-81D7-714902BB5FFD}"/>
    <cellStyle name="Note 3 3 2 39" xfId="35307" xr:uid="{D4FDA841-08AD-411E-8736-4BA5D17F5C01}"/>
    <cellStyle name="Note 3 3 2 4" xfId="2436" xr:uid="{A9E33650-A2A3-49B2-8927-213538A40FDF}"/>
    <cellStyle name="Note 3 3 2 4 2" xfId="10233" xr:uid="{F198E63A-E25B-4285-883C-6454F0522159}"/>
    <cellStyle name="Note 3 3 2 4 2 2" xfId="35308" xr:uid="{25962B15-6E2A-4E18-A0C8-42BE117E4D01}"/>
    <cellStyle name="Note 3 3 2 4 2 3" xfId="35309" xr:uid="{E18E9B8D-2657-467E-9273-4152AEABE8A3}"/>
    <cellStyle name="Note 3 3 2 4 2 4" xfId="35310" xr:uid="{49162E5C-9A2C-4AF3-AF70-0DA30C2BE775}"/>
    <cellStyle name="Note 3 3 2 4 2 5" xfId="35311" xr:uid="{85273663-C554-42F4-886E-85BB51E99821}"/>
    <cellStyle name="Note 3 3 2 4 2 6" xfId="35312" xr:uid="{9EA9C440-C3EE-4CF8-AF54-EDA362CB6A88}"/>
    <cellStyle name="Note 3 3 2 4 3" xfId="35313" xr:uid="{78CCC596-863D-4813-939B-8184AF1B3D34}"/>
    <cellStyle name="Note 3 3 2 4 4" xfId="35314" xr:uid="{FDC040C8-BC32-4CCE-96A9-7532796EE1EC}"/>
    <cellStyle name="Note 3 3 2 4 5" xfId="35315" xr:uid="{0CA6D1AC-BE64-40F9-91CF-1144FF303B80}"/>
    <cellStyle name="Note 3 3 2 4 6" xfId="35316" xr:uid="{49B484C0-92D1-445E-B2F0-5BBE98D24513}"/>
    <cellStyle name="Note 3 3 2 4 7" xfId="35317" xr:uid="{0C725A45-581F-48FA-86B3-3A2AEA6D26AB}"/>
    <cellStyle name="Note 3 3 2 40" xfId="35318" xr:uid="{25A7CC52-7C5D-4F44-9A87-3A2400C0C51B}"/>
    <cellStyle name="Note 3 3 2 41" xfId="35319" xr:uid="{5F9EE3FE-04CB-43FE-8154-9F4ABE16BDF3}"/>
    <cellStyle name="Note 3 3 2 5" xfId="2437" xr:uid="{909522C3-E2EC-4CFC-8446-B5FED41B2F6F}"/>
    <cellStyle name="Note 3 3 2 5 2" xfId="10319" xr:uid="{AA302706-4DCB-4C3C-A29C-7D39254F4625}"/>
    <cellStyle name="Note 3 3 2 5 2 2" xfId="35320" xr:uid="{AA8D94C3-B9D9-4E44-9103-88016C065C1A}"/>
    <cellStyle name="Note 3 3 2 5 2 3" xfId="35321" xr:uid="{4A884A97-338A-4853-9A0B-8A6FE0DF0BC9}"/>
    <cellStyle name="Note 3 3 2 5 2 4" xfId="35322" xr:uid="{32269FCE-3D04-4A87-B1C9-8805DA59B3EE}"/>
    <cellStyle name="Note 3 3 2 5 2 5" xfId="35323" xr:uid="{BF485297-57D5-48F2-ACF9-634C39E95C46}"/>
    <cellStyle name="Note 3 3 2 5 2 6" xfId="35324" xr:uid="{22191855-AD76-4E1B-A74F-16901E614C64}"/>
    <cellStyle name="Note 3 3 2 5 3" xfId="35325" xr:uid="{144F64CD-CAAE-4140-ABC8-3F6764B6F416}"/>
    <cellStyle name="Note 3 3 2 5 4" xfId="35326" xr:uid="{11B6D6EC-BD4C-44BE-9FBA-4F09559E9798}"/>
    <cellStyle name="Note 3 3 2 5 5" xfId="35327" xr:uid="{A8A40589-1380-499E-9F79-3F075995545B}"/>
    <cellStyle name="Note 3 3 2 5 6" xfId="35328" xr:uid="{B1E676AB-BB2B-4506-B62E-C92145C5D37D}"/>
    <cellStyle name="Note 3 3 2 5 7" xfId="35329" xr:uid="{397F9C27-92D7-4AED-A996-29CF4905347C}"/>
    <cellStyle name="Note 3 3 2 6" xfId="2438" xr:uid="{7C155E93-ABB8-4DB1-B121-27ED05526BF0}"/>
    <cellStyle name="Note 3 3 2 6 2" xfId="10407" xr:uid="{3ED0AD79-65ED-4F87-B887-E6F539914936}"/>
    <cellStyle name="Note 3 3 2 6 2 2" xfId="35330" xr:uid="{D7977560-7173-4A3C-886E-C7E5C7ABD809}"/>
    <cellStyle name="Note 3 3 2 6 2 3" xfId="35331" xr:uid="{7543EA4C-8A03-4733-B503-341D670F82F6}"/>
    <cellStyle name="Note 3 3 2 6 2 4" xfId="35332" xr:uid="{A34CE1E6-7D57-4263-BC5B-7F7C051D9A3A}"/>
    <cellStyle name="Note 3 3 2 6 2 5" xfId="35333" xr:uid="{08EC14A4-9270-40CD-8562-AE693F380411}"/>
    <cellStyle name="Note 3 3 2 6 2 6" xfId="35334" xr:uid="{32B10C0B-D920-4656-B145-BA1D8A71177D}"/>
    <cellStyle name="Note 3 3 2 6 3" xfId="35335" xr:uid="{6C9C6C92-4B86-4B98-97E9-D15D3EBA9752}"/>
    <cellStyle name="Note 3 3 2 6 4" xfId="35336" xr:uid="{3624626B-D63B-4DAF-8CB0-DAD1FA89B48B}"/>
    <cellStyle name="Note 3 3 2 6 5" xfId="35337" xr:uid="{BFBCCF31-5885-4F0B-9F8B-30791D868D19}"/>
    <cellStyle name="Note 3 3 2 6 6" xfId="35338" xr:uid="{78390308-6FA7-436E-9F29-B7D159862A23}"/>
    <cellStyle name="Note 3 3 2 6 7" xfId="35339" xr:uid="{976662F3-31E8-4C87-9CE2-83123D4C8A4C}"/>
    <cellStyle name="Note 3 3 2 7" xfId="2439" xr:uid="{5A15930A-8239-48A7-8229-4FA3BF841A74}"/>
    <cellStyle name="Note 3 3 2 7 2" xfId="10494" xr:uid="{E79EE91D-0C8B-48E4-9D0D-CAA6A2298509}"/>
    <cellStyle name="Note 3 3 2 7 2 2" xfId="35340" xr:uid="{69C66D7E-87A2-4143-873E-259A24CC134A}"/>
    <cellStyle name="Note 3 3 2 7 2 3" xfId="35341" xr:uid="{928379D8-5E06-44B4-996B-740090C23E90}"/>
    <cellStyle name="Note 3 3 2 7 2 4" xfId="35342" xr:uid="{191FF009-6A24-47A0-97BE-0C40E6C80971}"/>
    <cellStyle name="Note 3 3 2 7 2 5" xfId="35343" xr:uid="{51C91D80-4BD3-4A96-9DCC-687C9D1FFEEB}"/>
    <cellStyle name="Note 3 3 2 7 2 6" xfId="35344" xr:uid="{C01B638C-0B1F-40D5-B7E7-498FD0E6CBFF}"/>
    <cellStyle name="Note 3 3 2 7 3" xfId="35345" xr:uid="{4B53CC6B-7C6A-4F8F-9EA2-D2C6F910DFDC}"/>
    <cellStyle name="Note 3 3 2 7 4" xfId="35346" xr:uid="{CECC8839-A6AF-4E63-B3E9-7DC12A12172D}"/>
    <cellStyle name="Note 3 3 2 7 5" xfId="35347" xr:uid="{EEF6C466-BFF8-4B14-8E07-1644FFA48DCD}"/>
    <cellStyle name="Note 3 3 2 7 6" xfId="35348" xr:uid="{D794E10A-3690-4D55-8B3F-3F1948D50CB8}"/>
    <cellStyle name="Note 3 3 2 7 7" xfId="35349" xr:uid="{786F80B5-C3A1-4A21-B907-6EBBE543DD70}"/>
    <cellStyle name="Note 3 3 2 8" xfId="2440" xr:uid="{8FC7DB48-4DEC-426C-894D-9374F447D5E4}"/>
    <cellStyle name="Note 3 3 2 8 2" xfId="10582" xr:uid="{E58A4D70-47A7-42E0-B361-9CE5C816BA4E}"/>
    <cellStyle name="Note 3 3 2 8 2 2" xfId="35350" xr:uid="{B7A52AB0-7E1D-4DE4-A621-5374435CC4AE}"/>
    <cellStyle name="Note 3 3 2 8 2 3" xfId="35351" xr:uid="{FFD3D74C-5B38-49E4-B37C-B8F80DF97C15}"/>
    <cellStyle name="Note 3 3 2 8 2 4" xfId="35352" xr:uid="{D1911864-3095-4E38-990D-51ADAC6A002F}"/>
    <cellStyle name="Note 3 3 2 8 2 5" xfId="35353" xr:uid="{333757E4-F75E-45B3-B0BE-0C65B564595E}"/>
    <cellStyle name="Note 3 3 2 8 2 6" xfId="35354" xr:uid="{E03220F2-4015-4867-B605-61153B8BACC9}"/>
    <cellStyle name="Note 3 3 2 8 3" xfId="35355" xr:uid="{96892BD9-EC73-4263-A82B-5556C74CC228}"/>
    <cellStyle name="Note 3 3 2 8 4" xfId="35356" xr:uid="{6BA89967-5C6F-40A7-BC49-F3AFC795CC30}"/>
    <cellStyle name="Note 3 3 2 8 5" xfId="35357" xr:uid="{B2DC9175-5B83-4E1E-B56B-D596F69E7606}"/>
    <cellStyle name="Note 3 3 2 8 6" xfId="35358" xr:uid="{CC45EE55-5F9F-4390-9A99-DD64EDD99DA8}"/>
    <cellStyle name="Note 3 3 2 8 7" xfId="35359" xr:uid="{8D6DC58B-53E8-4409-B7E0-A64905BDCA10}"/>
    <cellStyle name="Note 3 3 2 9" xfId="2441" xr:uid="{623D9DA9-ADDF-44AF-8271-500BD4204F47}"/>
    <cellStyle name="Note 3 3 2 9 2" xfId="10664" xr:uid="{C6383E37-1E18-4306-BA0E-9537182671EF}"/>
    <cellStyle name="Note 3 3 2 9 2 2" xfId="35360" xr:uid="{8104A847-A775-4831-944B-9B85932F34BA}"/>
    <cellStyle name="Note 3 3 2 9 2 3" xfId="35361" xr:uid="{C4ADF628-547C-43A7-B55B-91B10A3BD3C5}"/>
    <cellStyle name="Note 3 3 2 9 2 4" xfId="35362" xr:uid="{972133A9-FAF3-46D1-9B89-07FC61B5C355}"/>
    <cellStyle name="Note 3 3 2 9 2 5" xfId="35363" xr:uid="{F8EEAF73-0588-4035-B8BB-0C9BB3B584D2}"/>
    <cellStyle name="Note 3 3 2 9 2 6" xfId="35364" xr:uid="{B35904F2-B45D-454B-98C8-D9F9191F3E22}"/>
    <cellStyle name="Note 3 3 2 9 3" xfId="35365" xr:uid="{2B1D0E46-9DC1-438F-AE1B-278ECDCAE087}"/>
    <cellStyle name="Note 3 3 2 9 4" xfId="35366" xr:uid="{97A0E9C8-AA97-447F-8449-0895318C12CA}"/>
    <cellStyle name="Note 3 3 2 9 5" xfId="35367" xr:uid="{AA8823DA-0657-435B-B974-1DB34282014F}"/>
    <cellStyle name="Note 3 3 2 9 6" xfId="35368" xr:uid="{BE26BF24-7F3F-4AA0-A9CA-686EA5502866}"/>
    <cellStyle name="Note 3 3 2 9 7" xfId="35369" xr:uid="{71782344-1D6B-4A4C-A052-DC8D50CEE255}"/>
    <cellStyle name="Note 3 3 20" xfId="2442" xr:uid="{9D93ED7C-D740-4EF5-AFCD-AF695E7C376B}"/>
    <cellStyle name="Note 3 3 20 2" xfId="11511" xr:uid="{9B6056BC-F9DB-41B5-A7AA-E4CF2D44C38F}"/>
    <cellStyle name="Note 3 3 20 2 2" xfId="35370" xr:uid="{98122660-67D0-450B-B1F4-44122905BB61}"/>
    <cellStyle name="Note 3 3 20 2 3" xfId="35371" xr:uid="{0C400C24-EAA6-4FB6-9085-A08A45CBF198}"/>
    <cellStyle name="Note 3 3 20 2 4" xfId="35372" xr:uid="{F3A21755-144E-48A2-94C1-76843DAE93E0}"/>
    <cellStyle name="Note 3 3 20 2 5" xfId="35373" xr:uid="{567EA87C-D689-4058-9890-538035170857}"/>
    <cellStyle name="Note 3 3 20 2 6" xfId="35374" xr:uid="{D0B66792-563C-4A03-9F41-D8913A5C9777}"/>
    <cellStyle name="Note 3 3 20 3" xfId="35375" xr:uid="{D52E6A17-52E2-4B50-A018-40C852AA9B60}"/>
    <cellStyle name="Note 3 3 20 4" xfId="35376" xr:uid="{2401271D-28AA-4795-A5C5-3B64ABA68CC5}"/>
    <cellStyle name="Note 3 3 20 5" xfId="35377" xr:uid="{94E3CE58-28FD-467F-9AC5-D407240D03BC}"/>
    <cellStyle name="Note 3 3 20 6" xfId="35378" xr:uid="{1D88C9B7-81AB-43D3-945F-A8083A448DBE}"/>
    <cellStyle name="Note 3 3 20 7" xfId="35379" xr:uid="{5A1E00EB-3E7B-4B76-A3E0-DC59D0FD8B1C}"/>
    <cellStyle name="Note 3 3 21" xfId="2443" xr:uid="{B199DF0F-6EBA-4515-ABB9-B80C703C0E79}"/>
    <cellStyle name="Note 3 3 21 2" xfId="11599" xr:uid="{623C2BD6-ACF8-4EDD-A15D-39F567E90462}"/>
    <cellStyle name="Note 3 3 21 2 2" xfId="35380" xr:uid="{25CCF9A3-876F-4467-877D-667E4CF0F785}"/>
    <cellStyle name="Note 3 3 21 2 3" xfId="35381" xr:uid="{DB448208-1A80-4779-8847-5AA44901A87C}"/>
    <cellStyle name="Note 3 3 21 2 4" xfId="35382" xr:uid="{61308B9C-ADE0-44D5-B732-CB2EC3EDAA6B}"/>
    <cellStyle name="Note 3 3 21 2 5" xfId="35383" xr:uid="{476A22CF-36A4-4EB2-BFAF-DEF9AFD81393}"/>
    <cellStyle name="Note 3 3 21 2 6" xfId="35384" xr:uid="{98100088-C387-4438-9430-06F9FD69180B}"/>
    <cellStyle name="Note 3 3 21 3" xfId="35385" xr:uid="{539262C6-D162-4120-AC19-62BCA4C1D14D}"/>
    <cellStyle name="Note 3 3 21 4" xfId="35386" xr:uid="{DC3C1124-BEF6-49FA-ABD3-F7A7175E2E2F}"/>
    <cellStyle name="Note 3 3 21 5" xfId="35387" xr:uid="{D8F9C524-77FE-4D1A-8BFE-5ACC65693766}"/>
    <cellStyle name="Note 3 3 21 6" xfId="35388" xr:uid="{0C9670D4-B2CB-4091-ABDB-14B92C198CE9}"/>
    <cellStyle name="Note 3 3 21 7" xfId="35389" xr:uid="{56200FC4-C619-490D-906A-6845253499D1}"/>
    <cellStyle name="Note 3 3 22" xfId="2444" xr:uid="{0A7BE2EA-37F6-4EE2-A525-4BC1F89E4441}"/>
    <cellStyle name="Note 3 3 22 2" xfId="11684" xr:uid="{65402F29-C664-4449-8DE7-DF1682D7BBE2}"/>
    <cellStyle name="Note 3 3 22 2 2" xfId="35390" xr:uid="{170F9055-06C1-4B19-A3C3-F51C0B508519}"/>
    <cellStyle name="Note 3 3 22 2 3" xfId="35391" xr:uid="{E4749D51-19B4-4CE5-BF1C-06AE64F111FB}"/>
    <cellStyle name="Note 3 3 22 2 4" xfId="35392" xr:uid="{61D3853D-4301-471A-8746-2414867997DC}"/>
    <cellStyle name="Note 3 3 22 2 5" xfId="35393" xr:uid="{7D6AFB17-237A-45DF-8BCF-6B1650391851}"/>
    <cellStyle name="Note 3 3 22 2 6" xfId="35394" xr:uid="{B81DC165-CF65-4B18-A548-95A021C636B1}"/>
    <cellStyle name="Note 3 3 22 3" xfId="35395" xr:uid="{60594A85-51CF-4768-8BA1-3FB915F82109}"/>
    <cellStyle name="Note 3 3 22 4" xfId="35396" xr:uid="{56C05CC9-2C75-4C8F-AFC5-6A2813230332}"/>
    <cellStyle name="Note 3 3 22 5" xfId="35397" xr:uid="{5F39E854-6D42-476A-8D56-E2D3E19EA402}"/>
    <cellStyle name="Note 3 3 22 6" xfId="35398" xr:uid="{699E454F-4FDE-40E5-8808-B2AD5164C8A4}"/>
    <cellStyle name="Note 3 3 22 7" xfId="35399" xr:uid="{62002331-E73A-4524-BE2A-11BC80A4599B}"/>
    <cellStyle name="Note 3 3 23" xfId="2445" xr:uid="{E5462211-6743-40F9-99C0-2DBC92713023}"/>
    <cellStyle name="Note 3 3 23 2" xfId="11767" xr:uid="{3B583F02-AF38-4C4A-9BE3-771152994241}"/>
    <cellStyle name="Note 3 3 23 2 2" xfId="35400" xr:uid="{223344CD-E021-4DA6-B1A9-A44A0CB589D8}"/>
    <cellStyle name="Note 3 3 23 2 3" xfId="35401" xr:uid="{C0C02826-E33A-42B9-9BC1-ABA2B688524F}"/>
    <cellStyle name="Note 3 3 23 2 4" xfId="35402" xr:uid="{13A4081E-D5DE-4CA6-9DDE-BDB88353E78D}"/>
    <cellStyle name="Note 3 3 23 2 5" xfId="35403" xr:uid="{E00BC855-6E86-41B0-85C3-02A47DFF0E74}"/>
    <cellStyle name="Note 3 3 23 2 6" xfId="35404" xr:uid="{EF8042A1-6E48-4D88-B8F9-041696DC8E58}"/>
    <cellStyle name="Note 3 3 23 3" xfId="35405" xr:uid="{ACA0D4A0-5F4A-42AA-BE60-CC21F8F185C8}"/>
    <cellStyle name="Note 3 3 23 4" xfId="35406" xr:uid="{B325F1CD-7A64-4B83-B66A-C32329F01C4A}"/>
    <cellStyle name="Note 3 3 23 5" xfId="35407" xr:uid="{FE196C42-0533-4147-A280-B3B271486B44}"/>
    <cellStyle name="Note 3 3 23 6" xfId="35408" xr:uid="{2ECDD003-5402-42D3-BA02-B9B4DF9DBC03}"/>
    <cellStyle name="Note 3 3 23 7" xfId="35409" xr:uid="{8462F620-9736-4449-A5C3-73EC00349461}"/>
    <cellStyle name="Note 3 3 24" xfId="2446" xr:uid="{8613EFC6-4ACB-4505-B8B0-A98902C8EFB3}"/>
    <cellStyle name="Note 3 3 24 2" xfId="11849" xr:uid="{3D17D9AA-893C-4FA4-9F38-C7313A30A4EF}"/>
    <cellStyle name="Note 3 3 24 2 2" xfId="35410" xr:uid="{B2C8C792-48BF-44CE-8F39-CE341DA44F98}"/>
    <cellStyle name="Note 3 3 24 2 3" xfId="35411" xr:uid="{1E061BD3-03FD-4D22-81ED-380EAF521357}"/>
    <cellStyle name="Note 3 3 24 2 4" xfId="35412" xr:uid="{C05FB69C-D7AE-4522-991E-CEE6F47DBAE7}"/>
    <cellStyle name="Note 3 3 24 2 5" xfId="35413" xr:uid="{CD9061D6-5325-438B-821D-7AB1D9C67A05}"/>
    <cellStyle name="Note 3 3 24 2 6" xfId="35414" xr:uid="{FFA3303E-B268-431A-8AD9-8CB4EB6F67D9}"/>
    <cellStyle name="Note 3 3 24 3" xfId="35415" xr:uid="{C864CED7-BA81-402F-B48F-284943477FE9}"/>
    <cellStyle name="Note 3 3 24 4" xfId="35416" xr:uid="{3BB09A11-AB10-48AF-A909-F3F5173AF7CA}"/>
    <cellStyle name="Note 3 3 24 5" xfId="35417" xr:uid="{EFEDBC99-74D1-4333-8474-FDBE4EABE3F2}"/>
    <cellStyle name="Note 3 3 24 6" xfId="35418" xr:uid="{30D97FB3-E2C7-480B-9DFD-D1335828F4F8}"/>
    <cellStyle name="Note 3 3 24 7" xfId="35419" xr:uid="{936242CA-30BD-4E81-9FF1-42451C7E78B1}"/>
    <cellStyle name="Note 3 3 25" xfId="2447" xr:uid="{34626C35-38D0-4654-BFE9-75FAEB08B5FD}"/>
    <cellStyle name="Note 3 3 25 2" xfId="11933" xr:uid="{3A509E00-FF28-447D-B537-03049728D12C}"/>
    <cellStyle name="Note 3 3 25 2 2" xfId="35420" xr:uid="{289707C8-9F1F-4A0E-B6DD-17A7A31F6125}"/>
    <cellStyle name="Note 3 3 25 2 3" xfId="35421" xr:uid="{EEBD47B6-48B8-40D2-B27D-4A935F2ED903}"/>
    <cellStyle name="Note 3 3 25 2 4" xfId="35422" xr:uid="{26C0064C-362D-46A3-95FE-B0910BC2ADE8}"/>
    <cellStyle name="Note 3 3 25 2 5" xfId="35423" xr:uid="{8F8872B6-28AD-4E6D-B99B-654C11C3BD41}"/>
    <cellStyle name="Note 3 3 25 2 6" xfId="35424" xr:uid="{981409DF-5209-4F5E-B94F-8B1DD316FA80}"/>
    <cellStyle name="Note 3 3 25 3" xfId="35425" xr:uid="{4EE36F8A-FE63-4776-A4F2-47A01F7B4D47}"/>
    <cellStyle name="Note 3 3 25 4" xfId="35426" xr:uid="{874009F6-A3A0-44D8-85E9-916D30C425F1}"/>
    <cellStyle name="Note 3 3 25 5" xfId="35427" xr:uid="{3394A962-3312-4B8E-8CC5-58911EBB4A4B}"/>
    <cellStyle name="Note 3 3 25 6" xfId="35428" xr:uid="{5AAE3A90-A82E-4648-9C6A-9BDCC42C50E9}"/>
    <cellStyle name="Note 3 3 25 7" xfId="35429" xr:uid="{D12F8961-D6F2-4B4F-9A98-0FAFC103C2D8}"/>
    <cellStyle name="Note 3 3 26" xfId="2448" xr:uid="{C577CED3-1913-4184-ABB6-4FAB69C3EC89}"/>
    <cellStyle name="Note 3 3 26 2" xfId="12017" xr:uid="{7D87AB55-5399-4007-9E2A-7409A8F9D255}"/>
    <cellStyle name="Note 3 3 26 2 2" xfId="35430" xr:uid="{688DF460-ADA1-4884-8B63-932EBD8986B8}"/>
    <cellStyle name="Note 3 3 26 2 3" xfId="35431" xr:uid="{DDBD8322-A388-441B-A4D0-5CC160EA5FBB}"/>
    <cellStyle name="Note 3 3 26 2 4" xfId="35432" xr:uid="{C47D600F-EBC7-4E95-BD16-BFFDE8FCCB0C}"/>
    <cellStyle name="Note 3 3 26 2 5" xfId="35433" xr:uid="{BE546ECC-0627-47B4-B61D-FC31F078BF18}"/>
    <cellStyle name="Note 3 3 26 2 6" xfId="35434" xr:uid="{47FD4EE1-8187-422F-AEBF-49B694CADC91}"/>
    <cellStyle name="Note 3 3 26 3" xfId="35435" xr:uid="{C9547AD9-EA71-4FEF-9058-81A0E884E0DF}"/>
    <cellStyle name="Note 3 3 26 4" xfId="35436" xr:uid="{159FA0A3-C22C-43D2-914F-02C46E754438}"/>
    <cellStyle name="Note 3 3 26 5" xfId="35437" xr:uid="{CE1D71CA-F0EF-407A-9770-8EE98E444C50}"/>
    <cellStyle name="Note 3 3 26 6" xfId="35438" xr:uid="{81B25CCE-C746-4B9F-BB51-D784E550BFFA}"/>
    <cellStyle name="Note 3 3 26 7" xfId="35439" xr:uid="{6E458213-DF97-4F55-A53B-696A048C01C2}"/>
    <cellStyle name="Note 3 3 27" xfId="2449" xr:uid="{8B839C00-3D0D-4495-9667-280231F813D1}"/>
    <cellStyle name="Note 3 3 27 2" xfId="12100" xr:uid="{FCC02656-18AE-4045-9632-3D92D8729EA1}"/>
    <cellStyle name="Note 3 3 27 2 2" xfId="35440" xr:uid="{C44CEA3E-D787-4366-BCC2-F769FBECADF5}"/>
    <cellStyle name="Note 3 3 27 2 3" xfId="35441" xr:uid="{0D5BCEB1-6D49-48DF-B69B-F90927DFAC17}"/>
    <cellStyle name="Note 3 3 27 2 4" xfId="35442" xr:uid="{54E2B573-7513-46E9-A78A-382A4F72392D}"/>
    <cellStyle name="Note 3 3 27 2 5" xfId="35443" xr:uid="{FD507ECF-159B-43D5-A853-687BCBFD77FE}"/>
    <cellStyle name="Note 3 3 27 2 6" xfId="35444" xr:uid="{7F8BADB4-FBB2-4CA0-A2BC-7E43ACECCB0D}"/>
    <cellStyle name="Note 3 3 27 3" xfId="35445" xr:uid="{9BD6B8A0-626B-40EB-8B14-C1D001095ABF}"/>
    <cellStyle name="Note 3 3 27 4" xfId="35446" xr:uid="{F7F8F3E5-BDD9-4452-B8A7-E79A5269D1E2}"/>
    <cellStyle name="Note 3 3 27 5" xfId="35447" xr:uid="{3B973D52-00B5-483E-9D1C-7EDA296C8448}"/>
    <cellStyle name="Note 3 3 27 6" xfId="35448" xr:uid="{22FA44F5-3EE1-4C68-AB3B-5130EE1DDB94}"/>
    <cellStyle name="Note 3 3 27 7" xfId="35449" xr:uid="{7B71D626-9AFE-42BE-A44D-46144E053FD7}"/>
    <cellStyle name="Note 3 3 28" xfId="2450" xr:uid="{32728D30-EC3F-4320-A48E-42F8FC87D7A0}"/>
    <cellStyle name="Note 3 3 28 2" xfId="12182" xr:uid="{4C5499FD-D129-4924-BD79-A19657B58D3A}"/>
    <cellStyle name="Note 3 3 28 2 2" xfId="35450" xr:uid="{7A18EA29-09DA-42BA-9B26-259575F19FEB}"/>
    <cellStyle name="Note 3 3 28 2 3" xfId="35451" xr:uid="{718D22A6-90E8-4329-A38A-C5857AB63490}"/>
    <cellStyle name="Note 3 3 28 2 4" xfId="35452" xr:uid="{456FD827-5CE9-4911-A8E2-1131313E6EBF}"/>
    <cellStyle name="Note 3 3 28 2 5" xfId="35453" xr:uid="{69F83AEC-8EB3-4150-A08D-8318060BA567}"/>
    <cellStyle name="Note 3 3 28 2 6" xfId="35454" xr:uid="{92EF6D09-EF86-426E-BC53-8E6FA80D7465}"/>
    <cellStyle name="Note 3 3 28 3" xfId="35455" xr:uid="{0C8E2753-A5F3-4E7B-A769-A12843106000}"/>
    <cellStyle name="Note 3 3 28 4" xfId="35456" xr:uid="{AD19FCE6-4208-4E51-AD98-8E8C035458A2}"/>
    <cellStyle name="Note 3 3 28 5" xfId="35457" xr:uid="{0499D544-C11B-4B47-8A2F-3279EDBD6681}"/>
    <cellStyle name="Note 3 3 28 6" xfId="35458" xr:uid="{53E3DC31-2F98-40CA-A5DA-BAB481C110D4}"/>
    <cellStyle name="Note 3 3 28 7" xfId="35459" xr:uid="{4931BB68-CCF7-434A-8C36-11BC3A9EF1F6}"/>
    <cellStyle name="Note 3 3 29" xfId="2451" xr:uid="{590521B7-E89A-4A54-8D61-B72650E4548E}"/>
    <cellStyle name="Note 3 3 29 2" xfId="12262" xr:uid="{ED150AF5-B81A-45B7-9E40-050F089B31AC}"/>
    <cellStyle name="Note 3 3 29 2 2" xfId="35460" xr:uid="{879B0250-6C40-4BBE-886D-F3C7013EB967}"/>
    <cellStyle name="Note 3 3 29 2 3" xfId="35461" xr:uid="{42610237-73AF-455A-9D67-8B620BE732CF}"/>
    <cellStyle name="Note 3 3 29 2 4" xfId="35462" xr:uid="{51152497-7300-46A2-BCF9-750574301BB3}"/>
    <cellStyle name="Note 3 3 29 2 5" xfId="35463" xr:uid="{5A01CF4E-C935-4D51-816D-409C2E651AAB}"/>
    <cellStyle name="Note 3 3 29 2 6" xfId="35464" xr:uid="{1745A920-47AF-445E-B49C-A16F9C325F93}"/>
    <cellStyle name="Note 3 3 29 3" xfId="35465" xr:uid="{734AF86C-1CD9-442A-8FF2-8BCDE91461B7}"/>
    <cellStyle name="Note 3 3 29 4" xfId="35466" xr:uid="{7782FCD9-3171-4790-B069-7CC3942A4AB1}"/>
    <cellStyle name="Note 3 3 29 5" xfId="35467" xr:uid="{F66D0498-D85E-42D7-AE87-90517D7D8FDA}"/>
    <cellStyle name="Note 3 3 29 6" xfId="35468" xr:uid="{7F961C7A-8A06-4300-BD20-C775CE126A43}"/>
    <cellStyle name="Note 3 3 29 7" xfId="35469" xr:uid="{281888BA-3527-4603-8FC7-19663F2F7D16}"/>
    <cellStyle name="Note 3 3 3" xfId="2452" xr:uid="{BDC657D0-0290-4395-8768-519A943597AB}"/>
    <cellStyle name="Note 3 3 3 2" xfId="8902" xr:uid="{F32B995B-8E30-4325-8357-C5F98E25F5ED}"/>
    <cellStyle name="Note 3 3 3 2 2" xfId="35470" xr:uid="{00790E69-23D9-483F-B24A-2C316DACE5A2}"/>
    <cellStyle name="Note 3 3 3 3" xfId="10018" xr:uid="{7B216E26-F8C1-471F-A66C-49F9802659E5}"/>
    <cellStyle name="Note 3 3 3 3 2" xfId="35471" xr:uid="{409FD6BA-B1CD-4F3A-95EE-D812EE0372E2}"/>
    <cellStyle name="Note 3 3 3 3 3" xfId="35472" xr:uid="{FC2206B1-B554-4FE2-B0DD-20131469105D}"/>
    <cellStyle name="Note 3 3 3 3 4" xfId="35473" xr:uid="{F5BCFD2F-6F11-4699-BD0F-74AA1FD8D21F}"/>
    <cellStyle name="Note 3 3 3 3 5" xfId="35474" xr:uid="{062BEE55-03A0-4788-931A-6C96A02296B4}"/>
    <cellStyle name="Note 3 3 3 3 6" xfId="35475" xr:uid="{96C0EE76-900A-4835-AA15-AE06E44AB112}"/>
    <cellStyle name="Note 3 3 3 4" xfId="35476" xr:uid="{A2F79939-A1B6-4986-8B23-51B88936C350}"/>
    <cellStyle name="Note 3 3 3 5" xfId="35477" xr:uid="{2AF1D786-74C6-4896-8930-067D6B9330D2}"/>
    <cellStyle name="Note 3 3 3 6" xfId="35478" xr:uid="{13C57E9C-4F9C-48E5-A050-E681C5E7A539}"/>
    <cellStyle name="Note 3 3 3 7" xfId="35479" xr:uid="{52368C12-3581-41DD-BEB7-3925681C11D8}"/>
    <cellStyle name="Note 3 3 3 8" xfId="35480" xr:uid="{41C10446-40A0-4436-B84E-011270FDADF3}"/>
    <cellStyle name="Note 3 3 30" xfId="2453" xr:uid="{1C4D15B0-1C61-44EF-9E3F-5C5DF274972C}"/>
    <cellStyle name="Note 3 3 30 2" xfId="12340" xr:uid="{2E8E1270-F4E9-440C-A41B-2BD8360FC183}"/>
    <cellStyle name="Note 3 3 30 2 2" xfId="35481" xr:uid="{E087DD16-1FD2-457C-AF3F-0A5FD9A4ECFE}"/>
    <cellStyle name="Note 3 3 30 2 3" xfId="35482" xr:uid="{4D5EDFE2-453C-4185-ABFC-ACD61EAE8503}"/>
    <cellStyle name="Note 3 3 30 2 4" xfId="35483" xr:uid="{8FB1D104-DC8B-4143-82F0-AB71D48E644C}"/>
    <cellStyle name="Note 3 3 30 2 5" xfId="35484" xr:uid="{11C1FD3A-CDCA-4ADF-89B3-816B361DCCF8}"/>
    <cellStyle name="Note 3 3 30 2 6" xfId="35485" xr:uid="{C1210EB3-7F0B-4491-B417-60A3716962DF}"/>
    <cellStyle name="Note 3 3 30 3" xfId="35486" xr:uid="{33EDDF2A-34AB-43B4-9627-27274699290A}"/>
    <cellStyle name="Note 3 3 30 4" xfId="35487" xr:uid="{1DFDFE52-6047-4102-AFA7-A5EFA8360994}"/>
    <cellStyle name="Note 3 3 30 5" xfId="35488" xr:uid="{3A9B32D4-F2E7-45F4-B42C-854C90C621FC}"/>
    <cellStyle name="Note 3 3 30 6" xfId="35489" xr:uid="{211C7B48-2A9B-498B-BC10-79B96443BFAC}"/>
    <cellStyle name="Note 3 3 30 7" xfId="35490" xr:uid="{F1B103E2-633B-4D2B-B905-F7BB8224FB6D}"/>
    <cellStyle name="Note 3 3 31" xfId="2454" xr:uid="{DD535599-224E-4139-B3C6-0301B1EEE759}"/>
    <cellStyle name="Note 3 3 31 2" xfId="12419" xr:uid="{034A9CFA-1489-41AB-9C16-4D6E47E75AC6}"/>
    <cellStyle name="Note 3 3 31 2 2" xfId="35491" xr:uid="{E31F9461-C9BB-44D3-B8CE-01492B74FAD6}"/>
    <cellStyle name="Note 3 3 31 2 3" xfId="35492" xr:uid="{3060E966-9582-4E3C-B1F6-E19C1F00E630}"/>
    <cellStyle name="Note 3 3 31 2 4" xfId="35493" xr:uid="{0637E419-E713-46F7-805F-62132E24B081}"/>
    <cellStyle name="Note 3 3 31 2 5" xfId="35494" xr:uid="{B823E12E-8C52-4FAB-A797-C6459D47532D}"/>
    <cellStyle name="Note 3 3 31 2 6" xfId="35495" xr:uid="{643538D8-6A1A-46BA-AA35-2AD3A02F9FDF}"/>
    <cellStyle name="Note 3 3 31 3" xfId="35496" xr:uid="{AB389686-AA2C-4DAC-8F07-FB5B345237AF}"/>
    <cellStyle name="Note 3 3 31 4" xfId="35497" xr:uid="{CC9F7A72-F83C-4DC9-9235-AC0BD5D13E44}"/>
    <cellStyle name="Note 3 3 31 5" xfId="35498" xr:uid="{DB746D43-6D81-41D7-8CBD-4762CD586920}"/>
    <cellStyle name="Note 3 3 31 6" xfId="35499" xr:uid="{6B983027-63D5-495A-92AC-38EB9E1F5246}"/>
    <cellStyle name="Note 3 3 31 7" xfId="35500" xr:uid="{4655413A-74B5-49ED-AEF9-37E1F1E434E4}"/>
    <cellStyle name="Note 3 3 32" xfId="2455" xr:uid="{747B47AD-834C-4E51-90B0-98EAC817DE58}"/>
    <cellStyle name="Note 3 3 32 2" xfId="12498" xr:uid="{74F680C7-94A3-46BC-A733-456C4448F775}"/>
    <cellStyle name="Note 3 3 32 2 2" xfId="35501" xr:uid="{1836C16D-5292-4479-8BBD-7E97FE67DF3E}"/>
    <cellStyle name="Note 3 3 32 2 3" xfId="35502" xr:uid="{B6D029B7-9E34-4142-9D33-00605E4B715F}"/>
    <cellStyle name="Note 3 3 32 2 4" xfId="35503" xr:uid="{D4113AC1-9CC2-4FB6-A69F-2326270F69F8}"/>
    <cellStyle name="Note 3 3 32 2 5" xfId="35504" xr:uid="{AE99FDB3-ED99-4732-9033-3C1064D3613E}"/>
    <cellStyle name="Note 3 3 32 2 6" xfId="35505" xr:uid="{73FEB97D-01AA-4CFC-A3F9-46C9737C9001}"/>
    <cellStyle name="Note 3 3 32 3" xfId="35506" xr:uid="{B650737F-8B0F-4D0B-8427-1F8F1DB43674}"/>
    <cellStyle name="Note 3 3 32 4" xfId="35507" xr:uid="{A60D4EF9-58F8-4EF1-A24D-5A44443D7624}"/>
    <cellStyle name="Note 3 3 32 5" xfId="35508" xr:uid="{28599B6C-9098-4388-B383-6D2BF42143CA}"/>
    <cellStyle name="Note 3 3 32 6" xfId="35509" xr:uid="{6AE22A51-17EA-4FB1-AC81-1F16073EC29E}"/>
    <cellStyle name="Note 3 3 32 7" xfId="35510" xr:uid="{145AD13A-1A40-452C-B2EE-EE0B1C66A2AD}"/>
    <cellStyle name="Note 3 3 33" xfId="2456" xr:uid="{8E11A3EE-F1DE-44D6-B062-257CD6D4F670}"/>
    <cellStyle name="Note 3 3 33 2" xfId="12577" xr:uid="{DF420B5D-1629-4E50-8DED-A9275F9A3253}"/>
    <cellStyle name="Note 3 3 33 2 2" xfId="35511" xr:uid="{FFB15C0D-E42A-44F9-993D-0C04726A2866}"/>
    <cellStyle name="Note 3 3 33 2 3" xfId="35512" xr:uid="{73B7E5CE-D5A9-4965-830F-16054CFFE17B}"/>
    <cellStyle name="Note 3 3 33 2 4" xfId="35513" xr:uid="{3DDFFD26-4A49-47F9-A5E9-5E6D0473974E}"/>
    <cellStyle name="Note 3 3 33 2 5" xfId="35514" xr:uid="{07F8B868-E92B-4F01-ACDB-EF506DB0E554}"/>
    <cellStyle name="Note 3 3 33 2 6" xfId="35515" xr:uid="{D78A8CB1-FBBF-4138-B190-69A464838705}"/>
    <cellStyle name="Note 3 3 33 3" xfId="35516" xr:uid="{81843515-4376-4D5F-992C-AD5F13B9DA6E}"/>
    <cellStyle name="Note 3 3 33 4" xfId="35517" xr:uid="{973F030D-2639-4531-96F7-D6309EFAB2D4}"/>
    <cellStyle name="Note 3 3 33 5" xfId="35518" xr:uid="{94F1279C-1E31-4BEB-83D6-460D161ED122}"/>
    <cellStyle name="Note 3 3 33 6" xfId="35519" xr:uid="{6B360414-6F49-4A9E-A1F8-01580AB27134}"/>
    <cellStyle name="Note 3 3 33 7" xfId="35520" xr:uid="{DFA50099-B887-4956-B2DA-48E2DD7EE376}"/>
    <cellStyle name="Note 3 3 34" xfId="2457" xr:uid="{C9336626-D9F2-4A7D-9B1D-697EFCA7CBD3}"/>
    <cellStyle name="Note 3 3 34 2" xfId="12656" xr:uid="{673EC128-A2EF-470A-823D-C0F40A842776}"/>
    <cellStyle name="Note 3 3 34 2 2" xfId="35521" xr:uid="{0691BB87-2E33-4932-865B-8069BF18D4A8}"/>
    <cellStyle name="Note 3 3 34 2 3" xfId="35522" xr:uid="{B863D134-88E6-42C9-972D-5D5A7F558CDA}"/>
    <cellStyle name="Note 3 3 34 2 4" xfId="35523" xr:uid="{3AA48AE1-C284-426C-845E-ECA7F86014E5}"/>
    <cellStyle name="Note 3 3 34 2 5" xfId="35524" xr:uid="{BEB22E94-5A78-4373-956C-36C06A39A8B5}"/>
    <cellStyle name="Note 3 3 34 2 6" xfId="35525" xr:uid="{0FF5A9ED-9770-405D-BC8F-D2848F37CAC3}"/>
    <cellStyle name="Note 3 3 34 3" xfId="35526" xr:uid="{9A17728D-EBDE-43CA-A363-2E739889F829}"/>
    <cellStyle name="Note 3 3 34 4" xfId="35527" xr:uid="{FA77A940-BB54-4A32-9CAF-D31AEA2152B4}"/>
    <cellStyle name="Note 3 3 34 5" xfId="35528" xr:uid="{691AD8AD-1557-47E6-BAD5-9D5A9B501701}"/>
    <cellStyle name="Note 3 3 34 6" xfId="35529" xr:uid="{6CFCC01B-297C-4D53-B716-CB3E55E33B00}"/>
    <cellStyle name="Note 3 3 34 7" xfId="35530" xr:uid="{D068A3A7-9CA6-481D-8FE4-342331AE8FF9}"/>
    <cellStyle name="Note 3 3 35" xfId="2458" xr:uid="{7FFE5749-FB16-4D08-A3ED-09F724BED5A1}"/>
    <cellStyle name="Note 3 3 35 2" xfId="12740" xr:uid="{5A52BAAB-CE08-4023-9AA2-86BE5B1DE157}"/>
    <cellStyle name="Note 3 3 35 2 2" xfId="35531" xr:uid="{218AC2F1-BF50-4175-8DE3-322F1E4E8284}"/>
    <cellStyle name="Note 3 3 35 2 3" xfId="35532" xr:uid="{66888209-7223-4558-BF05-6EB90E464BB8}"/>
    <cellStyle name="Note 3 3 35 2 4" xfId="35533" xr:uid="{FE2EF3E7-1EE7-4956-BB65-1E84FD67847D}"/>
    <cellStyle name="Note 3 3 35 2 5" xfId="35534" xr:uid="{7B760DE0-10BD-4180-B9C6-64CE50681443}"/>
    <cellStyle name="Note 3 3 35 2 6" xfId="35535" xr:uid="{90727CFA-C136-4C65-9D5A-853C51FD85B2}"/>
    <cellStyle name="Note 3 3 35 3" xfId="35536" xr:uid="{79916128-0C24-45EC-B501-7C68282435CD}"/>
    <cellStyle name="Note 3 3 35 4" xfId="35537" xr:uid="{85549919-C9A2-41CB-8B6C-D25925B3083F}"/>
    <cellStyle name="Note 3 3 35 5" xfId="35538" xr:uid="{FAC27183-A6C4-4DB8-94D8-E7B0E9A32FEC}"/>
    <cellStyle name="Note 3 3 35 6" xfId="35539" xr:uid="{599ECE47-A0F6-4D54-A31C-95975D4702E9}"/>
    <cellStyle name="Note 3 3 35 7" xfId="35540" xr:uid="{FA74D013-F7A0-41A6-8432-E80777FE3415}"/>
    <cellStyle name="Note 3 3 36" xfId="8903" xr:uid="{600CBE71-0E3E-4F5B-8B77-E1C813F99DBB}"/>
    <cellStyle name="Note 3 3 36 2" xfId="35541" xr:uid="{CCF4C94B-0C77-45EF-8AC9-EADD85685A59}"/>
    <cellStyle name="Note 3 3 37" xfId="9805" xr:uid="{78E9C789-C658-46BF-BF22-56BF4DBE5DB7}"/>
    <cellStyle name="Note 3 3 37 2" xfId="35542" xr:uid="{0DEDD4E8-DAAF-42CB-BFDA-0E300C2B58E2}"/>
    <cellStyle name="Note 3 3 37 3" xfId="35543" xr:uid="{C4656D31-08B1-4D97-B1E2-27F4D4EB46AD}"/>
    <cellStyle name="Note 3 3 37 4" xfId="35544" xr:uid="{23857B77-2189-4F83-ABC3-A205F6E5E093}"/>
    <cellStyle name="Note 3 3 37 5" xfId="35545" xr:uid="{94F04696-269A-44BF-9945-85E6F3D5557F}"/>
    <cellStyle name="Note 3 3 37 6" xfId="35546" xr:uid="{940A0FF0-5EFD-4296-A0BC-83C21D90C4CE}"/>
    <cellStyle name="Note 3 3 38" xfId="35547" xr:uid="{39937942-4355-48F2-AEA3-157BC51926B7}"/>
    <cellStyle name="Note 3 3 39" xfId="35548" xr:uid="{272C08FB-C2CD-4BF1-9D06-1C5480AAD7CD}"/>
    <cellStyle name="Note 3 3 4" xfId="2459" xr:uid="{5F227A67-C414-46BB-817D-0DB1D5B8878A}"/>
    <cellStyle name="Note 3 3 4 2" xfId="8904" xr:uid="{E3C9EE34-1C0C-40EA-9E06-9C54F67476F9}"/>
    <cellStyle name="Note 3 3 4 2 2" xfId="35549" xr:uid="{1E40C97B-B18F-4F39-8C85-49313C83127B}"/>
    <cellStyle name="Note 3 3 4 3" xfId="10109" xr:uid="{BE49BBD1-CB6D-46B4-9C5D-7C8EBDAA2EE8}"/>
    <cellStyle name="Note 3 3 4 3 2" xfId="35550" xr:uid="{9DD5A1E6-E9F3-47E7-A282-3EEB38D7AE5B}"/>
    <cellStyle name="Note 3 3 4 3 3" xfId="35551" xr:uid="{8B7D631D-3070-4682-846C-82BC1479B918}"/>
    <cellStyle name="Note 3 3 4 3 4" xfId="35552" xr:uid="{7BCE26EA-D745-43F5-BDC3-21765B782C92}"/>
    <cellStyle name="Note 3 3 4 3 5" xfId="35553" xr:uid="{454395F0-F268-4CE3-9108-974518A170AE}"/>
    <cellStyle name="Note 3 3 4 3 6" xfId="35554" xr:uid="{80DDC548-CE04-4E80-AB9B-DECAC7C401C5}"/>
    <cellStyle name="Note 3 3 4 4" xfId="35555" xr:uid="{29C165A1-E27C-4F66-A18C-D55AF8BD5B05}"/>
    <cellStyle name="Note 3 3 4 5" xfId="35556" xr:uid="{AB953785-144F-4DA5-A2D2-A314ED943831}"/>
    <cellStyle name="Note 3 3 4 6" xfId="35557" xr:uid="{49BE72B3-7898-4EE1-8036-A3CF0B11A0CF}"/>
    <cellStyle name="Note 3 3 4 7" xfId="35558" xr:uid="{3D13E0B5-C052-4023-84A2-DF3F88CB54A3}"/>
    <cellStyle name="Note 3 3 4 8" xfId="35559" xr:uid="{B6D67849-3619-40B7-B6F5-D9BB098BE499}"/>
    <cellStyle name="Note 3 3 40" xfId="35560" xr:uid="{3C063740-86D1-41EA-AC4C-C0F6A5281631}"/>
    <cellStyle name="Note 3 3 41" xfId="35561" xr:uid="{E78F7212-2141-4E3B-A101-BFD2398AAA5A}"/>
    <cellStyle name="Note 3 3 42" xfId="35562" xr:uid="{387EB994-8020-41CC-B3DD-C2D6B5D4D03A}"/>
    <cellStyle name="Note 3 3 5" xfId="2460" xr:uid="{B84E4B14-9A81-4FDD-816C-6EE065C8F1D0}"/>
    <cellStyle name="Note 3 3 5 2" xfId="10199" xr:uid="{E969CDC0-2082-49AD-BCFB-9D8BA39F9AC7}"/>
    <cellStyle name="Note 3 3 5 2 2" xfId="35563" xr:uid="{76DF9848-EDD2-499F-891E-6E9CFC8353A0}"/>
    <cellStyle name="Note 3 3 5 2 3" xfId="35564" xr:uid="{D160BE8C-7E05-48CC-B6F0-E5E2CFB4164F}"/>
    <cellStyle name="Note 3 3 5 2 4" xfId="35565" xr:uid="{00CE1C11-059C-4314-BE45-E4EA7367BDBE}"/>
    <cellStyle name="Note 3 3 5 2 5" xfId="35566" xr:uid="{08BFA708-8DD1-46A2-A0F0-5B22921B3C44}"/>
    <cellStyle name="Note 3 3 5 2 6" xfId="35567" xr:uid="{47A0BFBA-8415-4875-A143-174B6863D542}"/>
    <cellStyle name="Note 3 3 5 3" xfId="35568" xr:uid="{2A506BB4-26FB-44CF-BFFD-5A476DC4E137}"/>
    <cellStyle name="Note 3 3 5 4" xfId="35569" xr:uid="{EBEA5214-05B1-4D19-B178-41559616AF09}"/>
    <cellStyle name="Note 3 3 5 5" xfId="35570" xr:uid="{854E2F1D-3B81-44B9-86F8-85F0FC4ABECD}"/>
    <cellStyle name="Note 3 3 5 6" xfId="35571" xr:uid="{18F495BE-9085-46B9-B2D5-EED0337776AF}"/>
    <cellStyle name="Note 3 3 5 7" xfId="35572" xr:uid="{47DE3919-C1CC-4C7A-BDCD-AE11DE0465FF}"/>
    <cellStyle name="Note 3 3 6" xfId="2461" xr:uid="{212F6C68-6C60-46D1-AE7A-3E58BCA900C1}"/>
    <cellStyle name="Note 3 3 6 2" xfId="10285" xr:uid="{55720C94-C01A-48A5-A9A2-012383433185}"/>
    <cellStyle name="Note 3 3 6 2 2" xfId="35573" xr:uid="{4F0D4F24-1E5E-4880-91C8-1BF872BD30E1}"/>
    <cellStyle name="Note 3 3 6 2 3" xfId="35574" xr:uid="{3CFD3434-7ACC-4678-8D78-4BA01570E94A}"/>
    <cellStyle name="Note 3 3 6 2 4" xfId="35575" xr:uid="{F5CFB383-CB5A-478B-AA70-315C1A8BF228}"/>
    <cellStyle name="Note 3 3 6 2 5" xfId="35576" xr:uid="{3408F66B-CA7F-4BF3-AFB6-959C245248C8}"/>
    <cellStyle name="Note 3 3 6 2 6" xfId="35577" xr:uid="{C73C6E22-D64F-4322-90DF-1C8B59A110DB}"/>
    <cellStyle name="Note 3 3 6 3" xfId="35578" xr:uid="{FE46C03E-FEA8-43FB-8A8B-70FC7E00E869}"/>
    <cellStyle name="Note 3 3 6 4" xfId="35579" xr:uid="{28A1FFC9-2CE5-42E2-A188-20BF5826B03E}"/>
    <cellStyle name="Note 3 3 6 5" xfId="35580" xr:uid="{76F26E41-81BD-4F02-A055-9D80E0D720DE}"/>
    <cellStyle name="Note 3 3 6 6" xfId="35581" xr:uid="{803AC203-E2CF-4276-AB95-9259DCE84B6F}"/>
    <cellStyle name="Note 3 3 6 7" xfId="35582" xr:uid="{8CB1D55D-187B-42EF-B013-0C37A86EDDC3}"/>
    <cellStyle name="Note 3 3 7" xfId="2462" xr:uid="{51A9D6CF-998E-48C5-8B5E-F01484B50D81}"/>
    <cellStyle name="Note 3 3 7 2" xfId="10373" xr:uid="{5E04B9DC-0635-449E-98D9-DCF68339F9AA}"/>
    <cellStyle name="Note 3 3 7 2 2" xfId="35583" xr:uid="{E071CF27-F049-4479-BE64-FADB505D38C9}"/>
    <cellStyle name="Note 3 3 7 2 3" xfId="35584" xr:uid="{6486FF2E-5AAE-4A2F-BB2D-36950D4BAC5B}"/>
    <cellStyle name="Note 3 3 7 2 4" xfId="35585" xr:uid="{13881A6A-3DD4-4113-B431-897445551F0A}"/>
    <cellStyle name="Note 3 3 7 2 5" xfId="35586" xr:uid="{E1F10A07-EB48-49FD-B1F9-860B158504E1}"/>
    <cellStyle name="Note 3 3 7 2 6" xfId="35587" xr:uid="{F7445312-77A8-4D08-95AB-A55C193C796C}"/>
    <cellStyle name="Note 3 3 7 3" xfId="35588" xr:uid="{1DA437D3-03ED-4626-B070-7E0F64F4EB16}"/>
    <cellStyle name="Note 3 3 7 4" xfId="35589" xr:uid="{FAB3B545-08BF-474F-AC25-9359AECC53C2}"/>
    <cellStyle name="Note 3 3 7 5" xfId="35590" xr:uid="{A4603486-4692-4647-8BCE-F167789B67B2}"/>
    <cellStyle name="Note 3 3 7 6" xfId="35591" xr:uid="{44005D06-50C3-49C8-8DF3-39A183424D82}"/>
    <cellStyle name="Note 3 3 7 7" xfId="35592" xr:uid="{0E04635E-CD1D-479E-901B-DCDA26EB8DC4}"/>
    <cellStyle name="Note 3 3 8" xfId="2463" xr:uid="{5EDCACDE-E683-4A8E-B7A4-459F3AEDD38E}"/>
    <cellStyle name="Note 3 3 8 2" xfId="10460" xr:uid="{538DBBD1-FB37-4068-A13B-7025F226D165}"/>
    <cellStyle name="Note 3 3 8 2 2" xfId="35593" xr:uid="{40619305-4613-4B12-9690-B44BE3E88C82}"/>
    <cellStyle name="Note 3 3 8 2 3" xfId="35594" xr:uid="{3F1040E8-14BD-4EC3-8408-4770EBD27283}"/>
    <cellStyle name="Note 3 3 8 2 4" xfId="35595" xr:uid="{B2578A53-7659-4C96-826E-8C252669DC44}"/>
    <cellStyle name="Note 3 3 8 2 5" xfId="35596" xr:uid="{0D1F82BF-DD1F-47D6-97E2-906E74525BB7}"/>
    <cellStyle name="Note 3 3 8 2 6" xfId="35597" xr:uid="{814D6D2B-14DE-4726-B5C5-DC3A81BD410F}"/>
    <cellStyle name="Note 3 3 8 3" xfId="35598" xr:uid="{B1C9ABAD-CFCD-4CED-8603-A77432733F03}"/>
    <cellStyle name="Note 3 3 8 4" xfId="35599" xr:uid="{C817F53B-A5B2-414A-8D4B-15ECCD79F5AB}"/>
    <cellStyle name="Note 3 3 8 5" xfId="35600" xr:uid="{342F425D-B826-4A51-B5DB-0A3CA5FDDEE0}"/>
    <cellStyle name="Note 3 3 8 6" xfId="35601" xr:uid="{AAE25492-B1C7-4390-8B79-3D875A27384F}"/>
    <cellStyle name="Note 3 3 8 7" xfId="35602" xr:uid="{98237A44-EFE1-4C3E-AE69-E25C3D296A2C}"/>
    <cellStyle name="Note 3 3 9" xfId="2464" xr:uid="{53A6DDA9-65AB-4C30-80F2-24DDBDC59E55}"/>
    <cellStyle name="Note 3 3 9 2" xfId="10549" xr:uid="{FD5EACE9-E78C-4A18-8857-6E5A466E1506}"/>
    <cellStyle name="Note 3 3 9 2 2" xfId="35603" xr:uid="{28239D3D-871F-4D00-904D-50C8AAAD4CCB}"/>
    <cellStyle name="Note 3 3 9 2 3" xfId="35604" xr:uid="{8DB57B39-3E39-47B0-B8DF-B41AAB909F0B}"/>
    <cellStyle name="Note 3 3 9 2 4" xfId="35605" xr:uid="{22B8C443-545E-43A3-9D75-094AC344ADC3}"/>
    <cellStyle name="Note 3 3 9 2 5" xfId="35606" xr:uid="{7A872049-112C-48F9-8BBC-90CEC5051248}"/>
    <cellStyle name="Note 3 3 9 2 6" xfId="35607" xr:uid="{49E8A228-8FC0-4E2C-899D-282FF4FE2C2B}"/>
    <cellStyle name="Note 3 3 9 3" xfId="35608" xr:uid="{926C2A33-9D70-42C3-A873-9E7F01649E8D}"/>
    <cellStyle name="Note 3 3 9 4" xfId="35609" xr:uid="{AA30368D-549F-4A5E-919A-90ED240C0E0A}"/>
    <cellStyle name="Note 3 3 9 5" xfId="35610" xr:uid="{3E201C8F-313F-4553-983A-6BBFCDE6C7D5}"/>
    <cellStyle name="Note 3 3 9 6" xfId="35611" xr:uid="{0AD3C96F-063D-463E-945E-854C7575DE99}"/>
    <cellStyle name="Note 3 3 9 7" xfId="35612" xr:uid="{E1D1F889-521F-49E8-BFC3-27E6797E5E6A}"/>
    <cellStyle name="Note 3 30" xfId="2465" xr:uid="{8D08E7CA-D451-43D8-9970-A86B3D079EA3}"/>
    <cellStyle name="Note 3 30 2" xfId="11819" xr:uid="{371D7F68-0006-4195-B231-4B9B6251ACD7}"/>
    <cellStyle name="Note 3 30 2 2" xfId="35613" xr:uid="{4598A917-84AE-43CE-AFA0-380FA287AFF9}"/>
    <cellStyle name="Note 3 30 2 3" xfId="35614" xr:uid="{B7D9B2B5-9D85-40FA-85FD-3A4355E60EB8}"/>
    <cellStyle name="Note 3 30 2 4" xfId="35615" xr:uid="{60BFB73C-4870-4238-93B3-209509EBD93F}"/>
    <cellStyle name="Note 3 30 2 5" xfId="35616" xr:uid="{7A075C10-E6AB-4C30-9F3E-35C0E3553A36}"/>
    <cellStyle name="Note 3 30 2 6" xfId="35617" xr:uid="{E50C556A-7321-4266-AC12-02A3A0709FDD}"/>
    <cellStyle name="Note 3 30 3" xfId="35618" xr:uid="{C00C2845-0305-4C72-9292-6E9B9E73B0C1}"/>
    <cellStyle name="Note 3 30 4" xfId="35619" xr:uid="{5129382E-60E9-409F-A80F-5133BFA22A02}"/>
    <cellStyle name="Note 3 30 5" xfId="35620" xr:uid="{7C2E1ADD-A23B-44DE-BDD3-F603E89EE1C7}"/>
    <cellStyle name="Note 3 30 6" xfId="35621" xr:uid="{F3DEF742-BF22-46F7-9851-059600718AA0}"/>
    <cellStyle name="Note 3 30 7" xfId="35622" xr:uid="{37FAEF9E-5BFC-4B34-B74E-4A6D377DE2D0}"/>
    <cellStyle name="Note 3 31" xfId="2466" xr:uid="{D33429DF-C4FB-47FD-89E9-01F0F1A74BCD}"/>
    <cellStyle name="Note 3 31 2" xfId="11817" xr:uid="{FC2A0365-6685-4A54-9463-36C2F20CA028}"/>
    <cellStyle name="Note 3 31 2 2" xfId="35623" xr:uid="{562B906E-385B-4B1A-9542-FC3F1EEBB2AA}"/>
    <cellStyle name="Note 3 31 2 3" xfId="35624" xr:uid="{85F24E6A-0CA9-4ADD-B368-425BB8867185}"/>
    <cellStyle name="Note 3 31 2 4" xfId="35625" xr:uid="{1796893F-6FF2-4AA7-BBD9-481A1F2B0921}"/>
    <cellStyle name="Note 3 31 2 5" xfId="35626" xr:uid="{FFB8143B-882D-47CE-B667-8B34F7F64E5B}"/>
    <cellStyle name="Note 3 31 2 6" xfId="35627" xr:uid="{43619BE9-3816-4688-9E0D-8A0E67FDC06D}"/>
    <cellStyle name="Note 3 31 3" xfId="35628" xr:uid="{C824F3D8-4857-41BE-9F06-9E2F38A159B7}"/>
    <cellStyle name="Note 3 31 4" xfId="35629" xr:uid="{3F811665-46C7-4055-9C29-2F1E733829CE}"/>
    <cellStyle name="Note 3 31 5" xfId="35630" xr:uid="{50C90250-1981-478D-AB76-3F60E79CFF96}"/>
    <cellStyle name="Note 3 31 6" xfId="35631" xr:uid="{F3C577A9-E171-4E16-A1C6-A7E1FD3C28F0}"/>
    <cellStyle name="Note 3 31 7" xfId="35632" xr:uid="{D596D924-E30E-4137-9B4C-96673FDF67B1}"/>
    <cellStyle name="Note 3 32" xfId="2467" xr:uid="{51EB7EE0-53E1-437E-8423-0DCDF3E72CBA}"/>
    <cellStyle name="Note 3 32 2" xfId="12070" xr:uid="{DF20D0FE-C7F9-452B-A773-E64BAD52BECE}"/>
    <cellStyle name="Note 3 32 2 2" xfId="35633" xr:uid="{42334220-42F7-447F-BCFD-1BC667F74FB5}"/>
    <cellStyle name="Note 3 32 2 3" xfId="35634" xr:uid="{8063F80D-9FEC-4E81-B855-713EBC5490A8}"/>
    <cellStyle name="Note 3 32 2 4" xfId="35635" xr:uid="{8C5229FA-E235-4B89-B15F-743B65DDC4FE}"/>
    <cellStyle name="Note 3 32 2 5" xfId="35636" xr:uid="{60B74A84-11D5-45D2-8B79-20DA6B348511}"/>
    <cellStyle name="Note 3 32 2 6" xfId="35637" xr:uid="{DB6DEC9A-20F4-4200-B6E3-81B413D6D6FF}"/>
    <cellStyle name="Note 3 32 3" xfId="35638" xr:uid="{E6E89021-A2CB-4814-93D2-B50FC41C5088}"/>
    <cellStyle name="Note 3 32 4" xfId="35639" xr:uid="{75E5C485-F936-447C-9CE0-756D2BD7E52A}"/>
    <cellStyle name="Note 3 32 5" xfId="35640" xr:uid="{E179F706-3EA8-41D9-9D9F-2DA6E2A2DBA1}"/>
    <cellStyle name="Note 3 32 6" xfId="35641" xr:uid="{CEE6C373-21F7-4A72-B931-868BE2E8F2A4}"/>
    <cellStyle name="Note 3 32 7" xfId="35642" xr:uid="{C40ACC82-28FE-450C-B321-6A29B46393C2}"/>
    <cellStyle name="Note 3 33" xfId="2468" xr:uid="{3C4B572E-2D11-414E-96B7-69F65704EA1F}"/>
    <cellStyle name="Note 3 33 2" xfId="12153" xr:uid="{58684169-2ACC-4687-BF75-92AA979530CF}"/>
    <cellStyle name="Note 3 33 2 2" xfId="35643" xr:uid="{ADEFB585-3DA0-436A-9B10-B36561940547}"/>
    <cellStyle name="Note 3 33 2 3" xfId="35644" xr:uid="{B186C85F-5B5B-4106-8A05-3C9F724767D0}"/>
    <cellStyle name="Note 3 33 2 4" xfId="35645" xr:uid="{D9689BEF-6D13-4465-9B39-68CB22F14639}"/>
    <cellStyle name="Note 3 33 2 5" xfId="35646" xr:uid="{80B2CC2E-908B-4893-8926-7295607F4B75}"/>
    <cellStyle name="Note 3 33 2 6" xfId="35647" xr:uid="{1A2292EA-EF66-4AA6-B63A-151577648C00}"/>
    <cellStyle name="Note 3 33 3" xfId="35648" xr:uid="{D2D1EE00-C1DB-4498-B454-7767C4727C6E}"/>
    <cellStyle name="Note 3 33 4" xfId="35649" xr:uid="{4D756DA6-B8E4-4D53-9BD9-AE6D8C79CCAD}"/>
    <cellStyle name="Note 3 33 5" xfId="35650" xr:uid="{3AF6B383-2ECE-4125-A369-0C36AEE5DB62}"/>
    <cellStyle name="Note 3 33 6" xfId="35651" xr:uid="{76637F90-5114-4B8F-9637-2419B0D39E6D}"/>
    <cellStyle name="Note 3 33 7" xfId="35652" xr:uid="{08022FC5-DD70-4D13-8742-DB6BFA57A31C}"/>
    <cellStyle name="Note 3 34" xfId="2469" xr:uid="{380D4133-8257-439B-B7AF-3BB6E822501B}"/>
    <cellStyle name="Note 3 34 2" xfId="9857" xr:uid="{B408D162-FB52-4171-9FCE-E6E9C1677E97}"/>
    <cellStyle name="Note 3 34 2 2" xfId="35653" xr:uid="{4996B5A6-735A-41D1-A4A0-3BD6C7D1F675}"/>
    <cellStyle name="Note 3 34 2 3" xfId="35654" xr:uid="{A8CCAAD9-EBEE-42F1-B8DA-2A827C32C90A}"/>
    <cellStyle name="Note 3 34 2 4" xfId="35655" xr:uid="{85E99DDA-A03A-4DB4-A207-B2E00408D65E}"/>
    <cellStyle name="Note 3 34 2 5" xfId="35656" xr:uid="{AD9AF9C4-92C3-4AE6-AA5E-AE7782BB9563}"/>
    <cellStyle name="Note 3 34 2 6" xfId="35657" xr:uid="{114FFE7F-A39B-4C6A-B5D1-B10B925F7291}"/>
    <cellStyle name="Note 3 34 3" xfId="35658" xr:uid="{6477F1A5-25C5-4769-84B4-E10FFD50C111}"/>
    <cellStyle name="Note 3 34 4" xfId="35659" xr:uid="{B4044635-7410-4C48-A78E-EE6810C33F5E}"/>
    <cellStyle name="Note 3 34 5" xfId="35660" xr:uid="{CBAB7153-C0EC-4C38-B0F9-1D96EA27C0C5}"/>
    <cellStyle name="Note 3 34 6" xfId="35661" xr:uid="{62D58E3E-F59B-4FC9-997A-5B96153918B6}"/>
    <cellStyle name="Note 3 34 7" xfId="35662" xr:uid="{16E05AAF-0D1F-47B9-85ED-75370C1BEA5A}"/>
    <cellStyle name="Note 3 35" xfId="2470" xr:uid="{15FFD911-C195-42C6-B027-BD3E62A8B09D}"/>
    <cellStyle name="Note 3 35 2" xfId="12090" xr:uid="{59A3773D-D2CF-48E5-B6BF-C666E22D62D6}"/>
    <cellStyle name="Note 3 35 2 2" xfId="35663" xr:uid="{74EA9990-A5D0-476A-8892-7F3116C2B061}"/>
    <cellStyle name="Note 3 35 2 3" xfId="35664" xr:uid="{6B90AA11-31AC-48DD-A7D0-465ADEF6A608}"/>
    <cellStyle name="Note 3 35 2 4" xfId="35665" xr:uid="{3585F41B-0E0C-4D03-8101-B82FD6F74F46}"/>
    <cellStyle name="Note 3 35 2 5" xfId="35666" xr:uid="{F7B4FAB7-E177-464C-B629-6772B52867B7}"/>
    <cellStyle name="Note 3 35 2 6" xfId="35667" xr:uid="{A17C0CF4-A7A9-4AF4-93E2-C328AFC657BF}"/>
    <cellStyle name="Note 3 35 3" xfId="35668" xr:uid="{F0C93681-B3F7-44DC-8BA8-4316C2763BCF}"/>
    <cellStyle name="Note 3 35 4" xfId="35669" xr:uid="{7012B1CE-F3EC-420C-AED6-D4B8A9B1A4C2}"/>
    <cellStyle name="Note 3 35 5" xfId="35670" xr:uid="{6AC39313-331D-4AC2-BD54-4B2B1E5B6CF1}"/>
    <cellStyle name="Note 3 35 6" xfId="35671" xr:uid="{45FF5299-A34B-4950-A1D6-F915B3B930DA}"/>
    <cellStyle name="Note 3 35 7" xfId="35672" xr:uid="{70FDC3E9-3687-4F01-9AC0-12AF79FFEF15}"/>
    <cellStyle name="Note 3 36" xfId="2471" xr:uid="{084DB810-5835-4BA1-8D15-A538811F22D6}"/>
    <cellStyle name="Note 3 36 2" xfId="12707" xr:uid="{5F08674F-D23F-472A-A1E5-CAE70894693E}"/>
    <cellStyle name="Note 3 36 2 2" xfId="35673" xr:uid="{7F8E84A2-C4FB-4D7E-A56E-64344D0F9FA1}"/>
    <cellStyle name="Note 3 36 2 3" xfId="35674" xr:uid="{21BF4FC3-0A52-450A-B0B4-B7EC800136FC}"/>
    <cellStyle name="Note 3 36 2 4" xfId="35675" xr:uid="{204912D5-6543-40F7-837C-4D3BB6896E50}"/>
    <cellStyle name="Note 3 36 2 5" xfId="35676" xr:uid="{122CD19B-072A-423F-ABD3-FFDFCC7AC7CC}"/>
    <cellStyle name="Note 3 36 2 6" xfId="35677" xr:uid="{F099CC1F-E505-4350-949A-071CA686C559}"/>
    <cellStyle name="Note 3 36 3" xfId="35678" xr:uid="{8B3A568A-34EB-4916-9860-4F8484E4542E}"/>
    <cellStyle name="Note 3 36 4" xfId="35679" xr:uid="{4B91E958-B99C-4DFA-BF73-A400A172264D}"/>
    <cellStyle name="Note 3 36 5" xfId="35680" xr:uid="{98DD0759-ED6A-427F-A55D-C0B5B343915E}"/>
    <cellStyle name="Note 3 36 6" xfId="35681" xr:uid="{2B4CC4C5-A015-4E9E-8E3A-E21DD26E38A4}"/>
    <cellStyle name="Note 3 36 7" xfId="35682" xr:uid="{DB573E8E-D1AE-498B-9423-23C50E1DF7CA}"/>
    <cellStyle name="Note 3 37" xfId="8905" xr:uid="{54DEDD58-35E6-4FE7-8100-C5A1C1D31D13}"/>
    <cellStyle name="Note 3 37 2" xfId="35683" xr:uid="{027F81E2-7F6B-4A7C-B4A8-3E4C398D718B}"/>
    <cellStyle name="Note 3 38" xfId="9770" xr:uid="{15C530D7-2ABD-4AB2-8E7F-1E50FCFA89E3}"/>
    <cellStyle name="Note 3 38 2" xfId="35684" xr:uid="{E09DA3BF-7CCD-4AEF-A041-6734EED14BD4}"/>
    <cellStyle name="Note 3 38 3" xfId="35685" xr:uid="{7224060A-BD80-4ED9-B82F-3246F96504AC}"/>
    <cellStyle name="Note 3 38 4" xfId="35686" xr:uid="{05BFD450-E83F-43F9-8531-AADE9F6E5BBD}"/>
    <cellStyle name="Note 3 38 5" xfId="35687" xr:uid="{D19E3D4B-207B-4F2E-B2BE-2D007BCE1EF7}"/>
    <cellStyle name="Note 3 38 6" xfId="35688" xr:uid="{3C427276-1B40-484C-B481-F4C3854DA39F}"/>
    <cellStyle name="Note 3 39" xfId="35689" xr:uid="{D4E5C9B7-135E-4493-9E56-6A4239D827E5}"/>
    <cellStyle name="Note 3 4" xfId="2472" xr:uid="{605ED4CE-4B2B-4506-B890-4B73082EBEC0}"/>
    <cellStyle name="Note 3 4 10" xfId="2473" xr:uid="{194F72B0-EE6C-49F4-A708-88ED472178CB}"/>
    <cellStyle name="Note 3 4 10 2" xfId="10707" xr:uid="{2D5C4158-D012-46BB-A93B-27A46AEB124F}"/>
    <cellStyle name="Note 3 4 10 2 2" xfId="35690" xr:uid="{F7BD7D11-2BC5-4A32-83AF-D53A653A6900}"/>
    <cellStyle name="Note 3 4 10 2 3" xfId="35691" xr:uid="{39B40BC2-0E1A-4501-BC41-057A52673167}"/>
    <cellStyle name="Note 3 4 10 2 4" xfId="35692" xr:uid="{B056D094-4A03-4C96-9504-E25EF492B3B6}"/>
    <cellStyle name="Note 3 4 10 2 5" xfId="35693" xr:uid="{EAD69892-D08F-4BCD-A404-34C0067C1607}"/>
    <cellStyle name="Note 3 4 10 2 6" xfId="35694" xr:uid="{9E89DBEB-B89F-4DD3-A610-DCCD619A933C}"/>
    <cellStyle name="Note 3 4 10 3" xfId="35695" xr:uid="{6519B79F-859F-4E30-ACC9-0059DD6525FD}"/>
    <cellStyle name="Note 3 4 10 4" xfId="35696" xr:uid="{C865E234-06FC-440E-A026-022E87ED98B4}"/>
    <cellStyle name="Note 3 4 10 5" xfId="35697" xr:uid="{FEFD9022-0EEB-4FFF-9ECD-EAB4C5A6E8AD}"/>
    <cellStyle name="Note 3 4 10 6" xfId="35698" xr:uid="{516D387A-BD57-481A-8A8C-17D8C5926973}"/>
    <cellStyle name="Note 3 4 10 7" xfId="35699" xr:uid="{00205395-50F1-41E2-928C-BAC338B23A29}"/>
    <cellStyle name="Note 3 4 11" xfId="2474" xr:uid="{810B8178-6D2D-4A59-A121-64F059D495C4}"/>
    <cellStyle name="Note 3 4 11 2" xfId="10798" xr:uid="{CDDEF621-A3FB-4D41-9011-E010E2857463}"/>
    <cellStyle name="Note 3 4 11 2 2" xfId="35700" xr:uid="{25551AF8-5FF0-4C37-89F7-4529F30365B7}"/>
    <cellStyle name="Note 3 4 11 2 3" xfId="35701" xr:uid="{5A151968-819F-412E-87B8-1D624DF2FC05}"/>
    <cellStyle name="Note 3 4 11 2 4" xfId="35702" xr:uid="{8B02A6A1-B7F3-418A-B1C9-EB88F785DDC4}"/>
    <cellStyle name="Note 3 4 11 2 5" xfId="35703" xr:uid="{B50FA218-2129-45E5-B55F-0B8BF7CCE526}"/>
    <cellStyle name="Note 3 4 11 2 6" xfId="35704" xr:uid="{E1A7E750-0F06-4EF3-98FD-214B38E8B033}"/>
    <cellStyle name="Note 3 4 11 3" xfId="35705" xr:uid="{B51A2E4F-9C97-4EBF-A618-1B01D25B5FA8}"/>
    <cellStyle name="Note 3 4 11 4" xfId="35706" xr:uid="{5413FFFA-247B-4B95-A3AE-7A4EFE1C7699}"/>
    <cellStyle name="Note 3 4 11 5" xfId="35707" xr:uid="{B23E8F9D-5D8D-4058-9C2F-48876AF4FE99}"/>
    <cellStyle name="Note 3 4 11 6" xfId="35708" xr:uid="{A1263EFE-C3E7-4834-8E96-FA1B39B630D4}"/>
    <cellStyle name="Note 3 4 11 7" xfId="35709" xr:uid="{179CF6A0-FFDA-4B38-B8F7-FE8CB4E3A848}"/>
    <cellStyle name="Note 3 4 12" xfId="2475" xr:uid="{6B6E6135-1A23-4DC8-BDE7-7831E7F4733C}"/>
    <cellStyle name="Note 3 4 12 2" xfId="10885" xr:uid="{522570F5-07F2-4450-AD91-9BF47E094889}"/>
    <cellStyle name="Note 3 4 12 2 2" xfId="35710" xr:uid="{777F928C-542F-486E-B51C-60E2146B5157}"/>
    <cellStyle name="Note 3 4 12 2 3" xfId="35711" xr:uid="{BF8A7797-F896-42FB-8547-FE3B2B0A43BA}"/>
    <cellStyle name="Note 3 4 12 2 4" xfId="35712" xr:uid="{7E0C3D41-E73D-4598-BF76-4418E9700587}"/>
    <cellStyle name="Note 3 4 12 2 5" xfId="35713" xr:uid="{907F8905-8946-427B-9627-D75B14C93ACE}"/>
    <cellStyle name="Note 3 4 12 2 6" xfId="35714" xr:uid="{A6428668-E438-4D7F-83DF-8A82BB320026}"/>
    <cellStyle name="Note 3 4 12 3" xfId="35715" xr:uid="{11172AAE-8F3D-4A94-9805-9665B6B0E108}"/>
    <cellStyle name="Note 3 4 12 4" xfId="35716" xr:uid="{C07ED39E-0203-4B07-B58F-E1BA10E2744B}"/>
    <cellStyle name="Note 3 4 12 5" xfId="35717" xr:uid="{22B2FDB1-4C93-40FE-860B-33ADA71DD976}"/>
    <cellStyle name="Note 3 4 12 6" xfId="35718" xr:uid="{D0FE20AA-D8FD-423D-8D5B-C8F2ED94F9E8}"/>
    <cellStyle name="Note 3 4 12 7" xfId="35719" xr:uid="{35175254-35FF-48EA-B62C-C213CA44AD8B}"/>
    <cellStyle name="Note 3 4 13" xfId="2476" xr:uid="{B5A157BA-EC58-46A1-9A09-D27C4EAE6C8B}"/>
    <cellStyle name="Note 3 4 13 2" xfId="10974" xr:uid="{EC726CCE-58A9-4FEF-ADBC-16CFCA90BA29}"/>
    <cellStyle name="Note 3 4 13 2 2" xfId="35720" xr:uid="{A9371883-38BE-4F3A-BD2D-E0B6BA48881D}"/>
    <cellStyle name="Note 3 4 13 2 3" xfId="35721" xr:uid="{4F452717-C660-416E-B3BA-CD869E9C6F41}"/>
    <cellStyle name="Note 3 4 13 2 4" xfId="35722" xr:uid="{7007DDC5-3BF3-4AB3-B730-04B818040A62}"/>
    <cellStyle name="Note 3 4 13 2 5" xfId="35723" xr:uid="{6BC5993C-45A4-48BE-82D9-9285242904DF}"/>
    <cellStyle name="Note 3 4 13 2 6" xfId="35724" xr:uid="{D25256AE-E051-4AE7-9A56-6D3793180DED}"/>
    <cellStyle name="Note 3 4 13 3" xfId="35725" xr:uid="{3EB9F031-B300-41F6-B5E4-81C40F50980F}"/>
    <cellStyle name="Note 3 4 13 4" xfId="35726" xr:uid="{6F4B44F6-C479-4004-A55E-F723CD8CDF33}"/>
    <cellStyle name="Note 3 4 13 5" xfId="35727" xr:uid="{1446F29D-884B-44F8-86C4-3883377C2545}"/>
    <cellStyle name="Note 3 4 13 6" xfId="35728" xr:uid="{9F3F83C8-A92A-4B09-B01B-1142E683E1C5}"/>
    <cellStyle name="Note 3 4 13 7" xfId="35729" xr:uid="{59ACD365-07B2-4AE6-AB3B-7772040A57E9}"/>
    <cellStyle name="Note 3 4 14" xfId="2477" xr:uid="{10DE8E0D-A467-44D6-8CDF-007917879449}"/>
    <cellStyle name="Note 3 4 14 2" xfId="11066" xr:uid="{E90E9A9A-2AEF-49E5-A1F4-40252340E593}"/>
    <cellStyle name="Note 3 4 14 2 2" xfId="35730" xr:uid="{6B8C7B90-A793-4B02-A02A-46DB0A04B487}"/>
    <cellStyle name="Note 3 4 14 2 3" xfId="35731" xr:uid="{D6AF78F9-CA2B-428F-ACD2-546A76D584E6}"/>
    <cellStyle name="Note 3 4 14 2 4" xfId="35732" xr:uid="{70E4949A-758D-44A8-A9FE-80D51200243F}"/>
    <cellStyle name="Note 3 4 14 2 5" xfId="35733" xr:uid="{6382A393-4FF0-492F-B12C-837D9B8864B5}"/>
    <cellStyle name="Note 3 4 14 2 6" xfId="35734" xr:uid="{4FE06062-D7E6-434E-8BD4-48B6485D23E6}"/>
    <cellStyle name="Note 3 4 14 3" xfId="35735" xr:uid="{25B4D7A1-6FAF-4387-A101-5DC1227D2663}"/>
    <cellStyle name="Note 3 4 14 4" xfId="35736" xr:uid="{1D186E80-4F24-47A6-9FC1-8E8BA8C523F6}"/>
    <cellStyle name="Note 3 4 14 5" xfId="35737" xr:uid="{87F6C0C5-D629-4FCE-8CE4-DA92F6786F6E}"/>
    <cellStyle name="Note 3 4 14 6" xfId="35738" xr:uid="{CEC259D9-43D4-47C0-8828-5383241CB214}"/>
    <cellStyle name="Note 3 4 14 7" xfId="35739" xr:uid="{30CFA745-A3CD-4E39-B672-BE31F5AF33C1}"/>
    <cellStyle name="Note 3 4 15" xfId="2478" xr:uid="{FC36E2E2-EF12-4ECE-9E1F-C22EDE94E9A7}"/>
    <cellStyle name="Note 3 4 15 2" xfId="11149" xr:uid="{7B8839B0-E1D8-4BE8-A633-5695ACE4A46E}"/>
    <cellStyle name="Note 3 4 15 2 2" xfId="35740" xr:uid="{19FDB480-5061-4672-8EED-ABA431AF243E}"/>
    <cellStyle name="Note 3 4 15 2 3" xfId="35741" xr:uid="{B9683C79-8D09-447D-A770-6E1F163F012A}"/>
    <cellStyle name="Note 3 4 15 2 4" xfId="35742" xr:uid="{03BF7283-39A6-443C-8303-33206DD01982}"/>
    <cellStyle name="Note 3 4 15 2 5" xfId="35743" xr:uid="{5C8DDA91-0D4C-4633-8C15-B48172837FA8}"/>
    <cellStyle name="Note 3 4 15 2 6" xfId="35744" xr:uid="{F8B3649A-832A-4648-941E-A8975F4B2F57}"/>
    <cellStyle name="Note 3 4 15 3" xfId="35745" xr:uid="{C96B1DAA-2038-4F3F-A6E3-1FF4EDC471E2}"/>
    <cellStyle name="Note 3 4 15 4" xfId="35746" xr:uid="{3BFB971E-EBAE-4D90-ABF9-D84B71072296}"/>
    <cellStyle name="Note 3 4 15 5" xfId="35747" xr:uid="{620EDD82-548D-43C5-B38F-055B2E2B77CD}"/>
    <cellStyle name="Note 3 4 15 6" xfId="35748" xr:uid="{D0C79428-45DF-4995-9779-B44E41FC202D}"/>
    <cellStyle name="Note 3 4 15 7" xfId="35749" xr:uid="{B5E38827-4D7D-4F56-A3C2-2FE7EE6B24B4}"/>
    <cellStyle name="Note 3 4 16" xfId="2479" xr:uid="{C08EF550-CDF7-4CA4-9712-A5D163C21B1F}"/>
    <cellStyle name="Note 3 4 16 2" xfId="11238" xr:uid="{C74D6FC7-B0CE-457D-9774-21E4CCAB330D}"/>
    <cellStyle name="Note 3 4 16 2 2" xfId="35750" xr:uid="{509381F3-F593-46AB-92CF-AFBEF4A8B52D}"/>
    <cellStyle name="Note 3 4 16 2 3" xfId="35751" xr:uid="{FE34B4FD-0719-4C07-A8CF-01E9DEFDEE92}"/>
    <cellStyle name="Note 3 4 16 2 4" xfId="35752" xr:uid="{84A2D1E7-CC4B-4838-8DC4-EF5D52B53655}"/>
    <cellStyle name="Note 3 4 16 2 5" xfId="35753" xr:uid="{4EC5CEC7-F1FC-4A7D-B313-377C9741C270}"/>
    <cellStyle name="Note 3 4 16 2 6" xfId="35754" xr:uid="{F7332D76-C53F-4B98-8E5E-0B84870D2D40}"/>
    <cellStyle name="Note 3 4 16 3" xfId="35755" xr:uid="{E9E70B24-8CCF-4894-9FEB-DDC1C67FE939}"/>
    <cellStyle name="Note 3 4 16 4" xfId="35756" xr:uid="{05479923-F73C-4647-8480-993F82457A0A}"/>
    <cellStyle name="Note 3 4 16 5" xfId="35757" xr:uid="{CC85D83A-604B-4F42-84FE-DF19E4A77F80}"/>
    <cellStyle name="Note 3 4 16 6" xfId="35758" xr:uid="{070766C8-B417-4C21-9924-7A4FAF91B0F6}"/>
    <cellStyle name="Note 3 4 16 7" xfId="35759" xr:uid="{B05557F9-6555-4162-9690-D9E7733A80D1}"/>
    <cellStyle name="Note 3 4 17" xfId="2480" xr:uid="{87E16411-1072-4325-BBD4-D43967C6EB89}"/>
    <cellStyle name="Note 3 4 17 2" xfId="11324" xr:uid="{D82F848C-B59F-4B01-8EC2-64BEFC582D0F}"/>
    <cellStyle name="Note 3 4 17 2 2" xfId="35760" xr:uid="{D99BEB31-DEB5-46E1-8FE1-E4FD8EB84F45}"/>
    <cellStyle name="Note 3 4 17 2 3" xfId="35761" xr:uid="{EC3D7B1D-A487-4B74-849D-5F05B0414491}"/>
    <cellStyle name="Note 3 4 17 2 4" xfId="35762" xr:uid="{8AADF4DD-B7E9-48D6-8D73-B5147847C028}"/>
    <cellStyle name="Note 3 4 17 2 5" xfId="35763" xr:uid="{988886D2-C92B-4521-B123-C5BFAC048A37}"/>
    <cellStyle name="Note 3 4 17 2 6" xfId="35764" xr:uid="{513167D5-E5AE-4635-8F9E-DE6F161C83AE}"/>
    <cellStyle name="Note 3 4 17 3" xfId="35765" xr:uid="{9C4C24D7-12BD-4BBC-87D6-C329E790F789}"/>
    <cellStyle name="Note 3 4 17 4" xfId="35766" xr:uid="{C3D48338-77A1-4B22-8FD1-A2AF383FF9D4}"/>
    <cellStyle name="Note 3 4 17 5" xfId="35767" xr:uid="{6233527A-BCEC-4EF2-880A-9868B980D079}"/>
    <cellStyle name="Note 3 4 17 6" xfId="35768" xr:uid="{9AE334D1-63FB-41B1-897B-C61ECA1C52F5}"/>
    <cellStyle name="Note 3 4 17 7" xfId="35769" xr:uid="{9F623AB8-A359-4B71-B53D-3BC8BBC2BDCC}"/>
    <cellStyle name="Note 3 4 18" xfId="2481" xr:uid="{58BA0CAF-81D7-42FA-BC78-0DCAD2C957E8}"/>
    <cellStyle name="Note 3 4 18 2" xfId="11411" xr:uid="{C34E1D8E-C8C2-49E1-8FD8-E62880040B74}"/>
    <cellStyle name="Note 3 4 18 2 2" xfId="35770" xr:uid="{70681B28-CC70-43F0-ADD5-44EF6A8EA48A}"/>
    <cellStyle name="Note 3 4 18 2 3" xfId="35771" xr:uid="{83DF2EE6-A118-4EE8-9806-9AE74776AAE9}"/>
    <cellStyle name="Note 3 4 18 2 4" xfId="35772" xr:uid="{A5C59CC4-2484-4BD1-8171-87F8E1647BD7}"/>
    <cellStyle name="Note 3 4 18 2 5" xfId="35773" xr:uid="{DEAB274A-68C1-450C-AF3D-93421ABC50F5}"/>
    <cellStyle name="Note 3 4 18 2 6" xfId="35774" xr:uid="{24C1B2DE-6874-4804-863F-828CB179C4C7}"/>
    <cellStyle name="Note 3 4 18 3" xfId="35775" xr:uid="{35EF8120-E985-474A-B20B-3C457745D10B}"/>
    <cellStyle name="Note 3 4 18 4" xfId="35776" xr:uid="{67FFA68C-2FC8-4807-AD2F-BB677695CC44}"/>
    <cellStyle name="Note 3 4 18 5" xfId="35777" xr:uid="{34A86B7A-FAE5-4D40-886D-9D99E74807DE}"/>
    <cellStyle name="Note 3 4 18 6" xfId="35778" xr:uid="{74085E03-8115-4BA2-8CD5-A450F7E6EC28}"/>
    <cellStyle name="Note 3 4 18 7" xfId="35779" xr:uid="{2DB7E4FF-C071-4939-8FCD-05CF51925D53}"/>
    <cellStyle name="Note 3 4 19" xfId="2482" xr:uid="{CE0A7BC2-31D9-4E8F-A548-BBBD345E47CA}"/>
    <cellStyle name="Note 3 4 19 2" xfId="11498" xr:uid="{A80BFFAE-D3B8-41B9-A286-C2BCE8BB6CCF}"/>
    <cellStyle name="Note 3 4 19 2 2" xfId="35780" xr:uid="{12F9232F-F394-4738-BC99-C59408ABC60F}"/>
    <cellStyle name="Note 3 4 19 2 3" xfId="35781" xr:uid="{EF045D32-ADBA-45FC-AE52-E806B0942453}"/>
    <cellStyle name="Note 3 4 19 2 4" xfId="35782" xr:uid="{77A69EFA-A4E5-4759-B565-0EAD439D7E0A}"/>
    <cellStyle name="Note 3 4 19 2 5" xfId="35783" xr:uid="{9CEBD76F-4D19-4F96-97E0-5E0C628AAC7C}"/>
    <cellStyle name="Note 3 4 19 2 6" xfId="35784" xr:uid="{8D652E61-EF30-4856-B1C3-218CB2DD65DE}"/>
    <cellStyle name="Note 3 4 19 3" xfId="35785" xr:uid="{4CC2A41C-ED47-4557-9BA9-79248FC60348}"/>
    <cellStyle name="Note 3 4 19 4" xfId="35786" xr:uid="{E1498C17-B879-46D3-A749-5719E804D727}"/>
    <cellStyle name="Note 3 4 19 5" xfId="35787" xr:uid="{D1F8E8FB-9040-478E-B0E3-AA81D948EE64}"/>
    <cellStyle name="Note 3 4 19 6" xfId="35788" xr:uid="{820AB63C-4978-425B-A145-53D37CC0D2BA}"/>
    <cellStyle name="Note 3 4 19 7" xfId="35789" xr:uid="{8F901E49-2D20-4035-868C-AF1295015771}"/>
    <cellStyle name="Note 3 4 2" xfId="2483" xr:uid="{B7223F47-BB29-40AA-997C-8F3DF25B2FE4}"/>
    <cellStyle name="Note 3 4 2 2" xfId="8906" xr:uid="{0020A8C2-E63D-4F49-BC96-3D82440A1FD9}"/>
    <cellStyle name="Note 3 4 2 2 2" xfId="35790" xr:uid="{757A9DFD-F6E5-4B29-8A12-14D3D51AC7F6}"/>
    <cellStyle name="Note 3 4 2 3" xfId="10004" xr:uid="{A90BFFBF-13D1-4FBA-9067-F3ABFF0DE88D}"/>
    <cellStyle name="Note 3 4 2 3 2" xfId="35791" xr:uid="{C40B6166-261A-482E-90D3-4C0DEC3DFB49}"/>
    <cellStyle name="Note 3 4 2 3 3" xfId="35792" xr:uid="{3DFC44BA-9B99-4E71-B7FA-B2EEBAF97A62}"/>
    <cellStyle name="Note 3 4 2 3 4" xfId="35793" xr:uid="{789EDC60-BA1C-4DF2-9466-3F83F8137059}"/>
    <cellStyle name="Note 3 4 2 3 5" xfId="35794" xr:uid="{9551D747-1D56-4DBE-A2A5-7A6EF89E2CF0}"/>
    <cellStyle name="Note 3 4 2 3 6" xfId="35795" xr:uid="{4E36250E-BA14-483C-BA0C-1EE5CA33A159}"/>
    <cellStyle name="Note 3 4 2 4" xfId="35796" xr:uid="{EC7EA99E-B0EF-4F19-AC9B-4C6053DA7B4B}"/>
    <cellStyle name="Note 3 4 2 5" xfId="35797" xr:uid="{8FAEA053-CB17-4999-8A69-C52639061E9D}"/>
    <cellStyle name="Note 3 4 2 6" xfId="35798" xr:uid="{EE127D9B-E3A4-4EA1-8421-582ECE6F1D5E}"/>
    <cellStyle name="Note 3 4 2 7" xfId="35799" xr:uid="{3BAC7390-BFEB-4A21-ABF7-603653645425}"/>
    <cellStyle name="Note 3 4 2 8" xfId="35800" xr:uid="{7A6CB7A6-BC0B-4379-8C5D-7783B7A60EB0}"/>
    <cellStyle name="Note 3 4 20" xfId="2484" xr:uid="{C8CBAAE6-6F15-411F-8D16-8E806D3FBF63}"/>
    <cellStyle name="Note 3 4 20 2" xfId="11586" xr:uid="{C8737817-68BF-45B7-B871-394142532F6F}"/>
    <cellStyle name="Note 3 4 20 2 2" xfId="35801" xr:uid="{4899EBE6-7A1D-4AF0-9880-01EF64BFF1C7}"/>
    <cellStyle name="Note 3 4 20 2 3" xfId="35802" xr:uid="{E24756DB-16BE-4382-9F19-36322404BD7C}"/>
    <cellStyle name="Note 3 4 20 2 4" xfId="35803" xr:uid="{F42339BB-5A47-49A8-BEFC-2BA00579A5B7}"/>
    <cellStyle name="Note 3 4 20 2 5" xfId="35804" xr:uid="{1F93CF64-59E9-4639-BE92-6622CA5B9F61}"/>
    <cellStyle name="Note 3 4 20 2 6" xfId="35805" xr:uid="{253735DF-BF6F-4E1A-B94A-BCA0D449E88F}"/>
    <cellStyle name="Note 3 4 20 3" xfId="35806" xr:uid="{CFDA858F-75C4-4A06-80CD-7F1780184543}"/>
    <cellStyle name="Note 3 4 20 4" xfId="35807" xr:uid="{4890D1B4-B287-46CB-A44D-09DBEEB1EFB5}"/>
    <cellStyle name="Note 3 4 20 5" xfId="35808" xr:uid="{0A3F8523-AE74-4270-B88A-96AC32572986}"/>
    <cellStyle name="Note 3 4 20 6" xfId="35809" xr:uid="{702B87AE-A92A-4CA8-9950-1D14BC37ECCE}"/>
    <cellStyle name="Note 3 4 20 7" xfId="35810" xr:uid="{9604B705-12B5-4DE0-91A9-19075E3B44F5}"/>
    <cellStyle name="Note 3 4 21" xfId="2485" xr:uid="{B5630ACE-F029-4B66-95ED-9BD59201EFB8}"/>
    <cellStyle name="Note 3 4 21 2" xfId="11672" xr:uid="{AC104C4F-AFA9-437C-8C00-3E502D89D971}"/>
    <cellStyle name="Note 3 4 21 2 2" xfId="35811" xr:uid="{189215E8-F57B-4DA5-AD28-21C3B7097DD3}"/>
    <cellStyle name="Note 3 4 21 2 3" xfId="35812" xr:uid="{F65B58E3-E81D-4086-9266-A2CD0F664529}"/>
    <cellStyle name="Note 3 4 21 2 4" xfId="35813" xr:uid="{12ECD3F3-4CC9-47B2-9064-8AF241E6DAE2}"/>
    <cellStyle name="Note 3 4 21 2 5" xfId="35814" xr:uid="{AD382BFA-9581-4DB1-B8F5-68B25D696B19}"/>
    <cellStyle name="Note 3 4 21 2 6" xfId="35815" xr:uid="{2DD6B0EC-FBAF-4B5F-9A76-82ED140DFC85}"/>
    <cellStyle name="Note 3 4 21 3" xfId="35816" xr:uid="{E7425ED8-46B9-4D2C-A380-43FBC7B9E573}"/>
    <cellStyle name="Note 3 4 21 4" xfId="35817" xr:uid="{32E31CF2-5B73-4A45-95E2-A46F3E197EE2}"/>
    <cellStyle name="Note 3 4 21 5" xfId="35818" xr:uid="{A77A157F-803C-4B71-B1B8-2E0AB8B3945C}"/>
    <cellStyle name="Note 3 4 21 6" xfId="35819" xr:uid="{77180C18-B773-4B15-A50C-8D3B03A8B8F9}"/>
    <cellStyle name="Note 3 4 21 7" xfId="35820" xr:uid="{938773D5-2004-4711-998C-D20AAB1EF9A2}"/>
    <cellStyle name="Note 3 4 22" xfId="2486" xr:uid="{AF81964C-45B8-43BF-91CC-0FD70EF3CCAB}"/>
    <cellStyle name="Note 3 4 22 2" xfId="11755" xr:uid="{D9739226-97D4-4AD6-891B-24F8FF289DFA}"/>
    <cellStyle name="Note 3 4 22 2 2" xfId="35821" xr:uid="{6AC6877E-4497-495C-996C-7C1ED0C1682C}"/>
    <cellStyle name="Note 3 4 22 2 3" xfId="35822" xr:uid="{FB231C62-634C-4049-876F-A97B2237F13F}"/>
    <cellStyle name="Note 3 4 22 2 4" xfId="35823" xr:uid="{D06F99DD-480B-4B71-8484-08C3534383E0}"/>
    <cellStyle name="Note 3 4 22 2 5" xfId="35824" xr:uid="{FCF3E9C4-1AA4-4D78-9E6C-D54BA9973935}"/>
    <cellStyle name="Note 3 4 22 2 6" xfId="35825" xr:uid="{9F155ED5-A538-45F3-A9ED-0A0DFB2486CA}"/>
    <cellStyle name="Note 3 4 22 3" xfId="35826" xr:uid="{ACDAF718-F104-47CC-808B-648C06E7A839}"/>
    <cellStyle name="Note 3 4 22 4" xfId="35827" xr:uid="{E8041D54-17C3-476E-B565-6685891AD34A}"/>
    <cellStyle name="Note 3 4 22 5" xfId="35828" xr:uid="{30A29D53-A22C-49CF-821C-BD7F75BEE938}"/>
    <cellStyle name="Note 3 4 22 6" xfId="35829" xr:uid="{2C18788B-4F7A-467B-95E0-3B98E27CF7FF}"/>
    <cellStyle name="Note 3 4 22 7" xfId="35830" xr:uid="{08145E64-4308-405A-B66C-0DEE036AE52A}"/>
    <cellStyle name="Note 3 4 23" xfId="2487" xr:uid="{DE1C31E8-FBDF-4F9B-8AD0-A257EFBBE038}"/>
    <cellStyle name="Note 3 4 23 2" xfId="11837" xr:uid="{8C65015C-BD85-4F96-9E83-48A743ED442A}"/>
    <cellStyle name="Note 3 4 23 2 2" xfId="35831" xr:uid="{51748177-2AD0-451A-9862-AE659AC5DE5C}"/>
    <cellStyle name="Note 3 4 23 2 3" xfId="35832" xr:uid="{FA57E60B-B1A6-49F8-B0BC-46D19E416B0B}"/>
    <cellStyle name="Note 3 4 23 2 4" xfId="35833" xr:uid="{CEF1D5B3-F82F-45A0-8616-E18BBD876C8D}"/>
    <cellStyle name="Note 3 4 23 2 5" xfId="35834" xr:uid="{E7D4BACF-4803-4ECE-9372-3EC80F16ECF4}"/>
    <cellStyle name="Note 3 4 23 2 6" xfId="35835" xr:uid="{801FD0CB-1B1A-406C-85D4-1964BB5C2DE1}"/>
    <cellStyle name="Note 3 4 23 3" xfId="35836" xr:uid="{4F92344A-74B9-414E-B4C2-5BCA98BDD117}"/>
    <cellStyle name="Note 3 4 23 4" xfId="35837" xr:uid="{DD98A26A-CC5F-4AB1-8EE2-5EEA6005B376}"/>
    <cellStyle name="Note 3 4 23 5" xfId="35838" xr:uid="{B81A9B03-8936-4FC0-862E-B5C5B877746D}"/>
    <cellStyle name="Note 3 4 23 6" xfId="35839" xr:uid="{03791E9B-023D-4E13-B431-DF03D41C6D90}"/>
    <cellStyle name="Note 3 4 23 7" xfId="35840" xr:uid="{142B821F-CC3B-438B-9C01-C404D27C6D13}"/>
    <cellStyle name="Note 3 4 24" xfId="2488" xr:uid="{EC800C48-E0DF-4F6E-97A0-0D1FB13D03D8}"/>
    <cellStyle name="Note 3 4 24 2" xfId="11921" xr:uid="{B169A259-2B8C-42CB-A618-6324076FE14D}"/>
    <cellStyle name="Note 3 4 24 2 2" xfId="35841" xr:uid="{BDFAC57F-8D41-4DF3-9729-14D56B4DDFF5}"/>
    <cellStyle name="Note 3 4 24 2 3" xfId="35842" xr:uid="{71B4DDFB-B3DE-4572-8A01-A4EC9828B2E6}"/>
    <cellStyle name="Note 3 4 24 2 4" xfId="35843" xr:uid="{70ED6A3C-13C4-448F-8A95-848C09B11B11}"/>
    <cellStyle name="Note 3 4 24 2 5" xfId="35844" xr:uid="{16C9A63D-4BAD-4368-9C6D-DC606FAD7170}"/>
    <cellStyle name="Note 3 4 24 2 6" xfId="35845" xr:uid="{A159AEC5-16D6-4DB1-AC82-E2CE8A7DE155}"/>
    <cellStyle name="Note 3 4 24 3" xfId="35846" xr:uid="{B213309F-280A-4C65-AA50-E264D03FC91D}"/>
    <cellStyle name="Note 3 4 24 4" xfId="35847" xr:uid="{0AB1A97F-7F87-4596-BF14-631D92C13EAC}"/>
    <cellStyle name="Note 3 4 24 5" xfId="35848" xr:uid="{773694FC-DEC6-45C9-96C2-1D76A2C1CFA5}"/>
    <cellStyle name="Note 3 4 24 6" xfId="35849" xr:uid="{429A66C6-2665-4BD3-9EB7-A1D036207F72}"/>
    <cellStyle name="Note 3 4 24 7" xfId="35850" xr:uid="{AA6A068B-F3B2-44A8-9953-09E0D85E6A27}"/>
    <cellStyle name="Note 3 4 25" xfId="2489" xr:uid="{AB2A4169-62B5-4F99-9C9C-CA7D4F6DD174}"/>
    <cellStyle name="Note 3 4 25 2" xfId="12005" xr:uid="{DA5DA531-2F3D-4E7D-8E68-E22582B5676D}"/>
    <cellStyle name="Note 3 4 25 2 2" xfId="35851" xr:uid="{7DFB49EE-C36F-44B5-A9F7-BED5B4D52AC0}"/>
    <cellStyle name="Note 3 4 25 2 3" xfId="35852" xr:uid="{F9C6B5A8-1DAF-4391-9571-79DC186FF2FB}"/>
    <cellStyle name="Note 3 4 25 2 4" xfId="35853" xr:uid="{E499B605-0783-46AD-ADE9-32779F2D9F44}"/>
    <cellStyle name="Note 3 4 25 2 5" xfId="35854" xr:uid="{283C38CA-21BB-4E54-ACC3-0FA0E0C031A5}"/>
    <cellStyle name="Note 3 4 25 2 6" xfId="35855" xr:uid="{455C5388-0A9A-4283-97A7-CFEBD937EB13}"/>
    <cellStyle name="Note 3 4 25 3" xfId="35856" xr:uid="{84A4FC71-2159-4984-8ED4-022E6DF2B9C5}"/>
    <cellStyle name="Note 3 4 25 4" xfId="35857" xr:uid="{35EE67C1-F030-49D8-9FB7-D0C4965276F2}"/>
    <cellStyle name="Note 3 4 25 5" xfId="35858" xr:uid="{B6026FED-988D-4661-8A71-5F8CE465CE15}"/>
    <cellStyle name="Note 3 4 25 6" xfId="35859" xr:uid="{265C20B4-2224-4B0C-A3A6-9C313C40DBCA}"/>
    <cellStyle name="Note 3 4 25 7" xfId="35860" xr:uid="{04403A75-D7D7-4E15-8E73-AD849EC2D605}"/>
    <cellStyle name="Note 3 4 26" xfId="2490" xr:uid="{6B218E99-D74E-40EC-8DF7-447BF7A7F2A8}"/>
    <cellStyle name="Note 3 4 26 2" xfId="12088" xr:uid="{209B2F04-2E3F-48BE-B2C8-BBC628341CB6}"/>
    <cellStyle name="Note 3 4 26 2 2" xfId="35861" xr:uid="{19FC0987-12B0-46EC-AEDC-586845407147}"/>
    <cellStyle name="Note 3 4 26 2 3" xfId="35862" xr:uid="{45239132-BC7A-46CA-ADFF-941D1FCF5485}"/>
    <cellStyle name="Note 3 4 26 2 4" xfId="35863" xr:uid="{AC66F18D-BCCC-4156-BA6E-AB1673ECC7DC}"/>
    <cellStyle name="Note 3 4 26 2 5" xfId="35864" xr:uid="{BF44F188-EBB3-4AD0-8436-9AF5491E75A3}"/>
    <cellStyle name="Note 3 4 26 2 6" xfId="35865" xr:uid="{14BE8567-64E8-4619-98C5-E27209B616A3}"/>
    <cellStyle name="Note 3 4 26 3" xfId="35866" xr:uid="{B3EADCF4-2750-4CB6-9039-1B50D8321F58}"/>
    <cellStyle name="Note 3 4 26 4" xfId="35867" xr:uid="{C0BA75F1-52A2-4852-B987-99EE2962AA38}"/>
    <cellStyle name="Note 3 4 26 5" xfId="35868" xr:uid="{89598280-9FD9-4623-B5F5-AE15720B6C1F}"/>
    <cellStyle name="Note 3 4 26 6" xfId="35869" xr:uid="{E66E393F-48CC-4DE6-84AC-419B787F4740}"/>
    <cellStyle name="Note 3 4 26 7" xfId="35870" xr:uid="{DA726B58-5FD5-4AB8-8BFE-00B1504FDD6C}"/>
    <cellStyle name="Note 3 4 27" xfId="2491" xr:uid="{26D82FEE-684D-497F-8D89-2CD628FDE877}"/>
    <cellStyle name="Note 3 4 27 2" xfId="12171" xr:uid="{D4A108A5-406E-49EA-A716-2FB7A08B0478}"/>
    <cellStyle name="Note 3 4 27 2 2" xfId="35871" xr:uid="{F9A4DD5D-C046-4824-8B1B-7D3B8E0C486D}"/>
    <cellStyle name="Note 3 4 27 2 3" xfId="35872" xr:uid="{96F5CD14-123D-40ED-A596-81DA7D6CEF85}"/>
    <cellStyle name="Note 3 4 27 2 4" xfId="35873" xr:uid="{F0F1EF76-DBFB-40D4-A7CF-61E5D289D93D}"/>
    <cellStyle name="Note 3 4 27 2 5" xfId="35874" xr:uid="{5286544B-CF2E-4D7B-829B-47476A82174B}"/>
    <cellStyle name="Note 3 4 27 2 6" xfId="35875" xr:uid="{6303402A-B080-4F35-8629-2845B6DC9298}"/>
    <cellStyle name="Note 3 4 27 3" xfId="35876" xr:uid="{FC990F25-22FA-4E71-8C1E-035308F9B872}"/>
    <cellStyle name="Note 3 4 27 4" xfId="35877" xr:uid="{9A5BF689-FBE6-44F7-8356-20DFFBE8CEFF}"/>
    <cellStyle name="Note 3 4 27 5" xfId="35878" xr:uid="{9377F439-60B3-4873-8BB7-A9B7464D5CD5}"/>
    <cellStyle name="Note 3 4 27 6" xfId="35879" xr:uid="{33110633-F650-42F6-AA2C-6447E081BE9E}"/>
    <cellStyle name="Note 3 4 27 7" xfId="35880" xr:uid="{650459D5-F082-4B2E-848D-BCBDAD890651}"/>
    <cellStyle name="Note 3 4 28" xfId="2492" xr:uid="{B1A09FDB-B290-44CF-800A-A29653DFE3FD}"/>
    <cellStyle name="Note 3 4 28 2" xfId="12250" xr:uid="{A1C8D3F9-6321-4CF3-933D-53C2D486472D}"/>
    <cellStyle name="Note 3 4 28 2 2" xfId="35881" xr:uid="{CF679544-F21C-448C-91F8-103398E987F4}"/>
    <cellStyle name="Note 3 4 28 2 3" xfId="35882" xr:uid="{D05447BD-2A0C-4AF7-AE4C-25CE9041E5E5}"/>
    <cellStyle name="Note 3 4 28 2 4" xfId="35883" xr:uid="{15BADE2E-6C2B-401E-88F1-3622EF01AEB1}"/>
    <cellStyle name="Note 3 4 28 2 5" xfId="35884" xr:uid="{EFF5D89B-69A1-4E37-AF86-B05903E832D2}"/>
    <cellStyle name="Note 3 4 28 2 6" xfId="35885" xr:uid="{26A93CBF-8A38-47FB-857F-0FE2D539F13E}"/>
    <cellStyle name="Note 3 4 28 3" xfId="35886" xr:uid="{18622D7E-DA82-4968-9B74-415D8BC9E0B8}"/>
    <cellStyle name="Note 3 4 28 4" xfId="35887" xr:uid="{5568B1D4-078A-465A-B058-C8311A7CF297}"/>
    <cellStyle name="Note 3 4 28 5" xfId="35888" xr:uid="{3A4F76C8-9032-41AF-9DC6-8C8E93A11B29}"/>
    <cellStyle name="Note 3 4 28 6" xfId="35889" xr:uid="{B2DA23E8-3A34-4551-9D12-B5627F471795}"/>
    <cellStyle name="Note 3 4 28 7" xfId="35890" xr:uid="{30E94E94-111C-4E85-9B83-E50D4DF77BF5}"/>
    <cellStyle name="Note 3 4 29" xfId="2493" xr:uid="{A1ECE3B5-B396-4BF8-A7CA-EC0BA9945934}"/>
    <cellStyle name="Note 3 4 29 2" xfId="12329" xr:uid="{CBD7356C-2618-4295-8990-23ED3E7FC55B}"/>
    <cellStyle name="Note 3 4 29 2 2" xfId="35891" xr:uid="{5D7AD8BD-B73C-4EDA-AFEB-5AC0DA8C5653}"/>
    <cellStyle name="Note 3 4 29 2 3" xfId="35892" xr:uid="{FB9F4EAA-8CF9-409D-A894-CEDC2A5DD4FA}"/>
    <cellStyle name="Note 3 4 29 2 4" xfId="35893" xr:uid="{0DE600B9-DC71-4FB3-97E2-3DE2E6ED5779}"/>
    <cellStyle name="Note 3 4 29 2 5" xfId="35894" xr:uid="{FC990A0F-E0F9-4187-AB88-372D690243AB}"/>
    <cellStyle name="Note 3 4 29 2 6" xfId="35895" xr:uid="{A5227BB6-5DEA-4655-BCC3-E637FB83DDBC}"/>
    <cellStyle name="Note 3 4 29 3" xfId="35896" xr:uid="{4FDF22B5-24FA-4714-BA31-8DDE2E14223F}"/>
    <cellStyle name="Note 3 4 29 4" xfId="35897" xr:uid="{6A78F691-D77A-4B61-81E8-4A221A99BBF6}"/>
    <cellStyle name="Note 3 4 29 5" xfId="35898" xr:uid="{7F8CEF1B-9B8D-48A7-A75D-5C556C6DC283}"/>
    <cellStyle name="Note 3 4 29 6" xfId="35899" xr:uid="{27CACD85-C8E7-47E3-BB36-0F72E659EF3A}"/>
    <cellStyle name="Note 3 4 29 7" xfId="35900" xr:uid="{CDBAF377-262C-4923-BA0B-79DF3F1E57C6}"/>
    <cellStyle name="Note 3 4 3" xfId="2494" xr:uid="{A817A87F-258E-400A-9B65-F4B2249D8FDB}"/>
    <cellStyle name="Note 3 4 3 2" xfId="8907" xr:uid="{3CBE269B-58D8-492D-AAF6-FEC65059113F}"/>
    <cellStyle name="Note 3 4 3 2 2" xfId="35901" xr:uid="{3673EF1C-617D-47DF-835C-C1194F505DFF}"/>
    <cellStyle name="Note 3 4 3 3" xfId="10095" xr:uid="{28E2C9C2-2916-4F9E-A010-998DA9AF0AF6}"/>
    <cellStyle name="Note 3 4 3 3 2" xfId="35902" xr:uid="{9D0ADD92-5C0C-48B3-B200-3087205B6CB8}"/>
    <cellStyle name="Note 3 4 3 3 3" xfId="35903" xr:uid="{8B96906E-40A3-44B1-A79A-45AD7F216069}"/>
    <cellStyle name="Note 3 4 3 3 4" xfId="35904" xr:uid="{8CD4DAC5-7872-4E8F-9359-77F93D732034}"/>
    <cellStyle name="Note 3 4 3 3 5" xfId="35905" xr:uid="{7EBAEF37-F7A3-492A-AC0B-B5D10E4FFEB5}"/>
    <cellStyle name="Note 3 4 3 3 6" xfId="35906" xr:uid="{77BF42B5-50E8-4EC5-886D-A31869CC5979}"/>
    <cellStyle name="Note 3 4 3 4" xfId="35907" xr:uid="{4561EDE1-7D9D-400C-9FCA-E5F85309F0F8}"/>
    <cellStyle name="Note 3 4 3 5" xfId="35908" xr:uid="{DED1E65F-8752-4312-BFFD-834E43811E5F}"/>
    <cellStyle name="Note 3 4 3 6" xfId="35909" xr:uid="{C1603FF6-13DA-402A-B031-CF7713D32A4F}"/>
    <cellStyle name="Note 3 4 3 7" xfId="35910" xr:uid="{FF27A150-D5FE-40F1-A393-9EE266EFED4D}"/>
    <cellStyle name="Note 3 4 3 8" xfId="35911" xr:uid="{F34CAE77-F650-4C01-9BA6-0CAAABB49DD1}"/>
    <cellStyle name="Note 3 4 30" xfId="2495" xr:uid="{66AEB972-5D42-4E1E-A4C1-D40E5542FFB5}"/>
    <cellStyle name="Note 3 4 30 2" xfId="12408" xr:uid="{2862D4A7-4805-4213-B099-4EF0917E1BA8}"/>
    <cellStyle name="Note 3 4 30 2 2" xfId="35912" xr:uid="{C57F9C03-5459-4644-9AB2-3A7C169CCC42}"/>
    <cellStyle name="Note 3 4 30 2 3" xfId="35913" xr:uid="{4108000D-3C37-45D0-B7B8-8CB124978D97}"/>
    <cellStyle name="Note 3 4 30 2 4" xfId="35914" xr:uid="{64D6F18D-4409-454E-9F81-FD82448DA9F2}"/>
    <cellStyle name="Note 3 4 30 2 5" xfId="35915" xr:uid="{48703D87-8E8D-4E4B-A1C9-E91EF49A87A3}"/>
    <cellStyle name="Note 3 4 30 2 6" xfId="35916" xr:uid="{DB21E0C4-2406-4A49-94D7-6E3161468DF8}"/>
    <cellStyle name="Note 3 4 30 3" xfId="35917" xr:uid="{E653EB7E-BC2E-460C-851F-9BB6C3189A65}"/>
    <cellStyle name="Note 3 4 30 4" xfId="35918" xr:uid="{CBA4154B-B9DC-411F-BD64-EC8D949DDA47}"/>
    <cellStyle name="Note 3 4 30 5" xfId="35919" xr:uid="{C988DE88-5DA4-47FB-A1FD-34EB3CE55426}"/>
    <cellStyle name="Note 3 4 30 6" xfId="35920" xr:uid="{EED84BAE-49DC-4E9F-AE98-D3760B167F81}"/>
    <cellStyle name="Note 3 4 30 7" xfId="35921" xr:uid="{2C45786C-B942-4D22-9E68-8A2306609489}"/>
    <cellStyle name="Note 3 4 31" xfId="2496" xr:uid="{6D9CEEEF-3A0A-4550-BF55-C6BADE77F4B6}"/>
    <cellStyle name="Note 3 4 31 2" xfId="12487" xr:uid="{FAF52728-3D6B-47A5-B13E-984F09EF67E3}"/>
    <cellStyle name="Note 3 4 31 2 2" xfId="35922" xr:uid="{6979E9D3-6088-4B98-8D1F-2F7E8D359449}"/>
    <cellStyle name="Note 3 4 31 2 3" xfId="35923" xr:uid="{7B373505-224C-4F71-BBBA-338EC61CC6C1}"/>
    <cellStyle name="Note 3 4 31 2 4" xfId="35924" xr:uid="{98B16E34-BB20-431E-8F71-8270A0362BE7}"/>
    <cellStyle name="Note 3 4 31 2 5" xfId="35925" xr:uid="{EC4F3951-033D-426A-84C0-4573AA4460C4}"/>
    <cellStyle name="Note 3 4 31 2 6" xfId="35926" xr:uid="{E95B071A-4318-4C24-8AD3-B66F637750AE}"/>
    <cellStyle name="Note 3 4 31 3" xfId="35927" xr:uid="{9E8B3BC8-671F-4204-962F-6533E15D1EA1}"/>
    <cellStyle name="Note 3 4 31 4" xfId="35928" xr:uid="{25AB2316-B944-4B40-BC92-16BA29B781E8}"/>
    <cellStyle name="Note 3 4 31 5" xfId="35929" xr:uid="{0FFF48FC-AB5E-4997-94A9-3E162C10B7C6}"/>
    <cellStyle name="Note 3 4 31 6" xfId="35930" xr:uid="{76177C77-4C7B-40CF-B8F5-CE3C750E7543}"/>
    <cellStyle name="Note 3 4 31 7" xfId="35931" xr:uid="{F7224B6A-EE6A-4EF0-AB3C-B21EA3293A19}"/>
    <cellStyle name="Note 3 4 32" xfId="2497" xr:uid="{769C80D5-A084-40AA-B22F-209FBD8C95BC}"/>
    <cellStyle name="Note 3 4 32 2" xfId="12566" xr:uid="{BFA35B71-3AA7-45CB-A559-F64492F9AFEA}"/>
    <cellStyle name="Note 3 4 32 2 2" xfId="35932" xr:uid="{68B94F22-5D98-4F62-A783-259EBBC02BE4}"/>
    <cellStyle name="Note 3 4 32 2 3" xfId="35933" xr:uid="{1C340827-83F9-4CAF-B409-9915A9533328}"/>
    <cellStyle name="Note 3 4 32 2 4" xfId="35934" xr:uid="{9C06946D-F38F-4A41-94DD-B069EF144E20}"/>
    <cellStyle name="Note 3 4 32 2 5" xfId="35935" xr:uid="{335783F1-3083-4AFD-97AE-6B03EF944CED}"/>
    <cellStyle name="Note 3 4 32 2 6" xfId="35936" xr:uid="{55D30B8B-3592-4FB8-8673-F4C9023CA255}"/>
    <cellStyle name="Note 3 4 32 3" xfId="35937" xr:uid="{4B87C502-C50D-4D12-BE17-57BB1525FB99}"/>
    <cellStyle name="Note 3 4 32 4" xfId="35938" xr:uid="{2D3D7F52-4543-42CF-A1D6-619D4EEA5405}"/>
    <cellStyle name="Note 3 4 32 5" xfId="35939" xr:uid="{AA3B4215-CF0D-40F8-9F45-8EEDBC092416}"/>
    <cellStyle name="Note 3 4 32 6" xfId="35940" xr:uid="{83BC8FAE-A52D-4601-9041-B37EF28DE000}"/>
    <cellStyle name="Note 3 4 32 7" xfId="35941" xr:uid="{C040247A-0A54-431D-B287-D11F79B0F7ED}"/>
    <cellStyle name="Note 3 4 33" xfId="2498" xr:uid="{A887C16E-E193-4EE8-804C-E84ED7749604}"/>
    <cellStyle name="Note 3 4 33 2" xfId="12645" xr:uid="{6A524308-A1A9-48B8-B908-39E79EBC5FE2}"/>
    <cellStyle name="Note 3 4 33 2 2" xfId="35942" xr:uid="{C4780B8C-E792-43F0-AE37-1BE5B5FAC15D}"/>
    <cellStyle name="Note 3 4 33 2 3" xfId="35943" xr:uid="{78BB12D0-1142-4685-9FF6-60A805E41523}"/>
    <cellStyle name="Note 3 4 33 2 4" xfId="35944" xr:uid="{7D29D640-EC7B-4813-A6F3-3608A60EC5A2}"/>
    <cellStyle name="Note 3 4 33 2 5" xfId="35945" xr:uid="{9B237380-96F6-470B-91C1-5435FA8BB1D6}"/>
    <cellStyle name="Note 3 4 33 2 6" xfId="35946" xr:uid="{172CE1C4-FB7F-42A7-B484-460D5D094948}"/>
    <cellStyle name="Note 3 4 33 3" xfId="35947" xr:uid="{A72BBE35-7F70-48E7-A742-5DDC0A18229D}"/>
    <cellStyle name="Note 3 4 33 4" xfId="35948" xr:uid="{216E19F5-3FD2-4EE8-A7FA-441DB45F77C7}"/>
    <cellStyle name="Note 3 4 33 5" xfId="35949" xr:uid="{F9F3AA6C-5148-4E44-AC32-7B03DFCF3CB5}"/>
    <cellStyle name="Note 3 4 33 6" xfId="35950" xr:uid="{6F0E3F00-784E-4E65-A1CE-D30C53BFA9FB}"/>
    <cellStyle name="Note 3 4 33 7" xfId="35951" xr:uid="{B16392E9-1CCA-4A97-8EF7-677EAC10693C}"/>
    <cellStyle name="Note 3 4 34" xfId="2499" xr:uid="{E04567CB-2363-48A0-9817-7531BE1172CF}"/>
    <cellStyle name="Note 3 4 34 2" xfId="12729" xr:uid="{6203A0A7-580F-4A2C-A3E4-96C7A26584A6}"/>
    <cellStyle name="Note 3 4 34 2 2" xfId="35952" xr:uid="{47A4FA09-6C49-4439-A88A-05A6D372949F}"/>
    <cellStyle name="Note 3 4 34 2 3" xfId="35953" xr:uid="{A06D54D6-EFAE-48D9-B91D-ACC6460321E8}"/>
    <cellStyle name="Note 3 4 34 2 4" xfId="35954" xr:uid="{2E380589-8949-4C1C-AAF0-8E1E6A200217}"/>
    <cellStyle name="Note 3 4 34 2 5" xfId="35955" xr:uid="{9CAA7F15-8F4A-4954-8107-3654A52CB162}"/>
    <cellStyle name="Note 3 4 34 2 6" xfId="35956" xr:uid="{90E89722-2123-4B8F-9C16-9D6AC9AA1806}"/>
    <cellStyle name="Note 3 4 34 3" xfId="35957" xr:uid="{71767323-0DDC-4185-B6AA-771F7E30366D}"/>
    <cellStyle name="Note 3 4 34 4" xfId="35958" xr:uid="{439603D7-F631-4190-AB37-DAD375AC8C0B}"/>
    <cellStyle name="Note 3 4 34 5" xfId="35959" xr:uid="{E38B0BD9-8437-4576-B289-C010D6161FEE}"/>
    <cellStyle name="Note 3 4 34 6" xfId="35960" xr:uid="{08C0A010-63BB-45AD-936D-A1237D4DF8FA}"/>
    <cellStyle name="Note 3 4 34 7" xfId="35961" xr:uid="{3A4702DA-A8B4-47E6-8FAA-29CA695286BD}"/>
    <cellStyle name="Note 3 4 35" xfId="8908" xr:uid="{178B7E7D-A080-4B31-BEF4-3F633781A4B5}"/>
    <cellStyle name="Note 3 4 35 2" xfId="35962" xr:uid="{4E36F42C-0F44-4C4C-901E-88011007D1E6}"/>
    <cellStyle name="Note 3 4 36" xfId="9793" xr:uid="{0396632F-ABBE-4D06-A713-056811E78824}"/>
    <cellStyle name="Note 3 4 36 2" xfId="35963" xr:uid="{6471E48C-723D-4EE5-8733-68C1936A5613}"/>
    <cellStyle name="Note 3 4 36 3" xfId="35964" xr:uid="{6E517B0F-C002-4DC6-AD8F-2DCC2F5F6870}"/>
    <cellStyle name="Note 3 4 36 4" xfId="35965" xr:uid="{0997A93A-D70C-418A-82EB-DD0755B39B88}"/>
    <cellStyle name="Note 3 4 36 5" xfId="35966" xr:uid="{6CEA14A2-A86C-4D2F-A455-48085520965F}"/>
    <cellStyle name="Note 3 4 36 6" xfId="35967" xr:uid="{96C2AC1A-C08A-4A71-BA30-B2DDD6DB1D4A}"/>
    <cellStyle name="Note 3 4 37" xfId="35968" xr:uid="{1B03ECE7-58F1-4CBA-9514-C9EFE7867BF5}"/>
    <cellStyle name="Note 3 4 38" xfId="35969" xr:uid="{2B4F5B77-491A-4312-BD55-3292EBE71E95}"/>
    <cellStyle name="Note 3 4 39" xfId="35970" xr:uid="{50856E3B-66C6-4583-92B3-F802D4817313}"/>
    <cellStyle name="Note 3 4 4" xfId="2500" xr:uid="{548B2C2D-B6B5-4053-A168-4A2BE7D9382B}"/>
    <cellStyle name="Note 3 4 4 2" xfId="10186" xr:uid="{4ED0B822-FD9A-48BD-96D6-88C3363D5D86}"/>
    <cellStyle name="Note 3 4 4 2 2" xfId="35971" xr:uid="{40E227F0-2C34-42FF-94F5-46C5C6E0BCD6}"/>
    <cellStyle name="Note 3 4 4 2 3" xfId="35972" xr:uid="{8330313D-33F6-4E23-9956-BB635E79F771}"/>
    <cellStyle name="Note 3 4 4 2 4" xfId="35973" xr:uid="{0343B81D-F7A4-45CC-B4A3-81B32CFFE41C}"/>
    <cellStyle name="Note 3 4 4 2 5" xfId="35974" xr:uid="{3DD982C9-9EDD-43EF-8D91-4F82EE02F191}"/>
    <cellStyle name="Note 3 4 4 2 6" xfId="35975" xr:uid="{D4F54DDD-7A67-4351-BCA8-F32C2A3576FF}"/>
    <cellStyle name="Note 3 4 4 3" xfId="35976" xr:uid="{9693B9E7-2EA5-476A-AF49-C682A28AE1CC}"/>
    <cellStyle name="Note 3 4 4 4" xfId="35977" xr:uid="{8615A22C-BD33-4E65-B053-6BF51181404E}"/>
    <cellStyle name="Note 3 4 4 5" xfId="35978" xr:uid="{FE725D4C-C06D-41E4-8947-AEEEC8794BFB}"/>
    <cellStyle name="Note 3 4 4 6" xfId="35979" xr:uid="{C90962C7-FCD0-45E5-9653-DA134D643C56}"/>
    <cellStyle name="Note 3 4 4 7" xfId="35980" xr:uid="{E0506A16-4A7B-4A4B-A8AF-8C4D622DFB4D}"/>
    <cellStyle name="Note 3 4 40" xfId="35981" xr:uid="{44C4B15F-D713-4614-9FA1-607A8C4DFB1E}"/>
    <cellStyle name="Note 3 4 41" xfId="35982" xr:uid="{C459D76F-5F56-448D-A83A-FBE20F2CFEF1}"/>
    <cellStyle name="Note 3 4 5" xfId="2501" xr:uid="{F2ED0B47-4BCE-4A81-B16F-59E9A618DA50}"/>
    <cellStyle name="Note 3 4 5 2" xfId="10274" xr:uid="{4038DDEB-8302-4307-A83A-695726FA53FC}"/>
    <cellStyle name="Note 3 4 5 2 2" xfId="35983" xr:uid="{10A6E89E-7D45-4293-9612-69C6DF24B244}"/>
    <cellStyle name="Note 3 4 5 2 3" xfId="35984" xr:uid="{05646764-AE2C-49D9-9D86-B342649BDB02}"/>
    <cellStyle name="Note 3 4 5 2 4" xfId="35985" xr:uid="{4458FFD3-132D-4BF9-BA48-B67B550F48B0}"/>
    <cellStyle name="Note 3 4 5 2 5" xfId="35986" xr:uid="{1FDDC2A9-BD56-4A02-840E-792962320105}"/>
    <cellStyle name="Note 3 4 5 2 6" xfId="35987" xr:uid="{CBEC3AFC-2BB9-46B9-BABC-991434648964}"/>
    <cellStyle name="Note 3 4 5 3" xfId="35988" xr:uid="{565AA390-F42F-4F92-A820-A00DB5A225CA}"/>
    <cellStyle name="Note 3 4 5 4" xfId="35989" xr:uid="{3626B6B7-DE59-407F-86D8-696EB85D6B04}"/>
    <cellStyle name="Note 3 4 5 5" xfId="35990" xr:uid="{4377B3E7-629E-4F16-BA69-9BC9E05601A9}"/>
    <cellStyle name="Note 3 4 5 6" xfId="35991" xr:uid="{08FED0A1-9DC1-48CD-BF58-C7A3E43D4130}"/>
    <cellStyle name="Note 3 4 5 7" xfId="35992" xr:uid="{3A0836A9-8BE4-4C36-823C-D4131439F62F}"/>
    <cellStyle name="Note 3 4 6" xfId="2502" xr:uid="{99415A12-E144-4A60-86D8-5274976A24D5}"/>
    <cellStyle name="Note 3 4 6 2" xfId="10359" xr:uid="{E849B124-043F-480F-AEE8-90DFBDDB28B9}"/>
    <cellStyle name="Note 3 4 6 2 2" xfId="35993" xr:uid="{2A4943DA-3A28-4626-B210-D532ACD1BA4F}"/>
    <cellStyle name="Note 3 4 6 2 3" xfId="35994" xr:uid="{0CA64BFD-79CD-4A73-B114-72D15BC99868}"/>
    <cellStyle name="Note 3 4 6 2 4" xfId="35995" xr:uid="{F7DB50EF-7994-4E56-9AA6-A5CC2C198918}"/>
    <cellStyle name="Note 3 4 6 2 5" xfId="35996" xr:uid="{A36BE2A0-0953-4E5B-AD8B-B226370A6261}"/>
    <cellStyle name="Note 3 4 6 2 6" xfId="35997" xr:uid="{25FCE8A8-D785-4623-8414-22EE5CE4E4E5}"/>
    <cellStyle name="Note 3 4 6 3" xfId="35998" xr:uid="{A9842DB0-17A6-414A-B80A-22E0723B9E31}"/>
    <cellStyle name="Note 3 4 6 4" xfId="35999" xr:uid="{2C751678-93D0-4F09-840C-43E8EEBBD319}"/>
    <cellStyle name="Note 3 4 6 5" xfId="36000" xr:uid="{EDA91593-EA77-4A35-B5C6-399244DAEE37}"/>
    <cellStyle name="Note 3 4 6 6" xfId="36001" xr:uid="{55F44399-0D5F-4CEE-93BE-D716EE01685D}"/>
    <cellStyle name="Note 3 4 6 7" xfId="36002" xr:uid="{939D4D59-B657-49B1-BEF2-A2CE63A9D21F}"/>
    <cellStyle name="Note 3 4 7" xfId="2503" xr:uid="{462F083C-73A4-4F9E-94A6-A6050F22D248}"/>
    <cellStyle name="Note 3 4 7 2" xfId="10446" xr:uid="{3471E03E-A71D-45E1-95A2-D42A0789482D}"/>
    <cellStyle name="Note 3 4 7 2 2" xfId="36003" xr:uid="{E81E2AAF-9AE2-43D1-9A66-0DFAC24918E4}"/>
    <cellStyle name="Note 3 4 7 2 3" xfId="36004" xr:uid="{79F5F9A6-EBDD-4478-891E-377F0AC8977B}"/>
    <cellStyle name="Note 3 4 7 2 4" xfId="36005" xr:uid="{8044869A-3BFA-49CC-A05E-909D0190FCAD}"/>
    <cellStyle name="Note 3 4 7 2 5" xfId="36006" xr:uid="{F1A66FE0-0BFF-42B0-A305-ADC7E4D1ED29}"/>
    <cellStyle name="Note 3 4 7 2 6" xfId="36007" xr:uid="{D69C63BC-28DE-4149-A380-4035C0736125}"/>
    <cellStyle name="Note 3 4 7 3" xfId="36008" xr:uid="{2B3149DB-663C-4C96-A5B2-D257B3290AEF}"/>
    <cellStyle name="Note 3 4 7 4" xfId="36009" xr:uid="{76BEF39B-BB13-4C3E-8D48-A6A5486270FC}"/>
    <cellStyle name="Note 3 4 7 5" xfId="36010" xr:uid="{9E6D4B05-BCDF-4FA1-BA1D-9D0DC4321797}"/>
    <cellStyle name="Note 3 4 7 6" xfId="36011" xr:uid="{7D0B08A5-DBDC-4B51-86AB-5DDB9EBD2D9C}"/>
    <cellStyle name="Note 3 4 7 7" xfId="36012" xr:uid="{1163A5BD-23D9-4FFD-9372-5CA65C6EBD8F}"/>
    <cellStyle name="Note 3 4 8" xfId="2504" xr:uid="{21A1E66E-0E16-4547-B349-430C6A2CE795}"/>
    <cellStyle name="Note 3 4 8 2" xfId="10535" xr:uid="{03205971-7962-4096-99C3-0758F006B8D2}"/>
    <cellStyle name="Note 3 4 8 2 2" xfId="36013" xr:uid="{0E7A0CC7-EAB1-4AB7-AEDB-456B537D4CFC}"/>
    <cellStyle name="Note 3 4 8 2 3" xfId="36014" xr:uid="{5FB56CE4-0402-4D11-BA43-0C1F5AE28C38}"/>
    <cellStyle name="Note 3 4 8 2 4" xfId="36015" xr:uid="{7CC85585-F5C7-48AE-B8E3-5DD086E92100}"/>
    <cellStyle name="Note 3 4 8 2 5" xfId="36016" xr:uid="{76FDE0E5-FBC2-487D-ADE1-736C670E06CA}"/>
    <cellStyle name="Note 3 4 8 2 6" xfId="36017" xr:uid="{2C3BD114-F938-405B-A402-06DDFBBABFB7}"/>
    <cellStyle name="Note 3 4 8 3" xfId="36018" xr:uid="{F0D7F4F1-B9F2-44B6-B81E-F6862C52378E}"/>
    <cellStyle name="Note 3 4 8 4" xfId="36019" xr:uid="{755901F9-08F8-4362-8453-1A5C37C095FE}"/>
    <cellStyle name="Note 3 4 8 5" xfId="36020" xr:uid="{CAA1B4C8-4175-4671-8902-15FE03E2162C}"/>
    <cellStyle name="Note 3 4 8 6" xfId="36021" xr:uid="{09EC1ECB-73D1-4E22-B40F-C47F2BDB2A10}"/>
    <cellStyle name="Note 3 4 8 7" xfId="36022" xr:uid="{2F319DEE-4C46-4590-9EAB-9D1D51529477}"/>
    <cellStyle name="Note 3 4 9" xfId="2505" xr:uid="{960972D8-386E-4C71-9B66-8D4B113FD8CE}"/>
    <cellStyle name="Note 3 4 9 2" xfId="10617" xr:uid="{4E966CAD-8662-4D6B-8C09-52DF60677144}"/>
    <cellStyle name="Note 3 4 9 2 2" xfId="36023" xr:uid="{491ADD70-D2AF-4758-B0FE-5BD97D765200}"/>
    <cellStyle name="Note 3 4 9 2 3" xfId="36024" xr:uid="{2DFD7C81-FD6A-4647-B426-42AA470926EC}"/>
    <cellStyle name="Note 3 4 9 2 4" xfId="36025" xr:uid="{26A068F9-3766-458B-8C13-C490DD521E00}"/>
    <cellStyle name="Note 3 4 9 2 5" xfId="36026" xr:uid="{869BC4B2-9163-492E-9190-11853B2757F5}"/>
    <cellStyle name="Note 3 4 9 2 6" xfId="36027" xr:uid="{0CCA5017-8ADB-490D-9953-CF5CD1F545C9}"/>
    <cellStyle name="Note 3 4 9 3" xfId="36028" xr:uid="{FA35B06E-8FDE-4497-8CE1-2F869926A065}"/>
    <cellStyle name="Note 3 4 9 4" xfId="36029" xr:uid="{0DAC54C9-7C46-460D-841B-12AA5782A5DD}"/>
    <cellStyle name="Note 3 4 9 5" xfId="36030" xr:uid="{F4C4F077-619A-4679-8812-460DEBC863F9}"/>
    <cellStyle name="Note 3 4 9 6" xfId="36031" xr:uid="{E5CD7737-9BBF-4095-8DA9-241AF93064E7}"/>
    <cellStyle name="Note 3 4 9 7" xfId="36032" xr:uid="{7952BC69-1585-4C49-AD5E-115642068829}"/>
    <cellStyle name="Note 3 5" xfId="2506" xr:uid="{CBFF9569-2CFB-47E3-A116-924BEE6726DE}"/>
    <cellStyle name="Note 3 5 10" xfId="2507" xr:uid="{B2033E43-476E-4B22-AC06-0AD95C162F06}"/>
    <cellStyle name="Note 3 5 10 2" xfId="10740" xr:uid="{5D0D6331-AF2A-46FC-A031-73E902C2BBBA}"/>
    <cellStyle name="Note 3 5 10 2 2" xfId="36033" xr:uid="{28B5B93A-B851-41B5-91E3-01AE2E02E6A4}"/>
    <cellStyle name="Note 3 5 10 2 3" xfId="36034" xr:uid="{83D3BB15-7D1F-40D2-A37F-F7D7C81E7311}"/>
    <cellStyle name="Note 3 5 10 2 4" xfId="36035" xr:uid="{F249B376-DC19-4623-B03D-6ACEA462E902}"/>
    <cellStyle name="Note 3 5 10 2 5" xfId="36036" xr:uid="{06D549D7-E699-4887-9EC0-D0931C366253}"/>
    <cellStyle name="Note 3 5 10 2 6" xfId="36037" xr:uid="{1B36D1EF-3037-4C3F-A3AD-D0ED6943995E}"/>
    <cellStyle name="Note 3 5 10 3" xfId="36038" xr:uid="{2C8037CA-FFEB-44D0-BCC3-363FDE9CB5A3}"/>
    <cellStyle name="Note 3 5 10 4" xfId="36039" xr:uid="{65CCB80C-BBC6-4BEE-B124-B2DC6665B5B8}"/>
    <cellStyle name="Note 3 5 10 5" xfId="36040" xr:uid="{EA17052E-2421-4470-BB53-489AFE40B542}"/>
    <cellStyle name="Note 3 5 10 6" xfId="36041" xr:uid="{35037BAB-5765-4BF0-A3CA-3DCEECA60D4B}"/>
    <cellStyle name="Note 3 5 10 7" xfId="36042" xr:uid="{0D2CC3EF-70F5-43FB-8AF1-D3973A6F66C9}"/>
    <cellStyle name="Note 3 5 11" xfId="2508" xr:uid="{8DB61B07-3A28-4D0B-A993-B2C7CEE1E857}"/>
    <cellStyle name="Note 3 5 11 2" xfId="10828" xr:uid="{850506D8-E6CE-4BC0-B05E-9FF21A9C7688}"/>
    <cellStyle name="Note 3 5 11 2 2" xfId="36043" xr:uid="{B316C664-AE64-4A70-8103-8AFDD9DDBB2C}"/>
    <cellStyle name="Note 3 5 11 2 3" xfId="36044" xr:uid="{DEE5666E-AD61-45B6-9E8E-5AEA52A09163}"/>
    <cellStyle name="Note 3 5 11 2 4" xfId="36045" xr:uid="{BD92EADD-7EE1-4BB9-9274-56EA27A0CD83}"/>
    <cellStyle name="Note 3 5 11 2 5" xfId="36046" xr:uid="{2C3A56D5-1624-40FA-9444-D688DBF5CC98}"/>
    <cellStyle name="Note 3 5 11 2 6" xfId="36047" xr:uid="{C81563D0-388D-48A4-9DC5-39E8D3D17D92}"/>
    <cellStyle name="Note 3 5 11 3" xfId="36048" xr:uid="{D21901A9-52E1-4E06-A18C-41923AB99731}"/>
    <cellStyle name="Note 3 5 11 4" xfId="36049" xr:uid="{C658FF0B-1F5B-429D-BE98-28904911152E}"/>
    <cellStyle name="Note 3 5 11 5" xfId="36050" xr:uid="{8E586A55-C76E-4B69-8224-1266390A4C70}"/>
    <cellStyle name="Note 3 5 11 6" xfId="36051" xr:uid="{C8C20CB3-3109-4A85-8EF0-43B9EAD6FF1D}"/>
    <cellStyle name="Note 3 5 11 7" xfId="36052" xr:uid="{E840E90B-CDF1-411E-B3E6-B2F39A26C3B2}"/>
    <cellStyle name="Note 3 5 12" xfId="2509" xr:uid="{40AFB76B-42E0-40F4-BDC2-72C5DF8E9ED4}"/>
    <cellStyle name="Note 3 5 12 2" xfId="10917" xr:uid="{B0CBAC11-439B-4845-8CAA-644FC470FAD1}"/>
    <cellStyle name="Note 3 5 12 2 2" xfId="36053" xr:uid="{379D24E7-0033-434E-8412-5467764E9F79}"/>
    <cellStyle name="Note 3 5 12 2 3" xfId="36054" xr:uid="{85C40263-79DB-4EE2-A2C3-C424BFAE67A8}"/>
    <cellStyle name="Note 3 5 12 2 4" xfId="36055" xr:uid="{59E91C0E-2849-420B-9A50-1EE1B0B2131F}"/>
    <cellStyle name="Note 3 5 12 2 5" xfId="36056" xr:uid="{F98041C3-3426-4794-9468-7C6FBBF7C8D9}"/>
    <cellStyle name="Note 3 5 12 2 6" xfId="36057" xr:uid="{684F762A-C8C2-48B5-81D2-A01D5F848526}"/>
    <cellStyle name="Note 3 5 12 3" xfId="36058" xr:uid="{36255CD5-5A45-4CFB-906A-DF3EC1C8A15A}"/>
    <cellStyle name="Note 3 5 12 4" xfId="36059" xr:uid="{C0F85929-CC79-4A89-9CB8-DD7F975636CA}"/>
    <cellStyle name="Note 3 5 12 5" xfId="36060" xr:uid="{F3952730-19E5-479A-A1E5-20E54B961E3E}"/>
    <cellStyle name="Note 3 5 12 6" xfId="36061" xr:uid="{518FD131-9DFA-4C5F-9FC4-019A9B56446A}"/>
    <cellStyle name="Note 3 5 12 7" xfId="36062" xr:uid="{4D07A15D-15F4-45A8-B485-28102671BA27}"/>
    <cellStyle name="Note 3 5 13" xfId="2510" xr:uid="{7E2846DF-4A6A-4D8C-AB21-4F1D7B7DD80E}"/>
    <cellStyle name="Note 3 5 13 2" xfId="11007" xr:uid="{9BF2E137-8A11-40E9-85B8-9D2E2F613243}"/>
    <cellStyle name="Note 3 5 13 2 2" xfId="36063" xr:uid="{F4DD5EF3-CB9B-47C0-82AA-D9C1F6C00191}"/>
    <cellStyle name="Note 3 5 13 2 3" xfId="36064" xr:uid="{A6EE7818-BB2F-42CB-9F7C-827B5482AD18}"/>
    <cellStyle name="Note 3 5 13 2 4" xfId="36065" xr:uid="{45CC15EC-70CB-44F1-8CBE-4D4BBEF8F0F4}"/>
    <cellStyle name="Note 3 5 13 2 5" xfId="36066" xr:uid="{1FDFCFD3-4251-4BE6-9A42-C5B59D4DF528}"/>
    <cellStyle name="Note 3 5 13 2 6" xfId="36067" xr:uid="{A7FCDA70-EB85-469B-A63F-975AE4F870DB}"/>
    <cellStyle name="Note 3 5 13 3" xfId="36068" xr:uid="{420CE701-790B-4728-BB1E-08EC07DDF29E}"/>
    <cellStyle name="Note 3 5 13 4" xfId="36069" xr:uid="{D956E9E0-2AEE-41F4-804A-2EF12D6B6074}"/>
    <cellStyle name="Note 3 5 13 5" xfId="36070" xr:uid="{8D8E9C08-2D40-4C4E-A0D1-724F1E88FF65}"/>
    <cellStyle name="Note 3 5 13 6" xfId="36071" xr:uid="{85AC22DD-7E64-47D6-A7C8-B49C06511F18}"/>
    <cellStyle name="Note 3 5 13 7" xfId="36072" xr:uid="{68163748-85A5-4AD2-9E1A-03387565102E}"/>
    <cellStyle name="Note 3 5 14" xfId="2511" xr:uid="{E2BBFA73-F895-4A4E-A28F-851A0477EF31}"/>
    <cellStyle name="Note 3 5 14 2" xfId="11097" xr:uid="{6BF0DA26-E218-41DA-9F35-EA21606E0AE3}"/>
    <cellStyle name="Note 3 5 14 2 2" xfId="36073" xr:uid="{22CAF328-0A20-42F4-B5B9-8423660639FD}"/>
    <cellStyle name="Note 3 5 14 2 3" xfId="36074" xr:uid="{E7556C3A-700C-4EFE-A035-605FB12458B0}"/>
    <cellStyle name="Note 3 5 14 2 4" xfId="36075" xr:uid="{7A350CA1-6E97-48E5-A8EC-C60EC7686ECE}"/>
    <cellStyle name="Note 3 5 14 2 5" xfId="36076" xr:uid="{FD51ED4A-351B-45FF-A8CE-2F57520273E4}"/>
    <cellStyle name="Note 3 5 14 2 6" xfId="36077" xr:uid="{F1A73591-E820-49E5-BC5A-E3A46B37C433}"/>
    <cellStyle name="Note 3 5 14 3" xfId="36078" xr:uid="{483FCD85-2328-41EF-9BEF-C69AB93DBC4A}"/>
    <cellStyle name="Note 3 5 14 4" xfId="36079" xr:uid="{8DDD2ACD-332B-4879-A54B-E1FA1B1E8FA5}"/>
    <cellStyle name="Note 3 5 14 5" xfId="36080" xr:uid="{C0560C37-AD61-4890-A7DD-1BB95E5A2A58}"/>
    <cellStyle name="Note 3 5 14 6" xfId="36081" xr:uid="{BAB64909-0639-4CF0-BD91-B16E432522C2}"/>
    <cellStyle name="Note 3 5 14 7" xfId="36082" xr:uid="{302CC989-D6DF-4E30-AF9F-E2E259586415}"/>
    <cellStyle name="Note 3 5 15" xfId="2512" xr:uid="{F744663D-9EEB-4366-BBCA-7725716B5253}"/>
    <cellStyle name="Note 3 5 15 2" xfId="11180" xr:uid="{5465C22E-F6F1-4760-9804-C54D39A66111}"/>
    <cellStyle name="Note 3 5 15 2 2" xfId="36083" xr:uid="{3A0C8B23-7EF4-47C8-8863-3E0895B74819}"/>
    <cellStyle name="Note 3 5 15 2 3" xfId="36084" xr:uid="{CB035998-EEE5-48BE-AF6C-0B8D77AD62FB}"/>
    <cellStyle name="Note 3 5 15 2 4" xfId="36085" xr:uid="{98BA7C54-D42C-49E7-BC80-2D1C340BDD49}"/>
    <cellStyle name="Note 3 5 15 2 5" xfId="36086" xr:uid="{BF083DF2-3F9E-4224-B74B-1B617ACFF33F}"/>
    <cellStyle name="Note 3 5 15 2 6" xfId="36087" xr:uid="{397581CD-4D39-46CF-9ADD-FA59BCB0DE98}"/>
    <cellStyle name="Note 3 5 15 3" xfId="36088" xr:uid="{61CFF06E-2A82-457A-B67E-2F656AF9C075}"/>
    <cellStyle name="Note 3 5 15 4" xfId="36089" xr:uid="{9300C673-FFA3-424F-9278-6932F0E76382}"/>
    <cellStyle name="Note 3 5 15 5" xfId="36090" xr:uid="{D0892403-0F3B-496B-89D0-38470757FEEE}"/>
    <cellStyle name="Note 3 5 15 6" xfId="36091" xr:uid="{147CF359-6576-4C0A-AE04-FD8E56CDCC6E}"/>
    <cellStyle name="Note 3 5 15 7" xfId="36092" xr:uid="{0A3E3657-216B-4ABE-ACC6-42E2BA61A5B8}"/>
    <cellStyle name="Note 3 5 16" xfId="2513" xr:uid="{FA842357-59C7-4059-8347-ED7F3ED5AE79}"/>
    <cellStyle name="Note 3 5 16 2" xfId="11270" xr:uid="{F230357B-D7D1-4523-8DCD-8661236FE5D9}"/>
    <cellStyle name="Note 3 5 16 2 2" xfId="36093" xr:uid="{F0D8FECF-1C3F-46A3-92CC-640BDB99CFEA}"/>
    <cellStyle name="Note 3 5 16 2 3" xfId="36094" xr:uid="{197A5D67-D997-43D3-842F-83ABF70D2B30}"/>
    <cellStyle name="Note 3 5 16 2 4" xfId="36095" xr:uid="{63597832-6AC1-436E-A016-4BF0EF815DB0}"/>
    <cellStyle name="Note 3 5 16 2 5" xfId="36096" xr:uid="{09DE4798-333D-4CAA-9EE5-C10B71BF6455}"/>
    <cellStyle name="Note 3 5 16 2 6" xfId="36097" xr:uid="{D10D0938-67B0-4571-9486-31C9DD6D571A}"/>
    <cellStyle name="Note 3 5 16 3" xfId="36098" xr:uid="{43EFB315-B97A-4F8D-9108-0AB152D3D915}"/>
    <cellStyle name="Note 3 5 16 4" xfId="36099" xr:uid="{AD5259E6-E73A-4A2E-B5AA-9F9858A0DB0D}"/>
    <cellStyle name="Note 3 5 16 5" xfId="36100" xr:uid="{7B37BD72-A1A8-4C19-B3D2-A988D762A716}"/>
    <cellStyle name="Note 3 5 16 6" xfId="36101" xr:uid="{937F7601-67AB-4C7B-8558-B5A4446D3FC4}"/>
    <cellStyle name="Note 3 5 16 7" xfId="36102" xr:uid="{B27CC4C1-6F73-4084-934F-6C34C08E1E82}"/>
    <cellStyle name="Note 3 5 17" xfId="2514" xr:uid="{42B04BAF-9D44-4677-8EE7-E1A526B1FCA9}"/>
    <cellStyle name="Note 3 5 17 2" xfId="11356" xr:uid="{EB951519-1E15-4B47-826A-AFAA2BBFA1E2}"/>
    <cellStyle name="Note 3 5 17 2 2" xfId="36103" xr:uid="{AA6FC0E7-C875-4374-9E48-ACCE2DA6850B}"/>
    <cellStyle name="Note 3 5 17 2 3" xfId="36104" xr:uid="{16FB13AC-A08B-429E-A884-0763C1ADF621}"/>
    <cellStyle name="Note 3 5 17 2 4" xfId="36105" xr:uid="{29DFE4F8-8181-4D79-B7D2-68E21FBDBA39}"/>
    <cellStyle name="Note 3 5 17 2 5" xfId="36106" xr:uid="{9928A699-F1D4-49BC-B6D9-B2EC70F1F203}"/>
    <cellStyle name="Note 3 5 17 2 6" xfId="36107" xr:uid="{044ACA04-9C6C-48E3-9F62-8C4F20DB8F90}"/>
    <cellStyle name="Note 3 5 17 3" xfId="36108" xr:uid="{B4953842-0870-4DE4-9769-A93FA1CCA30C}"/>
    <cellStyle name="Note 3 5 17 4" xfId="36109" xr:uid="{2F94198B-39A8-4711-86CB-B952079AA19F}"/>
    <cellStyle name="Note 3 5 17 5" xfId="36110" xr:uid="{B93C6D38-6806-472A-B7C6-26E4E596C8B5}"/>
    <cellStyle name="Note 3 5 17 6" xfId="36111" xr:uid="{21C7DD63-D7DA-4FEA-88E8-977D80E942AA}"/>
    <cellStyle name="Note 3 5 17 7" xfId="36112" xr:uid="{E792C26C-2560-4449-86FB-259B8CE9F206}"/>
    <cellStyle name="Note 3 5 18" xfId="2515" xr:uid="{7DA44464-634A-4533-BE78-DFEE3A4856CA}"/>
    <cellStyle name="Note 3 5 18 2" xfId="11443" xr:uid="{A221C6A7-B2C6-440B-A8D7-3334EC6DAE3B}"/>
    <cellStyle name="Note 3 5 18 2 2" xfId="36113" xr:uid="{CE0094BE-8E40-4BEF-8EB9-75FEF4BA6538}"/>
    <cellStyle name="Note 3 5 18 2 3" xfId="36114" xr:uid="{7D963A5C-3FA1-4BC7-860C-AE9EBBAED013}"/>
    <cellStyle name="Note 3 5 18 2 4" xfId="36115" xr:uid="{7EAB0C34-C01B-47DD-9C3F-FDF1ED8FEC21}"/>
    <cellStyle name="Note 3 5 18 2 5" xfId="36116" xr:uid="{D7B918DA-25E2-492F-95DD-4E50E5D7F1B2}"/>
    <cellStyle name="Note 3 5 18 2 6" xfId="36117" xr:uid="{A65B5E44-8F31-4E71-A9E6-940984FC56B6}"/>
    <cellStyle name="Note 3 5 18 3" xfId="36118" xr:uid="{223F6DA1-FD82-4711-A93B-BB3329D17DC8}"/>
    <cellStyle name="Note 3 5 18 4" xfId="36119" xr:uid="{8431E8AC-EB21-42C6-8C0E-00323CBF7F7A}"/>
    <cellStyle name="Note 3 5 18 5" xfId="36120" xr:uid="{16696940-0BC8-495B-B10F-C73066D72B97}"/>
    <cellStyle name="Note 3 5 18 6" xfId="36121" xr:uid="{3D692B05-13E8-4727-A6F5-448418FE62C6}"/>
    <cellStyle name="Note 3 5 18 7" xfId="36122" xr:uid="{BA6E8AF1-0D6D-4265-8601-9D6BCAB8BEF4}"/>
    <cellStyle name="Note 3 5 19" xfId="2516" xr:uid="{7AB2D4F5-5C1F-4298-8D6D-2D2899A12022}"/>
    <cellStyle name="Note 3 5 19 2" xfId="11530" xr:uid="{1EAB1372-9E6B-4163-9321-2A37500D8123}"/>
    <cellStyle name="Note 3 5 19 2 2" xfId="36123" xr:uid="{DCAED948-312F-4E76-B610-A07D91C939C1}"/>
    <cellStyle name="Note 3 5 19 2 3" xfId="36124" xr:uid="{DD9A1307-0022-4BEE-97F7-52D90CF53514}"/>
    <cellStyle name="Note 3 5 19 2 4" xfId="36125" xr:uid="{F7E0B9CF-1A34-40F1-926A-40C3F1A7DE02}"/>
    <cellStyle name="Note 3 5 19 2 5" xfId="36126" xr:uid="{112CE80B-3D64-4091-BFFD-C3CD92656F2D}"/>
    <cellStyle name="Note 3 5 19 2 6" xfId="36127" xr:uid="{CFDAD3A4-7A1D-4666-ADC5-369548180D57}"/>
    <cellStyle name="Note 3 5 19 3" xfId="36128" xr:uid="{1077AC17-C3F9-49B6-92FB-D9F2F4A00C28}"/>
    <cellStyle name="Note 3 5 19 4" xfId="36129" xr:uid="{3BFD7A50-04B7-4AD1-A85B-A5DF63CAE92A}"/>
    <cellStyle name="Note 3 5 19 5" xfId="36130" xr:uid="{4DB9F0A0-D325-4FA1-BDD8-95A422A8EFDD}"/>
    <cellStyle name="Note 3 5 19 6" xfId="36131" xr:uid="{E9169E39-5A30-49BB-B8DA-07FA6A007F33}"/>
    <cellStyle name="Note 3 5 19 7" xfId="36132" xr:uid="{CF182C2E-BF97-41DF-BA6D-6E2BC7F2402B}"/>
    <cellStyle name="Note 3 5 2" xfId="2517" xr:uid="{47B30F30-BA50-45F0-8ABC-ED18DD00ABE9}"/>
    <cellStyle name="Note 3 5 2 2" xfId="8909" xr:uid="{FB3DA2AC-6A3E-434B-84BE-9E7D3F24DFF3}"/>
    <cellStyle name="Note 3 5 2 2 2" xfId="36133" xr:uid="{38C5C5C6-31B1-4BA7-AE59-9D5D43B3196B}"/>
    <cellStyle name="Note 3 5 2 3" xfId="10037" xr:uid="{774FB107-1104-46C5-A8FF-062AD2135372}"/>
    <cellStyle name="Note 3 5 2 3 2" xfId="36134" xr:uid="{BB0F82CC-2619-4639-A6C0-6A5BF9B1D600}"/>
    <cellStyle name="Note 3 5 2 3 3" xfId="36135" xr:uid="{57049B86-607A-408A-924B-B8E8E100A212}"/>
    <cellStyle name="Note 3 5 2 3 4" xfId="36136" xr:uid="{29F6D540-8974-4753-BBE1-339D5DAAB951}"/>
    <cellStyle name="Note 3 5 2 3 5" xfId="36137" xr:uid="{910549A4-C4F6-45E7-9ECC-1D18AF751C9E}"/>
    <cellStyle name="Note 3 5 2 3 6" xfId="36138" xr:uid="{65FFFD5D-3C9B-42FA-BC03-A0C06F56B2E8}"/>
    <cellStyle name="Note 3 5 2 4" xfId="36139" xr:uid="{944BFA9E-6C0F-4F3D-9526-9D37C4D8A784}"/>
    <cellStyle name="Note 3 5 2 5" xfId="36140" xr:uid="{914E6094-1DCF-493B-8541-80988E9FAD30}"/>
    <cellStyle name="Note 3 5 2 6" xfId="36141" xr:uid="{0CF8527F-236E-44FC-A361-AD66592954C2}"/>
    <cellStyle name="Note 3 5 2 7" xfId="36142" xr:uid="{B9B74086-AD86-423D-B442-01531A6BE679}"/>
    <cellStyle name="Note 3 5 2 8" xfId="36143" xr:uid="{B0F659D6-BCD0-4D73-84B6-4DA1E8BC29CC}"/>
    <cellStyle name="Note 3 5 20" xfId="2518" xr:uid="{6564233E-B8AB-40E1-8224-EB657E69FCDA}"/>
    <cellStyle name="Note 3 5 20 2" xfId="11618" xr:uid="{9987F984-95A9-4310-9AB2-E9CC91D3A2B4}"/>
    <cellStyle name="Note 3 5 20 2 2" xfId="36144" xr:uid="{3752343C-187E-4A69-806A-7D76034BE2B5}"/>
    <cellStyle name="Note 3 5 20 2 3" xfId="36145" xr:uid="{06C56467-1963-41A0-9991-650DA43D4D36}"/>
    <cellStyle name="Note 3 5 20 2 4" xfId="36146" xr:uid="{1F6D358A-29A5-4D20-B21C-D0747B9854D6}"/>
    <cellStyle name="Note 3 5 20 2 5" xfId="36147" xr:uid="{C83DF799-AC5F-4BD8-9419-761F1C2A1714}"/>
    <cellStyle name="Note 3 5 20 2 6" xfId="36148" xr:uid="{B635D419-715C-4A86-8347-6BD9A84A3EE7}"/>
    <cellStyle name="Note 3 5 20 3" xfId="36149" xr:uid="{F173B09A-8B02-4DB0-A309-7F5D43D1F872}"/>
    <cellStyle name="Note 3 5 20 4" xfId="36150" xr:uid="{9C0C8818-459A-4D29-BF74-03249E3F59CC}"/>
    <cellStyle name="Note 3 5 20 5" xfId="36151" xr:uid="{BDEC9C52-2757-4FF0-8FCF-D3AA1876BC3C}"/>
    <cellStyle name="Note 3 5 20 6" xfId="36152" xr:uid="{ED57F1A5-3550-4173-9971-4636811C457E}"/>
    <cellStyle name="Note 3 5 20 7" xfId="36153" xr:uid="{7B04B893-50B0-48E2-8C61-09F4339A3E1B}"/>
    <cellStyle name="Note 3 5 21" xfId="2519" xr:uid="{70977D9E-35E2-4146-A565-3F2F2F3C76C5}"/>
    <cellStyle name="Note 3 5 21 2" xfId="11702" xr:uid="{515969F0-3CEC-4756-A67E-A932F015D816}"/>
    <cellStyle name="Note 3 5 21 2 2" xfId="36154" xr:uid="{4DE90B20-1000-49BE-A053-EF4F93217A8A}"/>
    <cellStyle name="Note 3 5 21 2 3" xfId="36155" xr:uid="{7AF54BF6-9F05-47E3-871B-AA4D66C396BE}"/>
    <cellStyle name="Note 3 5 21 2 4" xfId="36156" xr:uid="{E48E72AB-39AF-4086-94C0-B8B653A890CF}"/>
    <cellStyle name="Note 3 5 21 2 5" xfId="36157" xr:uid="{C0BBACA8-8C95-416B-84C2-476D18D32F67}"/>
    <cellStyle name="Note 3 5 21 2 6" xfId="36158" xr:uid="{2B88C3D6-8E7C-47A7-ADB2-6C338D356D0D}"/>
    <cellStyle name="Note 3 5 21 3" xfId="36159" xr:uid="{7CF16030-F71F-46E4-957D-9506DCC43A6D}"/>
    <cellStyle name="Note 3 5 21 4" xfId="36160" xr:uid="{308829D0-797A-43FD-AC6C-D2A83E00A219}"/>
    <cellStyle name="Note 3 5 21 5" xfId="36161" xr:uid="{C1A7FBCD-1E57-46CB-89E0-94C293B151A4}"/>
    <cellStyle name="Note 3 5 21 6" xfId="36162" xr:uid="{8E342E2E-A1D7-4474-A4D2-C96C2D8B61F9}"/>
    <cellStyle name="Note 3 5 21 7" xfId="36163" xr:uid="{64BDC167-D9EA-4F37-AD34-A9382BB0F216}"/>
    <cellStyle name="Note 3 5 22" xfId="2520" xr:uid="{D6D0DB3B-7A36-4415-A54D-3A548BBF4B33}"/>
    <cellStyle name="Note 3 5 22 2" xfId="11785" xr:uid="{58DC040C-034B-4448-A4A3-3CB73C0EE93F}"/>
    <cellStyle name="Note 3 5 22 2 2" xfId="36164" xr:uid="{619E6083-1827-4456-BB32-FA2385863B48}"/>
    <cellStyle name="Note 3 5 22 2 3" xfId="36165" xr:uid="{0D311C58-67C1-4735-9D8E-DC988342B25D}"/>
    <cellStyle name="Note 3 5 22 2 4" xfId="36166" xr:uid="{61E32A58-1295-4D3C-8874-86FB1D6FA51D}"/>
    <cellStyle name="Note 3 5 22 2 5" xfId="36167" xr:uid="{53010DB7-82BB-411B-A063-185EE61BF347}"/>
    <cellStyle name="Note 3 5 22 2 6" xfId="36168" xr:uid="{AF6CC2B4-C66C-4281-BB63-1B704CC67D1E}"/>
    <cellStyle name="Note 3 5 22 3" xfId="36169" xr:uid="{020BE186-DABF-4648-A7F7-AD186D7F144C}"/>
    <cellStyle name="Note 3 5 22 4" xfId="36170" xr:uid="{1916EF76-3ECA-42BA-8E98-7426E38A4C58}"/>
    <cellStyle name="Note 3 5 22 5" xfId="36171" xr:uid="{C885B887-BFF0-4284-B1C9-646264FD1446}"/>
    <cellStyle name="Note 3 5 22 6" xfId="36172" xr:uid="{0E2C83C5-C4D5-4D06-B248-475B323BB4F7}"/>
    <cellStyle name="Note 3 5 22 7" xfId="36173" xr:uid="{7EBE149A-4A75-45AB-81A5-38C97095BF0B}"/>
    <cellStyle name="Note 3 5 23" xfId="2521" xr:uid="{7BBBB7ED-1BDA-457C-B0D7-4F551B2E7998}"/>
    <cellStyle name="Note 3 5 23 2" xfId="11868" xr:uid="{765C8A2D-AC46-47A9-9EA2-AC48C019B5DF}"/>
    <cellStyle name="Note 3 5 23 2 2" xfId="36174" xr:uid="{9935F268-B876-42B4-80E6-2DCDE81C9B93}"/>
    <cellStyle name="Note 3 5 23 2 3" xfId="36175" xr:uid="{FB5859C7-F696-43CC-8AA1-EBC4CBF43517}"/>
    <cellStyle name="Note 3 5 23 2 4" xfId="36176" xr:uid="{123E40A3-5557-4227-AA47-F17B7E3FABB8}"/>
    <cellStyle name="Note 3 5 23 2 5" xfId="36177" xr:uid="{BC2E6F80-F0B3-4B35-BC25-37DB107B689B}"/>
    <cellStyle name="Note 3 5 23 2 6" xfId="36178" xr:uid="{8ACE2021-1D96-49FC-A116-1DD7108F819D}"/>
    <cellStyle name="Note 3 5 23 3" xfId="36179" xr:uid="{E12D95AB-0AE0-43F0-96BF-20A37886DFE0}"/>
    <cellStyle name="Note 3 5 23 4" xfId="36180" xr:uid="{85CC0556-6102-43AB-B0DD-9C81216A78EB}"/>
    <cellStyle name="Note 3 5 23 5" xfId="36181" xr:uid="{B718674A-C763-41D6-89BC-D28ABAE3A587}"/>
    <cellStyle name="Note 3 5 23 6" xfId="36182" xr:uid="{B4389C53-F38C-4FFF-B00C-D84163368459}"/>
    <cellStyle name="Note 3 5 23 7" xfId="36183" xr:uid="{B5F94130-432F-407E-AF6B-5AC4E2B584BD}"/>
    <cellStyle name="Note 3 5 24" xfId="2522" xr:uid="{47BF28E9-B75C-41AF-A003-8CBD4B313CDC}"/>
    <cellStyle name="Note 3 5 24 2" xfId="11952" xr:uid="{AE164346-28D2-4EF1-B30C-A8AE9DE51F88}"/>
    <cellStyle name="Note 3 5 24 2 2" xfId="36184" xr:uid="{962A77D9-1D69-4326-9BEC-4BDD8C8FC704}"/>
    <cellStyle name="Note 3 5 24 2 3" xfId="36185" xr:uid="{128AEBEC-F237-477D-B2FE-A8DEEC3B3E6F}"/>
    <cellStyle name="Note 3 5 24 2 4" xfId="36186" xr:uid="{F17B7BF5-2826-4F64-89E1-272BB797AE40}"/>
    <cellStyle name="Note 3 5 24 2 5" xfId="36187" xr:uid="{4121F181-7567-47F9-AADE-8DD9705D76B2}"/>
    <cellStyle name="Note 3 5 24 2 6" xfId="36188" xr:uid="{62327427-9BFA-4152-B4C0-D7A0EE73B9AF}"/>
    <cellStyle name="Note 3 5 24 3" xfId="36189" xr:uid="{8B097B88-825C-424C-BAD8-232B4E74ECC7}"/>
    <cellStyle name="Note 3 5 24 4" xfId="36190" xr:uid="{AEE2300E-8BEC-437D-AB69-62C452B7607D}"/>
    <cellStyle name="Note 3 5 24 5" xfId="36191" xr:uid="{EE011178-0CE3-4180-95E2-AA5967EF1CE0}"/>
    <cellStyle name="Note 3 5 24 6" xfId="36192" xr:uid="{130175F8-E5EF-4468-832D-F8E8BDB55B28}"/>
    <cellStyle name="Note 3 5 24 7" xfId="36193" xr:uid="{A048AA5F-9A9C-4C28-93F3-63C437FBA736}"/>
    <cellStyle name="Note 3 5 25" xfId="2523" xr:uid="{4F99BE26-E1CA-44D6-A3E5-8CE030CF211D}"/>
    <cellStyle name="Note 3 5 25 2" xfId="12035" xr:uid="{E69AA803-285E-4112-A83F-2706A9A087E8}"/>
    <cellStyle name="Note 3 5 25 2 2" xfId="36194" xr:uid="{7F4B91AE-E8B2-4729-ADE8-43A043D0AA75}"/>
    <cellStyle name="Note 3 5 25 2 3" xfId="36195" xr:uid="{77647F3A-3A8F-4F6B-AA95-17013349EF19}"/>
    <cellStyle name="Note 3 5 25 2 4" xfId="36196" xr:uid="{6C666FCF-A436-4BCD-9136-095164BC5D5C}"/>
    <cellStyle name="Note 3 5 25 2 5" xfId="36197" xr:uid="{121FAB20-6655-4E7F-830A-6DE11D463889}"/>
    <cellStyle name="Note 3 5 25 2 6" xfId="36198" xr:uid="{779AA4FD-56A9-424F-B818-F1F3461AB109}"/>
    <cellStyle name="Note 3 5 25 3" xfId="36199" xr:uid="{8C6F5FB8-7961-47A8-B939-8794C39ED8C3}"/>
    <cellStyle name="Note 3 5 25 4" xfId="36200" xr:uid="{7548E246-F7FD-472D-B03A-1CA66EA4DF7F}"/>
    <cellStyle name="Note 3 5 25 5" xfId="36201" xr:uid="{DDF8BBB9-9D77-40CF-95D5-9F91189FDBCB}"/>
    <cellStyle name="Note 3 5 25 6" xfId="36202" xr:uid="{DABB0577-D86F-45B9-BEDF-AB20C45CFB02}"/>
    <cellStyle name="Note 3 5 25 7" xfId="36203" xr:uid="{62DF61F9-35A6-4512-8159-6AD7C9FC5056}"/>
    <cellStyle name="Note 3 5 26" xfId="2524" xr:uid="{E3A6B50B-5BCB-4111-BAD1-537CDD9A9C00}"/>
    <cellStyle name="Note 3 5 26 2" xfId="12118" xr:uid="{5C88C693-B72D-4CBE-A211-E7ACBD3C9FBC}"/>
    <cellStyle name="Note 3 5 26 2 2" xfId="36204" xr:uid="{32E506D3-BA3B-4C06-A54E-01F8EB12BA5C}"/>
    <cellStyle name="Note 3 5 26 2 3" xfId="36205" xr:uid="{6FF50412-B5D2-4F22-8727-970C55360EB2}"/>
    <cellStyle name="Note 3 5 26 2 4" xfId="36206" xr:uid="{5553EC01-64B4-4BA0-B8D4-B4215403622D}"/>
    <cellStyle name="Note 3 5 26 2 5" xfId="36207" xr:uid="{EBF199CA-E87A-407C-97F0-BD81B2A5D91F}"/>
    <cellStyle name="Note 3 5 26 2 6" xfId="36208" xr:uid="{A5D5B3E6-0F5F-4CE1-9BEE-59C72AB09300}"/>
    <cellStyle name="Note 3 5 26 3" xfId="36209" xr:uid="{E5B1673F-5F9D-4EBD-BA6C-0B99EE781924}"/>
    <cellStyle name="Note 3 5 26 4" xfId="36210" xr:uid="{A6B8E112-2B02-4A27-954D-9D39A6DAA692}"/>
    <cellStyle name="Note 3 5 26 5" xfId="36211" xr:uid="{7764EC81-53B2-4679-9FF2-4771EC8A8EFB}"/>
    <cellStyle name="Note 3 5 26 6" xfId="36212" xr:uid="{ED243D91-B966-4EC6-A138-A91BE9C4FEAF}"/>
    <cellStyle name="Note 3 5 26 7" xfId="36213" xr:uid="{42335A95-4AA0-4AFB-9C55-DED67FE27B15}"/>
    <cellStyle name="Note 3 5 27" xfId="2525" xr:uid="{A700D85D-B6CB-43D8-9F47-A5D99F7F15CD}"/>
    <cellStyle name="Note 3 5 27 2" xfId="12200" xr:uid="{9A70FC91-C3E2-42F8-A2CB-0DAE9E4AC78D}"/>
    <cellStyle name="Note 3 5 27 2 2" xfId="36214" xr:uid="{6E81D672-5E5C-4196-942A-DC3A1506B3DF}"/>
    <cellStyle name="Note 3 5 27 2 3" xfId="36215" xr:uid="{324CE20B-0B28-4144-BBCF-1EEDE068AD7C}"/>
    <cellStyle name="Note 3 5 27 2 4" xfId="36216" xr:uid="{F0A4C7F5-D227-42B3-8A42-E5F480AE678D}"/>
    <cellStyle name="Note 3 5 27 2 5" xfId="36217" xr:uid="{CA4E5CD0-01C9-4708-9E2D-770491B5A680}"/>
    <cellStyle name="Note 3 5 27 2 6" xfId="36218" xr:uid="{B577E652-3B78-4F3E-AF5D-7CA15F7E533F}"/>
    <cellStyle name="Note 3 5 27 3" xfId="36219" xr:uid="{38410B7D-A765-444E-9C79-1E09F16890CC}"/>
    <cellStyle name="Note 3 5 27 4" xfId="36220" xr:uid="{96D74077-AB95-4AD9-B54C-F6AD1DE8C34B}"/>
    <cellStyle name="Note 3 5 27 5" xfId="36221" xr:uid="{BCA8470B-2EDF-431A-9AED-B34D0126816D}"/>
    <cellStyle name="Note 3 5 27 6" xfId="36222" xr:uid="{F3762382-FA25-4078-8BA7-98E658652FBB}"/>
    <cellStyle name="Note 3 5 27 7" xfId="36223" xr:uid="{40F3A2F5-DF0C-4554-8999-810F63A398A4}"/>
    <cellStyle name="Note 3 5 28" xfId="2526" xr:uid="{8A480E00-D1C6-45D4-8856-E79A384CF87A}"/>
    <cellStyle name="Note 3 5 28 2" xfId="12280" xr:uid="{F33AF01B-4776-4BBD-85D2-7ADFF470D422}"/>
    <cellStyle name="Note 3 5 28 2 2" xfId="36224" xr:uid="{9680182D-A05B-4D3A-B338-A6C7F61B7BCB}"/>
    <cellStyle name="Note 3 5 28 2 3" xfId="36225" xr:uid="{1CC35816-6E42-4DCF-8727-D67F337F94AA}"/>
    <cellStyle name="Note 3 5 28 2 4" xfId="36226" xr:uid="{6886CF7B-DCEC-4A9E-B695-069B52B37A6F}"/>
    <cellStyle name="Note 3 5 28 2 5" xfId="36227" xr:uid="{EFFADF5D-06FB-4BC3-9256-A74E5E149D76}"/>
    <cellStyle name="Note 3 5 28 2 6" xfId="36228" xr:uid="{402DEAB0-57E5-48C9-A7DE-529405A049F1}"/>
    <cellStyle name="Note 3 5 28 3" xfId="36229" xr:uid="{F1BECE57-77D1-4814-B364-95AD8DD06CD4}"/>
    <cellStyle name="Note 3 5 28 4" xfId="36230" xr:uid="{F212F877-0290-4D07-A6E0-9196200EDF7C}"/>
    <cellStyle name="Note 3 5 28 5" xfId="36231" xr:uid="{0CE8EA42-21EE-4608-B3E3-B4890CD2FDD9}"/>
    <cellStyle name="Note 3 5 28 6" xfId="36232" xr:uid="{C0CDC749-E1F7-4019-B79A-57836B4A5701}"/>
    <cellStyle name="Note 3 5 28 7" xfId="36233" xr:uid="{F45176DE-E1AD-495B-A514-35ED03DC4E02}"/>
    <cellStyle name="Note 3 5 29" xfId="2527" xr:uid="{3D86834E-BF65-4322-B25A-47B3D9210416}"/>
    <cellStyle name="Note 3 5 29 2" xfId="12358" xr:uid="{28C745C2-A929-4415-A1B9-1A7DEBA2CDCF}"/>
    <cellStyle name="Note 3 5 29 2 2" xfId="36234" xr:uid="{0E741ED1-C142-4E89-A059-1DEF21E75230}"/>
    <cellStyle name="Note 3 5 29 2 3" xfId="36235" xr:uid="{D95DB358-33AF-4789-AB61-2402F66DC5AC}"/>
    <cellStyle name="Note 3 5 29 2 4" xfId="36236" xr:uid="{640D6555-C8C8-400E-B6E7-7C01A43A1A75}"/>
    <cellStyle name="Note 3 5 29 2 5" xfId="36237" xr:uid="{C2FA8E16-110E-4352-9203-8DE0C2B04BE1}"/>
    <cellStyle name="Note 3 5 29 2 6" xfId="36238" xr:uid="{8276A1B9-00ED-4331-9385-65735A41AF86}"/>
    <cellStyle name="Note 3 5 29 3" xfId="36239" xr:uid="{CCA18B14-D9C2-4B91-8436-3709C6A5DF47}"/>
    <cellStyle name="Note 3 5 29 4" xfId="36240" xr:uid="{2F7654DD-FACC-48A9-86E2-890B40460D62}"/>
    <cellStyle name="Note 3 5 29 5" xfId="36241" xr:uid="{056D6E13-A639-441A-9750-2B95C42D3943}"/>
    <cellStyle name="Note 3 5 29 6" xfId="36242" xr:uid="{B7BCE92B-70B3-44DE-8FC6-3624F71F8A1C}"/>
    <cellStyle name="Note 3 5 29 7" xfId="36243" xr:uid="{07E63EC8-85D9-47F3-B934-F36E4D0E70FE}"/>
    <cellStyle name="Note 3 5 3" xfId="2528" xr:uid="{4A983494-706A-438F-BF15-325F4900ADD9}"/>
    <cellStyle name="Note 3 5 3 2" xfId="8910" xr:uid="{5E87ED5A-ECB1-44A0-A327-32FEA384A231}"/>
    <cellStyle name="Note 3 5 3 2 2" xfId="36244" xr:uid="{36AA0BFB-45F0-4DAF-B296-1E56FAA4904F}"/>
    <cellStyle name="Note 3 5 3 2 3" xfId="36245" xr:uid="{F4B59414-2F28-4F82-866A-6B77524D5E9D}"/>
    <cellStyle name="Note 3 5 3 2 4" xfId="36246" xr:uid="{A3720A51-214F-4680-A7D9-009BC355F8FD}"/>
    <cellStyle name="Note 3 5 3 2 5" xfId="36247" xr:uid="{F8A1E64D-8D3A-42D6-B36F-D494B9537D1F}"/>
    <cellStyle name="Note 3 5 3 2 6" xfId="36248" xr:uid="{C4070D03-DBBD-4575-913C-81BF10CC85CA}"/>
    <cellStyle name="Note 3 5 3 3" xfId="10128" xr:uid="{D4EC95A6-FD98-4476-AD82-904053ACF198}"/>
    <cellStyle name="Note 3 5 3 3 2" xfId="36249" xr:uid="{980C3DAC-615D-428E-A25D-C3D453B85EE0}"/>
    <cellStyle name="Note 3 5 3 3 3" xfId="36250" xr:uid="{D6FDF87A-2B6E-43A6-B259-D981545D6238}"/>
    <cellStyle name="Note 3 5 3 3 4" xfId="36251" xr:uid="{94DED57B-19EF-458F-A7E6-F14348ED2A85}"/>
    <cellStyle name="Note 3 5 3 3 5" xfId="36252" xr:uid="{BBCDC153-932D-487B-AD16-B377FB592F95}"/>
    <cellStyle name="Note 3 5 3 3 6" xfId="36253" xr:uid="{CD4F5C6E-913E-41CE-B4E6-4C8794AC8B52}"/>
    <cellStyle name="Note 3 5 3 4" xfId="36254" xr:uid="{90376DDF-CEF8-4FFB-A9B6-8577FF6DF7D4}"/>
    <cellStyle name="Note 3 5 3 5" xfId="36255" xr:uid="{C4CA45DD-10E5-474C-821C-ADF255922ACC}"/>
    <cellStyle name="Note 3 5 3 6" xfId="36256" xr:uid="{DC10B499-B2B9-4EFB-B8C3-8E9AFB69D1C6}"/>
    <cellStyle name="Note 3 5 3 7" xfId="36257" xr:uid="{9582B87A-0189-4491-A83C-F6F44EF9CADF}"/>
    <cellStyle name="Note 3 5 3 8" xfId="36258" xr:uid="{E5293D15-0476-4927-B8E0-E1409B4FFDB2}"/>
    <cellStyle name="Note 3 5 30" xfId="2529" xr:uid="{6F99FD59-2DA3-4229-992D-3F62B0EF4FF4}"/>
    <cellStyle name="Note 3 5 30 2" xfId="12437" xr:uid="{1D454F92-942F-4A16-A9F9-A0D85F9393E5}"/>
    <cellStyle name="Note 3 5 30 2 2" xfId="36259" xr:uid="{4038BFA6-64FA-4939-84C4-BFB5055C0349}"/>
    <cellStyle name="Note 3 5 30 2 3" xfId="36260" xr:uid="{14FF9EAA-0713-453F-BE4F-3587687E01F5}"/>
    <cellStyle name="Note 3 5 30 2 4" xfId="36261" xr:uid="{9F273718-AE00-454B-92D7-273D7E346C94}"/>
    <cellStyle name="Note 3 5 30 2 5" xfId="36262" xr:uid="{6A856ED8-7550-4EDE-A047-348FB2FFBA95}"/>
    <cellStyle name="Note 3 5 30 2 6" xfId="36263" xr:uid="{88196CC7-C189-452C-B45D-E46EA4AEA777}"/>
    <cellStyle name="Note 3 5 30 3" xfId="36264" xr:uid="{28CF61DB-ED7E-4CE3-A0A6-8D29FC351138}"/>
    <cellStyle name="Note 3 5 30 4" xfId="36265" xr:uid="{AC7466EB-C5DC-43B4-A09C-FE763BC0B80A}"/>
    <cellStyle name="Note 3 5 30 5" xfId="36266" xr:uid="{4409EB04-17BE-49FE-9B84-F99AF934E1EE}"/>
    <cellStyle name="Note 3 5 30 6" xfId="36267" xr:uid="{FE69D872-93D1-44BE-8935-828BB986494D}"/>
    <cellStyle name="Note 3 5 30 7" xfId="36268" xr:uid="{4496A877-70EF-49BC-82D0-3C45C94521BE}"/>
    <cellStyle name="Note 3 5 31" xfId="2530" xr:uid="{83D5B877-B3B5-498B-BF64-A5627EBBF26A}"/>
    <cellStyle name="Note 3 5 31 2" xfId="12516" xr:uid="{7D4E40B7-5309-4480-8FBB-897E46706FE9}"/>
    <cellStyle name="Note 3 5 31 2 2" xfId="36269" xr:uid="{704E71F3-60A9-48CE-BAF1-B89A1C8DAD7E}"/>
    <cellStyle name="Note 3 5 31 2 3" xfId="36270" xr:uid="{E68F48D5-F62A-4018-8FBD-9B8E4236E1B7}"/>
    <cellStyle name="Note 3 5 31 2 4" xfId="36271" xr:uid="{42C8DF32-B504-448D-85EE-268D0D3EE7C3}"/>
    <cellStyle name="Note 3 5 31 2 5" xfId="36272" xr:uid="{186782AC-EA76-4B08-91AF-FA692608BE3B}"/>
    <cellStyle name="Note 3 5 31 2 6" xfId="36273" xr:uid="{F6F824B6-22D3-44F8-8002-BB68EFB785E1}"/>
    <cellStyle name="Note 3 5 31 3" xfId="36274" xr:uid="{7F0715DF-1BF8-4BE3-A3C7-1F68917DF98C}"/>
    <cellStyle name="Note 3 5 31 4" xfId="36275" xr:uid="{22D93447-E6EB-4D08-999A-765BA73E0B2E}"/>
    <cellStyle name="Note 3 5 31 5" xfId="36276" xr:uid="{0D5F7EC8-FAB2-483E-9BBD-351A84EC3458}"/>
    <cellStyle name="Note 3 5 31 6" xfId="36277" xr:uid="{7C57A6FA-9681-4190-A44D-86526FABCA8E}"/>
    <cellStyle name="Note 3 5 31 7" xfId="36278" xr:uid="{55E77B43-DAC5-40D7-B271-ACCD5D08C14B}"/>
    <cellStyle name="Note 3 5 32" xfId="2531" xr:uid="{F9368CD3-E59C-41F5-99BF-278D071193D1}"/>
    <cellStyle name="Note 3 5 32 2" xfId="12595" xr:uid="{9F53B936-EEE4-44B7-BAB5-05FB6A73B418}"/>
    <cellStyle name="Note 3 5 32 2 2" xfId="36279" xr:uid="{D49AFEB5-8D77-49C3-8A3A-3C1E5906DACC}"/>
    <cellStyle name="Note 3 5 32 2 3" xfId="36280" xr:uid="{4AD7C699-9D2B-4194-AE9C-EDB84C8676E7}"/>
    <cellStyle name="Note 3 5 32 2 4" xfId="36281" xr:uid="{E4547E25-B3CB-40AA-90BD-976501A427C6}"/>
    <cellStyle name="Note 3 5 32 2 5" xfId="36282" xr:uid="{D8E9E06D-9F7D-4CE9-95AF-1C17EB6BD468}"/>
    <cellStyle name="Note 3 5 32 2 6" xfId="36283" xr:uid="{05BD7E90-9FFB-4B54-937E-2141C10E3B11}"/>
    <cellStyle name="Note 3 5 32 3" xfId="36284" xr:uid="{F9843A14-CB5B-4849-AF47-72B132BF9229}"/>
    <cellStyle name="Note 3 5 32 4" xfId="36285" xr:uid="{2DF992CA-43EE-4E11-BF24-C4D98CB3C025}"/>
    <cellStyle name="Note 3 5 32 5" xfId="36286" xr:uid="{EF731290-B19C-4E86-8648-B7E2DF602B0C}"/>
    <cellStyle name="Note 3 5 32 6" xfId="36287" xr:uid="{8A00B1B6-5C18-4B47-9AB0-4F85533314B7}"/>
    <cellStyle name="Note 3 5 32 7" xfId="36288" xr:uid="{BA572624-F627-46D5-8E12-2B7443925304}"/>
    <cellStyle name="Note 3 5 33" xfId="2532" xr:uid="{2991CA1F-00AE-4E99-BE57-1F7EEB70A9E6}"/>
    <cellStyle name="Note 3 5 33 2" xfId="12674" xr:uid="{12FBB65D-EC15-4596-8F48-BCBF25AF8C68}"/>
    <cellStyle name="Note 3 5 33 2 2" xfId="36289" xr:uid="{8D5917CD-3062-4DBE-8E12-7FC9B63DFF66}"/>
    <cellStyle name="Note 3 5 33 2 3" xfId="36290" xr:uid="{4D5C1009-FC44-433E-8DE5-7F9899359373}"/>
    <cellStyle name="Note 3 5 33 2 4" xfId="36291" xr:uid="{1E2C11D5-CB11-4F0C-8153-9D1C25DB7BBF}"/>
    <cellStyle name="Note 3 5 33 2 5" xfId="36292" xr:uid="{CD4720C5-CA74-46C2-A924-DCEE808179C4}"/>
    <cellStyle name="Note 3 5 33 2 6" xfId="36293" xr:uid="{216A003D-C531-4B35-BDAD-E753F9576D42}"/>
    <cellStyle name="Note 3 5 33 3" xfId="36294" xr:uid="{A0495847-AF63-4F95-95FE-E69BFFD9DAB0}"/>
    <cellStyle name="Note 3 5 33 4" xfId="36295" xr:uid="{178277F6-8CC4-44C6-937B-00B279D1DC2F}"/>
    <cellStyle name="Note 3 5 33 5" xfId="36296" xr:uid="{08AF9E1D-B652-47BC-8317-F447E81ACABC}"/>
    <cellStyle name="Note 3 5 33 6" xfId="36297" xr:uid="{6EB0DD3D-FFE0-420A-A3E5-24B9E29E651C}"/>
    <cellStyle name="Note 3 5 33 7" xfId="36298" xr:uid="{02661636-D170-4D40-A6C8-694397C7D280}"/>
    <cellStyle name="Note 3 5 34" xfId="2533" xr:uid="{FBBF1113-4A53-4B30-92C2-30114EA80959}"/>
    <cellStyle name="Note 3 5 34 2" xfId="12758" xr:uid="{8BA7B0E5-6A37-4052-9942-8F8704935990}"/>
    <cellStyle name="Note 3 5 34 2 2" xfId="36299" xr:uid="{534F5ED2-9163-4A68-A516-A7C6A274E23B}"/>
    <cellStyle name="Note 3 5 34 2 3" xfId="36300" xr:uid="{1216AF41-5C32-4E93-915A-066FF421083E}"/>
    <cellStyle name="Note 3 5 34 2 4" xfId="36301" xr:uid="{6112B474-6BDF-4738-A8D3-AF478C0F8A58}"/>
    <cellStyle name="Note 3 5 34 2 5" xfId="36302" xr:uid="{E0C702E4-9CAC-4F55-8C48-8D3016A6D615}"/>
    <cellStyle name="Note 3 5 34 2 6" xfId="36303" xr:uid="{5D0CC225-4CD0-4813-9AA2-4D7546FCB4C9}"/>
    <cellStyle name="Note 3 5 34 3" xfId="36304" xr:uid="{4AFE0B2A-B0A9-49C4-A0AC-73DDB33FAA62}"/>
    <cellStyle name="Note 3 5 34 4" xfId="36305" xr:uid="{E456EA9C-116F-4CC3-8BD0-E41B7AB41C6B}"/>
    <cellStyle name="Note 3 5 34 5" xfId="36306" xr:uid="{500AC125-1A25-47E8-BABE-4491A58D8667}"/>
    <cellStyle name="Note 3 5 34 6" xfId="36307" xr:uid="{C28B41F8-53AF-40C0-85DA-B6C05D1041B9}"/>
    <cellStyle name="Note 3 5 34 7" xfId="36308" xr:uid="{47619DBC-EFB2-4ABE-A5C2-577AF785EAAB}"/>
    <cellStyle name="Note 3 5 35" xfId="8911" xr:uid="{3D7CA5B0-8D4F-4B46-A582-8E2596B4C306}"/>
    <cellStyle name="Note 3 5 35 2" xfId="36309" xr:uid="{B3176279-74E3-4542-A305-FB010B4D96F4}"/>
    <cellStyle name="Note 3 5 36" xfId="9824" xr:uid="{803B12D5-22B1-41AE-9899-50F74B8A51CB}"/>
    <cellStyle name="Note 3 5 36 2" xfId="36310" xr:uid="{D753DE59-4CF4-4545-A7F6-27A72D329551}"/>
    <cellStyle name="Note 3 5 36 3" xfId="36311" xr:uid="{A1018381-2613-4A4E-9C22-28D90EC7B4BD}"/>
    <cellStyle name="Note 3 5 36 4" xfId="36312" xr:uid="{A4907B77-96C4-496F-8EB2-3CB1470262A8}"/>
    <cellStyle name="Note 3 5 36 5" xfId="36313" xr:uid="{530A3A99-6608-4655-AED8-834E5F32B17E}"/>
    <cellStyle name="Note 3 5 36 6" xfId="36314" xr:uid="{5101BECB-2CEC-47CF-80D9-66BFECDCA127}"/>
    <cellStyle name="Note 3 5 37" xfId="36315" xr:uid="{50ED3C44-ED5B-47D0-ABE5-FFCB9337C819}"/>
    <cellStyle name="Note 3 5 38" xfId="36316" xr:uid="{92CB8BC7-133B-4149-B5AA-0201B52DC115}"/>
    <cellStyle name="Note 3 5 39" xfId="36317" xr:uid="{7082F983-5A66-48D8-82EA-EC7E8352CD40}"/>
    <cellStyle name="Note 3 5 4" xfId="2534" xr:uid="{BF7BB388-DBF6-40B3-9187-99D4D946D47D}"/>
    <cellStyle name="Note 3 5 4 2" xfId="10218" xr:uid="{032FC034-A56C-4FCF-8C5B-B5B6C5F1F1F9}"/>
    <cellStyle name="Note 3 5 4 2 2" xfId="36318" xr:uid="{587DEC5A-6EFF-44A8-B472-93330693FDD4}"/>
    <cellStyle name="Note 3 5 4 2 3" xfId="36319" xr:uid="{92CB2935-9FDD-429E-A2BE-CEDEECC6C1A4}"/>
    <cellStyle name="Note 3 5 4 2 4" xfId="36320" xr:uid="{3CD7070D-A47E-4FC4-9094-3D3D3EC911B9}"/>
    <cellStyle name="Note 3 5 4 2 5" xfId="36321" xr:uid="{87088290-3EE6-4B5E-94B2-805DC7DA5C5C}"/>
    <cellStyle name="Note 3 5 4 2 6" xfId="36322" xr:uid="{A583C4C3-BB36-40A6-AE9B-865D63FFBC5C}"/>
    <cellStyle name="Note 3 5 4 3" xfId="36323" xr:uid="{9FB42198-D5FC-4CAC-A622-8B799C327C35}"/>
    <cellStyle name="Note 3 5 4 4" xfId="36324" xr:uid="{0AC380E3-F7A4-46FF-8EA2-839D000E675B}"/>
    <cellStyle name="Note 3 5 4 5" xfId="36325" xr:uid="{7AB1280C-6561-4329-95A3-050435A90B91}"/>
    <cellStyle name="Note 3 5 4 6" xfId="36326" xr:uid="{D3747260-FF63-4F1D-8BD2-723439F60884}"/>
    <cellStyle name="Note 3 5 4 7" xfId="36327" xr:uid="{22587369-A830-4252-BD22-7658F53F22DF}"/>
    <cellStyle name="Note 3 5 40" xfId="36328" xr:uid="{0321844A-8919-4073-B89F-51804F8B5D3A}"/>
    <cellStyle name="Note 3 5 41" xfId="36329" xr:uid="{AD8CC24D-CFD5-400D-BF42-12654B69C285}"/>
    <cellStyle name="Note 3 5 5" xfId="2535" xr:uid="{CF780E9E-ED83-42C6-96EF-01D796EB7B24}"/>
    <cellStyle name="Note 3 5 5 2" xfId="10304" xr:uid="{2355F897-4F35-482C-8BD5-03971CCAD46A}"/>
    <cellStyle name="Note 3 5 5 2 2" xfId="36330" xr:uid="{BCC1DA54-6C95-482E-9C22-37AE1AB21A92}"/>
    <cellStyle name="Note 3 5 5 2 3" xfId="36331" xr:uid="{945398C6-6023-43A3-9546-A95CBB3EA24E}"/>
    <cellStyle name="Note 3 5 5 2 4" xfId="36332" xr:uid="{DEC8B8D9-F577-469B-930B-44F44085EA9B}"/>
    <cellStyle name="Note 3 5 5 2 5" xfId="36333" xr:uid="{14A2753F-D1B1-43DA-BC49-15F99970597D}"/>
    <cellStyle name="Note 3 5 5 2 6" xfId="36334" xr:uid="{6E74790B-53D4-4B94-92DF-B10FEB71334E}"/>
    <cellStyle name="Note 3 5 5 3" xfId="36335" xr:uid="{FF929277-8A4E-4FBD-B2CB-38728A728CE4}"/>
    <cellStyle name="Note 3 5 5 4" xfId="36336" xr:uid="{4FC24CDD-2FDC-4AF3-AED7-4DCDBFA40DFC}"/>
    <cellStyle name="Note 3 5 5 5" xfId="36337" xr:uid="{F9A0A1C4-41F3-4465-82A4-74B90CDDFAEC}"/>
    <cellStyle name="Note 3 5 5 6" xfId="36338" xr:uid="{6C94C30A-4B7D-4B1F-8E82-504D64C45907}"/>
    <cellStyle name="Note 3 5 5 7" xfId="36339" xr:uid="{90F268A1-BA11-46EB-927E-8894BE01FA10}"/>
    <cellStyle name="Note 3 5 6" xfId="2536" xr:uid="{1DFDE86A-2808-4B0C-AADC-7C4D3BD75707}"/>
    <cellStyle name="Note 3 5 6 2" xfId="10392" xr:uid="{30FF8D50-D933-4D1A-8705-8B1D123285F6}"/>
    <cellStyle name="Note 3 5 6 2 2" xfId="36340" xr:uid="{8F587CFD-E40B-4718-A269-B2F4AE2E95B4}"/>
    <cellStyle name="Note 3 5 6 2 3" xfId="36341" xr:uid="{C3B39211-48FF-47FC-A41B-F8EE3545E982}"/>
    <cellStyle name="Note 3 5 6 2 4" xfId="36342" xr:uid="{23B90FB7-F8F5-4AFF-AA3F-E67341A3B662}"/>
    <cellStyle name="Note 3 5 6 2 5" xfId="36343" xr:uid="{92EF1C01-98A2-4FB5-9607-50594CECA5E6}"/>
    <cellStyle name="Note 3 5 6 2 6" xfId="36344" xr:uid="{1D08BB1E-46AB-43C1-8D91-28BEB06A833B}"/>
    <cellStyle name="Note 3 5 6 3" xfId="36345" xr:uid="{FEDA6F98-FECB-4F23-B11B-A4258F448D97}"/>
    <cellStyle name="Note 3 5 6 4" xfId="36346" xr:uid="{9CC01A9A-FB38-444F-B252-2A0C00F44BC0}"/>
    <cellStyle name="Note 3 5 6 5" xfId="36347" xr:uid="{046CF10E-CD29-4A58-B3C5-633AEB02D225}"/>
    <cellStyle name="Note 3 5 6 6" xfId="36348" xr:uid="{AD1DCC14-1569-4376-B609-BAA73BDD5443}"/>
    <cellStyle name="Note 3 5 6 7" xfId="36349" xr:uid="{14D7FE6F-CFF8-4E58-B0DC-0CEFAD1F8026}"/>
    <cellStyle name="Note 3 5 7" xfId="2537" xr:uid="{F442C13C-4919-42DF-A16B-87405B8EDBA3}"/>
    <cellStyle name="Note 3 5 7 2" xfId="10479" xr:uid="{55564EE2-F719-4AC9-8541-225BCED63D31}"/>
    <cellStyle name="Note 3 5 7 2 2" xfId="36350" xr:uid="{016A77D1-F21E-4D01-AE0D-2A506501C8ED}"/>
    <cellStyle name="Note 3 5 7 2 3" xfId="36351" xr:uid="{6976DCDF-609D-4646-9D56-DDC42EAD19E6}"/>
    <cellStyle name="Note 3 5 7 2 4" xfId="36352" xr:uid="{6046FC8E-FBFD-415A-B21F-A04F7C7E73FC}"/>
    <cellStyle name="Note 3 5 7 2 5" xfId="36353" xr:uid="{5823A923-1810-48F6-A436-99A7450B01DB}"/>
    <cellStyle name="Note 3 5 7 2 6" xfId="36354" xr:uid="{48743111-EC73-4EB3-86A9-FAC35CF94F7B}"/>
    <cellStyle name="Note 3 5 7 3" xfId="36355" xr:uid="{06851E15-DDB5-47C1-9369-97BDAA45E417}"/>
    <cellStyle name="Note 3 5 7 4" xfId="36356" xr:uid="{A3BB1AC6-08E7-47B0-883F-982DDD253F07}"/>
    <cellStyle name="Note 3 5 7 5" xfId="36357" xr:uid="{ABA40D7D-4BA8-40BA-8E5D-FB067CB697DD}"/>
    <cellStyle name="Note 3 5 7 6" xfId="36358" xr:uid="{770D8469-C37A-4C0A-8A33-07D4EC1CF4CE}"/>
    <cellStyle name="Note 3 5 7 7" xfId="36359" xr:uid="{175A3920-0CEB-48F1-9F76-FC9781903DF1}"/>
    <cellStyle name="Note 3 5 8" xfId="2538" xr:uid="{4B37056C-D8E7-4179-A9E3-183104890DB6}"/>
    <cellStyle name="Note 3 5 8 2" xfId="10567" xr:uid="{2943FEA2-FDE5-4FAC-AC91-597C201E61EF}"/>
    <cellStyle name="Note 3 5 8 2 2" xfId="36360" xr:uid="{B7E69132-65B1-44EF-A9F1-165EC4A13B56}"/>
    <cellStyle name="Note 3 5 8 2 3" xfId="36361" xr:uid="{DC42F171-9F6D-443F-8BF3-FA11D47B924B}"/>
    <cellStyle name="Note 3 5 8 2 4" xfId="36362" xr:uid="{58542EB8-BF1E-450C-9783-A82CDBCC907C}"/>
    <cellStyle name="Note 3 5 8 2 5" xfId="36363" xr:uid="{B6F5E8C9-1F6C-4852-8626-D7DE4EC2F2D9}"/>
    <cellStyle name="Note 3 5 8 2 6" xfId="36364" xr:uid="{467A87CB-5E6F-4A21-BF75-34EA58D02B31}"/>
    <cellStyle name="Note 3 5 8 3" xfId="36365" xr:uid="{454C2BDB-11EE-4B8C-AEE9-E3BEC7FE8ED3}"/>
    <cellStyle name="Note 3 5 8 4" xfId="36366" xr:uid="{12A8B585-CAF5-41F1-8376-DDB7C0A5B4FC}"/>
    <cellStyle name="Note 3 5 8 5" xfId="36367" xr:uid="{49725CAB-9A75-4CF2-885A-E2D58B80E1BC}"/>
    <cellStyle name="Note 3 5 8 6" xfId="36368" xr:uid="{DBA785BE-CA58-42C1-8072-2F73B702AABD}"/>
    <cellStyle name="Note 3 5 8 7" xfId="36369" xr:uid="{D107F9FF-67EC-42BA-A3D6-22860DA47506}"/>
    <cellStyle name="Note 3 5 9" xfId="2539" xr:uid="{291C08D9-C092-48C1-A16B-D61AD16D9B07}"/>
    <cellStyle name="Note 3 5 9 2" xfId="10649" xr:uid="{90002681-88B2-40E1-A6D4-0B357133CF01}"/>
    <cellStyle name="Note 3 5 9 2 2" xfId="36370" xr:uid="{70A107F8-0DC5-42AA-9A67-D1A19B39861B}"/>
    <cellStyle name="Note 3 5 9 2 3" xfId="36371" xr:uid="{F3A673DE-0468-4735-B7ED-C75A1E7D6807}"/>
    <cellStyle name="Note 3 5 9 2 4" xfId="36372" xr:uid="{1D3AE8C1-A6F4-4FE5-B4FF-DC87D8E16FEC}"/>
    <cellStyle name="Note 3 5 9 2 5" xfId="36373" xr:uid="{6435922C-C2F5-40E3-A897-CA24039FE029}"/>
    <cellStyle name="Note 3 5 9 2 6" xfId="36374" xr:uid="{201FF486-E00C-4934-B848-DE49C74048A8}"/>
    <cellStyle name="Note 3 5 9 3" xfId="36375" xr:uid="{81B5AFB8-42EA-4DD9-BF12-566CCD20069C}"/>
    <cellStyle name="Note 3 5 9 4" xfId="36376" xr:uid="{20F1B20F-2412-4C3B-8EE3-77EE8B149417}"/>
    <cellStyle name="Note 3 5 9 5" xfId="36377" xr:uid="{60180957-50F5-469E-8EE6-F4CFC794D588}"/>
    <cellStyle name="Note 3 5 9 6" xfId="36378" xr:uid="{786FAB66-7450-4685-B036-557718B05B54}"/>
    <cellStyle name="Note 3 5 9 7" xfId="36379" xr:uid="{A4715DEB-A4EE-48BE-A2F1-34089D31F86E}"/>
    <cellStyle name="Note 3 6" xfId="2540" xr:uid="{7B350DD2-602B-4535-8CFA-43A0A5C3B1B8}"/>
    <cellStyle name="Note 3 6 2" xfId="8912" xr:uid="{387F3887-E487-46FB-B643-263F0A1E36F1}"/>
    <cellStyle name="Note 3 6 2 2" xfId="36380" xr:uid="{39976707-1EAD-4C8E-A5B7-0AF944C4DB45}"/>
    <cellStyle name="Note 3 6 3" xfId="9974" xr:uid="{612E5F73-6C16-4BFE-A9C7-2441D8D0A507}"/>
    <cellStyle name="Note 3 6 3 2" xfId="36381" xr:uid="{CE129924-22AD-42D7-B1DA-2C8AC4FFA313}"/>
    <cellStyle name="Note 3 6 3 3" xfId="36382" xr:uid="{13536A3A-3DE9-4421-9B59-008301260A56}"/>
    <cellStyle name="Note 3 6 3 4" xfId="36383" xr:uid="{87CEF470-8FA1-49C4-A43C-A8F82FB11E0F}"/>
    <cellStyle name="Note 3 6 3 5" xfId="36384" xr:uid="{D121486F-B425-4E8A-AC8D-9B3FEA78E4B6}"/>
    <cellStyle name="Note 3 6 3 6" xfId="36385" xr:uid="{7A44DCD1-680D-44CC-BA5D-36DB423B965F}"/>
    <cellStyle name="Note 3 6 4" xfId="36386" xr:uid="{719768F4-F712-4716-88A4-5D7815BED197}"/>
    <cellStyle name="Note 3 6 5" xfId="36387" xr:uid="{02D19EE9-8BE6-423B-9672-5CB8BD1C7AB6}"/>
    <cellStyle name="Note 3 6 6" xfId="36388" xr:uid="{414B5F45-CA4F-4D68-B7C0-B9A30B437CF3}"/>
    <cellStyle name="Note 3 6 7" xfId="36389" xr:uid="{0C471BFF-418F-4A22-9DCF-8D6FA62591E6}"/>
    <cellStyle name="Note 3 6 8" xfId="36390" xr:uid="{5A4FB028-6F9D-4DC3-BAF0-D2B5F0395ABA}"/>
    <cellStyle name="Note 3 7" xfId="2541" xr:uid="{25FC7572-AB34-4CCE-8533-5439E4658C0E}"/>
    <cellStyle name="Note 3 7 2" xfId="8913" xr:uid="{3C0389CD-4F21-4D50-8C1F-35FCC6AF0979}"/>
    <cellStyle name="Note 3 7 2 2" xfId="36391" xr:uid="{08629A98-0CD5-4060-8261-4C0792A3DCE8}"/>
    <cellStyle name="Note 3 7 2 3" xfId="36392" xr:uid="{42DBF754-98EA-4DCB-8B02-26DEDD15F1AB}"/>
    <cellStyle name="Note 3 7 2 4" xfId="36393" xr:uid="{645CB4F6-3B84-450D-A7CB-2E18D37F2942}"/>
    <cellStyle name="Note 3 7 2 5" xfId="36394" xr:uid="{98CAECCF-261A-4086-8D5C-DE6EAC06CB1B}"/>
    <cellStyle name="Note 3 7 2 6" xfId="36395" xr:uid="{FF55087A-4F15-4716-B3B8-82101E9BEC93}"/>
    <cellStyle name="Note 3 7 3" xfId="9872" xr:uid="{F5D90BE7-5066-4A6A-8E96-49AB2E999746}"/>
    <cellStyle name="Note 3 7 3 2" xfId="36396" xr:uid="{DBFFC558-E1CB-4CA2-AA50-EF010334B3E0}"/>
    <cellStyle name="Note 3 7 3 3" xfId="36397" xr:uid="{09D4D4E8-D272-4819-8FFF-929ECE24ECA0}"/>
    <cellStyle name="Note 3 7 3 4" xfId="36398" xr:uid="{63F87D73-950A-4BC3-9DC1-C65725228D19}"/>
    <cellStyle name="Note 3 7 3 5" xfId="36399" xr:uid="{B830F74B-4B51-426F-90BD-4B2C22EB57FB}"/>
    <cellStyle name="Note 3 7 3 6" xfId="36400" xr:uid="{A2ED25F6-3180-45FD-8A7A-57DDA923863F}"/>
    <cellStyle name="Note 3 7 4" xfId="36401" xr:uid="{86AF7AD6-C93D-4C95-9FDA-C608456C6192}"/>
    <cellStyle name="Note 3 7 5" xfId="36402" xr:uid="{AC64138F-617E-4354-8679-E063346459D0}"/>
    <cellStyle name="Note 3 7 6" xfId="36403" xr:uid="{C67C1983-15A0-41B4-85B6-7C9F77E7C82D}"/>
    <cellStyle name="Note 3 7 7" xfId="36404" xr:uid="{F34DB949-039D-42F1-B959-BF3DC0B58CFD}"/>
    <cellStyle name="Note 3 7 8" xfId="36405" xr:uid="{9B529737-7B54-415F-BDC6-DC347267CF0A}"/>
    <cellStyle name="Note 3 8" xfId="2542" xr:uid="{C5C4137D-0D94-4E8C-82A4-56DB8EE8E0A2}"/>
    <cellStyle name="Note 3 8 2" xfId="9949" xr:uid="{0876B895-24C0-431F-BB73-6CD696119A86}"/>
    <cellStyle name="Note 3 8 2 2" xfId="36406" xr:uid="{9ACF73EB-6B9B-46CF-970E-B9ECEB2C45B8}"/>
    <cellStyle name="Note 3 8 2 3" xfId="36407" xr:uid="{F702B9B4-6468-4932-A58F-C6179AB77CB2}"/>
    <cellStyle name="Note 3 8 2 4" xfId="36408" xr:uid="{E48CE7BA-10E5-40AB-8DD3-BB573DFC38F9}"/>
    <cellStyle name="Note 3 8 2 5" xfId="36409" xr:uid="{3135E1A4-53EA-4F5B-BE2D-F1A03E917394}"/>
    <cellStyle name="Note 3 8 2 6" xfId="36410" xr:uid="{914DC4D9-6CBD-4E10-BF3B-122075C0C7E2}"/>
    <cellStyle name="Note 3 8 3" xfId="36411" xr:uid="{667B08D9-28C9-42E3-83AF-048CA7F6CE23}"/>
    <cellStyle name="Note 3 8 4" xfId="36412" xr:uid="{01120369-C7EB-40BD-BE90-901B869A6CB3}"/>
    <cellStyle name="Note 3 8 5" xfId="36413" xr:uid="{1376F161-6E1D-449D-8D2C-1A73E2E95D1D}"/>
    <cellStyle name="Note 3 8 6" xfId="36414" xr:uid="{71674FAC-DE06-45BA-8459-658007214751}"/>
    <cellStyle name="Note 3 8 7" xfId="36415" xr:uid="{E388A518-BA32-47E6-AFDB-677E4AE6CE20}"/>
    <cellStyle name="Note 3 9" xfId="2543" xr:uid="{1B4E0AD3-F550-401F-A2E8-DE236D35B0B0}"/>
    <cellStyle name="Note 3 9 2" xfId="9897" xr:uid="{9DF65C68-F9E0-4738-B9BC-EAC451743852}"/>
    <cellStyle name="Note 3 9 2 2" xfId="36416" xr:uid="{726772D4-590C-4DBA-973F-F16DB5CEAEF9}"/>
    <cellStyle name="Note 3 9 2 3" xfId="36417" xr:uid="{DD4CCAC3-E593-4084-A339-0EDB9D5F7AE6}"/>
    <cellStyle name="Note 3 9 2 4" xfId="36418" xr:uid="{C5BD5FCB-9DF9-4135-85D6-0567FB4404C6}"/>
    <cellStyle name="Note 3 9 2 5" xfId="36419" xr:uid="{7D8DD177-074D-4319-919F-C1D3DB4F1C9C}"/>
    <cellStyle name="Note 3 9 2 6" xfId="36420" xr:uid="{CEF78611-0A8D-4A03-86F7-10443FA04FE4}"/>
    <cellStyle name="Note 3 9 3" xfId="36421" xr:uid="{75DF0C2B-42AB-4F0A-856C-2F0CFCCD3542}"/>
    <cellStyle name="Note 3 9 4" xfId="36422" xr:uid="{0C93A6EF-F868-4D20-A9D2-271DBD7481DF}"/>
    <cellStyle name="Note 3 9 5" xfId="36423" xr:uid="{1044774E-EF1D-4FDD-9DC9-D79999681C81}"/>
    <cellStyle name="Note 3 9 6" xfId="36424" xr:uid="{4DD9F654-8616-48F7-9B6E-38324E5236BD}"/>
    <cellStyle name="Note 3 9 7" xfId="36425" xr:uid="{DD948040-D37C-46B2-BD30-8377C77ACE80}"/>
    <cellStyle name="Note 4" xfId="2544" xr:uid="{FBCEBE90-15BE-463E-8946-A1C0EE141C3D}"/>
    <cellStyle name="Note 4 10" xfId="2545" xr:uid="{96A6D241-9A6C-4C82-8305-7EA4CE5B1BC1}"/>
    <cellStyle name="Note 4 10 2" xfId="9747" xr:uid="{09356A66-D6C9-4BA4-B40D-1421D88DB93F}"/>
    <cellStyle name="Note 4 10 2 2" xfId="36426" xr:uid="{BEE0E34E-B9B8-4778-8AEB-C7D9CF170039}"/>
    <cellStyle name="Note 4 10 2 3" xfId="36427" xr:uid="{E8C440C1-17BC-4B73-A5B6-D225583FD7A0}"/>
    <cellStyle name="Note 4 10 2 4" xfId="36428" xr:uid="{75B3D184-DE54-4D1D-8432-0932D33B5037}"/>
    <cellStyle name="Note 4 10 2 5" xfId="36429" xr:uid="{3426DF90-6439-4F9C-AEA6-6FD95B5F85B9}"/>
    <cellStyle name="Note 4 10 2 6" xfId="36430" xr:uid="{6ECBB7F4-9B22-4182-9F1C-93684F5A88EC}"/>
    <cellStyle name="Note 4 10 3" xfId="36431" xr:uid="{5F6A55E7-2AFC-48A4-9ADD-DE900509CE4B}"/>
    <cellStyle name="Note 4 10 4" xfId="36432" xr:uid="{E138BB94-2575-40A6-A641-E2EA71D147ED}"/>
    <cellStyle name="Note 4 10 5" xfId="36433" xr:uid="{0E27B98A-5890-490A-BB92-792218F62799}"/>
    <cellStyle name="Note 4 10 6" xfId="36434" xr:uid="{50266FDE-43EC-4D9E-B3FE-2FD44A0C79AE}"/>
    <cellStyle name="Note 4 10 7" xfId="36435" xr:uid="{58AFE38D-AB1F-4A89-A65E-954D75DD64F4}"/>
    <cellStyle name="Note 4 11" xfId="2546" xr:uid="{4871CD9D-E127-492C-8494-DB717014007A}"/>
    <cellStyle name="Note 4 11 2" xfId="9738" xr:uid="{C9374722-67B9-4F1E-836A-426425598F15}"/>
    <cellStyle name="Note 4 11 2 2" xfId="36436" xr:uid="{E191B5CE-1EAC-4E32-99A5-728435B74EC7}"/>
    <cellStyle name="Note 4 11 2 3" xfId="36437" xr:uid="{35DD2653-8433-4F72-956A-C63CEED6CDD1}"/>
    <cellStyle name="Note 4 11 2 4" xfId="36438" xr:uid="{2019D972-E380-4F02-8542-FF7B7BD67093}"/>
    <cellStyle name="Note 4 11 2 5" xfId="36439" xr:uid="{36D8F1AF-8A7C-49CA-BD57-E9DCB46A147F}"/>
    <cellStyle name="Note 4 11 2 6" xfId="36440" xr:uid="{F48B7B7F-6A91-40D0-AB0B-8D13BD3A472B}"/>
    <cellStyle name="Note 4 11 3" xfId="36441" xr:uid="{689BDD79-5185-4D31-8F28-BA87C29B8790}"/>
    <cellStyle name="Note 4 11 4" xfId="36442" xr:uid="{4DB00B72-5671-468D-A947-7358375A5D7D}"/>
    <cellStyle name="Note 4 11 5" xfId="36443" xr:uid="{0D5419B0-0E90-49C2-8D7F-4718115D01C2}"/>
    <cellStyle name="Note 4 11 6" xfId="36444" xr:uid="{CBDE3486-02A2-4E9B-A63B-56A9529B607C}"/>
    <cellStyle name="Note 4 11 7" xfId="36445" xr:uid="{530AE9D0-B545-404C-8C8B-C3E5B0A1F32E}"/>
    <cellStyle name="Note 4 12" xfId="2547" xr:uid="{859BA6DD-15F5-4DE1-A48F-206C354267C4}"/>
    <cellStyle name="Note 4 12 2" xfId="10189" xr:uid="{A886E019-44B2-4C3F-AA0E-33E11258E4F2}"/>
    <cellStyle name="Note 4 12 2 2" xfId="36446" xr:uid="{4238200D-2500-4B92-A2B2-C1EED470D3DB}"/>
    <cellStyle name="Note 4 12 2 3" xfId="36447" xr:uid="{C2383EBE-6C49-4304-B187-5D01AF096C4A}"/>
    <cellStyle name="Note 4 12 2 4" xfId="36448" xr:uid="{855C03C5-17BB-4398-80E1-666BD92DF37A}"/>
    <cellStyle name="Note 4 12 2 5" xfId="36449" xr:uid="{09667D8C-1C17-4A9F-819F-38382D5E73B4}"/>
    <cellStyle name="Note 4 12 2 6" xfId="36450" xr:uid="{D922A8B5-F80C-4405-A6E4-D2975B550F2B}"/>
    <cellStyle name="Note 4 12 3" xfId="36451" xr:uid="{58DFA75C-DA1C-471A-BF19-9BA97D7EE8E2}"/>
    <cellStyle name="Note 4 12 4" xfId="36452" xr:uid="{DDE91527-9235-4BA8-852B-AE91AA8F26C5}"/>
    <cellStyle name="Note 4 12 5" xfId="36453" xr:uid="{E4B123C0-C998-480C-917D-A6946A59AA26}"/>
    <cellStyle name="Note 4 12 6" xfId="36454" xr:uid="{508A54C7-0530-4E1C-872E-E06EDB065C24}"/>
    <cellStyle name="Note 4 12 7" xfId="36455" xr:uid="{434F3836-CD99-443C-92B6-FDB4D20BF78F}"/>
    <cellStyle name="Note 4 13" xfId="2548" xr:uid="{0265A148-3497-4601-B042-7AE64D250AE1}"/>
    <cellStyle name="Note 4 13 2" xfId="9866" xr:uid="{3D8EFC35-FC9E-41BE-8C4E-0F7B65A40764}"/>
    <cellStyle name="Note 4 13 2 2" xfId="36456" xr:uid="{249B35AE-AB5E-4E22-9F0B-D37A5136D07D}"/>
    <cellStyle name="Note 4 13 2 3" xfId="36457" xr:uid="{5AD821D2-F62E-4E16-A789-7A4F07256371}"/>
    <cellStyle name="Note 4 13 2 4" xfId="36458" xr:uid="{0508177D-46EB-438C-87BE-06E1D28DC6FC}"/>
    <cellStyle name="Note 4 13 2 5" xfId="36459" xr:uid="{5CB0F72A-B3B6-469A-BDAD-82E748A3B1B7}"/>
    <cellStyle name="Note 4 13 2 6" xfId="36460" xr:uid="{7B87B8D5-E257-4E13-8E25-AE9F47F2B6CD}"/>
    <cellStyle name="Note 4 13 3" xfId="36461" xr:uid="{84007791-A46F-4BE9-829D-290EEB8C01FD}"/>
    <cellStyle name="Note 4 13 4" xfId="36462" xr:uid="{928FAFFC-4F6F-4F01-8EF6-463E9D7F2160}"/>
    <cellStyle name="Note 4 13 5" xfId="36463" xr:uid="{5217ADBB-4DF6-4732-A51A-EBDF0B383FC4}"/>
    <cellStyle name="Note 4 13 6" xfId="36464" xr:uid="{50F36E7A-96AD-4BA1-999A-A555ACA10577}"/>
    <cellStyle name="Note 4 13 7" xfId="36465" xr:uid="{6D8959D4-DA02-4620-BECB-DEC803FDE5E4}"/>
    <cellStyle name="Note 4 14" xfId="2549" xr:uid="{94B59FBA-6F43-4F41-A4BF-1C5A1278DBB3}"/>
    <cellStyle name="Note 4 14 2" xfId="10362" xr:uid="{F38BBFF0-82B6-490D-A779-D905357F75CA}"/>
    <cellStyle name="Note 4 14 2 2" xfId="36466" xr:uid="{9D3DC6C6-0084-4940-80CA-A8114696F9CC}"/>
    <cellStyle name="Note 4 14 2 3" xfId="36467" xr:uid="{74E26A68-7F28-4660-9248-87750797A5C1}"/>
    <cellStyle name="Note 4 14 2 4" xfId="36468" xr:uid="{DE4F78AF-FB76-4135-A309-7B6801D15975}"/>
    <cellStyle name="Note 4 14 2 5" xfId="36469" xr:uid="{DBB03A06-30EB-43E9-BF3C-166F9A07AD92}"/>
    <cellStyle name="Note 4 14 2 6" xfId="36470" xr:uid="{FC61CE88-3843-40C2-8461-35C8DE926441}"/>
    <cellStyle name="Note 4 14 3" xfId="36471" xr:uid="{00026AF1-D1E0-4285-94CF-A94A25B4B791}"/>
    <cellStyle name="Note 4 14 4" xfId="36472" xr:uid="{59449485-9377-4FB7-90D0-8ECD1F68837B}"/>
    <cellStyle name="Note 4 14 5" xfId="36473" xr:uid="{ABF08147-B11B-4127-BDA5-C4E8CB5A8C4D}"/>
    <cellStyle name="Note 4 14 6" xfId="36474" xr:uid="{CA52DD3E-6477-47BB-B939-6F1EBFBEDFC4}"/>
    <cellStyle name="Note 4 14 7" xfId="36475" xr:uid="{6312C4A7-7EAD-4C71-AE59-8E04BA9F0856}"/>
    <cellStyle name="Note 4 15" xfId="2550" xr:uid="{889402A0-B515-4E02-8BEF-6042CFEA2A33}"/>
    <cellStyle name="Note 4 15 2" xfId="9953" xr:uid="{79BCB231-3B3F-4874-898A-E079C22CA817}"/>
    <cellStyle name="Note 4 15 2 2" xfId="36476" xr:uid="{2D12C90B-2739-492B-9424-3E9F9EFD0658}"/>
    <cellStyle name="Note 4 15 2 3" xfId="36477" xr:uid="{F3E79C64-A7DF-44FF-ACFF-2886C076AEDD}"/>
    <cellStyle name="Note 4 15 2 4" xfId="36478" xr:uid="{02136FA0-955F-4F5D-8E9B-B527274114C0}"/>
    <cellStyle name="Note 4 15 2 5" xfId="36479" xr:uid="{64252924-FD6B-4C74-BDC2-C40DB99AD844}"/>
    <cellStyle name="Note 4 15 2 6" xfId="36480" xr:uid="{F673FD75-E1A6-4BE6-8B86-398F4B8600A0}"/>
    <cellStyle name="Note 4 15 3" xfId="36481" xr:uid="{CB8DE92F-1128-4CAE-A36F-11A1C9D40C59}"/>
    <cellStyle name="Note 4 15 4" xfId="36482" xr:uid="{C7942802-14C8-467A-AA23-3C443494D7AB}"/>
    <cellStyle name="Note 4 15 5" xfId="36483" xr:uid="{59F860FF-72A4-4690-AE94-9340855BF6B9}"/>
    <cellStyle name="Note 4 15 6" xfId="36484" xr:uid="{6E136B26-E4B9-40B7-A1C4-495990C182F4}"/>
    <cellStyle name="Note 4 15 7" xfId="36485" xr:uid="{9BB296E4-22D3-4EA3-BA03-1AF569020636}"/>
    <cellStyle name="Note 4 16" xfId="2551" xr:uid="{9FE9CEF9-FA3E-44B1-A627-56376E3F718B}"/>
    <cellStyle name="Note 4 16 2" xfId="9760" xr:uid="{3EE92199-661D-49FC-A943-245723D842C7}"/>
    <cellStyle name="Note 4 16 2 2" xfId="36486" xr:uid="{4B31C98F-A1D9-4DFF-B7DB-E22091854FE0}"/>
    <cellStyle name="Note 4 16 2 3" xfId="36487" xr:uid="{D449E584-E6ED-4BED-A430-F3B9642B255B}"/>
    <cellStyle name="Note 4 16 2 4" xfId="36488" xr:uid="{6D5BF1C0-597A-43B6-B77F-9255585B1E1F}"/>
    <cellStyle name="Note 4 16 2 5" xfId="36489" xr:uid="{EC6B7A9A-1275-4408-8927-98E3D7AD3F00}"/>
    <cellStyle name="Note 4 16 2 6" xfId="36490" xr:uid="{542F9D4C-8457-44F2-A9DC-0B70932C34BB}"/>
    <cellStyle name="Note 4 16 3" xfId="36491" xr:uid="{2859156C-705D-4680-B503-939AEF0170B7}"/>
    <cellStyle name="Note 4 16 4" xfId="36492" xr:uid="{7D83077C-5A19-4771-BA70-E88CCC87EF9A}"/>
    <cellStyle name="Note 4 16 5" xfId="36493" xr:uid="{A3E10C98-B4B8-4ABD-820D-D00F195DF5B3}"/>
    <cellStyle name="Note 4 16 6" xfId="36494" xr:uid="{F902423E-8856-487B-863C-24D065802B6D}"/>
    <cellStyle name="Note 4 16 7" xfId="36495" xr:uid="{80654C24-CD8F-446B-9771-5C6444BB3D73}"/>
    <cellStyle name="Note 4 17" xfId="2552" xr:uid="{D07B1BDA-EF66-4BED-BA72-D3956364672C}"/>
    <cellStyle name="Note 4 17 2" xfId="10069" xr:uid="{5C8EC4B3-B914-4D8F-AC78-18A9E6F58556}"/>
    <cellStyle name="Note 4 17 2 2" xfId="36496" xr:uid="{7FCE74BE-D121-4559-8315-98C73317EB5E}"/>
    <cellStyle name="Note 4 17 2 3" xfId="36497" xr:uid="{EC6751F5-6B1D-42BA-BEA9-950E91DF2CEE}"/>
    <cellStyle name="Note 4 17 2 4" xfId="36498" xr:uid="{3855FD78-4B99-4B7D-BC82-3F2B1CD5EE94}"/>
    <cellStyle name="Note 4 17 2 5" xfId="36499" xr:uid="{45ABD958-734A-4617-AA0E-576C03F528AD}"/>
    <cellStyle name="Note 4 17 2 6" xfId="36500" xr:uid="{DCC256C7-40FD-4E0C-8424-82954DC01012}"/>
    <cellStyle name="Note 4 17 3" xfId="36501" xr:uid="{2469C86B-253D-4701-81FE-BA3C72C9D4D7}"/>
    <cellStyle name="Note 4 17 4" xfId="36502" xr:uid="{F415E567-4F77-4931-BAD7-E4EB934D69A7}"/>
    <cellStyle name="Note 4 17 5" xfId="36503" xr:uid="{774998F4-4D81-45C1-B030-2E0756B80768}"/>
    <cellStyle name="Note 4 17 6" xfId="36504" xr:uid="{3DE6F2B6-3DE5-4332-A44B-B0E947898758}"/>
    <cellStyle name="Note 4 17 7" xfId="36505" xr:uid="{C020D3F0-4AB6-4859-B63E-5A931AAACC7F}"/>
    <cellStyle name="Note 4 18" xfId="2553" xr:uid="{EF21F5CA-A999-4053-BA58-96AEED1EFBC6}"/>
    <cellStyle name="Note 4 18 2" xfId="10727" xr:uid="{2F01727D-AFA0-41A7-9927-63AEE557B616}"/>
    <cellStyle name="Note 4 18 2 2" xfId="36506" xr:uid="{B3FE1BA3-DEF0-49AC-8D92-D135780D7C04}"/>
    <cellStyle name="Note 4 18 2 3" xfId="36507" xr:uid="{74836830-7BF8-45C1-A07E-43F7F4742174}"/>
    <cellStyle name="Note 4 18 2 4" xfId="36508" xr:uid="{7BBEB011-0E9D-41DB-AD75-E80473C3C2A9}"/>
    <cellStyle name="Note 4 18 2 5" xfId="36509" xr:uid="{36C94A91-290A-41F7-B6CE-2105358E6956}"/>
    <cellStyle name="Note 4 18 2 6" xfId="36510" xr:uid="{0F039EE6-B879-4E55-A76B-E216AADC216D}"/>
    <cellStyle name="Note 4 18 3" xfId="36511" xr:uid="{5CDE87A5-F1BA-49FC-A55C-6BA034104797}"/>
    <cellStyle name="Note 4 18 4" xfId="36512" xr:uid="{AE7E10B1-D434-47BD-92A9-8E7744F8BE80}"/>
    <cellStyle name="Note 4 18 5" xfId="36513" xr:uid="{9FE475C3-AF37-48F2-B793-7B615F4DB2E6}"/>
    <cellStyle name="Note 4 18 6" xfId="36514" xr:uid="{36AAD602-7CE9-424E-917C-52942B252984}"/>
    <cellStyle name="Note 4 18 7" xfId="36515" xr:uid="{383EF600-38E7-4A63-B2C2-50518E29631C}"/>
    <cellStyle name="Note 4 19" xfId="2554" xr:uid="{A16CF16F-D049-4C06-A3E0-608357634AFE}"/>
    <cellStyle name="Note 4 19 2" xfId="10681" xr:uid="{25BF1123-AD2B-464B-8309-B6111D3ACB1E}"/>
    <cellStyle name="Note 4 19 2 2" xfId="36516" xr:uid="{8F541562-04CC-4D4E-BBB4-463B37B88096}"/>
    <cellStyle name="Note 4 19 2 3" xfId="36517" xr:uid="{77B8F67B-7EC7-459D-9086-F516196F1C78}"/>
    <cellStyle name="Note 4 19 2 4" xfId="36518" xr:uid="{1A3D5EED-F094-4D00-A8D0-E5521B230CA3}"/>
    <cellStyle name="Note 4 19 2 5" xfId="36519" xr:uid="{907EBC60-71A1-4816-BF79-76744E049D33}"/>
    <cellStyle name="Note 4 19 2 6" xfId="36520" xr:uid="{063D10DE-D91E-40AE-BA9B-E46A085D4440}"/>
    <cellStyle name="Note 4 19 3" xfId="36521" xr:uid="{367C41DF-E30F-46E8-8154-0781984A8BAB}"/>
    <cellStyle name="Note 4 19 4" xfId="36522" xr:uid="{5521AA07-75D4-4202-B58C-644283A3663B}"/>
    <cellStyle name="Note 4 19 5" xfId="36523" xr:uid="{6CC1E89F-AC9A-419B-836F-9B0AE29ED86F}"/>
    <cellStyle name="Note 4 19 6" xfId="36524" xr:uid="{F6924E7B-FD9A-41F9-B904-B7451B7AF096}"/>
    <cellStyle name="Note 4 19 7" xfId="36525" xr:uid="{8AC3D01D-7885-45BC-A7BB-CAD250F61A7A}"/>
    <cellStyle name="Note 4 2" xfId="2555" xr:uid="{30E59D4A-7849-401E-B1C0-4C1F49D6EA39}"/>
    <cellStyle name="Note 4 2 10" xfId="2556" xr:uid="{CEA0B787-DDB4-4E5E-B31F-EFBC5E525414}"/>
    <cellStyle name="Note 4 2 10 2" xfId="10647" xr:uid="{4A383637-F6E1-4D48-9B1E-29B80349CA0E}"/>
    <cellStyle name="Note 4 2 10 2 2" xfId="36526" xr:uid="{CCB1C74E-BEBD-4AEA-B480-3857AE4C2E29}"/>
    <cellStyle name="Note 4 2 10 2 3" xfId="36527" xr:uid="{B3246B50-D569-44C4-B506-21B1F7F82773}"/>
    <cellStyle name="Note 4 2 10 2 4" xfId="36528" xr:uid="{52C9B69B-3E75-448E-92FF-0868B0C48248}"/>
    <cellStyle name="Note 4 2 10 2 5" xfId="36529" xr:uid="{381C8DAF-4A3E-4DFB-BC99-391BE923EFBE}"/>
    <cellStyle name="Note 4 2 10 2 6" xfId="36530" xr:uid="{90182F67-221A-4671-970F-CCDA38363B62}"/>
    <cellStyle name="Note 4 2 10 3" xfId="36531" xr:uid="{4F151914-9B8D-4D5C-B0D5-9C04BC2D4A12}"/>
    <cellStyle name="Note 4 2 10 4" xfId="36532" xr:uid="{E8499C79-2644-4F5E-AB7D-4455819BD8CE}"/>
    <cellStyle name="Note 4 2 10 5" xfId="36533" xr:uid="{AAC3B025-123E-4AFB-B32C-A8193B6FF83D}"/>
    <cellStyle name="Note 4 2 10 6" xfId="36534" xr:uid="{9E7027C1-538E-4DE3-91E4-9D5BDD633D48}"/>
    <cellStyle name="Note 4 2 10 7" xfId="36535" xr:uid="{72C91F51-7D7A-4169-969D-54A090736C83}"/>
    <cellStyle name="Note 4 2 11" xfId="2557" xr:uid="{F275F29B-39CC-4DEB-B424-37AC040F661A}"/>
    <cellStyle name="Note 4 2 11 2" xfId="10738" xr:uid="{89035C00-2D23-489D-986B-E22304280377}"/>
    <cellStyle name="Note 4 2 11 2 2" xfId="36536" xr:uid="{30B7A454-2313-42BB-B560-EA8EC9B5FD1F}"/>
    <cellStyle name="Note 4 2 11 2 3" xfId="36537" xr:uid="{CED8ECDC-209A-417F-900D-21951213B7FB}"/>
    <cellStyle name="Note 4 2 11 2 4" xfId="36538" xr:uid="{92ACC928-A830-4F12-8CE2-6D1BCE27976A}"/>
    <cellStyle name="Note 4 2 11 2 5" xfId="36539" xr:uid="{63A6D2B7-C69D-47CF-AB5A-9BF0ED616B7C}"/>
    <cellStyle name="Note 4 2 11 2 6" xfId="36540" xr:uid="{77123EBC-7891-4D75-BB05-CFBCA85390D5}"/>
    <cellStyle name="Note 4 2 11 3" xfId="36541" xr:uid="{084E4D19-4111-4267-A649-5F6740F9BD51}"/>
    <cellStyle name="Note 4 2 11 4" xfId="36542" xr:uid="{0D1B2DEC-C2F2-4809-8B84-2FB73E7AE4A8}"/>
    <cellStyle name="Note 4 2 11 5" xfId="36543" xr:uid="{926A9F68-4567-4E6D-8E0C-36CC8A825665}"/>
    <cellStyle name="Note 4 2 11 6" xfId="36544" xr:uid="{2B55D012-3CC0-4ABA-AD9A-1243BC2C5240}"/>
    <cellStyle name="Note 4 2 11 7" xfId="36545" xr:uid="{02005B6F-B5F1-4C19-9803-F1D9BF5B3C3B}"/>
    <cellStyle name="Note 4 2 12" xfId="2558" xr:uid="{B17F3F00-794F-42B6-B8CE-D5AE03AA92FF}"/>
    <cellStyle name="Note 4 2 12 2" xfId="10826" xr:uid="{3B901F60-01C6-4706-9D22-25606CD0B9D0}"/>
    <cellStyle name="Note 4 2 12 2 2" xfId="36546" xr:uid="{C9D14784-0288-46A4-8599-6BA1B8CCBE98}"/>
    <cellStyle name="Note 4 2 12 2 3" xfId="36547" xr:uid="{84783851-7DCE-4B6E-9461-A9F29A3B148B}"/>
    <cellStyle name="Note 4 2 12 2 4" xfId="36548" xr:uid="{EC9392F6-C6AC-447F-B8D5-628F3F196760}"/>
    <cellStyle name="Note 4 2 12 2 5" xfId="36549" xr:uid="{2135BA22-58FA-4D3D-939F-8149DBAD8906}"/>
    <cellStyle name="Note 4 2 12 2 6" xfId="36550" xr:uid="{B6FEDA89-01F2-4E50-A331-43542DB530C8}"/>
    <cellStyle name="Note 4 2 12 3" xfId="36551" xr:uid="{A86F6A06-A61B-466A-8853-047A9B6109AF}"/>
    <cellStyle name="Note 4 2 12 4" xfId="36552" xr:uid="{96BB04EC-A8A0-43D6-9720-1B4830A593B1}"/>
    <cellStyle name="Note 4 2 12 5" xfId="36553" xr:uid="{0A99DFF6-0811-4609-B10A-72F72CDF4EDD}"/>
    <cellStyle name="Note 4 2 12 6" xfId="36554" xr:uid="{9FDC763B-2F2C-44A4-AA74-0242C2D3AD3A}"/>
    <cellStyle name="Note 4 2 12 7" xfId="36555" xr:uid="{63A8CFDC-6273-47C0-9BEE-D7ED421700A3}"/>
    <cellStyle name="Note 4 2 13" xfId="2559" xr:uid="{C9FF0B90-A0F9-454A-A760-CBDAAEE33657}"/>
    <cellStyle name="Note 4 2 13 2" xfId="10915" xr:uid="{2A5AFDBE-EA5A-420A-930C-9C94F62DA72F}"/>
    <cellStyle name="Note 4 2 13 2 2" xfId="36556" xr:uid="{7C645E70-8B58-4890-8692-1B7ECB129ABA}"/>
    <cellStyle name="Note 4 2 13 2 3" xfId="36557" xr:uid="{8E674C23-DAB9-4258-9E6F-117945CE8BE8}"/>
    <cellStyle name="Note 4 2 13 2 4" xfId="36558" xr:uid="{71062DF9-A764-4698-BC03-1A682E7CDAED}"/>
    <cellStyle name="Note 4 2 13 2 5" xfId="36559" xr:uid="{938B8D54-4580-4993-A8BB-72213EC6C61B}"/>
    <cellStyle name="Note 4 2 13 2 6" xfId="36560" xr:uid="{7B9DE7F8-AE85-4B00-95D6-33FA057FE940}"/>
    <cellStyle name="Note 4 2 13 3" xfId="36561" xr:uid="{11C85C7B-2582-4F56-81BD-D94B9C68BC0A}"/>
    <cellStyle name="Note 4 2 13 4" xfId="36562" xr:uid="{A2145BD2-0376-4990-AE7C-A05EF2102147}"/>
    <cellStyle name="Note 4 2 13 5" xfId="36563" xr:uid="{1C442DE5-BB0A-4125-9FF1-B9902C4EB155}"/>
    <cellStyle name="Note 4 2 13 6" xfId="36564" xr:uid="{30AAFB03-D445-4D3A-AD02-AEE25715C575}"/>
    <cellStyle name="Note 4 2 13 7" xfId="36565" xr:uid="{20DCDF6B-0CA5-4944-A0A6-28F3E6F7EE12}"/>
    <cellStyle name="Note 4 2 14" xfId="2560" xr:uid="{D667383D-179F-4FB9-9C2E-B7BDED04B0B7}"/>
    <cellStyle name="Note 4 2 14 2" xfId="11005" xr:uid="{94313FC4-2A35-41A7-ACA6-A9CA06760AC3}"/>
    <cellStyle name="Note 4 2 14 2 2" xfId="36566" xr:uid="{45E80FD1-80B8-4268-BE33-F8B61F71E896}"/>
    <cellStyle name="Note 4 2 14 2 3" xfId="36567" xr:uid="{6DFD6D7E-A9E7-471E-AABA-29CCC4C6621F}"/>
    <cellStyle name="Note 4 2 14 2 4" xfId="36568" xr:uid="{A938C090-FEB0-4479-8C1B-209B2F3B03AF}"/>
    <cellStyle name="Note 4 2 14 2 5" xfId="36569" xr:uid="{4C902CB3-97FD-4CE0-B523-D8B0C13BF55C}"/>
    <cellStyle name="Note 4 2 14 2 6" xfId="36570" xr:uid="{8ACD8411-5668-495B-B6B2-3CCB5F277300}"/>
    <cellStyle name="Note 4 2 14 3" xfId="36571" xr:uid="{F489F587-CC47-4554-9CB1-2A2495A1EFAB}"/>
    <cellStyle name="Note 4 2 14 4" xfId="36572" xr:uid="{732D2059-EE6E-4722-98E0-1A5002CEEB5C}"/>
    <cellStyle name="Note 4 2 14 5" xfId="36573" xr:uid="{44ABD26B-2417-4946-A5D9-1A82E7F42F12}"/>
    <cellStyle name="Note 4 2 14 6" xfId="36574" xr:uid="{72F537CB-CDB7-4465-B246-D952E6BECD64}"/>
    <cellStyle name="Note 4 2 14 7" xfId="36575" xr:uid="{467AB577-D3A9-44AC-8CC9-DB6CC51C9E95}"/>
    <cellStyle name="Note 4 2 15" xfId="2561" xr:uid="{88F70B3C-C594-4101-A240-53DEE28679D2}"/>
    <cellStyle name="Note 4 2 15 2" xfId="11095" xr:uid="{3FECA15D-10CD-4CBB-9F1F-348BC318C313}"/>
    <cellStyle name="Note 4 2 15 2 2" xfId="36576" xr:uid="{134CC103-47CF-49E4-AE26-7604E8A37D1E}"/>
    <cellStyle name="Note 4 2 15 2 3" xfId="36577" xr:uid="{CC124D8A-317D-480E-BD61-F835B1536EFA}"/>
    <cellStyle name="Note 4 2 15 2 4" xfId="36578" xr:uid="{15589B61-0CE4-4286-8522-5F0B8AD990B2}"/>
    <cellStyle name="Note 4 2 15 2 5" xfId="36579" xr:uid="{F7C98F14-9EA0-416B-8D80-8B8EA9C07B4C}"/>
    <cellStyle name="Note 4 2 15 2 6" xfId="36580" xr:uid="{BB523A56-9362-4907-8D69-2078C20EF924}"/>
    <cellStyle name="Note 4 2 15 3" xfId="36581" xr:uid="{D684756D-4B7A-447B-81CA-0BD3372E5C6D}"/>
    <cellStyle name="Note 4 2 15 4" xfId="36582" xr:uid="{B484624C-CB7B-4629-AA5A-A597281AB35B}"/>
    <cellStyle name="Note 4 2 15 5" xfId="36583" xr:uid="{465F3036-9031-4096-A661-A8B7630F6954}"/>
    <cellStyle name="Note 4 2 15 6" xfId="36584" xr:uid="{F441EEA8-C2F1-4060-9E6A-B1893D0E6A93}"/>
    <cellStyle name="Note 4 2 15 7" xfId="36585" xr:uid="{723329B2-A303-432F-988F-8E21E4B6F526}"/>
    <cellStyle name="Note 4 2 16" xfId="2562" xr:uid="{D88C8A71-F54C-4F40-9011-2D9AD8DD2C6F}"/>
    <cellStyle name="Note 4 2 16 2" xfId="11178" xr:uid="{21B2D0B1-7D2A-47B2-B47B-04F3F74A2248}"/>
    <cellStyle name="Note 4 2 16 2 2" xfId="36586" xr:uid="{13211E2F-DCDA-4F35-9EA6-15BF8F72378D}"/>
    <cellStyle name="Note 4 2 16 2 3" xfId="36587" xr:uid="{07770FD9-8AFB-4FEF-BCCA-0A45175571FD}"/>
    <cellStyle name="Note 4 2 16 2 4" xfId="36588" xr:uid="{76E5247A-7524-4338-9DFF-65305A664E42}"/>
    <cellStyle name="Note 4 2 16 2 5" xfId="36589" xr:uid="{880BF79F-EA35-4641-A7A8-0A61898A4138}"/>
    <cellStyle name="Note 4 2 16 2 6" xfId="36590" xr:uid="{5C1C3449-9F7C-4915-8453-811B7C8264E9}"/>
    <cellStyle name="Note 4 2 16 3" xfId="36591" xr:uid="{4B23EC34-0269-4BE3-ACF9-C9DC78344153}"/>
    <cellStyle name="Note 4 2 16 4" xfId="36592" xr:uid="{C2655A1A-5E4B-4FF0-BC42-10267278B0B5}"/>
    <cellStyle name="Note 4 2 16 5" xfId="36593" xr:uid="{9D3F6A2A-5FDD-4E32-BF92-8D2DA8875529}"/>
    <cellStyle name="Note 4 2 16 6" xfId="36594" xr:uid="{B61CA0E4-B42B-4C46-8303-BFD4CC064C8C}"/>
    <cellStyle name="Note 4 2 16 7" xfId="36595" xr:uid="{992CA742-1613-425B-9D08-720278E6782C}"/>
    <cellStyle name="Note 4 2 17" xfId="2563" xr:uid="{4B41A6A3-91BC-48AD-9254-0FF42EDD972B}"/>
    <cellStyle name="Note 4 2 17 2" xfId="11268" xr:uid="{0DBF109C-FA34-4F06-A1D0-8710235AA719}"/>
    <cellStyle name="Note 4 2 17 2 2" xfId="36596" xr:uid="{727244C0-AE37-4FC0-A1C9-243FF4E924C0}"/>
    <cellStyle name="Note 4 2 17 2 3" xfId="36597" xr:uid="{C8887A72-877A-49B6-80D8-D9D9757F09D1}"/>
    <cellStyle name="Note 4 2 17 2 4" xfId="36598" xr:uid="{0A82A1C0-F882-448C-9661-BEE6393DFE4A}"/>
    <cellStyle name="Note 4 2 17 2 5" xfId="36599" xr:uid="{E355E76B-E4E8-4CA2-BE9E-4CC4F9B8C195}"/>
    <cellStyle name="Note 4 2 17 2 6" xfId="36600" xr:uid="{85059FF7-6A9F-454F-AF6F-9BD8826521B4}"/>
    <cellStyle name="Note 4 2 17 3" xfId="36601" xr:uid="{32B7EA31-6D05-4951-84CE-9C0D1A9073D5}"/>
    <cellStyle name="Note 4 2 17 4" xfId="36602" xr:uid="{13D775BE-4132-419C-A0A2-6CB420933B9A}"/>
    <cellStyle name="Note 4 2 17 5" xfId="36603" xr:uid="{54538EB8-A4DF-4180-8858-ED635983BE75}"/>
    <cellStyle name="Note 4 2 17 6" xfId="36604" xr:uid="{BA5E1DDE-B653-46A7-A27D-336DF6F414E0}"/>
    <cellStyle name="Note 4 2 17 7" xfId="36605" xr:uid="{7CC0CCE8-E9A9-43A2-821E-A7534CDF1347}"/>
    <cellStyle name="Note 4 2 18" xfId="2564" xr:uid="{73F1145D-386C-4766-9E9B-E733DA708D10}"/>
    <cellStyle name="Note 4 2 18 2" xfId="11354" xr:uid="{0DB17E6A-87D7-4E47-B125-9FBC901CD969}"/>
    <cellStyle name="Note 4 2 18 2 2" xfId="36606" xr:uid="{96E023CF-1227-4240-9D39-919AB45AC421}"/>
    <cellStyle name="Note 4 2 18 2 3" xfId="36607" xr:uid="{5C56B684-28DA-4749-85DD-A74CC98D3C08}"/>
    <cellStyle name="Note 4 2 18 2 4" xfId="36608" xr:uid="{5EDC03D5-9D2C-4EF5-957B-D71E342235FB}"/>
    <cellStyle name="Note 4 2 18 2 5" xfId="36609" xr:uid="{C0EC40F3-99AD-4AEB-8402-B64994AB4111}"/>
    <cellStyle name="Note 4 2 18 2 6" xfId="36610" xr:uid="{09D06993-1038-4D5E-982F-EB7A41C61682}"/>
    <cellStyle name="Note 4 2 18 3" xfId="36611" xr:uid="{17FD3C80-3489-4FDE-81F9-1C5BEE79E033}"/>
    <cellStyle name="Note 4 2 18 4" xfId="36612" xr:uid="{31D729BF-4AEA-40C6-BD72-4BA6B0B5D573}"/>
    <cellStyle name="Note 4 2 18 5" xfId="36613" xr:uid="{1EDCDE4D-0EA4-44B8-9B10-332F4F0152AF}"/>
    <cellStyle name="Note 4 2 18 6" xfId="36614" xr:uid="{3EAB7CAC-20D5-4D23-A7C3-1162CFA3F7DF}"/>
    <cellStyle name="Note 4 2 18 7" xfId="36615" xr:uid="{D3F23AD2-87BD-4FA5-B3C8-B518F8031DB7}"/>
    <cellStyle name="Note 4 2 19" xfId="2565" xr:uid="{8F139FF5-0557-4485-BC69-8CE1F74165A0}"/>
    <cellStyle name="Note 4 2 19 2" xfId="11441" xr:uid="{A314A8F2-B3C3-4FC2-895E-8C98D4EC5D7B}"/>
    <cellStyle name="Note 4 2 19 2 2" xfId="36616" xr:uid="{5CCDF147-259F-4DBB-938E-FF5303671B12}"/>
    <cellStyle name="Note 4 2 19 2 3" xfId="36617" xr:uid="{908A9C72-DD30-4A8F-8CAC-8EB8F83F852A}"/>
    <cellStyle name="Note 4 2 19 2 4" xfId="36618" xr:uid="{84393641-5845-4BE8-AD21-1EA885EF3910}"/>
    <cellStyle name="Note 4 2 19 2 5" xfId="36619" xr:uid="{79E8FDF2-CAD0-4AF9-A0DF-2BAAC9BDB214}"/>
    <cellStyle name="Note 4 2 19 2 6" xfId="36620" xr:uid="{DE673E70-47A1-44D2-AFE9-C23DA7ECE8F0}"/>
    <cellStyle name="Note 4 2 19 3" xfId="36621" xr:uid="{FF5EB32F-1B8E-4A1B-87B8-7167F486464B}"/>
    <cellStyle name="Note 4 2 19 4" xfId="36622" xr:uid="{9BC82A96-514E-4D82-BDBF-A941508BF2FE}"/>
    <cellStyle name="Note 4 2 19 5" xfId="36623" xr:uid="{97C27F62-E0CB-487C-A0F9-2D1FFA8A9788}"/>
    <cellStyle name="Note 4 2 19 6" xfId="36624" xr:uid="{E71F3EBB-F6AA-4952-8810-53123494633D}"/>
    <cellStyle name="Note 4 2 19 7" xfId="36625" xr:uid="{5AA35F9E-3CCF-4F12-AB49-71E226B591A9}"/>
    <cellStyle name="Note 4 2 2" xfId="2566" xr:uid="{B3046CDD-A866-4B08-A7C7-D112B2D3F75E}"/>
    <cellStyle name="Note 4 2 2 10" xfId="2567" xr:uid="{FBADECF6-DBBB-4D64-8989-EF097D7505B7}"/>
    <cellStyle name="Note 4 2 2 10 2" xfId="10771" xr:uid="{19D36826-C666-4DD8-8B97-E07A91ACA888}"/>
    <cellStyle name="Note 4 2 2 10 2 2" xfId="36626" xr:uid="{69879E44-57DA-4B6A-B8D1-117F26AAEE65}"/>
    <cellStyle name="Note 4 2 2 10 2 3" xfId="36627" xr:uid="{420C2ECD-22BA-4AB7-A141-C5985CB86155}"/>
    <cellStyle name="Note 4 2 2 10 2 4" xfId="36628" xr:uid="{6621EFAD-3C34-4954-BA2F-71B8A38A74CA}"/>
    <cellStyle name="Note 4 2 2 10 2 5" xfId="36629" xr:uid="{C937492D-24B5-460A-A135-AD2E39E5C11F}"/>
    <cellStyle name="Note 4 2 2 10 2 6" xfId="36630" xr:uid="{AF5E4E62-2BC9-4C58-B185-7265BC95DEAA}"/>
    <cellStyle name="Note 4 2 2 10 3" xfId="36631" xr:uid="{6E9D7918-0591-4205-8FA1-E308FDD34C5A}"/>
    <cellStyle name="Note 4 2 2 10 4" xfId="36632" xr:uid="{2C1C2B68-FB6F-4E4E-BB18-4BA7F0876892}"/>
    <cellStyle name="Note 4 2 2 10 5" xfId="36633" xr:uid="{21E57335-B078-4C36-85C9-E89B9B128464}"/>
    <cellStyle name="Note 4 2 2 10 6" xfId="36634" xr:uid="{49369323-80C5-4067-ABAF-3EC2D4837A40}"/>
    <cellStyle name="Note 4 2 2 10 7" xfId="36635" xr:uid="{CF53479E-0B5C-4139-AB1D-88D79316C679}"/>
    <cellStyle name="Note 4 2 2 11" xfId="2568" xr:uid="{AC8C0F15-90E6-49A2-AA78-5DEB8E48FBA0}"/>
    <cellStyle name="Note 4 2 2 11 2" xfId="10859" xr:uid="{6FBD3F51-E367-4574-886F-A7C71160B8BD}"/>
    <cellStyle name="Note 4 2 2 11 2 2" xfId="36636" xr:uid="{66BA1845-3250-47F2-8A9F-3A4C31986A90}"/>
    <cellStyle name="Note 4 2 2 11 2 3" xfId="36637" xr:uid="{A87A024C-56DC-40E3-95A3-4EEDB0610B38}"/>
    <cellStyle name="Note 4 2 2 11 2 4" xfId="36638" xr:uid="{9DC937F5-EDDC-42B7-BED3-F4621EA9ADFB}"/>
    <cellStyle name="Note 4 2 2 11 2 5" xfId="36639" xr:uid="{FB65F981-072A-4AB8-A3DE-4CE511956243}"/>
    <cellStyle name="Note 4 2 2 11 2 6" xfId="36640" xr:uid="{F4191F18-7BA4-49B6-A2DF-4935E8C38792}"/>
    <cellStyle name="Note 4 2 2 11 3" xfId="36641" xr:uid="{85827852-6DFF-4A26-BB4D-B8E93EBA6558}"/>
    <cellStyle name="Note 4 2 2 11 4" xfId="36642" xr:uid="{ABD7C178-1000-4CE5-B7F7-6D6E8A773996}"/>
    <cellStyle name="Note 4 2 2 11 5" xfId="36643" xr:uid="{55DEC8F0-C4AB-46F7-ABEC-221971DB5137}"/>
    <cellStyle name="Note 4 2 2 11 6" xfId="36644" xr:uid="{07C3BCCE-04DB-446F-B4F0-54CDC265EDF8}"/>
    <cellStyle name="Note 4 2 2 11 7" xfId="36645" xr:uid="{45FDCC61-80BC-4B7C-A1D1-2BBAEBCC4E32}"/>
    <cellStyle name="Note 4 2 2 12" xfId="2569" xr:uid="{6D4CBB7E-0231-4437-855F-FDF812DA8521}"/>
    <cellStyle name="Note 4 2 2 12 2" xfId="10948" xr:uid="{79DDEDE3-2134-4625-A088-EBBA8F24BC81}"/>
    <cellStyle name="Note 4 2 2 12 2 2" xfId="36646" xr:uid="{B607EC5E-B79F-48FC-A9EB-6633943FF197}"/>
    <cellStyle name="Note 4 2 2 12 2 3" xfId="36647" xr:uid="{FF54DB94-7CA6-4406-B4E4-1389EE781EA4}"/>
    <cellStyle name="Note 4 2 2 12 2 4" xfId="36648" xr:uid="{4F61A85B-1F94-4379-8DAB-02F5C2C41614}"/>
    <cellStyle name="Note 4 2 2 12 2 5" xfId="36649" xr:uid="{6664D955-7B97-460E-9B00-1CBB25A4261D}"/>
    <cellStyle name="Note 4 2 2 12 2 6" xfId="36650" xr:uid="{26FAEB9C-90CE-4043-878C-CC00E627D39B}"/>
    <cellStyle name="Note 4 2 2 12 3" xfId="36651" xr:uid="{C23C26B2-24B9-4D37-83AB-4FF7790C1CC2}"/>
    <cellStyle name="Note 4 2 2 12 4" xfId="36652" xr:uid="{DBBF0224-157A-40AF-961F-89219318F784}"/>
    <cellStyle name="Note 4 2 2 12 5" xfId="36653" xr:uid="{D98E1FEC-5FBB-4DEA-963E-3DA31B554534}"/>
    <cellStyle name="Note 4 2 2 12 6" xfId="36654" xr:uid="{EC84BC1A-4C53-4A4F-AC7B-09D76C8957F9}"/>
    <cellStyle name="Note 4 2 2 12 7" xfId="36655" xr:uid="{1BB35830-209F-4B4C-B83A-01060E7B7A82}"/>
    <cellStyle name="Note 4 2 2 13" xfId="2570" xr:uid="{01CB7A09-DB5E-4CDA-9825-1034AB694752}"/>
    <cellStyle name="Note 4 2 2 13 2" xfId="11038" xr:uid="{4A3D9189-C33A-4A1C-95CD-C7E10D773C2F}"/>
    <cellStyle name="Note 4 2 2 13 2 2" xfId="36656" xr:uid="{8B2C1DAC-9E1D-425F-A101-276696829417}"/>
    <cellStyle name="Note 4 2 2 13 2 3" xfId="36657" xr:uid="{DE8D7062-1D0E-408D-82D0-D237DBBAFDE7}"/>
    <cellStyle name="Note 4 2 2 13 2 4" xfId="36658" xr:uid="{84BED1E1-B141-42B8-95FB-656F0A9B8B10}"/>
    <cellStyle name="Note 4 2 2 13 2 5" xfId="36659" xr:uid="{068D76CE-F126-4221-8E0F-0D749781E89F}"/>
    <cellStyle name="Note 4 2 2 13 2 6" xfId="36660" xr:uid="{55424951-BE0C-48CA-BB23-F3DA70BFA1BE}"/>
    <cellStyle name="Note 4 2 2 13 3" xfId="36661" xr:uid="{1C282FF6-0CE1-4F18-8ED5-4080E752A62F}"/>
    <cellStyle name="Note 4 2 2 13 4" xfId="36662" xr:uid="{A45D9E39-8425-42D5-A478-AE4B1C539D2F}"/>
    <cellStyle name="Note 4 2 2 13 5" xfId="36663" xr:uid="{07763556-1AE3-4E86-9800-1F458EBFEBDD}"/>
    <cellStyle name="Note 4 2 2 13 6" xfId="36664" xr:uid="{8FA4C018-ECA6-4BCD-ADCD-3A6D403C2D9C}"/>
    <cellStyle name="Note 4 2 2 13 7" xfId="36665" xr:uid="{B4D01361-0EB3-49A8-9D6B-A168145B2E2E}"/>
    <cellStyle name="Note 4 2 2 14" xfId="2571" xr:uid="{F1970DE9-5FDF-4BCE-9174-19597E6A1FD8}"/>
    <cellStyle name="Note 4 2 2 14 2" xfId="11128" xr:uid="{F0DF5594-8A0E-460E-AAB3-50DD3FE7E092}"/>
    <cellStyle name="Note 4 2 2 14 2 2" xfId="36666" xr:uid="{3A442398-C338-48BA-A2D6-EB525AEA105F}"/>
    <cellStyle name="Note 4 2 2 14 2 3" xfId="36667" xr:uid="{D2F0BC05-069E-4956-A44E-92CD89E3D8B4}"/>
    <cellStyle name="Note 4 2 2 14 2 4" xfId="36668" xr:uid="{CDB0A8E9-20D4-4B4B-9971-470B2D89E9B8}"/>
    <cellStyle name="Note 4 2 2 14 2 5" xfId="36669" xr:uid="{F4DF7583-C494-47B7-98A6-6DF91193DAAE}"/>
    <cellStyle name="Note 4 2 2 14 2 6" xfId="36670" xr:uid="{90250BE6-C81D-45FA-8E09-E8CCE0E1DDDC}"/>
    <cellStyle name="Note 4 2 2 14 3" xfId="36671" xr:uid="{B1DFC7EF-17D5-454E-97C1-207EC08C87E2}"/>
    <cellStyle name="Note 4 2 2 14 4" xfId="36672" xr:uid="{AF32BCC6-BF2A-4942-84D3-63012B394D54}"/>
    <cellStyle name="Note 4 2 2 14 5" xfId="36673" xr:uid="{732A3FFF-1592-4FB7-BE30-CA0D9EE088F2}"/>
    <cellStyle name="Note 4 2 2 14 6" xfId="36674" xr:uid="{3444D01F-1C8F-46CD-BF1A-C113276619A4}"/>
    <cellStyle name="Note 4 2 2 14 7" xfId="36675" xr:uid="{7D846A51-EA34-45AA-B86D-4E222C5D1823}"/>
    <cellStyle name="Note 4 2 2 15" xfId="2572" xr:uid="{4B0BBD2A-0339-4B47-BC12-4A88989B4722}"/>
    <cellStyle name="Note 4 2 2 15 2" xfId="11211" xr:uid="{EAC1DC50-D1AD-4877-AEBA-AC1C2D38FE58}"/>
    <cellStyle name="Note 4 2 2 15 2 2" xfId="36676" xr:uid="{3D71FA20-E504-4C1C-80BA-1E332C912A17}"/>
    <cellStyle name="Note 4 2 2 15 2 3" xfId="36677" xr:uid="{D8C21656-E342-49C2-8677-E6C7E3CBC080}"/>
    <cellStyle name="Note 4 2 2 15 2 4" xfId="36678" xr:uid="{7FD5EA44-A5DF-46CF-9A81-07F871ED2CBE}"/>
    <cellStyle name="Note 4 2 2 15 2 5" xfId="36679" xr:uid="{DD9C2C9B-8792-4E5B-8558-0590057A89F6}"/>
    <cellStyle name="Note 4 2 2 15 2 6" xfId="36680" xr:uid="{D0DE90CB-3A86-45AC-85A8-19AC4CB882EF}"/>
    <cellStyle name="Note 4 2 2 15 3" xfId="36681" xr:uid="{57064D7A-6211-4A7C-B197-8FD0403B0178}"/>
    <cellStyle name="Note 4 2 2 15 4" xfId="36682" xr:uid="{26B08C01-958F-400B-9503-A35B712FC69F}"/>
    <cellStyle name="Note 4 2 2 15 5" xfId="36683" xr:uid="{23B7AAEE-806D-405B-9867-D831736B5D39}"/>
    <cellStyle name="Note 4 2 2 15 6" xfId="36684" xr:uid="{67B496AA-28C0-482E-A06B-0A3C33C00B55}"/>
    <cellStyle name="Note 4 2 2 15 7" xfId="36685" xr:uid="{85D5AAA3-5B05-4830-8807-9FE3F2F56762}"/>
    <cellStyle name="Note 4 2 2 16" xfId="2573" xr:uid="{3F343EA6-A9D0-415B-BFF8-3202B16E7E19}"/>
    <cellStyle name="Note 4 2 2 16 2" xfId="11301" xr:uid="{A0B597BD-7C57-4DC1-9C6A-556D2FA4CA12}"/>
    <cellStyle name="Note 4 2 2 16 2 2" xfId="36686" xr:uid="{AD62787F-CF97-4D60-BCFC-1FE047EF207B}"/>
    <cellStyle name="Note 4 2 2 16 2 3" xfId="36687" xr:uid="{085D0C56-9A41-451B-A34A-14F6393964DA}"/>
    <cellStyle name="Note 4 2 2 16 2 4" xfId="36688" xr:uid="{ACFB18F6-E229-43D5-9809-0F413CD2CCAB}"/>
    <cellStyle name="Note 4 2 2 16 2 5" xfId="36689" xr:uid="{0F9110DD-8907-497D-BF22-CCEB29BB304F}"/>
    <cellStyle name="Note 4 2 2 16 2 6" xfId="36690" xr:uid="{EBC65816-9728-4477-BAAA-B6DF2313F529}"/>
    <cellStyle name="Note 4 2 2 16 3" xfId="36691" xr:uid="{8C483DCC-C02C-4D03-A823-414ED2B6E8AC}"/>
    <cellStyle name="Note 4 2 2 16 4" xfId="36692" xr:uid="{B0C5146C-1E20-46DB-A703-8E79B35E5F96}"/>
    <cellStyle name="Note 4 2 2 16 5" xfId="36693" xr:uid="{29E49B93-A49B-49C3-83A6-E7518F89E1AE}"/>
    <cellStyle name="Note 4 2 2 16 6" xfId="36694" xr:uid="{4332BE56-E0BB-4F90-A6C7-4CBA8FB8325A}"/>
    <cellStyle name="Note 4 2 2 16 7" xfId="36695" xr:uid="{BE7CEB98-A3B3-41D8-850E-690D06242D8E}"/>
    <cellStyle name="Note 4 2 2 17" xfId="2574" xr:uid="{41578978-FE1A-453E-A6A1-8515A4305953}"/>
    <cellStyle name="Note 4 2 2 17 2" xfId="11387" xr:uid="{5F47334F-0E48-440C-AABD-32AC0FFA752C}"/>
    <cellStyle name="Note 4 2 2 17 2 2" xfId="36696" xr:uid="{B0317DE9-3911-48E2-85BB-7A997FEF3FD8}"/>
    <cellStyle name="Note 4 2 2 17 2 3" xfId="36697" xr:uid="{A4B13554-5311-4052-B7FA-58DDB6AE7781}"/>
    <cellStyle name="Note 4 2 2 17 2 4" xfId="36698" xr:uid="{3D257780-33E8-4DD7-85F4-340CBC442970}"/>
    <cellStyle name="Note 4 2 2 17 2 5" xfId="36699" xr:uid="{43554BDB-67F0-4F7B-88C9-A67649206E12}"/>
    <cellStyle name="Note 4 2 2 17 2 6" xfId="36700" xr:uid="{81E50CB6-3B47-4FBB-852B-FF29623BE590}"/>
    <cellStyle name="Note 4 2 2 17 3" xfId="36701" xr:uid="{EFDDEBA7-BA78-4964-950F-0E9954105BF0}"/>
    <cellStyle name="Note 4 2 2 17 4" xfId="36702" xr:uid="{9995F4F0-82E8-40AA-94FD-879F12C2E96D}"/>
    <cellStyle name="Note 4 2 2 17 5" xfId="36703" xr:uid="{DA8B6D79-8744-4501-B5B3-836E11B4FC9C}"/>
    <cellStyle name="Note 4 2 2 17 6" xfId="36704" xr:uid="{6FAE7A3D-7967-46F6-8207-BB7A292AA44F}"/>
    <cellStyle name="Note 4 2 2 17 7" xfId="36705" xr:uid="{B9C324FC-50F6-4244-ACFA-33183240E161}"/>
    <cellStyle name="Note 4 2 2 18" xfId="2575" xr:uid="{62FD44F8-8481-43C8-B17A-B50FF23D0CA1}"/>
    <cellStyle name="Note 4 2 2 18 2" xfId="11474" xr:uid="{BEA3D481-677C-43F6-AE1B-C6F058F831BC}"/>
    <cellStyle name="Note 4 2 2 18 2 2" xfId="36706" xr:uid="{1E553640-29E5-49DB-81CF-27254733C94D}"/>
    <cellStyle name="Note 4 2 2 18 2 3" xfId="36707" xr:uid="{962358FB-6142-429E-A22B-F3CEEAB58992}"/>
    <cellStyle name="Note 4 2 2 18 2 4" xfId="36708" xr:uid="{EE4D6BAF-5E77-426D-84F6-98012145519B}"/>
    <cellStyle name="Note 4 2 2 18 2 5" xfId="36709" xr:uid="{9944781D-9530-4E17-A5CF-2B7885FD7B9B}"/>
    <cellStyle name="Note 4 2 2 18 2 6" xfId="36710" xr:uid="{20A29DE3-D982-434F-B5BB-4653D7F830DB}"/>
    <cellStyle name="Note 4 2 2 18 3" xfId="36711" xr:uid="{5E4CD914-A453-4451-B1A4-346182719A20}"/>
    <cellStyle name="Note 4 2 2 18 4" xfId="36712" xr:uid="{F9DCD2F7-E118-448A-8651-A07E998AB35B}"/>
    <cellStyle name="Note 4 2 2 18 5" xfId="36713" xr:uid="{597D5BC4-6C47-4F48-A1D7-417D2D2770AF}"/>
    <cellStyle name="Note 4 2 2 18 6" xfId="36714" xr:uid="{E187B3A8-D32F-48C0-B0E2-FFFE317F8121}"/>
    <cellStyle name="Note 4 2 2 18 7" xfId="36715" xr:uid="{2D52FA05-0CD4-4748-A51A-6FE546560B0D}"/>
    <cellStyle name="Note 4 2 2 19" xfId="2576" xr:uid="{2CE5A6BC-8057-4D53-9CCA-5F3A9BD612C8}"/>
    <cellStyle name="Note 4 2 2 19 2" xfId="11561" xr:uid="{6B13E2F3-ABB4-4E0E-9CE0-2B79BC3BE93A}"/>
    <cellStyle name="Note 4 2 2 19 2 2" xfId="36716" xr:uid="{320F5883-49E4-4062-9EA1-AC2C449201E1}"/>
    <cellStyle name="Note 4 2 2 19 2 3" xfId="36717" xr:uid="{18E9075C-FB3F-48A8-87EF-A20155DD6D29}"/>
    <cellStyle name="Note 4 2 2 19 2 4" xfId="36718" xr:uid="{28613DFB-6546-4848-9943-D39914D71253}"/>
    <cellStyle name="Note 4 2 2 19 2 5" xfId="36719" xr:uid="{CF52A3F7-8C6C-4C61-BAE4-DE813921B9D4}"/>
    <cellStyle name="Note 4 2 2 19 2 6" xfId="36720" xr:uid="{B5BEEACB-0218-4027-A12E-EF4BB5214661}"/>
    <cellStyle name="Note 4 2 2 19 3" xfId="36721" xr:uid="{799A509B-A681-40A6-9648-74ADFE02CD5E}"/>
    <cellStyle name="Note 4 2 2 19 4" xfId="36722" xr:uid="{56E58B49-C5A8-40B2-9E9D-BDF5015E627E}"/>
    <cellStyle name="Note 4 2 2 19 5" xfId="36723" xr:uid="{3869FF06-163A-455A-8EDD-2312A149603B}"/>
    <cellStyle name="Note 4 2 2 19 6" xfId="36724" xr:uid="{DB8DAB41-249F-4635-93B6-86901E77E331}"/>
    <cellStyle name="Note 4 2 2 19 7" xfId="36725" xr:uid="{823E8D13-CBA6-414C-AC9D-985CF470E216}"/>
    <cellStyle name="Note 4 2 2 2" xfId="2577" xr:uid="{1741EB54-6EA3-4B98-9D48-4464CC80E093}"/>
    <cellStyle name="Note 4 2 2 2 2" xfId="10068" xr:uid="{08B7034A-1F5C-430E-A11D-869ACDF3AF30}"/>
    <cellStyle name="Note 4 2 2 2 2 2" xfId="36726" xr:uid="{860C27CE-1C7F-42C9-A3C1-FAFD36F7B492}"/>
    <cellStyle name="Note 4 2 2 2 2 3" xfId="36727" xr:uid="{D802F2B7-954C-4CF7-91B5-43E83A5AECA7}"/>
    <cellStyle name="Note 4 2 2 2 2 4" xfId="36728" xr:uid="{A673E098-EDA4-4163-8F7F-4232E0A54200}"/>
    <cellStyle name="Note 4 2 2 2 2 5" xfId="36729" xr:uid="{52AD7684-C4B6-43B2-9D75-D22C3CB04291}"/>
    <cellStyle name="Note 4 2 2 2 2 6" xfId="36730" xr:uid="{05FFF70C-F891-4EDE-B0B4-F207FA80A73A}"/>
    <cellStyle name="Note 4 2 2 2 3" xfId="36731" xr:uid="{59AB3344-AF86-4C48-9E7A-E39F550EEDF6}"/>
    <cellStyle name="Note 4 2 2 2 4" xfId="36732" xr:uid="{1B816F44-5DFD-4D5C-8A35-AE007A91FC8A}"/>
    <cellStyle name="Note 4 2 2 2 5" xfId="36733" xr:uid="{FC106D74-8218-4E8C-A7A3-49D51C5248E8}"/>
    <cellStyle name="Note 4 2 2 2 6" xfId="36734" xr:uid="{B4ED8527-09E2-4F79-8075-5627B7595A46}"/>
    <cellStyle name="Note 4 2 2 2 7" xfId="36735" xr:uid="{162B3ADB-3FB3-47E9-8382-7529ABAE3FEF}"/>
    <cellStyle name="Note 4 2 2 20" xfId="2578" xr:uid="{37598094-5B22-45A9-9D88-1E7C5E9C17E6}"/>
    <cellStyle name="Note 4 2 2 20 2" xfId="11649" xr:uid="{B6A4F819-06C6-4A83-BA6C-CA05BB3CF42D}"/>
    <cellStyle name="Note 4 2 2 20 2 2" xfId="36736" xr:uid="{990951F2-BC6B-40ED-AEB8-9CDEB48BA700}"/>
    <cellStyle name="Note 4 2 2 20 2 3" xfId="36737" xr:uid="{A67FE909-49CA-4331-B5D2-96AA178098A0}"/>
    <cellStyle name="Note 4 2 2 20 2 4" xfId="36738" xr:uid="{FBD3B3F0-AB0E-4345-9B70-4C4D635AAEA4}"/>
    <cellStyle name="Note 4 2 2 20 2 5" xfId="36739" xr:uid="{6185ACE2-D9BB-4FBF-92D0-FD29F3528D75}"/>
    <cellStyle name="Note 4 2 2 20 2 6" xfId="36740" xr:uid="{AF94FE63-3794-4E70-A2C3-C5FB3DCEAAF1}"/>
    <cellStyle name="Note 4 2 2 20 3" xfId="36741" xr:uid="{A3812338-61D0-49A5-A272-2685E8862C1E}"/>
    <cellStyle name="Note 4 2 2 20 4" xfId="36742" xr:uid="{5E5EC136-8A34-49AB-BEE3-49333D835C38}"/>
    <cellStyle name="Note 4 2 2 20 5" xfId="36743" xr:uid="{B0C0153F-AE52-405D-B699-F5423ACD3D24}"/>
    <cellStyle name="Note 4 2 2 20 6" xfId="36744" xr:uid="{D936C1EF-5738-4C70-A00C-49074BA2CDEF}"/>
    <cellStyle name="Note 4 2 2 20 7" xfId="36745" xr:uid="{C6A7BD5E-1527-468F-9662-4AC8BBF279E1}"/>
    <cellStyle name="Note 4 2 2 21" xfId="2579" xr:uid="{8E653EEF-C1B9-40BE-B91A-75C00678BC2F}"/>
    <cellStyle name="Note 4 2 2 21 2" xfId="11733" xr:uid="{503C6731-C2E9-4CD9-AAAE-E570E9AFB00E}"/>
    <cellStyle name="Note 4 2 2 21 2 2" xfId="36746" xr:uid="{D03E1D57-F19A-4EDF-9BD9-9F5BCCB8C910}"/>
    <cellStyle name="Note 4 2 2 21 2 3" xfId="36747" xr:uid="{810484B9-F221-4FDD-B810-F6AB6A7B91F6}"/>
    <cellStyle name="Note 4 2 2 21 2 4" xfId="36748" xr:uid="{37487596-9F72-4154-A8DE-3DC2ABEE618C}"/>
    <cellStyle name="Note 4 2 2 21 2 5" xfId="36749" xr:uid="{3B4032D7-7790-45D8-9693-44D97B818DCD}"/>
    <cellStyle name="Note 4 2 2 21 2 6" xfId="36750" xr:uid="{A60AF0E0-AD6F-43D4-A436-9464B4BA89E9}"/>
    <cellStyle name="Note 4 2 2 21 3" xfId="36751" xr:uid="{9923D7CF-B775-429C-8096-D7840A08CC97}"/>
    <cellStyle name="Note 4 2 2 21 4" xfId="36752" xr:uid="{46F3E875-E6B5-4032-9433-C0CD8A199D68}"/>
    <cellStyle name="Note 4 2 2 21 5" xfId="36753" xr:uid="{5DE14BCC-9420-4194-8D0E-5765299DF8E1}"/>
    <cellStyle name="Note 4 2 2 21 6" xfId="36754" xr:uid="{5CCBCDAE-A4AD-441A-84E4-E54672498E19}"/>
    <cellStyle name="Note 4 2 2 21 7" xfId="36755" xr:uid="{7A4BECC3-AE5D-431A-B84E-28E23633509E}"/>
    <cellStyle name="Note 4 2 2 22" xfId="2580" xr:uid="{E26800DB-0824-43BD-909D-2B560FF52864}"/>
    <cellStyle name="Note 4 2 2 22 2" xfId="11816" xr:uid="{5FF14828-4702-495A-BC23-09BA6D22DEB9}"/>
    <cellStyle name="Note 4 2 2 22 2 2" xfId="36756" xr:uid="{6CE1181E-A4BE-4901-9282-31F581965212}"/>
    <cellStyle name="Note 4 2 2 22 2 3" xfId="36757" xr:uid="{57972E43-55CF-4388-86DE-441C822CC7FD}"/>
    <cellStyle name="Note 4 2 2 22 2 4" xfId="36758" xr:uid="{3A3FE521-6E10-45B6-80C4-63555A1335D4}"/>
    <cellStyle name="Note 4 2 2 22 2 5" xfId="36759" xr:uid="{A4265D09-DA27-4730-B892-04D9B9FE2E5B}"/>
    <cellStyle name="Note 4 2 2 22 2 6" xfId="36760" xr:uid="{309C9221-1DEE-406E-A0B6-DB000CBC4CE9}"/>
    <cellStyle name="Note 4 2 2 22 3" xfId="36761" xr:uid="{59B8A6E0-3C48-4304-88E5-8BFBD6864A68}"/>
    <cellStyle name="Note 4 2 2 22 4" xfId="36762" xr:uid="{CA539CDE-BDA3-4D44-856B-9C24F78B696F}"/>
    <cellStyle name="Note 4 2 2 22 5" xfId="36763" xr:uid="{FFFCABE2-9B74-4886-8642-0E24AC3B23D3}"/>
    <cellStyle name="Note 4 2 2 22 6" xfId="36764" xr:uid="{4502C5A5-CED6-45FA-99A3-17B6383705C8}"/>
    <cellStyle name="Note 4 2 2 22 7" xfId="36765" xr:uid="{5BE991BF-3F02-4664-8C75-B88384AAF187}"/>
    <cellStyle name="Note 4 2 2 23" xfId="2581" xr:uid="{77CCA753-C93A-4799-A8A1-452B3B8B0015}"/>
    <cellStyle name="Note 4 2 2 23 2" xfId="11899" xr:uid="{D4A93E84-0C43-45EE-A807-7EC8A081A1CE}"/>
    <cellStyle name="Note 4 2 2 23 2 2" xfId="36766" xr:uid="{6B1D0563-E247-4D68-83B1-4748803B2439}"/>
    <cellStyle name="Note 4 2 2 23 2 3" xfId="36767" xr:uid="{C8D1B317-A7D8-4393-854B-232D8CFBDC20}"/>
    <cellStyle name="Note 4 2 2 23 2 4" xfId="36768" xr:uid="{822C0707-1671-4781-8752-583B6DCA866A}"/>
    <cellStyle name="Note 4 2 2 23 2 5" xfId="36769" xr:uid="{E56ED130-34B5-410B-9341-14BF0781C791}"/>
    <cellStyle name="Note 4 2 2 23 2 6" xfId="36770" xr:uid="{1A597B5E-083A-4BB2-BB42-7E85217E6999}"/>
    <cellStyle name="Note 4 2 2 23 3" xfId="36771" xr:uid="{1D0FEE17-7EF1-4785-ADCD-645C0BB5059B}"/>
    <cellStyle name="Note 4 2 2 23 4" xfId="36772" xr:uid="{CE0838BD-3B2E-46B5-BFF1-5879A7C37FDE}"/>
    <cellStyle name="Note 4 2 2 23 5" xfId="36773" xr:uid="{3F7E94E0-F3DD-47CA-B6A4-71ED6DCA3828}"/>
    <cellStyle name="Note 4 2 2 23 6" xfId="36774" xr:uid="{1CE4AB14-FD71-43B7-8857-B0B6A38DA33A}"/>
    <cellStyle name="Note 4 2 2 23 7" xfId="36775" xr:uid="{13E6A705-FA22-45DB-829D-94CF35581E25}"/>
    <cellStyle name="Note 4 2 2 24" xfId="2582" xr:uid="{946770B3-F499-4C44-B059-60B862F0B19E}"/>
    <cellStyle name="Note 4 2 2 24 2" xfId="11983" xr:uid="{4FF404E0-4BD2-467A-A763-2E79E0C1E562}"/>
    <cellStyle name="Note 4 2 2 24 2 2" xfId="36776" xr:uid="{F0E4DD4B-7F04-4436-A4E0-2BD922FCB6A4}"/>
    <cellStyle name="Note 4 2 2 24 2 3" xfId="36777" xr:uid="{A9A2C65E-9FC6-4D03-BD95-92900E022247}"/>
    <cellStyle name="Note 4 2 2 24 2 4" xfId="36778" xr:uid="{C9497D7F-792B-4B3E-83D2-46D14B8476D8}"/>
    <cellStyle name="Note 4 2 2 24 2 5" xfId="36779" xr:uid="{16DF3283-6D4B-4069-93C2-6E056856FDD9}"/>
    <cellStyle name="Note 4 2 2 24 2 6" xfId="36780" xr:uid="{D8C8A665-3750-4C81-B531-C045F907B917}"/>
    <cellStyle name="Note 4 2 2 24 3" xfId="36781" xr:uid="{617EF913-303C-4106-852A-E00C1C674371}"/>
    <cellStyle name="Note 4 2 2 24 4" xfId="36782" xr:uid="{45E420D1-F5B0-4DD3-8AB1-3AD6F9863C52}"/>
    <cellStyle name="Note 4 2 2 24 5" xfId="36783" xr:uid="{412E03A8-8E84-4605-8141-FFEF34BE81DE}"/>
    <cellStyle name="Note 4 2 2 24 6" xfId="36784" xr:uid="{C948916E-4B0A-4DD1-9E0B-1E0F7D4226E0}"/>
    <cellStyle name="Note 4 2 2 24 7" xfId="36785" xr:uid="{2A5136A1-CA0E-4526-8C3E-8AF6664E7F75}"/>
    <cellStyle name="Note 4 2 2 25" xfId="2583" xr:uid="{ED365EEE-455E-4A7A-B5D1-7C191F33F1A2}"/>
    <cellStyle name="Note 4 2 2 25 2" xfId="12066" xr:uid="{FAABB94B-53C4-422A-A1CA-0488A1087BA9}"/>
    <cellStyle name="Note 4 2 2 25 2 2" xfId="36786" xr:uid="{E28F3248-9C1C-4659-BA33-E4FEC77C2831}"/>
    <cellStyle name="Note 4 2 2 25 2 3" xfId="36787" xr:uid="{C62DED44-D52D-41A9-AA88-2875471A2E1B}"/>
    <cellStyle name="Note 4 2 2 25 2 4" xfId="36788" xr:uid="{1E32DEA9-B254-4283-AB04-5B26A7731BE0}"/>
    <cellStyle name="Note 4 2 2 25 2 5" xfId="36789" xr:uid="{9DC5B64E-E005-45C4-A903-D48756F37BD6}"/>
    <cellStyle name="Note 4 2 2 25 2 6" xfId="36790" xr:uid="{E12F6D89-4097-4BDA-AB28-6FCBCED7E118}"/>
    <cellStyle name="Note 4 2 2 25 3" xfId="36791" xr:uid="{F7D48622-D985-4A28-A7B6-545504641533}"/>
    <cellStyle name="Note 4 2 2 25 4" xfId="36792" xr:uid="{1B2B5501-054C-4FD2-BE26-952E19F0323F}"/>
    <cellStyle name="Note 4 2 2 25 5" xfId="36793" xr:uid="{161BA0BF-4806-4E38-81A5-738A2DCBBA75}"/>
    <cellStyle name="Note 4 2 2 25 6" xfId="36794" xr:uid="{24FAFF8C-AA98-4893-813B-2E55A51F3CD8}"/>
    <cellStyle name="Note 4 2 2 25 7" xfId="36795" xr:uid="{154E23AC-9591-4A09-91E9-0501EDF2AAEB}"/>
    <cellStyle name="Note 4 2 2 26" xfId="2584" xr:uid="{A1FAAC45-6647-4DDE-A93B-A9A5AFFA6B0B}"/>
    <cellStyle name="Note 4 2 2 26 2" xfId="12149" xr:uid="{94B0DE04-9235-4B50-A3FD-5ECEAC95DC82}"/>
    <cellStyle name="Note 4 2 2 26 2 2" xfId="36796" xr:uid="{5811CE34-E6D8-4386-80A3-D4A80EE59EB9}"/>
    <cellStyle name="Note 4 2 2 26 2 3" xfId="36797" xr:uid="{0FA2877C-97A7-4D39-BAEC-D64FE787E812}"/>
    <cellStyle name="Note 4 2 2 26 2 4" xfId="36798" xr:uid="{BD74E694-CC1C-484C-98A9-14D65065AFDF}"/>
    <cellStyle name="Note 4 2 2 26 2 5" xfId="36799" xr:uid="{D3A06A8C-2E34-4B5D-AB4B-13AB29898A32}"/>
    <cellStyle name="Note 4 2 2 26 2 6" xfId="36800" xr:uid="{297DF299-D60D-4D73-8E7C-E21FF3B95F03}"/>
    <cellStyle name="Note 4 2 2 26 3" xfId="36801" xr:uid="{9CA113C9-05DF-499F-93AB-4E3216ADA652}"/>
    <cellStyle name="Note 4 2 2 26 4" xfId="36802" xr:uid="{E3BA39F6-1CA8-4CC1-890E-7BB9E2215394}"/>
    <cellStyle name="Note 4 2 2 26 5" xfId="36803" xr:uid="{DE05F600-1B1B-42A6-B661-2AD7506728AC}"/>
    <cellStyle name="Note 4 2 2 26 6" xfId="36804" xr:uid="{86F2C604-C6F9-406B-B893-B2F51E510B0C}"/>
    <cellStyle name="Note 4 2 2 26 7" xfId="36805" xr:uid="{C3C9BF29-78A2-4EE8-84DA-335962026AF7}"/>
    <cellStyle name="Note 4 2 2 27" xfId="2585" xr:uid="{27AC93AC-42D5-4898-B0D5-E0DC4A09FE73}"/>
    <cellStyle name="Note 4 2 2 27 2" xfId="12231" xr:uid="{4E71D5C2-CC90-4244-A0CF-0948663549C1}"/>
    <cellStyle name="Note 4 2 2 27 2 2" xfId="36806" xr:uid="{BEF9954F-11BF-43E0-9BBC-8D382F06AE75}"/>
    <cellStyle name="Note 4 2 2 27 2 3" xfId="36807" xr:uid="{E2DCF796-E4D0-4147-B3D8-4457A3A42FFA}"/>
    <cellStyle name="Note 4 2 2 27 2 4" xfId="36808" xr:uid="{F0378870-6220-4130-9E95-2881D442264B}"/>
    <cellStyle name="Note 4 2 2 27 2 5" xfId="36809" xr:uid="{B61626A4-3B2A-4703-80F3-AC15B735D080}"/>
    <cellStyle name="Note 4 2 2 27 2 6" xfId="36810" xr:uid="{BE6CB788-2B14-4F0C-BEB8-E0690F2CCAB7}"/>
    <cellStyle name="Note 4 2 2 27 3" xfId="36811" xr:uid="{EE7A60C0-3F1B-40EC-8A9B-0D9B3B73B272}"/>
    <cellStyle name="Note 4 2 2 27 4" xfId="36812" xr:uid="{A836F205-91C7-44E5-80A9-5A3E46E84DAD}"/>
    <cellStyle name="Note 4 2 2 27 5" xfId="36813" xr:uid="{D537A1B8-C1CD-4C71-AFA1-9CF5AB57817B}"/>
    <cellStyle name="Note 4 2 2 27 6" xfId="36814" xr:uid="{8511DA04-92E8-48A9-B978-B0FBFD9F6B75}"/>
    <cellStyle name="Note 4 2 2 27 7" xfId="36815" xr:uid="{23D1CBEB-FE61-4A47-8911-C82B26CBB18A}"/>
    <cellStyle name="Note 4 2 2 28" xfId="2586" xr:uid="{A72D8E83-DF22-4BD2-8841-B083AA71270E}"/>
    <cellStyle name="Note 4 2 2 28 2" xfId="12311" xr:uid="{0A510C52-4D38-4942-B17F-C0323C9FFA67}"/>
    <cellStyle name="Note 4 2 2 28 2 2" xfId="36816" xr:uid="{19DADDA9-E0E0-43FE-9486-FA0FC6C3C99F}"/>
    <cellStyle name="Note 4 2 2 28 2 3" xfId="36817" xr:uid="{A36DE9D5-92A1-40B9-ABF1-6F4681051810}"/>
    <cellStyle name="Note 4 2 2 28 2 4" xfId="36818" xr:uid="{8FF33DD3-32EA-49CB-96D8-E98360DC07EF}"/>
    <cellStyle name="Note 4 2 2 28 2 5" xfId="36819" xr:uid="{D69B0AB4-B32B-48F4-8947-BF69631945C8}"/>
    <cellStyle name="Note 4 2 2 28 2 6" xfId="36820" xr:uid="{5476515A-F681-4E85-9EE2-C8C107AB0F5F}"/>
    <cellStyle name="Note 4 2 2 28 3" xfId="36821" xr:uid="{D546E1BF-B87E-4FA6-807B-0AF868E75A04}"/>
    <cellStyle name="Note 4 2 2 28 4" xfId="36822" xr:uid="{04808101-398E-4417-8F01-420C1A23006A}"/>
    <cellStyle name="Note 4 2 2 28 5" xfId="36823" xr:uid="{9EF0B8AC-59DF-42B9-BC59-908EB882AB94}"/>
    <cellStyle name="Note 4 2 2 28 6" xfId="36824" xr:uid="{A2EED38F-D2F4-4D95-942B-CA29FBD559D1}"/>
    <cellStyle name="Note 4 2 2 28 7" xfId="36825" xr:uid="{779F8411-B461-4B34-BB6A-603705315EAE}"/>
    <cellStyle name="Note 4 2 2 29" xfId="2587" xr:uid="{ACDD4BBA-9F3D-4B33-89EF-8FDE5E76F668}"/>
    <cellStyle name="Note 4 2 2 29 2" xfId="12389" xr:uid="{AAA7E3FD-7C39-412E-BE1A-C7CAF2711D1F}"/>
    <cellStyle name="Note 4 2 2 29 2 2" xfId="36826" xr:uid="{003EEC40-F7FC-4E7C-A14E-59D127C83BFA}"/>
    <cellStyle name="Note 4 2 2 29 2 3" xfId="36827" xr:uid="{482C78EA-0E31-408E-ACAD-46ABF712A159}"/>
    <cellStyle name="Note 4 2 2 29 2 4" xfId="36828" xr:uid="{518FA762-FAED-49C0-98D7-EB478BF049EB}"/>
    <cellStyle name="Note 4 2 2 29 2 5" xfId="36829" xr:uid="{57C64C69-D86F-48EA-83A5-21B6E7220401}"/>
    <cellStyle name="Note 4 2 2 29 2 6" xfId="36830" xr:uid="{89B96D85-F855-4613-8ED0-4430C16B541D}"/>
    <cellStyle name="Note 4 2 2 29 3" xfId="36831" xr:uid="{1F7A409A-D0D8-4124-A19E-3C14508AFC73}"/>
    <cellStyle name="Note 4 2 2 29 4" xfId="36832" xr:uid="{3C6263E9-0D09-476F-90F4-99DCB860260A}"/>
    <cellStyle name="Note 4 2 2 29 5" xfId="36833" xr:uid="{3E23FB37-DEAF-4FB0-946F-FB49EC925CEC}"/>
    <cellStyle name="Note 4 2 2 29 6" xfId="36834" xr:uid="{1FE4C32A-0194-45BD-96ED-10E9A2D33B8D}"/>
    <cellStyle name="Note 4 2 2 29 7" xfId="36835" xr:uid="{35D7EB8C-42A3-459E-95FC-39D61F49A547}"/>
    <cellStyle name="Note 4 2 2 3" xfId="2588" xr:uid="{E2B9B3E4-E534-44A9-BD98-E89DBE33D5B4}"/>
    <cellStyle name="Note 4 2 2 3 2" xfId="10159" xr:uid="{B779C429-40E6-42AD-B8C0-563F7B4EBC57}"/>
    <cellStyle name="Note 4 2 2 3 2 2" xfId="36836" xr:uid="{502B7344-8634-4D1A-A96D-22C8CB6D71A8}"/>
    <cellStyle name="Note 4 2 2 3 2 3" xfId="36837" xr:uid="{D9515878-0633-4EDD-866A-BCB41479BEA3}"/>
    <cellStyle name="Note 4 2 2 3 2 4" xfId="36838" xr:uid="{CB65714C-44A8-4548-8D59-49FA24C85513}"/>
    <cellStyle name="Note 4 2 2 3 2 5" xfId="36839" xr:uid="{3A31D695-BB6B-4412-B9C1-5BF09046174E}"/>
    <cellStyle name="Note 4 2 2 3 2 6" xfId="36840" xr:uid="{BBB5F7AA-C583-4931-9BD7-CC61ECB55804}"/>
    <cellStyle name="Note 4 2 2 3 3" xfId="36841" xr:uid="{AD44906F-A274-48B5-BFFC-540F5C9C5586}"/>
    <cellStyle name="Note 4 2 2 3 4" xfId="36842" xr:uid="{B49D7185-908A-4EFE-85F8-510F6268A8FD}"/>
    <cellStyle name="Note 4 2 2 3 5" xfId="36843" xr:uid="{E3F49839-77C5-4101-9BF9-666F487BD4C5}"/>
    <cellStyle name="Note 4 2 2 3 6" xfId="36844" xr:uid="{5504DCEF-A4BB-4CF7-8C8C-FFE07C1F02B4}"/>
    <cellStyle name="Note 4 2 2 3 7" xfId="36845" xr:uid="{4341D6DB-57DD-40C8-A30A-3DF50AC0C49C}"/>
    <cellStyle name="Note 4 2 2 30" xfId="2589" xr:uid="{ABCB27A2-86BF-44A7-80B7-2427BC7752C0}"/>
    <cellStyle name="Note 4 2 2 30 2" xfId="12468" xr:uid="{451CFA6A-6D6F-4F82-BF40-C413529A3539}"/>
    <cellStyle name="Note 4 2 2 30 2 2" xfId="36846" xr:uid="{9E91F84B-877D-4D4C-BC48-8AFC4BF24D72}"/>
    <cellStyle name="Note 4 2 2 30 2 3" xfId="36847" xr:uid="{8238D5AA-3612-47C7-86F0-0AB60309CA56}"/>
    <cellStyle name="Note 4 2 2 30 2 4" xfId="36848" xr:uid="{60063DE1-C570-4F71-9073-3CF3BE340291}"/>
    <cellStyle name="Note 4 2 2 30 2 5" xfId="36849" xr:uid="{6DE64BC0-E870-43B0-BF87-624853175238}"/>
    <cellStyle name="Note 4 2 2 30 2 6" xfId="36850" xr:uid="{8314FF70-4516-4636-A42E-59FC7995ADAE}"/>
    <cellStyle name="Note 4 2 2 30 3" xfId="36851" xr:uid="{07952D91-F6B6-4445-9FEC-434CFCBAC7A5}"/>
    <cellStyle name="Note 4 2 2 30 4" xfId="36852" xr:uid="{E1F16223-6E03-44C9-95E7-426D1AB44B3A}"/>
    <cellStyle name="Note 4 2 2 30 5" xfId="36853" xr:uid="{A4EB1CAD-4A99-47E7-8045-9978E63D69E9}"/>
    <cellStyle name="Note 4 2 2 30 6" xfId="36854" xr:uid="{DFC3D289-60CA-4A18-9B90-E127BA388B13}"/>
    <cellStyle name="Note 4 2 2 30 7" xfId="36855" xr:uid="{A3917E73-F4CF-4046-851A-DE8EBCB08201}"/>
    <cellStyle name="Note 4 2 2 31" xfId="2590" xr:uid="{F0874C26-1FF1-4E53-8BAE-7AB8051DAE64}"/>
    <cellStyle name="Note 4 2 2 31 2" xfId="12547" xr:uid="{B4FEC7EA-C1BC-42E6-9A78-E043B6137146}"/>
    <cellStyle name="Note 4 2 2 31 2 2" xfId="36856" xr:uid="{4A1295CD-3100-4BEB-BA24-FFF88F6C3CE1}"/>
    <cellStyle name="Note 4 2 2 31 2 3" xfId="36857" xr:uid="{1F524A8B-DDF0-4160-93AD-5CB9E12920CD}"/>
    <cellStyle name="Note 4 2 2 31 2 4" xfId="36858" xr:uid="{3C120A08-10FE-4AB6-A0EA-C5F0E1ADA50F}"/>
    <cellStyle name="Note 4 2 2 31 2 5" xfId="36859" xr:uid="{F060A7CC-51D3-4823-9F4D-BAD830D024EA}"/>
    <cellStyle name="Note 4 2 2 31 2 6" xfId="36860" xr:uid="{A429A5A1-0068-44BB-83B3-4B75D4182BC8}"/>
    <cellStyle name="Note 4 2 2 31 3" xfId="36861" xr:uid="{3B08ADC0-777A-4F40-BE6E-CD9E34A11161}"/>
    <cellStyle name="Note 4 2 2 31 4" xfId="36862" xr:uid="{32571358-EFF4-41F9-89F8-AA5E4D60A7B6}"/>
    <cellStyle name="Note 4 2 2 31 5" xfId="36863" xr:uid="{0C44BEA5-305F-4213-B1C4-C56674390DD4}"/>
    <cellStyle name="Note 4 2 2 31 6" xfId="36864" xr:uid="{E151F0C1-81B4-4C21-90E9-F2FFB52C4DAC}"/>
    <cellStyle name="Note 4 2 2 31 7" xfId="36865" xr:uid="{089C7394-46C7-4EF4-B229-51E8E1358AFD}"/>
    <cellStyle name="Note 4 2 2 32" xfId="2591" xr:uid="{430DCC27-E26A-49A9-B332-4B005EC7BD62}"/>
    <cellStyle name="Note 4 2 2 32 2" xfId="12626" xr:uid="{7073B29B-065F-40F2-BB9D-D9D5FE02EC35}"/>
    <cellStyle name="Note 4 2 2 32 2 2" xfId="36866" xr:uid="{D7F3BF12-C546-4718-8D6F-F978DC2BAFEC}"/>
    <cellStyle name="Note 4 2 2 32 2 3" xfId="36867" xr:uid="{C964DEB9-5BC1-4554-AA3C-6E22A3891486}"/>
    <cellStyle name="Note 4 2 2 32 2 4" xfId="36868" xr:uid="{25C344D6-BCF5-4DC6-97DA-ADE36CB5603D}"/>
    <cellStyle name="Note 4 2 2 32 2 5" xfId="36869" xr:uid="{6A240384-F0F3-4961-ABF2-6E12D7DB7E8E}"/>
    <cellStyle name="Note 4 2 2 32 2 6" xfId="36870" xr:uid="{EF423B07-3CFA-4706-ABC0-E829BE7CC4F3}"/>
    <cellStyle name="Note 4 2 2 32 3" xfId="36871" xr:uid="{7B6505A2-BBB7-4C29-8E71-4C097F291034}"/>
    <cellStyle name="Note 4 2 2 32 4" xfId="36872" xr:uid="{9489FBF4-C77D-40DB-B744-5444F2E3331B}"/>
    <cellStyle name="Note 4 2 2 32 5" xfId="36873" xr:uid="{F769183C-8299-48A6-B70A-E876D7DFB4F0}"/>
    <cellStyle name="Note 4 2 2 32 6" xfId="36874" xr:uid="{70D97137-C466-4165-A185-B432D2B2261D}"/>
    <cellStyle name="Note 4 2 2 32 7" xfId="36875" xr:uid="{BC24B83D-D9CE-4B40-9800-A836CD511E76}"/>
    <cellStyle name="Note 4 2 2 33" xfId="2592" xr:uid="{7F6CD05C-CE55-44F0-8B4B-C76636741ECE}"/>
    <cellStyle name="Note 4 2 2 33 2" xfId="12705" xr:uid="{5B7B0A76-DCD9-4550-BD36-19C90DF5FC58}"/>
    <cellStyle name="Note 4 2 2 33 2 2" xfId="36876" xr:uid="{D2E55BDA-C6CA-4208-BC7D-CC63E8713007}"/>
    <cellStyle name="Note 4 2 2 33 2 3" xfId="36877" xr:uid="{03E8FA8F-52C1-4C1D-97BA-44D45565AD14}"/>
    <cellStyle name="Note 4 2 2 33 2 4" xfId="36878" xr:uid="{8FE2D38B-AFC3-47B5-91AB-EE9635859D02}"/>
    <cellStyle name="Note 4 2 2 33 2 5" xfId="36879" xr:uid="{95B6B54F-D4FF-4682-A99F-32301E8CB456}"/>
    <cellStyle name="Note 4 2 2 33 2 6" xfId="36880" xr:uid="{2B657CC6-D59D-491F-A25E-864A3578004E}"/>
    <cellStyle name="Note 4 2 2 33 3" xfId="36881" xr:uid="{D8DE77E5-6839-4E66-BD7D-80A98D4FABC2}"/>
    <cellStyle name="Note 4 2 2 33 4" xfId="36882" xr:uid="{D4759197-EAF0-4847-B684-036AD1D9A936}"/>
    <cellStyle name="Note 4 2 2 33 5" xfId="36883" xr:uid="{C32E25C8-063C-467C-AFC6-4077FA3271B0}"/>
    <cellStyle name="Note 4 2 2 33 6" xfId="36884" xr:uid="{792B78B4-4B14-40AF-BCBD-1B17A5441883}"/>
    <cellStyle name="Note 4 2 2 33 7" xfId="36885" xr:uid="{2B7CC360-3D72-4B1C-A134-454CFF995CD1}"/>
    <cellStyle name="Note 4 2 2 34" xfId="2593" xr:uid="{83C4713C-6A93-4FBA-AD5C-C69E65F00597}"/>
    <cellStyle name="Note 4 2 2 34 2" xfId="12789" xr:uid="{184C5A06-FB4F-4495-8FF6-20872104B13E}"/>
    <cellStyle name="Note 4 2 2 34 2 2" xfId="36886" xr:uid="{8D00E440-7376-42CD-A7AC-458E8768BA89}"/>
    <cellStyle name="Note 4 2 2 34 2 3" xfId="36887" xr:uid="{6F8F8C55-8CD8-4F8F-89BC-9DD6EF7AFB6F}"/>
    <cellStyle name="Note 4 2 2 34 2 4" xfId="36888" xr:uid="{DCC8A0A9-7B6C-4CE4-B691-EBB6EADAE653}"/>
    <cellStyle name="Note 4 2 2 34 2 5" xfId="36889" xr:uid="{AFB702EF-4A2F-47C8-8EFA-860A7F3D19FD}"/>
    <cellStyle name="Note 4 2 2 34 2 6" xfId="36890" xr:uid="{962EBCDA-6325-43E1-B1D6-45FE11BF26EF}"/>
    <cellStyle name="Note 4 2 2 34 3" xfId="36891" xr:uid="{910C48C1-47B8-431F-9190-A624CBFE8C87}"/>
    <cellStyle name="Note 4 2 2 35" xfId="9855" xr:uid="{C642CEB2-7119-4EE6-9D85-6DE977A78283}"/>
    <cellStyle name="Note 4 2 2 35 2" xfId="36892" xr:uid="{7199ADB4-C6DE-49E3-8888-6CB6860B08D2}"/>
    <cellStyle name="Note 4 2 2 35 3" xfId="36893" xr:uid="{C3B10C83-A05D-48E7-9B67-DA3C405A72C2}"/>
    <cellStyle name="Note 4 2 2 35 4" xfId="36894" xr:uid="{4EDF25F4-937E-4F69-BC1E-56BD695EBCC7}"/>
    <cellStyle name="Note 4 2 2 35 5" xfId="36895" xr:uid="{8DEC4ED4-1B89-49BA-8656-8D705791D506}"/>
    <cellStyle name="Note 4 2 2 35 6" xfId="36896" xr:uid="{D68CE2B4-0637-4AFC-8DEB-08AB8F0FBD6A}"/>
    <cellStyle name="Note 4 2 2 36" xfId="36897" xr:uid="{B230752F-53C4-40C2-B9EE-556D9CE40B7D}"/>
    <cellStyle name="Note 4 2 2 4" xfId="2594" xr:uid="{B7BEA80F-8CE5-48B5-82F4-D828C519453C}"/>
    <cellStyle name="Note 4 2 2 4 2" xfId="10249" xr:uid="{D6A029CD-C664-4D82-B9F7-7380977AF1B0}"/>
    <cellStyle name="Note 4 2 2 4 2 2" xfId="36898" xr:uid="{83972D6B-37DE-40B4-9729-A62404E61666}"/>
    <cellStyle name="Note 4 2 2 4 2 3" xfId="36899" xr:uid="{6DDB723F-E2EA-4FF8-95C8-386AC26A9BDE}"/>
    <cellStyle name="Note 4 2 2 4 2 4" xfId="36900" xr:uid="{C0BCE04A-C4A1-4BC1-A5D7-F6F6D9659148}"/>
    <cellStyle name="Note 4 2 2 4 2 5" xfId="36901" xr:uid="{FCA70483-0635-4910-841D-CEDAB85F80A3}"/>
    <cellStyle name="Note 4 2 2 4 2 6" xfId="36902" xr:uid="{54AA2AB5-9E91-451E-B8A4-AE92E254111A}"/>
    <cellStyle name="Note 4 2 2 4 3" xfId="36903" xr:uid="{A9049A1A-160D-4CE1-8B2C-366ABEFC8B58}"/>
    <cellStyle name="Note 4 2 2 4 4" xfId="36904" xr:uid="{BB2825E3-080F-42F7-BBC6-684FE9A8E99C}"/>
    <cellStyle name="Note 4 2 2 4 5" xfId="36905" xr:uid="{2B2D853B-8688-4EEA-AD03-F116BF3CFF5C}"/>
    <cellStyle name="Note 4 2 2 4 6" xfId="36906" xr:uid="{90C942C1-23E3-4FD3-A9EA-C29D510AFE17}"/>
    <cellStyle name="Note 4 2 2 4 7" xfId="36907" xr:uid="{F62EEB9F-1361-4554-A3F0-E344B9645F30}"/>
    <cellStyle name="Note 4 2 2 5" xfId="2595" xr:uid="{44E2E6DC-7E8C-4314-8C0A-0351B4D929DC}"/>
    <cellStyle name="Note 4 2 2 5 2" xfId="10335" xr:uid="{A5462FA6-0658-4D6A-876F-628ACE1BE72B}"/>
    <cellStyle name="Note 4 2 2 5 2 2" xfId="36908" xr:uid="{AA715DAC-7025-42B9-85AE-1C8109A14CEE}"/>
    <cellStyle name="Note 4 2 2 5 2 3" xfId="36909" xr:uid="{757487C4-47B0-4A3F-BF66-C9578E0E7F4F}"/>
    <cellStyle name="Note 4 2 2 5 2 4" xfId="36910" xr:uid="{8889231A-D920-4659-881E-8DE1E9B6901B}"/>
    <cellStyle name="Note 4 2 2 5 2 5" xfId="36911" xr:uid="{FB7F83CD-5679-4216-9ACB-38FFE62953B6}"/>
    <cellStyle name="Note 4 2 2 5 2 6" xfId="36912" xr:uid="{E33507F4-2358-4EF3-B9FE-45D2EE9F5240}"/>
    <cellStyle name="Note 4 2 2 5 3" xfId="36913" xr:uid="{9C2C555E-910A-4606-BC8B-79003C607F3A}"/>
    <cellStyle name="Note 4 2 2 5 4" xfId="36914" xr:uid="{C0F495A7-FA75-49C1-A801-5D8C0BCB8C71}"/>
    <cellStyle name="Note 4 2 2 5 5" xfId="36915" xr:uid="{A6F2498A-520E-40B9-B010-DAD948D54E35}"/>
    <cellStyle name="Note 4 2 2 5 6" xfId="36916" xr:uid="{13E40ABB-398C-46E4-89B4-AF516E4895FF}"/>
    <cellStyle name="Note 4 2 2 5 7" xfId="36917" xr:uid="{A96570BA-783D-4CF3-AC8C-7701C5C260E6}"/>
    <cellStyle name="Note 4 2 2 6" xfId="2596" xr:uid="{1AD1B3E0-207F-46B9-A681-7F86AF853197}"/>
    <cellStyle name="Note 4 2 2 6 2" xfId="10423" xr:uid="{80B38004-FFB7-4E13-ABA9-4C59C1C50DD0}"/>
    <cellStyle name="Note 4 2 2 6 2 2" xfId="36918" xr:uid="{0F20FDB7-8C6E-461C-B2F9-39D3416C375D}"/>
    <cellStyle name="Note 4 2 2 6 2 3" xfId="36919" xr:uid="{F47680AD-3A15-4047-8B46-ACF16E684043}"/>
    <cellStyle name="Note 4 2 2 6 2 4" xfId="36920" xr:uid="{BBCBD4CE-414A-418B-9963-282948F57B00}"/>
    <cellStyle name="Note 4 2 2 6 2 5" xfId="36921" xr:uid="{B0D42B31-7FCC-4E1B-A5FD-E592AC1924FE}"/>
    <cellStyle name="Note 4 2 2 6 2 6" xfId="36922" xr:uid="{136CF453-ED58-49C4-BD66-1126A733C34D}"/>
    <cellStyle name="Note 4 2 2 6 3" xfId="36923" xr:uid="{E7A9B406-B333-4F8C-B0C8-D4154A4D264A}"/>
    <cellStyle name="Note 4 2 2 6 4" xfId="36924" xr:uid="{2F6FA43B-5837-4535-B70A-42087826E00D}"/>
    <cellStyle name="Note 4 2 2 6 5" xfId="36925" xr:uid="{51D5E48D-6A09-42BA-B75C-22EFD4981A0D}"/>
    <cellStyle name="Note 4 2 2 6 6" xfId="36926" xr:uid="{5832CE90-0ED5-45FD-928C-8B0665AE7526}"/>
    <cellStyle name="Note 4 2 2 6 7" xfId="36927" xr:uid="{C18C66B7-5012-4FD1-A870-BB1308584B6B}"/>
    <cellStyle name="Note 4 2 2 7" xfId="2597" xr:uid="{3B2ED04E-C4FD-47CF-9CF3-AE74D6AAFDD4}"/>
    <cellStyle name="Note 4 2 2 7 2" xfId="10510" xr:uid="{5E1E2AC5-CAEA-43B4-8307-7A5E00D3DD4E}"/>
    <cellStyle name="Note 4 2 2 7 2 2" xfId="36928" xr:uid="{AEF2DC17-B502-426C-A91B-750939AB998A}"/>
    <cellStyle name="Note 4 2 2 7 2 3" xfId="36929" xr:uid="{D751CB27-C013-4A9D-BFFF-B806EEAF9AF7}"/>
    <cellStyle name="Note 4 2 2 7 2 4" xfId="36930" xr:uid="{5F8ABF32-5100-488E-893F-4E4C537F1F30}"/>
    <cellStyle name="Note 4 2 2 7 2 5" xfId="36931" xr:uid="{5261469E-8E70-487D-A0F0-6B9125A64C4B}"/>
    <cellStyle name="Note 4 2 2 7 2 6" xfId="36932" xr:uid="{CD91C7A2-C5CE-4063-9C83-48C230311F2F}"/>
    <cellStyle name="Note 4 2 2 7 3" xfId="36933" xr:uid="{6D6B7F36-4004-497A-9FB8-B47BE0E6B44B}"/>
    <cellStyle name="Note 4 2 2 7 4" xfId="36934" xr:uid="{E70F2BF0-1122-4185-93F4-7FA22653F2FE}"/>
    <cellStyle name="Note 4 2 2 7 5" xfId="36935" xr:uid="{7CB9751C-3D20-45C1-BCB8-B4A3D4B547AD}"/>
    <cellStyle name="Note 4 2 2 7 6" xfId="36936" xr:uid="{4A3258D7-0DBE-49BE-853A-208A1CB777F5}"/>
    <cellStyle name="Note 4 2 2 7 7" xfId="36937" xr:uid="{D9BF17BE-0240-41D1-82B1-E0FF030723BA}"/>
    <cellStyle name="Note 4 2 2 8" xfId="2598" xr:uid="{F9673DFA-55E9-48F2-8AA4-B0A7F8D17F1C}"/>
    <cellStyle name="Note 4 2 2 8 2" xfId="10598" xr:uid="{56EC59E7-20B5-4E02-8900-58BC27A9250E}"/>
    <cellStyle name="Note 4 2 2 8 2 2" xfId="36938" xr:uid="{E039862C-AA3A-497E-BDA5-A19844C74A98}"/>
    <cellStyle name="Note 4 2 2 8 2 3" xfId="36939" xr:uid="{2A92493D-4AF7-43BB-BD67-07D1A6E5F8FB}"/>
    <cellStyle name="Note 4 2 2 8 2 4" xfId="36940" xr:uid="{C6E78008-EC99-4A8E-90BA-D8344AB63D0B}"/>
    <cellStyle name="Note 4 2 2 8 2 5" xfId="36941" xr:uid="{1E2D251E-02DB-49DD-825A-9F2FF8F0F001}"/>
    <cellStyle name="Note 4 2 2 8 2 6" xfId="36942" xr:uid="{97D8B305-0A0F-4CB8-A389-AE45AF404820}"/>
    <cellStyle name="Note 4 2 2 8 3" xfId="36943" xr:uid="{77AB391D-E7CB-43F1-896B-0829FD340E36}"/>
    <cellStyle name="Note 4 2 2 8 4" xfId="36944" xr:uid="{DE329C52-CE11-4726-B2E2-DE26CE51C117}"/>
    <cellStyle name="Note 4 2 2 8 5" xfId="36945" xr:uid="{A11DD9F6-D0BB-48CE-A232-7F4C9952265F}"/>
    <cellStyle name="Note 4 2 2 8 6" xfId="36946" xr:uid="{74453F27-E833-441F-9DAF-F9FACF0CEE5D}"/>
    <cellStyle name="Note 4 2 2 8 7" xfId="36947" xr:uid="{4AA435C3-2BEE-4F71-A020-75C0FD132A97}"/>
    <cellStyle name="Note 4 2 2 9" xfId="2599" xr:uid="{652CE7F1-2CEF-401B-9E37-2AF4E09E1F40}"/>
    <cellStyle name="Note 4 2 2 9 2" xfId="10680" xr:uid="{691D31C5-F164-43F7-9ADF-BD43EB8200A3}"/>
    <cellStyle name="Note 4 2 2 9 2 2" xfId="36948" xr:uid="{CF2E0081-591C-4FE9-9BB4-74B8540EE6AF}"/>
    <cellStyle name="Note 4 2 2 9 2 3" xfId="36949" xr:uid="{BA4C4ED1-C16E-41A3-AF65-72540AD01D1D}"/>
    <cellStyle name="Note 4 2 2 9 2 4" xfId="36950" xr:uid="{F34A1752-2F4F-4CD6-9933-1D42B38EF51A}"/>
    <cellStyle name="Note 4 2 2 9 2 5" xfId="36951" xr:uid="{AB271AA5-E0C7-4271-B8B2-C4154E1EBCC1}"/>
    <cellStyle name="Note 4 2 2 9 2 6" xfId="36952" xr:uid="{A24F8EDF-F006-4D95-B168-65B9376FAB68}"/>
    <cellStyle name="Note 4 2 2 9 3" xfId="36953" xr:uid="{58D8A038-7F4C-4DE7-BA7C-F8E487C800F1}"/>
    <cellStyle name="Note 4 2 2 9 4" xfId="36954" xr:uid="{1F922DEB-2AB9-485B-8BA3-B39365F94489}"/>
    <cellStyle name="Note 4 2 2 9 5" xfId="36955" xr:uid="{385D9B7F-71E4-49A1-A590-0CBDF38B2F8C}"/>
    <cellStyle name="Note 4 2 2 9 6" xfId="36956" xr:uid="{6B951285-7DAF-463B-913D-B2573C65AAA0}"/>
    <cellStyle name="Note 4 2 2 9 7" xfId="36957" xr:uid="{F3AC4FF7-6D0C-45D2-B732-6AB22135209E}"/>
    <cellStyle name="Note 4 2 20" xfId="2600" xr:uid="{B591DE1A-59D8-4F55-A153-B6E4A263F5C8}"/>
    <cellStyle name="Note 4 2 20 2" xfId="11528" xr:uid="{8BB57D7F-3B1C-4FBE-BC32-ACAA102BDF70}"/>
    <cellStyle name="Note 4 2 20 2 2" xfId="36958" xr:uid="{F3E26DC1-FA59-4624-BCC6-88BFB6A270C8}"/>
    <cellStyle name="Note 4 2 20 2 3" xfId="36959" xr:uid="{29C6935B-B363-47E8-8E2B-09FC936DD55A}"/>
    <cellStyle name="Note 4 2 20 2 4" xfId="36960" xr:uid="{1D6ADD70-6BE9-4975-BCB0-5CC089535176}"/>
    <cellStyle name="Note 4 2 20 2 5" xfId="36961" xr:uid="{54A8B5C1-AB93-433E-9C07-FC5BCC5960A6}"/>
    <cellStyle name="Note 4 2 20 2 6" xfId="36962" xr:uid="{531B4107-1064-46A9-BDC2-E49CCBCEAC42}"/>
    <cellStyle name="Note 4 2 20 3" xfId="36963" xr:uid="{907C6DF9-8B24-4C22-A656-DE257A8A4245}"/>
    <cellStyle name="Note 4 2 20 4" xfId="36964" xr:uid="{C7A2B086-FF5A-469A-B3A9-EEA0B2CF31C1}"/>
    <cellStyle name="Note 4 2 20 5" xfId="36965" xr:uid="{16AEFA44-7701-48FB-B6B4-D1875C5D93EC}"/>
    <cellStyle name="Note 4 2 20 6" xfId="36966" xr:uid="{856681B3-A9E6-451F-9492-F8AD7ED154D5}"/>
    <cellStyle name="Note 4 2 20 7" xfId="36967" xr:uid="{3C52CFE8-8DC7-4328-99A9-0BA9ED9FFB86}"/>
    <cellStyle name="Note 4 2 21" xfId="2601" xr:uid="{83D0F74B-3551-46F3-A61E-C8F4BFDAE01A}"/>
    <cellStyle name="Note 4 2 21 2" xfId="11616" xr:uid="{E2241E3D-745E-4C52-8144-832E911AB1E6}"/>
    <cellStyle name="Note 4 2 21 2 2" xfId="36968" xr:uid="{52CEFDBF-3973-4F5D-8E49-A3CB5DE371F3}"/>
    <cellStyle name="Note 4 2 21 2 3" xfId="36969" xr:uid="{09698200-B602-45F6-9DC3-C5022B2F286D}"/>
    <cellStyle name="Note 4 2 21 2 4" xfId="36970" xr:uid="{9B7C9171-2EC0-4AF7-B83A-1FA2870D930C}"/>
    <cellStyle name="Note 4 2 21 2 5" xfId="36971" xr:uid="{89EEC003-2EF3-445D-8A45-D0FD36EE21A8}"/>
    <cellStyle name="Note 4 2 21 2 6" xfId="36972" xr:uid="{9F677A86-2CD4-49FF-8F0D-CA3F7DB1EE0F}"/>
    <cellStyle name="Note 4 2 21 3" xfId="36973" xr:uid="{9EB73E05-D0BF-4B20-8523-F2E7149C2F8B}"/>
    <cellStyle name="Note 4 2 21 4" xfId="36974" xr:uid="{4AC23B39-05AE-4CDA-AB06-8B07BF6C1F1A}"/>
    <cellStyle name="Note 4 2 21 5" xfId="36975" xr:uid="{EB5B6BAE-7047-48B9-977C-AC0CCFAC0C97}"/>
    <cellStyle name="Note 4 2 21 6" xfId="36976" xr:uid="{A25D75AF-3BD0-41E6-B024-7A74CBBD254E}"/>
    <cellStyle name="Note 4 2 21 7" xfId="36977" xr:uid="{A8510240-D202-4628-92C1-CF65BD0CA806}"/>
    <cellStyle name="Note 4 2 22" xfId="2602" xr:uid="{9C1845C8-9192-4D94-87FB-C7ECE8643E9B}"/>
    <cellStyle name="Note 4 2 22 2" xfId="11700" xr:uid="{72B13EFC-EF96-4ABA-817F-37D97BDECA9B}"/>
    <cellStyle name="Note 4 2 22 2 2" xfId="36978" xr:uid="{B633DEF5-27B8-4E85-B6B5-38C236471D89}"/>
    <cellStyle name="Note 4 2 22 2 3" xfId="36979" xr:uid="{3112CB5E-6029-433E-BC2A-C6538F502AE8}"/>
    <cellStyle name="Note 4 2 22 2 4" xfId="36980" xr:uid="{512F1D8B-8CDD-44CC-952F-E5F1378CCE76}"/>
    <cellStyle name="Note 4 2 22 2 5" xfId="36981" xr:uid="{C63B13CC-07DA-4571-A650-054019723DC8}"/>
    <cellStyle name="Note 4 2 22 2 6" xfId="36982" xr:uid="{31286FCB-D5C1-4614-8EDC-6B625639F49D}"/>
    <cellStyle name="Note 4 2 22 3" xfId="36983" xr:uid="{68E35CB8-FE38-4FC3-A8A0-43C9354320F2}"/>
    <cellStyle name="Note 4 2 22 4" xfId="36984" xr:uid="{5C0994AB-F945-48A0-ABE2-58EBFBE8504D}"/>
    <cellStyle name="Note 4 2 22 5" xfId="36985" xr:uid="{F848E4EC-1516-46F1-AADD-015587FDD961}"/>
    <cellStyle name="Note 4 2 22 6" xfId="36986" xr:uid="{CB07030A-624B-4B88-8302-3AC69B273CD9}"/>
    <cellStyle name="Note 4 2 22 7" xfId="36987" xr:uid="{E218B11F-10B4-417F-B625-39685438B651}"/>
    <cellStyle name="Note 4 2 23" xfId="2603" xr:uid="{4B302DC6-1A4E-4160-A31A-B8AE3F2F6005}"/>
    <cellStyle name="Note 4 2 23 2" xfId="11783" xr:uid="{8CDAEF4E-BB2F-4516-949A-C694DFE924B2}"/>
    <cellStyle name="Note 4 2 23 2 2" xfId="36988" xr:uid="{25F624F2-DEF8-4074-98EC-FF324D9F04EC}"/>
    <cellStyle name="Note 4 2 23 2 3" xfId="36989" xr:uid="{E75577B6-13B0-401E-AA6C-3AA51196634B}"/>
    <cellStyle name="Note 4 2 23 2 4" xfId="36990" xr:uid="{96BB10C3-C747-451D-90B7-0AA054CDA193}"/>
    <cellStyle name="Note 4 2 23 2 5" xfId="36991" xr:uid="{3F26AB22-1232-4340-A6E7-88E188623C39}"/>
    <cellStyle name="Note 4 2 23 2 6" xfId="36992" xr:uid="{C6322DFF-CF80-4D2E-A9E8-69B8FD698AAF}"/>
    <cellStyle name="Note 4 2 23 3" xfId="36993" xr:uid="{99F14092-FCA0-48D0-8578-5C6B19BB51DD}"/>
    <cellStyle name="Note 4 2 23 4" xfId="36994" xr:uid="{134E0BCD-E3FA-455F-9B1D-D11D44E14D9B}"/>
    <cellStyle name="Note 4 2 23 5" xfId="36995" xr:uid="{A7D57BC3-C913-470B-970C-960ADAC04367}"/>
    <cellStyle name="Note 4 2 23 6" xfId="36996" xr:uid="{E3EDAE66-4DE8-465A-A8D4-75FA1DD1151C}"/>
    <cellStyle name="Note 4 2 23 7" xfId="36997" xr:uid="{3DF3F81C-A89D-41ED-B8DA-9484EBFE87D5}"/>
    <cellStyle name="Note 4 2 24" xfId="2604" xr:uid="{780CCBBE-D5D4-4421-8E25-0B5B53DA1DEE}"/>
    <cellStyle name="Note 4 2 24 2" xfId="11866" xr:uid="{ACDE1B33-951B-495D-9E54-27FDD233258F}"/>
    <cellStyle name="Note 4 2 24 2 2" xfId="36998" xr:uid="{2D2791D2-B943-40AD-A8A6-42B9434516F4}"/>
    <cellStyle name="Note 4 2 24 2 3" xfId="36999" xr:uid="{BBF4F0CF-02B3-4D28-8190-35087316D89E}"/>
    <cellStyle name="Note 4 2 24 2 4" xfId="37000" xr:uid="{FCEDA493-F77C-416D-906F-7352565B681F}"/>
    <cellStyle name="Note 4 2 24 2 5" xfId="37001" xr:uid="{B51675F0-578D-4FFE-87C5-6158E81CF213}"/>
    <cellStyle name="Note 4 2 24 2 6" xfId="37002" xr:uid="{AEF63022-858E-4288-BD58-31796C8D6A12}"/>
    <cellStyle name="Note 4 2 24 3" xfId="37003" xr:uid="{C7179FB3-5FBD-4B00-887A-1C002B99F82B}"/>
    <cellStyle name="Note 4 2 24 4" xfId="37004" xr:uid="{8C8E2071-CA55-476B-BC5B-FA8F4D1FFCB9}"/>
    <cellStyle name="Note 4 2 24 5" xfId="37005" xr:uid="{934CE6C5-49B2-497F-B448-603ABCF761B0}"/>
    <cellStyle name="Note 4 2 24 6" xfId="37006" xr:uid="{7A4F694B-0EA1-4FE3-BF3B-E882E5AE80FF}"/>
    <cellStyle name="Note 4 2 24 7" xfId="37007" xr:uid="{F298E063-BEE3-4EF2-B94F-F2D2C6BFEDAF}"/>
    <cellStyle name="Note 4 2 25" xfId="2605" xr:uid="{48D344E8-2287-4D56-BC26-2FD78C7EA0CA}"/>
    <cellStyle name="Note 4 2 25 2" xfId="11950" xr:uid="{49924E51-DA6E-4A23-B338-75C7EC9DE240}"/>
    <cellStyle name="Note 4 2 25 2 2" xfId="37008" xr:uid="{5A2685A2-5528-4D05-BE93-BB26AE61F12C}"/>
    <cellStyle name="Note 4 2 25 2 3" xfId="37009" xr:uid="{2D8B0888-0F76-4596-AA5F-2B159054CA11}"/>
    <cellStyle name="Note 4 2 25 2 4" xfId="37010" xr:uid="{65CFEC7F-EE3F-4B8E-B52F-D2C705567FAA}"/>
    <cellStyle name="Note 4 2 25 2 5" xfId="37011" xr:uid="{9752BDF6-65CD-4918-9A1C-FBE6A9D94C04}"/>
    <cellStyle name="Note 4 2 25 2 6" xfId="37012" xr:uid="{D6897C88-B573-4728-BF87-34A90800C8C9}"/>
    <cellStyle name="Note 4 2 25 3" xfId="37013" xr:uid="{505D7F07-5CAB-400D-AC20-0DB0CBC7471B}"/>
    <cellStyle name="Note 4 2 25 4" xfId="37014" xr:uid="{A719139A-578D-4414-8753-A77B948C9051}"/>
    <cellStyle name="Note 4 2 25 5" xfId="37015" xr:uid="{AFBD016B-D3DC-47EC-BA25-756094D40FFA}"/>
    <cellStyle name="Note 4 2 25 6" xfId="37016" xr:uid="{E0753DB6-9037-407D-B4E9-A97453586603}"/>
    <cellStyle name="Note 4 2 25 7" xfId="37017" xr:uid="{84DB4269-0818-48B6-B4E7-E6F86F76C4C5}"/>
    <cellStyle name="Note 4 2 26" xfId="2606" xr:uid="{EBC9FBAB-008B-48CC-8A73-63843C7D89DD}"/>
    <cellStyle name="Note 4 2 26 2" xfId="12033" xr:uid="{F43FEAB2-8096-48DE-A986-3AE3C7E03D4E}"/>
    <cellStyle name="Note 4 2 26 2 2" xfId="37018" xr:uid="{01642C59-3C1A-4531-B902-6DF08EA78318}"/>
    <cellStyle name="Note 4 2 26 2 3" xfId="37019" xr:uid="{EDDCDD20-44F5-4022-81ED-79A53FFA2B3C}"/>
    <cellStyle name="Note 4 2 26 2 4" xfId="37020" xr:uid="{D4B507C9-3916-4398-AD6B-D980BC12FCFA}"/>
    <cellStyle name="Note 4 2 26 2 5" xfId="37021" xr:uid="{70B81BEC-2E86-4249-BC31-E1EB7B133E4D}"/>
    <cellStyle name="Note 4 2 26 2 6" xfId="37022" xr:uid="{2478096C-A181-45C7-856B-14D08F3D80D7}"/>
    <cellStyle name="Note 4 2 26 3" xfId="37023" xr:uid="{F8451667-CEE0-4C6A-8A1A-31604CDD4912}"/>
    <cellStyle name="Note 4 2 26 4" xfId="37024" xr:uid="{11A01FDA-ABA5-4FD1-BD6C-A4FB9C768B3B}"/>
    <cellStyle name="Note 4 2 26 5" xfId="37025" xr:uid="{FC45900B-82F4-437E-8E2D-26FAD1C1B27F}"/>
    <cellStyle name="Note 4 2 26 6" xfId="37026" xr:uid="{054A5680-0E68-49D1-A198-3BD0E7EE4048}"/>
    <cellStyle name="Note 4 2 26 7" xfId="37027" xr:uid="{3EF8BACB-7406-4E0D-BEB5-CC83F9629D50}"/>
    <cellStyle name="Note 4 2 27" xfId="2607" xr:uid="{330D99D0-A312-43C9-87C8-7AE6D4E6E129}"/>
    <cellStyle name="Note 4 2 27 2" xfId="12116" xr:uid="{92256A0B-4BD7-4591-A028-8325BAF09C71}"/>
    <cellStyle name="Note 4 2 27 2 2" xfId="37028" xr:uid="{2C8C56F0-B854-488C-A7A0-826224733624}"/>
    <cellStyle name="Note 4 2 27 2 3" xfId="37029" xr:uid="{96A41196-2A45-4146-9295-C14FB49371A9}"/>
    <cellStyle name="Note 4 2 27 2 4" xfId="37030" xr:uid="{38866FCB-C27B-4C13-8800-79DDAFC3DD98}"/>
    <cellStyle name="Note 4 2 27 2 5" xfId="37031" xr:uid="{32FA5FB4-E4A0-42AE-B657-F0710380A6CD}"/>
    <cellStyle name="Note 4 2 27 2 6" xfId="37032" xr:uid="{F554A5B5-EB00-43FF-9420-F5594A6DB635}"/>
    <cellStyle name="Note 4 2 27 3" xfId="37033" xr:uid="{218E8B86-3670-4B4E-BD4F-7FEBB739D54D}"/>
    <cellStyle name="Note 4 2 27 4" xfId="37034" xr:uid="{667FF89F-FE2D-41A1-8B48-5991DAC447E6}"/>
    <cellStyle name="Note 4 2 27 5" xfId="37035" xr:uid="{33301634-E03D-4117-8879-4129EB0F9338}"/>
    <cellStyle name="Note 4 2 27 6" xfId="37036" xr:uid="{2FF3CEB4-076C-436D-BFE4-93C99222FE1D}"/>
    <cellStyle name="Note 4 2 27 7" xfId="37037" xr:uid="{6B763203-EEB8-4258-B85D-9F2E946166E4}"/>
    <cellStyle name="Note 4 2 28" xfId="2608" xr:uid="{AC84C86D-FF91-4837-87BD-6840F3AA27BE}"/>
    <cellStyle name="Note 4 2 28 2" xfId="12198" xr:uid="{3564537B-2964-40AE-A6D1-6C0C73F95D37}"/>
    <cellStyle name="Note 4 2 28 2 2" xfId="37038" xr:uid="{3380B653-85A6-43F5-AB60-BF8C527A6238}"/>
    <cellStyle name="Note 4 2 28 2 3" xfId="37039" xr:uid="{8C6701A3-5D4C-49CA-8ACC-28740F263FE5}"/>
    <cellStyle name="Note 4 2 28 2 4" xfId="37040" xr:uid="{F6228E7F-CA19-492E-95BF-F6398A8805FF}"/>
    <cellStyle name="Note 4 2 28 2 5" xfId="37041" xr:uid="{717737F7-3527-4FD9-AD62-B3DD42801D24}"/>
    <cellStyle name="Note 4 2 28 2 6" xfId="37042" xr:uid="{208E386D-5B60-4EB1-AD09-1F0326AD2468}"/>
    <cellStyle name="Note 4 2 28 3" xfId="37043" xr:uid="{0B1665C3-42D1-48F4-A0B9-DB8B750551B4}"/>
    <cellStyle name="Note 4 2 28 4" xfId="37044" xr:uid="{47CC309D-C87A-4CB0-843F-B0DF9CD2BFB8}"/>
    <cellStyle name="Note 4 2 28 5" xfId="37045" xr:uid="{18837D23-BB50-499C-9983-B1DAAB248D66}"/>
    <cellStyle name="Note 4 2 28 6" xfId="37046" xr:uid="{8E707293-3A36-4022-A2CC-AA6F3A516237}"/>
    <cellStyle name="Note 4 2 28 7" xfId="37047" xr:uid="{14CF20D8-4155-4FDC-B656-68E0E98D3D5E}"/>
    <cellStyle name="Note 4 2 29" xfId="2609" xr:uid="{80CA3C1E-C2B4-42F1-8038-A76511411FD3}"/>
    <cellStyle name="Note 4 2 29 2" xfId="12278" xr:uid="{F718DBC8-CC7C-4F1F-A1C4-4BE3E58CE49D}"/>
    <cellStyle name="Note 4 2 29 2 2" xfId="37048" xr:uid="{4E7DC4B9-1B87-4A76-9FFD-D4D501CE01DF}"/>
    <cellStyle name="Note 4 2 29 2 3" xfId="37049" xr:uid="{96900135-CDC2-4224-9C5A-B4CB282099BB}"/>
    <cellStyle name="Note 4 2 29 2 4" xfId="37050" xr:uid="{EEB11867-8FF2-4520-836F-B4FB3C037051}"/>
    <cellStyle name="Note 4 2 29 2 5" xfId="37051" xr:uid="{C7D345AD-C28C-417C-8829-A2BDFAB56EF0}"/>
    <cellStyle name="Note 4 2 29 2 6" xfId="37052" xr:uid="{4F2CBF11-4CDC-4765-B78D-5D3EFB56B727}"/>
    <cellStyle name="Note 4 2 29 3" xfId="37053" xr:uid="{1B461739-E1B7-4616-B83B-2790C516520A}"/>
    <cellStyle name="Note 4 2 29 4" xfId="37054" xr:uid="{30D86F63-3E45-44C9-A6CD-826082FF595E}"/>
    <cellStyle name="Note 4 2 29 5" xfId="37055" xr:uid="{80DC3865-651C-4B05-8958-06303DF9E026}"/>
    <cellStyle name="Note 4 2 29 6" xfId="37056" xr:uid="{9E41A88D-4D65-4E05-9E4C-4B9378E83E5A}"/>
    <cellStyle name="Note 4 2 29 7" xfId="37057" xr:uid="{A62C6D3F-49A1-4137-9292-752FE5548CE3}"/>
    <cellStyle name="Note 4 2 3" xfId="2610" xr:uid="{3532849A-93D6-47F5-8F7E-AAFB7D213A4C}"/>
    <cellStyle name="Note 4 2 3 2" xfId="10035" xr:uid="{157C62D2-F804-42B4-B1B5-9DA7FDBF42BE}"/>
    <cellStyle name="Note 4 2 3 2 2" xfId="37058" xr:uid="{F58C5701-7A2F-40E3-928D-B0D182E9C198}"/>
    <cellStyle name="Note 4 2 3 2 3" xfId="37059" xr:uid="{8283AF72-5000-4CE2-A8E3-0DDE9F7D314B}"/>
    <cellStyle name="Note 4 2 3 2 4" xfId="37060" xr:uid="{830867BA-1520-4F86-A3F3-A3E672BBE327}"/>
    <cellStyle name="Note 4 2 3 2 5" xfId="37061" xr:uid="{60B97FC8-A6B4-4662-91E3-595A32EA152E}"/>
    <cellStyle name="Note 4 2 3 2 6" xfId="37062" xr:uid="{BB10981B-80C1-4A95-9C30-3DD054A7EC89}"/>
    <cellStyle name="Note 4 2 3 3" xfId="37063" xr:uid="{77EDDE1D-557F-481C-A2AD-40B85E8EE0EA}"/>
    <cellStyle name="Note 4 2 3 4" xfId="37064" xr:uid="{A8667D63-3B60-43F1-A566-2432E57A7677}"/>
    <cellStyle name="Note 4 2 3 5" xfId="37065" xr:uid="{5D1F45C9-CEBF-49A8-B9D1-4C089ABA7B45}"/>
    <cellStyle name="Note 4 2 3 6" xfId="37066" xr:uid="{B7D1EFA3-497B-467D-963F-A0E6C17EEC7C}"/>
    <cellStyle name="Note 4 2 3 7" xfId="37067" xr:uid="{164ED150-E643-4AA8-BC88-248759BA20DB}"/>
    <cellStyle name="Note 4 2 30" xfId="2611" xr:uid="{14107CDF-E1FE-4AD0-8124-E51D67B298C2}"/>
    <cellStyle name="Note 4 2 30 2" xfId="12356" xr:uid="{805C6827-04D5-43A4-92D2-71A4DA855155}"/>
    <cellStyle name="Note 4 2 30 2 2" xfId="37068" xr:uid="{81186487-019B-4525-9FB5-E867FEA36D70}"/>
    <cellStyle name="Note 4 2 30 2 3" xfId="37069" xr:uid="{0D15956E-E271-4699-AD94-790920115A22}"/>
    <cellStyle name="Note 4 2 30 2 4" xfId="37070" xr:uid="{CBE3FAD4-192A-44C4-BD5D-DDB1A103445F}"/>
    <cellStyle name="Note 4 2 30 2 5" xfId="37071" xr:uid="{ADC12739-9B56-4D77-ADB8-7388B0BCB489}"/>
    <cellStyle name="Note 4 2 30 2 6" xfId="37072" xr:uid="{542B1782-D7BC-426E-AA22-E0A8584B5793}"/>
    <cellStyle name="Note 4 2 30 3" xfId="37073" xr:uid="{36F84A47-7124-440D-BF6E-307355D26B6D}"/>
    <cellStyle name="Note 4 2 30 4" xfId="37074" xr:uid="{0DD8A1A8-DCD6-4E45-9E62-869E5C142EF5}"/>
    <cellStyle name="Note 4 2 30 5" xfId="37075" xr:uid="{1F36ED83-1DA2-4947-BB75-CE4534983565}"/>
    <cellStyle name="Note 4 2 30 6" xfId="37076" xr:uid="{86BB52BA-468A-4492-8983-720F6EF631F7}"/>
    <cellStyle name="Note 4 2 30 7" xfId="37077" xr:uid="{CEB94381-F66F-4374-B5A5-18F79DBC3B14}"/>
    <cellStyle name="Note 4 2 31" xfId="2612" xr:uid="{3DCA0E1C-5DCA-4936-9AE1-08B52DD62831}"/>
    <cellStyle name="Note 4 2 31 2" xfId="12435" xr:uid="{16BD0014-A628-411D-B8F5-31E49E321E8B}"/>
    <cellStyle name="Note 4 2 31 2 2" xfId="37078" xr:uid="{61D842F0-E11F-4048-81B1-367B0E364C35}"/>
    <cellStyle name="Note 4 2 31 2 3" xfId="37079" xr:uid="{2B3AC602-0F92-48AB-8830-67DE2470C7AE}"/>
    <cellStyle name="Note 4 2 31 2 4" xfId="37080" xr:uid="{933C556B-B5FF-4720-A737-5B93D2BBD223}"/>
    <cellStyle name="Note 4 2 31 2 5" xfId="37081" xr:uid="{A8E94A36-CD19-4AB3-8C32-2A3DE7BFFE6B}"/>
    <cellStyle name="Note 4 2 31 2 6" xfId="37082" xr:uid="{A86CB5E6-EA0B-45D0-BFFD-5171390CB36C}"/>
    <cellStyle name="Note 4 2 31 3" xfId="37083" xr:uid="{2F4566A1-CB8D-480D-B493-47FD1BA49441}"/>
    <cellStyle name="Note 4 2 31 4" xfId="37084" xr:uid="{26948731-1E32-4CC6-85D0-D764355A6303}"/>
    <cellStyle name="Note 4 2 31 5" xfId="37085" xr:uid="{355453F0-7B6A-471E-A61D-406B41EFD427}"/>
    <cellStyle name="Note 4 2 31 6" xfId="37086" xr:uid="{32F60DA1-DBA7-46EB-A034-D012F12A38FD}"/>
    <cellStyle name="Note 4 2 31 7" xfId="37087" xr:uid="{B3E44BCA-D743-4359-87DB-6A4048D08480}"/>
    <cellStyle name="Note 4 2 32" xfId="2613" xr:uid="{319C9B7B-C442-402B-B518-B14E5E6FE742}"/>
    <cellStyle name="Note 4 2 32 2" xfId="12514" xr:uid="{9FD4A3C3-D9D3-4F46-9A65-91FE951375E4}"/>
    <cellStyle name="Note 4 2 32 2 2" xfId="37088" xr:uid="{062C1558-FBD6-40AB-AE80-F5AD212BE8DE}"/>
    <cellStyle name="Note 4 2 32 2 3" xfId="37089" xr:uid="{3EE92DC2-36C1-4249-8B22-6711B5CC1EB1}"/>
    <cellStyle name="Note 4 2 32 2 4" xfId="37090" xr:uid="{98B26F49-6468-449E-BD59-58905171EADB}"/>
    <cellStyle name="Note 4 2 32 2 5" xfId="37091" xr:uid="{AE030BE3-7451-43FB-8F6F-CC7FB362C891}"/>
    <cellStyle name="Note 4 2 32 2 6" xfId="37092" xr:uid="{FD20D2FF-4227-43E4-A21F-D2BA4A0ED314}"/>
    <cellStyle name="Note 4 2 32 3" xfId="37093" xr:uid="{418F6D66-C71A-47BB-B216-A8F8BAC80F62}"/>
    <cellStyle name="Note 4 2 32 4" xfId="37094" xr:uid="{6F3870CC-7660-4EDB-9811-5BFFABFCDEA3}"/>
    <cellStyle name="Note 4 2 32 5" xfId="37095" xr:uid="{0BB4BF15-BFE9-42FF-84A9-DA0EBF71B492}"/>
    <cellStyle name="Note 4 2 32 6" xfId="37096" xr:uid="{1D731C35-D33E-484C-9EE0-009D307DC542}"/>
    <cellStyle name="Note 4 2 32 7" xfId="37097" xr:uid="{F0AFEC9E-288E-4BEC-A3DA-0D50428C8FE8}"/>
    <cellStyle name="Note 4 2 33" xfId="2614" xr:uid="{0E425E14-8782-4B68-9067-972269C0428A}"/>
    <cellStyle name="Note 4 2 33 2" xfId="12593" xr:uid="{4D556BC1-7BCA-49A4-9262-3AE5F0CB5CB3}"/>
    <cellStyle name="Note 4 2 33 2 2" xfId="37098" xr:uid="{679F2DFE-0B45-4BF9-A2D2-F04126C9429A}"/>
    <cellStyle name="Note 4 2 33 2 3" xfId="37099" xr:uid="{4A219AC4-8496-456D-9647-48C37199DD7F}"/>
    <cellStyle name="Note 4 2 33 2 4" xfId="37100" xr:uid="{363B61E0-68D4-454E-A4A1-A077DAE6F00A}"/>
    <cellStyle name="Note 4 2 33 2 5" xfId="37101" xr:uid="{981C83F0-5FDA-4CC4-A7F0-626812D2C88F}"/>
    <cellStyle name="Note 4 2 33 2 6" xfId="37102" xr:uid="{E9FF7863-C0BC-41B7-99EF-9AE155D5F3E3}"/>
    <cellStyle name="Note 4 2 33 3" xfId="37103" xr:uid="{52F637D4-0475-457B-8E79-1893C778D36B}"/>
    <cellStyle name="Note 4 2 33 4" xfId="37104" xr:uid="{1ADACBF6-EF07-47E8-87D8-D22B2C99B91E}"/>
    <cellStyle name="Note 4 2 33 5" xfId="37105" xr:uid="{B39F0254-C0C4-4349-875E-32891EA5684E}"/>
    <cellStyle name="Note 4 2 33 6" xfId="37106" xr:uid="{3875B516-AF12-485F-9C18-BFCAAD29B7DB}"/>
    <cellStyle name="Note 4 2 33 7" xfId="37107" xr:uid="{B39E44B1-5C92-4B1F-97E0-176BDBAD7B4F}"/>
    <cellStyle name="Note 4 2 34" xfId="2615" xr:uid="{2F450F7A-4E67-4EC9-9159-8BC9900A1DAE}"/>
    <cellStyle name="Note 4 2 34 2" xfId="12672" xr:uid="{2DB85543-71E6-402A-A670-6E34D9380A0E}"/>
    <cellStyle name="Note 4 2 34 2 2" xfId="37108" xr:uid="{B5CA2A86-9E90-4682-874E-4C88FFE8A382}"/>
    <cellStyle name="Note 4 2 34 2 3" xfId="37109" xr:uid="{BCE835C5-7A6D-4802-9452-E78190F14DF3}"/>
    <cellStyle name="Note 4 2 34 2 4" xfId="37110" xr:uid="{F1FC09AC-5BE8-42CA-A302-FDDA1D34F22E}"/>
    <cellStyle name="Note 4 2 34 2 5" xfId="37111" xr:uid="{B33001FC-D5F9-46F0-8BEA-A6E9AE9E33B1}"/>
    <cellStyle name="Note 4 2 34 2 6" xfId="37112" xr:uid="{89D1971C-43E9-4D08-84DD-7E84D805C1E9}"/>
    <cellStyle name="Note 4 2 34 3" xfId="37113" xr:uid="{FC66ED21-3B0C-444A-8EDC-2152496A8887}"/>
    <cellStyle name="Note 4 2 34 4" xfId="37114" xr:uid="{6415503D-1FAC-4852-B16B-A7C7B6840AC2}"/>
    <cellStyle name="Note 4 2 34 5" xfId="37115" xr:uid="{B52D1973-4C0D-4645-83D7-2917AE0F47E7}"/>
    <cellStyle name="Note 4 2 34 6" xfId="37116" xr:uid="{912ED292-207D-4E39-ACEC-F40B14A38C5B}"/>
    <cellStyle name="Note 4 2 34 7" xfId="37117" xr:uid="{4414E2C4-8658-455D-8070-2E0E2C4D2838}"/>
    <cellStyle name="Note 4 2 35" xfId="2616" xr:uid="{43120F53-5277-49EA-B9FB-38C41233782D}"/>
    <cellStyle name="Note 4 2 35 2" xfId="12756" xr:uid="{9F776A6A-1F84-4248-B11C-90D5F4D6D900}"/>
    <cellStyle name="Note 4 2 35 2 2" xfId="37118" xr:uid="{D6492157-3057-48E2-A7E9-28F5020AE2C9}"/>
    <cellStyle name="Note 4 2 35 2 3" xfId="37119" xr:uid="{3B0C8D45-B554-4A4E-8A2B-4411290220A7}"/>
    <cellStyle name="Note 4 2 35 2 4" xfId="37120" xr:uid="{2A9C65C7-0E3B-4FCB-B551-875AF64F56B5}"/>
    <cellStyle name="Note 4 2 35 2 5" xfId="37121" xr:uid="{B642FF87-F27C-44FD-BD4A-FE14848690CB}"/>
    <cellStyle name="Note 4 2 35 2 6" xfId="37122" xr:uid="{482E8256-AF6C-4E4A-8418-EFB355580101}"/>
    <cellStyle name="Note 4 2 35 3" xfId="37123" xr:uid="{5CA51186-6C94-46BF-B17A-904FF7E51931}"/>
    <cellStyle name="Note 4 2 35 4" xfId="37124" xr:uid="{E59BFAC9-9C68-4FA3-8D58-15D2DA1B66D5}"/>
    <cellStyle name="Note 4 2 35 5" xfId="37125" xr:uid="{EEA9B1C6-9DD8-42A6-AFE1-EDDE2CE03029}"/>
    <cellStyle name="Note 4 2 35 6" xfId="37126" xr:uid="{B7BE36BC-02A6-4ECF-8EED-4427C63CBA04}"/>
    <cellStyle name="Note 4 2 36" xfId="9822" xr:uid="{B0D96B14-F0C3-4922-AA77-C92BE8F8C9F4}"/>
    <cellStyle name="Note 4 2 36 2" xfId="37127" xr:uid="{A17339EC-14F4-4606-9411-BAC63A2A78CC}"/>
    <cellStyle name="Note 4 2 36 3" xfId="37128" xr:uid="{1AD18BD2-CEF6-4B04-B057-329CAE557D83}"/>
    <cellStyle name="Note 4 2 36 4" xfId="37129" xr:uid="{9EF512AF-DF07-469E-8074-4EC5DE32692C}"/>
    <cellStyle name="Note 4 2 36 5" xfId="37130" xr:uid="{F094EEE5-38C1-4F65-BE84-6917D2251A5E}"/>
    <cellStyle name="Note 4 2 36 6" xfId="37131" xr:uid="{3D5D3FE9-2FFB-4BD8-9D0C-4D1BE6F2293C}"/>
    <cellStyle name="Note 4 2 37" xfId="37132" xr:uid="{5DAD557B-A21D-4067-99FB-04AAF2793282}"/>
    <cellStyle name="Note 4 2 4" xfId="2617" xr:uid="{DCFB12A9-2332-448A-847C-2FD8B1BCD819}"/>
    <cellStyle name="Note 4 2 4 2" xfId="10126" xr:uid="{C699C5E2-8D5E-4EFF-9D6A-4A03E7E0D753}"/>
    <cellStyle name="Note 4 2 4 2 2" xfId="37133" xr:uid="{81E64EB6-C358-41B1-98B3-BF5AD138CFB5}"/>
    <cellStyle name="Note 4 2 4 2 3" xfId="37134" xr:uid="{DBB6C714-4AD3-4403-A886-AD755589BE2E}"/>
    <cellStyle name="Note 4 2 4 2 4" xfId="37135" xr:uid="{76D15A44-C9A0-41DE-AB7B-FE7481350CE6}"/>
    <cellStyle name="Note 4 2 4 2 5" xfId="37136" xr:uid="{46ACC31F-6CBC-4B34-9B76-FC31FE6B54AF}"/>
    <cellStyle name="Note 4 2 4 2 6" xfId="37137" xr:uid="{303228F8-556A-44D0-82AA-F8DB4F498168}"/>
    <cellStyle name="Note 4 2 4 3" xfId="37138" xr:uid="{B2D062B3-D68A-4A49-B0E8-A9F59FC98361}"/>
    <cellStyle name="Note 4 2 4 4" xfId="37139" xr:uid="{AC1AD425-09E8-4D15-A069-7542A22045F3}"/>
    <cellStyle name="Note 4 2 4 5" xfId="37140" xr:uid="{AD795B07-6EBE-4828-BB2E-0BEE0ECB25CF}"/>
    <cellStyle name="Note 4 2 4 6" xfId="37141" xr:uid="{15013C0C-50EC-4964-9EB9-4B03858FEBCD}"/>
    <cellStyle name="Note 4 2 4 7" xfId="37142" xr:uid="{60A0DC17-6CD5-4CC3-9D01-1D787C9C0E32}"/>
    <cellStyle name="Note 4 2 5" xfId="2618" xr:uid="{F30148A8-2A65-4DF3-8E15-50B1B2DF197F}"/>
    <cellStyle name="Note 4 2 5 2" xfId="10216" xr:uid="{43157604-0F17-4537-B48C-E2CE0D12F7AE}"/>
    <cellStyle name="Note 4 2 5 2 2" xfId="37143" xr:uid="{C2CA810B-073F-4246-AD12-E3589E2F5D40}"/>
    <cellStyle name="Note 4 2 5 2 3" xfId="37144" xr:uid="{2E8F18CB-A663-477E-82C1-0FF1E907CAD2}"/>
    <cellStyle name="Note 4 2 5 2 4" xfId="37145" xr:uid="{F7BEE3F4-CFAD-40D0-9BA4-A03C02430493}"/>
    <cellStyle name="Note 4 2 5 2 5" xfId="37146" xr:uid="{F9B72EF0-A649-4E45-8806-4CC27DDB3D22}"/>
    <cellStyle name="Note 4 2 5 2 6" xfId="37147" xr:uid="{D56C5EAA-C966-4AC6-993B-9AE2847729DE}"/>
    <cellStyle name="Note 4 2 5 3" xfId="37148" xr:uid="{E23C91DA-0AF0-45DC-9BCE-DB9A0230456E}"/>
    <cellStyle name="Note 4 2 5 4" xfId="37149" xr:uid="{D196DDE8-7962-4BAF-8E75-88D11E36EE97}"/>
    <cellStyle name="Note 4 2 5 5" xfId="37150" xr:uid="{18BAB344-0EB1-4AE3-8152-84CBB32421D8}"/>
    <cellStyle name="Note 4 2 5 6" xfId="37151" xr:uid="{EC30517F-7529-4579-B248-99813BB835F1}"/>
    <cellStyle name="Note 4 2 5 7" xfId="37152" xr:uid="{E8C26691-C53F-45CC-8851-C785F687142C}"/>
    <cellStyle name="Note 4 2 6" xfId="2619" xr:uid="{8E99208D-B66F-42F1-8D88-1165A139A1C7}"/>
    <cellStyle name="Note 4 2 6 2" xfId="10302" xr:uid="{B2FAAB5D-5F1A-4AB3-B2B6-CE8D2703AB92}"/>
    <cellStyle name="Note 4 2 6 2 2" xfId="37153" xr:uid="{310864B6-0181-4682-8EE2-ABB38E77FAEB}"/>
    <cellStyle name="Note 4 2 6 2 3" xfId="37154" xr:uid="{1E66ED31-08A2-4CE7-8D1E-727D1E5AA7EB}"/>
    <cellStyle name="Note 4 2 6 2 4" xfId="37155" xr:uid="{FEAD5D4E-3BD1-4C3F-94FD-AC1890ABC484}"/>
    <cellStyle name="Note 4 2 6 2 5" xfId="37156" xr:uid="{8B385B68-BCBA-46A5-9199-F4F1F391576D}"/>
    <cellStyle name="Note 4 2 6 2 6" xfId="37157" xr:uid="{936C956D-BF3B-44DF-BC3B-9B86F90DB708}"/>
    <cellStyle name="Note 4 2 6 3" xfId="37158" xr:uid="{B37141E9-0918-41FC-A834-8D7A83DC749B}"/>
    <cellStyle name="Note 4 2 6 4" xfId="37159" xr:uid="{4A9BAA50-0331-4E75-A925-064F6ED37B5E}"/>
    <cellStyle name="Note 4 2 6 5" xfId="37160" xr:uid="{535651B1-BC0A-4040-A7EE-F3DD68B34382}"/>
    <cellStyle name="Note 4 2 6 6" xfId="37161" xr:uid="{0889B474-8417-44CE-B3FB-5BF43EB27DDE}"/>
    <cellStyle name="Note 4 2 6 7" xfId="37162" xr:uid="{CEDA9EE9-B166-4FE2-93E3-D5DEBA9641BF}"/>
    <cellStyle name="Note 4 2 7" xfId="2620" xr:uid="{08E45716-1CA4-4440-B690-B61079E9EE10}"/>
    <cellStyle name="Note 4 2 7 2" xfId="10390" xr:uid="{74C23E64-B70D-4FA5-94EF-CD1D36310180}"/>
    <cellStyle name="Note 4 2 7 2 2" xfId="37163" xr:uid="{06AA6D3C-65BF-42AF-831F-450B26406D52}"/>
    <cellStyle name="Note 4 2 7 2 3" xfId="37164" xr:uid="{E0693A39-3BF1-4F74-A3CD-01ADA1C341FF}"/>
    <cellStyle name="Note 4 2 7 2 4" xfId="37165" xr:uid="{25D9A04F-9FBE-4F87-A1B2-F9385D271A6B}"/>
    <cellStyle name="Note 4 2 7 2 5" xfId="37166" xr:uid="{5F99D454-413E-42A3-A48C-1F3509DFB179}"/>
    <cellStyle name="Note 4 2 7 2 6" xfId="37167" xr:uid="{BADCADAE-EF83-4EFE-924C-F1AB7028C168}"/>
    <cellStyle name="Note 4 2 7 3" xfId="37168" xr:uid="{92C8D21D-EC66-42A9-ABAC-48D2753B5067}"/>
    <cellStyle name="Note 4 2 7 4" xfId="37169" xr:uid="{DC80A866-8731-4C1C-A7F4-EFC4616670CB}"/>
    <cellStyle name="Note 4 2 7 5" xfId="37170" xr:uid="{F02B2A05-5B98-4D89-B543-8BD5DD91414C}"/>
    <cellStyle name="Note 4 2 7 6" xfId="37171" xr:uid="{77815B09-85C2-4A62-8137-09B75DD101F0}"/>
    <cellStyle name="Note 4 2 7 7" xfId="37172" xr:uid="{08D4C12D-2526-40DA-9D8B-56409BC981C9}"/>
    <cellStyle name="Note 4 2 8" xfId="2621" xr:uid="{6F8E6C5F-3E99-4F54-8630-CB6F23E9C6AD}"/>
    <cellStyle name="Note 4 2 8 2" xfId="10477" xr:uid="{F5443CB4-787F-493A-86D2-FD0A6CCB8D26}"/>
    <cellStyle name="Note 4 2 8 2 2" xfId="37173" xr:uid="{714B5E9B-3ECA-4B37-B8B7-77911C8A476B}"/>
    <cellStyle name="Note 4 2 8 2 3" xfId="37174" xr:uid="{436DD121-C691-4401-BA5C-6250ABB12A14}"/>
    <cellStyle name="Note 4 2 8 2 4" xfId="37175" xr:uid="{B59A7CCE-72B1-41B9-B806-0FB3A0357426}"/>
    <cellStyle name="Note 4 2 8 2 5" xfId="37176" xr:uid="{048C8575-3CD6-4D8E-B5A5-D1058016330B}"/>
    <cellStyle name="Note 4 2 8 2 6" xfId="37177" xr:uid="{D284B1F0-81DD-46F2-BECC-FEF774E31D77}"/>
    <cellStyle name="Note 4 2 8 3" xfId="37178" xr:uid="{21ACAC23-CF53-4535-9C7E-C18B3E081A9A}"/>
    <cellStyle name="Note 4 2 8 4" xfId="37179" xr:uid="{C563D57E-A777-48C4-9844-B83BD49D2E12}"/>
    <cellStyle name="Note 4 2 8 5" xfId="37180" xr:uid="{C09A5065-9DDA-49A3-9A22-8E2C6487F519}"/>
    <cellStyle name="Note 4 2 8 6" xfId="37181" xr:uid="{F9B14A72-854E-4CAD-907E-D4790A49D10F}"/>
    <cellStyle name="Note 4 2 8 7" xfId="37182" xr:uid="{DF971DE4-93A5-47A3-BA2C-1AAEE449223A}"/>
    <cellStyle name="Note 4 2 9" xfId="2622" xr:uid="{554F7D06-AF2F-4224-9D29-0BF0A3C99749}"/>
    <cellStyle name="Note 4 2 9 2" xfId="10565" xr:uid="{086F3B7A-86D2-4B71-BDA0-BD7E61EA528E}"/>
    <cellStyle name="Note 4 2 9 2 2" xfId="37183" xr:uid="{902EF43E-F4F0-4EC3-A162-3A3ADA8F34DB}"/>
    <cellStyle name="Note 4 2 9 2 3" xfId="37184" xr:uid="{08F51542-E1D9-423B-AB5D-E41181341673}"/>
    <cellStyle name="Note 4 2 9 2 4" xfId="37185" xr:uid="{30C71D9D-72D5-45C3-A65B-7DB79739ED08}"/>
    <cellStyle name="Note 4 2 9 2 5" xfId="37186" xr:uid="{E6FA2523-AD10-4465-87BE-1B218EBF7BAE}"/>
    <cellStyle name="Note 4 2 9 2 6" xfId="37187" xr:uid="{E4BED807-8CBB-49CB-8E2F-CC3C15ABDE46}"/>
    <cellStyle name="Note 4 2 9 3" xfId="37188" xr:uid="{0C86AC10-1854-4076-9BD2-26B03C60D71F}"/>
    <cellStyle name="Note 4 2 9 4" xfId="37189" xr:uid="{81399604-4782-4849-863F-9694ACC3748F}"/>
    <cellStyle name="Note 4 2 9 5" xfId="37190" xr:uid="{09C454E8-56FC-45CD-9005-952A9D19B354}"/>
    <cellStyle name="Note 4 2 9 6" xfId="37191" xr:uid="{146DBF70-7F6C-446C-8B8D-E665A6E1CB8A}"/>
    <cellStyle name="Note 4 2 9 7" xfId="37192" xr:uid="{6E38481A-2CE4-4786-9A6E-E1888454933C}"/>
    <cellStyle name="Note 4 20" xfId="2623" xr:uid="{009AD265-8367-4B2C-AE20-828143246DAF}"/>
    <cellStyle name="Note 4 20 2" xfId="9880" xr:uid="{25733CC5-4002-4BF3-BA64-AEFAFE896C9F}"/>
    <cellStyle name="Note 4 20 2 2" xfId="37193" xr:uid="{2B68DB4F-24E6-4D66-88E3-A8961F9296A4}"/>
    <cellStyle name="Note 4 20 2 3" xfId="37194" xr:uid="{3E6653EE-CF3A-4BF9-A1F2-6E9189B1AC6F}"/>
    <cellStyle name="Note 4 20 2 4" xfId="37195" xr:uid="{586ACCA2-03E2-409B-95F1-8F7624DBE292}"/>
    <cellStyle name="Note 4 20 2 5" xfId="37196" xr:uid="{691EBD49-A68C-42F9-B491-55A87B01CA39}"/>
    <cellStyle name="Note 4 20 2 6" xfId="37197" xr:uid="{BC13EC18-C647-43F5-8F1F-EED0C3D0FB7B}"/>
    <cellStyle name="Note 4 20 3" xfId="37198" xr:uid="{C1A8F2AD-DDB1-44CA-BDB3-7C6DC6C0D2EB}"/>
    <cellStyle name="Note 4 20 4" xfId="37199" xr:uid="{0A858CA7-7D9C-4374-A1AA-E6B9963F4DAE}"/>
    <cellStyle name="Note 4 20 5" xfId="37200" xr:uid="{CD6EA481-DAF9-4C09-A383-EE92A703651E}"/>
    <cellStyle name="Note 4 20 6" xfId="37201" xr:uid="{33D75706-D3FB-44A0-8B8B-8247736DE6F3}"/>
    <cellStyle name="Note 4 20 7" xfId="37202" xr:uid="{6F086982-9F81-41D4-95FE-3FE589E0720E}"/>
    <cellStyle name="Note 4 21" xfId="2624" xr:uid="{2F1C94A7-F868-4C90-B23B-2FFD2D5401DB}"/>
    <cellStyle name="Note 4 21 2" xfId="11132" xr:uid="{544298A4-BD64-4750-A63A-D13A7E9F19F5}"/>
    <cellStyle name="Note 4 21 2 2" xfId="37203" xr:uid="{53283B13-7814-4840-92CF-1459F3F56A95}"/>
    <cellStyle name="Note 4 21 2 3" xfId="37204" xr:uid="{2283C387-DF16-465D-ABD2-945BF5DC5B9C}"/>
    <cellStyle name="Note 4 21 2 4" xfId="37205" xr:uid="{63DEF350-D834-473C-B511-BA982445E044}"/>
    <cellStyle name="Note 4 21 2 5" xfId="37206" xr:uid="{5704DC68-E1A9-4A97-9152-500DCF174EDC}"/>
    <cellStyle name="Note 4 21 2 6" xfId="37207" xr:uid="{A4C65DFB-AD2C-4C2D-B3EC-A80445E0B86F}"/>
    <cellStyle name="Note 4 21 3" xfId="37208" xr:uid="{F673EACC-0B58-445F-9325-CAF33471E5E0}"/>
    <cellStyle name="Note 4 21 4" xfId="37209" xr:uid="{08DB1268-EC02-4C1E-B270-C7D36D76AD01}"/>
    <cellStyle name="Note 4 21 5" xfId="37210" xr:uid="{A7C0C6DC-0CCA-4E74-B0D9-8642CE777F18}"/>
    <cellStyle name="Note 4 21 6" xfId="37211" xr:uid="{F96E59D5-A276-4E85-A049-4E643241AA41}"/>
    <cellStyle name="Note 4 21 7" xfId="37212" xr:uid="{D0E0FE6E-F534-472E-8B7A-E37077BEEB3C}"/>
    <cellStyle name="Note 4 22" xfId="2625" xr:uid="{563E1DF6-5311-4AAE-8C06-FD996E00E9CC}"/>
    <cellStyle name="Note 4 22 2" xfId="11219" xr:uid="{D9B7FB5B-5EB3-47D9-9CFD-BA6BB93EA79D}"/>
    <cellStyle name="Note 4 22 2 2" xfId="37213" xr:uid="{803A4329-C4B8-43F2-9EBA-3F09CB452610}"/>
    <cellStyle name="Note 4 22 2 3" xfId="37214" xr:uid="{751C2E04-DDDB-4167-BCA7-08DC56835487}"/>
    <cellStyle name="Note 4 22 2 4" xfId="37215" xr:uid="{99EB5C41-03A5-4E13-B7DB-CA7B0214DA4B}"/>
    <cellStyle name="Note 4 22 2 5" xfId="37216" xr:uid="{C7FFA4D5-03E2-4BB1-B378-F2C8B8E9CBBC}"/>
    <cellStyle name="Note 4 22 2 6" xfId="37217" xr:uid="{91F016A9-8E86-43AC-A06D-728C1ED380D6}"/>
    <cellStyle name="Note 4 22 3" xfId="37218" xr:uid="{E910288C-79E8-449D-B5CA-FDA35E0DAF19}"/>
    <cellStyle name="Note 4 22 4" xfId="37219" xr:uid="{A3EC9ACB-EECB-4CED-89A4-8E6C11F46DCB}"/>
    <cellStyle name="Note 4 22 5" xfId="37220" xr:uid="{CA5C4856-B54E-419B-BEE9-80C0D0B323B6}"/>
    <cellStyle name="Note 4 22 6" xfId="37221" xr:uid="{279AD20F-E69B-418E-9144-3D6F0597C47C}"/>
    <cellStyle name="Note 4 22 7" xfId="37222" xr:uid="{E53540C7-BC5D-4742-BD3E-8BE9AD0FF6E9}"/>
    <cellStyle name="Note 4 23" xfId="2626" xr:uid="{89ACBB7C-4A93-4733-B1B0-3B6556E1A114}"/>
    <cellStyle name="Note 4 23 2" xfId="11043" xr:uid="{52696D93-EAF1-4395-A0E6-8490E8B9549D}"/>
    <cellStyle name="Note 4 23 2 2" xfId="37223" xr:uid="{057CE86D-A331-4487-BEFA-5F1C1069A232}"/>
    <cellStyle name="Note 4 23 2 3" xfId="37224" xr:uid="{E38E6B74-AB71-4AF9-9A04-1BFC85159057}"/>
    <cellStyle name="Note 4 23 2 4" xfId="37225" xr:uid="{70464E20-E14B-42A3-83DE-7B5F75655E87}"/>
    <cellStyle name="Note 4 23 2 5" xfId="37226" xr:uid="{7E95EF85-7310-44FF-AA7B-E96E05378699}"/>
    <cellStyle name="Note 4 23 2 6" xfId="37227" xr:uid="{BAB6CF99-8E62-4BC0-AD92-BF88BE444BC6}"/>
    <cellStyle name="Note 4 23 3" xfId="37228" xr:uid="{B71E1CDC-2A47-4C19-A075-5B5FEAF9FAA5}"/>
    <cellStyle name="Note 4 23 4" xfId="37229" xr:uid="{975F1BEB-9CD0-4A73-8112-B162466AC6E9}"/>
    <cellStyle name="Note 4 23 5" xfId="37230" xr:uid="{9686595D-F5C1-4B94-9727-E494DDE3ADC8}"/>
    <cellStyle name="Note 4 23 6" xfId="37231" xr:uid="{495C83C1-F43C-4156-9C98-B98F3ED830D7}"/>
    <cellStyle name="Note 4 23 7" xfId="37232" xr:uid="{9B67DC09-1554-45F0-8E1F-88FE384C7D73}"/>
    <cellStyle name="Note 4 24" xfId="2627" xr:uid="{D3D54386-A46E-478A-BA0C-974778874A18}"/>
    <cellStyle name="Note 4 24 2" xfId="9736" xr:uid="{139B5B5A-2243-4889-A3A1-83140C6B9E2B}"/>
    <cellStyle name="Note 4 24 2 2" xfId="37233" xr:uid="{1BB7CC91-8099-4761-8F47-AE346DAA74AB}"/>
    <cellStyle name="Note 4 24 2 3" xfId="37234" xr:uid="{2AD5ADD3-BC01-4B3F-8486-726C40B9B2A2}"/>
    <cellStyle name="Note 4 24 2 4" xfId="37235" xr:uid="{3CC36AFF-E890-4E66-9F47-D7D6151AB4C2}"/>
    <cellStyle name="Note 4 24 2 5" xfId="37236" xr:uid="{B4FC3848-F99E-4953-885D-CD7EDC52F5C7}"/>
    <cellStyle name="Note 4 24 2 6" xfId="37237" xr:uid="{28A02487-294C-472A-9164-C85B4CF0B4CD}"/>
    <cellStyle name="Note 4 24 3" xfId="37238" xr:uid="{5A89F873-29F6-4BC8-BC6A-B5AF9BEE42A0}"/>
    <cellStyle name="Note 4 24 4" xfId="37239" xr:uid="{5A06675D-EBF1-4CFF-993D-310AA1C06AD0}"/>
    <cellStyle name="Note 4 24 5" xfId="37240" xr:uid="{0F254A88-E9EC-44FD-9BD0-A96F529D99ED}"/>
    <cellStyle name="Note 4 24 6" xfId="37241" xr:uid="{7975BB1F-02FF-4779-9914-57A1AD547F6F}"/>
    <cellStyle name="Note 4 24 7" xfId="37242" xr:uid="{03ADD329-308A-43CA-BC1C-8B0AAB619546}"/>
    <cellStyle name="Note 4 25" xfId="2628" xr:uid="{D5F5496D-FF92-4332-8CC4-FE18723C0CE5}"/>
    <cellStyle name="Note 4 25 2" xfId="11304" xr:uid="{057B1C49-2D7E-4553-A176-0EAC807AF423}"/>
    <cellStyle name="Note 4 25 2 2" xfId="37243" xr:uid="{8F7ACE0B-0C14-4DA1-9760-722362776D4B}"/>
    <cellStyle name="Note 4 25 2 3" xfId="37244" xr:uid="{D034FCDB-184A-47A9-9D1F-37F64D3B8D86}"/>
    <cellStyle name="Note 4 25 2 4" xfId="37245" xr:uid="{2EB9FED0-168B-4259-BD41-A609456684D2}"/>
    <cellStyle name="Note 4 25 2 5" xfId="37246" xr:uid="{2A938608-BAA1-4CA9-8DAB-C346AB13684F}"/>
    <cellStyle name="Note 4 25 2 6" xfId="37247" xr:uid="{5CBC3473-21D7-428F-8ECC-EA0D72862465}"/>
    <cellStyle name="Note 4 25 3" xfId="37248" xr:uid="{6A41BC56-0151-400A-8ACC-C9C3C6111B61}"/>
    <cellStyle name="Note 4 25 4" xfId="37249" xr:uid="{8774E4DD-0428-4E7A-A25A-32794138E9FF}"/>
    <cellStyle name="Note 4 25 5" xfId="37250" xr:uid="{A7B52D4F-E9EB-4474-A58E-DF38CEF9BCE3}"/>
    <cellStyle name="Note 4 25 6" xfId="37251" xr:uid="{34080F81-3306-4A6B-8A34-7FDC51D3E2A7}"/>
    <cellStyle name="Note 4 25 7" xfId="37252" xr:uid="{53CBC53D-96FE-464A-A4D7-57E659C02E69}"/>
    <cellStyle name="Note 4 26" xfId="2629" xr:uid="{8758AB3C-C01D-45C3-AFF7-A0470C1E432F}"/>
    <cellStyle name="Note 4 26 2" xfId="10887" xr:uid="{F8514D67-9728-4BD9-88B3-3F9FAD14DECB}"/>
    <cellStyle name="Note 4 26 2 2" xfId="37253" xr:uid="{31EC1664-F555-44F0-A606-0F95D4B2E391}"/>
    <cellStyle name="Note 4 26 2 3" xfId="37254" xr:uid="{4C2716AF-D8E5-447B-A11F-045D10CEFC8C}"/>
    <cellStyle name="Note 4 26 2 4" xfId="37255" xr:uid="{25CBFEE3-BC9A-458F-A47D-010126A33D21}"/>
    <cellStyle name="Note 4 26 2 5" xfId="37256" xr:uid="{0B393AE4-9338-45A9-A321-AD2BCF25B131}"/>
    <cellStyle name="Note 4 26 2 6" xfId="37257" xr:uid="{04F7BC03-5A27-4206-A941-2A9EA174D628}"/>
    <cellStyle name="Note 4 26 3" xfId="37258" xr:uid="{254BC69C-BB46-45D4-82E1-981FEF9E13FD}"/>
    <cellStyle name="Note 4 26 4" xfId="37259" xr:uid="{F9D47236-E5FD-4DCD-87C1-BDC9403BF70B}"/>
    <cellStyle name="Note 4 26 5" xfId="37260" xr:uid="{900CED69-607C-4BBA-9A52-BC59511CF36C}"/>
    <cellStyle name="Note 4 26 6" xfId="37261" xr:uid="{C9419EEA-85BB-4ECE-85F4-884F9558101E}"/>
    <cellStyle name="Note 4 26 7" xfId="37262" xr:uid="{F8F991BB-752A-4EA0-B239-1D04A18DFB17}"/>
    <cellStyle name="Note 4 27" xfId="2630" xr:uid="{C6AA0D6C-2708-40EC-86F6-A614623F8C31}"/>
    <cellStyle name="Note 4 27 2" xfId="11605" xr:uid="{33A28195-47D8-467B-9E5F-3C39C9AAFEF3}"/>
    <cellStyle name="Note 4 27 2 2" xfId="37263" xr:uid="{0990291C-29B5-4911-9C5C-2EDDA67CE567}"/>
    <cellStyle name="Note 4 27 2 3" xfId="37264" xr:uid="{12ED23E8-80CE-4E82-8078-0812028F31BD}"/>
    <cellStyle name="Note 4 27 2 4" xfId="37265" xr:uid="{D709CF54-328F-4BDA-9D17-738940B1398C}"/>
    <cellStyle name="Note 4 27 2 5" xfId="37266" xr:uid="{B0A4B484-4C9E-4406-AC98-36F08DC4F8DB}"/>
    <cellStyle name="Note 4 27 2 6" xfId="37267" xr:uid="{6800F264-A44C-4130-B396-28540410B22C}"/>
    <cellStyle name="Note 4 27 3" xfId="37268" xr:uid="{A982BE70-C25A-4AB3-825B-6B048C067D98}"/>
    <cellStyle name="Note 4 27 4" xfId="37269" xr:uid="{A0396C8C-6EA7-4787-A33C-8D7A6F0763CD}"/>
    <cellStyle name="Note 4 27 5" xfId="37270" xr:uid="{53DB9C8F-E98B-44F4-A434-C6699E60BF49}"/>
    <cellStyle name="Note 4 27 6" xfId="37271" xr:uid="{A7DE5B06-39F2-4295-8644-336DDAE98CC4}"/>
    <cellStyle name="Note 4 27 7" xfId="37272" xr:uid="{D03D89C6-E3EE-4EE8-9786-5D782BA299CE}"/>
    <cellStyle name="Note 4 28" xfId="2631" xr:uid="{9AEC79E2-9B9C-47D2-9506-354BDB0457B2}"/>
    <cellStyle name="Note 4 28 2" xfId="9714" xr:uid="{15430416-3EBA-45E0-B6E5-03C827400FC6}"/>
    <cellStyle name="Note 4 28 2 2" xfId="37273" xr:uid="{116EEB84-E45A-4DB0-A46A-120F2BAEA476}"/>
    <cellStyle name="Note 4 28 2 3" xfId="37274" xr:uid="{03CDB7C5-979D-4356-B494-EDF8A1281E28}"/>
    <cellStyle name="Note 4 28 2 4" xfId="37275" xr:uid="{DF8DB479-8C74-41CC-90F4-F11538E11C55}"/>
    <cellStyle name="Note 4 28 2 5" xfId="37276" xr:uid="{E2AF1DDA-61A0-4BBD-85D0-A9DD308F5955}"/>
    <cellStyle name="Note 4 28 2 6" xfId="37277" xr:uid="{71692205-293A-40C9-9C60-8F93FD8E4F50}"/>
    <cellStyle name="Note 4 28 3" xfId="37278" xr:uid="{8EE215BA-3434-456C-A4CA-1455F652FF9C}"/>
    <cellStyle name="Note 4 28 4" xfId="37279" xr:uid="{78E6C157-6381-47F3-9F6B-879AA98C055F}"/>
    <cellStyle name="Note 4 28 5" xfId="37280" xr:uid="{4C05D7AE-26FE-44CD-965D-DC31B01CC03E}"/>
    <cellStyle name="Note 4 28 6" xfId="37281" xr:uid="{FFAE2B5D-33FF-46BD-AC8A-5AB9DC3F8F25}"/>
    <cellStyle name="Note 4 28 7" xfId="37282" xr:uid="{F2FE6D64-8F4D-433E-8A3A-991F13E6C761}"/>
    <cellStyle name="Note 4 29" xfId="2632" xr:uid="{0F163DCB-14AD-450C-A578-4979960898C0}"/>
    <cellStyle name="Note 4 29 2" xfId="11213" xr:uid="{ED09B76B-C383-4B6B-809E-00CB260CB535}"/>
    <cellStyle name="Note 4 29 2 2" xfId="37283" xr:uid="{6BABF988-431D-4186-97E9-4BD64084E79D}"/>
    <cellStyle name="Note 4 29 2 3" xfId="37284" xr:uid="{6EEAAADF-18C6-44C0-BBAE-1F822EF990F0}"/>
    <cellStyle name="Note 4 29 2 4" xfId="37285" xr:uid="{1D4B26C2-7F91-4F1A-BA2E-CD8A66C528F0}"/>
    <cellStyle name="Note 4 29 2 5" xfId="37286" xr:uid="{6C446C33-BBB7-4A60-AD10-1B892F005EB6}"/>
    <cellStyle name="Note 4 29 2 6" xfId="37287" xr:uid="{3D09B350-51FA-417B-812B-7BDFFE62EF90}"/>
    <cellStyle name="Note 4 29 3" xfId="37288" xr:uid="{FF4CAA2B-1971-437F-A99A-EE3E5370C8F7}"/>
    <cellStyle name="Note 4 29 4" xfId="37289" xr:uid="{8479C991-A6D3-4A4E-A77D-7A5A34DEB215}"/>
    <cellStyle name="Note 4 29 5" xfId="37290" xr:uid="{D2ED0BB3-C749-4F61-B528-7DB65EE80239}"/>
    <cellStyle name="Note 4 29 6" xfId="37291" xr:uid="{9FF7E2DA-3504-4FCE-85CF-F2DD83CAFB7F}"/>
    <cellStyle name="Note 4 29 7" xfId="37292" xr:uid="{3789C5CE-8A6B-4441-A741-626955C6A837}"/>
    <cellStyle name="Note 4 3" xfId="2633" xr:uid="{7DC237DA-B0AA-4E64-9ECC-6671B1361EB1}"/>
    <cellStyle name="Note 4 3 10" xfId="2634" xr:uid="{ACE9D462-010F-433E-A2AD-1C184C89F840}"/>
    <cellStyle name="Note 4 3 10 2" xfId="10631" xr:uid="{4B032F0F-D668-41B9-B438-5B2111DC5D15}"/>
    <cellStyle name="Note 4 3 10 2 2" xfId="37293" xr:uid="{0E1E0196-02BA-46E8-A793-99F2FFDC2962}"/>
    <cellStyle name="Note 4 3 10 2 3" xfId="37294" xr:uid="{19A69F7A-80C7-43BF-B8B4-3C1B8B2D7EA1}"/>
    <cellStyle name="Note 4 3 10 2 4" xfId="37295" xr:uid="{458AACC3-1306-46FB-A1ED-7ED66E9FEAAD}"/>
    <cellStyle name="Note 4 3 10 2 5" xfId="37296" xr:uid="{9635CBE7-6BEF-4429-949B-8A55F3F906EA}"/>
    <cellStyle name="Note 4 3 10 2 6" xfId="37297" xr:uid="{F966E206-5983-4EFF-9AFD-153797CE0450}"/>
    <cellStyle name="Note 4 3 10 3" xfId="37298" xr:uid="{437164F8-FE78-49A4-A66F-44754C854015}"/>
    <cellStyle name="Note 4 3 10 4" xfId="37299" xr:uid="{7A9DE411-7108-4D31-80DA-F6A4A36CC8F9}"/>
    <cellStyle name="Note 4 3 10 5" xfId="37300" xr:uid="{8E40D213-F5CD-4568-91FF-760DD6AD8E75}"/>
    <cellStyle name="Note 4 3 10 6" xfId="37301" xr:uid="{8C8136F8-7892-4728-BB39-0B674DE4764D}"/>
    <cellStyle name="Note 4 3 10 7" xfId="37302" xr:uid="{E245BAD4-F5D3-48D3-A36F-014ADC419D54}"/>
    <cellStyle name="Note 4 3 11" xfId="2635" xr:uid="{54DF4547-AEB0-4094-9834-20D9033B887C}"/>
    <cellStyle name="Note 4 3 11 2" xfId="10722" xr:uid="{FEDFB931-7249-4359-B1A4-65DEEE0F3F21}"/>
    <cellStyle name="Note 4 3 11 2 2" xfId="37303" xr:uid="{4DD91451-C446-4F08-97BB-61E568D064D7}"/>
    <cellStyle name="Note 4 3 11 2 3" xfId="37304" xr:uid="{641B779B-1265-49C6-837D-129DB1CBA177}"/>
    <cellStyle name="Note 4 3 11 2 4" xfId="37305" xr:uid="{8033223B-B592-454A-95FB-E8DB881C8C0B}"/>
    <cellStyle name="Note 4 3 11 2 5" xfId="37306" xr:uid="{F907C473-04D0-47F7-AE30-1A388F9261D2}"/>
    <cellStyle name="Note 4 3 11 2 6" xfId="37307" xr:uid="{A8A5DF4E-25FB-4EF7-973A-FC47AE2C2039}"/>
    <cellStyle name="Note 4 3 11 3" xfId="37308" xr:uid="{7BF04ECC-62DA-43D3-B157-42A9E75C6523}"/>
    <cellStyle name="Note 4 3 11 4" xfId="37309" xr:uid="{A7F03443-098D-4491-B9D3-6E7866C03F6B}"/>
    <cellStyle name="Note 4 3 11 5" xfId="37310" xr:uid="{75E1EFBE-C0FE-4987-813A-046FB0CD3E16}"/>
    <cellStyle name="Note 4 3 11 6" xfId="37311" xr:uid="{1A1B1808-DA48-4B88-87B0-DC747ED66266}"/>
    <cellStyle name="Note 4 3 11 7" xfId="37312" xr:uid="{C2C85EE0-9A22-4018-8ED7-5FF5EC4C0200}"/>
    <cellStyle name="Note 4 3 12" xfId="2636" xr:uid="{5B87028B-890F-422C-8362-705FF8BF3D54}"/>
    <cellStyle name="Note 4 3 12 2" xfId="10810" xr:uid="{5B9D59CD-3E08-487D-839A-0B0F47972980}"/>
    <cellStyle name="Note 4 3 12 2 2" xfId="37313" xr:uid="{63A8443A-B37D-4310-82F7-60AEDE219BAD}"/>
    <cellStyle name="Note 4 3 12 2 3" xfId="37314" xr:uid="{4BA16641-AAD0-4648-8BB6-6A6E2024C6B9}"/>
    <cellStyle name="Note 4 3 12 2 4" xfId="37315" xr:uid="{CC0C8BB3-817E-4A79-B60E-F632E42BBA54}"/>
    <cellStyle name="Note 4 3 12 2 5" xfId="37316" xr:uid="{11940474-7254-4182-BA3B-DF7884B4221C}"/>
    <cellStyle name="Note 4 3 12 2 6" xfId="37317" xr:uid="{6628F4FA-FD29-4254-81D4-DDA94978A410}"/>
    <cellStyle name="Note 4 3 12 3" xfId="37318" xr:uid="{AB35BCEA-1AC7-4BFE-8F9B-4F5313C9B532}"/>
    <cellStyle name="Note 4 3 12 4" xfId="37319" xr:uid="{98B44387-B317-4B59-BB89-0D9AA7B4CC98}"/>
    <cellStyle name="Note 4 3 12 5" xfId="37320" xr:uid="{2B0A2FAF-1975-4045-9DA6-4D8EE5E330FC}"/>
    <cellStyle name="Note 4 3 12 6" xfId="37321" xr:uid="{02882758-9DDC-416B-A32C-CEFCC99A7B47}"/>
    <cellStyle name="Note 4 3 12 7" xfId="37322" xr:uid="{77E56F9E-F032-4BE2-A125-909A587A96C1}"/>
    <cellStyle name="Note 4 3 13" xfId="2637" xr:uid="{34D93596-A4CA-41CD-B43A-FBC7D03FEB2D}"/>
    <cellStyle name="Note 4 3 13 2" xfId="10899" xr:uid="{7A3C9BF2-7583-47B5-8077-1EA2920CA2D0}"/>
    <cellStyle name="Note 4 3 13 2 2" xfId="37323" xr:uid="{73E5E673-4F59-42CE-9C97-3A04EBAD72F3}"/>
    <cellStyle name="Note 4 3 13 2 3" xfId="37324" xr:uid="{611FA861-6615-460D-9C8A-5A4D2D1243A7}"/>
    <cellStyle name="Note 4 3 13 2 4" xfId="37325" xr:uid="{EEBF7BD7-B410-432C-BD4A-1AE6C12DBC08}"/>
    <cellStyle name="Note 4 3 13 2 5" xfId="37326" xr:uid="{C709258E-7580-4CA7-A5E4-AB82427EA988}"/>
    <cellStyle name="Note 4 3 13 2 6" xfId="37327" xr:uid="{2FAFA39F-2D84-4D3B-A0C5-4587318AECBD}"/>
    <cellStyle name="Note 4 3 13 3" xfId="37328" xr:uid="{E8D957BF-9BB4-4327-BA20-70706521B7E0}"/>
    <cellStyle name="Note 4 3 13 4" xfId="37329" xr:uid="{CED9CCA3-3E29-44DA-9A9E-F5928206BB6C}"/>
    <cellStyle name="Note 4 3 13 5" xfId="37330" xr:uid="{5140E7D9-691B-4DEC-B70D-55AF721CD5AD}"/>
    <cellStyle name="Note 4 3 13 6" xfId="37331" xr:uid="{1A6ED73D-3D3D-436E-B774-FD9AB19AE6F3}"/>
    <cellStyle name="Note 4 3 13 7" xfId="37332" xr:uid="{5CEE1E32-B094-411F-8F30-071A7B3C2E7B}"/>
    <cellStyle name="Note 4 3 14" xfId="2638" xr:uid="{D7734BC5-72CB-4876-A4C3-D38ABA38BF6E}"/>
    <cellStyle name="Note 4 3 14 2" xfId="10989" xr:uid="{30D3E27E-1D7D-487B-A521-18ED532BBAB6}"/>
    <cellStyle name="Note 4 3 14 2 2" xfId="37333" xr:uid="{BD64B3C0-3E6D-4773-94D2-125B1A6935C6}"/>
    <cellStyle name="Note 4 3 14 2 3" xfId="37334" xr:uid="{29187026-EDDA-437F-AC81-3729A4653438}"/>
    <cellStyle name="Note 4 3 14 2 4" xfId="37335" xr:uid="{2566751B-33E8-4550-B394-18DFCCB77881}"/>
    <cellStyle name="Note 4 3 14 2 5" xfId="37336" xr:uid="{D8C84340-2CB7-46D1-B7D5-70B4B430AC3A}"/>
    <cellStyle name="Note 4 3 14 2 6" xfId="37337" xr:uid="{8E31125A-2337-4043-A5B8-211711A8204E}"/>
    <cellStyle name="Note 4 3 14 3" xfId="37338" xr:uid="{DDF2C15E-4360-435B-9348-921644C38558}"/>
    <cellStyle name="Note 4 3 14 4" xfId="37339" xr:uid="{AE287EBF-CB62-4B39-A069-BE225529DFDE}"/>
    <cellStyle name="Note 4 3 14 5" xfId="37340" xr:uid="{6C48664F-E261-4FB5-A4EC-20142A57A1BE}"/>
    <cellStyle name="Note 4 3 14 6" xfId="37341" xr:uid="{547B98EE-BE98-4CAF-9F32-0AF1EEED6B75}"/>
    <cellStyle name="Note 4 3 14 7" xfId="37342" xr:uid="{04AC25BE-7A95-4BB2-8460-C3860173130B}"/>
    <cellStyle name="Note 4 3 15" xfId="2639" xr:uid="{B6A81F80-5DD4-47DB-AB6A-9B64BABFD691}"/>
    <cellStyle name="Note 4 3 15 2" xfId="11080" xr:uid="{2FBBBCB6-4640-482B-A7F9-0722532CBB1C}"/>
    <cellStyle name="Note 4 3 15 2 2" xfId="37343" xr:uid="{002E00BB-E930-4DBE-992F-FE410C5443FD}"/>
    <cellStyle name="Note 4 3 15 2 3" xfId="37344" xr:uid="{5F1BD327-8394-4A55-BA53-21A47C6F15FF}"/>
    <cellStyle name="Note 4 3 15 2 4" xfId="37345" xr:uid="{7E9A6920-29F4-4299-B9ED-8F9BCF77BEFB}"/>
    <cellStyle name="Note 4 3 15 2 5" xfId="37346" xr:uid="{8B43FBF7-890A-418D-BC88-3D289DC7917D}"/>
    <cellStyle name="Note 4 3 15 2 6" xfId="37347" xr:uid="{1845FF6B-3C0C-4112-92D6-990F32A80AD7}"/>
    <cellStyle name="Note 4 3 15 3" xfId="37348" xr:uid="{3C765A55-704E-4000-8D72-DE2B611D8DB4}"/>
    <cellStyle name="Note 4 3 15 4" xfId="37349" xr:uid="{7A1C4A4C-A3FC-48E2-8443-C8441F93945B}"/>
    <cellStyle name="Note 4 3 15 5" xfId="37350" xr:uid="{4C821A7B-B8AC-4185-9980-C9F376A94073}"/>
    <cellStyle name="Note 4 3 15 6" xfId="37351" xr:uid="{AEB34E5E-E193-4053-A2A3-A259F5626C40}"/>
    <cellStyle name="Note 4 3 15 7" xfId="37352" xr:uid="{E1E2B69D-0C49-41E8-8513-5C185116BC33}"/>
    <cellStyle name="Note 4 3 16" xfId="2640" xr:uid="{526388E4-FA9B-404F-B1A0-0C7B7A13668B}"/>
    <cellStyle name="Note 4 3 16 2" xfId="11163" xr:uid="{77643D8A-6E5E-4A47-AE5D-7C756ADC212A}"/>
    <cellStyle name="Note 4 3 16 2 2" xfId="37353" xr:uid="{CADD95DD-3076-4870-B7C9-6C4262FED59A}"/>
    <cellStyle name="Note 4 3 16 2 3" xfId="37354" xr:uid="{81BF32A9-2AAE-4536-B1E1-FC15FAB220F1}"/>
    <cellStyle name="Note 4 3 16 2 4" xfId="37355" xr:uid="{AE38241E-43AB-4006-AC2A-018D8456A191}"/>
    <cellStyle name="Note 4 3 16 2 5" xfId="37356" xr:uid="{B2E0FF6A-7E1E-4B45-82C7-7AC137B600CF}"/>
    <cellStyle name="Note 4 3 16 2 6" xfId="37357" xr:uid="{BA5B128A-A237-49B1-8D14-38DF42616D25}"/>
    <cellStyle name="Note 4 3 16 3" xfId="37358" xr:uid="{C974D99F-83DA-48BC-9A4D-BE049D8DB803}"/>
    <cellStyle name="Note 4 3 16 4" xfId="37359" xr:uid="{F9472162-55AE-498F-A569-EE028FC61C93}"/>
    <cellStyle name="Note 4 3 16 5" xfId="37360" xr:uid="{4C49C00A-B7F7-4494-A4F4-32FA680AE885}"/>
    <cellStyle name="Note 4 3 16 6" xfId="37361" xr:uid="{71B9BADD-42A7-49DA-A57D-2A379E2825B2}"/>
    <cellStyle name="Note 4 3 16 7" xfId="37362" xr:uid="{241DBE00-50C9-42F6-A824-2BE8AAFF2677}"/>
    <cellStyle name="Note 4 3 17" xfId="2641" xr:uid="{559EF773-4E89-448F-A785-AA74C4177554}"/>
    <cellStyle name="Note 4 3 17 2" xfId="11253" xr:uid="{A2EC1970-51BA-4C9A-8C4C-0A6F0EFD7773}"/>
    <cellStyle name="Note 4 3 17 2 2" xfId="37363" xr:uid="{6ED809BB-0E78-495B-935F-F3524021DF3B}"/>
    <cellStyle name="Note 4 3 17 2 3" xfId="37364" xr:uid="{F29CAF96-24C1-4658-9AFA-8AD1C39B28E4}"/>
    <cellStyle name="Note 4 3 17 2 4" xfId="37365" xr:uid="{2B0D4558-7376-4EF9-A945-C79EA3DB1338}"/>
    <cellStyle name="Note 4 3 17 2 5" xfId="37366" xr:uid="{33F7AB7F-460D-4CBB-AAB7-C5104A428046}"/>
    <cellStyle name="Note 4 3 17 2 6" xfId="37367" xr:uid="{08C7A6EA-A424-4E99-9601-DA7C02A4697E}"/>
    <cellStyle name="Note 4 3 17 3" xfId="37368" xr:uid="{BC89889F-20A4-42D7-B2B9-3070ED6BAA58}"/>
    <cellStyle name="Note 4 3 17 4" xfId="37369" xr:uid="{13A1C8D9-F0B7-4D08-912E-8A4183EF9D5F}"/>
    <cellStyle name="Note 4 3 17 5" xfId="37370" xr:uid="{D51C04F0-45B0-4E28-B171-8D3FC79E1B0D}"/>
    <cellStyle name="Note 4 3 17 6" xfId="37371" xr:uid="{3AC79526-EEC9-4DB2-B612-74F3749A3CBA}"/>
    <cellStyle name="Note 4 3 17 7" xfId="37372" xr:uid="{989AD06A-11C2-4298-8929-478062D04911}"/>
    <cellStyle name="Note 4 3 18" xfId="2642" xr:uid="{0E64E9D8-D93F-4D44-A725-CBEB062A0935}"/>
    <cellStyle name="Note 4 3 18 2" xfId="11339" xr:uid="{1D4485DD-6EEA-4CC0-AA49-A9C844BB51BA}"/>
    <cellStyle name="Note 4 3 18 2 2" xfId="37373" xr:uid="{7CC5E10F-9F17-4D3D-A53B-838F34A9637F}"/>
    <cellStyle name="Note 4 3 18 2 3" xfId="37374" xr:uid="{C6CFD5DB-4F94-418E-85D8-23BCA19632F5}"/>
    <cellStyle name="Note 4 3 18 2 4" xfId="37375" xr:uid="{6B678BC5-471A-4FA4-B963-9CAE5B965E16}"/>
    <cellStyle name="Note 4 3 18 2 5" xfId="37376" xr:uid="{6C629159-8669-4311-B0B3-00F064E22FC5}"/>
    <cellStyle name="Note 4 3 18 2 6" xfId="37377" xr:uid="{20658EDC-2905-47C2-AE0B-E446FF633817}"/>
    <cellStyle name="Note 4 3 18 3" xfId="37378" xr:uid="{A0AC35B5-0E92-4645-8158-57609880BBEE}"/>
    <cellStyle name="Note 4 3 18 4" xfId="37379" xr:uid="{B95E4282-15E9-4469-BB3C-CF1E95894429}"/>
    <cellStyle name="Note 4 3 18 5" xfId="37380" xr:uid="{E9E54776-7ABE-44BC-B8C7-0247B30E8368}"/>
    <cellStyle name="Note 4 3 18 6" xfId="37381" xr:uid="{BA5DABC4-663E-490C-9441-28A65EEB4CC9}"/>
    <cellStyle name="Note 4 3 18 7" xfId="37382" xr:uid="{2051F112-AA8F-4B84-A938-AF8F29766F72}"/>
    <cellStyle name="Note 4 3 19" xfId="2643" xr:uid="{EFCCECCF-12A3-4846-8A67-0B84F77C4D0C}"/>
    <cellStyle name="Note 4 3 19 2" xfId="11425" xr:uid="{B88899AC-8120-4432-B37A-D5B2C3041F6F}"/>
    <cellStyle name="Note 4 3 19 2 2" xfId="37383" xr:uid="{D8111A4F-EA26-45C6-96BA-9DAC3490C42A}"/>
    <cellStyle name="Note 4 3 19 2 3" xfId="37384" xr:uid="{37796365-7D7C-4084-8FAD-17627D2B2E5A}"/>
    <cellStyle name="Note 4 3 19 2 4" xfId="37385" xr:uid="{A04485C3-02FD-47FB-8C43-786728708EB8}"/>
    <cellStyle name="Note 4 3 19 2 5" xfId="37386" xr:uid="{2CBCD5CB-DD46-4D4D-AFD9-45CE6BE2876A}"/>
    <cellStyle name="Note 4 3 19 2 6" xfId="37387" xr:uid="{153E25B7-B5B1-4A38-9321-A2B2C8256941}"/>
    <cellStyle name="Note 4 3 19 3" xfId="37388" xr:uid="{ED410722-0827-459D-B325-9A965638617B}"/>
    <cellStyle name="Note 4 3 19 4" xfId="37389" xr:uid="{354B7765-E33E-4AE0-8F45-861924AB0BF6}"/>
    <cellStyle name="Note 4 3 19 5" xfId="37390" xr:uid="{BF9BE948-81D5-4851-8BB0-F24466FFDB50}"/>
    <cellStyle name="Note 4 3 19 6" xfId="37391" xr:uid="{0A16A34B-6B5A-442A-890F-05D892FF398D}"/>
    <cellStyle name="Note 4 3 19 7" xfId="37392" xr:uid="{79330B32-B46C-4BFA-A14E-85B3F99092BF}"/>
    <cellStyle name="Note 4 3 2" xfId="2644" xr:uid="{F991E0AB-FBB1-4654-AB5F-A94D9A58B7A7}"/>
    <cellStyle name="Note 4 3 2 10" xfId="2645" xr:uid="{7C910A80-B95B-45AC-8232-FC5763B07334}"/>
    <cellStyle name="Note 4 3 2 10 2" xfId="10756" xr:uid="{76FA298E-1193-4CA8-9727-09E24ABDEDCB}"/>
    <cellStyle name="Note 4 3 2 10 2 2" xfId="37393" xr:uid="{BA0575B8-2EE8-4CF4-AE50-F56B54075794}"/>
    <cellStyle name="Note 4 3 2 10 2 3" xfId="37394" xr:uid="{323989BD-158C-4152-8C20-09887978960D}"/>
    <cellStyle name="Note 4 3 2 10 2 4" xfId="37395" xr:uid="{ACB097A1-F1D7-48D0-831A-194D8C51D9A8}"/>
    <cellStyle name="Note 4 3 2 10 2 5" xfId="37396" xr:uid="{B5E63A1D-85A4-4E01-886D-79F8D566583D}"/>
    <cellStyle name="Note 4 3 2 10 2 6" xfId="37397" xr:uid="{2EA1CEA5-FC37-4C97-8274-F0F02513E358}"/>
    <cellStyle name="Note 4 3 2 10 3" xfId="37398" xr:uid="{275C46CE-3CDC-4132-958B-9F7D1C09D96A}"/>
    <cellStyle name="Note 4 3 2 10 4" xfId="37399" xr:uid="{C2B31CC7-5A46-4426-AB00-748A864D6A64}"/>
    <cellStyle name="Note 4 3 2 10 5" xfId="37400" xr:uid="{5597BBF3-7BA1-4530-80F5-A6BFA418AC62}"/>
    <cellStyle name="Note 4 3 2 10 6" xfId="37401" xr:uid="{3CE9F6CA-0781-4028-B486-7EFE7D165426}"/>
    <cellStyle name="Note 4 3 2 10 7" xfId="37402" xr:uid="{07AD940F-9D72-441B-9C87-62E73B7C021C}"/>
    <cellStyle name="Note 4 3 2 11" xfId="2646" xr:uid="{A51467E3-FF98-47BB-A141-E43267425260}"/>
    <cellStyle name="Note 4 3 2 11 2" xfId="10844" xr:uid="{E288D11E-0894-4C46-B4FB-8BB4E7446F90}"/>
    <cellStyle name="Note 4 3 2 11 2 2" xfId="37403" xr:uid="{CAFFB925-6550-4191-8AD8-EC5C10D684D1}"/>
    <cellStyle name="Note 4 3 2 11 2 3" xfId="37404" xr:uid="{4B635E84-DBCA-4BCC-8B24-A2295A134796}"/>
    <cellStyle name="Note 4 3 2 11 2 4" xfId="37405" xr:uid="{D3DBEF2A-529E-4A26-BB38-65A925DDC711}"/>
    <cellStyle name="Note 4 3 2 11 2 5" xfId="37406" xr:uid="{19222E72-A60C-4347-A4C9-2100234DCA82}"/>
    <cellStyle name="Note 4 3 2 11 2 6" xfId="37407" xr:uid="{4952015A-6DF5-41AA-9417-E6DCEEF3C1D5}"/>
    <cellStyle name="Note 4 3 2 11 3" xfId="37408" xr:uid="{CAA289CB-ADEB-4B73-8AAA-ADFBA44780BF}"/>
    <cellStyle name="Note 4 3 2 11 4" xfId="37409" xr:uid="{C618C74A-37E6-42B3-9C74-95E2B7F2388E}"/>
    <cellStyle name="Note 4 3 2 11 5" xfId="37410" xr:uid="{BCEE488B-7922-4B1C-AE58-749A6500ECEA}"/>
    <cellStyle name="Note 4 3 2 11 6" xfId="37411" xr:uid="{BF116AFE-2DB9-415A-B83F-321448D44CCA}"/>
    <cellStyle name="Note 4 3 2 11 7" xfId="37412" xr:uid="{8EFE8BEE-BF1F-4BBB-9CE1-5DAD64BF4EB4}"/>
    <cellStyle name="Note 4 3 2 12" xfId="2647" xr:uid="{ED97A86F-39EA-4956-AAE4-25F12CDE1DB9}"/>
    <cellStyle name="Note 4 3 2 12 2" xfId="10933" xr:uid="{3678699F-D1EE-413D-8A1D-981E941A4276}"/>
    <cellStyle name="Note 4 3 2 12 2 2" xfId="37413" xr:uid="{93D8B959-65BA-4C9E-90B6-445A182CF335}"/>
    <cellStyle name="Note 4 3 2 12 2 3" xfId="37414" xr:uid="{F7453AAA-7369-4583-9582-4E225E2E0A6B}"/>
    <cellStyle name="Note 4 3 2 12 2 4" xfId="37415" xr:uid="{F6E3FA24-A57B-46F6-96D0-25B2D5C1B8B1}"/>
    <cellStyle name="Note 4 3 2 12 2 5" xfId="37416" xr:uid="{FC083E4D-81BF-4FA5-B576-5E7507FAFEAF}"/>
    <cellStyle name="Note 4 3 2 12 2 6" xfId="37417" xr:uid="{484C6E70-46AD-41CE-A7DD-72F0A759637E}"/>
    <cellStyle name="Note 4 3 2 12 3" xfId="37418" xr:uid="{88C87B0B-67F9-44AE-8830-7687D11AF368}"/>
    <cellStyle name="Note 4 3 2 12 4" xfId="37419" xr:uid="{8D196A19-F494-4952-888E-E783FFAF69E7}"/>
    <cellStyle name="Note 4 3 2 12 5" xfId="37420" xr:uid="{EB8E4156-E3C1-4AB3-AF51-2772FB22F695}"/>
    <cellStyle name="Note 4 3 2 12 6" xfId="37421" xr:uid="{98CA9520-4B8F-42A4-929D-7E76E64FAFCC}"/>
    <cellStyle name="Note 4 3 2 12 7" xfId="37422" xr:uid="{2363AC24-B90A-4C52-A733-5586AFCFC1E1}"/>
    <cellStyle name="Note 4 3 2 13" xfId="2648" xr:uid="{66C44EB3-D405-48D6-8706-C994A93B41F0}"/>
    <cellStyle name="Note 4 3 2 13 2" xfId="11023" xr:uid="{EF051D8B-32EE-46CC-9A72-2BEDACF51309}"/>
    <cellStyle name="Note 4 3 2 13 2 2" xfId="37423" xr:uid="{A6FEA1F5-C9AC-48EF-9E41-706F8054F549}"/>
    <cellStyle name="Note 4 3 2 13 2 3" xfId="37424" xr:uid="{D3221E5A-FEA8-4D97-A2FE-59649AE91CA1}"/>
    <cellStyle name="Note 4 3 2 13 2 4" xfId="37425" xr:uid="{00CD564E-3E2F-4346-9855-1913B1323C22}"/>
    <cellStyle name="Note 4 3 2 13 2 5" xfId="37426" xr:uid="{144CC221-18BC-4D7A-B918-6D4D675B656B}"/>
    <cellStyle name="Note 4 3 2 13 2 6" xfId="37427" xr:uid="{422879AB-EA44-4E61-B0D0-5B60A95E892B}"/>
    <cellStyle name="Note 4 3 2 13 3" xfId="37428" xr:uid="{08594283-10DB-4FC7-ADD4-3EFA9B9EBC80}"/>
    <cellStyle name="Note 4 3 2 13 4" xfId="37429" xr:uid="{F4AEADF7-B624-4360-B090-9A1C398AD5C8}"/>
    <cellStyle name="Note 4 3 2 13 5" xfId="37430" xr:uid="{799F5021-C110-4303-8745-C22BFB605E6E}"/>
    <cellStyle name="Note 4 3 2 13 6" xfId="37431" xr:uid="{7B99415C-44CC-45F4-AB36-A39A165FF2A0}"/>
    <cellStyle name="Note 4 3 2 13 7" xfId="37432" xr:uid="{80586CA7-15D4-4AC2-BD03-148BAC5C9F79}"/>
    <cellStyle name="Note 4 3 2 14" xfId="2649" xr:uid="{29BDF3E7-FC53-4B1B-90F6-CFD6B97E62C9}"/>
    <cellStyle name="Note 4 3 2 14 2" xfId="11113" xr:uid="{F9343F5E-E7E0-43A2-8BFD-D3C170F39EAA}"/>
    <cellStyle name="Note 4 3 2 14 2 2" xfId="37433" xr:uid="{DCB33634-2BBA-42D7-B72D-BC3937E7C226}"/>
    <cellStyle name="Note 4 3 2 14 2 3" xfId="37434" xr:uid="{3B6E2926-5E6F-4D57-B9AB-80E91F2E8CF6}"/>
    <cellStyle name="Note 4 3 2 14 2 4" xfId="37435" xr:uid="{1595416F-9E50-4F24-B381-239A780A3801}"/>
    <cellStyle name="Note 4 3 2 14 2 5" xfId="37436" xr:uid="{5674BE5C-CCF2-4EB1-BCB6-B0818AB6F684}"/>
    <cellStyle name="Note 4 3 2 14 2 6" xfId="37437" xr:uid="{28492F00-014B-4262-9745-11EBA5CDA6FB}"/>
    <cellStyle name="Note 4 3 2 14 3" xfId="37438" xr:uid="{8B9651E3-49D6-4841-8FE8-8082CB7370EC}"/>
    <cellStyle name="Note 4 3 2 14 4" xfId="37439" xr:uid="{A68D328B-35F1-422F-A6A1-2BFCF427DDEB}"/>
    <cellStyle name="Note 4 3 2 14 5" xfId="37440" xr:uid="{DFF557E6-A40E-46C8-84A7-E6280AF72BAD}"/>
    <cellStyle name="Note 4 3 2 14 6" xfId="37441" xr:uid="{27925AC2-26A9-47AB-83CC-82631739058C}"/>
    <cellStyle name="Note 4 3 2 14 7" xfId="37442" xr:uid="{75F50B82-8D8B-4545-8AD2-3A734D9DD438}"/>
    <cellStyle name="Note 4 3 2 15" xfId="2650" xr:uid="{567E148E-3BDF-42B9-B713-BC07B86C9D3B}"/>
    <cellStyle name="Note 4 3 2 15 2" xfId="11196" xr:uid="{6FE495FF-B3B8-4EB6-84B1-5D0FA7269524}"/>
    <cellStyle name="Note 4 3 2 15 2 2" xfId="37443" xr:uid="{C001AC5B-F276-4A01-8A60-7AEAA6F907F1}"/>
    <cellStyle name="Note 4 3 2 15 2 3" xfId="37444" xr:uid="{167CD4BA-14E4-4C38-917E-648B0216A731}"/>
    <cellStyle name="Note 4 3 2 15 2 4" xfId="37445" xr:uid="{8A49554E-06C9-4E31-B0E3-4EED3510F2A4}"/>
    <cellStyle name="Note 4 3 2 15 2 5" xfId="37446" xr:uid="{916A25F0-7885-4A5E-8472-7F52CC0165C0}"/>
    <cellStyle name="Note 4 3 2 15 2 6" xfId="37447" xr:uid="{305AD19D-9D8A-46E2-81FE-12758302389E}"/>
    <cellStyle name="Note 4 3 2 15 3" xfId="37448" xr:uid="{A69E3523-1A60-4F10-83DE-69AFC6CD7436}"/>
    <cellStyle name="Note 4 3 2 15 4" xfId="37449" xr:uid="{9BD5CAED-5C04-4D82-B0EA-37BA73AC48C2}"/>
    <cellStyle name="Note 4 3 2 15 5" xfId="37450" xr:uid="{F6B70F35-D1A6-4EDF-B5E4-E553A588DC55}"/>
    <cellStyle name="Note 4 3 2 15 6" xfId="37451" xr:uid="{CC6F89F6-CEAC-49A6-B291-D4AEFB948AA5}"/>
    <cellStyle name="Note 4 3 2 15 7" xfId="37452" xr:uid="{E43D0786-2E0B-4D14-A2A9-FF3553925863}"/>
    <cellStyle name="Note 4 3 2 16" xfId="2651" xr:uid="{9AE471FC-D86D-4429-A4CF-B1B366B5A394}"/>
    <cellStyle name="Note 4 3 2 16 2" xfId="11286" xr:uid="{F7C59AEA-A955-41A3-9F28-7421ED8BB9C2}"/>
    <cellStyle name="Note 4 3 2 16 2 2" xfId="37453" xr:uid="{D7A720AC-C64D-443B-88EF-D694E20B8A94}"/>
    <cellStyle name="Note 4 3 2 16 2 3" xfId="37454" xr:uid="{C7E9D5B5-FB2E-4569-9C37-20F8B2EB5F9A}"/>
    <cellStyle name="Note 4 3 2 16 2 4" xfId="37455" xr:uid="{98E3B2CC-0A07-40EB-9CBB-326372747EBF}"/>
    <cellStyle name="Note 4 3 2 16 2 5" xfId="37456" xr:uid="{8D2FAB77-2A26-4C26-8C60-4EDC60C60A06}"/>
    <cellStyle name="Note 4 3 2 16 2 6" xfId="37457" xr:uid="{BDE3AC38-616B-4A91-93E0-1D7BD3EE73C9}"/>
    <cellStyle name="Note 4 3 2 16 3" xfId="37458" xr:uid="{87129B0D-1B66-4F16-9B17-1D5C9A74DE72}"/>
    <cellStyle name="Note 4 3 2 16 4" xfId="37459" xr:uid="{84A9E43E-DAEE-4772-A1D7-3D0936CF7ECB}"/>
    <cellStyle name="Note 4 3 2 16 5" xfId="37460" xr:uid="{9D5B4393-41C4-44A3-9FBD-23F9F23BC3E9}"/>
    <cellStyle name="Note 4 3 2 16 6" xfId="37461" xr:uid="{F3EFCE1C-6269-4B1D-829F-C9B5F9C33C25}"/>
    <cellStyle name="Note 4 3 2 16 7" xfId="37462" xr:uid="{BAF7BCCB-2D90-473E-968E-909175F98DA2}"/>
    <cellStyle name="Note 4 3 2 17" xfId="2652" xr:uid="{05458FBC-7071-47B3-9E69-67C8EBCF497D}"/>
    <cellStyle name="Note 4 3 2 17 2" xfId="11372" xr:uid="{C8C872A1-5E26-42BA-AD8C-8ECC223BEB41}"/>
    <cellStyle name="Note 4 3 2 17 2 2" xfId="37463" xr:uid="{FE30568A-E0C6-4846-84F5-AE2525FB1F17}"/>
    <cellStyle name="Note 4 3 2 17 2 3" xfId="37464" xr:uid="{73AAF4BB-8D39-4A12-9330-4AAD0FF55BE2}"/>
    <cellStyle name="Note 4 3 2 17 2 4" xfId="37465" xr:uid="{8C9F0D7E-B06E-4059-B0D8-0BBD48D4782D}"/>
    <cellStyle name="Note 4 3 2 17 2 5" xfId="37466" xr:uid="{69D29AC2-955D-4E21-9C7D-F2BEFD5F3956}"/>
    <cellStyle name="Note 4 3 2 17 2 6" xfId="37467" xr:uid="{37EE37A2-B86B-4998-9FF9-9150FDC7DEEE}"/>
    <cellStyle name="Note 4 3 2 17 3" xfId="37468" xr:uid="{E42E216D-C42D-4BB6-8CE7-F35885528FAC}"/>
    <cellStyle name="Note 4 3 2 17 4" xfId="37469" xr:uid="{D073652F-8414-4343-A604-D4E6BD271F68}"/>
    <cellStyle name="Note 4 3 2 17 5" xfId="37470" xr:uid="{B61A6565-0C5E-4B7A-9D9D-0436F30836F3}"/>
    <cellStyle name="Note 4 3 2 17 6" xfId="37471" xr:uid="{91DD71B2-0826-4BE2-A4CE-8D3C450CE624}"/>
    <cellStyle name="Note 4 3 2 17 7" xfId="37472" xr:uid="{08EF1F17-A28F-4C69-A1A1-C4AEE259D302}"/>
    <cellStyle name="Note 4 3 2 18" xfId="2653" xr:uid="{E7F502F2-3151-4687-9932-BBB7BE1B4E4A}"/>
    <cellStyle name="Note 4 3 2 18 2" xfId="11459" xr:uid="{07FDA1DE-AEDF-43C3-8B4D-059B0F34A15F}"/>
    <cellStyle name="Note 4 3 2 18 2 2" xfId="37473" xr:uid="{7390F45A-081B-4B6E-BADA-B56C2A05892E}"/>
    <cellStyle name="Note 4 3 2 18 2 3" xfId="37474" xr:uid="{F67F4955-FF88-40EE-864B-3B803AE3F933}"/>
    <cellStyle name="Note 4 3 2 18 2 4" xfId="37475" xr:uid="{ADA3394D-7864-46A1-94FB-01E3B9AA72C0}"/>
    <cellStyle name="Note 4 3 2 18 2 5" xfId="37476" xr:uid="{B3819A81-364E-49B9-894C-F21C206108BC}"/>
    <cellStyle name="Note 4 3 2 18 2 6" xfId="37477" xr:uid="{016B2B39-45C0-4488-A8A6-17A2C556FF5D}"/>
    <cellStyle name="Note 4 3 2 18 3" xfId="37478" xr:uid="{201B59CE-C225-4BAD-90C3-44E94454A062}"/>
    <cellStyle name="Note 4 3 2 18 4" xfId="37479" xr:uid="{7B0653C5-8B27-4FA6-8F2D-9B9111712E74}"/>
    <cellStyle name="Note 4 3 2 18 5" xfId="37480" xr:uid="{C6E5F0F8-B3F4-4572-AD80-F66AE7994ECF}"/>
    <cellStyle name="Note 4 3 2 18 6" xfId="37481" xr:uid="{FB2BE502-BCE4-441B-9963-0F0C09BC0798}"/>
    <cellStyle name="Note 4 3 2 18 7" xfId="37482" xr:uid="{FEEFA4DC-BF4E-4088-8B6C-7D616A618328}"/>
    <cellStyle name="Note 4 3 2 19" xfId="2654" xr:uid="{DE2D7112-93C1-4F2E-A007-386B0BE7AEBE}"/>
    <cellStyle name="Note 4 3 2 19 2" xfId="11546" xr:uid="{D9B21C6C-D137-47FB-8B8B-9C13CBC5AD09}"/>
    <cellStyle name="Note 4 3 2 19 2 2" xfId="37483" xr:uid="{3027DECD-C9A6-45F2-BAC9-B438E2F27C56}"/>
    <cellStyle name="Note 4 3 2 19 2 3" xfId="37484" xr:uid="{B57AAEB2-9124-4515-8CD7-302D31230674}"/>
    <cellStyle name="Note 4 3 2 19 2 4" xfId="37485" xr:uid="{0C7CB61A-3107-4D9F-AD5C-8BFAEF158877}"/>
    <cellStyle name="Note 4 3 2 19 2 5" xfId="37486" xr:uid="{86072AE8-C4FA-440C-A61A-3FAEA6E0F202}"/>
    <cellStyle name="Note 4 3 2 19 2 6" xfId="37487" xr:uid="{2A7FA18A-9CA2-4E3B-808C-C4D192E2566C}"/>
    <cellStyle name="Note 4 3 2 19 3" xfId="37488" xr:uid="{8E1798B1-41A5-4ED7-871C-FC21619FD47D}"/>
    <cellStyle name="Note 4 3 2 19 4" xfId="37489" xr:uid="{EFC0FABF-C45F-46B5-8097-17851E6132FF}"/>
    <cellStyle name="Note 4 3 2 19 5" xfId="37490" xr:uid="{584F1469-FFDB-4A9D-B169-2CA257279C3B}"/>
    <cellStyle name="Note 4 3 2 19 6" xfId="37491" xr:uid="{C2CBF0C9-5D58-46E6-B041-A28B412EACAA}"/>
    <cellStyle name="Note 4 3 2 19 7" xfId="37492" xr:uid="{0F239A77-332B-4C79-988F-68331CF5A1D8}"/>
    <cellStyle name="Note 4 3 2 2" xfId="2655" xr:uid="{90D3487D-60AB-4DB2-84E9-939D2D61A422}"/>
    <cellStyle name="Note 4 3 2 2 2" xfId="10053" xr:uid="{A92C2453-F06A-451C-9854-76CBF3CD45EB}"/>
    <cellStyle name="Note 4 3 2 2 2 2" xfId="37493" xr:uid="{F42C387F-B1FF-43CD-9392-9D613046426A}"/>
    <cellStyle name="Note 4 3 2 2 2 3" xfId="37494" xr:uid="{F51BB70F-D752-4126-884C-48288AD9138B}"/>
    <cellStyle name="Note 4 3 2 2 2 4" xfId="37495" xr:uid="{773C3B6D-776D-460F-B077-20D6C658E14E}"/>
    <cellStyle name="Note 4 3 2 2 2 5" xfId="37496" xr:uid="{F21153A2-1822-47F3-815B-B8CE6750D3E4}"/>
    <cellStyle name="Note 4 3 2 2 2 6" xfId="37497" xr:uid="{1F4F1851-0811-4C48-949C-32BA28E2E715}"/>
    <cellStyle name="Note 4 3 2 2 3" xfId="37498" xr:uid="{09E82C4A-EB3A-4E94-9F3E-625B1CC7ADE3}"/>
    <cellStyle name="Note 4 3 2 2 4" xfId="37499" xr:uid="{3A5FF86A-916A-4E17-B5E9-B7CEC5838C0E}"/>
    <cellStyle name="Note 4 3 2 2 5" xfId="37500" xr:uid="{171EC292-4419-4CD1-A8CB-5E491C08F94A}"/>
    <cellStyle name="Note 4 3 2 2 6" xfId="37501" xr:uid="{2A520761-B5A2-495B-83F1-B85E461D56CB}"/>
    <cellStyle name="Note 4 3 2 2 7" xfId="37502" xr:uid="{792F7BAE-D718-486F-B539-DBDF44BC1BA2}"/>
    <cellStyle name="Note 4 3 2 20" xfId="2656" xr:uid="{FC5BF8E1-5C17-4C47-81CF-4AE9EEB256DA}"/>
    <cellStyle name="Note 4 3 2 20 2" xfId="11634" xr:uid="{16FFE011-3F5E-4757-9F76-7508425382DB}"/>
    <cellStyle name="Note 4 3 2 20 2 2" xfId="37503" xr:uid="{612A0463-B8CC-498A-B8F8-8AD87B758A44}"/>
    <cellStyle name="Note 4 3 2 20 2 3" xfId="37504" xr:uid="{338566E3-F41D-4045-9569-28C356742034}"/>
    <cellStyle name="Note 4 3 2 20 2 4" xfId="37505" xr:uid="{795388E7-59B8-4A7C-83C2-57DB4D219222}"/>
    <cellStyle name="Note 4 3 2 20 2 5" xfId="37506" xr:uid="{EAB00131-3150-415F-8DC8-C40ADF273BAE}"/>
    <cellStyle name="Note 4 3 2 20 2 6" xfId="37507" xr:uid="{A8F43F43-303F-4C0D-BAB9-F76A1CD9052F}"/>
    <cellStyle name="Note 4 3 2 20 3" xfId="37508" xr:uid="{7F806E6C-0016-4EA0-974B-5B66FF6A7B45}"/>
    <cellStyle name="Note 4 3 2 20 4" xfId="37509" xr:uid="{DE702191-6EE9-465D-B9E8-4F2E50A60849}"/>
    <cellStyle name="Note 4 3 2 20 5" xfId="37510" xr:uid="{5E921000-3F55-448A-9C95-321B6949631F}"/>
    <cellStyle name="Note 4 3 2 20 6" xfId="37511" xr:uid="{BAA9F643-95AA-407B-A056-ACCCAAB9119B}"/>
    <cellStyle name="Note 4 3 2 20 7" xfId="37512" xr:uid="{F61D6D3B-4B21-4AED-8E62-B7F4279B9B80}"/>
    <cellStyle name="Note 4 3 2 21" xfId="2657" xr:uid="{05756CAD-1CAD-4C68-A3C7-4622F29F615E}"/>
    <cellStyle name="Note 4 3 2 21 2" xfId="11718" xr:uid="{51ED5C89-E996-4079-9088-F4865167B6C7}"/>
    <cellStyle name="Note 4 3 2 21 2 2" xfId="37513" xr:uid="{CB3E7177-E474-4A47-A959-E0E55E9DD70B}"/>
    <cellStyle name="Note 4 3 2 21 2 3" xfId="37514" xr:uid="{11C1D9A6-38AD-4A25-8D8E-8BBFEA253F46}"/>
    <cellStyle name="Note 4 3 2 21 2 4" xfId="37515" xr:uid="{AF550607-A0CA-4F0A-8F64-F95EBB13DF6F}"/>
    <cellStyle name="Note 4 3 2 21 2 5" xfId="37516" xr:uid="{C5EFC75E-4E07-4A66-AC73-E67EB2941B9E}"/>
    <cellStyle name="Note 4 3 2 21 2 6" xfId="37517" xr:uid="{FE8C55F2-22A4-4850-B8F4-1E1DD6BB5094}"/>
    <cellStyle name="Note 4 3 2 21 3" xfId="37518" xr:uid="{09FEC78F-758D-477D-814B-E42C430B7BD3}"/>
    <cellStyle name="Note 4 3 2 21 4" xfId="37519" xr:uid="{019A1C7B-2140-4069-A234-7FAED33DFBE2}"/>
    <cellStyle name="Note 4 3 2 21 5" xfId="37520" xr:uid="{94915B3E-3761-46C3-ABBC-A0762A653C13}"/>
    <cellStyle name="Note 4 3 2 21 6" xfId="37521" xr:uid="{EB004FF3-2D06-4B24-97AA-8D3E29CF92CE}"/>
    <cellStyle name="Note 4 3 2 21 7" xfId="37522" xr:uid="{26C6479B-ABAA-4E7B-97E0-8D63D2E47469}"/>
    <cellStyle name="Note 4 3 2 22" xfId="2658" xr:uid="{665E1529-4D13-4826-B2E0-DE2836F8C2D9}"/>
    <cellStyle name="Note 4 3 2 22 2" xfId="11801" xr:uid="{B38A4A2B-B837-45E9-A5DD-975308A6F3F7}"/>
    <cellStyle name="Note 4 3 2 22 2 2" xfId="37523" xr:uid="{FAE5627E-551F-4D85-A16B-B0BF2FCF00CD}"/>
    <cellStyle name="Note 4 3 2 22 2 3" xfId="37524" xr:uid="{15CC6C6D-DACF-4B58-9CC8-0DB783926A5F}"/>
    <cellStyle name="Note 4 3 2 22 2 4" xfId="37525" xr:uid="{0FFCC1D9-B7B8-4D5A-B966-53F4D755C911}"/>
    <cellStyle name="Note 4 3 2 22 2 5" xfId="37526" xr:uid="{8C644804-9024-4050-AFCC-A82DC80FD48D}"/>
    <cellStyle name="Note 4 3 2 22 2 6" xfId="37527" xr:uid="{78E7FBD7-8D67-4B3E-BE4F-DA18D4939616}"/>
    <cellStyle name="Note 4 3 2 22 3" xfId="37528" xr:uid="{5AC9526D-12EC-4162-B569-E666D0EC9EC1}"/>
    <cellStyle name="Note 4 3 2 22 4" xfId="37529" xr:uid="{F2D3A142-E151-410F-B55D-0632DCD57631}"/>
    <cellStyle name="Note 4 3 2 22 5" xfId="37530" xr:uid="{76F78EAF-91AB-4436-9FC1-B34807486DB0}"/>
    <cellStyle name="Note 4 3 2 22 6" xfId="37531" xr:uid="{D472C3ED-44BB-4172-8296-EB7674B013EC}"/>
    <cellStyle name="Note 4 3 2 22 7" xfId="37532" xr:uid="{BA7F7717-86DE-45A9-9AFE-DD4E9776EFDF}"/>
    <cellStyle name="Note 4 3 2 23" xfId="2659" xr:uid="{91513A0A-CD8B-4BD2-A9D6-23A07E1A9704}"/>
    <cellStyle name="Note 4 3 2 23 2" xfId="11884" xr:uid="{AB6823DB-EC17-4B4A-A4D4-C933D7A2FBF2}"/>
    <cellStyle name="Note 4 3 2 23 2 2" xfId="37533" xr:uid="{3F1F064C-F4DD-44E2-A5AF-4837BF050A33}"/>
    <cellStyle name="Note 4 3 2 23 2 3" xfId="37534" xr:uid="{5B3BB329-9A09-42AD-B1C1-55A6678D1233}"/>
    <cellStyle name="Note 4 3 2 23 2 4" xfId="37535" xr:uid="{0275E40E-97CF-4BE7-9C3E-68233B54D829}"/>
    <cellStyle name="Note 4 3 2 23 2 5" xfId="37536" xr:uid="{B7E2FFE9-AD2F-4A40-B376-9095B11E7B43}"/>
    <cellStyle name="Note 4 3 2 23 2 6" xfId="37537" xr:uid="{624673D4-308A-47E4-A909-3438239317A0}"/>
    <cellStyle name="Note 4 3 2 23 3" xfId="37538" xr:uid="{F62ADA67-1BB9-49B1-91B1-2E1BE0B8FF7D}"/>
    <cellStyle name="Note 4 3 2 23 4" xfId="37539" xr:uid="{BF58429B-2CD9-454C-804F-B639CB5C66BE}"/>
    <cellStyle name="Note 4 3 2 23 5" xfId="37540" xr:uid="{416E0FE4-8FCB-49CA-9111-F52AA0B41688}"/>
    <cellStyle name="Note 4 3 2 23 6" xfId="37541" xr:uid="{999A0A04-EBB4-49AB-9CAB-FBF45A59A491}"/>
    <cellStyle name="Note 4 3 2 23 7" xfId="37542" xr:uid="{7363DCB4-B9DD-45C1-B77D-4E50DD38C395}"/>
    <cellStyle name="Note 4 3 2 24" xfId="2660" xr:uid="{DBAF4163-7E92-4D72-B8BC-6975DF6E617A}"/>
    <cellStyle name="Note 4 3 2 24 2" xfId="11968" xr:uid="{7A83ABB2-8540-4389-9117-413988CBC6DE}"/>
    <cellStyle name="Note 4 3 2 24 2 2" xfId="37543" xr:uid="{2140F0EB-5995-43B7-A3D2-D9D80D0E5ECF}"/>
    <cellStyle name="Note 4 3 2 24 2 3" xfId="37544" xr:uid="{E18DEB81-E0C0-4A4A-A7C8-EFAC250B660B}"/>
    <cellStyle name="Note 4 3 2 24 2 4" xfId="37545" xr:uid="{8FABCBFA-D185-40E0-99E6-2A4C395971C8}"/>
    <cellStyle name="Note 4 3 2 24 2 5" xfId="37546" xr:uid="{30FBFB05-5CBC-4E7C-ACBC-FCBD31C64AD6}"/>
    <cellStyle name="Note 4 3 2 24 2 6" xfId="37547" xr:uid="{2FC107ED-D75D-44B7-98F4-E0E817AA476B}"/>
    <cellStyle name="Note 4 3 2 24 3" xfId="37548" xr:uid="{6C3C1215-E32C-443A-9F1C-15CE42D9FEE4}"/>
    <cellStyle name="Note 4 3 2 24 4" xfId="37549" xr:uid="{69024E5B-C03A-4128-90F0-8027D39B222C}"/>
    <cellStyle name="Note 4 3 2 24 5" xfId="37550" xr:uid="{8CE7D110-8819-4ABB-9253-B4DD0DDC1E68}"/>
    <cellStyle name="Note 4 3 2 24 6" xfId="37551" xr:uid="{54A9D601-4A90-458C-A34C-5970D000B513}"/>
    <cellStyle name="Note 4 3 2 24 7" xfId="37552" xr:uid="{37CD0857-6FDD-4643-84D6-5D051940A3A0}"/>
    <cellStyle name="Note 4 3 2 25" xfId="2661" xr:uid="{6A0C4EEE-B655-485C-BD0F-E776DE163BB7}"/>
    <cellStyle name="Note 4 3 2 25 2" xfId="12051" xr:uid="{2F080C1D-5E80-4F5B-9231-0C44EEDA3C24}"/>
    <cellStyle name="Note 4 3 2 25 2 2" xfId="37553" xr:uid="{FDA2ECB5-1561-4959-A2FA-96849CE7B9DC}"/>
    <cellStyle name="Note 4 3 2 25 2 3" xfId="37554" xr:uid="{C241E221-FD41-4058-B7BC-F268DBD47575}"/>
    <cellStyle name="Note 4 3 2 25 2 4" xfId="37555" xr:uid="{AE07FEFC-0088-42BE-A75E-E116B93EE49C}"/>
    <cellStyle name="Note 4 3 2 25 2 5" xfId="37556" xr:uid="{55451050-71BB-4F22-B7AA-F2EE586E255F}"/>
    <cellStyle name="Note 4 3 2 25 2 6" xfId="37557" xr:uid="{C232A16B-1533-4C62-A4DF-D63F600B9C66}"/>
    <cellStyle name="Note 4 3 2 25 3" xfId="37558" xr:uid="{421A936F-044B-4C52-9C58-43F3B57E1900}"/>
    <cellStyle name="Note 4 3 2 25 4" xfId="37559" xr:uid="{54226212-9629-45C5-AB0A-F61AB32CA2C8}"/>
    <cellStyle name="Note 4 3 2 25 5" xfId="37560" xr:uid="{ACCD0B21-EA45-4AA4-9F13-2FE3E50597B5}"/>
    <cellStyle name="Note 4 3 2 25 6" xfId="37561" xr:uid="{A79F6DBC-B4BA-4BA2-B8E8-613C27EC8B85}"/>
    <cellStyle name="Note 4 3 2 25 7" xfId="37562" xr:uid="{09611BA8-B307-488F-BDF4-7A6F14B63CE3}"/>
    <cellStyle name="Note 4 3 2 26" xfId="2662" xr:uid="{E62E8F66-9237-4B70-8DA4-447E5671E225}"/>
    <cellStyle name="Note 4 3 2 26 2" xfId="12134" xr:uid="{A6B3C706-04DA-47F5-B797-1D615C0E7378}"/>
    <cellStyle name="Note 4 3 2 26 2 2" xfId="37563" xr:uid="{9B645833-0C30-4918-A993-2ECE5F154D46}"/>
    <cellStyle name="Note 4 3 2 26 2 3" xfId="37564" xr:uid="{57C2AECD-E650-4337-B3B3-3121CE6A9C1E}"/>
    <cellStyle name="Note 4 3 2 26 2 4" xfId="37565" xr:uid="{0B67229C-733B-44B3-AC7A-8DF9A3643359}"/>
    <cellStyle name="Note 4 3 2 26 2 5" xfId="37566" xr:uid="{85CC8296-D7E0-484A-95B0-5A67FF6BA253}"/>
    <cellStyle name="Note 4 3 2 26 2 6" xfId="37567" xr:uid="{62681572-11A7-4B9E-B854-34B96A0FB438}"/>
    <cellStyle name="Note 4 3 2 26 3" xfId="37568" xr:uid="{B58B1DF5-D6EF-4339-9BB6-1A64F0BBE8C7}"/>
    <cellStyle name="Note 4 3 2 26 4" xfId="37569" xr:uid="{B2479B73-932C-4F1C-98AF-D012C07399D5}"/>
    <cellStyle name="Note 4 3 2 26 5" xfId="37570" xr:uid="{70B4A39C-4D84-4536-9B10-F5FE80B2574C}"/>
    <cellStyle name="Note 4 3 2 26 6" xfId="37571" xr:uid="{0A1752AD-0985-47F0-9AD6-67AB12B1AC9D}"/>
    <cellStyle name="Note 4 3 2 26 7" xfId="37572" xr:uid="{7664BA12-A5BC-4CB8-9D62-FFE3C421FCB3}"/>
    <cellStyle name="Note 4 3 2 27" xfId="2663" xr:uid="{049EE2B7-35DF-49CF-8C7F-7FCE8D4FE4BD}"/>
    <cellStyle name="Note 4 3 2 27 2" xfId="12216" xr:uid="{6A1F69F5-8D5E-45AE-87C5-B759EAE41390}"/>
    <cellStyle name="Note 4 3 2 27 2 2" xfId="37573" xr:uid="{DB387E47-1DB8-4F2F-ADBB-67F99DA8C386}"/>
    <cellStyle name="Note 4 3 2 27 2 3" xfId="37574" xr:uid="{CE9F1B1E-87F4-46D0-9A58-14A93D349DBE}"/>
    <cellStyle name="Note 4 3 2 27 2 4" xfId="37575" xr:uid="{D319562E-1D9D-41BE-8DDC-C263B801865A}"/>
    <cellStyle name="Note 4 3 2 27 2 5" xfId="37576" xr:uid="{EF76161E-3584-4540-96B8-7A4319571FE0}"/>
    <cellStyle name="Note 4 3 2 27 2 6" xfId="37577" xr:uid="{7DABEED8-AC99-42C4-B015-30F24800FC13}"/>
    <cellStyle name="Note 4 3 2 27 3" xfId="37578" xr:uid="{F51606BB-0C96-4C74-80C7-05C9D10B0BC8}"/>
    <cellStyle name="Note 4 3 2 27 4" xfId="37579" xr:uid="{C6529A70-5A4D-4C21-AEEE-E7EE4D839EA8}"/>
    <cellStyle name="Note 4 3 2 27 5" xfId="37580" xr:uid="{4FF84F5B-1B40-4C6A-9F6F-709CE56A0FB9}"/>
    <cellStyle name="Note 4 3 2 27 6" xfId="37581" xr:uid="{1EA2ED37-41FE-450A-893C-2F972A96D8E5}"/>
    <cellStyle name="Note 4 3 2 27 7" xfId="37582" xr:uid="{722C4D20-25A7-4CC6-8371-3BB08B0EE2CA}"/>
    <cellStyle name="Note 4 3 2 28" xfId="2664" xr:uid="{D8F5A58D-21C4-4C28-B65C-7AEBA67414D3}"/>
    <cellStyle name="Note 4 3 2 28 2" xfId="12296" xr:uid="{847BD389-703B-4862-86FD-33EDAC0B78D6}"/>
    <cellStyle name="Note 4 3 2 28 2 2" xfId="37583" xr:uid="{3AA44EB1-64F5-4F76-A243-8222673B99C0}"/>
    <cellStyle name="Note 4 3 2 28 2 3" xfId="37584" xr:uid="{8F6867DC-ED23-43A3-B150-E954CF5675F1}"/>
    <cellStyle name="Note 4 3 2 28 2 4" xfId="37585" xr:uid="{BDBB0FBA-EC74-4DF2-81B7-C4CCD6DD4811}"/>
    <cellStyle name="Note 4 3 2 28 2 5" xfId="37586" xr:uid="{A8CAACF0-167A-4A01-AE82-57E455822FEF}"/>
    <cellStyle name="Note 4 3 2 28 2 6" xfId="37587" xr:uid="{0A933680-568A-47E7-B28C-7CE755A951B5}"/>
    <cellStyle name="Note 4 3 2 28 3" xfId="37588" xr:uid="{09BA01A3-D328-4264-9BA9-80B43208B933}"/>
    <cellStyle name="Note 4 3 2 28 4" xfId="37589" xr:uid="{E5F9764C-D8D2-48F6-8E0A-F43BAB4F3ABC}"/>
    <cellStyle name="Note 4 3 2 28 5" xfId="37590" xr:uid="{62421D95-64D0-4DF6-B01D-75A9B098ECA8}"/>
    <cellStyle name="Note 4 3 2 28 6" xfId="37591" xr:uid="{727FEB9F-7500-4A07-BC16-BA5EC4D5680E}"/>
    <cellStyle name="Note 4 3 2 28 7" xfId="37592" xr:uid="{EFB854D2-FB5F-480B-B3C0-B6BC0AF3626E}"/>
    <cellStyle name="Note 4 3 2 29" xfId="2665" xr:uid="{C5F29227-AA7A-486B-9206-84F713297EDB}"/>
    <cellStyle name="Note 4 3 2 29 2" xfId="12374" xr:uid="{6403DE12-FFFB-40B9-8616-B4744A7A80E7}"/>
    <cellStyle name="Note 4 3 2 29 2 2" xfId="37593" xr:uid="{82605FED-6974-4B8B-AC38-8FF3F7EA8922}"/>
    <cellStyle name="Note 4 3 2 29 2 3" xfId="37594" xr:uid="{BC0ADEEF-E8A1-44E7-9130-F863168D2AA7}"/>
    <cellStyle name="Note 4 3 2 29 2 4" xfId="37595" xr:uid="{50EC9E8C-B17C-4859-94F1-F0D9FC014C06}"/>
    <cellStyle name="Note 4 3 2 29 2 5" xfId="37596" xr:uid="{EDBCF590-89FF-41A7-A51D-A4E208D53149}"/>
    <cellStyle name="Note 4 3 2 29 2 6" xfId="37597" xr:uid="{F33DA229-7272-461F-B12D-D7071355B182}"/>
    <cellStyle name="Note 4 3 2 29 3" xfId="37598" xr:uid="{9C4B3DA3-9093-44D2-B1D3-DD07140B2131}"/>
    <cellStyle name="Note 4 3 2 29 4" xfId="37599" xr:uid="{5AAC6E57-AE7F-46F1-AF79-B91B2A24E4FD}"/>
    <cellStyle name="Note 4 3 2 29 5" xfId="37600" xr:uid="{E70E28E9-C53B-46C5-B3A6-46B4D4197990}"/>
    <cellStyle name="Note 4 3 2 29 6" xfId="37601" xr:uid="{FA5A51A0-7DF9-41F3-83DA-B8AA4892576F}"/>
    <cellStyle name="Note 4 3 2 29 7" xfId="37602" xr:uid="{2FC32AF7-04D0-4D0F-B673-529CBCCF03C2}"/>
    <cellStyle name="Note 4 3 2 3" xfId="2666" xr:uid="{11110E72-26DB-4170-A68A-50E4688B3F48}"/>
    <cellStyle name="Note 4 3 2 3 2" xfId="10144" xr:uid="{0607E6BD-B110-4285-A77E-00831E9D1968}"/>
    <cellStyle name="Note 4 3 2 3 2 2" xfId="37603" xr:uid="{10886B56-2372-4F2C-9A9F-36D1287C0E64}"/>
    <cellStyle name="Note 4 3 2 3 2 3" xfId="37604" xr:uid="{B7705295-CFAB-4584-AC34-57BE253212BB}"/>
    <cellStyle name="Note 4 3 2 3 2 4" xfId="37605" xr:uid="{8E247A19-8AC5-4A9C-A467-DD8333BA2053}"/>
    <cellStyle name="Note 4 3 2 3 2 5" xfId="37606" xr:uid="{3F57BB0A-D977-469F-8DCC-330B0F553E4B}"/>
    <cellStyle name="Note 4 3 2 3 2 6" xfId="37607" xr:uid="{92625353-9531-427C-A034-B0CBEB193347}"/>
    <cellStyle name="Note 4 3 2 3 3" xfId="37608" xr:uid="{2102B8B8-EE8C-45F4-BA05-DC0ACF566DFA}"/>
    <cellStyle name="Note 4 3 2 3 4" xfId="37609" xr:uid="{D447B92F-C336-4B97-B4D3-231C173A2B9A}"/>
    <cellStyle name="Note 4 3 2 3 5" xfId="37610" xr:uid="{62088EEA-2FCF-4DE1-B956-92A9188B0EBD}"/>
    <cellStyle name="Note 4 3 2 3 6" xfId="37611" xr:uid="{A93367C9-89F7-4A8C-BFF2-7EAB8E87B03B}"/>
    <cellStyle name="Note 4 3 2 3 7" xfId="37612" xr:uid="{090B2FBE-33C5-432F-9F03-AAA8B9D4F664}"/>
    <cellStyle name="Note 4 3 2 30" xfId="2667" xr:uid="{D117E0F1-9554-4450-913E-FCCEFE1779DF}"/>
    <cellStyle name="Note 4 3 2 30 2" xfId="12453" xr:uid="{476631B8-6E7A-462F-83BE-4437A55BFD86}"/>
    <cellStyle name="Note 4 3 2 30 2 2" xfId="37613" xr:uid="{49BBD337-02AA-4C9A-9EDB-6DFE4913FE4B}"/>
    <cellStyle name="Note 4 3 2 30 2 3" xfId="37614" xr:uid="{04BF5632-C5FE-4CA9-BF20-E6885BD2044F}"/>
    <cellStyle name="Note 4 3 2 30 2 4" xfId="37615" xr:uid="{F2A5D987-D690-4D81-AB8B-EE13056AA2B9}"/>
    <cellStyle name="Note 4 3 2 30 2 5" xfId="37616" xr:uid="{22960D38-F429-4999-AB8C-6511658C2677}"/>
    <cellStyle name="Note 4 3 2 30 2 6" xfId="37617" xr:uid="{CE762B08-E2FD-4DB5-A588-CB0095889FF9}"/>
    <cellStyle name="Note 4 3 2 30 3" xfId="37618" xr:uid="{06FA77D3-5DFC-43AB-BA7E-EFA52251DCF4}"/>
    <cellStyle name="Note 4 3 2 30 4" xfId="37619" xr:uid="{3B51B824-38E4-443F-9EF2-5BEF6AED1253}"/>
    <cellStyle name="Note 4 3 2 30 5" xfId="37620" xr:uid="{38EF4F68-8042-4DF2-A9CF-5F0C038F6B32}"/>
    <cellStyle name="Note 4 3 2 30 6" xfId="37621" xr:uid="{0CDB167F-DCD7-47CB-948D-8E8553AD42AE}"/>
    <cellStyle name="Note 4 3 2 30 7" xfId="37622" xr:uid="{BD06DE4C-35D6-46C5-A1C6-34964932BF7D}"/>
    <cellStyle name="Note 4 3 2 31" xfId="2668" xr:uid="{9F72D13F-756C-41D8-AE92-F84142F2C20E}"/>
    <cellStyle name="Note 4 3 2 31 2" xfId="12532" xr:uid="{11EB2F5F-8E17-4451-84F5-8EEB3AECB4FE}"/>
    <cellStyle name="Note 4 3 2 31 2 2" xfId="37623" xr:uid="{EC522B61-027B-4D5B-AC3D-BD42889163B6}"/>
    <cellStyle name="Note 4 3 2 31 2 3" xfId="37624" xr:uid="{A49E5074-0401-4028-8CF9-EC903B42C039}"/>
    <cellStyle name="Note 4 3 2 31 2 4" xfId="37625" xr:uid="{829623F9-8B75-42E9-AE2D-12B35108EE59}"/>
    <cellStyle name="Note 4 3 2 31 2 5" xfId="37626" xr:uid="{7105D192-C241-4A85-9639-5BEC4157D667}"/>
    <cellStyle name="Note 4 3 2 31 2 6" xfId="37627" xr:uid="{8703C9E5-1BA3-40D0-84C1-EA1F83CCAF8D}"/>
    <cellStyle name="Note 4 3 2 31 3" xfId="37628" xr:uid="{B9117307-ECC3-49B2-B8DA-E88C90392B12}"/>
    <cellStyle name="Note 4 3 2 31 4" xfId="37629" xr:uid="{7783C7ED-D367-47F3-A89D-060B384BD60C}"/>
    <cellStyle name="Note 4 3 2 31 5" xfId="37630" xr:uid="{DA789619-B7E6-401B-982B-B56F137343BC}"/>
    <cellStyle name="Note 4 3 2 31 6" xfId="37631" xr:uid="{9FE2D6FF-615F-4DE6-8E70-677B3FE5E4E0}"/>
    <cellStyle name="Note 4 3 2 31 7" xfId="37632" xr:uid="{AD24614F-D0CF-4190-960C-76F063496854}"/>
    <cellStyle name="Note 4 3 2 32" xfId="2669" xr:uid="{99578E27-5FCA-48ED-8D49-49E5C5B46419}"/>
    <cellStyle name="Note 4 3 2 32 2" xfId="12611" xr:uid="{1D8F3386-BEAE-4055-BF6D-EBFE9D223FFB}"/>
    <cellStyle name="Note 4 3 2 32 2 2" xfId="37633" xr:uid="{14BCDF3A-1997-4773-BEBB-D0C4264B749B}"/>
    <cellStyle name="Note 4 3 2 32 2 3" xfId="37634" xr:uid="{F806B75C-5CFB-4FB2-832C-CDF91461C0FD}"/>
    <cellStyle name="Note 4 3 2 32 2 4" xfId="37635" xr:uid="{0362D24E-722C-4249-96D2-A9F82C911094}"/>
    <cellStyle name="Note 4 3 2 32 2 5" xfId="37636" xr:uid="{BCC183EA-CD05-45D6-8645-4E338A54E11A}"/>
    <cellStyle name="Note 4 3 2 32 2 6" xfId="37637" xr:uid="{C4BB4D19-3505-4850-80B9-D1A0E9774524}"/>
    <cellStyle name="Note 4 3 2 32 3" xfId="37638" xr:uid="{76F10D48-0777-4F86-B69C-8E6F7A51DBF4}"/>
    <cellStyle name="Note 4 3 2 32 4" xfId="37639" xr:uid="{CCA597E9-E815-4CC7-9572-A3DC7042410C}"/>
    <cellStyle name="Note 4 3 2 32 5" xfId="37640" xr:uid="{F9D8EB07-EEBE-4DA5-860F-56CE1300D35B}"/>
    <cellStyle name="Note 4 3 2 32 6" xfId="37641" xr:uid="{7ADDE95F-1978-4967-9B65-81ABAD680E34}"/>
    <cellStyle name="Note 4 3 2 32 7" xfId="37642" xr:uid="{3D7383DB-6ED0-45CD-8333-0337025848A6}"/>
    <cellStyle name="Note 4 3 2 33" xfId="2670" xr:uid="{AB4F0753-D153-401A-B716-701422FF540D}"/>
    <cellStyle name="Note 4 3 2 33 2" xfId="12690" xr:uid="{9B37F3B2-C357-4608-8F84-E85FB75E3C8F}"/>
    <cellStyle name="Note 4 3 2 33 2 2" xfId="37643" xr:uid="{0F2CD83B-90F5-49D5-A860-654F6B9A72B3}"/>
    <cellStyle name="Note 4 3 2 33 2 3" xfId="37644" xr:uid="{5FB16F37-0AD3-4CE9-8B3E-39A00A2BF8BC}"/>
    <cellStyle name="Note 4 3 2 33 2 4" xfId="37645" xr:uid="{34FA647E-A475-468B-AE17-9B0EC69A8F69}"/>
    <cellStyle name="Note 4 3 2 33 2 5" xfId="37646" xr:uid="{F87A3C34-9147-4CD8-88D2-AB36187D7952}"/>
    <cellStyle name="Note 4 3 2 33 2 6" xfId="37647" xr:uid="{25F531F7-A949-4231-B78D-28962A205B1F}"/>
    <cellStyle name="Note 4 3 2 33 3" xfId="37648" xr:uid="{E8512659-228E-452B-BB04-E424734FEBB3}"/>
    <cellStyle name="Note 4 3 2 33 4" xfId="37649" xr:uid="{1AB2C260-0A06-46E5-ADD0-29290935B470}"/>
    <cellStyle name="Note 4 3 2 33 5" xfId="37650" xr:uid="{D0967F25-DA98-4663-A88A-9C0E8ED8B790}"/>
    <cellStyle name="Note 4 3 2 33 6" xfId="37651" xr:uid="{ABA54512-115D-4055-9C37-86A5BB1CED55}"/>
    <cellStyle name="Note 4 3 2 33 7" xfId="37652" xr:uid="{012F8A93-06AC-411F-89F5-849D220D1B22}"/>
    <cellStyle name="Note 4 3 2 34" xfId="2671" xr:uid="{5AA2D53D-AF28-43BB-B045-61FF0CE53581}"/>
    <cellStyle name="Note 4 3 2 34 2" xfId="12774" xr:uid="{AA8B0913-C2BA-4051-9917-8A94D910B238}"/>
    <cellStyle name="Note 4 3 2 34 2 2" xfId="37653" xr:uid="{AF3300D5-7469-4795-B356-F487F8DDCA20}"/>
    <cellStyle name="Note 4 3 2 34 2 3" xfId="37654" xr:uid="{814093C0-7A72-4EA6-9502-90489DF523D6}"/>
    <cellStyle name="Note 4 3 2 34 2 4" xfId="37655" xr:uid="{7963CEF5-08B4-4B84-8C9B-21590B840B6F}"/>
    <cellStyle name="Note 4 3 2 34 2 5" xfId="37656" xr:uid="{EB416CBC-DE9B-4669-A163-BFF797E54A8F}"/>
    <cellStyle name="Note 4 3 2 34 2 6" xfId="37657" xr:uid="{A4EB87B9-CD19-4BBF-8248-9029FEA4A7EE}"/>
    <cellStyle name="Note 4 3 2 34 3" xfId="37658" xr:uid="{08EB325B-D21D-41DE-9B58-A1123F9010B9}"/>
    <cellStyle name="Note 4 3 2 34 4" xfId="37659" xr:uid="{AEAC19A9-0107-46F0-971C-26410F3D1BD6}"/>
    <cellStyle name="Note 4 3 2 34 5" xfId="37660" xr:uid="{E40DB10E-B2C5-41C1-8EAD-AEE8208604C4}"/>
    <cellStyle name="Note 4 3 2 34 6" xfId="37661" xr:uid="{9F807EF1-0745-4009-8F9E-1167FF4B398B}"/>
    <cellStyle name="Note 4 3 2 34 7" xfId="37662" xr:uid="{CAFB35A7-ADE2-4E37-9165-F49FF9D09F92}"/>
    <cellStyle name="Note 4 3 2 35" xfId="9840" xr:uid="{E88FF2A9-F678-458C-A78A-F781EA4BA622}"/>
    <cellStyle name="Note 4 3 2 35 2" xfId="37663" xr:uid="{2F24D8ED-1FD5-4377-97A2-B759BF04FBDA}"/>
    <cellStyle name="Note 4 3 2 35 3" xfId="37664" xr:uid="{197E7EE7-D04D-470B-A08C-41DB9D8F6453}"/>
    <cellStyle name="Note 4 3 2 35 4" xfId="37665" xr:uid="{8E33F063-E666-4D97-A148-59F3BB426729}"/>
    <cellStyle name="Note 4 3 2 35 5" xfId="37666" xr:uid="{C1EF8DA4-EA4E-4BE9-AA6C-3E1B68BDC683}"/>
    <cellStyle name="Note 4 3 2 35 6" xfId="37667" xr:uid="{40C67C18-D482-409B-8596-CA357D235764}"/>
    <cellStyle name="Note 4 3 2 36" xfId="37668" xr:uid="{2839C0F7-2A3F-4484-A272-CC64D0EBC26E}"/>
    <cellStyle name="Note 4 3 2 37" xfId="37669" xr:uid="{23E70DCA-204F-454D-BB7B-E172CF787247}"/>
    <cellStyle name="Note 4 3 2 38" xfId="37670" xr:uid="{F0A51B44-FD24-43BC-B53C-F3C4021922BF}"/>
    <cellStyle name="Note 4 3 2 39" xfId="37671" xr:uid="{426F0BF0-3D9D-43E1-B5DE-1300FD17B98C}"/>
    <cellStyle name="Note 4 3 2 4" xfId="2672" xr:uid="{0DE401F8-2FBB-426A-990F-0A2AF0D7BCA3}"/>
    <cellStyle name="Note 4 3 2 4 2" xfId="10234" xr:uid="{BD757539-95B7-4D56-A89A-97A7B71B4C39}"/>
    <cellStyle name="Note 4 3 2 4 2 2" xfId="37672" xr:uid="{36F956B2-1E5A-4663-ADF1-485B0E284476}"/>
    <cellStyle name="Note 4 3 2 4 2 3" xfId="37673" xr:uid="{D282C60E-BB84-4AF1-9177-50A86237D00B}"/>
    <cellStyle name="Note 4 3 2 4 2 4" xfId="37674" xr:uid="{D82ABC02-A645-4F18-BC3C-56DD1B44726B}"/>
    <cellStyle name="Note 4 3 2 4 2 5" xfId="37675" xr:uid="{32290A85-2FEC-4097-8DD1-CF6F8227A558}"/>
    <cellStyle name="Note 4 3 2 4 2 6" xfId="37676" xr:uid="{A6D8F613-DE24-4ECC-BF45-FFC4DD2DA21C}"/>
    <cellStyle name="Note 4 3 2 4 3" xfId="37677" xr:uid="{3146320A-895A-4CF9-9F29-F407D1CAD2F9}"/>
    <cellStyle name="Note 4 3 2 4 4" xfId="37678" xr:uid="{57917CDC-2179-4376-9669-90B520D86E26}"/>
    <cellStyle name="Note 4 3 2 4 5" xfId="37679" xr:uid="{2F53AC92-0939-4623-9E5B-B91A2117D55C}"/>
    <cellStyle name="Note 4 3 2 4 6" xfId="37680" xr:uid="{E6FD9A62-2564-4A46-91D1-F8F64F2C04D6}"/>
    <cellStyle name="Note 4 3 2 4 7" xfId="37681" xr:uid="{E6B5644B-69B1-4E61-81D8-228B82C99546}"/>
    <cellStyle name="Note 4 3 2 40" xfId="37682" xr:uid="{8ABDED28-E4D6-403D-804F-578E768A4C32}"/>
    <cellStyle name="Note 4 3 2 5" xfId="2673" xr:uid="{B46942B2-F0A2-42CD-A73E-D5FAD973BA29}"/>
    <cellStyle name="Note 4 3 2 5 2" xfId="10320" xr:uid="{68A162E7-F315-451D-9E01-52B3D1885A3C}"/>
    <cellStyle name="Note 4 3 2 5 2 2" xfId="37683" xr:uid="{0E3C9EB3-E1FE-4969-8389-434DDB734824}"/>
    <cellStyle name="Note 4 3 2 5 2 3" xfId="37684" xr:uid="{2824578C-8D86-488A-8552-031A29A258DD}"/>
    <cellStyle name="Note 4 3 2 5 2 4" xfId="37685" xr:uid="{308CC559-2387-4DC1-8D37-D722DE7F6C73}"/>
    <cellStyle name="Note 4 3 2 5 2 5" xfId="37686" xr:uid="{572E98C5-1713-479C-B724-0BAB60658BAD}"/>
    <cellStyle name="Note 4 3 2 5 2 6" xfId="37687" xr:uid="{0AE3304E-681A-4681-8563-B3610DE885A8}"/>
    <cellStyle name="Note 4 3 2 5 3" xfId="37688" xr:uid="{6A3C7F4F-1089-4978-90AA-581339603482}"/>
    <cellStyle name="Note 4 3 2 5 4" xfId="37689" xr:uid="{49052243-FB52-4AC1-9CFA-563C779F413B}"/>
    <cellStyle name="Note 4 3 2 5 5" xfId="37690" xr:uid="{382DD46A-4A2F-47CA-AAFF-615E9270603C}"/>
    <cellStyle name="Note 4 3 2 5 6" xfId="37691" xr:uid="{8FE88575-827B-4D29-AE4C-8A4CBB8F8EA1}"/>
    <cellStyle name="Note 4 3 2 5 7" xfId="37692" xr:uid="{2D3FB213-E334-467D-A895-78192AADCB74}"/>
    <cellStyle name="Note 4 3 2 6" xfId="2674" xr:uid="{7CF5ACDF-0CE5-40B2-9039-31F4BDC2C931}"/>
    <cellStyle name="Note 4 3 2 6 2" xfId="10408" xr:uid="{32303C49-B427-47A1-9011-414D370672BD}"/>
    <cellStyle name="Note 4 3 2 6 2 2" xfId="37693" xr:uid="{6F225A1F-5267-443E-88CC-9B6A87881A1B}"/>
    <cellStyle name="Note 4 3 2 6 2 3" xfId="37694" xr:uid="{7E7579B4-8C73-438F-BE88-66143D5BE912}"/>
    <cellStyle name="Note 4 3 2 6 2 4" xfId="37695" xr:uid="{2A73DA5C-1EF6-4BF4-99F6-AF8752B57A11}"/>
    <cellStyle name="Note 4 3 2 6 2 5" xfId="37696" xr:uid="{F54DD27F-EAAA-4C3F-8B45-29B439B5A241}"/>
    <cellStyle name="Note 4 3 2 6 2 6" xfId="37697" xr:uid="{7B656CD9-D640-42BF-86CD-E22BE8EBB635}"/>
    <cellStyle name="Note 4 3 2 6 3" xfId="37698" xr:uid="{DD428558-A48F-4ED0-9FE0-44CFF3B5DBB1}"/>
    <cellStyle name="Note 4 3 2 6 4" xfId="37699" xr:uid="{3ED602E2-9CD3-4E59-BD1E-4034608272C3}"/>
    <cellStyle name="Note 4 3 2 6 5" xfId="37700" xr:uid="{7DA69345-E3A2-467E-927A-DC66BCE6E178}"/>
    <cellStyle name="Note 4 3 2 6 6" xfId="37701" xr:uid="{A96AC9A8-8841-4C66-BA19-0D0A15CA19A9}"/>
    <cellStyle name="Note 4 3 2 6 7" xfId="37702" xr:uid="{452E4B59-ED4C-424C-B348-8729036FE637}"/>
    <cellStyle name="Note 4 3 2 7" xfId="2675" xr:uid="{FF392A04-C5EA-4098-AAA4-650DA03BFE19}"/>
    <cellStyle name="Note 4 3 2 7 2" xfId="10495" xr:uid="{D7DC199B-5432-4E70-B801-84D1917267B9}"/>
    <cellStyle name="Note 4 3 2 7 2 2" xfId="37703" xr:uid="{5792C749-DE28-47BC-8C59-593155CF3B0F}"/>
    <cellStyle name="Note 4 3 2 7 2 3" xfId="37704" xr:uid="{D248A627-B45C-42F6-AABE-1055B3F6B3AD}"/>
    <cellStyle name="Note 4 3 2 7 2 4" xfId="37705" xr:uid="{51C279A0-2D8A-447F-B525-EEE231086CAE}"/>
    <cellStyle name="Note 4 3 2 7 2 5" xfId="37706" xr:uid="{795178E8-AEE5-4011-BE6C-23C5F636570D}"/>
    <cellStyle name="Note 4 3 2 7 2 6" xfId="37707" xr:uid="{8F18052A-67A5-437F-AC90-759D4112161F}"/>
    <cellStyle name="Note 4 3 2 7 3" xfId="37708" xr:uid="{FF836C40-D720-4517-9B7B-98842680D701}"/>
    <cellStyle name="Note 4 3 2 7 4" xfId="37709" xr:uid="{F5426797-0C99-4F9A-A929-717F370C835E}"/>
    <cellStyle name="Note 4 3 2 7 5" xfId="37710" xr:uid="{E7D66788-D668-4863-AF80-662ED26F4438}"/>
    <cellStyle name="Note 4 3 2 7 6" xfId="37711" xr:uid="{B16ABC03-FDC8-4EF4-88B4-70D81281DDA9}"/>
    <cellStyle name="Note 4 3 2 7 7" xfId="37712" xr:uid="{46F597B8-E274-4116-85C4-E7D960CD5F04}"/>
    <cellStyle name="Note 4 3 2 8" xfId="2676" xr:uid="{317C6165-EFA7-4D2A-B60B-FC447EA9DC9C}"/>
    <cellStyle name="Note 4 3 2 8 2" xfId="10583" xr:uid="{A0FD0E24-2B30-49A0-A235-20179D142FD1}"/>
    <cellStyle name="Note 4 3 2 8 2 2" xfId="37713" xr:uid="{ED84FEB4-2019-496D-BD3F-ECF73B340B49}"/>
    <cellStyle name="Note 4 3 2 8 2 3" xfId="37714" xr:uid="{ED1603A7-8F60-48D9-8A21-58CC5D996AD1}"/>
    <cellStyle name="Note 4 3 2 8 2 4" xfId="37715" xr:uid="{E0072B96-DAAC-4F9D-9EB0-F0EF6460BDE1}"/>
    <cellStyle name="Note 4 3 2 8 2 5" xfId="37716" xr:uid="{DD1124A7-A7EE-4CFD-9423-8130DD47524A}"/>
    <cellStyle name="Note 4 3 2 8 2 6" xfId="37717" xr:uid="{57BD5B9E-8319-4944-9B6C-2F2B64ECB727}"/>
    <cellStyle name="Note 4 3 2 8 3" xfId="37718" xr:uid="{5B948324-F9F5-4039-89D0-00BA215F3A44}"/>
    <cellStyle name="Note 4 3 2 8 4" xfId="37719" xr:uid="{E7CD0AE9-27F5-4937-A4E8-102AF459C398}"/>
    <cellStyle name="Note 4 3 2 8 5" xfId="37720" xr:uid="{0F4D3F51-0800-4131-9731-CE6014B21533}"/>
    <cellStyle name="Note 4 3 2 8 6" xfId="37721" xr:uid="{5EAD8CC8-FD50-4887-A916-1A02324B1D80}"/>
    <cellStyle name="Note 4 3 2 8 7" xfId="37722" xr:uid="{146BA922-1245-4D98-B182-269A94A15665}"/>
    <cellStyle name="Note 4 3 2 9" xfId="2677" xr:uid="{FCE1F51A-A10D-4597-B410-E9A1FD118657}"/>
    <cellStyle name="Note 4 3 2 9 2" xfId="10665" xr:uid="{92EB8A24-78A1-4A42-81A9-78B433014E06}"/>
    <cellStyle name="Note 4 3 2 9 2 2" xfId="37723" xr:uid="{4A8E1F03-C731-4E3C-95E4-ED5C26C5AA24}"/>
    <cellStyle name="Note 4 3 2 9 2 3" xfId="37724" xr:uid="{1B71B84B-7B46-42E3-9AA2-D846DC8060AB}"/>
    <cellStyle name="Note 4 3 2 9 2 4" xfId="37725" xr:uid="{4DDE6BB3-5C19-4E52-8AD2-08DEC6E78D1A}"/>
    <cellStyle name="Note 4 3 2 9 2 5" xfId="37726" xr:uid="{D0DE3256-0D39-4196-B4CC-0FD7AB44C502}"/>
    <cellStyle name="Note 4 3 2 9 2 6" xfId="37727" xr:uid="{006F55EC-5E93-48BE-B59A-26A3F56B6DB1}"/>
    <cellStyle name="Note 4 3 2 9 3" xfId="37728" xr:uid="{C1241C72-2900-4BE7-A702-5E4FE45EE9CE}"/>
    <cellStyle name="Note 4 3 2 9 4" xfId="37729" xr:uid="{7E8E779A-99A3-4200-9BAC-70639AAFF43E}"/>
    <cellStyle name="Note 4 3 2 9 5" xfId="37730" xr:uid="{82E09AB6-1BBB-4AE8-85DD-9934DCF85C73}"/>
    <cellStyle name="Note 4 3 2 9 6" xfId="37731" xr:uid="{7B18F4FB-C534-4DAC-A2E5-82E3B04C3B18}"/>
    <cellStyle name="Note 4 3 2 9 7" xfId="37732" xr:uid="{947A43CF-029F-46D8-AC94-326D1474413E}"/>
    <cellStyle name="Note 4 3 20" xfId="2678" xr:uid="{5BDFF7AC-9131-409C-B79E-F72E4E716F4C}"/>
    <cellStyle name="Note 4 3 20 2" xfId="11512" xr:uid="{6869117F-2BDF-4AA5-A30E-06F14B023CC6}"/>
    <cellStyle name="Note 4 3 20 2 2" xfId="37733" xr:uid="{B056B73E-DD13-4150-88D8-1874D1CE2FE8}"/>
    <cellStyle name="Note 4 3 20 2 3" xfId="37734" xr:uid="{4EC66969-1018-4208-8593-06E9D0D4E5D0}"/>
    <cellStyle name="Note 4 3 20 2 4" xfId="37735" xr:uid="{46C92837-3BDE-4F77-BBFA-F07AA554DD3D}"/>
    <cellStyle name="Note 4 3 20 2 5" xfId="37736" xr:uid="{1869FC0C-2E52-41DE-966F-A441FDD2041E}"/>
    <cellStyle name="Note 4 3 20 2 6" xfId="37737" xr:uid="{78367FBE-C664-4002-8C9C-4526F5E10F71}"/>
    <cellStyle name="Note 4 3 20 3" xfId="37738" xr:uid="{9ECED19F-B239-4DDB-94A0-4C1FBD48171F}"/>
    <cellStyle name="Note 4 3 20 4" xfId="37739" xr:uid="{A6055D6A-9A53-46E5-8CE0-F7934E1B28DC}"/>
    <cellStyle name="Note 4 3 20 5" xfId="37740" xr:uid="{559F109A-B230-4778-B8A9-0A4971BC5239}"/>
    <cellStyle name="Note 4 3 20 6" xfId="37741" xr:uid="{EFE77ACD-6B1E-471E-86FF-19189C1008F0}"/>
    <cellStyle name="Note 4 3 20 7" xfId="37742" xr:uid="{3C42AD4F-875C-4D1B-B8CB-8C3A5EFBA58E}"/>
    <cellStyle name="Note 4 3 21" xfId="2679" xr:uid="{CA821718-130C-402F-92C8-1084F6BE94AE}"/>
    <cellStyle name="Note 4 3 21 2" xfId="11600" xr:uid="{E6F9E097-CC4B-4591-B361-5D3A9A4DAA73}"/>
    <cellStyle name="Note 4 3 21 2 2" xfId="37743" xr:uid="{8AA57E29-3CD6-47BA-B530-0ACD303F195C}"/>
    <cellStyle name="Note 4 3 21 2 3" xfId="37744" xr:uid="{8103735A-25F7-40F2-B42B-905B0B59854A}"/>
    <cellStyle name="Note 4 3 21 2 4" xfId="37745" xr:uid="{6E150B56-F2A8-46B9-9358-A6011F938431}"/>
    <cellStyle name="Note 4 3 21 2 5" xfId="37746" xr:uid="{B0708625-E4BE-48F6-8336-E423C583A7DC}"/>
    <cellStyle name="Note 4 3 21 2 6" xfId="37747" xr:uid="{3909375B-1641-440D-87CF-8E561A109DA7}"/>
    <cellStyle name="Note 4 3 21 3" xfId="37748" xr:uid="{E93AD31E-4D4C-451A-9439-3480510CA566}"/>
    <cellStyle name="Note 4 3 21 4" xfId="37749" xr:uid="{DF6B2520-2BC5-45D5-AA65-B667CB316A4C}"/>
    <cellStyle name="Note 4 3 21 5" xfId="37750" xr:uid="{5A013B7E-381E-47B1-A3ED-CD402B980ADF}"/>
    <cellStyle name="Note 4 3 21 6" xfId="37751" xr:uid="{6313B32D-E3C4-4091-8C43-AABAFDE542AF}"/>
    <cellStyle name="Note 4 3 21 7" xfId="37752" xr:uid="{ED522E09-E514-4AB7-9052-E966CBC3CCF2}"/>
    <cellStyle name="Note 4 3 22" xfId="2680" xr:uid="{156EB709-40C2-4496-8616-C2C12C75564E}"/>
    <cellStyle name="Note 4 3 22 2" xfId="11685" xr:uid="{D20A3FAB-EC3B-488B-8ABF-4F14F0BCDB7D}"/>
    <cellStyle name="Note 4 3 22 2 2" xfId="37753" xr:uid="{E2122FDB-6064-4535-A298-CF3033EA836E}"/>
    <cellStyle name="Note 4 3 22 2 3" xfId="37754" xr:uid="{DCBEEEAB-C8A5-435E-B56C-CD8EF8AC63D7}"/>
    <cellStyle name="Note 4 3 22 2 4" xfId="37755" xr:uid="{35D01B7A-40A9-4710-BCB3-CBD13CBC062D}"/>
    <cellStyle name="Note 4 3 22 2 5" xfId="37756" xr:uid="{D5DA262C-AC46-4888-B62B-A739498F5E8C}"/>
    <cellStyle name="Note 4 3 22 2 6" xfId="37757" xr:uid="{26BD9C5F-6C15-4553-BA92-A2BE8BA93037}"/>
    <cellStyle name="Note 4 3 22 3" xfId="37758" xr:uid="{15709519-BF89-43EF-9E40-1E5F23993DE3}"/>
    <cellStyle name="Note 4 3 22 4" xfId="37759" xr:uid="{0B41C148-B245-42B6-980D-F88316F726C8}"/>
    <cellStyle name="Note 4 3 22 5" xfId="37760" xr:uid="{E33977A6-B1BC-4063-94D1-74D02853584E}"/>
    <cellStyle name="Note 4 3 22 6" xfId="37761" xr:uid="{3B9889CE-594D-484C-9C60-9E9D38142F40}"/>
    <cellStyle name="Note 4 3 22 7" xfId="37762" xr:uid="{FE6DDBD0-AA44-4DE1-806F-5A9D8C54B345}"/>
    <cellStyle name="Note 4 3 23" xfId="2681" xr:uid="{A127DBBD-4C59-4CD1-82F7-BB8FF4101EE7}"/>
    <cellStyle name="Note 4 3 23 2" xfId="11768" xr:uid="{1CCA72C2-9C73-4ED7-A2D1-9C4E65574CC9}"/>
    <cellStyle name="Note 4 3 23 2 2" xfId="37763" xr:uid="{AFC9A3AF-6AAB-446D-8773-6442A677B9FD}"/>
    <cellStyle name="Note 4 3 23 2 3" xfId="37764" xr:uid="{D5B76402-3DCE-4F71-A219-2F57156B746B}"/>
    <cellStyle name="Note 4 3 23 2 4" xfId="37765" xr:uid="{64A9A985-ED8D-4578-9052-9C71B36A46F7}"/>
    <cellStyle name="Note 4 3 23 2 5" xfId="37766" xr:uid="{E3D7D210-8A8F-4E6D-92C5-5719A5B23C3E}"/>
    <cellStyle name="Note 4 3 23 2 6" xfId="37767" xr:uid="{115224C1-D3DD-4422-828E-18C210560CBE}"/>
    <cellStyle name="Note 4 3 23 3" xfId="37768" xr:uid="{94774F0B-AA70-4A61-83D3-796BB098F216}"/>
    <cellStyle name="Note 4 3 23 4" xfId="37769" xr:uid="{459CAFEC-D288-45E6-ABD4-BB4653FDE94F}"/>
    <cellStyle name="Note 4 3 23 5" xfId="37770" xr:uid="{561B6AE6-05FA-4798-BC48-9DE6B25DE924}"/>
    <cellStyle name="Note 4 3 23 6" xfId="37771" xr:uid="{74E2312A-40B5-4ABE-BE43-D81C4DDE32BB}"/>
    <cellStyle name="Note 4 3 23 7" xfId="37772" xr:uid="{651B6C18-EE69-4F53-8BED-7B7327E75B17}"/>
    <cellStyle name="Note 4 3 24" xfId="2682" xr:uid="{4E0CEA4E-9880-4E19-8098-419C8AF5800C}"/>
    <cellStyle name="Note 4 3 24 2" xfId="11850" xr:uid="{0CA67E95-EE33-40EC-BFAD-15D8490D1B16}"/>
    <cellStyle name="Note 4 3 24 2 2" xfId="37773" xr:uid="{4220DAF7-1C59-45D5-B710-6485CEE45DF2}"/>
    <cellStyle name="Note 4 3 24 2 3" xfId="37774" xr:uid="{C1B24ECB-B8E8-4D9E-97D3-17A70BFC19BD}"/>
    <cellStyle name="Note 4 3 24 2 4" xfId="37775" xr:uid="{27E00E25-D7C6-482C-AC4A-A41429B7DE46}"/>
    <cellStyle name="Note 4 3 24 2 5" xfId="37776" xr:uid="{70ADE080-43CB-4E44-88DD-E9B0DD216A24}"/>
    <cellStyle name="Note 4 3 24 2 6" xfId="37777" xr:uid="{4F1A6011-4B3E-49AA-B302-513BB12BEF05}"/>
    <cellStyle name="Note 4 3 24 3" xfId="37778" xr:uid="{7665857A-45AA-4B0E-B3B8-FD9084DD654A}"/>
    <cellStyle name="Note 4 3 24 4" xfId="37779" xr:uid="{E241D0E7-AE32-4269-AE82-9A87CB2976A6}"/>
    <cellStyle name="Note 4 3 24 5" xfId="37780" xr:uid="{9FF4B807-7CB3-4E6D-8B56-7832BB5C8DAC}"/>
    <cellStyle name="Note 4 3 24 6" xfId="37781" xr:uid="{F9E1785B-DA97-4734-86CC-77B80F31BE76}"/>
    <cellStyle name="Note 4 3 24 7" xfId="37782" xr:uid="{C60B0408-C40D-449E-9E82-0ABDA2414804}"/>
    <cellStyle name="Note 4 3 25" xfId="2683" xr:uid="{692F1B6C-6E28-46F4-B53E-18E068A718BB}"/>
    <cellStyle name="Note 4 3 25 2" xfId="11934" xr:uid="{B38A0833-54A1-432F-938A-1CD9485C5EA9}"/>
    <cellStyle name="Note 4 3 25 2 2" xfId="37783" xr:uid="{B8C44467-8772-40C2-B84C-9A95571F07B2}"/>
    <cellStyle name="Note 4 3 25 2 3" xfId="37784" xr:uid="{6461043F-D7B1-4617-BD15-1C727B7D8AE0}"/>
    <cellStyle name="Note 4 3 25 2 4" xfId="37785" xr:uid="{6F7D403A-9B3D-476C-BC12-15DBC035BE8F}"/>
    <cellStyle name="Note 4 3 25 2 5" xfId="37786" xr:uid="{33A7432E-362E-4B0D-BDFB-B318D51FB9FD}"/>
    <cellStyle name="Note 4 3 25 2 6" xfId="37787" xr:uid="{8B97B933-E6AF-4110-B3AD-64FD0A010A39}"/>
    <cellStyle name="Note 4 3 25 3" xfId="37788" xr:uid="{FE654F2D-4D4A-48BA-A755-201B406ED3E8}"/>
    <cellStyle name="Note 4 3 25 4" xfId="37789" xr:uid="{84BA6ACA-9BC8-4794-B80D-4AC10F6B6289}"/>
    <cellStyle name="Note 4 3 25 5" xfId="37790" xr:uid="{123E0402-CAC2-480C-A9FD-FFEDEBB3030C}"/>
    <cellStyle name="Note 4 3 25 6" xfId="37791" xr:uid="{7F974FB7-5829-4D32-8C5E-669BA865C7A7}"/>
    <cellStyle name="Note 4 3 25 7" xfId="37792" xr:uid="{B244BE4E-BDF3-480A-8815-19FD5DDC8B44}"/>
    <cellStyle name="Note 4 3 26" xfId="2684" xr:uid="{07D76FA9-9619-4A2D-BD87-52F4C20F31FC}"/>
    <cellStyle name="Note 4 3 26 2" xfId="12018" xr:uid="{892FD4F0-8AB4-4A24-AA25-F623D0622271}"/>
    <cellStyle name="Note 4 3 26 2 2" xfId="37793" xr:uid="{1A32522F-9E25-4DC0-851D-98D90A6D5D63}"/>
    <cellStyle name="Note 4 3 26 2 3" xfId="37794" xr:uid="{6A07985A-FB34-4D1B-B722-AA71B09EC4E0}"/>
    <cellStyle name="Note 4 3 26 2 4" xfId="37795" xr:uid="{BB01CE1A-9625-4FA1-829B-A764045EDEE2}"/>
    <cellStyle name="Note 4 3 26 2 5" xfId="37796" xr:uid="{E54B9F58-0058-4F66-BF48-69A7D0D0E6E7}"/>
    <cellStyle name="Note 4 3 26 2 6" xfId="37797" xr:uid="{757CC8E6-A3A6-40EE-A845-EEC5C770FDDC}"/>
    <cellStyle name="Note 4 3 26 3" xfId="37798" xr:uid="{9E1764E0-5EB4-4E17-9C91-22BB943F860B}"/>
    <cellStyle name="Note 4 3 26 4" xfId="37799" xr:uid="{812DD131-7A49-4E74-84AC-D54305C5B025}"/>
    <cellStyle name="Note 4 3 26 5" xfId="37800" xr:uid="{A89DC133-48E1-49BC-A1F5-A6C28A7B2A25}"/>
    <cellStyle name="Note 4 3 26 6" xfId="37801" xr:uid="{52F5E295-0761-4886-B5FB-0113785306F0}"/>
    <cellStyle name="Note 4 3 26 7" xfId="37802" xr:uid="{079B7C3B-66B1-4E2E-A08B-1FD9A02C90F8}"/>
    <cellStyle name="Note 4 3 27" xfId="2685" xr:uid="{47050134-F1FD-47BA-A730-7CF75F8BE0E7}"/>
    <cellStyle name="Note 4 3 27 2" xfId="12101" xr:uid="{FDAC0B30-1822-4CD9-8882-FAA14841AE8F}"/>
    <cellStyle name="Note 4 3 27 2 2" xfId="37803" xr:uid="{0BA208A8-498F-4020-A4F5-8D9FD99F5967}"/>
    <cellStyle name="Note 4 3 27 2 3" xfId="37804" xr:uid="{CC8ACCD3-1C91-44CD-A6BB-F0A6C31B68E6}"/>
    <cellStyle name="Note 4 3 27 2 4" xfId="37805" xr:uid="{7862D68D-5041-4AF5-87F7-EFF7D89E72E5}"/>
    <cellStyle name="Note 4 3 27 2 5" xfId="37806" xr:uid="{AA851F0F-C10A-4AEB-A3F0-967692AABBF1}"/>
    <cellStyle name="Note 4 3 27 2 6" xfId="37807" xr:uid="{987C286B-A40E-4FB4-BD23-AE0601B09735}"/>
    <cellStyle name="Note 4 3 27 3" xfId="37808" xr:uid="{B6102AD4-9C8B-40DF-A10A-B27A9A6E7AD7}"/>
    <cellStyle name="Note 4 3 27 4" xfId="37809" xr:uid="{2D4AF46F-F894-44F3-AF06-680F40DE1139}"/>
    <cellStyle name="Note 4 3 27 5" xfId="37810" xr:uid="{394496FD-C599-4017-AD97-0DF62F739D26}"/>
    <cellStyle name="Note 4 3 27 6" xfId="37811" xr:uid="{ABE6C68A-DA3B-4449-8087-65185F8E6DD9}"/>
    <cellStyle name="Note 4 3 27 7" xfId="37812" xr:uid="{19681359-9465-4A09-BF20-444652F539A6}"/>
    <cellStyle name="Note 4 3 28" xfId="2686" xr:uid="{0774D643-F2E5-4C92-AB91-B2555654F2E3}"/>
    <cellStyle name="Note 4 3 28 2" xfId="12183" xr:uid="{1579423D-DE65-4821-80E6-C41BD6E0BA50}"/>
    <cellStyle name="Note 4 3 28 2 2" xfId="37813" xr:uid="{3A7EF7DC-7D2F-46C5-9E3C-9A266F22E0E8}"/>
    <cellStyle name="Note 4 3 28 2 3" xfId="37814" xr:uid="{70A601B8-A8BD-4879-9740-130F6A0DAAD3}"/>
    <cellStyle name="Note 4 3 28 2 4" xfId="37815" xr:uid="{5FAB2344-1888-44C3-BC75-CA2CAA7590E6}"/>
    <cellStyle name="Note 4 3 28 2 5" xfId="37816" xr:uid="{A53C575B-D917-4A66-A86F-7A175CB5F3CC}"/>
    <cellStyle name="Note 4 3 28 2 6" xfId="37817" xr:uid="{A32BA5B9-666C-47F1-8A79-150F2138289D}"/>
    <cellStyle name="Note 4 3 28 3" xfId="37818" xr:uid="{578C8DF8-D8E8-4F1B-B9D1-FC3F087DD195}"/>
    <cellStyle name="Note 4 3 28 4" xfId="37819" xr:uid="{8AEF6FF4-FC59-4E22-A995-0FDD19201455}"/>
    <cellStyle name="Note 4 3 28 5" xfId="37820" xr:uid="{D9C313FC-B120-4B12-BEA4-61CA514D58FD}"/>
    <cellStyle name="Note 4 3 28 6" xfId="37821" xr:uid="{896B5605-B91E-4500-A627-8403BC224EB2}"/>
    <cellStyle name="Note 4 3 28 7" xfId="37822" xr:uid="{5034DC9F-7EFF-4DA2-9F97-263B419E0F3F}"/>
    <cellStyle name="Note 4 3 29" xfId="2687" xr:uid="{AF2DF157-F94D-432F-96DC-8FC874281719}"/>
    <cellStyle name="Note 4 3 29 2" xfId="12263" xr:uid="{6F04DD55-8E50-488A-901E-8E0A7F7B00D0}"/>
    <cellStyle name="Note 4 3 29 2 2" xfId="37823" xr:uid="{B2DB2408-6D30-4EBE-9828-C75367037998}"/>
    <cellStyle name="Note 4 3 29 2 3" xfId="37824" xr:uid="{84A24121-9354-401B-BCD5-B42D88CBF82D}"/>
    <cellStyle name="Note 4 3 29 2 4" xfId="37825" xr:uid="{E0370E6B-2186-469B-94FC-98192E767CC2}"/>
    <cellStyle name="Note 4 3 29 2 5" xfId="37826" xr:uid="{0CE7149D-3431-4766-A5B5-186E474867CD}"/>
    <cellStyle name="Note 4 3 29 2 6" xfId="37827" xr:uid="{B62DE6B1-9E43-476F-9BF3-16150314E94C}"/>
    <cellStyle name="Note 4 3 29 3" xfId="37828" xr:uid="{9EC62631-AB7E-4B3B-8A8A-D2E2DE5114F7}"/>
    <cellStyle name="Note 4 3 29 4" xfId="37829" xr:uid="{DAE3A176-F023-442D-B6B9-8BBDEC60FC96}"/>
    <cellStyle name="Note 4 3 29 5" xfId="37830" xr:uid="{9E12BF49-8983-4D9F-85BA-6F6254313AF4}"/>
    <cellStyle name="Note 4 3 29 6" xfId="37831" xr:uid="{F59F4AE9-70DF-4C3E-848E-D8EAEFF1699D}"/>
    <cellStyle name="Note 4 3 29 7" xfId="37832" xr:uid="{60243029-8002-4507-994D-21849C752470}"/>
    <cellStyle name="Note 4 3 3" xfId="2688" xr:uid="{181BAEEE-8B03-42F5-9B2F-8738D63F957E}"/>
    <cellStyle name="Note 4 3 3 2" xfId="10019" xr:uid="{60319B0F-6F6F-468C-B5EC-7BDF0E849523}"/>
    <cellStyle name="Note 4 3 3 2 2" xfId="37833" xr:uid="{D289685A-FD4B-4CFC-8BFF-1F9C798ED5D7}"/>
    <cellStyle name="Note 4 3 3 2 3" xfId="37834" xr:uid="{AB4D6153-F835-4C8C-9314-C4190D04005E}"/>
    <cellStyle name="Note 4 3 3 2 4" xfId="37835" xr:uid="{FAB86EDA-1DEA-4813-B09D-EA9C519540AA}"/>
    <cellStyle name="Note 4 3 3 2 5" xfId="37836" xr:uid="{55640AD0-E24E-4610-A7AC-56D4AAAEFA36}"/>
    <cellStyle name="Note 4 3 3 2 6" xfId="37837" xr:uid="{4F2261BF-C57A-440B-93B0-61FE22D8EEDF}"/>
    <cellStyle name="Note 4 3 3 3" xfId="37838" xr:uid="{37D0EED8-94C0-4D27-A644-A4E813386333}"/>
    <cellStyle name="Note 4 3 3 4" xfId="37839" xr:uid="{BEF5AE85-0477-4B09-A632-03AEF751B792}"/>
    <cellStyle name="Note 4 3 3 5" xfId="37840" xr:uid="{6A3C2143-D165-45CC-A8E6-B0E661514C58}"/>
    <cellStyle name="Note 4 3 3 6" xfId="37841" xr:uid="{C3D54D39-3514-4DB3-B7C3-7E64E1A174A1}"/>
    <cellStyle name="Note 4 3 3 7" xfId="37842" xr:uid="{EBA0C0F6-B394-4928-972B-34F1CE4F88E9}"/>
    <cellStyle name="Note 4 3 30" xfId="2689" xr:uid="{FCB0E4B3-559E-4257-BFCA-BBBF83CE018D}"/>
    <cellStyle name="Note 4 3 30 2" xfId="12341" xr:uid="{6C33AEC5-9188-43FA-BEE2-A49811916E34}"/>
    <cellStyle name="Note 4 3 30 2 2" xfId="37843" xr:uid="{C1645474-2E07-4088-86A3-8573F2A6FE89}"/>
    <cellStyle name="Note 4 3 30 2 3" xfId="37844" xr:uid="{2D6B42B3-E517-4767-9017-A8BEC7C75F24}"/>
    <cellStyle name="Note 4 3 30 2 4" xfId="37845" xr:uid="{59351E70-88FF-4D62-96CB-D0583324414B}"/>
    <cellStyle name="Note 4 3 30 2 5" xfId="37846" xr:uid="{0C0259EB-B3AF-4150-8627-3AA1E413D7B6}"/>
    <cellStyle name="Note 4 3 30 2 6" xfId="37847" xr:uid="{9DF77283-C9B3-43F0-A085-7FBBC183664B}"/>
    <cellStyle name="Note 4 3 30 3" xfId="37848" xr:uid="{C5550567-950A-469F-A8D1-58CA8D0CA777}"/>
    <cellStyle name="Note 4 3 30 4" xfId="37849" xr:uid="{C4B2061E-AB33-4526-B06F-F3EB7C4DEC09}"/>
    <cellStyle name="Note 4 3 30 5" xfId="37850" xr:uid="{800B108B-AE9A-4E4C-8B96-690893C99E52}"/>
    <cellStyle name="Note 4 3 30 6" xfId="37851" xr:uid="{B651ECE4-760D-43AA-AEC8-A2A75D858154}"/>
    <cellStyle name="Note 4 3 30 7" xfId="37852" xr:uid="{6CA2C0FF-13BD-4918-A381-E2885A3A2964}"/>
    <cellStyle name="Note 4 3 31" xfId="2690" xr:uid="{514CDC2F-4C2B-496B-BA7F-D7FAE05C0F20}"/>
    <cellStyle name="Note 4 3 31 2" xfId="12420" xr:uid="{0DD0FB0F-24A9-425D-8061-A2F5A3C41614}"/>
    <cellStyle name="Note 4 3 31 2 2" xfId="37853" xr:uid="{03F1DEF7-516A-40D1-9365-CABA286278BA}"/>
    <cellStyle name="Note 4 3 31 2 3" xfId="37854" xr:uid="{E2ABC891-BC6F-4E20-AE7A-CBB06F127504}"/>
    <cellStyle name="Note 4 3 31 2 4" xfId="37855" xr:uid="{1B536940-0112-467E-B0D0-606BB087AC59}"/>
    <cellStyle name="Note 4 3 31 2 5" xfId="37856" xr:uid="{1A52A077-15C6-453E-A152-DADD6B024C20}"/>
    <cellStyle name="Note 4 3 31 2 6" xfId="37857" xr:uid="{522D5447-E845-42CA-B73E-A13855D09C23}"/>
    <cellStyle name="Note 4 3 31 3" xfId="37858" xr:uid="{B505AA2B-E9EE-43B1-97CF-119A44B7D06B}"/>
    <cellStyle name="Note 4 3 31 4" xfId="37859" xr:uid="{F1BF24B1-2195-4971-8704-A4D7C1355AD0}"/>
    <cellStyle name="Note 4 3 31 5" xfId="37860" xr:uid="{12D51E20-FFE6-4567-8B55-F4930EC8357A}"/>
    <cellStyle name="Note 4 3 31 6" xfId="37861" xr:uid="{589A61D5-B34F-4ADF-B19E-81A1CC1FCEA2}"/>
    <cellStyle name="Note 4 3 31 7" xfId="37862" xr:uid="{63E90C45-0B85-4F9F-A2E4-DB01B87A4AFD}"/>
    <cellStyle name="Note 4 3 32" xfId="2691" xr:uid="{FAFA40C0-5556-4FE5-9133-FA8EFC5324A5}"/>
    <cellStyle name="Note 4 3 32 2" xfId="12499" xr:uid="{222C2FA4-36E8-417F-9169-BD56BAC86494}"/>
    <cellStyle name="Note 4 3 32 2 2" xfId="37863" xr:uid="{CEB12943-C789-4FA2-92C3-B6F8CD6E33D8}"/>
    <cellStyle name="Note 4 3 32 2 3" xfId="37864" xr:uid="{9502146D-103A-4D3C-A120-C63222113DB9}"/>
    <cellStyle name="Note 4 3 32 2 4" xfId="37865" xr:uid="{59EE242D-B9F7-4C0F-BE47-E21790EFD942}"/>
    <cellStyle name="Note 4 3 32 2 5" xfId="37866" xr:uid="{2580F674-9E99-4833-A0D9-4018F19D157B}"/>
    <cellStyle name="Note 4 3 32 2 6" xfId="37867" xr:uid="{F61DBB82-16C3-49A6-9964-A1F5EC22292B}"/>
    <cellStyle name="Note 4 3 32 3" xfId="37868" xr:uid="{89EB3FE3-3E62-4DCF-BA1A-29DE198A5C9E}"/>
    <cellStyle name="Note 4 3 32 4" xfId="37869" xr:uid="{089D7E55-0C96-4D2B-A978-34260EFF90CF}"/>
    <cellStyle name="Note 4 3 32 5" xfId="37870" xr:uid="{716613C4-EE53-46D4-A7DD-C3C882639D83}"/>
    <cellStyle name="Note 4 3 32 6" xfId="37871" xr:uid="{9DC92172-65C7-4E14-8C55-FFB9BD153F60}"/>
    <cellStyle name="Note 4 3 32 7" xfId="37872" xr:uid="{8A1E71AE-2E13-45BA-91FD-EFA8D233A523}"/>
    <cellStyle name="Note 4 3 33" xfId="2692" xr:uid="{A6970F59-EB5A-460E-A971-BF0FFAE690CF}"/>
    <cellStyle name="Note 4 3 33 2" xfId="12578" xr:uid="{CCF7E2A0-31C7-44C8-B781-3F426F2A5692}"/>
    <cellStyle name="Note 4 3 33 2 2" xfId="37873" xr:uid="{07AEB1BF-CCD5-4600-A0C9-2459F4BA3463}"/>
    <cellStyle name="Note 4 3 33 2 3" xfId="37874" xr:uid="{1E60E514-2BEF-478C-8F3E-833039E9EA5A}"/>
    <cellStyle name="Note 4 3 33 2 4" xfId="37875" xr:uid="{38A1D898-B018-4159-8415-1D0E2AE6C698}"/>
    <cellStyle name="Note 4 3 33 2 5" xfId="37876" xr:uid="{364206FB-E0DD-4181-A779-E923AA0F415F}"/>
    <cellStyle name="Note 4 3 33 2 6" xfId="37877" xr:uid="{2578E954-2BD1-46CE-8085-618166414A0C}"/>
    <cellStyle name="Note 4 3 33 3" xfId="37878" xr:uid="{5D38187A-0F0F-457E-B407-76D1A5CAC78F}"/>
    <cellStyle name="Note 4 3 33 4" xfId="37879" xr:uid="{E3A3F2E7-8BEF-49FB-B34E-41A17D6A2EBD}"/>
    <cellStyle name="Note 4 3 33 5" xfId="37880" xr:uid="{B5B5C68A-499B-4BD3-8C1C-34662BC9C62E}"/>
    <cellStyle name="Note 4 3 33 6" xfId="37881" xr:uid="{A3DDA7DA-50BE-47FF-B087-5A5DF82E0108}"/>
    <cellStyle name="Note 4 3 33 7" xfId="37882" xr:uid="{25481469-E713-4278-8A8B-8D03B15DB825}"/>
    <cellStyle name="Note 4 3 34" xfId="2693" xr:uid="{B113DBB4-AAE4-497F-880E-F6D6455C1189}"/>
    <cellStyle name="Note 4 3 34 2" xfId="12657" xr:uid="{819B7D48-4E8F-4842-8D64-2BD527F484C0}"/>
    <cellStyle name="Note 4 3 34 2 2" xfId="37883" xr:uid="{9FD47EF7-AC4A-4171-8C4E-DE4224AF5B3C}"/>
    <cellStyle name="Note 4 3 34 2 3" xfId="37884" xr:uid="{56E50AA9-6366-4DA1-9C4C-120CEF78B729}"/>
    <cellStyle name="Note 4 3 34 2 4" xfId="37885" xr:uid="{1C8B4B53-7F0F-413C-9FAD-B97D0FF36E46}"/>
    <cellStyle name="Note 4 3 34 2 5" xfId="37886" xr:uid="{35D4C394-3250-468D-A719-BBC4ECC63B72}"/>
    <cellStyle name="Note 4 3 34 2 6" xfId="37887" xr:uid="{C0F3D52B-007F-4FF6-908C-5A24DBE0D44A}"/>
    <cellStyle name="Note 4 3 34 3" xfId="37888" xr:uid="{4155BC0C-2974-48CF-8BEF-A6466601E5EF}"/>
    <cellStyle name="Note 4 3 34 4" xfId="37889" xr:uid="{1531D770-9041-4386-9AE1-84FDAAB7DAAC}"/>
    <cellStyle name="Note 4 3 34 5" xfId="37890" xr:uid="{A09AC5AE-CE9E-43A8-B5D9-07E1D500FD0D}"/>
    <cellStyle name="Note 4 3 34 6" xfId="37891" xr:uid="{AC5DB10F-C5C3-4589-9630-A44158068C32}"/>
    <cellStyle name="Note 4 3 34 7" xfId="37892" xr:uid="{0015FDF7-2759-47D6-8A3A-4AEED52A0A31}"/>
    <cellStyle name="Note 4 3 35" xfId="2694" xr:uid="{F634A5DD-1197-4115-A741-674D7022C882}"/>
    <cellStyle name="Note 4 3 35 2" xfId="12741" xr:uid="{3B25CE1A-38FB-4B1D-8C3B-B6F03A24B385}"/>
    <cellStyle name="Note 4 3 35 2 2" xfId="37893" xr:uid="{7AC4D53B-192B-4B0F-AEDB-8E35A8D1FCA6}"/>
    <cellStyle name="Note 4 3 35 2 3" xfId="37894" xr:uid="{4B339415-BB51-4E12-B2E8-44414DC54368}"/>
    <cellStyle name="Note 4 3 35 2 4" xfId="37895" xr:uid="{C2D3A3C9-1808-4A3D-9F3E-2EF562ED4B01}"/>
    <cellStyle name="Note 4 3 35 2 5" xfId="37896" xr:uid="{839EEC93-13F3-4D95-B9F2-086382460F51}"/>
    <cellStyle name="Note 4 3 35 2 6" xfId="37897" xr:uid="{5C2346A5-2F96-473F-9209-66869B0D70C3}"/>
    <cellStyle name="Note 4 3 35 3" xfId="37898" xr:uid="{A32FE721-36D7-4EB6-A2B2-B2445D76B20A}"/>
    <cellStyle name="Note 4 3 35 4" xfId="37899" xr:uid="{28750029-E72B-4367-A90C-B46C52BAC431}"/>
    <cellStyle name="Note 4 3 35 5" xfId="37900" xr:uid="{2CCE64FA-8065-4211-8B82-01A9A1417936}"/>
    <cellStyle name="Note 4 3 35 6" xfId="37901" xr:uid="{AB399415-335D-483F-95D6-6FA592CC5BE9}"/>
    <cellStyle name="Note 4 3 35 7" xfId="37902" xr:uid="{E97206FC-9AF4-4E19-BA71-388F5FEC231F}"/>
    <cellStyle name="Note 4 3 36" xfId="9806" xr:uid="{68385D8F-80E1-4E13-BB1E-7494343AEFBE}"/>
    <cellStyle name="Note 4 3 36 2" xfId="37903" xr:uid="{D9261474-9B62-4301-8FF6-71E7087F1996}"/>
    <cellStyle name="Note 4 3 36 3" xfId="37904" xr:uid="{EB0695FF-5EA4-4FDC-ADB0-A564350314A6}"/>
    <cellStyle name="Note 4 3 36 4" xfId="37905" xr:uid="{0565D92E-D318-40D0-83F8-1597C8F62F2E}"/>
    <cellStyle name="Note 4 3 36 5" xfId="37906" xr:uid="{9BFE5A7A-3C8C-41A2-BC0E-53DDE77904F5}"/>
    <cellStyle name="Note 4 3 36 6" xfId="37907" xr:uid="{0CE48FB9-1B7C-4CA5-9B16-0C0C8E678FF0}"/>
    <cellStyle name="Note 4 3 37" xfId="37908" xr:uid="{C2736D2F-674C-42D6-8ED6-CE4C355DD0DC}"/>
    <cellStyle name="Note 4 3 38" xfId="37909" xr:uid="{26D4040D-5235-4450-9F52-900BFBA36A17}"/>
    <cellStyle name="Note 4 3 39" xfId="37910" xr:uid="{4FF2F0D5-1301-4F1D-A462-8B10DD140563}"/>
    <cellStyle name="Note 4 3 4" xfId="2695" xr:uid="{0F3B86B3-479E-4555-939C-004C5712CF4C}"/>
    <cellStyle name="Note 4 3 4 2" xfId="10110" xr:uid="{5400FAC4-E46B-4D94-851D-A9A6AD6B683F}"/>
    <cellStyle name="Note 4 3 4 2 2" xfId="37911" xr:uid="{60402E94-2C9C-4127-BBE4-C2E25723DA1F}"/>
    <cellStyle name="Note 4 3 4 2 3" xfId="37912" xr:uid="{70AE0E4B-E637-45F3-9189-96526988008E}"/>
    <cellStyle name="Note 4 3 4 2 4" xfId="37913" xr:uid="{5DB717C8-05A5-4C2E-BC8D-CBB00D523DA2}"/>
    <cellStyle name="Note 4 3 4 2 5" xfId="37914" xr:uid="{50A11921-0ABD-4C67-8068-CA41F6682559}"/>
    <cellStyle name="Note 4 3 4 2 6" xfId="37915" xr:uid="{69BE3545-6B63-47BC-9E59-C15CA12CED25}"/>
    <cellStyle name="Note 4 3 4 3" xfId="37916" xr:uid="{958F5E1B-8B76-4F8F-8628-0957F9134304}"/>
    <cellStyle name="Note 4 3 4 4" xfId="37917" xr:uid="{AA700B93-3B19-4DD4-8667-760BF6A0791E}"/>
    <cellStyle name="Note 4 3 4 5" xfId="37918" xr:uid="{E6FE025D-E646-40D2-BA07-72BEB89A479B}"/>
    <cellStyle name="Note 4 3 4 6" xfId="37919" xr:uid="{320C6205-2248-491C-B0CE-8F1FFBC4136C}"/>
    <cellStyle name="Note 4 3 4 7" xfId="37920" xr:uid="{9AB70047-5B99-447E-A34D-47FEEAE44106}"/>
    <cellStyle name="Note 4 3 40" xfId="37921" xr:uid="{CD97F64D-CD85-4245-910F-0B569B45A5AE}"/>
    <cellStyle name="Note 4 3 41" xfId="37922" xr:uid="{B7F49204-38E9-45CB-B8C9-A6F7D5D61D9A}"/>
    <cellStyle name="Note 4 3 5" xfId="2696" xr:uid="{8AB8831A-9FF8-4A3E-B139-B8511153AB3F}"/>
    <cellStyle name="Note 4 3 5 2" xfId="10200" xr:uid="{9ED97D43-7F02-4EF5-B96B-77E6ECB30A41}"/>
    <cellStyle name="Note 4 3 5 2 2" xfId="37923" xr:uid="{239C185A-CD66-4196-BA7B-99CF156F9DC3}"/>
    <cellStyle name="Note 4 3 5 2 3" xfId="37924" xr:uid="{FDDC6598-18DD-462F-9A8A-9720DF3F1C1D}"/>
    <cellStyle name="Note 4 3 5 2 4" xfId="37925" xr:uid="{2514D669-0099-44F9-9247-EF3342921E03}"/>
    <cellStyle name="Note 4 3 5 2 5" xfId="37926" xr:uid="{8CD3C73E-8AD7-42EF-9A1E-39FACBAA5ED0}"/>
    <cellStyle name="Note 4 3 5 2 6" xfId="37927" xr:uid="{492E1AE3-68AC-4DDF-87A9-8038616E59E5}"/>
    <cellStyle name="Note 4 3 5 3" xfId="37928" xr:uid="{81FBC171-8A6F-4790-A788-95B15D0C55A3}"/>
    <cellStyle name="Note 4 3 5 4" xfId="37929" xr:uid="{87E4350E-E2A7-428F-B43E-DEEEB66326CA}"/>
    <cellStyle name="Note 4 3 5 5" xfId="37930" xr:uid="{685F29BE-4A77-47F0-AE0E-0E2C9D310E11}"/>
    <cellStyle name="Note 4 3 5 6" xfId="37931" xr:uid="{4C0534F2-31B2-433F-804A-1BA8B0BF8844}"/>
    <cellStyle name="Note 4 3 5 7" xfId="37932" xr:uid="{97F20DBB-9FDE-4E7D-998F-4C94DB5E90AE}"/>
    <cellStyle name="Note 4 3 6" xfId="2697" xr:uid="{26398C19-70E8-4862-9463-32EDE7A78426}"/>
    <cellStyle name="Note 4 3 6 2" xfId="10286" xr:uid="{E68A8645-FC5A-4CC1-8BEC-D98E8C58C17A}"/>
    <cellStyle name="Note 4 3 6 2 2" xfId="37933" xr:uid="{6904CADA-C6C2-42BB-8334-C92766BDB365}"/>
    <cellStyle name="Note 4 3 6 2 3" xfId="37934" xr:uid="{52EF266C-BA06-4B21-976B-3EFFB5F059DB}"/>
    <cellStyle name="Note 4 3 6 2 4" xfId="37935" xr:uid="{B69ABF1E-7D76-43BC-9E48-6A81F3BB1411}"/>
    <cellStyle name="Note 4 3 6 2 5" xfId="37936" xr:uid="{15C9FEDB-086D-489D-B069-6C2738C5DB20}"/>
    <cellStyle name="Note 4 3 6 2 6" xfId="37937" xr:uid="{E724AF3A-C6F1-4A56-96B0-09608D07B89A}"/>
    <cellStyle name="Note 4 3 6 3" xfId="37938" xr:uid="{2871CFC2-070E-44AC-8C44-763BCD91E6CD}"/>
    <cellStyle name="Note 4 3 6 4" xfId="37939" xr:uid="{0963F20A-3024-4134-AB83-35720D1E3432}"/>
    <cellStyle name="Note 4 3 6 5" xfId="37940" xr:uid="{6ED839A3-4564-4ED8-98BC-1D5DC89E7AB8}"/>
    <cellStyle name="Note 4 3 6 6" xfId="37941" xr:uid="{50578190-F688-4D76-96FA-6723D230352C}"/>
    <cellStyle name="Note 4 3 6 7" xfId="37942" xr:uid="{100BAA72-1C20-45B7-B167-3706F4CD0A40}"/>
    <cellStyle name="Note 4 3 7" xfId="2698" xr:uid="{9D4E77AD-53F6-4F1A-848B-00C0AE4E133D}"/>
    <cellStyle name="Note 4 3 7 2" xfId="10374" xr:uid="{0522C73B-D26E-4605-9CEC-13419099F19A}"/>
    <cellStyle name="Note 4 3 7 2 2" xfId="37943" xr:uid="{0780362A-FAA1-4A0D-924D-13D153A7986F}"/>
    <cellStyle name="Note 4 3 7 2 3" xfId="37944" xr:uid="{1E62C50B-5295-48A6-9B44-D989EBF088C9}"/>
    <cellStyle name="Note 4 3 7 2 4" xfId="37945" xr:uid="{0219DEE3-2F4D-45A8-9DCE-A21255CD913D}"/>
    <cellStyle name="Note 4 3 7 2 5" xfId="37946" xr:uid="{1723EF55-E05E-43AB-9BAF-289C4C03AB85}"/>
    <cellStyle name="Note 4 3 7 2 6" xfId="37947" xr:uid="{47728DBC-82DD-4C7F-91BF-576B30ACEC04}"/>
    <cellStyle name="Note 4 3 7 3" xfId="37948" xr:uid="{9AB2C4DD-696C-4BBB-B69E-C8E1F2E1D39E}"/>
    <cellStyle name="Note 4 3 7 4" xfId="37949" xr:uid="{3E8F2CDD-8E09-46AA-A068-D0A670BD60B1}"/>
    <cellStyle name="Note 4 3 7 5" xfId="37950" xr:uid="{676C7F0E-7B59-4A42-B1D3-5EAC45130A0E}"/>
    <cellStyle name="Note 4 3 7 6" xfId="37951" xr:uid="{0F47F5C3-3E7A-4799-A18D-5E6E19B21FB0}"/>
    <cellStyle name="Note 4 3 7 7" xfId="37952" xr:uid="{F81B825C-4723-477F-9BEB-809104F1E80A}"/>
    <cellStyle name="Note 4 3 8" xfId="2699" xr:uid="{CA0AD187-1C57-4D2A-9CB0-4DF8DCA65C6C}"/>
    <cellStyle name="Note 4 3 8 2" xfId="10461" xr:uid="{E7940358-F40A-4A2A-A55B-AB33AE19817F}"/>
    <cellStyle name="Note 4 3 8 2 2" xfId="37953" xr:uid="{1C25C0F2-CC38-4CCC-81F6-C7CCDF394F60}"/>
    <cellStyle name="Note 4 3 8 2 3" xfId="37954" xr:uid="{53860AF9-43EB-429B-B5DE-95238840E34F}"/>
    <cellStyle name="Note 4 3 8 2 4" xfId="37955" xr:uid="{C6066959-9771-4AC2-8C55-8A149A8B80D4}"/>
    <cellStyle name="Note 4 3 8 2 5" xfId="37956" xr:uid="{9969F633-F066-4157-BDC4-95E981DB5849}"/>
    <cellStyle name="Note 4 3 8 2 6" xfId="37957" xr:uid="{18EAC670-5F4E-4303-A506-FBD1CFB0B1A9}"/>
    <cellStyle name="Note 4 3 8 3" xfId="37958" xr:uid="{EEE2E12C-DAC9-4B0A-B70F-A0E7816F8EBD}"/>
    <cellStyle name="Note 4 3 8 4" xfId="37959" xr:uid="{D6B336A1-F0C3-4CC4-97D4-581484D34995}"/>
    <cellStyle name="Note 4 3 8 5" xfId="37960" xr:uid="{D3C3AAC3-FC4D-43C3-85A7-AB98EBF20AB0}"/>
    <cellStyle name="Note 4 3 8 6" xfId="37961" xr:uid="{47911379-C865-4C87-9C2C-A4D0FF1E3D5C}"/>
    <cellStyle name="Note 4 3 8 7" xfId="37962" xr:uid="{5BB2F152-0692-489A-BCED-5B6A8E74EA0C}"/>
    <cellStyle name="Note 4 3 9" xfId="2700" xr:uid="{F390FB70-BD14-47FD-96E0-3F4FD18F2BF7}"/>
    <cellStyle name="Note 4 3 9 2" xfId="10550" xr:uid="{C3AF2AA7-788E-4E97-ABBA-2EFDB146EA76}"/>
    <cellStyle name="Note 4 3 9 2 2" xfId="37963" xr:uid="{D2E6E643-DE97-43AB-8F00-469F36F476E7}"/>
    <cellStyle name="Note 4 3 9 2 3" xfId="37964" xr:uid="{887D6DDF-8DF9-4980-8AE3-79D783D3065D}"/>
    <cellStyle name="Note 4 3 9 2 4" xfId="37965" xr:uid="{09158C1B-B8B6-4618-9225-3959BC1885FC}"/>
    <cellStyle name="Note 4 3 9 2 5" xfId="37966" xr:uid="{CF293962-1868-4F60-9A1F-41EE71434C43}"/>
    <cellStyle name="Note 4 3 9 2 6" xfId="37967" xr:uid="{8FD5E8AD-6CCD-4EED-9339-4B6938877E93}"/>
    <cellStyle name="Note 4 3 9 3" xfId="37968" xr:uid="{143C5354-F587-4C4B-9D6A-46AADA4C5F9D}"/>
    <cellStyle name="Note 4 3 9 4" xfId="37969" xr:uid="{B49C6EFE-0E61-4AFA-A886-00BE80372DDA}"/>
    <cellStyle name="Note 4 3 9 5" xfId="37970" xr:uid="{939C9263-366F-402F-8D64-5FB7899CCE44}"/>
    <cellStyle name="Note 4 3 9 6" xfId="37971" xr:uid="{5941AC42-C7CB-4B4B-9ADD-5EE096C8432C}"/>
    <cellStyle name="Note 4 3 9 7" xfId="37972" xr:uid="{1A8C3A6D-3CA5-45C8-B27C-6277813A3B9E}"/>
    <cellStyle name="Note 4 30" xfId="2701" xr:uid="{271E1718-0A9E-470E-A4DE-6D4348BBDA30}"/>
    <cellStyle name="Note 4 30 2" xfId="11904" xr:uid="{4407DD23-9D05-4272-8BEA-E6D37BB7DF28}"/>
    <cellStyle name="Note 4 30 2 2" xfId="37973" xr:uid="{DE1D5DD0-44CE-47AF-B7B0-69A17E26B531}"/>
    <cellStyle name="Note 4 30 2 3" xfId="37974" xr:uid="{C6FD0D3A-FE02-4FD9-B734-D2D6D5612BBA}"/>
    <cellStyle name="Note 4 30 2 4" xfId="37975" xr:uid="{6880FD77-D6DF-49C5-9950-58D8DB604A39}"/>
    <cellStyle name="Note 4 30 2 5" xfId="37976" xr:uid="{671D058F-B5D2-4993-B70A-32775CBD7265}"/>
    <cellStyle name="Note 4 30 2 6" xfId="37977" xr:uid="{76A43AF7-4A7C-4C7C-9836-777E5603FECE}"/>
    <cellStyle name="Note 4 30 3" xfId="37978" xr:uid="{F5E88C44-7ABD-4E8B-83A7-6F657CF230CE}"/>
    <cellStyle name="Note 4 30 4" xfId="37979" xr:uid="{0313C6BC-29DC-4567-9B12-4E2591CD7F62}"/>
    <cellStyle name="Note 4 30 5" xfId="37980" xr:uid="{99A3EABC-6CA8-406C-9DA0-8A1AEDB89819}"/>
    <cellStyle name="Note 4 30 6" xfId="37981" xr:uid="{E90AA5AD-DD81-440C-B9D9-40DAF77C140E}"/>
    <cellStyle name="Note 4 30 7" xfId="37982" xr:uid="{36111916-B36E-4138-918C-908AF0D06E33}"/>
    <cellStyle name="Note 4 31" xfId="2702" xr:uid="{8E702F32-1B22-4386-8C47-A4211B8D73AB}"/>
    <cellStyle name="Note 4 31 2" xfId="11903" xr:uid="{82D841D0-3876-46B1-AC51-A17311507F96}"/>
    <cellStyle name="Note 4 31 2 2" xfId="37983" xr:uid="{60F422A4-693B-4207-81C3-F86ADE2964CE}"/>
    <cellStyle name="Note 4 31 2 3" xfId="37984" xr:uid="{806C7DD0-2CD1-46EC-8E8B-8E949A06FE39}"/>
    <cellStyle name="Note 4 31 2 4" xfId="37985" xr:uid="{27BA7E43-C68D-4EC7-9FA5-C9CE77B8A5CE}"/>
    <cellStyle name="Note 4 31 2 5" xfId="37986" xr:uid="{F3A51F82-3A8D-4265-9A05-4A234A622419}"/>
    <cellStyle name="Note 4 31 2 6" xfId="37987" xr:uid="{F3323F84-8B78-4005-910D-F84578B3358D}"/>
    <cellStyle name="Note 4 31 3" xfId="37988" xr:uid="{F631CD76-3782-468B-BF64-21CB7528F0E0}"/>
    <cellStyle name="Note 4 31 4" xfId="37989" xr:uid="{1B1BB5D9-8A45-40EE-98DA-7859D4CE8AFB}"/>
    <cellStyle name="Note 4 31 5" xfId="37990" xr:uid="{D6E86722-5DC2-4149-B34B-B5C72C568B0B}"/>
    <cellStyle name="Note 4 31 6" xfId="37991" xr:uid="{F116286A-180B-41E7-A148-6F2252997DDB}"/>
    <cellStyle name="Note 4 31 7" xfId="37992" xr:uid="{45B94CB8-B521-4F34-9486-F02BAC94D473}"/>
    <cellStyle name="Note 4 32" xfId="2703" xr:uid="{49746C52-C6E9-42E2-9F25-9691C907CDF5}"/>
    <cellStyle name="Note 4 32 2" xfId="11390" xr:uid="{FA3F892F-EAFD-494A-8491-E15375BC7C9D}"/>
    <cellStyle name="Note 4 32 2 2" xfId="37993" xr:uid="{8268CDDE-6741-4D49-9317-17F94CBBBF20}"/>
    <cellStyle name="Note 4 32 2 3" xfId="37994" xr:uid="{9F9E8E87-6E60-41E0-860C-64EB569B5148}"/>
    <cellStyle name="Note 4 32 2 4" xfId="37995" xr:uid="{8FFA4345-AABE-42E2-8EFC-E92EE7CC0456}"/>
    <cellStyle name="Note 4 32 2 5" xfId="37996" xr:uid="{AB93BFEC-34BB-44D5-9AC8-D4FAB56D8902}"/>
    <cellStyle name="Note 4 32 2 6" xfId="37997" xr:uid="{EE9EDE4B-193C-496F-A4F1-141F724BF08C}"/>
    <cellStyle name="Note 4 32 3" xfId="37998" xr:uid="{4A24DC18-3D4A-4568-93F2-B32D9129CB00}"/>
    <cellStyle name="Note 4 32 4" xfId="37999" xr:uid="{75A385BF-6855-4E65-AF19-1B2031B2E8F7}"/>
    <cellStyle name="Note 4 32 5" xfId="38000" xr:uid="{4D2329D1-1183-4225-AF84-6255C17FAC71}"/>
    <cellStyle name="Note 4 32 6" xfId="38001" xr:uid="{79FD19EC-1DFD-4AAC-A96D-690AA8475E41}"/>
    <cellStyle name="Note 4 32 7" xfId="38002" xr:uid="{617146C3-D6FF-42A3-9768-07846511223B}"/>
    <cellStyle name="Note 4 33" xfId="2704" xr:uid="{150C31EB-D8E3-4FF0-A95C-16E970E8E28E}"/>
    <cellStyle name="Note 4 33 2" xfId="11568" xr:uid="{D9951B1F-848F-490A-A018-80CC30B3A353}"/>
    <cellStyle name="Note 4 33 2 2" xfId="38003" xr:uid="{7C8FCC24-2A97-4F7D-B654-DDCD048DB30E}"/>
    <cellStyle name="Note 4 33 2 3" xfId="38004" xr:uid="{8B5C7366-3764-4A88-BAF5-70EB762CE968}"/>
    <cellStyle name="Note 4 33 2 4" xfId="38005" xr:uid="{C4B46D36-BA82-4C8E-B2E0-748284C1EBAD}"/>
    <cellStyle name="Note 4 33 2 5" xfId="38006" xr:uid="{1D4BE44D-A209-486C-89D4-BCCB4D232539}"/>
    <cellStyle name="Note 4 33 2 6" xfId="38007" xr:uid="{CB9DC1D2-0FCE-4C4A-8AF4-698C25BD8D5A}"/>
    <cellStyle name="Note 4 33 3" xfId="38008" xr:uid="{5D43020E-34D7-40DF-8C69-E2B2A287445E}"/>
    <cellStyle name="Note 4 33 4" xfId="38009" xr:uid="{C05F6B86-8DE1-4C19-815C-DACABABF296A}"/>
    <cellStyle name="Note 4 33 5" xfId="38010" xr:uid="{EC6FC830-386A-4C35-8779-98B98742764F}"/>
    <cellStyle name="Note 4 33 6" xfId="38011" xr:uid="{C7DE0B9F-1785-4D0A-AF12-04453E468899}"/>
    <cellStyle name="Note 4 33 7" xfId="38012" xr:uid="{8107F208-CD89-4FDE-97A5-EBE2B6D31904}"/>
    <cellStyle name="Note 4 34" xfId="2705" xr:uid="{A8D0639E-E83E-41FF-BE0F-C23D234F4BAC}"/>
    <cellStyle name="Note 4 34 2" xfId="12233" xr:uid="{8E7185B5-4920-40B1-AF0C-8CAC348A064C}"/>
    <cellStyle name="Note 4 34 2 2" xfId="38013" xr:uid="{821F9D37-EAA5-4589-AA50-356BDB4B7906}"/>
    <cellStyle name="Note 4 34 2 3" xfId="38014" xr:uid="{579ADC8A-E342-4705-B97A-0A54D62B2945}"/>
    <cellStyle name="Note 4 34 2 4" xfId="38015" xr:uid="{62B429BA-26F3-4335-98B2-55BE7F9EF834}"/>
    <cellStyle name="Note 4 34 2 5" xfId="38016" xr:uid="{97510B88-B25C-46D5-B4CE-3C850071C4F6}"/>
    <cellStyle name="Note 4 34 2 6" xfId="38017" xr:uid="{ACE6F358-DD67-4935-827A-BB3E156BC681}"/>
    <cellStyle name="Note 4 34 3" xfId="38018" xr:uid="{BC3E5C69-8D40-4158-9558-F8643A070738}"/>
    <cellStyle name="Note 4 34 4" xfId="38019" xr:uid="{191811AB-5D81-417F-9690-87377291931A}"/>
    <cellStyle name="Note 4 34 5" xfId="38020" xr:uid="{1A3D57ED-763F-4A78-8169-D4BA73108A7D}"/>
    <cellStyle name="Note 4 34 6" xfId="38021" xr:uid="{26E81BBD-DF86-4078-A0D9-CF06DC7B2595}"/>
    <cellStyle name="Note 4 34 7" xfId="38022" xr:uid="{D6852456-910B-453F-9C78-92094656A71C}"/>
    <cellStyle name="Note 4 35" xfId="2706" xr:uid="{B5406694-D295-4C19-A6C5-143ACD8C6B34}"/>
    <cellStyle name="Note 4 35 2" xfId="12312" xr:uid="{07ED1AD7-40AC-4191-B425-A6603262D3AF}"/>
    <cellStyle name="Note 4 35 2 2" xfId="38023" xr:uid="{5DC1F2BB-412C-47AB-BE0D-531D33C35592}"/>
    <cellStyle name="Note 4 35 2 3" xfId="38024" xr:uid="{34ED8814-610F-47CD-ADE0-5E04B351779D}"/>
    <cellStyle name="Note 4 35 2 4" xfId="38025" xr:uid="{B86D79BF-B192-4888-A375-8B5A523C9229}"/>
    <cellStyle name="Note 4 35 2 5" xfId="38026" xr:uid="{13350F51-861D-4E2A-B8DA-126C027EFD5A}"/>
    <cellStyle name="Note 4 35 2 6" xfId="38027" xr:uid="{7242E320-C3EE-480F-919C-6947E3895AB8}"/>
    <cellStyle name="Note 4 35 3" xfId="38028" xr:uid="{38BAB577-EA34-4B0C-A5DE-54238AD2ABC9}"/>
    <cellStyle name="Note 4 35 4" xfId="38029" xr:uid="{A1D83354-7366-4332-AC88-C794FCBF105D}"/>
    <cellStyle name="Note 4 35 5" xfId="38030" xr:uid="{438638E5-D8B3-48F7-93F7-0A15B8E4AAAF}"/>
    <cellStyle name="Note 4 35 6" xfId="38031" xr:uid="{099BAE01-5237-4A8F-AFF4-AA5CC6B4091F}"/>
    <cellStyle name="Note 4 35 7" xfId="38032" xr:uid="{47F53284-B071-45E4-B99F-67101BED4075}"/>
    <cellStyle name="Note 4 36" xfId="2707" xr:uid="{69D6B9CF-212D-41A4-8054-AAE1FE4DC800}"/>
    <cellStyle name="Note 4 36 2" xfId="12708" xr:uid="{0EA364BF-5B78-4AB5-BFAF-23B10029703C}"/>
    <cellStyle name="Note 4 36 2 2" xfId="38033" xr:uid="{44D2D072-78FD-4DBC-BEC9-F5B8B0980741}"/>
    <cellStyle name="Note 4 36 2 3" xfId="38034" xr:uid="{5EB2A554-B4EF-4BB8-BE20-9E379917AE9A}"/>
    <cellStyle name="Note 4 36 2 4" xfId="38035" xr:uid="{D1FA6048-1DEF-40D4-A790-5CA3C1A0AE33}"/>
    <cellStyle name="Note 4 36 2 5" xfId="38036" xr:uid="{6EB9C960-E924-4139-97C1-073E4B8A9D7F}"/>
    <cellStyle name="Note 4 36 2 6" xfId="38037" xr:uid="{F271AF13-E057-4681-9119-0F1A4765D5C4}"/>
    <cellStyle name="Note 4 36 3" xfId="38038" xr:uid="{60AA946A-1B20-4EED-AEFA-479D7ECAA64F}"/>
    <cellStyle name="Note 4 36 4" xfId="38039" xr:uid="{8FB67A56-B948-4E95-84F6-3EC66AE74EB5}"/>
    <cellStyle name="Note 4 36 5" xfId="38040" xr:uid="{E05507E5-3B71-46EE-BB34-46937333B698}"/>
    <cellStyle name="Note 4 36 6" xfId="38041" xr:uid="{AA015E75-8B1E-4F46-83B3-EEEC5ABE2349}"/>
    <cellStyle name="Note 4 36 7" xfId="38042" xr:uid="{DB285230-05D5-485B-B4F8-9894EBB37F68}"/>
    <cellStyle name="Note 4 37" xfId="8914" xr:uid="{F3489A81-DD20-474B-8A99-99054E43041D}"/>
    <cellStyle name="Note 4 38" xfId="9771" xr:uid="{640F9160-B537-4A93-BE91-9C9317822939}"/>
    <cellStyle name="Note 4 38 2" xfId="38043" xr:uid="{1C32DCC5-4293-4520-955C-C8BED7AA9214}"/>
    <cellStyle name="Note 4 38 3" xfId="38044" xr:uid="{3E29144B-42AA-4A72-B0B8-7FB8D7A1B15D}"/>
    <cellStyle name="Note 4 38 4" xfId="38045" xr:uid="{4F4338DF-62F2-4C8D-BB0B-4D6FEDF5A4B5}"/>
    <cellStyle name="Note 4 38 5" xfId="38046" xr:uid="{385AA578-AD1D-44C2-A706-1A4433E97911}"/>
    <cellStyle name="Note 4 38 6" xfId="38047" xr:uid="{1992E8C5-A7DE-4A00-B89F-EA873F00F85B}"/>
    <cellStyle name="Note 4 39" xfId="38048" xr:uid="{4DFD34EC-517B-4943-AE78-2CC2FADCD520}"/>
    <cellStyle name="Note 4 4" xfId="2708" xr:uid="{C37A922F-ACDC-4B11-B185-B17F612AEF0F}"/>
    <cellStyle name="Note 4 4 10" xfId="2709" xr:uid="{F4A37F1D-8624-46FD-B66B-7060B70146A9}"/>
    <cellStyle name="Note 4 4 10 2" xfId="10708" xr:uid="{961382A1-01FA-4A13-AFEA-495E1EECC373}"/>
    <cellStyle name="Note 4 4 10 2 2" xfId="38049" xr:uid="{5BCF7989-05DB-4FA1-B154-1CA2FBDE8A8B}"/>
    <cellStyle name="Note 4 4 10 2 3" xfId="38050" xr:uid="{548066FC-A9E5-463E-A406-6AC00A8D473A}"/>
    <cellStyle name="Note 4 4 10 2 4" xfId="38051" xr:uid="{C2D78ACE-4763-434B-9178-391AE442263C}"/>
    <cellStyle name="Note 4 4 10 2 5" xfId="38052" xr:uid="{8CE3E364-F055-48A0-9005-DDA7D776A116}"/>
    <cellStyle name="Note 4 4 10 2 6" xfId="38053" xr:uid="{0CBAC956-E51B-4DC9-BF94-CD56A79294D5}"/>
    <cellStyle name="Note 4 4 10 3" xfId="38054" xr:uid="{FE6990DA-C9CF-4A4B-B66C-5396C6FB4B2E}"/>
    <cellStyle name="Note 4 4 10 4" xfId="38055" xr:uid="{42BA1A1F-2A20-4F0E-9B2C-B8C58E59DCA3}"/>
    <cellStyle name="Note 4 4 10 5" xfId="38056" xr:uid="{8C64EF3F-F002-401D-B861-9D15079006EC}"/>
    <cellStyle name="Note 4 4 10 6" xfId="38057" xr:uid="{C9F53260-1974-405B-9EC2-FF84E22F7126}"/>
    <cellStyle name="Note 4 4 10 7" xfId="38058" xr:uid="{A42E493B-9F71-4B30-90A5-705339D72DD5}"/>
    <cellStyle name="Note 4 4 11" xfId="2710" xr:uid="{3CA7A50B-B1C7-4508-B642-AFA9DECABB08}"/>
    <cellStyle name="Note 4 4 11 2" xfId="10799" xr:uid="{95E543F6-1E23-4299-8D34-A6FDA5D4DAD7}"/>
    <cellStyle name="Note 4 4 11 2 2" xfId="38059" xr:uid="{ECEE2B77-688F-4D87-9F3E-66644E49B9FC}"/>
    <cellStyle name="Note 4 4 11 2 3" xfId="38060" xr:uid="{0E227E91-C11C-4642-A56A-20B79200606C}"/>
    <cellStyle name="Note 4 4 11 2 4" xfId="38061" xr:uid="{8390A23F-F67A-478B-8B4A-698504D64DF3}"/>
    <cellStyle name="Note 4 4 11 2 5" xfId="38062" xr:uid="{74D891C4-C64C-4FDF-902D-C6047AB15AA2}"/>
    <cellStyle name="Note 4 4 11 2 6" xfId="38063" xr:uid="{AEB734DD-1499-4046-AC27-2A7786AF330B}"/>
    <cellStyle name="Note 4 4 11 3" xfId="38064" xr:uid="{B996DEE6-698B-4E99-9327-972EF69D8701}"/>
    <cellStyle name="Note 4 4 11 4" xfId="38065" xr:uid="{CFD28E46-B3E7-439A-A8CB-7B9614317406}"/>
    <cellStyle name="Note 4 4 11 5" xfId="38066" xr:uid="{3FB1746F-80F6-47B4-93ED-1F230CE50030}"/>
    <cellStyle name="Note 4 4 11 6" xfId="38067" xr:uid="{BA26B46C-8DFA-4E19-A25B-58DDF9C75F37}"/>
    <cellStyle name="Note 4 4 11 7" xfId="38068" xr:uid="{795C131D-742A-4F9E-8CB1-CD655DDA538B}"/>
    <cellStyle name="Note 4 4 12" xfId="2711" xr:uid="{825822CD-FDDF-49FD-A8A4-F3858911DDBB}"/>
    <cellStyle name="Note 4 4 12 2" xfId="10886" xr:uid="{39D56AFF-8026-48F2-A27E-70AD9A70247B}"/>
    <cellStyle name="Note 4 4 12 2 2" xfId="38069" xr:uid="{22A7F10C-1093-4444-80C3-1078CD4A5BDB}"/>
    <cellStyle name="Note 4 4 12 2 3" xfId="38070" xr:uid="{A8DC8B9F-38F7-46F7-94DC-A44C3F1A8152}"/>
    <cellStyle name="Note 4 4 12 2 4" xfId="38071" xr:uid="{735E1085-BE0E-4C78-9D64-6C387D39FE5A}"/>
    <cellStyle name="Note 4 4 12 2 5" xfId="38072" xr:uid="{53BAF476-E6D3-43FE-B843-ED600478A739}"/>
    <cellStyle name="Note 4 4 12 2 6" xfId="38073" xr:uid="{304CB725-9936-4A11-B122-AEE995A53C55}"/>
    <cellStyle name="Note 4 4 12 3" xfId="38074" xr:uid="{60DA8409-8091-46AC-8614-DAF13C552FCD}"/>
    <cellStyle name="Note 4 4 12 4" xfId="38075" xr:uid="{7E182081-D819-4125-8E46-0E1650D34AC9}"/>
    <cellStyle name="Note 4 4 12 5" xfId="38076" xr:uid="{403037AC-545B-438A-9084-73C35D549E7D}"/>
    <cellStyle name="Note 4 4 12 6" xfId="38077" xr:uid="{21ECB444-FE00-40E4-AC38-A6A64A4D9C5F}"/>
    <cellStyle name="Note 4 4 12 7" xfId="38078" xr:uid="{D58A2F32-B065-4A0F-8A65-71F7F585253B}"/>
    <cellStyle name="Note 4 4 13" xfId="2712" xr:uid="{941D62A4-BDCA-46A8-9339-1A6C888A2E4E}"/>
    <cellStyle name="Note 4 4 13 2" xfId="10975" xr:uid="{04764E25-FB45-45BC-AFAB-B387F53471BD}"/>
    <cellStyle name="Note 4 4 13 2 2" xfId="38079" xr:uid="{CD24FC14-77F6-48F6-89F5-F10288AEBD88}"/>
    <cellStyle name="Note 4 4 13 2 3" xfId="38080" xr:uid="{E4E787AB-C1A5-42AF-817B-68C4B143B041}"/>
    <cellStyle name="Note 4 4 13 2 4" xfId="38081" xr:uid="{B221E1D5-0A57-4E88-A467-944AB56179C0}"/>
    <cellStyle name="Note 4 4 13 2 5" xfId="38082" xr:uid="{F2B2BFFC-6BB9-466D-BAAB-0B2850D5C805}"/>
    <cellStyle name="Note 4 4 13 2 6" xfId="38083" xr:uid="{BDFBB125-6348-43BF-8E6B-CED71C259D53}"/>
    <cellStyle name="Note 4 4 13 3" xfId="38084" xr:uid="{28C45F58-5AD3-4C82-8E74-53A5FA606415}"/>
    <cellStyle name="Note 4 4 13 4" xfId="38085" xr:uid="{78F486BA-090D-44B7-9264-858A1A77367C}"/>
    <cellStyle name="Note 4 4 13 5" xfId="38086" xr:uid="{5AB6E5FB-D031-487E-A67C-4A2B713C9CE1}"/>
    <cellStyle name="Note 4 4 13 6" xfId="38087" xr:uid="{4BA246F4-BD4F-4112-B37C-4F3CE64737AE}"/>
    <cellStyle name="Note 4 4 13 7" xfId="38088" xr:uid="{ACA60364-1485-44EB-A8D6-60D4ED737BC6}"/>
    <cellStyle name="Note 4 4 14" xfId="2713" xr:uid="{A87FD61C-F51D-451B-9F0D-565966FA4438}"/>
    <cellStyle name="Note 4 4 14 2" xfId="11067" xr:uid="{E4491B51-3D94-46D9-AA22-5599CA627978}"/>
    <cellStyle name="Note 4 4 14 2 2" xfId="38089" xr:uid="{BFEC8957-8ADA-4350-967E-EFB68F7BA4DD}"/>
    <cellStyle name="Note 4 4 14 2 3" xfId="38090" xr:uid="{9CB54775-F4F6-4DE6-BC66-0F97F64AA773}"/>
    <cellStyle name="Note 4 4 14 2 4" xfId="38091" xr:uid="{CED840AB-5A09-4EE7-9F94-520D11ADD9C8}"/>
    <cellStyle name="Note 4 4 14 2 5" xfId="38092" xr:uid="{05C71FE4-7EFD-4DA1-9D4F-A902C457F16B}"/>
    <cellStyle name="Note 4 4 14 2 6" xfId="38093" xr:uid="{60AE557D-E87A-483D-A2DF-A6D2E6BE0BE3}"/>
    <cellStyle name="Note 4 4 14 3" xfId="38094" xr:uid="{557D6F9F-A00C-4D36-A389-599876E671A6}"/>
    <cellStyle name="Note 4 4 14 4" xfId="38095" xr:uid="{648A98EE-9D97-439E-86AD-17DE0477F111}"/>
    <cellStyle name="Note 4 4 14 5" xfId="38096" xr:uid="{16CB1C90-753D-4130-9B49-901855724F5A}"/>
    <cellStyle name="Note 4 4 14 6" xfId="38097" xr:uid="{C69C7802-9081-40E1-8C49-2E9CFFD788A7}"/>
    <cellStyle name="Note 4 4 14 7" xfId="38098" xr:uid="{EE05491E-55BA-4FAC-B705-F5A8BD1EE920}"/>
    <cellStyle name="Note 4 4 15" xfId="2714" xr:uid="{40B2BB1B-A916-4F99-A737-26B4FBED5982}"/>
    <cellStyle name="Note 4 4 15 2" xfId="11150" xr:uid="{8554C418-AF54-4FAD-BFC4-99359F7F6941}"/>
    <cellStyle name="Note 4 4 15 2 2" xfId="38099" xr:uid="{1B0FE06D-FD71-4C8C-B667-4D88ED1253F0}"/>
    <cellStyle name="Note 4 4 15 2 3" xfId="38100" xr:uid="{08F4E9CE-A794-4864-8E24-C0400B445419}"/>
    <cellStyle name="Note 4 4 15 2 4" xfId="38101" xr:uid="{C0BBD94E-D15B-46E7-929D-72AD60F84DF4}"/>
    <cellStyle name="Note 4 4 15 2 5" xfId="38102" xr:uid="{1B75D91E-63CE-41F7-9F11-5801956666DB}"/>
    <cellStyle name="Note 4 4 15 2 6" xfId="38103" xr:uid="{5F1A20F6-A89C-4321-936B-6127A197B86E}"/>
    <cellStyle name="Note 4 4 15 3" xfId="38104" xr:uid="{A5DC85FC-ED18-431E-9F9B-507C95444475}"/>
    <cellStyle name="Note 4 4 15 4" xfId="38105" xr:uid="{B2A44888-33B0-47CF-BAE1-AEAEA7CF4189}"/>
    <cellStyle name="Note 4 4 15 5" xfId="38106" xr:uid="{A8FFCBD7-FA5B-47D8-B76B-4B360B781658}"/>
    <cellStyle name="Note 4 4 15 6" xfId="38107" xr:uid="{81BBDA1E-7AF2-4C5E-9CE8-AF9A905A98B0}"/>
    <cellStyle name="Note 4 4 15 7" xfId="38108" xr:uid="{57DA1C0D-4794-4349-9576-191B35D7BE82}"/>
    <cellStyle name="Note 4 4 16" xfId="2715" xr:uid="{66125686-DA8C-45AC-B336-13BF1D44940B}"/>
    <cellStyle name="Note 4 4 16 2" xfId="11239" xr:uid="{B608D764-FB30-4629-A31E-1EE96C849B3E}"/>
    <cellStyle name="Note 4 4 16 2 2" xfId="38109" xr:uid="{4C2B6E3D-B42F-4291-8396-80ED9B6464A7}"/>
    <cellStyle name="Note 4 4 16 2 3" xfId="38110" xr:uid="{6C5DA3DA-EC86-4B03-8DCD-ADF32DFFD988}"/>
    <cellStyle name="Note 4 4 16 2 4" xfId="38111" xr:uid="{E89E1E49-6304-48BE-8E9E-D587DF0DD2B4}"/>
    <cellStyle name="Note 4 4 16 2 5" xfId="38112" xr:uid="{4262D6BF-E1E5-469E-807E-F1EB53E8D8E5}"/>
    <cellStyle name="Note 4 4 16 2 6" xfId="38113" xr:uid="{5FB6849B-6521-4D77-B721-A4D7EA8B54CE}"/>
    <cellStyle name="Note 4 4 16 3" xfId="38114" xr:uid="{CBE726A4-C33F-4B5A-93FE-F8F1965EC02B}"/>
    <cellStyle name="Note 4 4 16 4" xfId="38115" xr:uid="{3D75A81A-2401-4803-9C94-41584A1103C8}"/>
    <cellStyle name="Note 4 4 16 5" xfId="38116" xr:uid="{8D4A558C-1C5F-4B10-8561-DC90E1E2970C}"/>
    <cellStyle name="Note 4 4 16 6" xfId="38117" xr:uid="{BA0E2CB2-E9AD-4BB4-8BAC-28518D5EB62D}"/>
    <cellStyle name="Note 4 4 16 7" xfId="38118" xr:uid="{9227DC25-2CDA-4F1D-94C5-23EEF739FB93}"/>
    <cellStyle name="Note 4 4 17" xfId="2716" xr:uid="{0759D1D1-D641-4DDC-BAF2-A8331F6EA78E}"/>
    <cellStyle name="Note 4 4 17 2" xfId="11325" xr:uid="{E5B10F04-0BDC-4ACB-B229-33AAC0E8D824}"/>
    <cellStyle name="Note 4 4 17 2 2" xfId="38119" xr:uid="{2CBEA26F-C25E-469B-87CF-B3884A34FF56}"/>
    <cellStyle name="Note 4 4 17 2 3" xfId="38120" xr:uid="{81AD2476-7BE8-4325-8188-E07C0C5404FD}"/>
    <cellStyle name="Note 4 4 17 2 4" xfId="38121" xr:uid="{D4E6E815-E34B-42CE-850E-628EF080D8FC}"/>
    <cellStyle name="Note 4 4 17 2 5" xfId="38122" xr:uid="{BFE3E541-587A-4802-AFC7-BB10E6FC6A97}"/>
    <cellStyle name="Note 4 4 17 2 6" xfId="38123" xr:uid="{F6A4A3A2-BD06-4FAD-87D1-66F69255EBC1}"/>
    <cellStyle name="Note 4 4 17 3" xfId="38124" xr:uid="{D49F1690-F4CB-4471-9D89-D7C9281AF58D}"/>
    <cellStyle name="Note 4 4 17 4" xfId="38125" xr:uid="{E889327B-94E6-4AE4-8B21-FCA3E28BDEE4}"/>
    <cellStyle name="Note 4 4 17 5" xfId="38126" xr:uid="{2FB79822-4948-46E9-9E57-BE9B54B0CE5D}"/>
    <cellStyle name="Note 4 4 17 6" xfId="38127" xr:uid="{CC5A6CED-94F5-47A1-891D-0E13A54708FD}"/>
    <cellStyle name="Note 4 4 17 7" xfId="38128" xr:uid="{94230516-C241-4C04-AF6D-03822EE046C6}"/>
    <cellStyle name="Note 4 4 18" xfId="2717" xr:uid="{1C378A20-4971-487B-BB50-43641FE49984}"/>
    <cellStyle name="Note 4 4 18 2" xfId="11412" xr:uid="{FCC3F75E-40DB-456A-910C-FC9BEECDD268}"/>
    <cellStyle name="Note 4 4 18 2 2" xfId="38129" xr:uid="{48DB7B61-E0F1-4729-9C21-28768CB52BE5}"/>
    <cellStyle name="Note 4 4 18 2 3" xfId="38130" xr:uid="{60C0B249-BAAB-4F9A-9C0C-670B7C7E82E2}"/>
    <cellStyle name="Note 4 4 18 2 4" xfId="38131" xr:uid="{0014256A-267C-49FC-9205-709F45488056}"/>
    <cellStyle name="Note 4 4 18 2 5" xfId="38132" xr:uid="{97048821-3AFD-4081-A648-B21BF8AC1047}"/>
    <cellStyle name="Note 4 4 18 2 6" xfId="38133" xr:uid="{6F7220B6-BAA1-4080-AA2D-1A599A614219}"/>
    <cellStyle name="Note 4 4 18 3" xfId="38134" xr:uid="{10139EA2-A399-43CC-9717-13C85C3641E6}"/>
    <cellStyle name="Note 4 4 18 4" xfId="38135" xr:uid="{7261E519-20F8-4534-A7CA-AF3C31F04F75}"/>
    <cellStyle name="Note 4 4 18 5" xfId="38136" xr:uid="{E9692C63-6097-47B5-B631-F5E10DE90B13}"/>
    <cellStyle name="Note 4 4 18 6" xfId="38137" xr:uid="{3835E511-CF14-490C-B003-8999A09EA6A2}"/>
    <cellStyle name="Note 4 4 18 7" xfId="38138" xr:uid="{6A370FDA-151E-415F-BB04-1EE156B7D7F8}"/>
    <cellStyle name="Note 4 4 19" xfId="2718" xr:uid="{20D313BD-3D57-4224-82B1-4AE3F6A8F269}"/>
    <cellStyle name="Note 4 4 19 2" xfId="11499" xr:uid="{09B057CF-2599-4A1E-9F3E-FF4D5F59D6BE}"/>
    <cellStyle name="Note 4 4 19 2 2" xfId="38139" xr:uid="{5E3758F5-8BE5-45C7-9AFB-296557605E9B}"/>
    <cellStyle name="Note 4 4 19 2 3" xfId="38140" xr:uid="{D675B7C7-367A-4A90-8DDE-5E4E5C900ADF}"/>
    <cellStyle name="Note 4 4 19 2 4" xfId="38141" xr:uid="{FF6813EB-35F0-4B6B-ACF5-64A99F587003}"/>
    <cellStyle name="Note 4 4 19 2 5" xfId="38142" xr:uid="{BEF04A5D-ADE3-4B5C-8969-F2709C2D93D2}"/>
    <cellStyle name="Note 4 4 19 2 6" xfId="38143" xr:uid="{32EDDB78-8979-4033-B9A6-FF9E49E2C874}"/>
    <cellStyle name="Note 4 4 19 3" xfId="38144" xr:uid="{3E63BA03-9D3F-4860-B42A-B6A26C75F756}"/>
    <cellStyle name="Note 4 4 19 4" xfId="38145" xr:uid="{4AA81C29-4F23-40CE-9B60-D79BA1E37AF7}"/>
    <cellStyle name="Note 4 4 19 5" xfId="38146" xr:uid="{0A7AA620-809F-46DF-90BA-4FDA8E9137FE}"/>
    <cellStyle name="Note 4 4 19 6" xfId="38147" xr:uid="{6A8EEFB9-05AA-4321-AA4E-8A084CCB8168}"/>
    <cellStyle name="Note 4 4 19 7" xfId="38148" xr:uid="{AB4188DC-092F-4281-9BE3-B4771541B90C}"/>
    <cellStyle name="Note 4 4 2" xfId="2719" xr:uid="{FBC3FB68-C5D4-48CD-8518-4DD60E181710}"/>
    <cellStyle name="Note 4 4 2 2" xfId="10005" xr:uid="{BE2DDB18-C126-416F-A8EA-FED1425B79C8}"/>
    <cellStyle name="Note 4 4 2 2 2" xfId="38149" xr:uid="{8538F01C-0429-4450-BEA9-843F658D5716}"/>
    <cellStyle name="Note 4 4 2 2 3" xfId="38150" xr:uid="{1D032684-1B3A-41EE-AA23-0564BA55CB3E}"/>
    <cellStyle name="Note 4 4 2 2 4" xfId="38151" xr:uid="{6B562FFB-5F22-452C-A333-D64D89571180}"/>
    <cellStyle name="Note 4 4 2 2 5" xfId="38152" xr:uid="{4D37FE1E-94FD-456B-8307-B7E00CAF60D4}"/>
    <cellStyle name="Note 4 4 2 2 6" xfId="38153" xr:uid="{03E1A856-2973-4DD3-B237-8E13FAEC6F97}"/>
    <cellStyle name="Note 4 4 2 3" xfId="38154" xr:uid="{95826F04-2769-4268-AA7E-A0F7CDA424B7}"/>
    <cellStyle name="Note 4 4 2 4" xfId="38155" xr:uid="{F33D2BBF-F9ED-46A2-B3AB-9CFFD3009B2E}"/>
    <cellStyle name="Note 4 4 2 5" xfId="38156" xr:uid="{2DF93F6F-D2EE-477A-8A46-B33C3792A390}"/>
    <cellStyle name="Note 4 4 2 6" xfId="38157" xr:uid="{D493946A-5B00-4EAA-A598-E895E4D6177F}"/>
    <cellStyle name="Note 4 4 2 7" xfId="38158" xr:uid="{42A9EE57-AE68-4268-83DC-F0AD61F54DA7}"/>
    <cellStyle name="Note 4 4 20" xfId="2720" xr:uid="{0D22529B-A4A2-40CA-BB56-8D52876D7EA9}"/>
    <cellStyle name="Note 4 4 20 2" xfId="11587" xr:uid="{D753F7A8-B1DA-4D2C-8B95-5179D0DAEC2A}"/>
    <cellStyle name="Note 4 4 20 2 2" xfId="38159" xr:uid="{BB1D28B1-EC90-49B4-9275-FD31C39A4866}"/>
    <cellStyle name="Note 4 4 20 2 3" xfId="38160" xr:uid="{17F7F062-3E07-4FD0-9116-56D89FB65881}"/>
    <cellStyle name="Note 4 4 20 2 4" xfId="38161" xr:uid="{6D5110BB-8E9D-43D3-952F-1FE1CD1DA11B}"/>
    <cellStyle name="Note 4 4 20 2 5" xfId="38162" xr:uid="{BA90B430-E3AB-4CEE-9CE0-35906A7011B5}"/>
    <cellStyle name="Note 4 4 20 2 6" xfId="38163" xr:uid="{33266660-08A6-45F9-ADF7-38ED3A67F7FB}"/>
    <cellStyle name="Note 4 4 20 3" xfId="38164" xr:uid="{3AD40FCD-54C3-4B0B-B872-6EB6A6667AB6}"/>
    <cellStyle name="Note 4 4 20 4" xfId="38165" xr:uid="{6C3B5057-2C80-4E4B-ABA8-870405007607}"/>
    <cellStyle name="Note 4 4 20 5" xfId="38166" xr:uid="{B0622386-3ED0-468A-B403-08FE40792BC3}"/>
    <cellStyle name="Note 4 4 20 6" xfId="38167" xr:uid="{941BDA59-7992-4B9E-9957-D988CF91B5DD}"/>
    <cellStyle name="Note 4 4 20 7" xfId="38168" xr:uid="{CB96651F-F157-499C-BD52-2605895418E6}"/>
    <cellStyle name="Note 4 4 21" xfId="2721" xr:uid="{C738BEAC-D70D-4938-86B9-4F4D3F4AAE0F}"/>
    <cellStyle name="Note 4 4 21 2" xfId="11673" xr:uid="{AAEDE122-A850-48D9-99F5-DBDD55CDFFCD}"/>
    <cellStyle name="Note 4 4 21 2 2" xfId="38169" xr:uid="{4F4E417D-C3BA-456C-969C-17D3A2F8A0EC}"/>
    <cellStyle name="Note 4 4 21 2 3" xfId="38170" xr:uid="{51B47920-4837-42AE-9DDF-CA3F0A0BB895}"/>
    <cellStyle name="Note 4 4 21 2 4" xfId="38171" xr:uid="{BC236C1A-B394-4716-9DA5-9DCA386A7888}"/>
    <cellStyle name="Note 4 4 21 2 5" xfId="38172" xr:uid="{DEE3305A-36C7-4EE9-B5B0-FFEC12BD80F2}"/>
    <cellStyle name="Note 4 4 21 2 6" xfId="38173" xr:uid="{E94F3B09-C9A9-445A-9849-AE0FA7E8242A}"/>
    <cellStyle name="Note 4 4 21 3" xfId="38174" xr:uid="{A0B71B54-FA66-47C6-B904-8FC0B93F9F64}"/>
    <cellStyle name="Note 4 4 21 4" xfId="38175" xr:uid="{3780FCDD-2110-47C2-BF17-AADFF7550E97}"/>
    <cellStyle name="Note 4 4 21 5" xfId="38176" xr:uid="{ABA62C19-CCD6-4453-83E2-E61A92FD8780}"/>
    <cellStyle name="Note 4 4 21 6" xfId="38177" xr:uid="{D2EA4A5E-1BD6-4CAD-B464-D678BFC90FB9}"/>
    <cellStyle name="Note 4 4 21 7" xfId="38178" xr:uid="{CFA18042-C315-4A4A-AB89-34F2E3FAC798}"/>
    <cellStyle name="Note 4 4 22" xfId="2722" xr:uid="{3A538DC0-448C-45E0-A6A0-1ADC556A17F9}"/>
    <cellStyle name="Note 4 4 22 2" xfId="11756" xr:uid="{11ADB000-7231-446A-BEDB-AA12DCF2E653}"/>
    <cellStyle name="Note 4 4 22 2 2" xfId="38179" xr:uid="{E96EA311-9DBD-499E-BD9E-CB65DA8FFBD5}"/>
    <cellStyle name="Note 4 4 22 2 3" xfId="38180" xr:uid="{BFEF2491-3EDB-4F3C-A412-841BD8D01D4C}"/>
    <cellStyle name="Note 4 4 22 2 4" xfId="38181" xr:uid="{D066D003-4C15-43DB-AD90-5E7CCEAC7B98}"/>
    <cellStyle name="Note 4 4 22 2 5" xfId="38182" xr:uid="{A060E553-D43E-4E38-8F2A-CBD37271D283}"/>
    <cellStyle name="Note 4 4 22 2 6" xfId="38183" xr:uid="{A7CBA95E-7C1E-41BD-B8C6-B184A13635F4}"/>
    <cellStyle name="Note 4 4 22 3" xfId="38184" xr:uid="{71C2B561-ED3C-4EE9-B8FB-50C13FEF1215}"/>
    <cellStyle name="Note 4 4 22 4" xfId="38185" xr:uid="{3EA673D6-783D-4B6A-8CD5-96AF35E73534}"/>
    <cellStyle name="Note 4 4 22 5" xfId="38186" xr:uid="{8B432A11-12E4-4FD2-B910-878F2E0016CD}"/>
    <cellStyle name="Note 4 4 22 6" xfId="38187" xr:uid="{08B1861E-1FEE-48D7-9E57-3ECDDA95BC22}"/>
    <cellStyle name="Note 4 4 22 7" xfId="38188" xr:uid="{17A2D9A4-BFA9-4F51-950A-CCA2B8B8B705}"/>
    <cellStyle name="Note 4 4 23" xfId="2723" xr:uid="{778A5C29-B388-4FB0-AF86-A86AFD821313}"/>
    <cellStyle name="Note 4 4 23 2" xfId="11838" xr:uid="{92DAE875-A6D1-4714-A4EB-BD355E44226A}"/>
    <cellStyle name="Note 4 4 23 2 2" xfId="38189" xr:uid="{5A2583D8-8497-46F8-8B26-0F9541498222}"/>
    <cellStyle name="Note 4 4 23 2 3" xfId="38190" xr:uid="{7A63366D-9CDE-4B4B-9290-7B7913E5A579}"/>
    <cellStyle name="Note 4 4 23 2 4" xfId="38191" xr:uid="{89CFAF33-D58C-4DCB-BB1D-446AFAEB7A1D}"/>
    <cellStyle name="Note 4 4 23 2 5" xfId="38192" xr:uid="{FA84E037-C2A8-47CE-87B9-18CC2E4E00B8}"/>
    <cellStyle name="Note 4 4 23 2 6" xfId="38193" xr:uid="{D8AB7671-FD80-4F73-B64A-5317FBD02893}"/>
    <cellStyle name="Note 4 4 23 3" xfId="38194" xr:uid="{6B068FF7-080A-48D9-96B1-7A9BD4B40957}"/>
    <cellStyle name="Note 4 4 23 4" xfId="38195" xr:uid="{898B11DF-FE6B-48CB-928F-05D8B02B93B0}"/>
    <cellStyle name="Note 4 4 23 5" xfId="38196" xr:uid="{F3F520B9-AFE1-49FE-80DD-C6704F428639}"/>
    <cellStyle name="Note 4 4 23 6" xfId="38197" xr:uid="{F3C1C3C5-302F-4B09-AFFE-21107D0C0F0E}"/>
    <cellStyle name="Note 4 4 23 7" xfId="38198" xr:uid="{AA8862DA-7A29-47C7-B642-2F9CC256C8B2}"/>
    <cellStyle name="Note 4 4 24" xfId="2724" xr:uid="{A6DB3FCD-572D-425E-A5E5-90EAD603875F}"/>
    <cellStyle name="Note 4 4 24 2" xfId="11922" xr:uid="{592C668A-6A58-4BFB-8B33-E5B7E101DE2A}"/>
    <cellStyle name="Note 4 4 24 2 2" xfId="38199" xr:uid="{0F3FFB42-0E30-4ABE-A84A-40F80EC573A6}"/>
    <cellStyle name="Note 4 4 24 2 3" xfId="38200" xr:uid="{DA16B167-9D56-466C-88D8-47E4896CEF63}"/>
    <cellStyle name="Note 4 4 24 2 4" xfId="38201" xr:uid="{A835B83A-8CED-43F1-B4A9-C8BE382C1620}"/>
    <cellStyle name="Note 4 4 24 2 5" xfId="38202" xr:uid="{11115610-451F-4BEF-A56F-E188F3DFB569}"/>
    <cellStyle name="Note 4 4 24 2 6" xfId="38203" xr:uid="{0205D0C8-8F95-4A63-9DF9-B33A1F42C1E5}"/>
    <cellStyle name="Note 4 4 24 3" xfId="38204" xr:uid="{3E0CDD56-AD4B-4F57-836F-CCA56EED586F}"/>
    <cellStyle name="Note 4 4 24 4" xfId="38205" xr:uid="{F0B02067-41B1-4727-809B-3D900EB930F5}"/>
    <cellStyle name="Note 4 4 24 5" xfId="38206" xr:uid="{A5B054EA-4B9A-458A-B87C-DA2EEF858C65}"/>
    <cellStyle name="Note 4 4 24 6" xfId="38207" xr:uid="{A1C88F46-EBAF-4534-99B1-74D6218A97A4}"/>
    <cellStyle name="Note 4 4 24 7" xfId="38208" xr:uid="{4C44126C-B32C-4FFE-B87B-B31FF16699BD}"/>
    <cellStyle name="Note 4 4 25" xfId="2725" xr:uid="{6DBFABDE-ACF7-4442-A301-D96E2C33808D}"/>
    <cellStyle name="Note 4 4 25 2" xfId="12006" xr:uid="{634F5260-FFC5-4C5E-9A30-EA45F5301303}"/>
    <cellStyle name="Note 4 4 25 2 2" xfId="38209" xr:uid="{B656CFCD-70B6-4A65-BE22-9358DAF71E4E}"/>
    <cellStyle name="Note 4 4 25 2 3" xfId="38210" xr:uid="{36F09D9C-B188-4547-AAF8-8353007CA795}"/>
    <cellStyle name="Note 4 4 25 2 4" xfId="38211" xr:uid="{CB54326C-DF35-4150-93BE-62F3C83A7E2A}"/>
    <cellStyle name="Note 4 4 25 2 5" xfId="38212" xr:uid="{67BB6139-F332-4C4E-B2FA-2D53BBE827AD}"/>
    <cellStyle name="Note 4 4 25 2 6" xfId="38213" xr:uid="{B3BD1FBE-3F00-424B-B26F-47ABA1769527}"/>
    <cellStyle name="Note 4 4 25 3" xfId="38214" xr:uid="{F78CE950-B571-4D28-9884-67B6FD1F0CEA}"/>
    <cellStyle name="Note 4 4 25 4" xfId="38215" xr:uid="{3425A475-3DBD-4606-8330-A0830E9815A9}"/>
    <cellStyle name="Note 4 4 25 5" xfId="38216" xr:uid="{18F1E443-A309-4182-8A9D-462ABF4E99FD}"/>
    <cellStyle name="Note 4 4 25 6" xfId="38217" xr:uid="{E8102636-7C16-4657-B8B1-B29DBF70A511}"/>
    <cellStyle name="Note 4 4 25 7" xfId="38218" xr:uid="{AA0E087E-D84A-423C-9DC5-0B5A3D4F9FDC}"/>
    <cellStyle name="Note 4 4 26" xfId="2726" xr:uid="{AD015EF8-8079-4939-873C-850D70606816}"/>
    <cellStyle name="Note 4 4 26 2" xfId="12089" xr:uid="{1BEEF5CC-636B-4F68-A813-5A9936B0E772}"/>
    <cellStyle name="Note 4 4 26 2 2" xfId="38219" xr:uid="{A1D1964D-6DFB-48E6-A382-C052693F209E}"/>
    <cellStyle name="Note 4 4 26 2 3" xfId="38220" xr:uid="{8CD5F75B-82CC-4D6A-8EE1-E19E8A90B715}"/>
    <cellStyle name="Note 4 4 26 2 4" xfId="38221" xr:uid="{AF5AED65-70CD-4251-AF0B-3FB00DDD2DC2}"/>
    <cellStyle name="Note 4 4 26 2 5" xfId="38222" xr:uid="{8D3C8A91-9812-4428-A75D-F52E010201AC}"/>
    <cellStyle name="Note 4 4 26 2 6" xfId="38223" xr:uid="{7CAE249B-6E17-474C-AD8C-FD9D2F83DD00}"/>
    <cellStyle name="Note 4 4 26 3" xfId="38224" xr:uid="{A63AA31D-4983-4357-9C08-226FB6052B50}"/>
    <cellStyle name="Note 4 4 26 4" xfId="38225" xr:uid="{E130E4D1-26E5-4C1E-A49F-70E2C56E430F}"/>
    <cellStyle name="Note 4 4 26 5" xfId="38226" xr:uid="{F8044A32-1416-429F-BEE5-49058F614E9C}"/>
    <cellStyle name="Note 4 4 26 6" xfId="38227" xr:uid="{F82E10CF-6182-4E99-8064-F488228ABF81}"/>
    <cellStyle name="Note 4 4 26 7" xfId="38228" xr:uid="{10552366-CA05-4C69-9F9D-60D03A8ACE7B}"/>
    <cellStyle name="Note 4 4 27" xfId="2727" xr:uid="{300AC141-16AA-4A9F-A191-53E947C7C5F8}"/>
    <cellStyle name="Note 4 4 27 2" xfId="12172" xr:uid="{6694872B-1CEC-4F61-AC10-78755E32270E}"/>
    <cellStyle name="Note 4 4 27 2 2" xfId="38229" xr:uid="{7F9D0968-CB27-4C9B-8278-2F13B448D1E9}"/>
    <cellStyle name="Note 4 4 27 2 3" xfId="38230" xr:uid="{91A1B835-ADA3-42ED-8907-6E75546D7365}"/>
    <cellStyle name="Note 4 4 27 2 4" xfId="38231" xr:uid="{11622A0D-BE63-44EF-B19B-743A8AE7DB09}"/>
    <cellStyle name="Note 4 4 27 2 5" xfId="38232" xr:uid="{D63697A5-C852-47D3-8142-77207C345B22}"/>
    <cellStyle name="Note 4 4 27 2 6" xfId="38233" xr:uid="{A15A8538-44F1-4A4C-8E42-D12B9AFD7619}"/>
    <cellStyle name="Note 4 4 27 3" xfId="38234" xr:uid="{AA99E513-EC46-4E21-9000-499FF0A3888A}"/>
    <cellStyle name="Note 4 4 27 4" xfId="38235" xr:uid="{20F92BA6-813B-4328-AB87-7F2D5379CD95}"/>
    <cellStyle name="Note 4 4 27 5" xfId="38236" xr:uid="{B6540E6A-AE9C-4A13-8DFD-63319F104E1D}"/>
    <cellStyle name="Note 4 4 27 6" xfId="38237" xr:uid="{0DA749DB-967E-4CBC-A32A-0832CDE405FE}"/>
    <cellStyle name="Note 4 4 27 7" xfId="38238" xr:uid="{346B4012-FF48-4D46-9076-83935B2FC4DD}"/>
    <cellStyle name="Note 4 4 28" xfId="2728" xr:uid="{D3DE4371-F6D0-44EF-828C-011D0356F19A}"/>
    <cellStyle name="Note 4 4 28 2" xfId="12251" xr:uid="{1D5A336F-9F71-40A1-8D33-F0781447C942}"/>
    <cellStyle name="Note 4 4 28 2 2" xfId="38239" xr:uid="{2C884D35-93EA-46E5-9CB8-75934C441F4E}"/>
    <cellStyle name="Note 4 4 28 2 3" xfId="38240" xr:uid="{111D0827-F319-46AD-B817-2F84C75B058F}"/>
    <cellStyle name="Note 4 4 28 2 4" xfId="38241" xr:uid="{09D7A510-7F8D-4A81-BAE6-FAB24AF15D5F}"/>
    <cellStyle name="Note 4 4 28 2 5" xfId="38242" xr:uid="{91DC2E08-1C05-44B9-9A50-EDAF3AF30A62}"/>
    <cellStyle name="Note 4 4 28 2 6" xfId="38243" xr:uid="{11ABD709-A59E-45E1-A3AB-523C6DE79E16}"/>
    <cellStyle name="Note 4 4 28 3" xfId="38244" xr:uid="{4A803674-BD1E-4F14-B55F-7B6002E49ABE}"/>
    <cellStyle name="Note 4 4 28 4" xfId="38245" xr:uid="{744B6E66-F41C-4F7E-B73D-947DC361DA47}"/>
    <cellStyle name="Note 4 4 28 5" xfId="38246" xr:uid="{61CC382F-D0CC-42AA-9074-8262C6D02BEE}"/>
    <cellStyle name="Note 4 4 28 6" xfId="38247" xr:uid="{2F304380-6119-464B-BD47-1F45DB99C812}"/>
    <cellStyle name="Note 4 4 28 7" xfId="38248" xr:uid="{DFED0620-967D-43B0-BAAE-D152EBC445B4}"/>
    <cellStyle name="Note 4 4 29" xfId="2729" xr:uid="{5B80E1BE-5488-43D8-9D98-023EB5844999}"/>
    <cellStyle name="Note 4 4 29 2" xfId="12330" xr:uid="{2288F197-307D-49B9-BF74-039FBE70C99B}"/>
    <cellStyle name="Note 4 4 29 2 2" xfId="38249" xr:uid="{4A065039-5EED-46FF-8FF8-7DE2FFF8C3B9}"/>
    <cellStyle name="Note 4 4 29 2 3" xfId="38250" xr:uid="{1209FAB4-8052-480B-BE19-33617E9D7775}"/>
    <cellStyle name="Note 4 4 29 2 4" xfId="38251" xr:uid="{6A9A3BBD-18FF-47CE-8B99-2DB63F1DA369}"/>
    <cellStyle name="Note 4 4 29 2 5" xfId="38252" xr:uid="{DDC683A1-A665-4E84-AD2C-C270F730F4FE}"/>
    <cellStyle name="Note 4 4 29 2 6" xfId="38253" xr:uid="{D7B3544C-8685-4F4F-827B-9C23BDAC2CF5}"/>
    <cellStyle name="Note 4 4 29 3" xfId="38254" xr:uid="{890F4498-A7AF-480A-9416-73353E6A0FDF}"/>
    <cellStyle name="Note 4 4 29 4" xfId="38255" xr:uid="{C86FE188-825B-40C5-93B2-1BBD182267A5}"/>
    <cellStyle name="Note 4 4 29 5" xfId="38256" xr:uid="{012082E8-EA78-4D31-A38B-DA11ACBB879F}"/>
    <cellStyle name="Note 4 4 29 6" xfId="38257" xr:uid="{11CFDC0D-CD3D-468E-A89A-67364D182BB8}"/>
    <cellStyle name="Note 4 4 29 7" xfId="38258" xr:uid="{1659CA5B-B907-4A09-8BAD-A954EB70CEF5}"/>
    <cellStyle name="Note 4 4 3" xfId="2730" xr:uid="{2FBC2B71-15E1-4D1D-9273-76510DA7F5FC}"/>
    <cellStyle name="Note 4 4 3 2" xfId="10096" xr:uid="{6224B0E8-0FB6-4B93-ACAB-A7104C5DB800}"/>
    <cellStyle name="Note 4 4 3 2 2" xfId="38259" xr:uid="{E0E32BC7-90C6-4B66-A4E3-6D865938D455}"/>
    <cellStyle name="Note 4 4 3 2 3" xfId="38260" xr:uid="{DFB404F0-248B-41DB-A3D8-A3F65FB6F292}"/>
    <cellStyle name="Note 4 4 3 2 4" xfId="38261" xr:uid="{E16DE403-85F3-474A-8279-059B63DDC2F5}"/>
    <cellStyle name="Note 4 4 3 2 5" xfId="38262" xr:uid="{17E4A3C1-C645-4155-BF7F-F62661EC5708}"/>
    <cellStyle name="Note 4 4 3 2 6" xfId="38263" xr:uid="{0AE27E90-F54A-4A6D-B645-F6569758466E}"/>
    <cellStyle name="Note 4 4 3 3" xfId="38264" xr:uid="{B3AD0037-358A-48A9-B719-18E3DAAC8589}"/>
    <cellStyle name="Note 4 4 3 4" xfId="38265" xr:uid="{F018D2A1-2D78-44D7-A46F-C172A8B0ADC2}"/>
    <cellStyle name="Note 4 4 3 5" xfId="38266" xr:uid="{498C3A8D-7D92-450A-81E4-A973F334A02D}"/>
    <cellStyle name="Note 4 4 3 6" xfId="38267" xr:uid="{0B1BF218-14D3-4FFA-BA7D-7F5D2B249980}"/>
    <cellStyle name="Note 4 4 3 7" xfId="38268" xr:uid="{EFE50740-FF67-476F-95A0-C25E29DDE064}"/>
    <cellStyle name="Note 4 4 30" xfId="2731" xr:uid="{55E6624C-9DC9-4177-96AC-2D4C8E50A1AE}"/>
    <cellStyle name="Note 4 4 30 2" xfId="12409" xr:uid="{A236CF33-9D5F-47C9-92F3-A0E4D4E8D717}"/>
    <cellStyle name="Note 4 4 30 2 2" xfId="38269" xr:uid="{094168DB-359B-4DCB-913C-ABB2A546414E}"/>
    <cellStyle name="Note 4 4 30 2 3" xfId="38270" xr:uid="{EF440C23-2D49-486E-A61B-D6E6F2133C94}"/>
    <cellStyle name="Note 4 4 30 2 4" xfId="38271" xr:uid="{1F5C7273-A45F-4670-A918-320965985673}"/>
    <cellStyle name="Note 4 4 30 2 5" xfId="38272" xr:uid="{A9A94CDE-3632-41EF-8CB1-0F98F7F8E43A}"/>
    <cellStyle name="Note 4 4 30 2 6" xfId="38273" xr:uid="{6A31088D-2860-40E6-9393-76C8B72C33D4}"/>
    <cellStyle name="Note 4 4 30 3" xfId="38274" xr:uid="{D2C752BB-D348-4134-B06B-3BA11701B326}"/>
    <cellStyle name="Note 4 4 30 4" xfId="38275" xr:uid="{A51F2780-B509-4D56-8B94-36D9A9A89055}"/>
    <cellStyle name="Note 4 4 30 5" xfId="38276" xr:uid="{E351491F-4664-4DFB-9B71-19342E52D803}"/>
    <cellStyle name="Note 4 4 30 6" xfId="38277" xr:uid="{9E44620C-F0B7-4F02-91C5-98D9B12E67C9}"/>
    <cellStyle name="Note 4 4 30 7" xfId="38278" xr:uid="{D7BB2C8B-DDC6-43F6-9832-2B872189BF6D}"/>
    <cellStyle name="Note 4 4 31" xfId="2732" xr:uid="{558A65D9-8D50-471C-BD22-FD2A3820C735}"/>
    <cellStyle name="Note 4 4 31 2" xfId="12488" xr:uid="{DBF2000C-AEB4-44A1-8A7E-3349B12A5724}"/>
    <cellStyle name="Note 4 4 31 2 2" xfId="38279" xr:uid="{FB46ED59-0ED5-4BC5-86D0-2DB53786276F}"/>
    <cellStyle name="Note 4 4 31 2 3" xfId="38280" xr:uid="{57F01486-14ED-497D-9186-ED8E482801B0}"/>
    <cellStyle name="Note 4 4 31 2 4" xfId="38281" xr:uid="{A73C1D1F-F96E-4923-B161-EF079F7D263B}"/>
    <cellStyle name="Note 4 4 31 2 5" xfId="38282" xr:uid="{29DE28B9-8CB4-4344-82C9-C84FDE95F6F1}"/>
    <cellStyle name="Note 4 4 31 2 6" xfId="38283" xr:uid="{4CD37F02-467C-4416-AB36-6AF74970DB6D}"/>
    <cellStyle name="Note 4 4 31 3" xfId="38284" xr:uid="{F20C07CC-BDCD-4593-B52E-C3170DBE9C3E}"/>
    <cellStyle name="Note 4 4 31 4" xfId="38285" xr:uid="{71FE246A-F5B9-4EB7-9BE0-B640D9E5648E}"/>
    <cellStyle name="Note 4 4 31 5" xfId="38286" xr:uid="{5443D348-8B2B-4552-BFBC-0B8251E6D2B6}"/>
    <cellStyle name="Note 4 4 31 6" xfId="38287" xr:uid="{93DF8979-A9C1-4A04-AE44-E68411629803}"/>
    <cellStyle name="Note 4 4 31 7" xfId="38288" xr:uid="{0C27D706-6C72-4D68-9146-13C563D8D9DC}"/>
    <cellStyle name="Note 4 4 32" xfId="2733" xr:uid="{8EEC4CA1-46FC-4DCA-AEA5-0E5B4E0EA59C}"/>
    <cellStyle name="Note 4 4 32 2" xfId="12567" xr:uid="{5181294C-C238-4697-8644-308F1DBF3F11}"/>
    <cellStyle name="Note 4 4 32 2 2" xfId="38289" xr:uid="{E36AE085-3FD2-47A8-8B46-7F99681A0CEA}"/>
    <cellStyle name="Note 4 4 32 2 3" xfId="38290" xr:uid="{4C4C3FE5-129C-42F4-A2CB-72FF65B06570}"/>
    <cellStyle name="Note 4 4 32 2 4" xfId="38291" xr:uid="{4C285C4C-88F3-4071-B2F5-26B1694EC2F5}"/>
    <cellStyle name="Note 4 4 32 2 5" xfId="38292" xr:uid="{675EC971-AF40-4352-AEAC-E947B25AC2E0}"/>
    <cellStyle name="Note 4 4 32 2 6" xfId="38293" xr:uid="{6D5F1690-3940-4B2E-B086-EEB89167CA4A}"/>
    <cellStyle name="Note 4 4 32 3" xfId="38294" xr:uid="{72C7DCE8-4835-46AC-B329-0A589B4ABBA1}"/>
    <cellStyle name="Note 4 4 32 4" xfId="38295" xr:uid="{DC328496-FD6E-47F8-A460-11ABC882A3AD}"/>
    <cellStyle name="Note 4 4 32 5" xfId="38296" xr:uid="{E0A0C395-4D0C-4D6D-959E-6F23EE35E41D}"/>
    <cellStyle name="Note 4 4 32 6" xfId="38297" xr:uid="{7B84835D-DCCD-4700-81B1-71C7DE171F8A}"/>
    <cellStyle name="Note 4 4 32 7" xfId="38298" xr:uid="{3A5F824F-3029-4597-81A1-93902C69049E}"/>
    <cellStyle name="Note 4 4 33" xfId="2734" xr:uid="{2273EA5D-E462-4B19-8C09-55F755FBCBF0}"/>
    <cellStyle name="Note 4 4 33 2" xfId="12646" xr:uid="{73828B75-9B91-4B8E-A690-70CE0FC53960}"/>
    <cellStyle name="Note 4 4 33 2 2" xfId="38299" xr:uid="{776B7F8E-B18D-4DF6-962C-E097120A5BF6}"/>
    <cellStyle name="Note 4 4 33 2 3" xfId="38300" xr:uid="{D442C489-ECD4-4D09-86DB-EB025B8DF1EC}"/>
    <cellStyle name="Note 4 4 33 2 4" xfId="38301" xr:uid="{50668259-D1BF-4466-9696-6C92B1CB471C}"/>
    <cellStyle name="Note 4 4 33 2 5" xfId="38302" xr:uid="{4CEF944D-797B-4579-95C8-5F192E3F0391}"/>
    <cellStyle name="Note 4 4 33 2 6" xfId="38303" xr:uid="{9A686619-9DC9-4AD2-AB00-AC4137A38E58}"/>
    <cellStyle name="Note 4 4 33 3" xfId="38304" xr:uid="{DA5345EA-56D1-4E1F-8A8F-0704F801840F}"/>
    <cellStyle name="Note 4 4 33 4" xfId="38305" xr:uid="{2E562FF3-5C2A-43F0-B822-481B152C5A94}"/>
    <cellStyle name="Note 4 4 33 5" xfId="38306" xr:uid="{CE3E379A-D4B2-4FE6-B522-02AC82C9476D}"/>
    <cellStyle name="Note 4 4 33 6" xfId="38307" xr:uid="{23E2EB03-9369-46BC-8549-AD7315CEAA96}"/>
    <cellStyle name="Note 4 4 33 7" xfId="38308" xr:uid="{F1FF9FBF-6BA3-4AAF-875C-114240BF680A}"/>
    <cellStyle name="Note 4 4 34" xfId="2735" xr:uid="{A38C28A3-CF46-44D6-B75B-10144CCB9AD7}"/>
    <cellStyle name="Note 4 4 34 2" xfId="12730" xr:uid="{9781E19A-BFC7-4630-A9A6-485B7A10506C}"/>
    <cellStyle name="Note 4 4 34 2 2" xfId="38309" xr:uid="{970BC2AA-7806-48B3-90F0-B39CD6ED53EA}"/>
    <cellStyle name="Note 4 4 34 2 3" xfId="38310" xr:uid="{2ED86242-FE1A-4B01-8BF8-2C34DF0285C2}"/>
    <cellStyle name="Note 4 4 34 2 4" xfId="38311" xr:uid="{401B9302-F759-4D39-9CCC-EC39949E04BB}"/>
    <cellStyle name="Note 4 4 34 2 5" xfId="38312" xr:uid="{637EDA2D-B5BE-48E7-A04B-53655C3B9929}"/>
    <cellStyle name="Note 4 4 34 2 6" xfId="38313" xr:uid="{761F20DA-1A49-44BE-BF21-4EF1458F42A5}"/>
    <cellStyle name="Note 4 4 34 3" xfId="38314" xr:uid="{31ED9A20-675C-4EA4-AC0A-D30142BBEC74}"/>
    <cellStyle name="Note 4 4 34 4" xfId="38315" xr:uid="{43819EC4-4388-4169-958A-8E6DEB2AEA8B}"/>
    <cellStyle name="Note 4 4 34 5" xfId="38316" xr:uid="{3769DC67-D94E-497C-ABED-75BD9C109868}"/>
    <cellStyle name="Note 4 4 34 6" xfId="38317" xr:uid="{27F7116C-8368-4B56-8039-49291CAE51F8}"/>
    <cellStyle name="Note 4 4 34 7" xfId="38318" xr:uid="{34D4C9E2-CFE5-479B-BA38-BFD6EDDA9373}"/>
    <cellStyle name="Note 4 4 35" xfId="9794" xr:uid="{39CC5F48-D43F-45F9-B2D1-8F1261D7C039}"/>
    <cellStyle name="Note 4 4 35 2" xfId="38319" xr:uid="{925BB798-3C41-4534-9676-E2A68E87165B}"/>
    <cellStyle name="Note 4 4 35 3" xfId="38320" xr:uid="{D5EC93EF-FD29-48CF-845E-6B2F1ECC8E0E}"/>
    <cellStyle name="Note 4 4 35 4" xfId="38321" xr:uid="{4168D95E-F374-45DA-86FA-4587B0C1E756}"/>
    <cellStyle name="Note 4 4 35 5" xfId="38322" xr:uid="{485CC7D5-EFE9-4018-8312-89E3D20F109F}"/>
    <cellStyle name="Note 4 4 35 6" xfId="38323" xr:uid="{E6E67E90-3D12-4AF1-A710-8279A99D5CAE}"/>
    <cellStyle name="Note 4 4 36" xfId="38324" xr:uid="{BEBE3B40-55A5-401A-B4BA-29121390D52B}"/>
    <cellStyle name="Note 4 4 37" xfId="38325" xr:uid="{20D2112C-6CC6-4A01-B7C7-7BB304802DDF}"/>
    <cellStyle name="Note 4 4 38" xfId="38326" xr:uid="{D56B570F-C246-4326-BFDD-11A09033C6CB}"/>
    <cellStyle name="Note 4 4 39" xfId="38327" xr:uid="{59A8BDF9-8C2B-48D8-95A1-1341DBFBDC5A}"/>
    <cellStyle name="Note 4 4 4" xfId="2736" xr:uid="{5A56B8C1-69A2-4DDD-BD01-79E24C1A37DC}"/>
    <cellStyle name="Note 4 4 4 2" xfId="10187" xr:uid="{EA47A6B1-217A-4662-92B6-DBD85A84AE93}"/>
    <cellStyle name="Note 4 4 4 2 2" xfId="38328" xr:uid="{18BBDC8A-5598-46C2-950D-E67A2B7A1C7F}"/>
    <cellStyle name="Note 4 4 4 2 3" xfId="38329" xr:uid="{C41AB261-9196-4D7E-8027-B8F69A6FBA58}"/>
    <cellStyle name="Note 4 4 4 2 4" xfId="38330" xr:uid="{849C9C2B-D55B-4BB4-B80E-E7A2E5BB4648}"/>
    <cellStyle name="Note 4 4 4 2 5" xfId="38331" xr:uid="{0A27362B-D165-4772-A0C8-544F03F44906}"/>
    <cellStyle name="Note 4 4 4 2 6" xfId="38332" xr:uid="{8FD54E28-8B18-4AE6-96DD-83C3086A1A5F}"/>
    <cellStyle name="Note 4 4 4 3" xfId="38333" xr:uid="{2891ABA5-62B0-4389-9E1C-6DD7CBD388C5}"/>
    <cellStyle name="Note 4 4 4 4" xfId="38334" xr:uid="{4891C470-C54A-497B-9BD4-9E3E3F235AF5}"/>
    <cellStyle name="Note 4 4 4 5" xfId="38335" xr:uid="{58F1915C-5873-471C-81B3-1014C00FC684}"/>
    <cellStyle name="Note 4 4 4 6" xfId="38336" xr:uid="{A0B4E1E2-B6DB-4A3F-9DEE-CE09C5FFAA69}"/>
    <cellStyle name="Note 4 4 4 7" xfId="38337" xr:uid="{DB4A7B0F-6E9F-48FE-B445-B13E1D59B4F9}"/>
    <cellStyle name="Note 4 4 40" xfId="38338" xr:uid="{94A9163A-EE63-41A5-8E14-F78BC697E0D3}"/>
    <cellStyle name="Note 4 4 5" xfId="2737" xr:uid="{222E1A9E-B6E4-4773-885D-23A25759B8A7}"/>
    <cellStyle name="Note 4 4 5 2" xfId="10275" xr:uid="{1EE31051-DA62-42A0-91C0-F71FE305A613}"/>
    <cellStyle name="Note 4 4 5 2 2" xfId="38339" xr:uid="{07CBA70A-D5E8-472E-BEBD-FCBE2FD791B9}"/>
    <cellStyle name="Note 4 4 5 2 3" xfId="38340" xr:uid="{47FAB7BD-48C8-4B51-A4A2-8A4436D7A567}"/>
    <cellStyle name="Note 4 4 5 2 4" xfId="38341" xr:uid="{27AEFC4B-BA67-46BF-A636-B70FE17E5B78}"/>
    <cellStyle name="Note 4 4 5 2 5" xfId="38342" xr:uid="{BDD5BF2D-6DA4-452E-AD30-3154DBB566CC}"/>
    <cellStyle name="Note 4 4 5 2 6" xfId="38343" xr:uid="{5C97CEBA-B153-4E64-9B55-4B79F7EE5216}"/>
    <cellStyle name="Note 4 4 5 3" xfId="38344" xr:uid="{48C26F32-93B8-43C5-9C38-7806DB3285F6}"/>
    <cellStyle name="Note 4 4 5 4" xfId="38345" xr:uid="{2CC84875-9FD7-493D-B27A-FA78B2C73E7D}"/>
    <cellStyle name="Note 4 4 5 5" xfId="38346" xr:uid="{79DDAC11-E663-4314-8635-AF3939B5DD7B}"/>
    <cellStyle name="Note 4 4 5 6" xfId="38347" xr:uid="{6294AE6B-9B4B-438E-B4DE-4F6B0EF70538}"/>
    <cellStyle name="Note 4 4 5 7" xfId="38348" xr:uid="{72878065-D0D3-4F95-ADCE-E406672D2D62}"/>
    <cellStyle name="Note 4 4 6" xfId="2738" xr:uid="{E8257345-FBB6-44A8-BD8E-52F50827147C}"/>
    <cellStyle name="Note 4 4 6 2" xfId="10360" xr:uid="{E021B2E9-9307-4F45-825B-BDDEAF22C753}"/>
    <cellStyle name="Note 4 4 6 2 2" xfId="38349" xr:uid="{48E4368E-C891-468C-92C6-19C25627C4E7}"/>
    <cellStyle name="Note 4 4 6 2 3" xfId="38350" xr:uid="{439349A5-08E1-402F-8FE2-213B0856D56E}"/>
    <cellStyle name="Note 4 4 6 2 4" xfId="38351" xr:uid="{A64FBC71-6B7D-4120-94E7-19E343680437}"/>
    <cellStyle name="Note 4 4 6 2 5" xfId="38352" xr:uid="{B66F6A1F-E7C1-4FE8-9BC2-D8078C74F72B}"/>
    <cellStyle name="Note 4 4 6 2 6" xfId="38353" xr:uid="{AB2EACF8-ABD6-4A7D-A1C7-0E54D5F14F53}"/>
    <cellStyle name="Note 4 4 6 3" xfId="38354" xr:uid="{89615F20-C474-4067-A03E-A278A6A786C9}"/>
    <cellStyle name="Note 4 4 6 4" xfId="38355" xr:uid="{BC8C9F4C-650D-4421-B364-331E40C5080A}"/>
    <cellStyle name="Note 4 4 6 5" xfId="38356" xr:uid="{35D1D982-621E-4FB9-B67B-1FD92EEB1B3D}"/>
    <cellStyle name="Note 4 4 6 6" xfId="38357" xr:uid="{ED905B6A-06AA-4D3D-95EB-0D98A7738FF1}"/>
    <cellStyle name="Note 4 4 6 7" xfId="38358" xr:uid="{7A0CBFDD-ADC4-4393-A303-671C9F22AE17}"/>
    <cellStyle name="Note 4 4 7" xfId="2739" xr:uid="{4613B7FA-F8A7-4EFE-AB7D-EE149B3F9540}"/>
    <cellStyle name="Note 4 4 7 2" xfId="10447" xr:uid="{5227A64A-E73F-491A-A964-EEC3F7337750}"/>
    <cellStyle name="Note 4 4 7 2 2" xfId="38359" xr:uid="{0CC995F5-1154-4824-B22F-0618B2D9A996}"/>
    <cellStyle name="Note 4 4 7 2 3" xfId="38360" xr:uid="{1FC9CD74-7169-4AD2-A14C-70A89BF13EBE}"/>
    <cellStyle name="Note 4 4 7 2 4" xfId="38361" xr:uid="{A1F69F68-A859-4490-BB4D-0CCC3088EE2C}"/>
    <cellStyle name="Note 4 4 7 2 5" xfId="38362" xr:uid="{D9960365-69F6-49BE-AA75-3533AD88C2DA}"/>
    <cellStyle name="Note 4 4 7 2 6" xfId="38363" xr:uid="{18F7A5C8-30CF-4E03-9B10-BE7F8CD9C0F5}"/>
    <cellStyle name="Note 4 4 7 3" xfId="38364" xr:uid="{9484E795-EEEB-4558-89F7-C6E2FF04EBD8}"/>
    <cellStyle name="Note 4 4 7 4" xfId="38365" xr:uid="{440E57DC-3231-4778-AA7B-E835F6001BFF}"/>
    <cellStyle name="Note 4 4 7 5" xfId="38366" xr:uid="{C7FFB30F-D2BE-4102-8D1F-003FCB95AB6A}"/>
    <cellStyle name="Note 4 4 7 6" xfId="38367" xr:uid="{D4E96AF0-9361-48C7-A326-7C7D68E91DC3}"/>
    <cellStyle name="Note 4 4 7 7" xfId="38368" xr:uid="{4D2EB5DB-BAB5-47F6-A637-902C1F340749}"/>
    <cellStyle name="Note 4 4 8" xfId="2740" xr:uid="{B906378C-730B-4058-8713-416AA029B478}"/>
    <cellStyle name="Note 4 4 8 2" xfId="10536" xr:uid="{0C086837-1F50-4881-9D31-8648C21A4877}"/>
    <cellStyle name="Note 4 4 8 2 2" xfId="38369" xr:uid="{EEBBC4BD-0A84-4775-9758-CB0AD98712B7}"/>
    <cellStyle name="Note 4 4 8 2 3" xfId="38370" xr:uid="{32A8DB82-4AD6-4160-9CC4-0F2D77913423}"/>
    <cellStyle name="Note 4 4 8 2 4" xfId="38371" xr:uid="{6AB30A47-DB11-464E-AD3B-36965F6C10E2}"/>
    <cellStyle name="Note 4 4 8 2 5" xfId="38372" xr:uid="{68380E9B-1791-42DB-8E74-E64B4EA03BA3}"/>
    <cellStyle name="Note 4 4 8 2 6" xfId="38373" xr:uid="{001DE68F-B871-4BED-8D92-950286BB913E}"/>
    <cellStyle name="Note 4 4 8 3" xfId="38374" xr:uid="{EB098084-4577-4BD8-BE7C-440828159060}"/>
    <cellStyle name="Note 4 4 8 4" xfId="38375" xr:uid="{77034AA4-55B9-4EB9-8611-CB13973446C9}"/>
    <cellStyle name="Note 4 4 8 5" xfId="38376" xr:uid="{4CD2A318-B18E-4D14-BE70-C6EDE727FB8F}"/>
    <cellStyle name="Note 4 4 8 6" xfId="38377" xr:uid="{8A3FDB2E-6296-4793-92A7-2772033D5955}"/>
    <cellStyle name="Note 4 4 8 7" xfId="38378" xr:uid="{56D51418-E9B0-47CB-9221-740F177CFD00}"/>
    <cellStyle name="Note 4 4 9" xfId="2741" xr:uid="{CAC15C29-DEBF-49FB-8577-865F87398FB6}"/>
    <cellStyle name="Note 4 4 9 2" xfId="10618" xr:uid="{D5A464D0-14C0-4487-98D0-33565E6BB14A}"/>
    <cellStyle name="Note 4 4 9 2 2" xfId="38379" xr:uid="{423A6BE7-DDE0-44D2-B32B-2A555012F9A8}"/>
    <cellStyle name="Note 4 4 9 2 3" xfId="38380" xr:uid="{5218B7EF-CAFF-4137-9E3B-B0E55DE37106}"/>
    <cellStyle name="Note 4 4 9 2 4" xfId="38381" xr:uid="{154257C0-451E-497E-BE9C-5A16907F1437}"/>
    <cellStyle name="Note 4 4 9 2 5" xfId="38382" xr:uid="{8C6C5CE8-8D50-47F0-9A7D-15EFCC1BB478}"/>
    <cellStyle name="Note 4 4 9 2 6" xfId="38383" xr:uid="{1FE181E4-5507-4450-9F4A-8C34D63FC706}"/>
    <cellStyle name="Note 4 4 9 3" xfId="38384" xr:uid="{2B326A56-B757-43FA-9214-6A443F8FA110}"/>
    <cellStyle name="Note 4 4 9 4" xfId="38385" xr:uid="{8E62AA5C-BC5A-44F9-A47A-84E635280843}"/>
    <cellStyle name="Note 4 4 9 5" xfId="38386" xr:uid="{10F0A0F7-BF7B-4319-8F59-22B464B5F8F5}"/>
    <cellStyle name="Note 4 4 9 6" xfId="38387" xr:uid="{57C6B06A-8661-4F4A-8B66-06A14D329CC2}"/>
    <cellStyle name="Note 4 4 9 7" xfId="38388" xr:uid="{A568E6B2-37D5-48FD-A30B-25D0E2AEBEE0}"/>
    <cellStyle name="Note 4 5" xfId="2742" xr:uid="{3E9A7C53-F864-448A-ABD6-CA3D4E6F51A2}"/>
    <cellStyle name="Note 4 5 10" xfId="2743" xr:uid="{7B950EBD-21D9-4471-BCD2-C1C38DD85426}"/>
    <cellStyle name="Note 4 5 10 2" xfId="10741" xr:uid="{76EF9E26-51E5-496F-8BAA-7979E933D173}"/>
    <cellStyle name="Note 4 5 10 2 2" xfId="38389" xr:uid="{53ACAE71-EBFF-4343-AE36-72D4A323CBC0}"/>
    <cellStyle name="Note 4 5 10 2 3" xfId="38390" xr:uid="{8864E616-5EAE-4EE8-AEDF-8AD1C2EF82EE}"/>
    <cellStyle name="Note 4 5 10 2 4" xfId="38391" xr:uid="{3CA32E39-63C7-4BD4-879F-B5DCC0D34028}"/>
    <cellStyle name="Note 4 5 10 2 5" xfId="38392" xr:uid="{732C16FA-9927-4FF7-98EE-A7E1E546F04E}"/>
    <cellStyle name="Note 4 5 10 2 6" xfId="38393" xr:uid="{C818EF38-7122-421D-827E-0CB28E7D64A5}"/>
    <cellStyle name="Note 4 5 10 3" xfId="38394" xr:uid="{A48CB51E-3751-44E4-84E2-CC760162DA1E}"/>
    <cellStyle name="Note 4 5 10 4" xfId="38395" xr:uid="{599377E4-2EB3-47DD-8509-D879934D81A5}"/>
    <cellStyle name="Note 4 5 10 5" xfId="38396" xr:uid="{B9F9ED7C-F562-4222-BC68-55EB17F77184}"/>
    <cellStyle name="Note 4 5 10 6" xfId="38397" xr:uid="{486C423F-9CE0-43C3-8B7B-A26416503888}"/>
    <cellStyle name="Note 4 5 10 7" xfId="38398" xr:uid="{2EB875A7-CDD9-4ACA-B924-7A146C5348FF}"/>
    <cellStyle name="Note 4 5 11" xfId="2744" xr:uid="{BF0C1DFA-4352-4FC7-A924-2F0CFC7F4787}"/>
    <cellStyle name="Note 4 5 11 2" xfId="10829" xr:uid="{622FD8F0-B7FD-4CC1-BB90-1B2072175A74}"/>
    <cellStyle name="Note 4 5 11 2 2" xfId="38399" xr:uid="{CBF89322-4AFB-4CDA-A07D-045AD0B91562}"/>
    <cellStyle name="Note 4 5 11 2 3" xfId="38400" xr:uid="{5EC581DD-6EBF-4A63-A0F5-9A3B60D87B5F}"/>
    <cellStyle name="Note 4 5 11 2 4" xfId="38401" xr:uid="{EA38E32D-558F-4E34-96A2-AE08EFAC5988}"/>
    <cellStyle name="Note 4 5 11 2 5" xfId="38402" xr:uid="{6A91EAC3-559A-4C6B-96B0-56AA48D74082}"/>
    <cellStyle name="Note 4 5 11 2 6" xfId="38403" xr:uid="{9ED3CBAD-0B9F-4DD5-8E3E-8B67874EF279}"/>
    <cellStyle name="Note 4 5 11 3" xfId="38404" xr:uid="{B89E9512-E5E0-48B9-BD2A-94DF07B82328}"/>
    <cellStyle name="Note 4 5 11 4" xfId="38405" xr:uid="{1A901A61-E367-4EE5-9FA7-7346093770DD}"/>
    <cellStyle name="Note 4 5 11 5" xfId="38406" xr:uid="{1150EB0F-1C5E-4D16-A22D-D11C8515AEA1}"/>
    <cellStyle name="Note 4 5 11 6" xfId="38407" xr:uid="{BD21379C-486B-4504-B6F3-9DCF928A5DA0}"/>
    <cellStyle name="Note 4 5 11 7" xfId="38408" xr:uid="{34A00B24-DFF0-4916-9334-B13E1B6AB93E}"/>
    <cellStyle name="Note 4 5 12" xfId="2745" xr:uid="{DE9822E4-969E-4777-8C86-5BD6581A7282}"/>
    <cellStyle name="Note 4 5 12 2" xfId="10918" xr:uid="{4A135F6A-B652-4ECD-8BB6-FD527162D9CD}"/>
    <cellStyle name="Note 4 5 12 2 2" xfId="38409" xr:uid="{8B676683-A18F-4C85-AB72-A399493D9F12}"/>
    <cellStyle name="Note 4 5 12 2 3" xfId="38410" xr:uid="{59E2CBB8-EAF5-4EB1-94A7-4C96C980C9C8}"/>
    <cellStyle name="Note 4 5 12 2 4" xfId="38411" xr:uid="{27B2718E-6FB3-4276-9D9D-87D483FCA6B0}"/>
    <cellStyle name="Note 4 5 12 2 5" xfId="38412" xr:uid="{CC0A8180-64C3-485A-A4BD-FF332B29A3FE}"/>
    <cellStyle name="Note 4 5 12 2 6" xfId="38413" xr:uid="{BCC8E457-2741-4F37-85A1-1FEA21831332}"/>
    <cellStyle name="Note 4 5 12 3" xfId="38414" xr:uid="{F8676A29-5483-4476-BE57-DC79D2C88884}"/>
    <cellStyle name="Note 4 5 12 4" xfId="38415" xr:uid="{E928765D-F7F4-4B50-938B-E93072A93035}"/>
    <cellStyle name="Note 4 5 12 5" xfId="38416" xr:uid="{58246AB0-3411-45B1-9FE0-F718C1F44EC3}"/>
    <cellStyle name="Note 4 5 12 6" xfId="38417" xr:uid="{C28B43D3-7FDB-469D-9C24-F30662E2D325}"/>
    <cellStyle name="Note 4 5 12 7" xfId="38418" xr:uid="{DF3C22CF-A573-4A08-9337-66C50143B3FB}"/>
    <cellStyle name="Note 4 5 13" xfId="2746" xr:uid="{08A0A25E-07B5-400A-9427-59C2A574A42F}"/>
    <cellStyle name="Note 4 5 13 2" xfId="11008" xr:uid="{12CBE7BE-F5A1-45BD-9241-682ED0F80131}"/>
    <cellStyle name="Note 4 5 13 2 2" xfId="38419" xr:uid="{E04C9477-4065-488B-B1DE-B06D58D76686}"/>
    <cellStyle name="Note 4 5 13 2 3" xfId="38420" xr:uid="{28E4286E-8168-40C5-9392-1C0E985B4CFF}"/>
    <cellStyle name="Note 4 5 13 2 4" xfId="38421" xr:uid="{822E585B-D02A-4DF9-B97D-156AFA7EECA1}"/>
    <cellStyle name="Note 4 5 13 2 5" xfId="38422" xr:uid="{89945B09-483C-44AC-9AE3-2D70DC78675B}"/>
    <cellStyle name="Note 4 5 13 2 6" xfId="38423" xr:uid="{18FBA632-79DC-4A08-AC21-6DB7AC9616E2}"/>
    <cellStyle name="Note 4 5 13 3" xfId="38424" xr:uid="{351A35FC-E3C2-4340-909C-2C11DD8C7B67}"/>
    <cellStyle name="Note 4 5 13 4" xfId="38425" xr:uid="{1E6A4050-60A6-40A3-A01D-578FE572A087}"/>
    <cellStyle name="Note 4 5 13 5" xfId="38426" xr:uid="{A49804D3-7D7B-40BE-979E-D3449C88291E}"/>
    <cellStyle name="Note 4 5 13 6" xfId="38427" xr:uid="{5EE3BDB0-D612-403D-BF37-524A0BEA25B1}"/>
    <cellStyle name="Note 4 5 13 7" xfId="38428" xr:uid="{D5FDD9EB-F6DC-4AF0-A83C-A003B79E0C65}"/>
    <cellStyle name="Note 4 5 14" xfId="2747" xr:uid="{CB3460AE-7B3A-4ACA-B32E-C2941E98E95D}"/>
    <cellStyle name="Note 4 5 14 2" xfId="11098" xr:uid="{0739CDF6-C9E2-43F9-87E2-F8A92D1E632A}"/>
    <cellStyle name="Note 4 5 14 2 2" xfId="38429" xr:uid="{E1641428-0DE0-49DB-80AC-8EDEFF20988B}"/>
    <cellStyle name="Note 4 5 14 2 3" xfId="38430" xr:uid="{97CB2FF4-37DE-4683-AD47-46DFC3F0D26A}"/>
    <cellStyle name="Note 4 5 14 2 4" xfId="38431" xr:uid="{656D459E-5633-4376-BE7A-17B0CBC0524D}"/>
    <cellStyle name="Note 4 5 14 2 5" xfId="38432" xr:uid="{0ACE3CAB-09B6-40BF-8517-43304265C399}"/>
    <cellStyle name="Note 4 5 14 2 6" xfId="38433" xr:uid="{636F30D4-461B-4693-97FD-3D74AF4A7473}"/>
    <cellStyle name="Note 4 5 14 3" xfId="38434" xr:uid="{9F0FB689-4393-406C-940E-3B4ABAFCA6BD}"/>
    <cellStyle name="Note 4 5 14 4" xfId="38435" xr:uid="{3B9F03CD-2469-4C98-B15D-061A9E06532D}"/>
    <cellStyle name="Note 4 5 14 5" xfId="38436" xr:uid="{901D2AE5-4CBF-4395-B5F3-EE416938C68C}"/>
    <cellStyle name="Note 4 5 14 6" xfId="38437" xr:uid="{474BF6F6-2D26-4A41-9C68-31753313C623}"/>
    <cellStyle name="Note 4 5 14 7" xfId="38438" xr:uid="{1D93E163-803B-450C-AAF8-EA0D87BF9CE1}"/>
    <cellStyle name="Note 4 5 15" xfId="2748" xr:uid="{92346CC4-0828-4322-A665-353AB8F74FAD}"/>
    <cellStyle name="Note 4 5 15 2" xfId="11181" xr:uid="{4D511037-2B1D-4394-8810-724167E41267}"/>
    <cellStyle name="Note 4 5 15 2 2" xfId="38439" xr:uid="{FF5820D3-57BB-4ECE-BD1F-6D7F4DDD4664}"/>
    <cellStyle name="Note 4 5 15 2 3" xfId="38440" xr:uid="{EEACF90C-8E50-41E1-B8FF-F428DC66F4D6}"/>
    <cellStyle name="Note 4 5 15 2 4" xfId="38441" xr:uid="{914E4B1D-3781-4255-9F29-923CC17001C2}"/>
    <cellStyle name="Note 4 5 15 2 5" xfId="38442" xr:uid="{5DC4200E-F2DB-4406-A128-DF32251AF60A}"/>
    <cellStyle name="Note 4 5 15 2 6" xfId="38443" xr:uid="{0535D78B-D56D-489D-9383-1EAE43C35BB2}"/>
    <cellStyle name="Note 4 5 15 3" xfId="38444" xr:uid="{640A0FBE-E99E-4730-8DB2-305DAC10737F}"/>
    <cellStyle name="Note 4 5 15 4" xfId="38445" xr:uid="{ADB0281B-96AA-4698-8802-15F476FB4F7F}"/>
    <cellStyle name="Note 4 5 15 5" xfId="38446" xr:uid="{40DDA615-0297-428C-B59E-8AAF73C7D9D3}"/>
    <cellStyle name="Note 4 5 15 6" xfId="38447" xr:uid="{6D37F023-625A-4628-8CF0-6655919EA2ED}"/>
    <cellStyle name="Note 4 5 15 7" xfId="38448" xr:uid="{2D2D2429-461C-4A7F-B5EC-38B0C5365E69}"/>
    <cellStyle name="Note 4 5 16" xfId="2749" xr:uid="{53C97C69-05D1-4532-9DC4-39A335B0AF98}"/>
    <cellStyle name="Note 4 5 16 2" xfId="11271" xr:uid="{E5758AE1-61E2-4078-B2C3-F2185376D4C1}"/>
    <cellStyle name="Note 4 5 16 2 2" xfId="38449" xr:uid="{736E29BE-427A-4523-9FEE-11BD57946279}"/>
    <cellStyle name="Note 4 5 16 2 3" xfId="38450" xr:uid="{7244786A-0247-4B48-885C-8B4D46F83810}"/>
    <cellStyle name="Note 4 5 16 2 4" xfId="38451" xr:uid="{E46BEA42-AA3A-4B73-BDFD-B7B5DD184845}"/>
    <cellStyle name="Note 4 5 16 2 5" xfId="38452" xr:uid="{FD6B42E5-AA9A-494E-9C75-C955AACE0F88}"/>
    <cellStyle name="Note 4 5 16 2 6" xfId="38453" xr:uid="{A2B4D0A6-A42A-49B4-B95C-F10041005FA0}"/>
    <cellStyle name="Note 4 5 16 3" xfId="38454" xr:uid="{47EA9F0B-4320-43DA-A20C-9438DF1DFC99}"/>
    <cellStyle name="Note 4 5 16 4" xfId="38455" xr:uid="{205325CC-3157-449C-809B-DB4D8564A5A6}"/>
    <cellStyle name="Note 4 5 16 5" xfId="38456" xr:uid="{C5C9879D-C532-4F22-8639-CFA41249B41A}"/>
    <cellStyle name="Note 4 5 16 6" xfId="38457" xr:uid="{AA43E226-E7CC-4D0E-8400-89F9871DBB20}"/>
    <cellStyle name="Note 4 5 16 7" xfId="38458" xr:uid="{640B2E3D-E1DA-4111-B8C0-28B64C74FC3D}"/>
    <cellStyle name="Note 4 5 17" xfId="2750" xr:uid="{669AB577-F52C-48D9-B5EA-6432A6A32E72}"/>
    <cellStyle name="Note 4 5 17 2" xfId="11357" xr:uid="{A30D888B-3A8C-4EA8-A81F-A95FFB7F677E}"/>
    <cellStyle name="Note 4 5 17 2 2" xfId="38459" xr:uid="{3040F558-02BA-4CAC-BAE1-EF8BEA2CB2A7}"/>
    <cellStyle name="Note 4 5 17 2 3" xfId="38460" xr:uid="{A324711C-E83D-44DB-AC02-400C535B1E57}"/>
    <cellStyle name="Note 4 5 17 2 4" xfId="38461" xr:uid="{AC8CD415-3853-4B3B-8566-C107568F273A}"/>
    <cellStyle name="Note 4 5 17 2 5" xfId="38462" xr:uid="{9B29242F-261F-4CBE-96BB-4713229A0747}"/>
    <cellStyle name="Note 4 5 17 2 6" xfId="38463" xr:uid="{E6825317-E607-4197-BE3B-0B7A97437F14}"/>
    <cellStyle name="Note 4 5 17 3" xfId="38464" xr:uid="{7D33A49E-AB2D-4F80-83DC-1E0859BB3A61}"/>
    <cellStyle name="Note 4 5 17 4" xfId="38465" xr:uid="{AA929558-28D3-451E-BDB3-53BD0576AEB7}"/>
    <cellStyle name="Note 4 5 17 5" xfId="38466" xr:uid="{168DF13E-74AB-4169-87CE-3FE7B5FFC8FF}"/>
    <cellStyle name="Note 4 5 17 6" xfId="38467" xr:uid="{C658262B-01F0-4BCD-9C14-1143ECCCF568}"/>
    <cellStyle name="Note 4 5 17 7" xfId="38468" xr:uid="{F0C289C5-096D-4108-B5AF-1BAAEFE27E52}"/>
    <cellStyle name="Note 4 5 18" xfId="2751" xr:uid="{B757C263-13EC-49A8-9BDE-A2A3903D02B4}"/>
    <cellStyle name="Note 4 5 18 2" xfId="11444" xr:uid="{B1AB60F0-7102-4810-9FCF-BE1C951FC611}"/>
    <cellStyle name="Note 4 5 18 2 2" xfId="38469" xr:uid="{3F80101C-960E-4186-A640-A2C7BEF3B318}"/>
    <cellStyle name="Note 4 5 18 2 3" xfId="38470" xr:uid="{4455EF32-F899-49FD-A8BF-C8C8A6096AC9}"/>
    <cellStyle name="Note 4 5 18 2 4" xfId="38471" xr:uid="{2947AF05-0846-4AE3-9801-9A1180253247}"/>
    <cellStyle name="Note 4 5 18 2 5" xfId="38472" xr:uid="{90FEE329-3CB3-4E44-9DDC-402196BF321F}"/>
    <cellStyle name="Note 4 5 18 2 6" xfId="38473" xr:uid="{C68049F8-8D0F-4DF6-9CFD-263861D8ECB3}"/>
    <cellStyle name="Note 4 5 18 3" xfId="38474" xr:uid="{F0B813F8-0F2A-4E85-920F-9AD8207509F6}"/>
    <cellStyle name="Note 4 5 18 4" xfId="38475" xr:uid="{52C00B66-1F0E-4176-A8A9-C249DD291C95}"/>
    <cellStyle name="Note 4 5 18 5" xfId="38476" xr:uid="{31F6CB13-A28B-4FF2-B57F-8D80ADA4F3EF}"/>
    <cellStyle name="Note 4 5 18 6" xfId="38477" xr:uid="{5070A605-3863-49EC-9834-1EFFB1E628C3}"/>
    <cellStyle name="Note 4 5 18 7" xfId="38478" xr:uid="{4CD80CDC-3971-4431-A097-BB9A3DAB0D73}"/>
    <cellStyle name="Note 4 5 19" xfId="2752" xr:uid="{6335171D-9683-4BEA-8A5D-E439E432B353}"/>
    <cellStyle name="Note 4 5 19 2" xfId="11531" xr:uid="{8B44A69B-E1F8-46F2-835A-04BB0F1E2ADB}"/>
    <cellStyle name="Note 4 5 19 2 2" xfId="38479" xr:uid="{B5B17E97-CFF9-427C-AABB-06E2D24FD455}"/>
    <cellStyle name="Note 4 5 19 2 3" xfId="38480" xr:uid="{D22D06F2-DFA8-49FE-B861-2E8318951250}"/>
    <cellStyle name="Note 4 5 19 2 4" xfId="38481" xr:uid="{6457F66C-C7E1-4F0A-AAAF-B0B985147421}"/>
    <cellStyle name="Note 4 5 19 2 5" xfId="38482" xr:uid="{4FF708E0-1FEA-446D-93AA-4523B424EEF5}"/>
    <cellStyle name="Note 4 5 19 2 6" xfId="38483" xr:uid="{A7686D01-7BC8-4598-8457-AD9AEA6DC3F2}"/>
    <cellStyle name="Note 4 5 19 3" xfId="38484" xr:uid="{AA8B64F2-95C9-47C1-B34E-5A6B0873D48D}"/>
    <cellStyle name="Note 4 5 19 4" xfId="38485" xr:uid="{DFCA72C9-FD02-49E9-A3C5-14544DB9FF5B}"/>
    <cellStyle name="Note 4 5 19 5" xfId="38486" xr:uid="{CD5D0F67-2F1A-424F-9BB8-115447182818}"/>
    <cellStyle name="Note 4 5 19 6" xfId="38487" xr:uid="{41BB6C6A-72E2-4B96-B935-79BB10F88A1E}"/>
    <cellStyle name="Note 4 5 19 7" xfId="38488" xr:uid="{8BA9D6F5-5350-491E-8118-F5CD86F40F76}"/>
    <cellStyle name="Note 4 5 2" xfId="2753" xr:uid="{61E5CF89-CCEF-4C73-9191-80518FB52AD7}"/>
    <cellStyle name="Note 4 5 2 2" xfId="10038" xr:uid="{24F17E16-BE83-455C-88A9-FD093CCF4C66}"/>
    <cellStyle name="Note 4 5 2 2 2" xfId="38489" xr:uid="{FB062141-DEC2-47D0-A34D-C030BB64124F}"/>
    <cellStyle name="Note 4 5 2 2 3" xfId="38490" xr:uid="{273D1603-2661-4DEF-AA56-1044EC857973}"/>
    <cellStyle name="Note 4 5 2 2 4" xfId="38491" xr:uid="{A918E7B9-9C1E-4568-87E6-0B70A05DC72C}"/>
    <cellStyle name="Note 4 5 2 2 5" xfId="38492" xr:uid="{5745D644-581F-40A8-A680-C13A07A2BE1E}"/>
    <cellStyle name="Note 4 5 2 2 6" xfId="38493" xr:uid="{129B6BEC-D8F4-4F89-A7CE-729FAA8FBB41}"/>
    <cellStyle name="Note 4 5 2 3" xfId="38494" xr:uid="{012AAF75-87AC-4DA1-B0D6-6FC52285D077}"/>
    <cellStyle name="Note 4 5 2 4" xfId="38495" xr:uid="{3E1A2C9F-2D37-46A4-8FD1-95B9B8BA45E1}"/>
    <cellStyle name="Note 4 5 2 5" xfId="38496" xr:uid="{CD63FF6A-09EF-4F25-B4E2-0F14D8841A0F}"/>
    <cellStyle name="Note 4 5 2 6" xfId="38497" xr:uid="{CAF4A7F8-9598-4E57-9361-3C809B1FAFDE}"/>
    <cellStyle name="Note 4 5 2 7" xfId="38498" xr:uid="{3222C64E-8404-4580-9D2E-3F87DE8A1C03}"/>
    <cellStyle name="Note 4 5 20" xfId="2754" xr:uid="{70B68E9C-4624-436B-B857-734BE7CBFB58}"/>
    <cellStyle name="Note 4 5 20 2" xfId="11619" xr:uid="{43A29BD9-0D83-4203-8D8C-2B2032926566}"/>
    <cellStyle name="Note 4 5 20 2 2" xfId="38499" xr:uid="{201A5526-4A4F-4A3D-8487-30BDCB247734}"/>
    <cellStyle name="Note 4 5 20 2 3" xfId="38500" xr:uid="{26346AE2-A39D-4C30-BF9B-8973123F3653}"/>
    <cellStyle name="Note 4 5 20 2 4" xfId="38501" xr:uid="{120B6BDD-93DB-416A-BC22-C68F7B4E6E5A}"/>
    <cellStyle name="Note 4 5 20 2 5" xfId="38502" xr:uid="{EB2DBFDC-2F99-416E-AAC5-C85563A239C5}"/>
    <cellStyle name="Note 4 5 20 2 6" xfId="38503" xr:uid="{A2F1204D-638A-4BD4-8B3B-7D4DDA283887}"/>
    <cellStyle name="Note 4 5 20 3" xfId="38504" xr:uid="{79D9F2F4-4429-4331-A0DC-E29759E3A66F}"/>
    <cellStyle name="Note 4 5 20 4" xfId="38505" xr:uid="{23EFBEAB-9C68-4AB0-9F0F-786AABA017E1}"/>
    <cellStyle name="Note 4 5 20 5" xfId="38506" xr:uid="{FC4EC919-C9F9-4337-B22D-04CF3756EEDB}"/>
    <cellStyle name="Note 4 5 20 6" xfId="38507" xr:uid="{107F50CB-CF65-41DC-B4E9-AF17DEB64A5A}"/>
    <cellStyle name="Note 4 5 20 7" xfId="38508" xr:uid="{08EDF5A7-3DB8-45B9-8D0A-D134D07CBD28}"/>
    <cellStyle name="Note 4 5 21" xfId="2755" xr:uid="{7ACC4288-D283-460A-8A1D-C74E8B4C870C}"/>
    <cellStyle name="Note 4 5 21 2" xfId="11703" xr:uid="{CE1DCE45-FF5F-49B6-AE55-5CACA7D1F45A}"/>
    <cellStyle name="Note 4 5 21 2 2" xfId="38509" xr:uid="{B852A3C6-6C67-4700-8C93-9FC5C29F01AA}"/>
    <cellStyle name="Note 4 5 21 2 3" xfId="38510" xr:uid="{448AFD92-C7FF-494C-93B6-D79066AC7909}"/>
    <cellStyle name="Note 4 5 21 2 4" xfId="38511" xr:uid="{D354CFC6-7642-4F47-8CE7-24AE3AA2D25F}"/>
    <cellStyle name="Note 4 5 21 2 5" xfId="38512" xr:uid="{3D9BCAA0-6CB4-4041-8EDE-8CF18A7EC1AF}"/>
    <cellStyle name="Note 4 5 21 2 6" xfId="38513" xr:uid="{59F3363F-A409-4C2E-8FA5-4F7AFE23FE8B}"/>
    <cellStyle name="Note 4 5 21 3" xfId="38514" xr:uid="{C5DC0718-6603-4995-BA06-B47E9D98FFD3}"/>
    <cellStyle name="Note 4 5 21 4" xfId="38515" xr:uid="{B0346D78-819C-42E4-A779-9F56FB7E63E2}"/>
    <cellStyle name="Note 4 5 21 5" xfId="38516" xr:uid="{7682EB4D-C259-496A-9E6E-7F9E5C1AF754}"/>
    <cellStyle name="Note 4 5 21 6" xfId="38517" xr:uid="{5CF4804F-AFCA-4A75-AA40-CA6F21F002BC}"/>
    <cellStyle name="Note 4 5 21 7" xfId="38518" xr:uid="{04346568-121A-4F5F-B44F-BDE108AC779E}"/>
    <cellStyle name="Note 4 5 22" xfId="2756" xr:uid="{18EF9105-B525-4E2B-97BB-02965C913D91}"/>
    <cellStyle name="Note 4 5 22 2" xfId="11786" xr:uid="{F0B30812-9B27-4957-8425-4BDFAE348DC2}"/>
    <cellStyle name="Note 4 5 22 2 2" xfId="38519" xr:uid="{60762695-C0BF-4CD0-9A87-FFBF358D924D}"/>
    <cellStyle name="Note 4 5 22 2 3" xfId="38520" xr:uid="{42933EBD-6184-4DFB-B31F-46236E7870C0}"/>
    <cellStyle name="Note 4 5 22 2 4" xfId="38521" xr:uid="{580E6B37-69D7-4832-831B-3072268BB52F}"/>
    <cellStyle name="Note 4 5 22 2 5" xfId="38522" xr:uid="{189D2C3B-CAA4-4D2E-9EEE-66839EE36198}"/>
    <cellStyle name="Note 4 5 22 2 6" xfId="38523" xr:uid="{01C9F0E2-F889-4207-8C5E-8AD73330D03F}"/>
    <cellStyle name="Note 4 5 22 3" xfId="38524" xr:uid="{8D3B4C3B-DEC7-4A8C-87F7-03C589929FBA}"/>
    <cellStyle name="Note 4 5 22 4" xfId="38525" xr:uid="{C244B354-29E8-48A2-BE7F-AF06D816E2AF}"/>
    <cellStyle name="Note 4 5 22 5" xfId="38526" xr:uid="{43330BC7-08F3-4514-8768-6FF01283E763}"/>
    <cellStyle name="Note 4 5 22 6" xfId="38527" xr:uid="{FDE5725F-457E-48C8-BF04-4356445B31D8}"/>
    <cellStyle name="Note 4 5 22 7" xfId="38528" xr:uid="{1E05DF23-4D88-45DD-8B3B-8636F0859DBE}"/>
    <cellStyle name="Note 4 5 23" xfId="2757" xr:uid="{D79F4FF3-F2D3-4277-8A06-D1E9A92453EF}"/>
    <cellStyle name="Note 4 5 23 2" xfId="11869" xr:uid="{9E330E03-2089-4CE8-B5EB-A0FFA7A45B99}"/>
    <cellStyle name="Note 4 5 23 2 2" xfId="38529" xr:uid="{8F157FDD-6C7D-43A3-B71F-68F3499BA900}"/>
    <cellStyle name="Note 4 5 23 2 3" xfId="38530" xr:uid="{78432362-52F1-4AAC-868C-D0BA5A355683}"/>
    <cellStyle name="Note 4 5 23 2 4" xfId="38531" xr:uid="{45546E4A-D91D-47D4-9E4E-3402CFEF553A}"/>
    <cellStyle name="Note 4 5 23 2 5" xfId="38532" xr:uid="{9617BC44-39D3-4168-9B66-E72D764AAEC1}"/>
    <cellStyle name="Note 4 5 23 2 6" xfId="38533" xr:uid="{E52A4BAC-C6F7-4774-865A-D86EBBB99BA1}"/>
    <cellStyle name="Note 4 5 23 3" xfId="38534" xr:uid="{EE954E98-8662-4975-9209-9BEDE56A78CA}"/>
    <cellStyle name="Note 4 5 23 4" xfId="38535" xr:uid="{D6776541-6AF7-4463-BF07-35E6DFC298F7}"/>
    <cellStyle name="Note 4 5 23 5" xfId="38536" xr:uid="{86AEC1A3-8F34-4820-ABF3-47F1D253D720}"/>
    <cellStyle name="Note 4 5 23 6" xfId="38537" xr:uid="{75B24816-417C-442F-8586-CF78F597A09D}"/>
    <cellStyle name="Note 4 5 23 7" xfId="38538" xr:uid="{C1BA632E-7866-4D45-8A55-C3419C133331}"/>
    <cellStyle name="Note 4 5 24" xfId="2758" xr:uid="{1786E139-039A-428D-A6B1-3D4AB072CDF2}"/>
    <cellStyle name="Note 4 5 24 2" xfId="11953" xr:uid="{F39E10B2-CACB-4E7B-A2F2-0E975A46BD15}"/>
    <cellStyle name="Note 4 5 24 2 2" xfId="38539" xr:uid="{81BF3B19-A475-4468-8489-6599B2A9D277}"/>
    <cellStyle name="Note 4 5 24 2 3" xfId="38540" xr:uid="{01B7C6B6-677E-4152-9E6F-C3D6A5866C30}"/>
    <cellStyle name="Note 4 5 24 2 4" xfId="38541" xr:uid="{98C184FA-FABC-4386-BE63-D502D2F664EB}"/>
    <cellStyle name="Note 4 5 24 2 5" xfId="38542" xr:uid="{AE6C6A5B-C80F-4600-8B51-AB5F408D0412}"/>
    <cellStyle name="Note 4 5 24 2 6" xfId="38543" xr:uid="{1A329B22-92AD-4139-8B0F-A36BC519D228}"/>
    <cellStyle name="Note 4 5 24 3" xfId="38544" xr:uid="{100AEFB8-B836-4352-81AD-E4AF1FD11FD4}"/>
    <cellStyle name="Note 4 5 24 4" xfId="38545" xr:uid="{FE5C4CD1-77FE-411A-AA81-8DD148315753}"/>
    <cellStyle name="Note 4 5 24 5" xfId="38546" xr:uid="{8D6B8AF9-6031-4BD4-BFAB-F217B5199CE0}"/>
    <cellStyle name="Note 4 5 24 6" xfId="38547" xr:uid="{1EF5FCB4-5B25-4F7C-83AA-16D841909820}"/>
    <cellStyle name="Note 4 5 24 7" xfId="38548" xr:uid="{DA82E1BF-E3BC-4076-B4ED-38C74C482771}"/>
    <cellStyle name="Note 4 5 25" xfId="2759" xr:uid="{042369CA-6B13-4EC4-BD4A-08EDBA34B42C}"/>
    <cellStyle name="Note 4 5 25 2" xfId="12036" xr:uid="{6D1A75D6-C95B-4176-A139-4EA440000B69}"/>
    <cellStyle name="Note 4 5 25 2 2" xfId="38549" xr:uid="{56B159BC-8CD1-416F-AF2A-A7DC663F6DF0}"/>
    <cellStyle name="Note 4 5 25 2 3" xfId="38550" xr:uid="{567CBFAB-02E6-4254-819F-A4B6CD27A0A0}"/>
    <cellStyle name="Note 4 5 25 2 4" xfId="38551" xr:uid="{3613980E-EC7B-4089-A8F4-66F8729229B9}"/>
    <cellStyle name="Note 4 5 25 2 5" xfId="38552" xr:uid="{C3BADCE8-7AC7-4D38-8C9B-E8A86250B95A}"/>
    <cellStyle name="Note 4 5 25 2 6" xfId="38553" xr:uid="{F8A19696-6353-43C2-A445-F7307629246B}"/>
    <cellStyle name="Note 4 5 25 3" xfId="38554" xr:uid="{E5A93807-AC05-4FE2-A9A1-0B72AF2D0469}"/>
    <cellStyle name="Note 4 5 25 4" xfId="38555" xr:uid="{C1C1CEB7-DAAD-4584-831D-2CC4E25EFEF2}"/>
    <cellStyle name="Note 4 5 25 5" xfId="38556" xr:uid="{EC5719E1-1D37-403C-AF84-8FB689BC7C71}"/>
    <cellStyle name="Note 4 5 25 6" xfId="38557" xr:uid="{5EBD66BD-7CDB-4A4D-B507-31D54D9348AB}"/>
    <cellStyle name="Note 4 5 25 7" xfId="38558" xr:uid="{117ABA3D-8E5A-404F-BDCE-44D11C8F92F1}"/>
    <cellStyle name="Note 4 5 26" xfId="2760" xr:uid="{0FFC2FE0-357E-4B6A-9DA6-7EC3F7978A84}"/>
    <cellStyle name="Note 4 5 26 2" xfId="12119" xr:uid="{32589CF7-C8FB-43A1-85FD-168D76ABD14A}"/>
    <cellStyle name="Note 4 5 26 2 2" xfId="38559" xr:uid="{443CD537-D240-4746-9230-351C79406BD0}"/>
    <cellStyle name="Note 4 5 26 2 3" xfId="38560" xr:uid="{53FD77A7-4501-4326-9EFE-7F1641285A5B}"/>
    <cellStyle name="Note 4 5 26 2 4" xfId="38561" xr:uid="{EEEDD600-A745-4179-9BAA-3071564230B7}"/>
    <cellStyle name="Note 4 5 26 2 5" xfId="38562" xr:uid="{CE75152C-11F0-48B3-AFDF-B35B1A93C445}"/>
    <cellStyle name="Note 4 5 26 2 6" xfId="38563" xr:uid="{7FE696D3-289B-45FF-A989-142EAB0AAC66}"/>
    <cellStyle name="Note 4 5 26 3" xfId="38564" xr:uid="{CE7BB79E-2639-482B-B88C-3F5B466429B9}"/>
    <cellStyle name="Note 4 5 26 4" xfId="38565" xr:uid="{9E588675-474F-410A-979C-CC8677B84E31}"/>
    <cellStyle name="Note 4 5 26 5" xfId="38566" xr:uid="{A30AA98C-FBCC-4217-8103-78F44AE2E741}"/>
    <cellStyle name="Note 4 5 26 6" xfId="38567" xr:uid="{EB1784ED-6F1D-4903-88EA-F906C94D44AF}"/>
    <cellStyle name="Note 4 5 26 7" xfId="38568" xr:uid="{1A6764CF-6469-443C-8316-CE4010DD0988}"/>
    <cellStyle name="Note 4 5 27" xfId="2761" xr:uid="{3FEC8B5C-D58B-4582-B40D-82E7C9C5E35B}"/>
    <cellStyle name="Note 4 5 27 2" xfId="12201" xr:uid="{8AC38894-15E2-451F-B041-E7C3F5C0666F}"/>
    <cellStyle name="Note 4 5 27 2 2" xfId="38569" xr:uid="{FFB33451-FAB4-4941-B7E2-A5448173B075}"/>
    <cellStyle name="Note 4 5 27 2 3" xfId="38570" xr:uid="{15595018-E63E-4B1E-B27C-6D41D82CAA2B}"/>
    <cellStyle name="Note 4 5 27 2 4" xfId="38571" xr:uid="{CA8D1A48-C420-4158-B783-72880593D011}"/>
    <cellStyle name="Note 4 5 27 2 5" xfId="38572" xr:uid="{708FA1E6-F93B-41BC-8FF8-07C633866F56}"/>
    <cellStyle name="Note 4 5 27 2 6" xfId="38573" xr:uid="{6796D625-E87F-4951-B7F1-888FD2707E1F}"/>
    <cellStyle name="Note 4 5 27 3" xfId="38574" xr:uid="{B490B4D8-0DBF-47DE-8E01-3D4512AB5D97}"/>
    <cellStyle name="Note 4 5 27 4" xfId="38575" xr:uid="{B75C33CB-09F1-4CB5-B44E-F958F5D93C52}"/>
    <cellStyle name="Note 4 5 27 5" xfId="38576" xr:uid="{88DC2EC5-5D75-4A88-A4E1-0EA8FD443E9E}"/>
    <cellStyle name="Note 4 5 27 6" xfId="38577" xr:uid="{D0C7BD99-6ED0-4EBA-AC25-84FEA1FC540A}"/>
    <cellStyle name="Note 4 5 27 7" xfId="38578" xr:uid="{29FE212B-C2F4-4A63-AB8B-0915230D1B6B}"/>
    <cellStyle name="Note 4 5 28" xfId="2762" xr:uid="{6218D60B-3FC4-4C09-A320-A880210175CF}"/>
    <cellStyle name="Note 4 5 28 2" xfId="12281" xr:uid="{1EC6807C-B453-43E5-BE60-113973BAA413}"/>
    <cellStyle name="Note 4 5 28 2 2" xfId="38579" xr:uid="{627D419E-FAF6-458C-A7C9-80D6E9B386F1}"/>
    <cellStyle name="Note 4 5 28 2 3" xfId="38580" xr:uid="{A4F0AA30-86E1-4947-AC6E-46F615BE0695}"/>
    <cellStyle name="Note 4 5 28 2 4" xfId="38581" xr:uid="{3DBA7A0B-5997-4D4E-9D82-8B728EBAFBBD}"/>
    <cellStyle name="Note 4 5 28 2 5" xfId="38582" xr:uid="{EC86CA48-D1EE-44B5-8F78-EC1B848B0A54}"/>
    <cellStyle name="Note 4 5 28 2 6" xfId="38583" xr:uid="{DE61CC8D-61AA-4D47-A42D-4B693CB37FD3}"/>
    <cellStyle name="Note 4 5 28 3" xfId="38584" xr:uid="{D9265A7A-2048-4141-8E31-A36C446F8616}"/>
    <cellStyle name="Note 4 5 28 4" xfId="38585" xr:uid="{EC301DEF-D695-4D3B-AA72-5500463A682A}"/>
    <cellStyle name="Note 4 5 28 5" xfId="38586" xr:uid="{5EF88443-42DA-429A-BA87-869EE269DB78}"/>
    <cellStyle name="Note 4 5 28 6" xfId="38587" xr:uid="{6AF841F6-81C0-44CE-950B-52F5638FF4C4}"/>
    <cellStyle name="Note 4 5 28 7" xfId="38588" xr:uid="{81685765-C87C-44E2-B3A3-58A131CD940B}"/>
    <cellStyle name="Note 4 5 29" xfId="2763" xr:uid="{17962CCD-64D7-4BFD-BAAF-94E90FCB64B6}"/>
    <cellStyle name="Note 4 5 29 2" xfId="12359" xr:uid="{6702721F-89DE-4DC2-8E44-FBFD33667908}"/>
    <cellStyle name="Note 4 5 29 2 2" xfId="38589" xr:uid="{27D3F34D-C22B-4756-AA81-FB4DC6B013E7}"/>
    <cellStyle name="Note 4 5 29 2 3" xfId="38590" xr:uid="{82EC6E74-45F8-4232-BEE2-B7AB4851D9A7}"/>
    <cellStyle name="Note 4 5 29 2 4" xfId="38591" xr:uid="{971A3460-2868-4529-AEFE-CB1EC44A1B90}"/>
    <cellStyle name="Note 4 5 29 2 5" xfId="38592" xr:uid="{BA0CA10C-80FA-4DC4-87E4-782DC7F6992C}"/>
    <cellStyle name="Note 4 5 29 2 6" xfId="38593" xr:uid="{83DDA77F-557B-4F57-B1DB-36F3FE57D8D3}"/>
    <cellStyle name="Note 4 5 29 3" xfId="38594" xr:uid="{0D52BE09-FFE5-49E8-92CD-EF90CAD540E3}"/>
    <cellStyle name="Note 4 5 29 4" xfId="38595" xr:uid="{14EA7D10-7E40-4C9B-9ECA-41FACE01592A}"/>
    <cellStyle name="Note 4 5 29 5" xfId="38596" xr:uid="{1A121A98-EAB4-4CE8-878B-E9EB120D9F39}"/>
    <cellStyle name="Note 4 5 29 6" xfId="38597" xr:uid="{8F0A4A2C-3AD9-4EFB-8D37-D435217FF454}"/>
    <cellStyle name="Note 4 5 29 7" xfId="38598" xr:uid="{553BD44C-55CA-46F8-A093-7B49A62264A6}"/>
    <cellStyle name="Note 4 5 3" xfId="2764" xr:uid="{B9B3BCAE-D0EF-43FA-98EA-D521F2729558}"/>
    <cellStyle name="Note 4 5 3 2" xfId="10129" xr:uid="{99DFBDF1-7F92-4132-83D1-312CA47B2CEB}"/>
    <cellStyle name="Note 4 5 3 2 2" xfId="38599" xr:uid="{8ACEB063-71A0-456C-BDD8-AA24DF46E294}"/>
    <cellStyle name="Note 4 5 3 2 3" xfId="38600" xr:uid="{EC82264A-51DB-4464-921E-54F5208A011F}"/>
    <cellStyle name="Note 4 5 3 2 4" xfId="38601" xr:uid="{1D9CA107-879F-41B5-ABC2-02189DF162C1}"/>
    <cellStyle name="Note 4 5 3 2 5" xfId="38602" xr:uid="{E16BADD7-E168-49CA-99BB-3556ED2074D7}"/>
    <cellStyle name="Note 4 5 3 2 6" xfId="38603" xr:uid="{FBEBAF07-7F88-4751-B7DB-7348F1148CEE}"/>
    <cellStyle name="Note 4 5 3 3" xfId="38604" xr:uid="{038E5853-63B5-4BD6-A7C4-1AB8DA85D0E2}"/>
    <cellStyle name="Note 4 5 3 4" xfId="38605" xr:uid="{32EDA545-A8E0-4ABB-A6E9-B97599304366}"/>
    <cellStyle name="Note 4 5 3 5" xfId="38606" xr:uid="{705B748F-ABDB-41E7-9902-EF7722D72F96}"/>
    <cellStyle name="Note 4 5 3 6" xfId="38607" xr:uid="{FC71BCAF-3A8A-41E5-B925-E58F4356DFDB}"/>
    <cellStyle name="Note 4 5 3 7" xfId="38608" xr:uid="{6F331C60-D828-46EB-8721-C4592AE56682}"/>
    <cellStyle name="Note 4 5 30" xfId="2765" xr:uid="{C43E7C29-F334-4523-BD4F-7D4325DE781F}"/>
    <cellStyle name="Note 4 5 30 2" xfId="12438" xr:uid="{87F84D32-D108-40E8-8CEB-E34E3C08E4B6}"/>
    <cellStyle name="Note 4 5 30 2 2" xfId="38609" xr:uid="{010E8731-0746-4A6B-A6A3-C68DA4A5CC33}"/>
    <cellStyle name="Note 4 5 30 2 3" xfId="38610" xr:uid="{D4426F8D-A7D4-46FD-AC4F-1408825879D5}"/>
    <cellStyle name="Note 4 5 30 2 4" xfId="38611" xr:uid="{0DE1D620-4634-45A4-9D41-EC81AE9CAE90}"/>
    <cellStyle name="Note 4 5 30 2 5" xfId="38612" xr:uid="{48076F35-D7EF-4057-82E0-5EF5B160CCF5}"/>
    <cellStyle name="Note 4 5 30 2 6" xfId="38613" xr:uid="{35693981-A869-445B-941D-46CD386DDE3B}"/>
    <cellStyle name="Note 4 5 30 3" xfId="38614" xr:uid="{8EB0F6D9-16B5-4C6E-A223-7D7335E301D1}"/>
    <cellStyle name="Note 4 5 30 4" xfId="38615" xr:uid="{15DE5A55-ABB3-472C-8E68-EC2046A866CD}"/>
    <cellStyle name="Note 4 5 30 5" xfId="38616" xr:uid="{FA681055-748D-44A9-9614-9CC7A5C1A288}"/>
    <cellStyle name="Note 4 5 30 6" xfId="38617" xr:uid="{CBA37D4D-00B8-46A7-9A8B-335730C3CBAE}"/>
    <cellStyle name="Note 4 5 30 7" xfId="38618" xr:uid="{A43046A3-7128-4D05-8EA2-94EA5D05D6B4}"/>
    <cellStyle name="Note 4 5 31" xfId="2766" xr:uid="{1DF2605A-4541-4ADB-8DA9-E9910AAC896B}"/>
    <cellStyle name="Note 4 5 31 2" xfId="12517" xr:uid="{7E4DDC28-F6FF-44C0-B9BA-2CD4ABE2CB36}"/>
    <cellStyle name="Note 4 5 31 2 2" xfId="38619" xr:uid="{47B51E63-31CF-4C37-9F70-C4CDE580EAEF}"/>
    <cellStyle name="Note 4 5 31 2 3" xfId="38620" xr:uid="{92BB046D-3BF5-437C-BF97-180B3F03DE52}"/>
    <cellStyle name="Note 4 5 31 2 4" xfId="38621" xr:uid="{FDBCB0A8-F291-48D5-8D0B-9B0080A9AE62}"/>
    <cellStyle name="Note 4 5 31 2 5" xfId="38622" xr:uid="{4EE82891-D08D-4F1A-A807-C1CBA4383720}"/>
    <cellStyle name="Note 4 5 31 2 6" xfId="38623" xr:uid="{C0346D23-451C-49AC-9B13-AF5EAC1F12DC}"/>
    <cellStyle name="Note 4 5 31 3" xfId="38624" xr:uid="{5306AA25-3FAC-4173-9831-167447CF7B38}"/>
    <cellStyle name="Note 4 5 31 4" xfId="38625" xr:uid="{98ECED35-9B59-4555-819A-DFBD76CA12B5}"/>
    <cellStyle name="Note 4 5 31 5" xfId="38626" xr:uid="{EF666B36-C241-41D3-9620-825B845A8599}"/>
    <cellStyle name="Note 4 5 31 6" xfId="38627" xr:uid="{DABA7620-6908-47B5-9A3C-EA96F273C0E0}"/>
    <cellStyle name="Note 4 5 31 7" xfId="38628" xr:uid="{DBA31203-4C34-422F-AF78-40338E1F2E84}"/>
    <cellStyle name="Note 4 5 32" xfId="2767" xr:uid="{BF1D9590-05AB-4EC8-A036-421F326E9B3D}"/>
    <cellStyle name="Note 4 5 32 2" xfId="12596" xr:uid="{E26D74FC-E612-45EC-A09A-4DA9464CCA00}"/>
    <cellStyle name="Note 4 5 32 2 2" xfId="38629" xr:uid="{18F0A0F8-2FBA-4679-804B-68D041D3732F}"/>
    <cellStyle name="Note 4 5 32 2 3" xfId="38630" xr:uid="{5C2A8847-D9D7-48F5-A67F-771A11F50A22}"/>
    <cellStyle name="Note 4 5 32 2 4" xfId="38631" xr:uid="{D36CA1F9-9ABD-4D54-B25D-569E6055F263}"/>
    <cellStyle name="Note 4 5 32 2 5" xfId="38632" xr:uid="{9DDE589C-5962-4EE8-BDE4-9418525E47BD}"/>
    <cellStyle name="Note 4 5 32 2 6" xfId="38633" xr:uid="{AE0025DB-A788-4FA5-9848-55CE6E7EEEB7}"/>
    <cellStyle name="Note 4 5 32 3" xfId="38634" xr:uid="{CC0C1434-B399-4A03-BA25-991DA7DF730B}"/>
    <cellStyle name="Note 4 5 32 4" xfId="38635" xr:uid="{DFEFA99D-D196-4731-AB70-A41E2E71896A}"/>
    <cellStyle name="Note 4 5 32 5" xfId="38636" xr:uid="{EE1CDB5C-AD28-4B68-A62B-59165398AC4F}"/>
    <cellStyle name="Note 4 5 32 6" xfId="38637" xr:uid="{827DC858-570E-439D-A1CC-9753E75E52EA}"/>
    <cellStyle name="Note 4 5 32 7" xfId="38638" xr:uid="{8F89D97A-1B9F-4D6F-8E36-678B4421660E}"/>
    <cellStyle name="Note 4 5 33" xfId="2768" xr:uid="{CB853970-3420-4CEC-A0BE-CF88CC21B3A9}"/>
    <cellStyle name="Note 4 5 33 2" xfId="12675" xr:uid="{2CF2C205-C269-493B-9842-A1EA1500A667}"/>
    <cellStyle name="Note 4 5 33 2 2" xfId="38639" xr:uid="{9D089B64-1B86-42E4-8655-559A92FBB870}"/>
    <cellStyle name="Note 4 5 33 2 3" xfId="38640" xr:uid="{80BD71D8-EB76-4F4E-A3E1-0A555AF5D841}"/>
    <cellStyle name="Note 4 5 33 2 4" xfId="38641" xr:uid="{42968039-EEB6-447C-ABF6-A85B1B880F76}"/>
    <cellStyle name="Note 4 5 33 2 5" xfId="38642" xr:uid="{12BED071-154F-413A-B17E-8CD937A56722}"/>
    <cellStyle name="Note 4 5 33 2 6" xfId="38643" xr:uid="{455E26BC-A6DF-47F3-8043-E146AA1F2B46}"/>
    <cellStyle name="Note 4 5 33 3" xfId="38644" xr:uid="{FDAC8715-F185-4EFA-A530-ADA0815A4A1C}"/>
    <cellStyle name="Note 4 5 33 4" xfId="38645" xr:uid="{BEFE48E2-8F8F-4F58-BDCF-EC137DB4DEF0}"/>
    <cellStyle name="Note 4 5 33 5" xfId="38646" xr:uid="{21EEEC61-B055-4A4E-A8C4-110FA2FB59EF}"/>
    <cellStyle name="Note 4 5 33 6" xfId="38647" xr:uid="{A8A53F7B-7999-4013-A20E-CD4389868B87}"/>
    <cellStyle name="Note 4 5 33 7" xfId="38648" xr:uid="{67516819-07E5-4C7A-921B-E6D194D8EC41}"/>
    <cellStyle name="Note 4 5 34" xfId="2769" xr:uid="{836C49DD-7AC2-4350-AE9F-5661006C6C0A}"/>
    <cellStyle name="Note 4 5 34 2" xfId="12759" xr:uid="{4BF26418-D63A-4010-92AB-872BE87B00A3}"/>
    <cellStyle name="Note 4 5 34 2 2" xfId="38649" xr:uid="{39831467-A48F-4C7C-9B0E-2AA5FAF02829}"/>
    <cellStyle name="Note 4 5 34 2 3" xfId="38650" xr:uid="{0BE78C50-0AC4-4505-8EB0-3AD922DDB37D}"/>
    <cellStyle name="Note 4 5 34 2 4" xfId="38651" xr:uid="{0E5535B7-72B4-4181-8F8A-D43A46E863D6}"/>
    <cellStyle name="Note 4 5 34 2 5" xfId="38652" xr:uid="{22B1C642-F686-4922-8083-C4235EB63CAF}"/>
    <cellStyle name="Note 4 5 34 2 6" xfId="38653" xr:uid="{FFCFD5C9-CC97-4E49-9F68-9CC4370F947F}"/>
    <cellStyle name="Note 4 5 34 3" xfId="38654" xr:uid="{023285A2-1845-4985-8222-644245645C66}"/>
    <cellStyle name="Note 4 5 34 4" xfId="38655" xr:uid="{44288F47-737F-40ED-8054-AAD1436D0AF4}"/>
    <cellStyle name="Note 4 5 34 5" xfId="38656" xr:uid="{11E25529-6875-4BAB-A64C-1D22DF9F2F83}"/>
    <cellStyle name="Note 4 5 34 6" xfId="38657" xr:uid="{23862270-6EE1-4BA8-813F-82DD49E43D1D}"/>
    <cellStyle name="Note 4 5 34 7" xfId="38658" xr:uid="{8C3BBBC1-7C8D-44B0-B7C4-5516E7D4FA8F}"/>
    <cellStyle name="Note 4 5 35" xfId="9825" xr:uid="{A1998433-BCBF-485F-B1B8-667CFA5C9886}"/>
    <cellStyle name="Note 4 5 35 2" xfId="38659" xr:uid="{968720F2-9330-410F-A7B6-ED25A5E35580}"/>
    <cellStyle name="Note 4 5 35 3" xfId="38660" xr:uid="{48535449-A248-43A1-92C7-F8BA163F5868}"/>
    <cellStyle name="Note 4 5 35 4" xfId="38661" xr:uid="{0D950200-0D56-4CC4-8A1C-5C848358FCA2}"/>
    <cellStyle name="Note 4 5 35 5" xfId="38662" xr:uid="{70392829-F41A-4BD4-8844-D30510F860F1}"/>
    <cellStyle name="Note 4 5 35 6" xfId="38663" xr:uid="{9E2DAF0A-F83E-45E2-AE81-7A3A0EBBBB3D}"/>
    <cellStyle name="Note 4 5 36" xfId="38664" xr:uid="{CD16D016-55A6-4A15-B80D-213C9B5394BF}"/>
    <cellStyle name="Note 4 5 37" xfId="38665" xr:uid="{3E7A5B2E-337E-4B3C-8E55-381A03340DCF}"/>
    <cellStyle name="Note 4 5 38" xfId="38666" xr:uid="{6C787344-6B1E-4B53-99DC-377159510044}"/>
    <cellStyle name="Note 4 5 39" xfId="38667" xr:uid="{D043A622-93C6-4C5E-B315-97C5A6A819AC}"/>
    <cellStyle name="Note 4 5 4" xfId="2770" xr:uid="{12BAD439-E4DD-4FF9-907B-524EA70C2998}"/>
    <cellStyle name="Note 4 5 4 2" xfId="10219" xr:uid="{D8120F6C-02EC-4D3C-8EAB-9F701385AD32}"/>
    <cellStyle name="Note 4 5 4 2 2" xfId="38668" xr:uid="{04BF0F08-AEC0-44A7-8977-F8AF7D145133}"/>
    <cellStyle name="Note 4 5 4 2 3" xfId="38669" xr:uid="{66519E43-1BAA-4AF0-8B73-B23947D1C2BB}"/>
    <cellStyle name="Note 4 5 4 2 4" xfId="38670" xr:uid="{8711F6AA-270B-432A-AE1E-4AE37FD6F1F2}"/>
    <cellStyle name="Note 4 5 4 2 5" xfId="38671" xr:uid="{63702311-E8E1-44F1-B593-972BBC5BCBDC}"/>
    <cellStyle name="Note 4 5 4 2 6" xfId="38672" xr:uid="{601FAF79-D76C-4F1A-B7A2-3BDC3A35391D}"/>
    <cellStyle name="Note 4 5 4 3" xfId="38673" xr:uid="{B87BE990-B7CD-4D0D-86A9-4487057BC81D}"/>
    <cellStyle name="Note 4 5 4 4" xfId="38674" xr:uid="{AEC403DB-4EE4-4950-BB4C-116529A60250}"/>
    <cellStyle name="Note 4 5 4 5" xfId="38675" xr:uid="{79F9C0A3-1947-46B7-9DE2-DDC219DE7331}"/>
    <cellStyle name="Note 4 5 4 6" xfId="38676" xr:uid="{86966396-DA46-45E7-B613-ECB5D97BED08}"/>
    <cellStyle name="Note 4 5 4 7" xfId="38677" xr:uid="{D1CADF80-6F28-4693-842D-AB8BFF517F33}"/>
    <cellStyle name="Note 4 5 40" xfId="38678" xr:uid="{6A98812A-E60F-4CA2-B4F0-8E3D191436AF}"/>
    <cellStyle name="Note 4 5 5" xfId="2771" xr:uid="{FDBA61B9-F1DE-4199-B25E-E9A42722D4CA}"/>
    <cellStyle name="Note 4 5 5 2" xfId="10305" xr:uid="{5CDEC9A2-5505-4A09-A22B-C65C4A5BB90C}"/>
    <cellStyle name="Note 4 5 5 2 2" xfId="38679" xr:uid="{70D36A3E-251B-4CB3-8176-FFF04026D536}"/>
    <cellStyle name="Note 4 5 5 2 3" xfId="38680" xr:uid="{3FEFBE4A-0832-43DE-85FC-05605C850FD2}"/>
    <cellStyle name="Note 4 5 5 2 4" xfId="38681" xr:uid="{E7E454B6-8F69-4960-8E92-CBB092776EBA}"/>
    <cellStyle name="Note 4 5 5 2 5" xfId="38682" xr:uid="{22060528-383D-428F-83CA-C82998D770C9}"/>
    <cellStyle name="Note 4 5 5 2 6" xfId="38683" xr:uid="{7FC3795E-DB61-46E6-9948-1C609778C0F7}"/>
    <cellStyle name="Note 4 5 5 3" xfId="38684" xr:uid="{E86644C5-4C58-4D1A-827F-BFE0168C8A84}"/>
    <cellStyle name="Note 4 5 5 4" xfId="38685" xr:uid="{40A83760-BD3D-4057-9336-476001B64F1B}"/>
    <cellStyle name="Note 4 5 5 5" xfId="38686" xr:uid="{410DCD93-AD0A-4DFD-A731-B910999C0BF6}"/>
    <cellStyle name="Note 4 5 5 6" xfId="38687" xr:uid="{1D7BF5F7-8113-46B2-A966-6EE501D8205F}"/>
    <cellStyle name="Note 4 5 5 7" xfId="38688" xr:uid="{BF2126B0-A793-4441-9C68-A48DF60468ED}"/>
    <cellStyle name="Note 4 5 6" xfId="2772" xr:uid="{0EFAD1F6-BE7F-41F0-A30B-2A3AAEFA0EAF}"/>
    <cellStyle name="Note 4 5 6 2" xfId="10393" xr:uid="{959166C5-1CB8-481E-A31F-25775A6E6952}"/>
    <cellStyle name="Note 4 5 6 2 2" xfId="38689" xr:uid="{AF27A0AC-0FF5-49C0-BCAA-A15DC6AA84EC}"/>
    <cellStyle name="Note 4 5 6 2 3" xfId="38690" xr:uid="{38D7B261-7693-4ADA-BFB2-D68FA4A7CDEC}"/>
    <cellStyle name="Note 4 5 6 2 4" xfId="38691" xr:uid="{06FB29E1-A343-4294-A453-1B699E4E937A}"/>
    <cellStyle name="Note 4 5 6 2 5" xfId="38692" xr:uid="{E014F8DF-AE17-4264-A770-EA6C939E0175}"/>
    <cellStyle name="Note 4 5 6 2 6" xfId="38693" xr:uid="{9A2EDBE2-24A6-47E5-8243-A63FC41CF9BF}"/>
    <cellStyle name="Note 4 5 6 3" xfId="38694" xr:uid="{ABBA20DE-AD54-4D0E-B46F-0DBE81B7CF72}"/>
    <cellStyle name="Note 4 5 6 4" xfId="38695" xr:uid="{656F33CE-A172-4179-A7AF-BB9097C9F8D8}"/>
    <cellStyle name="Note 4 5 6 5" xfId="38696" xr:uid="{44E137B9-BD0B-4059-9E72-B97A7EA112E0}"/>
    <cellStyle name="Note 4 5 6 6" xfId="38697" xr:uid="{CF97FF16-2DC1-4D53-B338-79057C8D16DD}"/>
    <cellStyle name="Note 4 5 6 7" xfId="38698" xr:uid="{C31173C8-2665-4B0D-B46E-821D5C778C53}"/>
    <cellStyle name="Note 4 5 7" xfId="2773" xr:uid="{00FF60BB-8ECF-4576-8EA3-48DA246456DC}"/>
    <cellStyle name="Note 4 5 7 2" xfId="10480" xr:uid="{8F2FC0C8-AEB5-451F-8B26-0F53D1D9F7CF}"/>
    <cellStyle name="Note 4 5 7 2 2" xfId="38699" xr:uid="{E664E68C-6AF9-4886-BF34-9994FA778FE5}"/>
    <cellStyle name="Note 4 5 7 2 3" xfId="38700" xr:uid="{D529112A-3FE0-42F9-AA4B-6DF106B8F82F}"/>
    <cellStyle name="Note 4 5 7 2 4" xfId="38701" xr:uid="{336B5BA9-1AEE-4C0D-8AC0-ED9F53C4CC1B}"/>
    <cellStyle name="Note 4 5 7 2 5" xfId="38702" xr:uid="{83918726-60F6-4231-819B-7965465768A8}"/>
    <cellStyle name="Note 4 5 7 2 6" xfId="38703" xr:uid="{4D268B8C-5451-4324-8BDB-60268A034026}"/>
    <cellStyle name="Note 4 5 7 3" xfId="38704" xr:uid="{C616B5AD-0119-4B87-A9B8-0441FDCD8ABF}"/>
    <cellStyle name="Note 4 5 7 4" xfId="38705" xr:uid="{5AE34B5E-1448-4A4A-AC95-1AD285AD79B7}"/>
    <cellStyle name="Note 4 5 7 5" xfId="38706" xr:uid="{C66CD07C-42D4-40C1-B35B-C8F148167D32}"/>
    <cellStyle name="Note 4 5 7 6" xfId="38707" xr:uid="{1DB62236-F27C-4DAF-87CF-9B69AA7B08D5}"/>
    <cellStyle name="Note 4 5 7 7" xfId="38708" xr:uid="{A66D84A0-4A12-4507-9756-573953EAEDBD}"/>
    <cellStyle name="Note 4 5 8" xfId="2774" xr:uid="{FB107ED3-0872-451B-8754-DCB017B0D983}"/>
    <cellStyle name="Note 4 5 8 2" xfId="10568" xr:uid="{FC79727E-7848-4D76-B1E4-6A08BB713EF2}"/>
    <cellStyle name="Note 4 5 8 2 2" xfId="38709" xr:uid="{9D2C881E-26E1-41C4-8BFC-0BC6B2B74869}"/>
    <cellStyle name="Note 4 5 8 2 3" xfId="38710" xr:uid="{67DADA59-83BB-4232-9260-0B9CBAE34E3E}"/>
    <cellStyle name="Note 4 5 8 2 4" xfId="38711" xr:uid="{2A57C300-77B4-419F-ADE7-C215E016A82C}"/>
    <cellStyle name="Note 4 5 8 2 5" xfId="38712" xr:uid="{F3E9EC61-68E5-446C-A2E9-75A301D89C48}"/>
    <cellStyle name="Note 4 5 8 2 6" xfId="38713" xr:uid="{1104B5BC-7667-4F52-8820-CBB8EF29F030}"/>
    <cellStyle name="Note 4 5 8 3" xfId="38714" xr:uid="{7FF9EE02-7933-4A51-B552-E8BCC86D3945}"/>
    <cellStyle name="Note 4 5 8 4" xfId="38715" xr:uid="{D61214FF-14E2-4A86-BA3E-5202207D7DBD}"/>
    <cellStyle name="Note 4 5 8 5" xfId="38716" xr:uid="{D4B92382-5308-4392-81FE-C97D3ADEA104}"/>
    <cellStyle name="Note 4 5 8 6" xfId="38717" xr:uid="{9006A086-5F39-4150-92F1-B8A525305E20}"/>
    <cellStyle name="Note 4 5 8 7" xfId="38718" xr:uid="{36854B8B-8142-4427-BBCF-12ABE85C5093}"/>
    <cellStyle name="Note 4 5 9" xfId="2775" xr:uid="{6269D436-FB82-4F37-8DF6-EEDA368C6EE8}"/>
    <cellStyle name="Note 4 5 9 2" xfId="10650" xr:uid="{3A7A3170-7D6E-4CE6-B555-2A9939C888D9}"/>
    <cellStyle name="Note 4 5 9 2 2" xfId="38719" xr:uid="{F741313C-720A-46F8-BDD7-781469D6AD30}"/>
    <cellStyle name="Note 4 5 9 2 3" xfId="38720" xr:uid="{603217E6-63D9-4620-AA45-6FCC3DFF00D4}"/>
    <cellStyle name="Note 4 5 9 2 4" xfId="38721" xr:uid="{75561D42-7115-4F72-96AA-1F1453D2EEFC}"/>
    <cellStyle name="Note 4 5 9 2 5" xfId="38722" xr:uid="{5AC73A0B-92E5-427C-AF8E-C0F59B97C831}"/>
    <cellStyle name="Note 4 5 9 2 6" xfId="38723" xr:uid="{10760BBD-E6D5-42A1-9008-F16CE883068C}"/>
    <cellStyle name="Note 4 5 9 3" xfId="38724" xr:uid="{FFA39597-4D3E-4C08-9EFB-E2966802E384}"/>
    <cellStyle name="Note 4 5 9 4" xfId="38725" xr:uid="{948AC726-BA2F-4F75-8AF5-4E50FC120B8A}"/>
    <cellStyle name="Note 4 5 9 5" xfId="38726" xr:uid="{8DFEAE04-7DF7-4860-9B0F-7FBC5640068B}"/>
    <cellStyle name="Note 4 5 9 6" xfId="38727" xr:uid="{6C21E9D5-A8E1-4135-BC9E-25F258128777}"/>
    <cellStyle name="Note 4 5 9 7" xfId="38728" xr:uid="{5E023B3A-ABE8-4110-804D-BB81619B9269}"/>
    <cellStyle name="Note 4 6" xfId="2776" xr:uid="{610FE446-D827-4B73-9390-FB467F8B89F8}"/>
    <cellStyle name="Note 4 6 2" xfId="9975" xr:uid="{D55AC756-CE6A-4373-B666-679B7C74F9CB}"/>
    <cellStyle name="Note 4 6 2 2" xfId="38729" xr:uid="{BC03756D-D1C6-42B7-B2AF-C7BBD2507CEF}"/>
    <cellStyle name="Note 4 6 2 3" xfId="38730" xr:uid="{02D137CF-B46C-49B6-A1E6-5AC87FEC8D49}"/>
    <cellStyle name="Note 4 6 2 4" xfId="38731" xr:uid="{2D249AFE-0BFD-465D-A4AA-C3C622C24BED}"/>
    <cellStyle name="Note 4 6 2 5" xfId="38732" xr:uid="{1B5A646A-B874-4DF1-B997-A5812CBF79E6}"/>
    <cellStyle name="Note 4 6 2 6" xfId="38733" xr:uid="{066128EC-871A-4B2E-A0DB-FD1A5E2E3D5D}"/>
    <cellStyle name="Note 4 6 3" xfId="38734" xr:uid="{30E053ED-D00E-49AF-9F33-699F7FE78C7D}"/>
    <cellStyle name="Note 4 6 4" xfId="38735" xr:uid="{8DEFF813-0BE2-4FC6-B097-8597B668AB0B}"/>
    <cellStyle name="Note 4 6 5" xfId="38736" xr:uid="{A20E27BD-7460-454E-A26D-3E04E464A7DF}"/>
    <cellStyle name="Note 4 6 6" xfId="38737" xr:uid="{F053794E-53F2-4E27-A07C-0B3A6A18553D}"/>
    <cellStyle name="Note 4 6 7" xfId="38738" xr:uid="{A9CA09CB-516D-48CB-938A-E24D5AF0F361}"/>
    <cellStyle name="Note 4 7" xfId="2777" xr:uid="{A1DAEE3A-5630-4828-B224-E5204095F721}"/>
    <cellStyle name="Note 4 7 2" xfId="9871" xr:uid="{E21C8406-E8D9-465F-B669-7B9DCAE37F96}"/>
    <cellStyle name="Note 4 7 2 2" xfId="38739" xr:uid="{98C13A8B-57E7-4612-8CEA-7A59F86DADCE}"/>
    <cellStyle name="Note 4 7 2 3" xfId="38740" xr:uid="{A2559CAC-81FC-4719-A855-EA682698689F}"/>
    <cellStyle name="Note 4 7 2 4" xfId="38741" xr:uid="{17D565F4-E41C-4AAA-BA59-A719F7B6FD5D}"/>
    <cellStyle name="Note 4 7 2 5" xfId="38742" xr:uid="{39161638-1BEC-4923-ACD6-4B64E0D2BA79}"/>
    <cellStyle name="Note 4 7 2 6" xfId="38743" xr:uid="{EE1AF13F-5365-45C8-9DC8-1CDDF07B572E}"/>
    <cellStyle name="Note 4 7 3" xfId="38744" xr:uid="{26F8ED32-D8A6-451E-A170-BB602B77F000}"/>
    <cellStyle name="Note 4 7 4" xfId="38745" xr:uid="{C73DBE85-CCCD-4F40-AEA5-9378863A0292}"/>
    <cellStyle name="Note 4 7 5" xfId="38746" xr:uid="{71285AD2-BD6B-4E4B-9B3F-68EEC08878DF}"/>
    <cellStyle name="Note 4 7 6" xfId="38747" xr:uid="{E70CCF62-BD4C-45D2-8818-8FFAB896EC6B}"/>
    <cellStyle name="Note 4 7 7" xfId="38748" xr:uid="{39BDFA95-4D66-4A10-813C-44514D9EE781}"/>
    <cellStyle name="Note 4 8" xfId="2778" xr:uid="{2397EFA7-4940-4050-9D50-194C7AF8DC28}"/>
    <cellStyle name="Note 4 8 2" xfId="9950" xr:uid="{1A3A8B59-FD23-4F11-AFAF-C4BB0445E3D8}"/>
    <cellStyle name="Note 4 8 2 2" xfId="38749" xr:uid="{7E765F0E-ABFE-48E9-ABEA-53AE02C918EB}"/>
    <cellStyle name="Note 4 8 2 3" xfId="38750" xr:uid="{D60D6E3A-16EE-4B92-90E4-0BEEDE8CEA84}"/>
    <cellStyle name="Note 4 8 2 4" xfId="38751" xr:uid="{78DB75E6-D34D-40A3-AE3F-C0FE4F911DB7}"/>
    <cellStyle name="Note 4 8 2 5" xfId="38752" xr:uid="{6FA390E3-D5E5-4667-A7DA-C8A463AAD3A0}"/>
    <cellStyle name="Note 4 8 2 6" xfId="38753" xr:uid="{A785DC14-2FD7-45E7-9C8F-5DD151F9D336}"/>
    <cellStyle name="Note 4 8 3" xfId="38754" xr:uid="{F868BECA-52C2-4657-82B2-6F0EB0BF80C3}"/>
    <cellStyle name="Note 4 8 4" xfId="38755" xr:uid="{C78B3603-920B-4817-8176-316DF424EA52}"/>
    <cellStyle name="Note 4 8 5" xfId="38756" xr:uid="{4E6F31AC-8DA2-4ED8-A101-B67279FA7F3E}"/>
    <cellStyle name="Note 4 8 6" xfId="38757" xr:uid="{F3CC678F-B52B-4F02-90F0-905D8BF53C29}"/>
    <cellStyle name="Note 4 8 7" xfId="38758" xr:uid="{1B8C03E5-4EFA-4995-A00D-767ECB900F34}"/>
    <cellStyle name="Note 4 9" xfId="2779" xr:uid="{7D4299F1-E668-4BEC-BFE9-088EC0EBDB3A}"/>
    <cellStyle name="Note 4 9 2" xfId="9896" xr:uid="{8422ED2B-7AAC-449F-AAD1-7DC7438709D4}"/>
    <cellStyle name="Note 4 9 2 2" xfId="38759" xr:uid="{472770CA-18F9-4184-AB15-007D98282E93}"/>
    <cellStyle name="Note 4 9 2 3" xfId="38760" xr:uid="{7922A15A-6295-45F4-9A78-4F43190E0D3B}"/>
    <cellStyle name="Note 4 9 2 4" xfId="38761" xr:uid="{5E09862C-7DA3-4C17-9CB0-08C2BEFF27DE}"/>
    <cellStyle name="Note 4 9 2 5" xfId="38762" xr:uid="{E35D2592-E8C0-4DEA-B798-8509E5DA1DE9}"/>
    <cellStyle name="Note 4 9 2 6" xfId="38763" xr:uid="{3B2C57AB-8F2F-4FEA-AEBC-5327E9E9224F}"/>
    <cellStyle name="Note 4 9 3" xfId="38764" xr:uid="{2D1C2C55-55C0-45FA-B11A-ED6E16FE4C01}"/>
    <cellStyle name="Note 4 9 4" xfId="38765" xr:uid="{41FC35CF-ECE9-4E57-95C5-BA2A0996F663}"/>
    <cellStyle name="Note 4 9 5" xfId="38766" xr:uid="{2FABB63B-1428-4B50-A029-6B5A56460ACA}"/>
    <cellStyle name="Note 4 9 6" xfId="38767" xr:uid="{1520D6F0-35B3-4A4E-B576-13E4E2BD432F}"/>
    <cellStyle name="Note 4 9 7" xfId="38768" xr:uid="{6BF052E0-9795-420C-98FE-883023948A18}"/>
    <cellStyle name="Note 5" xfId="8915" xr:uid="{20117EC1-EFDD-4ABC-9D43-8CBE119B29BD}"/>
    <cellStyle name="Note 6" xfId="8916" xr:uid="{3C815F77-57A9-46EE-BDA5-332D46AA4695}"/>
    <cellStyle name="Note 7" xfId="8917" xr:uid="{15953D0A-C903-4BAD-8820-C2933E798019}"/>
    <cellStyle name="Note 8" xfId="8918" xr:uid="{38E4DEA7-38F9-401C-9FBA-88806FE5877F}"/>
    <cellStyle name="Note 9" xfId="44239" xr:uid="{D371C350-C6EB-427B-85FE-5E647B8EE459}"/>
    <cellStyle name="Output 2" xfId="2780" xr:uid="{3D6C1CFF-FA20-4B22-B87E-15BF4AF4A529}"/>
    <cellStyle name="Output 2 10" xfId="2781" xr:uid="{4D9B59D1-1575-4945-A744-009BE44D4682}"/>
    <cellStyle name="Output 2 10 2" xfId="9749" xr:uid="{CA825764-9AFB-4FB8-9974-DF0C2790F89A}"/>
    <cellStyle name="Output 2 10 2 2" xfId="38769" xr:uid="{7CD34AD1-476B-4FEF-B378-A8104306B795}"/>
    <cellStyle name="Output 2 10 2 3" xfId="38770" xr:uid="{FD1888F8-CCD7-4DFC-BA4C-6575C91289C8}"/>
    <cellStyle name="Output 2 10 2 4" xfId="38771" xr:uid="{AB2049EA-FC8A-49FD-920B-FD8D715C513A}"/>
    <cellStyle name="Output 2 10 2 5" xfId="38772" xr:uid="{055E8FEB-22D4-4E5B-B719-C36780381C67}"/>
    <cellStyle name="Output 2 10 2 6" xfId="38773" xr:uid="{37F3CDCC-BA36-47B5-9BA3-70FF674D1881}"/>
    <cellStyle name="Output 2 10 3" xfId="38774" xr:uid="{4D758361-8E3F-4540-8D3C-A625B700278B}"/>
    <cellStyle name="Output 2 10 4" xfId="38775" xr:uid="{FF59BBD2-C83A-4DEC-A532-83DE925D20F4}"/>
    <cellStyle name="Output 2 10 5" xfId="38776" xr:uid="{5B212CCE-32B8-40ED-A3E7-5CD8E40736F8}"/>
    <cellStyle name="Output 2 10 6" xfId="38777" xr:uid="{903BBB2F-8687-41A8-A4E2-A6FDC5F95B3C}"/>
    <cellStyle name="Output 2 10 7" xfId="38778" xr:uid="{CBCF4ABA-DA9F-46BB-83CF-FDA8C41075DD}"/>
    <cellStyle name="Output 2 11" xfId="2782" xr:uid="{3F595787-94D3-49DF-95D0-1513F925E0CB}"/>
    <cellStyle name="Output 2 11 2" xfId="9713" xr:uid="{5E469266-B109-41C5-A12F-674CF6FE5347}"/>
    <cellStyle name="Output 2 11 2 2" xfId="38779" xr:uid="{268E2109-2BD0-44FB-B0F1-D31135E87790}"/>
    <cellStyle name="Output 2 11 2 3" xfId="38780" xr:uid="{D4EB7431-4C57-4B14-A0D5-EC946665D703}"/>
    <cellStyle name="Output 2 11 2 4" xfId="38781" xr:uid="{4C9CBFF0-408D-48EF-92BC-EB82488427D0}"/>
    <cellStyle name="Output 2 11 2 5" xfId="38782" xr:uid="{7378B557-7F7F-4DDB-9A4B-5119DDA442DA}"/>
    <cellStyle name="Output 2 11 2 6" xfId="38783" xr:uid="{064241FD-7D96-4639-AFE4-DA3A02B49937}"/>
    <cellStyle name="Output 2 11 3" xfId="38784" xr:uid="{6924CB55-4132-4772-BF88-A31E891D52AC}"/>
    <cellStyle name="Output 2 11 4" xfId="38785" xr:uid="{8F6DF1D5-E1CB-4751-AB53-7B808B2A1870}"/>
    <cellStyle name="Output 2 11 5" xfId="38786" xr:uid="{41CBD7B0-2F39-42F7-8427-FD435CBF75A3}"/>
    <cellStyle name="Output 2 11 6" xfId="38787" xr:uid="{85D94CF8-CF6D-4979-B3EE-0875F96E836E}"/>
    <cellStyle name="Output 2 11 7" xfId="38788" xr:uid="{375AFBD5-566C-45E4-A14B-BFE1E9AFB157}"/>
    <cellStyle name="Output 2 12" xfId="2783" xr:uid="{A9D1EFE1-197F-4105-8769-E0537E233683}"/>
    <cellStyle name="Output 2 12 2" xfId="9730" xr:uid="{ED20E2B9-87E0-4818-A9CE-0575CD870384}"/>
    <cellStyle name="Output 2 12 2 2" xfId="38789" xr:uid="{1A439870-7D5D-4D99-8AA7-D457C6E34351}"/>
    <cellStyle name="Output 2 12 2 3" xfId="38790" xr:uid="{27B08F3D-9EC8-4982-8003-70F83577727C}"/>
    <cellStyle name="Output 2 12 2 4" xfId="38791" xr:uid="{C6C717AC-B6D1-4CD5-9FD4-C17629B1F32A}"/>
    <cellStyle name="Output 2 12 2 5" xfId="38792" xr:uid="{77C30AD4-E856-40D4-B86E-041AA064A93D}"/>
    <cellStyle name="Output 2 12 2 6" xfId="38793" xr:uid="{5FE6CFF2-6A6A-4FE4-836F-704EAB6BFECB}"/>
    <cellStyle name="Output 2 12 3" xfId="38794" xr:uid="{53680CCE-F148-4B2B-B739-CCA3A68D3E01}"/>
    <cellStyle name="Output 2 12 4" xfId="38795" xr:uid="{7CE20750-C7DD-4DDA-9B0E-352F7262DABF}"/>
    <cellStyle name="Output 2 12 5" xfId="38796" xr:uid="{E966183D-BC14-45C0-9254-9EFA53DA50D6}"/>
    <cellStyle name="Output 2 12 6" xfId="38797" xr:uid="{0A7895DD-D5F4-419B-AF7A-94619BF89875}"/>
    <cellStyle name="Output 2 12 7" xfId="38798" xr:uid="{0C79FD5D-4137-475E-93A8-982A6314752B}"/>
    <cellStyle name="Output 2 13" xfId="2784" xr:uid="{CFD792D0-8DA7-4672-AA9F-CE5549A5A4C8}"/>
    <cellStyle name="Output 2 13 2" xfId="10600" xr:uid="{A82BEAF9-B8CF-4985-B914-67460AAEF9C4}"/>
    <cellStyle name="Output 2 13 2 2" xfId="38799" xr:uid="{7EF87585-B1A2-472B-91BF-04AE978A4D84}"/>
    <cellStyle name="Output 2 13 2 3" xfId="38800" xr:uid="{5534B3A2-8158-4770-97D7-92A93645A1AB}"/>
    <cellStyle name="Output 2 13 2 4" xfId="38801" xr:uid="{D12D2EA2-57AD-4BC9-96A8-0B6EDE1DDFB2}"/>
    <cellStyle name="Output 2 13 2 5" xfId="38802" xr:uid="{88037A4C-D97B-4D3D-97D6-F7F8666B0864}"/>
    <cellStyle name="Output 2 13 2 6" xfId="38803" xr:uid="{F4721D31-E663-4E23-A348-A513CB691F27}"/>
    <cellStyle name="Output 2 13 3" xfId="38804" xr:uid="{E536F22B-726A-4C9C-8AB2-3EC56433F9C9}"/>
    <cellStyle name="Output 2 13 4" xfId="38805" xr:uid="{3EC8F8CC-6A07-4458-869A-21CF54DE6049}"/>
    <cellStyle name="Output 2 13 5" xfId="38806" xr:uid="{087BC6B6-3337-4DD0-8277-1B09233C391E}"/>
    <cellStyle name="Output 2 13 6" xfId="38807" xr:uid="{7BA682C9-9F7B-4ABB-A64D-AD1A8734DC6E}"/>
    <cellStyle name="Output 2 13 7" xfId="38808" xr:uid="{B2A4555C-E456-4A29-8D9D-2185D2414FEF}"/>
    <cellStyle name="Output 2 14" xfId="2785" xr:uid="{C3334163-2FD6-401D-8ECE-F569EFAF02E7}"/>
    <cellStyle name="Output 2 14 2" xfId="9969" xr:uid="{9E073F85-257B-439F-80CD-93F80C786C37}"/>
    <cellStyle name="Output 2 14 2 2" xfId="38809" xr:uid="{773206DA-FD1B-4B22-A82F-0AE85926799B}"/>
    <cellStyle name="Output 2 14 2 3" xfId="38810" xr:uid="{4B0C2EF0-BDD7-406E-AECF-D6B8A866C605}"/>
    <cellStyle name="Output 2 14 2 4" xfId="38811" xr:uid="{6F65BF42-0175-4B2C-8372-5FE5DDAE0C76}"/>
    <cellStyle name="Output 2 14 2 5" xfId="38812" xr:uid="{56795FCA-5475-45C9-8C48-271A6D0C0186}"/>
    <cellStyle name="Output 2 14 2 6" xfId="38813" xr:uid="{9F97C1D5-9C19-496C-8B1A-BE1EF476CFFC}"/>
    <cellStyle name="Output 2 14 3" xfId="38814" xr:uid="{1C2F4579-84BE-4983-920F-53B5D1523F85}"/>
    <cellStyle name="Output 2 14 4" xfId="38815" xr:uid="{1A9DECED-228E-460A-8427-843B44A72CE3}"/>
    <cellStyle name="Output 2 14 5" xfId="38816" xr:uid="{ABA2D237-93FE-4D5E-B605-EBB71E9AFE40}"/>
    <cellStyle name="Output 2 14 6" xfId="38817" xr:uid="{27583AFD-7E0F-48AD-BEDA-9E7BC76C75C1}"/>
    <cellStyle name="Output 2 14 7" xfId="38818" xr:uid="{DF01798D-C6E6-45AC-9AC9-E5B1C16FBF57}"/>
    <cellStyle name="Output 2 15" xfId="2786" xr:uid="{EA8ADDF3-17A5-4C09-AA08-40E2521B3C55}"/>
    <cellStyle name="Output 2 15 2" xfId="9755" xr:uid="{3BA194B5-DE1D-4685-9B1F-FBD52016F592}"/>
    <cellStyle name="Output 2 15 2 2" xfId="38819" xr:uid="{744B2F03-30FB-4673-B321-3D18ECDE9574}"/>
    <cellStyle name="Output 2 15 2 3" xfId="38820" xr:uid="{278CBCDD-9BEF-4BD2-8EDC-0F26927300A9}"/>
    <cellStyle name="Output 2 15 2 4" xfId="38821" xr:uid="{BA478A9F-A947-4820-BDC1-F4B576CA4C38}"/>
    <cellStyle name="Output 2 15 2 5" xfId="38822" xr:uid="{3F697DF8-A85A-4243-8B13-E678C8B371BE}"/>
    <cellStyle name="Output 2 15 2 6" xfId="38823" xr:uid="{DC530DFC-7306-4866-AFBB-671F6686DAA2}"/>
    <cellStyle name="Output 2 15 3" xfId="38824" xr:uid="{CFEBBC46-A4D5-4C6E-88FF-A72876112034}"/>
    <cellStyle name="Output 2 15 4" xfId="38825" xr:uid="{F6199F03-14CF-48A2-BA3D-B043D46192EA}"/>
    <cellStyle name="Output 2 15 5" xfId="38826" xr:uid="{5D6B9458-B397-4B6A-A596-D68CA32D8354}"/>
    <cellStyle name="Output 2 15 6" xfId="38827" xr:uid="{959E217D-FD6B-4251-8C4C-18BD7E6027D1}"/>
    <cellStyle name="Output 2 15 7" xfId="38828" xr:uid="{92BC1DB4-9CD1-417C-9902-4FAA97C93BC7}"/>
    <cellStyle name="Output 2 16" xfId="2787" xr:uid="{CF94F8EB-2F52-4BD9-BF95-27D802C404F6}"/>
    <cellStyle name="Output 2 16 2" xfId="10253" xr:uid="{A2139415-9743-47D3-8764-48E78DA0B04A}"/>
    <cellStyle name="Output 2 16 2 2" xfId="38829" xr:uid="{CD891284-EB31-4D28-A8B5-A5D353C47465}"/>
    <cellStyle name="Output 2 16 2 3" xfId="38830" xr:uid="{8310CF4B-AF5A-40A1-A818-C91D3CA13715}"/>
    <cellStyle name="Output 2 16 2 4" xfId="38831" xr:uid="{836356AD-42E0-42DD-8638-5C0F65657598}"/>
    <cellStyle name="Output 2 16 2 5" xfId="38832" xr:uid="{D9D6E71C-BF6E-40B0-A172-045567DAF107}"/>
    <cellStyle name="Output 2 16 2 6" xfId="38833" xr:uid="{75B135F0-20D5-4150-9162-0044D3F626E6}"/>
    <cellStyle name="Output 2 16 3" xfId="38834" xr:uid="{47D9EF5E-AC01-4EE3-8F2F-42024CC771AD}"/>
    <cellStyle name="Output 2 16 4" xfId="38835" xr:uid="{07C6479D-9CF7-4D62-B79A-96B048D6D574}"/>
    <cellStyle name="Output 2 16 5" xfId="38836" xr:uid="{CC3BE74D-2CC6-427F-9712-564B7FF36CE0}"/>
    <cellStyle name="Output 2 16 6" xfId="38837" xr:uid="{6E581544-D797-4445-95CA-E6C30216CAB9}"/>
    <cellStyle name="Output 2 16 7" xfId="38838" xr:uid="{5D4FC1B4-6AEB-4AA8-8C09-7D14F91F5FD5}"/>
    <cellStyle name="Output 2 17" xfId="2788" xr:uid="{7433D3BD-F23B-4715-BE15-7B432E1BCDDF}"/>
    <cellStyle name="Output 2 17 2" xfId="9882" xr:uid="{742FF1B2-F645-4FE4-ADE2-1CA3A27569C4}"/>
    <cellStyle name="Output 2 17 2 2" xfId="38839" xr:uid="{E81BDE56-B847-4DFF-98C9-002AADA608C9}"/>
    <cellStyle name="Output 2 17 2 3" xfId="38840" xr:uid="{3A3A09AD-981B-43FC-B207-887D9D948198}"/>
    <cellStyle name="Output 2 17 2 4" xfId="38841" xr:uid="{12EF2BD6-E73C-42DD-8B2C-8AFBC1C8BE26}"/>
    <cellStyle name="Output 2 17 2 5" xfId="38842" xr:uid="{7FBC1E52-7EC7-4F62-9247-BEA8011D1C0A}"/>
    <cellStyle name="Output 2 17 2 6" xfId="38843" xr:uid="{6DA2223C-3011-488F-A6F2-41A09902EA8E}"/>
    <cellStyle name="Output 2 17 3" xfId="38844" xr:uid="{1AF988CD-8E86-4400-B9CB-7C4299B9A811}"/>
    <cellStyle name="Output 2 17 4" xfId="38845" xr:uid="{DB4819A3-EEDC-41C7-9D54-A0B8D2BE42F4}"/>
    <cellStyle name="Output 2 17 5" xfId="38846" xr:uid="{5FC09E08-2794-4139-AA6D-DFA7D929F425}"/>
    <cellStyle name="Output 2 17 6" xfId="38847" xr:uid="{566D3E2A-1098-4DF2-9ED5-70A1C1A0306B}"/>
    <cellStyle name="Output 2 17 7" xfId="38848" xr:uid="{19E2ED38-8A43-4171-8A6E-21DC169B7B0E}"/>
    <cellStyle name="Output 2 18" xfId="2789" xr:uid="{2E6C26B8-8E6D-4C82-88A4-6229373BC09A}"/>
    <cellStyle name="Output 2 18 2" xfId="9874" xr:uid="{F705D127-28AF-47A1-BEAA-6AA6B552BFC7}"/>
    <cellStyle name="Output 2 18 2 2" xfId="38849" xr:uid="{C13E2AF3-BC97-4768-A725-32B585EEF97F}"/>
    <cellStyle name="Output 2 18 2 3" xfId="38850" xr:uid="{10CD5ABB-74A1-4BE7-B99B-F7E09D7135B7}"/>
    <cellStyle name="Output 2 18 2 4" xfId="38851" xr:uid="{6EFF2CD4-F26E-44A6-891F-E76071E79DC6}"/>
    <cellStyle name="Output 2 18 2 5" xfId="38852" xr:uid="{6950A121-7D28-4509-99C8-1EF74A0BDBD9}"/>
    <cellStyle name="Output 2 18 2 6" xfId="38853" xr:uid="{5B1CFE56-BF9D-4D16-9638-10A59073BD31}"/>
    <cellStyle name="Output 2 18 3" xfId="38854" xr:uid="{D5E06276-BABC-43AF-B158-2F5FCBA24BF1}"/>
    <cellStyle name="Output 2 18 4" xfId="38855" xr:uid="{22CE2E9D-46F9-4FEA-BA64-800D31A5D185}"/>
    <cellStyle name="Output 2 18 5" xfId="38856" xr:uid="{E3EC0FB4-BAAE-4AF1-A368-CAD231B6306F}"/>
    <cellStyle name="Output 2 18 6" xfId="38857" xr:uid="{07C9F75F-5AE7-473F-ADC0-C5EE480BF1CE}"/>
    <cellStyle name="Output 2 18 7" xfId="38858" xr:uid="{4FF58126-56E4-44DE-8C64-6C1C4CA0A9BD}"/>
    <cellStyle name="Output 2 19" xfId="2790" xr:uid="{EC87B884-70E6-4AC9-93BF-7A08388898E0}"/>
    <cellStyle name="Output 2 19 2" xfId="10516" xr:uid="{0812E4BA-7CB3-4011-B2AC-568FAD6032EE}"/>
    <cellStyle name="Output 2 19 2 2" xfId="38859" xr:uid="{E53203AB-2C60-4198-857B-ED0F6D2CFB25}"/>
    <cellStyle name="Output 2 19 2 3" xfId="38860" xr:uid="{ADD1FE41-BCDA-483A-B5E8-1BC0906BFD35}"/>
    <cellStyle name="Output 2 19 2 4" xfId="38861" xr:uid="{CF39362E-834D-4088-AB03-8613704B4C86}"/>
    <cellStyle name="Output 2 19 2 5" xfId="38862" xr:uid="{97229585-DD4B-4D3D-9509-214C4000ABFB}"/>
    <cellStyle name="Output 2 19 2 6" xfId="38863" xr:uid="{9206DB0A-C728-4854-8A98-D4AD5CF20262}"/>
    <cellStyle name="Output 2 19 3" xfId="38864" xr:uid="{5E7BCCA4-32D5-4333-A1F2-06A1F4BB596A}"/>
    <cellStyle name="Output 2 19 4" xfId="38865" xr:uid="{4198D4D3-DCBC-4D7C-81A1-4143432CB7F7}"/>
    <cellStyle name="Output 2 19 5" xfId="38866" xr:uid="{8A4AD625-921D-4E1E-BFF4-69B73F65D5B7}"/>
    <cellStyle name="Output 2 19 6" xfId="38867" xr:uid="{EB9F3BD9-7AC1-4802-896A-FEEFC6D4341C}"/>
    <cellStyle name="Output 2 19 7" xfId="38868" xr:uid="{06C92958-0677-4395-A395-42380B333B5B}"/>
    <cellStyle name="Output 2 2" xfId="2791" xr:uid="{41E6E8CE-0F6B-4B20-A02E-A81A224CACAC}"/>
    <cellStyle name="Output 2 2 10" xfId="2792" xr:uid="{E6173A79-7AEF-47F2-BFE4-98AE6D1D4137}"/>
    <cellStyle name="Output 2 2 10 2" xfId="10632" xr:uid="{047D524C-9ACE-412F-B3F0-FD54B8B2971A}"/>
    <cellStyle name="Output 2 2 10 2 2" xfId="38869" xr:uid="{208A2E4C-A70C-4386-8701-5A630BC92F46}"/>
    <cellStyle name="Output 2 2 10 2 3" xfId="38870" xr:uid="{1BCF6312-7700-4C27-8ACE-27C9CBDD6CA7}"/>
    <cellStyle name="Output 2 2 10 2 4" xfId="38871" xr:uid="{74328DB1-7A63-44EC-A78F-230ACE5E500D}"/>
    <cellStyle name="Output 2 2 10 2 5" xfId="38872" xr:uid="{EF4DE211-BCFF-4282-AB6D-6E77813CA4BA}"/>
    <cellStyle name="Output 2 2 10 2 6" xfId="38873" xr:uid="{52F71CA0-40FD-4AB8-B8BB-A23D0E684205}"/>
    <cellStyle name="Output 2 2 10 3" xfId="38874" xr:uid="{A0DA2DD0-9DA0-491F-9E00-35022F691BDC}"/>
    <cellStyle name="Output 2 2 10 4" xfId="38875" xr:uid="{072E9B00-6956-4978-9E4F-10757BC518CD}"/>
    <cellStyle name="Output 2 2 10 5" xfId="38876" xr:uid="{50AFB4CD-8613-4C32-8D2E-4E4EA9765C21}"/>
    <cellStyle name="Output 2 2 10 6" xfId="38877" xr:uid="{6B4EBA77-709D-48E9-A1B9-2D8BB95A2E8B}"/>
    <cellStyle name="Output 2 2 10 7" xfId="38878" xr:uid="{95C4BC51-6195-43CD-95E9-00464A5644B1}"/>
    <cellStyle name="Output 2 2 11" xfId="2793" xr:uid="{58E60242-4265-4CFA-8C06-77E001CD54A2}"/>
    <cellStyle name="Output 2 2 11 2" xfId="10723" xr:uid="{A812858C-0F46-4D41-A1AE-822EE1D806CC}"/>
    <cellStyle name="Output 2 2 11 2 2" xfId="38879" xr:uid="{B572097D-3C8F-4CF6-B697-F55930811E5C}"/>
    <cellStyle name="Output 2 2 11 2 3" xfId="38880" xr:uid="{D05A9094-DF7A-4B44-AC04-7EEB0D17EF75}"/>
    <cellStyle name="Output 2 2 11 2 4" xfId="38881" xr:uid="{40DA3D66-AF9D-425C-AF39-F5CC850CDAFA}"/>
    <cellStyle name="Output 2 2 11 2 5" xfId="38882" xr:uid="{8AC6B07D-0C78-4EBB-A815-3F804A3F6775}"/>
    <cellStyle name="Output 2 2 11 2 6" xfId="38883" xr:uid="{1610BBA3-7163-4BF6-841C-0A85B9B545CE}"/>
    <cellStyle name="Output 2 2 11 3" xfId="38884" xr:uid="{8BBBFD6E-B6A1-4AA0-9A7C-EC3E544907BE}"/>
    <cellStyle name="Output 2 2 11 4" xfId="38885" xr:uid="{34B9568A-CD25-4FE1-95C7-1D2553516382}"/>
    <cellStyle name="Output 2 2 11 5" xfId="38886" xr:uid="{918E6593-B051-4EEF-8D00-89F78B2A07C0}"/>
    <cellStyle name="Output 2 2 11 6" xfId="38887" xr:uid="{65A59B0F-D7F4-4235-865A-06E478F5A6EB}"/>
    <cellStyle name="Output 2 2 11 7" xfId="38888" xr:uid="{218C09E3-C2A2-49A2-BA3C-3C8880AB59DA}"/>
    <cellStyle name="Output 2 2 12" xfId="2794" xr:uid="{02751FDE-FDFB-4A34-8DFF-6D52315B32D0}"/>
    <cellStyle name="Output 2 2 12 2" xfId="10811" xr:uid="{D1082195-C471-4A0B-9193-5738E91FBC5A}"/>
    <cellStyle name="Output 2 2 12 2 2" xfId="38889" xr:uid="{FABBDF0D-00CB-4FC3-93C0-7E2317418009}"/>
    <cellStyle name="Output 2 2 12 2 3" xfId="38890" xr:uid="{D78322C1-A5E9-47B6-BFAE-1FEE842A4F13}"/>
    <cellStyle name="Output 2 2 12 2 4" xfId="38891" xr:uid="{BDAED03C-F0BE-47BE-BB1D-B869192AA1F0}"/>
    <cellStyle name="Output 2 2 12 2 5" xfId="38892" xr:uid="{9FE2D4CB-7A58-4885-8C72-AB858E82C0F6}"/>
    <cellStyle name="Output 2 2 12 2 6" xfId="38893" xr:uid="{F48BA248-905F-4244-BD9C-B5215BB1429D}"/>
    <cellStyle name="Output 2 2 12 3" xfId="38894" xr:uid="{5ACF9F79-AE8F-4092-9983-DE0A00096454}"/>
    <cellStyle name="Output 2 2 12 4" xfId="38895" xr:uid="{51C027E4-73BF-443F-AB59-E219BCC3B817}"/>
    <cellStyle name="Output 2 2 12 5" xfId="38896" xr:uid="{72ECEDF4-814A-4A54-B271-62323129A328}"/>
    <cellStyle name="Output 2 2 12 6" xfId="38897" xr:uid="{05560CDB-909B-47F2-8EA1-15DF76DD0C91}"/>
    <cellStyle name="Output 2 2 12 7" xfId="38898" xr:uid="{CCEA5ECE-580E-464C-BE33-7BA1983EC237}"/>
    <cellStyle name="Output 2 2 13" xfId="2795" xr:uid="{549AA8C1-9DA8-4D1F-909B-9DC2129EA93F}"/>
    <cellStyle name="Output 2 2 13 2" xfId="10900" xr:uid="{07130FCD-CCDC-48D4-8D5C-8B27AD7A6DE2}"/>
    <cellStyle name="Output 2 2 13 2 2" xfId="38899" xr:uid="{C102266E-DCA5-4AB4-BCFB-C06ED5BBFB4E}"/>
    <cellStyle name="Output 2 2 13 2 3" xfId="38900" xr:uid="{5FAA1246-CC49-4387-9F4C-65F4450F2288}"/>
    <cellStyle name="Output 2 2 13 2 4" xfId="38901" xr:uid="{BF18A874-8B2D-43A6-84B0-0C6568D908F2}"/>
    <cellStyle name="Output 2 2 13 2 5" xfId="38902" xr:uid="{C14AFCF3-762E-47B4-8180-1CEF03D488F6}"/>
    <cellStyle name="Output 2 2 13 2 6" xfId="38903" xr:uid="{3FCDA2EF-8C06-4233-8B04-27F78C9F99D4}"/>
    <cellStyle name="Output 2 2 13 3" xfId="38904" xr:uid="{644917B9-260F-43A6-9758-DFDFCA6313FE}"/>
    <cellStyle name="Output 2 2 13 4" xfId="38905" xr:uid="{EC213CE4-EB9F-45B8-8F7D-0946EE26E82B}"/>
    <cellStyle name="Output 2 2 13 5" xfId="38906" xr:uid="{FF609F72-9646-4F08-9614-811744AC8130}"/>
    <cellStyle name="Output 2 2 13 6" xfId="38907" xr:uid="{75B7871A-FA6E-4A47-87D0-0E402D448243}"/>
    <cellStyle name="Output 2 2 13 7" xfId="38908" xr:uid="{611AC30A-6E7D-47C0-86F8-BFEDBDE13493}"/>
    <cellStyle name="Output 2 2 14" xfId="2796" xr:uid="{F02D2E45-E401-478B-882D-F820C6A9EF0F}"/>
    <cellStyle name="Output 2 2 14 2" xfId="10990" xr:uid="{A2DD571C-BB45-4B75-8525-BBB85FCA722E}"/>
    <cellStyle name="Output 2 2 14 2 2" xfId="38909" xr:uid="{AA88FD39-5504-4A8C-8E30-0AB79C385DC2}"/>
    <cellStyle name="Output 2 2 14 2 3" xfId="38910" xr:uid="{C7519AC2-D94F-45D1-915E-0B98A3660F33}"/>
    <cellStyle name="Output 2 2 14 2 4" xfId="38911" xr:uid="{2B47CCB3-4737-42F7-9A1A-9F82DEFDA43A}"/>
    <cellStyle name="Output 2 2 14 2 5" xfId="38912" xr:uid="{3F644F4A-95DB-43BA-BB5A-5B95B558C482}"/>
    <cellStyle name="Output 2 2 14 2 6" xfId="38913" xr:uid="{1220865F-E806-47D5-A3E5-51683BFAE46D}"/>
    <cellStyle name="Output 2 2 14 3" xfId="38914" xr:uid="{693CCAEC-833D-4228-B627-0C9EAE548659}"/>
    <cellStyle name="Output 2 2 14 4" xfId="38915" xr:uid="{DB103989-703D-4E00-8D1A-F50DDF53B86D}"/>
    <cellStyle name="Output 2 2 14 5" xfId="38916" xr:uid="{EE066BBC-2EF7-4189-B3A4-B4538F54E40F}"/>
    <cellStyle name="Output 2 2 14 6" xfId="38917" xr:uid="{F1B2E3A6-C7F5-43B3-9DEC-C04C87D2B3C2}"/>
    <cellStyle name="Output 2 2 14 7" xfId="38918" xr:uid="{750F73FA-98FC-4BF2-993D-158652F45F63}"/>
    <cellStyle name="Output 2 2 15" xfId="2797" xr:uid="{64826878-2E1A-4301-ADED-4811A1C830C5}"/>
    <cellStyle name="Output 2 2 15 2" xfId="11081" xr:uid="{3F7F98F6-2CD5-4484-956C-DB7F00435AC9}"/>
    <cellStyle name="Output 2 2 15 2 2" xfId="38919" xr:uid="{95487403-DFC8-4E33-8621-4094703DE9A0}"/>
    <cellStyle name="Output 2 2 15 2 3" xfId="38920" xr:uid="{22738172-4817-4B0D-B864-65A5776672E8}"/>
    <cellStyle name="Output 2 2 15 2 4" xfId="38921" xr:uid="{B522789C-73F3-40E8-9E35-50DBBFD5BE7E}"/>
    <cellStyle name="Output 2 2 15 2 5" xfId="38922" xr:uid="{15ED18F4-2584-4043-9870-82F4E078F9E6}"/>
    <cellStyle name="Output 2 2 15 2 6" xfId="38923" xr:uid="{C7E5374F-3443-4EC4-AF2E-8F415F3D02C3}"/>
    <cellStyle name="Output 2 2 15 3" xfId="38924" xr:uid="{750D1BB3-DEBB-4257-9B7E-672EC13AFE81}"/>
    <cellStyle name="Output 2 2 15 4" xfId="38925" xr:uid="{4B091000-BE9D-40C9-BC60-6A5E24659DA0}"/>
    <cellStyle name="Output 2 2 15 5" xfId="38926" xr:uid="{571B3F58-E58A-4DD5-8291-19F3C84249B9}"/>
    <cellStyle name="Output 2 2 15 6" xfId="38927" xr:uid="{D68A0380-EEA6-43C8-BEB4-99873C24C257}"/>
    <cellStyle name="Output 2 2 15 7" xfId="38928" xr:uid="{E815239B-449D-4A99-B4F9-67702F0A065B}"/>
    <cellStyle name="Output 2 2 16" xfId="2798" xr:uid="{123A9366-331D-4A1E-A0CB-37C43EB055EB}"/>
    <cellStyle name="Output 2 2 16 2" xfId="11164" xr:uid="{A663D151-F9CF-4275-9F72-7AB0401CAF18}"/>
    <cellStyle name="Output 2 2 16 2 2" xfId="38929" xr:uid="{0973F4F3-6012-4028-8020-E3185C7F99E0}"/>
    <cellStyle name="Output 2 2 16 2 3" xfId="38930" xr:uid="{A70EEA3F-7724-493B-B63E-5C75FCDFAEB0}"/>
    <cellStyle name="Output 2 2 16 2 4" xfId="38931" xr:uid="{735592C2-C024-4027-89E0-C3C5EE46C753}"/>
    <cellStyle name="Output 2 2 16 2 5" xfId="38932" xr:uid="{75A073C5-67B4-428D-AADA-EC85F71EF8E1}"/>
    <cellStyle name="Output 2 2 16 2 6" xfId="38933" xr:uid="{6AD34306-4AB6-4BD4-91A8-A99945D1770F}"/>
    <cellStyle name="Output 2 2 16 3" xfId="38934" xr:uid="{39970627-A375-4AB0-96D8-C8DFECB73754}"/>
    <cellStyle name="Output 2 2 16 4" xfId="38935" xr:uid="{D79A264D-5829-4FEF-B7C1-5488EFE8D9B0}"/>
    <cellStyle name="Output 2 2 16 5" xfId="38936" xr:uid="{0579CCD2-7EED-4F85-930F-35406EA228A4}"/>
    <cellStyle name="Output 2 2 16 6" xfId="38937" xr:uid="{89C3694F-138A-423E-97CB-7B58FB611A07}"/>
    <cellStyle name="Output 2 2 16 7" xfId="38938" xr:uid="{60CC576C-715B-4201-982E-F556FA4108C4}"/>
    <cellStyle name="Output 2 2 17" xfId="2799" xr:uid="{D692EA3A-2030-41CD-8A18-FDFFB45B3227}"/>
    <cellStyle name="Output 2 2 17 2" xfId="11254" xr:uid="{6FD1A0CB-8065-41CE-B421-ED29D9FEB6D1}"/>
    <cellStyle name="Output 2 2 17 2 2" xfId="38939" xr:uid="{3BDB7872-001C-4952-A3B1-11BE04F25094}"/>
    <cellStyle name="Output 2 2 17 2 3" xfId="38940" xr:uid="{F94F2ED1-CA5E-43C9-B550-C27FE88AEF79}"/>
    <cellStyle name="Output 2 2 17 2 4" xfId="38941" xr:uid="{02FD074C-B0CF-41E0-8388-9365EB439435}"/>
    <cellStyle name="Output 2 2 17 2 5" xfId="38942" xr:uid="{504FAD2E-CE48-4130-BA45-973A11A45F61}"/>
    <cellStyle name="Output 2 2 17 2 6" xfId="38943" xr:uid="{AC7D1786-E9F9-41A4-AB04-B67706065010}"/>
    <cellStyle name="Output 2 2 17 3" xfId="38944" xr:uid="{4A783D04-2274-45D8-B458-6894E97F206A}"/>
    <cellStyle name="Output 2 2 17 4" xfId="38945" xr:uid="{7D7881BF-4378-4B40-A73E-4E48DE628EBC}"/>
    <cellStyle name="Output 2 2 17 5" xfId="38946" xr:uid="{78013290-7F21-451D-AD86-C851BDFF3018}"/>
    <cellStyle name="Output 2 2 17 6" xfId="38947" xr:uid="{87EE6D5B-D3A8-4A8B-B6FD-B11984BAA2AC}"/>
    <cellStyle name="Output 2 2 17 7" xfId="38948" xr:uid="{84A19D87-B759-4472-98ED-0B1C38698397}"/>
    <cellStyle name="Output 2 2 18" xfId="2800" xr:uid="{C19EA5A3-3359-4991-A6EF-E3D48FE3F846}"/>
    <cellStyle name="Output 2 2 18 2" xfId="11340" xr:uid="{5BC949EA-0D5F-4E0A-9BE5-7A6CD2435BD1}"/>
    <cellStyle name="Output 2 2 18 2 2" xfId="38949" xr:uid="{8EC01F5F-2C1B-43F2-87CB-59284059F87E}"/>
    <cellStyle name="Output 2 2 18 2 3" xfId="38950" xr:uid="{3D4B2A2D-C5C6-419F-AF9C-07D2F3A147E3}"/>
    <cellStyle name="Output 2 2 18 2 4" xfId="38951" xr:uid="{73AF0B68-1F69-42EB-A82E-BB18B29CBF97}"/>
    <cellStyle name="Output 2 2 18 2 5" xfId="38952" xr:uid="{3D14E4A2-B46E-4174-BF6E-6186AEFC6921}"/>
    <cellStyle name="Output 2 2 18 2 6" xfId="38953" xr:uid="{5C193A25-D97D-41EB-AFC9-8472C6AA50CF}"/>
    <cellStyle name="Output 2 2 18 3" xfId="38954" xr:uid="{B465FD6C-5170-4C1C-ADDF-7F6FA7FEC26E}"/>
    <cellStyle name="Output 2 2 18 4" xfId="38955" xr:uid="{AAFFF86A-462A-4A40-BAF0-1DF50AF9C976}"/>
    <cellStyle name="Output 2 2 18 5" xfId="38956" xr:uid="{7B4FA0A5-A370-4EC5-9FC6-D212873C2002}"/>
    <cellStyle name="Output 2 2 18 6" xfId="38957" xr:uid="{01F530BE-F609-47C9-90E4-656C32D08E85}"/>
    <cellStyle name="Output 2 2 18 7" xfId="38958" xr:uid="{9F4CDE0E-E498-4D05-904E-E6F4D586C476}"/>
    <cellStyle name="Output 2 2 19" xfId="2801" xr:uid="{06CB013B-A944-45E1-8AF5-4BBC74BCAD20}"/>
    <cellStyle name="Output 2 2 19 2" xfId="11426" xr:uid="{7EE228C1-0B77-4F63-9053-003DE57C430B}"/>
    <cellStyle name="Output 2 2 19 2 2" xfId="38959" xr:uid="{B5C59992-A2A6-44E7-A943-E80F91037789}"/>
    <cellStyle name="Output 2 2 19 2 3" xfId="38960" xr:uid="{04EEFF72-073B-40D7-B900-41BA7FD8F9AF}"/>
    <cellStyle name="Output 2 2 19 2 4" xfId="38961" xr:uid="{8EAA9706-4490-45FF-B83B-B9B668B76E78}"/>
    <cellStyle name="Output 2 2 19 2 5" xfId="38962" xr:uid="{ADF77E26-1892-434F-ADA8-AC238A066012}"/>
    <cellStyle name="Output 2 2 19 2 6" xfId="38963" xr:uid="{A1C50FE8-7F0E-4B76-9600-3A73B8A2B14D}"/>
    <cellStyle name="Output 2 2 19 3" xfId="38964" xr:uid="{F1330D69-1571-4F6C-8FCC-7BC01B6083F1}"/>
    <cellStyle name="Output 2 2 19 4" xfId="38965" xr:uid="{CC990DF1-9A1C-43AA-AE5B-B06BB3E4E643}"/>
    <cellStyle name="Output 2 2 19 5" xfId="38966" xr:uid="{792C345D-77B1-4543-B8D7-45D8295D02CD}"/>
    <cellStyle name="Output 2 2 19 6" xfId="38967" xr:uid="{D2E61731-8787-4338-9230-D1B09D498096}"/>
    <cellStyle name="Output 2 2 19 7" xfId="38968" xr:uid="{BF4629C7-4E0F-46A3-84D3-1C1498235392}"/>
    <cellStyle name="Output 2 2 2" xfId="2802" xr:uid="{570A1FC3-B689-4AAE-875C-1A8478241E03}"/>
    <cellStyle name="Output 2 2 2 10" xfId="2803" xr:uid="{C2178002-CC85-4EBC-88DC-E441336C600E}"/>
    <cellStyle name="Output 2 2 2 10 2" xfId="10757" xr:uid="{34AA15DE-111D-48C8-98C4-32886EDC78CC}"/>
    <cellStyle name="Output 2 2 2 10 2 2" xfId="38969" xr:uid="{FC9F3404-F5DB-496C-85DD-E27BB4EC8581}"/>
    <cellStyle name="Output 2 2 2 10 2 3" xfId="38970" xr:uid="{52D51379-6D32-4E03-91B5-2350EFBD12DC}"/>
    <cellStyle name="Output 2 2 2 10 2 4" xfId="38971" xr:uid="{1A0FFB28-5FF3-4D96-8375-00ADD037068C}"/>
    <cellStyle name="Output 2 2 2 10 2 5" xfId="38972" xr:uid="{899998E9-2887-41DA-9D19-98B116DC334C}"/>
    <cellStyle name="Output 2 2 2 10 2 6" xfId="38973" xr:uid="{46B5571A-61E2-45D4-A26D-533B1B214DBF}"/>
    <cellStyle name="Output 2 2 2 10 3" xfId="38974" xr:uid="{DA5ADC8A-A476-458F-938F-226FBC70DD92}"/>
    <cellStyle name="Output 2 2 2 10 4" xfId="38975" xr:uid="{086EF668-4297-48B4-B5B4-52591CCD29C9}"/>
    <cellStyle name="Output 2 2 2 10 5" xfId="38976" xr:uid="{94887F9E-FD66-415D-A91C-0A7E9C50AAFB}"/>
    <cellStyle name="Output 2 2 2 10 6" xfId="38977" xr:uid="{6D243007-6707-4588-8C18-0C778DA06459}"/>
    <cellStyle name="Output 2 2 2 10 7" xfId="38978" xr:uid="{7EFBE6E8-75C7-4089-90E0-393152C8352A}"/>
    <cellStyle name="Output 2 2 2 11" xfId="2804" xr:uid="{2B667DBF-C872-435D-AD76-70752C27FEE9}"/>
    <cellStyle name="Output 2 2 2 11 2" xfId="10845" xr:uid="{4D0822C4-5C32-4321-A7A4-7AF40ABF1DAD}"/>
    <cellStyle name="Output 2 2 2 11 2 2" xfId="38979" xr:uid="{D40B2356-C628-494E-AA9B-2BC1CA28016A}"/>
    <cellStyle name="Output 2 2 2 11 2 3" xfId="38980" xr:uid="{1E4D5C33-F30D-46BD-B1DE-47131D59B412}"/>
    <cellStyle name="Output 2 2 2 11 2 4" xfId="38981" xr:uid="{599E5EDB-93A9-4125-AEA8-85E93D9F0BFB}"/>
    <cellStyle name="Output 2 2 2 11 2 5" xfId="38982" xr:uid="{F65C948A-B9A9-4C8A-8ADF-4331AE14D012}"/>
    <cellStyle name="Output 2 2 2 11 2 6" xfId="38983" xr:uid="{C51994C5-D17C-493B-B93D-3F113DB2C290}"/>
    <cellStyle name="Output 2 2 2 11 3" xfId="38984" xr:uid="{A3395533-EB6E-407D-98D7-EACE2697D852}"/>
    <cellStyle name="Output 2 2 2 11 4" xfId="38985" xr:uid="{87FE79A4-7543-49F8-956F-0F6883CB8C82}"/>
    <cellStyle name="Output 2 2 2 11 5" xfId="38986" xr:uid="{BDBE1ABA-18B6-4E6D-A741-8D2D73AAA7F7}"/>
    <cellStyle name="Output 2 2 2 11 6" xfId="38987" xr:uid="{40E5D9BD-80BB-4B5D-86EF-843D072B4528}"/>
    <cellStyle name="Output 2 2 2 11 7" xfId="38988" xr:uid="{694A7263-6EC4-4E90-975F-0DA06E9E6F61}"/>
    <cellStyle name="Output 2 2 2 12" xfId="2805" xr:uid="{5376CA8D-C3E3-4C3F-AC1E-9001491F06FB}"/>
    <cellStyle name="Output 2 2 2 12 2" xfId="10934" xr:uid="{B06F1360-A186-4FF1-BAA5-96AE9D55F386}"/>
    <cellStyle name="Output 2 2 2 12 2 2" xfId="38989" xr:uid="{79151E02-702F-4AAE-B285-DA24D036F59D}"/>
    <cellStyle name="Output 2 2 2 12 2 3" xfId="38990" xr:uid="{0EA459F9-B6D5-4E33-AF49-E7F6607B3F61}"/>
    <cellStyle name="Output 2 2 2 12 2 4" xfId="38991" xr:uid="{CCFA4E4C-1FC8-4490-BB74-3E9C320185A5}"/>
    <cellStyle name="Output 2 2 2 12 2 5" xfId="38992" xr:uid="{2A37FA9F-F604-424C-9161-DE985660B3D6}"/>
    <cellStyle name="Output 2 2 2 12 2 6" xfId="38993" xr:uid="{27006300-5EC4-40D6-B169-CE4485027DCF}"/>
    <cellStyle name="Output 2 2 2 12 3" xfId="38994" xr:uid="{227845F4-BCD0-4B9D-9C7B-F2ABC5B824FB}"/>
    <cellStyle name="Output 2 2 2 12 4" xfId="38995" xr:uid="{2028AB0E-F604-49EE-A231-9D0816B1DF4C}"/>
    <cellStyle name="Output 2 2 2 12 5" xfId="38996" xr:uid="{FFBCAF98-6C55-4DFE-8117-B3B078264FB3}"/>
    <cellStyle name="Output 2 2 2 12 6" xfId="38997" xr:uid="{D2A52E1F-92F4-40C0-991E-7FA7A0F56B80}"/>
    <cellStyle name="Output 2 2 2 12 7" xfId="38998" xr:uid="{139CDD3F-0199-487D-9877-F1CC253A7418}"/>
    <cellStyle name="Output 2 2 2 13" xfId="2806" xr:uid="{D1D02295-E6DD-4504-8CAB-BF7389222206}"/>
    <cellStyle name="Output 2 2 2 13 2" xfId="11024" xr:uid="{4BB32996-AE86-475C-B628-E7C5DE7A3070}"/>
    <cellStyle name="Output 2 2 2 13 2 2" xfId="38999" xr:uid="{36EAC22D-8CC6-4886-8A76-9C960DC3588A}"/>
    <cellStyle name="Output 2 2 2 13 2 3" xfId="39000" xr:uid="{96B21642-BB13-4BC4-AC02-99A9D447341A}"/>
    <cellStyle name="Output 2 2 2 13 2 4" xfId="39001" xr:uid="{09119535-570A-4441-99C0-A60B93D02493}"/>
    <cellStyle name="Output 2 2 2 13 2 5" xfId="39002" xr:uid="{3E8E3B74-1BD1-4A6D-A577-C98A70B4B89B}"/>
    <cellStyle name="Output 2 2 2 13 2 6" xfId="39003" xr:uid="{69D6DD5D-CBAE-4485-80E5-9EAC97A70A3E}"/>
    <cellStyle name="Output 2 2 2 13 3" xfId="39004" xr:uid="{99613ED8-D761-4A92-88B3-0906B4ADA50E}"/>
    <cellStyle name="Output 2 2 2 13 4" xfId="39005" xr:uid="{1DB51F83-3E02-471D-9F17-CDF83111EC1C}"/>
    <cellStyle name="Output 2 2 2 13 5" xfId="39006" xr:uid="{17F1B36E-2C05-41AE-A804-87EC818124A1}"/>
    <cellStyle name="Output 2 2 2 13 6" xfId="39007" xr:uid="{38C0C005-A4F2-4E39-B1CD-A4E85ECCD6A5}"/>
    <cellStyle name="Output 2 2 2 13 7" xfId="39008" xr:uid="{3B56772C-B5F5-4137-AC6F-95B0EA7AD0D8}"/>
    <cellStyle name="Output 2 2 2 14" xfId="2807" xr:uid="{ABF9E958-8639-4971-8BC2-62B0148BC4FB}"/>
    <cellStyle name="Output 2 2 2 14 2" xfId="11114" xr:uid="{012598C6-5438-47DA-9E38-B60A0989FF07}"/>
    <cellStyle name="Output 2 2 2 14 2 2" xfId="39009" xr:uid="{535A50B6-73B3-4D51-877E-D7BB50A3F65B}"/>
    <cellStyle name="Output 2 2 2 14 2 3" xfId="39010" xr:uid="{D47D4FB1-E994-4E71-BD54-AEF1F5D49239}"/>
    <cellStyle name="Output 2 2 2 14 2 4" xfId="39011" xr:uid="{4CF840D8-862F-48EB-BCE8-7842CFCF3DF2}"/>
    <cellStyle name="Output 2 2 2 14 2 5" xfId="39012" xr:uid="{77E8E6E3-1682-427F-8EF1-D326F5D744F9}"/>
    <cellStyle name="Output 2 2 2 14 2 6" xfId="39013" xr:uid="{CA497F5D-0398-40A0-865A-8413FB325B4D}"/>
    <cellStyle name="Output 2 2 2 14 3" xfId="39014" xr:uid="{49AD290D-4736-4961-AFA9-FCFCE3123F79}"/>
    <cellStyle name="Output 2 2 2 14 4" xfId="39015" xr:uid="{0B6BBACE-B974-4E48-9EB5-741072B7024C}"/>
    <cellStyle name="Output 2 2 2 14 5" xfId="39016" xr:uid="{20C32409-8AED-4D8C-8782-59FB7CB1F1ED}"/>
    <cellStyle name="Output 2 2 2 14 6" xfId="39017" xr:uid="{5F4EE437-1A2A-4DF4-ABD3-A855021682D7}"/>
    <cellStyle name="Output 2 2 2 14 7" xfId="39018" xr:uid="{1A37F574-6414-4CFC-9C74-463177406562}"/>
    <cellStyle name="Output 2 2 2 15" xfId="2808" xr:uid="{220780B3-D727-423C-AE1D-0F7690A2045F}"/>
    <cellStyle name="Output 2 2 2 15 2" xfId="11197" xr:uid="{913886D3-09F8-4782-B274-23C9467B860D}"/>
    <cellStyle name="Output 2 2 2 15 2 2" xfId="39019" xr:uid="{5A80F4AC-5F60-424F-830A-7E60B9C9C6CB}"/>
    <cellStyle name="Output 2 2 2 15 2 3" xfId="39020" xr:uid="{C837F5CC-2C51-4708-860B-C21D8A284C4F}"/>
    <cellStyle name="Output 2 2 2 15 2 4" xfId="39021" xr:uid="{28BEBD8B-FF49-4DBB-9F18-F27E67E9EEE0}"/>
    <cellStyle name="Output 2 2 2 15 2 5" xfId="39022" xr:uid="{0B5582FD-03DA-4813-BE20-1AC416EFF536}"/>
    <cellStyle name="Output 2 2 2 15 2 6" xfId="39023" xr:uid="{88E62526-695C-4423-AEC5-DE0C149633B9}"/>
    <cellStyle name="Output 2 2 2 15 3" xfId="39024" xr:uid="{7B00BA57-0F8A-4179-89E1-1084EF7B2489}"/>
    <cellStyle name="Output 2 2 2 15 4" xfId="39025" xr:uid="{503A1D4C-DB45-4A81-B323-71C97DECCF2D}"/>
    <cellStyle name="Output 2 2 2 15 5" xfId="39026" xr:uid="{2D755EDE-5B62-459F-BAFD-1959175B8489}"/>
    <cellStyle name="Output 2 2 2 15 6" xfId="39027" xr:uid="{C4FB8C0A-5801-4A3A-905C-D7DCD6DEC489}"/>
    <cellStyle name="Output 2 2 2 15 7" xfId="39028" xr:uid="{368BB147-A97C-40A5-974F-F9791CB38CF1}"/>
    <cellStyle name="Output 2 2 2 16" xfId="2809" xr:uid="{A0A5C235-664F-48BA-9042-32556ADC8817}"/>
    <cellStyle name="Output 2 2 2 16 2" xfId="11287" xr:uid="{B9DB36AD-DBDD-4E6D-9D5E-4052D5D4BDF5}"/>
    <cellStyle name="Output 2 2 2 16 2 2" xfId="39029" xr:uid="{68982ACC-41BF-4CF8-88C6-E844A6F04172}"/>
    <cellStyle name="Output 2 2 2 16 2 3" xfId="39030" xr:uid="{64CFE239-A9B2-45C9-B7AC-2208CD635CAD}"/>
    <cellStyle name="Output 2 2 2 16 2 4" xfId="39031" xr:uid="{CC6777CD-142F-4F4C-AC06-CA27D22CAC9E}"/>
    <cellStyle name="Output 2 2 2 16 2 5" xfId="39032" xr:uid="{0D7112EF-DEF1-412D-AD95-E459DCE542D2}"/>
    <cellStyle name="Output 2 2 2 16 2 6" xfId="39033" xr:uid="{6AD2FBAB-8DA9-4D3B-B449-270CCE1670A1}"/>
    <cellStyle name="Output 2 2 2 16 3" xfId="39034" xr:uid="{8C56F1D2-3868-49FF-91CA-255C42E6C5AE}"/>
    <cellStyle name="Output 2 2 2 16 4" xfId="39035" xr:uid="{EE0265AE-289D-4D25-99AB-05DCAC9A5603}"/>
    <cellStyle name="Output 2 2 2 16 5" xfId="39036" xr:uid="{5F38E5D9-00A5-45DB-AE49-7DA89C63648C}"/>
    <cellStyle name="Output 2 2 2 16 6" xfId="39037" xr:uid="{844A64A9-3C88-4083-A6E1-9E748BF1CFDF}"/>
    <cellStyle name="Output 2 2 2 16 7" xfId="39038" xr:uid="{70DB2D2F-4BA0-4E52-8268-3EF61F5ED577}"/>
    <cellStyle name="Output 2 2 2 17" xfId="2810" xr:uid="{81324C43-28E1-4E9F-BF23-AA8A501EE689}"/>
    <cellStyle name="Output 2 2 2 17 2" xfId="11373" xr:uid="{5440E330-D5B4-4D7B-9E45-CA6CA079A39B}"/>
    <cellStyle name="Output 2 2 2 17 2 2" xfId="39039" xr:uid="{44CEBB47-8737-4E5A-BE2C-21DAD80C8873}"/>
    <cellStyle name="Output 2 2 2 17 2 3" xfId="39040" xr:uid="{78D304E1-E344-4AE1-93F6-B788C9AF2CA2}"/>
    <cellStyle name="Output 2 2 2 17 2 4" xfId="39041" xr:uid="{D4E0235F-8C42-40EA-815B-6C3A7436986A}"/>
    <cellStyle name="Output 2 2 2 17 2 5" xfId="39042" xr:uid="{D4049EE9-6734-4137-BB14-8BDCCA809453}"/>
    <cellStyle name="Output 2 2 2 17 2 6" xfId="39043" xr:uid="{DCACDD9F-AADB-4FFB-9EE5-C7A7D5A54E83}"/>
    <cellStyle name="Output 2 2 2 17 3" xfId="39044" xr:uid="{1C8ACE15-C74A-4D8B-893E-EECBDBF34FB7}"/>
    <cellStyle name="Output 2 2 2 17 4" xfId="39045" xr:uid="{95C503F7-F220-4AC6-8F05-86A5F19E8984}"/>
    <cellStyle name="Output 2 2 2 17 5" xfId="39046" xr:uid="{2E2623D7-0AE8-46FA-9FAE-946244037E20}"/>
    <cellStyle name="Output 2 2 2 17 6" xfId="39047" xr:uid="{2DF3F9BA-6002-4400-A8D0-5599AF486580}"/>
    <cellStyle name="Output 2 2 2 17 7" xfId="39048" xr:uid="{E5B087EE-1B9D-4BF8-8612-A561047A3BF8}"/>
    <cellStyle name="Output 2 2 2 18" xfId="2811" xr:uid="{159F203B-F30C-41CC-80DA-B75EB53575D3}"/>
    <cellStyle name="Output 2 2 2 18 2" xfId="11460" xr:uid="{AA684023-67AD-4943-AE56-FE7F00C837F3}"/>
    <cellStyle name="Output 2 2 2 18 2 2" xfId="39049" xr:uid="{0DFA3EF2-2D1B-4E83-971A-8485DF655C74}"/>
    <cellStyle name="Output 2 2 2 18 2 3" xfId="39050" xr:uid="{9F968D2B-F0FF-4795-880A-35FEC1215272}"/>
    <cellStyle name="Output 2 2 2 18 2 4" xfId="39051" xr:uid="{D57648AD-3BAB-4713-8626-5796A32BA989}"/>
    <cellStyle name="Output 2 2 2 18 2 5" xfId="39052" xr:uid="{718AF50E-EAE9-431C-874E-A05D65716A7F}"/>
    <cellStyle name="Output 2 2 2 18 2 6" xfId="39053" xr:uid="{BF468944-C06B-455A-A153-A109D9C492F3}"/>
    <cellStyle name="Output 2 2 2 18 3" xfId="39054" xr:uid="{BEFD8764-F4D9-4F5A-A9DF-6C6693FC4289}"/>
    <cellStyle name="Output 2 2 2 18 4" xfId="39055" xr:uid="{2ECF5743-AD4E-4A03-BB23-23475A770F66}"/>
    <cellStyle name="Output 2 2 2 18 5" xfId="39056" xr:uid="{77634937-22BA-4511-B6A0-8FF6967503A7}"/>
    <cellStyle name="Output 2 2 2 18 6" xfId="39057" xr:uid="{2EF2146F-98E0-478D-A626-3875E819321B}"/>
    <cellStyle name="Output 2 2 2 18 7" xfId="39058" xr:uid="{D76BBDF9-2914-4B2D-9526-F5B6DD4C895B}"/>
    <cellStyle name="Output 2 2 2 19" xfId="2812" xr:uid="{5448EBC3-CE7D-4340-82C7-A1356475AA1C}"/>
    <cellStyle name="Output 2 2 2 19 2" xfId="11547" xr:uid="{749A9EA8-7728-4816-8719-9C479B3F1475}"/>
    <cellStyle name="Output 2 2 2 19 2 2" xfId="39059" xr:uid="{96F51926-4EED-4D52-9899-DEFA66EE5E50}"/>
    <cellStyle name="Output 2 2 2 19 2 3" xfId="39060" xr:uid="{31600976-5797-4507-AF12-FE561F5D60C0}"/>
    <cellStyle name="Output 2 2 2 19 2 4" xfId="39061" xr:uid="{068379DE-35A2-4FC4-9891-A5CB552F2615}"/>
    <cellStyle name="Output 2 2 2 19 2 5" xfId="39062" xr:uid="{9B0B93DD-3D08-4A7E-AD68-C4F03E47B57C}"/>
    <cellStyle name="Output 2 2 2 19 2 6" xfId="39063" xr:uid="{1E4E5EC4-86B3-475E-AC1F-C51FDBBC6F5B}"/>
    <cellStyle name="Output 2 2 2 19 3" xfId="39064" xr:uid="{CEDC8169-1C78-4555-8496-507D9BF11E80}"/>
    <cellStyle name="Output 2 2 2 19 4" xfId="39065" xr:uid="{5A41B2C2-A471-473D-960E-C7B4C83BB9CD}"/>
    <cellStyle name="Output 2 2 2 19 5" xfId="39066" xr:uid="{DEAD1EF6-87C6-4A4E-8680-0E7936C4B268}"/>
    <cellStyle name="Output 2 2 2 19 6" xfId="39067" xr:uid="{205B3283-70C5-445D-9477-B712E19D9505}"/>
    <cellStyle name="Output 2 2 2 19 7" xfId="39068" xr:uid="{5C75D001-C17E-4536-8AC2-82B6560885B5}"/>
    <cellStyle name="Output 2 2 2 2" xfId="2813" xr:uid="{400A71BD-E612-4C99-B342-6C18B110D452}"/>
    <cellStyle name="Output 2 2 2 2 2" xfId="10054" xr:uid="{34A0097D-61C1-4AAC-A897-B853529476AA}"/>
    <cellStyle name="Output 2 2 2 2 2 2" xfId="39069" xr:uid="{03F72138-1CD5-4D6F-9922-774830B4A4E8}"/>
    <cellStyle name="Output 2 2 2 2 2 3" xfId="39070" xr:uid="{E80D51E1-0E4F-409B-BEF0-727761519AAD}"/>
    <cellStyle name="Output 2 2 2 2 2 4" xfId="39071" xr:uid="{80DB81FF-9954-4353-8EB5-FE8EF333A2BD}"/>
    <cellStyle name="Output 2 2 2 2 2 5" xfId="39072" xr:uid="{E0D34C3A-1012-492B-AB1D-32CCC0C934DE}"/>
    <cellStyle name="Output 2 2 2 2 2 6" xfId="39073" xr:uid="{88ECF67B-EBB7-4EDA-88BD-A800954F8EA0}"/>
    <cellStyle name="Output 2 2 2 2 3" xfId="39074" xr:uid="{807A6C9C-72DF-4CAE-94C5-DBAC3183D23A}"/>
    <cellStyle name="Output 2 2 2 2 4" xfId="39075" xr:uid="{1F7A598E-624C-439E-834C-DCB3C993E298}"/>
    <cellStyle name="Output 2 2 2 2 5" xfId="39076" xr:uid="{BD9A88AA-92B6-427C-B3BF-3A0F70C4A25F}"/>
    <cellStyle name="Output 2 2 2 2 6" xfId="39077" xr:uid="{E8FAC7A4-C505-4592-98ED-418BC9825CFE}"/>
    <cellStyle name="Output 2 2 2 2 7" xfId="39078" xr:uid="{A8B34435-AB3E-4015-9193-AD29650798C2}"/>
    <cellStyle name="Output 2 2 2 20" xfId="2814" xr:uid="{0A4AF1B0-270D-4AE7-B988-0A6C09044E40}"/>
    <cellStyle name="Output 2 2 2 20 2" xfId="11635" xr:uid="{F05F52F7-AD6A-4545-B1D4-E6C67249D7A7}"/>
    <cellStyle name="Output 2 2 2 20 2 2" xfId="39079" xr:uid="{5443BA3E-BE2B-4AFF-BF95-D05253A17567}"/>
    <cellStyle name="Output 2 2 2 20 2 3" xfId="39080" xr:uid="{C8EF2E1C-1F35-48B9-8615-921E44EA55E4}"/>
    <cellStyle name="Output 2 2 2 20 2 4" xfId="39081" xr:uid="{8E974F99-E07D-40EE-A806-281D6D6C5963}"/>
    <cellStyle name="Output 2 2 2 20 2 5" xfId="39082" xr:uid="{2E3CE934-D74B-42E6-8E6E-37E28054A186}"/>
    <cellStyle name="Output 2 2 2 20 2 6" xfId="39083" xr:uid="{39A13C71-3417-4ABC-BFD1-A26D738FD16E}"/>
    <cellStyle name="Output 2 2 2 20 3" xfId="39084" xr:uid="{C9A10904-3049-4308-AF3E-9BDC2AF395D7}"/>
    <cellStyle name="Output 2 2 2 20 4" xfId="39085" xr:uid="{C375DF73-6F63-4A82-A1E4-7CD4BE20E619}"/>
    <cellStyle name="Output 2 2 2 20 5" xfId="39086" xr:uid="{F2413FA2-91BB-4071-9D8F-F570D2511C18}"/>
    <cellStyle name="Output 2 2 2 20 6" xfId="39087" xr:uid="{1FC86E95-122C-44B1-ADA1-9BD905A39F45}"/>
    <cellStyle name="Output 2 2 2 20 7" xfId="39088" xr:uid="{F49ACBC7-5B35-4814-906C-FE2FEEFED981}"/>
    <cellStyle name="Output 2 2 2 21" xfId="2815" xr:uid="{CA22AF85-2D2B-4277-BA89-D4DF7FC3B197}"/>
    <cellStyle name="Output 2 2 2 21 2" xfId="11719" xr:uid="{FE838812-BAF9-4223-97CC-9C3FE2E579A7}"/>
    <cellStyle name="Output 2 2 2 21 2 2" xfId="39089" xr:uid="{C20321FB-3B5A-4F8D-800A-35CE59750DED}"/>
    <cellStyle name="Output 2 2 2 21 2 3" xfId="39090" xr:uid="{6F23BFFC-677C-43CE-9E5E-CC089D654C93}"/>
    <cellStyle name="Output 2 2 2 21 2 4" xfId="39091" xr:uid="{5BCE59B3-1F37-4661-8BD1-B3874C61F63E}"/>
    <cellStyle name="Output 2 2 2 21 2 5" xfId="39092" xr:uid="{70848BDB-522E-40F3-A921-912FE53B58D0}"/>
    <cellStyle name="Output 2 2 2 21 2 6" xfId="39093" xr:uid="{0E495D50-4D54-4D36-BF35-8B369F5C10E2}"/>
    <cellStyle name="Output 2 2 2 21 3" xfId="39094" xr:uid="{2A1EC1BD-65C8-4BB9-809C-2CC1A23B7C46}"/>
    <cellStyle name="Output 2 2 2 21 4" xfId="39095" xr:uid="{383DD148-E9C1-4FE8-ABD7-2B88AD4DF655}"/>
    <cellStyle name="Output 2 2 2 21 5" xfId="39096" xr:uid="{9D6E928F-57DE-4048-AA08-B513747585E7}"/>
    <cellStyle name="Output 2 2 2 21 6" xfId="39097" xr:uid="{E9FE4919-D973-45FC-8BEC-1E4481F00F56}"/>
    <cellStyle name="Output 2 2 2 21 7" xfId="39098" xr:uid="{424D657E-F5E8-4C2F-A501-70BC606667A7}"/>
    <cellStyle name="Output 2 2 2 22" xfId="2816" xr:uid="{9EF5B2FD-6B98-49FE-A2CF-863D584D0F4C}"/>
    <cellStyle name="Output 2 2 2 22 2" xfId="11802" xr:uid="{7AE46C52-C345-4918-A7CF-7D8792C9B1B8}"/>
    <cellStyle name="Output 2 2 2 22 2 2" xfId="39099" xr:uid="{D999DBCD-8256-446B-804D-2B21B91051B3}"/>
    <cellStyle name="Output 2 2 2 22 2 3" xfId="39100" xr:uid="{E27D5F0E-E0D8-467B-836F-BB50799DF351}"/>
    <cellStyle name="Output 2 2 2 22 2 4" xfId="39101" xr:uid="{527F64AB-30BE-4F68-AAAA-360A5F62466A}"/>
    <cellStyle name="Output 2 2 2 22 2 5" xfId="39102" xr:uid="{E3706212-C66F-46F2-B57E-952609868337}"/>
    <cellStyle name="Output 2 2 2 22 2 6" xfId="39103" xr:uid="{4E4683EE-905C-4BCD-9D82-26632E007E6E}"/>
    <cellStyle name="Output 2 2 2 22 3" xfId="39104" xr:uid="{EF82B311-B8D4-4567-84D2-8F1B638C993B}"/>
    <cellStyle name="Output 2 2 2 22 4" xfId="39105" xr:uid="{62DB5ED1-45E0-4220-90BA-64FEC4CAACF3}"/>
    <cellStyle name="Output 2 2 2 22 5" xfId="39106" xr:uid="{FC690F55-FEDC-4A20-9AAA-A06F71A439FD}"/>
    <cellStyle name="Output 2 2 2 22 6" xfId="39107" xr:uid="{3D1BD762-3EA0-4D0E-9646-4AA5C3CA1D2A}"/>
    <cellStyle name="Output 2 2 2 22 7" xfId="39108" xr:uid="{1F6276BD-8565-48DA-9795-7C3CFA93AF62}"/>
    <cellStyle name="Output 2 2 2 23" xfId="2817" xr:uid="{9CFF020A-53B6-466D-A2ED-081A4DF46C1A}"/>
    <cellStyle name="Output 2 2 2 23 2" xfId="11885" xr:uid="{746DC49E-4C0E-4E4B-8C2A-55D5F7EDE026}"/>
    <cellStyle name="Output 2 2 2 23 2 2" xfId="39109" xr:uid="{A326920C-757E-4679-95AA-DD729E893AD4}"/>
    <cellStyle name="Output 2 2 2 23 2 3" xfId="39110" xr:uid="{E20BC6DF-EDAC-432F-8626-130312513CC8}"/>
    <cellStyle name="Output 2 2 2 23 2 4" xfId="39111" xr:uid="{D4BE24B3-2466-4BA1-B07B-6DD6B6BBA755}"/>
    <cellStyle name="Output 2 2 2 23 2 5" xfId="39112" xr:uid="{CA9467F1-5134-4E61-93C9-17D2919CF883}"/>
    <cellStyle name="Output 2 2 2 23 2 6" xfId="39113" xr:uid="{4D9EB129-5CB3-4909-A828-24305A5CE207}"/>
    <cellStyle name="Output 2 2 2 23 3" xfId="39114" xr:uid="{087CC407-F566-45BF-B12B-45C3162D9072}"/>
    <cellStyle name="Output 2 2 2 23 4" xfId="39115" xr:uid="{C3AFB492-028E-49C1-AF33-A1E1BBD887DF}"/>
    <cellStyle name="Output 2 2 2 23 5" xfId="39116" xr:uid="{358BE5B2-1E41-496E-B5EB-4AF5160AF485}"/>
    <cellStyle name="Output 2 2 2 23 6" xfId="39117" xr:uid="{031B38A3-BA90-451C-9D63-8AB509169A18}"/>
    <cellStyle name="Output 2 2 2 23 7" xfId="39118" xr:uid="{E6DA15A5-F675-4F73-90D1-0CA1D3DEF138}"/>
    <cellStyle name="Output 2 2 2 24" xfId="2818" xr:uid="{309220C8-401F-4FE8-9A31-C8FDE0821509}"/>
    <cellStyle name="Output 2 2 2 24 2" xfId="11969" xr:uid="{2EAFE877-30A8-4565-AE3A-64688C0F8126}"/>
    <cellStyle name="Output 2 2 2 24 2 2" xfId="39119" xr:uid="{118B1559-252E-429D-B8C9-9947DB37EDDA}"/>
    <cellStyle name="Output 2 2 2 24 2 3" xfId="39120" xr:uid="{9641478A-0C12-40D2-A038-D90E5945DC58}"/>
    <cellStyle name="Output 2 2 2 24 2 4" xfId="39121" xr:uid="{DF6164A9-8DA4-4612-AA22-F231BC3B02C2}"/>
    <cellStyle name="Output 2 2 2 24 2 5" xfId="39122" xr:uid="{72DC6AB9-863D-4780-950D-CACB68040D03}"/>
    <cellStyle name="Output 2 2 2 24 2 6" xfId="39123" xr:uid="{EA6E6E50-F72B-410F-8BA0-392C19C4466C}"/>
    <cellStyle name="Output 2 2 2 24 3" xfId="39124" xr:uid="{76F2691F-B4FC-4638-B0BE-2D7F75FD6AC5}"/>
    <cellStyle name="Output 2 2 2 24 4" xfId="39125" xr:uid="{0D64CA83-D510-4827-8DE1-4DE272A9F89C}"/>
    <cellStyle name="Output 2 2 2 24 5" xfId="39126" xr:uid="{4011DFE5-40CB-442D-92D7-A0CD214D78D9}"/>
    <cellStyle name="Output 2 2 2 24 6" xfId="39127" xr:uid="{8C598708-C709-446F-AB03-F5AA4CD59C0A}"/>
    <cellStyle name="Output 2 2 2 24 7" xfId="39128" xr:uid="{AA55756E-ED25-4902-9E2F-E397E8AB0768}"/>
    <cellStyle name="Output 2 2 2 25" xfId="2819" xr:uid="{D84AAAD0-4014-4E0C-860D-A936425DEC4A}"/>
    <cellStyle name="Output 2 2 2 25 2" xfId="12052" xr:uid="{B91DD8CF-12C5-4ECD-B5ED-9FE64123194A}"/>
    <cellStyle name="Output 2 2 2 25 2 2" xfId="39129" xr:uid="{492E1078-4F5B-4881-B552-0325FD6A2A52}"/>
    <cellStyle name="Output 2 2 2 25 2 3" xfId="39130" xr:uid="{64243CA0-A4D2-4F18-B5F9-FBC747994B71}"/>
    <cellStyle name="Output 2 2 2 25 2 4" xfId="39131" xr:uid="{A2F63D3A-F788-45FD-9AB5-6843230FEEC6}"/>
    <cellStyle name="Output 2 2 2 25 2 5" xfId="39132" xr:uid="{33617EFF-AF38-493E-B6E1-87177DAC841C}"/>
    <cellStyle name="Output 2 2 2 25 2 6" xfId="39133" xr:uid="{E6ECB934-233C-4FCB-9024-93A1D799FE39}"/>
    <cellStyle name="Output 2 2 2 25 3" xfId="39134" xr:uid="{DC35C5AE-01E0-4B65-8386-B1137AD5B97F}"/>
    <cellStyle name="Output 2 2 2 25 4" xfId="39135" xr:uid="{AB6AF3B1-89B0-43DA-A7EC-AD1AA5D532CB}"/>
    <cellStyle name="Output 2 2 2 25 5" xfId="39136" xr:uid="{0146166F-07E7-44A5-9679-4E1BDAAA8893}"/>
    <cellStyle name="Output 2 2 2 25 6" xfId="39137" xr:uid="{6A448B22-C5BE-46A6-B8AC-3BF6B9AD4E7C}"/>
    <cellStyle name="Output 2 2 2 25 7" xfId="39138" xr:uid="{10DCE2F7-1B55-4C23-BDA2-E398D8AA1ABF}"/>
    <cellStyle name="Output 2 2 2 26" xfId="2820" xr:uid="{5FB2E13A-47CA-4E77-8B76-5F1AD6AFA179}"/>
    <cellStyle name="Output 2 2 2 26 2" xfId="12135" xr:uid="{D40A0209-9E70-494E-978D-BFE1D82FE822}"/>
    <cellStyle name="Output 2 2 2 26 2 2" xfId="39139" xr:uid="{48ADD6C9-C648-43B8-9526-BE29433F78EC}"/>
    <cellStyle name="Output 2 2 2 26 2 3" xfId="39140" xr:uid="{21994DC1-61D8-484A-B8FB-A5817D58BF41}"/>
    <cellStyle name="Output 2 2 2 26 2 4" xfId="39141" xr:uid="{DB875ACE-3F95-48D5-B1D3-D289DE5F4BCB}"/>
    <cellStyle name="Output 2 2 2 26 2 5" xfId="39142" xr:uid="{A6FED5A4-A8B1-4064-920A-882B72F0F988}"/>
    <cellStyle name="Output 2 2 2 26 2 6" xfId="39143" xr:uid="{D4A51894-8DB8-41F8-9478-2BDBCEF99694}"/>
    <cellStyle name="Output 2 2 2 26 3" xfId="39144" xr:uid="{7C2C2C95-9C98-4319-8D8F-D69010176AD5}"/>
    <cellStyle name="Output 2 2 2 26 4" xfId="39145" xr:uid="{F6E629DD-B60F-490B-90CD-DF19816926FC}"/>
    <cellStyle name="Output 2 2 2 26 5" xfId="39146" xr:uid="{CE4C3E7D-1D30-45F7-AEAD-62F2C33D4131}"/>
    <cellStyle name="Output 2 2 2 26 6" xfId="39147" xr:uid="{156612C2-9408-4179-AB2D-AB086105C3E9}"/>
    <cellStyle name="Output 2 2 2 26 7" xfId="39148" xr:uid="{ECDAC1C0-60CF-4874-A79F-8561AA182F68}"/>
    <cellStyle name="Output 2 2 2 27" xfId="2821" xr:uid="{9BB50ECF-C92D-4D0B-8001-5B4D4A3EF474}"/>
    <cellStyle name="Output 2 2 2 27 2" xfId="12217" xr:uid="{D341EC0D-0E49-4469-9CD6-C3959D529E80}"/>
    <cellStyle name="Output 2 2 2 27 2 2" xfId="39149" xr:uid="{0B58803F-F837-4153-823B-7602F0CAC0C2}"/>
    <cellStyle name="Output 2 2 2 27 2 3" xfId="39150" xr:uid="{072D814B-F5B1-4138-AB1F-F5FA1982FDEB}"/>
    <cellStyle name="Output 2 2 2 27 2 4" xfId="39151" xr:uid="{D1CBACA5-C4A0-4697-BC6F-922CB6D21C95}"/>
    <cellStyle name="Output 2 2 2 27 2 5" xfId="39152" xr:uid="{DB9C0218-C1DC-49D9-9614-B7789080639A}"/>
    <cellStyle name="Output 2 2 2 27 2 6" xfId="39153" xr:uid="{0698970C-38A6-43F1-9EFE-F1D03720C6B5}"/>
    <cellStyle name="Output 2 2 2 27 3" xfId="39154" xr:uid="{00370DAE-1F72-4852-B3CC-D0CF1F90BAB0}"/>
    <cellStyle name="Output 2 2 2 27 4" xfId="39155" xr:uid="{48BA3D12-1EB3-4740-8B77-C7DC6C03E23F}"/>
    <cellStyle name="Output 2 2 2 27 5" xfId="39156" xr:uid="{30C8F5EB-93C2-4C55-AA11-83C1364C6C29}"/>
    <cellStyle name="Output 2 2 2 27 6" xfId="39157" xr:uid="{D0B2688F-529D-4122-A32B-A299092B6DCC}"/>
    <cellStyle name="Output 2 2 2 27 7" xfId="39158" xr:uid="{F1563432-CC6A-495E-8392-52C144FCC65A}"/>
    <cellStyle name="Output 2 2 2 28" xfId="2822" xr:uid="{0A7BC369-7A91-4DCC-BB9A-769726909943}"/>
    <cellStyle name="Output 2 2 2 28 2" xfId="12297" xr:uid="{71E48950-9575-459D-BCC8-6B136965B1B1}"/>
    <cellStyle name="Output 2 2 2 28 2 2" xfId="39159" xr:uid="{4558BA68-432A-4841-A567-B5E329F3954D}"/>
    <cellStyle name="Output 2 2 2 28 2 3" xfId="39160" xr:uid="{6069C877-C93D-47FF-A69F-C430C77F2805}"/>
    <cellStyle name="Output 2 2 2 28 2 4" xfId="39161" xr:uid="{4E9F9EF0-F812-49C7-8D2A-26AFAFD4D49D}"/>
    <cellStyle name="Output 2 2 2 28 2 5" xfId="39162" xr:uid="{DBEB3850-496D-4F38-9F9C-076D09B4BD7E}"/>
    <cellStyle name="Output 2 2 2 28 2 6" xfId="39163" xr:uid="{DFC52597-70DA-459C-B5A8-3BD3C01E052D}"/>
    <cellStyle name="Output 2 2 2 28 3" xfId="39164" xr:uid="{1CA55AB2-734E-4176-8755-F62FB00710CB}"/>
    <cellStyle name="Output 2 2 2 28 4" xfId="39165" xr:uid="{0B024166-B5A4-404C-999E-4A85B974F101}"/>
    <cellStyle name="Output 2 2 2 28 5" xfId="39166" xr:uid="{89BC5394-0DAC-4FD6-AA0D-D3AB51C3F46B}"/>
    <cellStyle name="Output 2 2 2 28 6" xfId="39167" xr:uid="{6330DB6A-00C4-4604-AC10-D878E91E9346}"/>
    <cellStyle name="Output 2 2 2 28 7" xfId="39168" xr:uid="{31E2C316-FF4A-4C80-A839-9D5D822A397A}"/>
    <cellStyle name="Output 2 2 2 29" xfId="2823" xr:uid="{4BA92E64-CDC4-4087-A228-EC1148E8795A}"/>
    <cellStyle name="Output 2 2 2 29 2" xfId="12375" xr:uid="{88BF71CB-EA70-436D-9EC8-793A782860B9}"/>
    <cellStyle name="Output 2 2 2 29 2 2" xfId="39169" xr:uid="{A4ED4730-01C2-4787-800A-8F40C9B7A791}"/>
    <cellStyle name="Output 2 2 2 29 2 3" xfId="39170" xr:uid="{3B31D330-1E5C-4062-B1C1-7ECA4975DA71}"/>
    <cellStyle name="Output 2 2 2 29 2 4" xfId="39171" xr:uid="{0E883E78-0FD1-4537-9116-6DE325A97049}"/>
    <cellStyle name="Output 2 2 2 29 2 5" xfId="39172" xr:uid="{4A7337BE-430B-4DB9-9027-E8DD272449CE}"/>
    <cellStyle name="Output 2 2 2 29 2 6" xfId="39173" xr:uid="{6D1E0977-8C4F-46BF-B27C-D65AA6515748}"/>
    <cellStyle name="Output 2 2 2 29 3" xfId="39174" xr:uid="{10B2F187-CEAA-4458-9EEB-42F5E9E2537F}"/>
    <cellStyle name="Output 2 2 2 29 4" xfId="39175" xr:uid="{7823E658-0DAB-45A9-AD78-98C7AA52CF7C}"/>
    <cellStyle name="Output 2 2 2 29 5" xfId="39176" xr:uid="{4721986D-75E7-48DD-843F-4D2E930E9A41}"/>
    <cellStyle name="Output 2 2 2 29 6" xfId="39177" xr:uid="{86618D1C-E55D-4EC3-A98C-85B39BD5736A}"/>
    <cellStyle name="Output 2 2 2 29 7" xfId="39178" xr:uid="{CCCCB3A6-0E49-48DA-B400-0C392F8AB801}"/>
    <cellStyle name="Output 2 2 2 3" xfId="2824" xr:uid="{80208FD3-0E0B-403D-A2C7-31102F3C755B}"/>
    <cellStyle name="Output 2 2 2 3 2" xfId="10145" xr:uid="{00B1E301-440D-465A-AF07-A925C81934A0}"/>
    <cellStyle name="Output 2 2 2 3 2 2" xfId="39179" xr:uid="{70C3A5EE-7FAC-4D83-8E43-A4F47C3A612D}"/>
    <cellStyle name="Output 2 2 2 3 2 3" xfId="39180" xr:uid="{85224D64-762E-417D-99F6-262FFDC9DFC8}"/>
    <cellStyle name="Output 2 2 2 3 2 4" xfId="39181" xr:uid="{DF192364-FF03-4121-B55F-7D7D59C31241}"/>
    <cellStyle name="Output 2 2 2 3 2 5" xfId="39182" xr:uid="{173D21D5-5D5B-46F6-A638-5E84FEC246E5}"/>
    <cellStyle name="Output 2 2 2 3 2 6" xfId="39183" xr:uid="{01E3E9AB-8823-4F1D-9F56-36F7C9AF58D7}"/>
    <cellStyle name="Output 2 2 2 3 3" xfId="39184" xr:uid="{22278F57-A1B2-4C7F-A89A-C0FDBF388C45}"/>
    <cellStyle name="Output 2 2 2 3 4" xfId="39185" xr:uid="{BAFAA579-FAEF-4F09-A33B-76086984B4A4}"/>
    <cellStyle name="Output 2 2 2 3 5" xfId="39186" xr:uid="{1B878F9E-462D-4BBF-BA3A-BDE228473C8E}"/>
    <cellStyle name="Output 2 2 2 3 6" xfId="39187" xr:uid="{7216EF10-A701-48E4-8D4A-6AC087D91A8B}"/>
    <cellStyle name="Output 2 2 2 3 7" xfId="39188" xr:uid="{5CEFEF84-05A9-4FC7-9FEE-FC56AC5DACA3}"/>
    <cellStyle name="Output 2 2 2 30" xfId="2825" xr:uid="{E18C4302-6DDD-4E01-8331-7481D2EACA15}"/>
    <cellStyle name="Output 2 2 2 30 2" xfId="12454" xr:uid="{6910327B-A487-47CC-BDF4-8A10B21E2275}"/>
    <cellStyle name="Output 2 2 2 30 2 2" xfId="39189" xr:uid="{3B1D7400-4B89-4D53-BDD6-A4397BD3D5DB}"/>
    <cellStyle name="Output 2 2 2 30 2 3" xfId="39190" xr:uid="{CA383A6A-C7E7-4590-9249-36D0748BD231}"/>
    <cellStyle name="Output 2 2 2 30 2 4" xfId="39191" xr:uid="{A854182C-80E3-4136-AF9A-FC5FFCCA7DDA}"/>
    <cellStyle name="Output 2 2 2 30 2 5" xfId="39192" xr:uid="{41564766-5F5C-4AB4-AC79-919D28DC6961}"/>
    <cellStyle name="Output 2 2 2 30 2 6" xfId="39193" xr:uid="{BE33EB62-BBD9-46A8-87E1-E0BA28A50BA8}"/>
    <cellStyle name="Output 2 2 2 30 3" xfId="39194" xr:uid="{2FAE66B0-9A98-4993-8520-B85E3DBE3CCE}"/>
    <cellStyle name="Output 2 2 2 30 4" xfId="39195" xr:uid="{84123A93-41AE-458F-AD05-CECFE590E44A}"/>
    <cellStyle name="Output 2 2 2 30 5" xfId="39196" xr:uid="{B4E435F3-8341-4BC2-8EA0-80BBA1C8B149}"/>
    <cellStyle name="Output 2 2 2 30 6" xfId="39197" xr:uid="{1991D923-75F1-4E04-9B61-5A94ABB5DC76}"/>
    <cellStyle name="Output 2 2 2 30 7" xfId="39198" xr:uid="{5B3D4866-B173-4CDD-AA66-4BF0BC3F4993}"/>
    <cellStyle name="Output 2 2 2 31" xfId="2826" xr:uid="{EF06A971-F028-422C-A595-48BD7A577EDD}"/>
    <cellStyle name="Output 2 2 2 31 2" xfId="12533" xr:uid="{56DE9EC0-0E30-477C-BCA7-B2F37055908D}"/>
    <cellStyle name="Output 2 2 2 31 2 2" xfId="39199" xr:uid="{78087699-1E1C-4C14-BB19-6C08D5A5AB4C}"/>
    <cellStyle name="Output 2 2 2 31 2 3" xfId="39200" xr:uid="{5AB8378F-DC34-41BB-A07B-580AB6688414}"/>
    <cellStyle name="Output 2 2 2 31 2 4" xfId="39201" xr:uid="{FAA8771D-5259-4096-9579-CCF619E8E526}"/>
    <cellStyle name="Output 2 2 2 31 2 5" xfId="39202" xr:uid="{97BA552E-179E-43E5-99C4-CB02043477A4}"/>
    <cellStyle name="Output 2 2 2 31 2 6" xfId="39203" xr:uid="{8C2DF33D-CEC2-4EC2-9C0B-D31FEBF02BD6}"/>
    <cellStyle name="Output 2 2 2 31 3" xfId="39204" xr:uid="{718B31A2-7B68-4B79-9B02-4E4FEA0CE380}"/>
    <cellStyle name="Output 2 2 2 31 4" xfId="39205" xr:uid="{E8A0B603-86AB-4046-94B2-88DCB198C199}"/>
    <cellStyle name="Output 2 2 2 31 5" xfId="39206" xr:uid="{2532F30A-7993-4C16-8DCB-759D5DC5F613}"/>
    <cellStyle name="Output 2 2 2 31 6" xfId="39207" xr:uid="{0291669C-650C-4048-9AF5-9AA4C2F8A8B1}"/>
    <cellStyle name="Output 2 2 2 31 7" xfId="39208" xr:uid="{31EFF434-8A47-46B6-916D-2DEEB34538BF}"/>
    <cellStyle name="Output 2 2 2 32" xfId="2827" xr:uid="{84257BEE-4FE4-434C-8B0E-404D2CC2098B}"/>
    <cellStyle name="Output 2 2 2 32 2" xfId="12612" xr:uid="{72F2B00B-94F5-46A0-9377-344A7DD45575}"/>
    <cellStyle name="Output 2 2 2 32 2 2" xfId="39209" xr:uid="{837212BC-A117-491E-B0D3-F278D79C7A88}"/>
    <cellStyle name="Output 2 2 2 32 2 3" xfId="39210" xr:uid="{2F166887-569F-455C-B4D4-745574B906C3}"/>
    <cellStyle name="Output 2 2 2 32 2 4" xfId="39211" xr:uid="{CE6392C7-89DB-4DE1-B2CC-1B75F6961CAA}"/>
    <cellStyle name="Output 2 2 2 32 2 5" xfId="39212" xr:uid="{19E3BBB2-DA0F-4E9C-9112-919B8B628D53}"/>
    <cellStyle name="Output 2 2 2 32 2 6" xfId="39213" xr:uid="{BE9144E0-9DCA-41B9-95F8-4862541A8434}"/>
    <cellStyle name="Output 2 2 2 32 3" xfId="39214" xr:uid="{413FAC22-C8FD-4800-8FBD-7AA96E09C741}"/>
    <cellStyle name="Output 2 2 2 32 4" xfId="39215" xr:uid="{B3FDE3DB-5F1E-44B5-85CC-8187C520562E}"/>
    <cellStyle name="Output 2 2 2 32 5" xfId="39216" xr:uid="{F4C11787-57E4-4E2E-83E2-0423DF62B9F5}"/>
    <cellStyle name="Output 2 2 2 32 6" xfId="39217" xr:uid="{BC3601BD-9493-47F6-AA6C-C784DE5B890D}"/>
    <cellStyle name="Output 2 2 2 32 7" xfId="39218" xr:uid="{B0A9AB7F-462F-4E9E-9132-25F4C7FF9808}"/>
    <cellStyle name="Output 2 2 2 33" xfId="2828" xr:uid="{3FBDFAAB-C5B9-44B6-B84C-67495867005B}"/>
    <cellStyle name="Output 2 2 2 33 2" xfId="12691" xr:uid="{7009D4E8-7111-4EDF-BE02-FA7E68BD994B}"/>
    <cellStyle name="Output 2 2 2 33 2 2" xfId="39219" xr:uid="{33141037-6F7B-4619-9776-CB5AF8786460}"/>
    <cellStyle name="Output 2 2 2 33 2 3" xfId="39220" xr:uid="{B0985C65-9553-4276-B61E-1305724876BE}"/>
    <cellStyle name="Output 2 2 2 33 2 4" xfId="39221" xr:uid="{7DC5F933-7991-48D7-9398-6F8F4FC0AF8D}"/>
    <cellStyle name="Output 2 2 2 33 2 5" xfId="39222" xr:uid="{EC3F5156-0618-4DFD-A8D6-523D8C60EFBE}"/>
    <cellStyle name="Output 2 2 2 33 2 6" xfId="39223" xr:uid="{E814299C-A8CF-4000-84BD-EBC49FBB8267}"/>
    <cellStyle name="Output 2 2 2 33 3" xfId="39224" xr:uid="{51FD28C8-AA7C-48BE-8F0E-B3BD083E8333}"/>
    <cellStyle name="Output 2 2 2 33 4" xfId="39225" xr:uid="{AF2DAA42-2B50-44E0-BE76-69EEE69DBAB1}"/>
    <cellStyle name="Output 2 2 2 33 5" xfId="39226" xr:uid="{46359465-CE43-49B1-B2DF-196835AE7689}"/>
    <cellStyle name="Output 2 2 2 33 6" xfId="39227" xr:uid="{2A4FE880-9E43-4694-B85B-2A1B21377466}"/>
    <cellStyle name="Output 2 2 2 33 7" xfId="39228" xr:uid="{A1A038E0-3142-42AB-BC9F-70F1E6FD807E}"/>
    <cellStyle name="Output 2 2 2 34" xfId="2829" xr:uid="{E4159C12-F53A-4FEA-8E14-AA8FCCAC3F66}"/>
    <cellStyle name="Output 2 2 2 34 2" xfId="12775" xr:uid="{C2229652-3D7D-4E08-98AB-D8A824502E5F}"/>
    <cellStyle name="Output 2 2 2 34 2 2" xfId="39229" xr:uid="{E084F263-B2F6-484F-9083-65A2994D8677}"/>
    <cellStyle name="Output 2 2 2 34 2 3" xfId="39230" xr:uid="{67C3594A-2DFC-4680-82BB-6DBBC7B9F0AF}"/>
    <cellStyle name="Output 2 2 2 34 2 4" xfId="39231" xr:uid="{6A2BE971-0B4E-4473-9842-0EB8AEF573FD}"/>
    <cellStyle name="Output 2 2 2 34 2 5" xfId="39232" xr:uid="{55E8431A-0A27-4475-960B-0972909E7B8A}"/>
    <cellStyle name="Output 2 2 2 34 2 6" xfId="39233" xr:uid="{A9037EBD-70E6-4993-8191-1852F9406848}"/>
    <cellStyle name="Output 2 2 2 34 3" xfId="39234" xr:uid="{65FE24F9-6A14-4608-B6AD-C6F03FD52054}"/>
    <cellStyle name="Output 2 2 2 34 4" xfId="39235" xr:uid="{FFF00B3F-23D3-4FF9-BE34-39222CAB5F85}"/>
    <cellStyle name="Output 2 2 2 34 5" xfId="39236" xr:uid="{61280A99-33DC-44B1-9C57-4200A33F8CC5}"/>
    <cellStyle name="Output 2 2 2 34 6" xfId="39237" xr:uid="{C1DBBF0C-043B-467F-9F80-02A6B4C361A3}"/>
    <cellStyle name="Output 2 2 2 35" xfId="9841" xr:uid="{8859C21E-4EB5-40AB-996E-EBEB88D77EC9}"/>
    <cellStyle name="Output 2 2 2 35 2" xfId="39238" xr:uid="{3EE453C9-D2CB-4243-B1CE-4B2493A7BC33}"/>
    <cellStyle name="Output 2 2 2 35 3" xfId="39239" xr:uid="{BBB673B0-D594-475B-A079-77225C31866C}"/>
    <cellStyle name="Output 2 2 2 35 4" xfId="39240" xr:uid="{89C00107-89D7-4552-BC37-09B903B5F946}"/>
    <cellStyle name="Output 2 2 2 35 5" xfId="39241" xr:uid="{0CBE4E59-1A78-4DA5-A7BD-0EF6BD619626}"/>
    <cellStyle name="Output 2 2 2 35 6" xfId="39242" xr:uid="{48F1012D-E348-4B7D-90E7-C592A7F748E7}"/>
    <cellStyle name="Output 2 2 2 36" xfId="39243" xr:uid="{2177EF65-77F8-4366-90F1-5C55F68EB492}"/>
    <cellStyle name="Output 2 2 2 37" xfId="39244" xr:uid="{255F8017-811D-4A5A-8BFE-F5AFE7AEB319}"/>
    <cellStyle name="Output 2 2 2 38" xfId="39245" xr:uid="{1EEF195C-9C35-4EB9-8CB0-65E7302EA914}"/>
    <cellStyle name="Output 2 2 2 39" xfId="39246" xr:uid="{76764917-D377-425F-82E5-3A66CD0CD977}"/>
    <cellStyle name="Output 2 2 2 4" xfId="2830" xr:uid="{782BC3B1-51BD-419B-BAEF-85C2E90DE9A5}"/>
    <cellStyle name="Output 2 2 2 4 2" xfId="10235" xr:uid="{002135E5-5078-45D2-BDE6-C38C888DB48E}"/>
    <cellStyle name="Output 2 2 2 4 2 2" xfId="39247" xr:uid="{0BC8983D-7AF4-4393-B765-9989A0937A5B}"/>
    <cellStyle name="Output 2 2 2 4 2 3" xfId="39248" xr:uid="{F16CAE40-E526-4343-B8B5-C6B2517EF19B}"/>
    <cellStyle name="Output 2 2 2 4 2 4" xfId="39249" xr:uid="{E4D80669-154C-48E4-B5CE-BB7F328C03F9}"/>
    <cellStyle name="Output 2 2 2 4 2 5" xfId="39250" xr:uid="{160D1498-4299-4777-8BAC-BAFCD0895520}"/>
    <cellStyle name="Output 2 2 2 4 2 6" xfId="39251" xr:uid="{432BF98D-6338-4401-A921-AB79DB04F3F4}"/>
    <cellStyle name="Output 2 2 2 4 3" xfId="39252" xr:uid="{8CE7A424-5863-4154-A158-CFF9652581AD}"/>
    <cellStyle name="Output 2 2 2 4 4" xfId="39253" xr:uid="{7BB2FDD5-FB41-4EF4-A857-7E9BB365DA7C}"/>
    <cellStyle name="Output 2 2 2 4 5" xfId="39254" xr:uid="{D91E28AF-2378-48DF-A8C1-0320CFEB16F0}"/>
    <cellStyle name="Output 2 2 2 4 6" xfId="39255" xr:uid="{E37DB131-4597-4AAB-A16F-FB31E33E9E8F}"/>
    <cellStyle name="Output 2 2 2 4 7" xfId="39256" xr:uid="{24A99287-EA53-4EE8-8F54-9B2B8A16FD0E}"/>
    <cellStyle name="Output 2 2 2 5" xfId="2831" xr:uid="{3873AE32-62D9-4A83-8DA1-462F1B4E2496}"/>
    <cellStyle name="Output 2 2 2 5 2" xfId="10321" xr:uid="{E53E69C6-33C5-45B2-A2B3-83710FD1C22F}"/>
    <cellStyle name="Output 2 2 2 5 2 2" xfId="39257" xr:uid="{6C6EBB84-98ED-4299-B141-FD327AA6B82E}"/>
    <cellStyle name="Output 2 2 2 5 2 3" xfId="39258" xr:uid="{A68D1661-302E-488F-84DC-82A56CDC94CA}"/>
    <cellStyle name="Output 2 2 2 5 2 4" xfId="39259" xr:uid="{62B42D39-013F-4FA7-9A54-23B766CC48F5}"/>
    <cellStyle name="Output 2 2 2 5 2 5" xfId="39260" xr:uid="{229BE59C-3BF4-469C-8E8A-C1DFD4182B26}"/>
    <cellStyle name="Output 2 2 2 5 2 6" xfId="39261" xr:uid="{2BAA37F4-13B6-4456-BB98-4E1BA6D882A7}"/>
    <cellStyle name="Output 2 2 2 5 3" xfId="39262" xr:uid="{413490E3-9B42-450B-A2F1-CBC8C1436442}"/>
    <cellStyle name="Output 2 2 2 5 4" xfId="39263" xr:uid="{C732CDA1-0380-4CDE-A676-966448B36E0A}"/>
    <cellStyle name="Output 2 2 2 5 5" xfId="39264" xr:uid="{1562C106-1FFC-4A73-AE17-1EA15D5BD913}"/>
    <cellStyle name="Output 2 2 2 5 6" xfId="39265" xr:uid="{9CE0CF35-C6E9-473D-9C92-D38EC28AA700}"/>
    <cellStyle name="Output 2 2 2 5 7" xfId="39266" xr:uid="{5DF0892C-593E-4274-BEBB-E0A2C3F5272E}"/>
    <cellStyle name="Output 2 2 2 6" xfId="2832" xr:uid="{15F6B3A8-811C-4309-8D4D-2582ADEA9D06}"/>
    <cellStyle name="Output 2 2 2 6 2" xfId="10409" xr:uid="{41FEB468-87C2-44BE-A642-5A4769895EDF}"/>
    <cellStyle name="Output 2 2 2 6 2 2" xfId="39267" xr:uid="{29A15014-4BE0-48DC-93FA-B2BD4ADA74C2}"/>
    <cellStyle name="Output 2 2 2 6 2 3" xfId="39268" xr:uid="{2D3D8F44-BA2B-40D5-B86A-863DDD6D9738}"/>
    <cellStyle name="Output 2 2 2 6 2 4" xfId="39269" xr:uid="{F1626304-9E6E-4374-B2DD-D5433A58C1FD}"/>
    <cellStyle name="Output 2 2 2 6 2 5" xfId="39270" xr:uid="{D84BEDB3-3D6F-4441-9239-F71652F3CFE0}"/>
    <cellStyle name="Output 2 2 2 6 2 6" xfId="39271" xr:uid="{C1283B2B-E785-4832-B7E5-783642506AB0}"/>
    <cellStyle name="Output 2 2 2 6 3" xfId="39272" xr:uid="{05C2E116-33D7-43D0-94DA-20AC115F8159}"/>
    <cellStyle name="Output 2 2 2 6 4" xfId="39273" xr:uid="{DC520981-E488-4351-80EB-2E066CE53FDE}"/>
    <cellStyle name="Output 2 2 2 6 5" xfId="39274" xr:uid="{DA3C9374-2DEF-4A3A-9C9B-8B212950653A}"/>
    <cellStyle name="Output 2 2 2 6 6" xfId="39275" xr:uid="{F01B7DEF-66D3-4EAE-ABDE-2BB5466DAEA7}"/>
    <cellStyle name="Output 2 2 2 6 7" xfId="39276" xr:uid="{F86D042B-5CB2-4F48-B094-1CCAE11D06AF}"/>
    <cellStyle name="Output 2 2 2 7" xfId="2833" xr:uid="{01B249A0-5189-4DE8-A90A-6292C5A4EE74}"/>
    <cellStyle name="Output 2 2 2 7 2" xfId="10496" xr:uid="{B12A0F5A-BFDC-4A5E-8E73-A5FEBA34F989}"/>
    <cellStyle name="Output 2 2 2 7 2 2" xfId="39277" xr:uid="{291ED84B-5E46-46EB-9FA3-02183E2ACEB8}"/>
    <cellStyle name="Output 2 2 2 7 2 3" xfId="39278" xr:uid="{9C78DDB7-D78B-4F37-878F-77245D79538E}"/>
    <cellStyle name="Output 2 2 2 7 2 4" xfId="39279" xr:uid="{742608A5-D89A-4991-A1F9-04C1DB482425}"/>
    <cellStyle name="Output 2 2 2 7 2 5" xfId="39280" xr:uid="{A94AB71A-4E04-4CDC-9DC8-6FB155E0F1F6}"/>
    <cellStyle name="Output 2 2 2 7 2 6" xfId="39281" xr:uid="{617609C9-D18D-4716-82EF-C947F3ABA422}"/>
    <cellStyle name="Output 2 2 2 7 3" xfId="39282" xr:uid="{0A35447B-57FE-43D9-A032-610CC595C75E}"/>
    <cellStyle name="Output 2 2 2 7 4" xfId="39283" xr:uid="{0B580E5B-B3FD-4C9E-8FA9-B0A9E0AB4071}"/>
    <cellStyle name="Output 2 2 2 7 5" xfId="39284" xr:uid="{B04C4649-D9A4-40D5-A99B-1FD066F1BD9F}"/>
    <cellStyle name="Output 2 2 2 7 6" xfId="39285" xr:uid="{A15E7F9F-95BF-4044-BAA8-B3A112E33B50}"/>
    <cellStyle name="Output 2 2 2 7 7" xfId="39286" xr:uid="{7E06B4DB-5286-456E-8F7B-0303905C720A}"/>
    <cellStyle name="Output 2 2 2 8" xfId="2834" xr:uid="{8C2F7DE6-1162-4B07-A68C-B515546A8741}"/>
    <cellStyle name="Output 2 2 2 8 2" xfId="10584" xr:uid="{2767B924-88F9-41D7-820A-C270E479AE5E}"/>
    <cellStyle name="Output 2 2 2 8 2 2" xfId="39287" xr:uid="{635EB324-20BF-4FB4-8C21-6721EBE53A2A}"/>
    <cellStyle name="Output 2 2 2 8 2 3" xfId="39288" xr:uid="{B74A4CDF-DD7A-46DF-AEA6-FA9C7A5B4007}"/>
    <cellStyle name="Output 2 2 2 8 2 4" xfId="39289" xr:uid="{95056353-FA57-4821-9414-29DC36D791F7}"/>
    <cellStyle name="Output 2 2 2 8 2 5" xfId="39290" xr:uid="{8607B6E3-4EC3-48BC-B042-1A437EF66FDA}"/>
    <cellStyle name="Output 2 2 2 8 2 6" xfId="39291" xr:uid="{6D60BE89-1644-45FB-B21D-95FD806DB81D}"/>
    <cellStyle name="Output 2 2 2 8 3" xfId="39292" xr:uid="{C5A2433E-E47C-4562-832B-C356B51EDB76}"/>
    <cellStyle name="Output 2 2 2 8 4" xfId="39293" xr:uid="{B27C4414-6870-472D-BF46-BD692688F86C}"/>
    <cellStyle name="Output 2 2 2 8 5" xfId="39294" xr:uid="{797E6B09-6508-41C5-B3B6-E84C4731E72B}"/>
    <cellStyle name="Output 2 2 2 8 6" xfId="39295" xr:uid="{4A854398-85E2-4328-BB75-98BDDEF5D725}"/>
    <cellStyle name="Output 2 2 2 8 7" xfId="39296" xr:uid="{0B158BEA-CFAD-48F3-8B7D-576B7F39313C}"/>
    <cellStyle name="Output 2 2 2 9" xfId="2835" xr:uid="{12397A45-AF62-4EC1-9FA2-7807E839DBA8}"/>
    <cellStyle name="Output 2 2 2 9 2" xfId="10666" xr:uid="{E9BDC30A-E23A-4B6E-A0C2-2C70DA76389A}"/>
    <cellStyle name="Output 2 2 2 9 2 2" xfId="39297" xr:uid="{F7C353FF-E31A-4FE2-9CE7-FBFAE71E0E0E}"/>
    <cellStyle name="Output 2 2 2 9 2 3" xfId="39298" xr:uid="{A4443D05-CDA8-47C1-9F27-8DDEBFF09CC3}"/>
    <cellStyle name="Output 2 2 2 9 2 4" xfId="39299" xr:uid="{C4EA7701-6BF5-4685-A115-18FCBF8E86FF}"/>
    <cellStyle name="Output 2 2 2 9 2 5" xfId="39300" xr:uid="{75468008-4E52-4E64-96AF-66C2A27B5961}"/>
    <cellStyle name="Output 2 2 2 9 2 6" xfId="39301" xr:uid="{C5F7C775-736B-4B7E-A9ED-39E6CB3FFE72}"/>
    <cellStyle name="Output 2 2 2 9 3" xfId="39302" xr:uid="{EEF8AC95-3807-4BFC-8C25-07A3208BAB8E}"/>
    <cellStyle name="Output 2 2 2 9 4" xfId="39303" xr:uid="{3112152F-D4F1-45F0-A06E-F09702313846}"/>
    <cellStyle name="Output 2 2 2 9 5" xfId="39304" xr:uid="{9A3959BB-6DED-45DA-9E25-B0D3B4A95B8C}"/>
    <cellStyle name="Output 2 2 2 9 6" xfId="39305" xr:uid="{F4E110B4-2367-4C5D-A55F-6F6A7C0F7371}"/>
    <cellStyle name="Output 2 2 2 9 7" xfId="39306" xr:uid="{F5555999-B627-4F1D-8D9A-CE3DA5A84B4A}"/>
    <cellStyle name="Output 2 2 20" xfId="2836" xr:uid="{5209636E-063F-4163-8D01-40D085D49FAF}"/>
    <cellStyle name="Output 2 2 20 2" xfId="11513" xr:uid="{24D4AC64-0423-4888-AE13-6C54E25C6B83}"/>
    <cellStyle name="Output 2 2 20 2 2" xfId="39307" xr:uid="{EC2AD3AF-12F3-44C7-A06E-181C0E9ED95C}"/>
    <cellStyle name="Output 2 2 20 2 3" xfId="39308" xr:uid="{AB9432F8-B768-4205-833A-08B8D1A1B584}"/>
    <cellStyle name="Output 2 2 20 2 4" xfId="39309" xr:uid="{DC723CF7-45F7-41FD-AC9E-C9E032B78A08}"/>
    <cellStyle name="Output 2 2 20 2 5" xfId="39310" xr:uid="{855AE1F0-226C-458F-B1E0-56D964B0403A}"/>
    <cellStyle name="Output 2 2 20 2 6" xfId="39311" xr:uid="{5AF23DC6-3C91-4C59-856E-6ACD98A35ACD}"/>
    <cellStyle name="Output 2 2 20 3" xfId="39312" xr:uid="{74791F16-09D9-4847-AC6D-757465F1D4CE}"/>
    <cellStyle name="Output 2 2 20 4" xfId="39313" xr:uid="{B173ABDC-7930-4A0B-853A-7701A8085F3D}"/>
    <cellStyle name="Output 2 2 20 5" xfId="39314" xr:uid="{68F7874C-06A7-4680-A632-AF7E6515674E}"/>
    <cellStyle name="Output 2 2 20 6" xfId="39315" xr:uid="{E5501A43-7285-4A1B-80D8-B464F8A88C1C}"/>
    <cellStyle name="Output 2 2 20 7" xfId="39316" xr:uid="{FD3FE529-5227-46FE-AA81-10D63E015B53}"/>
    <cellStyle name="Output 2 2 21" xfId="2837" xr:uid="{F507557D-87A1-45DE-BDC5-40FC604770EB}"/>
    <cellStyle name="Output 2 2 21 2" xfId="11601" xr:uid="{DB82CDA8-B4A1-469F-9415-4E5CF7976D28}"/>
    <cellStyle name="Output 2 2 21 2 2" xfId="39317" xr:uid="{93F9AEE2-A106-4228-9765-6EA920545F11}"/>
    <cellStyle name="Output 2 2 21 2 3" xfId="39318" xr:uid="{1356AA57-A7CB-4D7A-943D-7DEFEA4F932B}"/>
    <cellStyle name="Output 2 2 21 2 4" xfId="39319" xr:uid="{D9BD98CF-E9EA-4B60-AB9A-CAE20D527850}"/>
    <cellStyle name="Output 2 2 21 2 5" xfId="39320" xr:uid="{4BA42FF5-4778-4AD5-810B-AEAE7DEE45FB}"/>
    <cellStyle name="Output 2 2 21 2 6" xfId="39321" xr:uid="{E7AE9BDE-CC2A-4092-A350-14987CDAD577}"/>
    <cellStyle name="Output 2 2 21 3" xfId="39322" xr:uid="{55819236-811F-42E4-A950-14EA8ADCF7BE}"/>
    <cellStyle name="Output 2 2 21 4" xfId="39323" xr:uid="{FCA4366C-662D-4544-B42F-3917528D4396}"/>
    <cellStyle name="Output 2 2 21 5" xfId="39324" xr:uid="{2AC5AC75-E6AA-473F-A431-27B512CF2FBA}"/>
    <cellStyle name="Output 2 2 21 6" xfId="39325" xr:uid="{D7ED629A-9331-425F-802F-7FC44189FAED}"/>
    <cellStyle name="Output 2 2 21 7" xfId="39326" xr:uid="{CDAD5735-B8CC-42D8-8CC3-1D8EFB9C330A}"/>
    <cellStyle name="Output 2 2 22" xfId="2838" xr:uid="{97643613-5980-4294-9E75-378958EA8904}"/>
    <cellStyle name="Output 2 2 22 2" xfId="11686" xr:uid="{D6EAB013-3AF2-4C2A-AC83-DBF605AF0B3B}"/>
    <cellStyle name="Output 2 2 22 2 2" xfId="39327" xr:uid="{BB8791CF-4FCA-4D5D-A6FC-F96B9FE3D508}"/>
    <cellStyle name="Output 2 2 22 2 3" xfId="39328" xr:uid="{AF7DE20A-ACF2-44E5-9D30-8D52F89B5129}"/>
    <cellStyle name="Output 2 2 22 2 4" xfId="39329" xr:uid="{96C94034-5481-4A16-A6D7-C59F32E39CFA}"/>
    <cellStyle name="Output 2 2 22 2 5" xfId="39330" xr:uid="{E79EE4EC-47C6-438B-87AF-CF3F584125B4}"/>
    <cellStyle name="Output 2 2 22 2 6" xfId="39331" xr:uid="{A8A852D8-600E-4078-9D94-E066CF563ECE}"/>
    <cellStyle name="Output 2 2 22 3" xfId="39332" xr:uid="{E62EE94B-732E-4ED7-B516-69A4FDF5D7EB}"/>
    <cellStyle name="Output 2 2 22 4" xfId="39333" xr:uid="{46657F08-BEB7-48B8-A141-F14502686C37}"/>
    <cellStyle name="Output 2 2 22 5" xfId="39334" xr:uid="{CA20E6D4-5452-4DBF-8851-B852CACE37BD}"/>
    <cellStyle name="Output 2 2 22 6" xfId="39335" xr:uid="{54E57AB3-CEB7-407F-A4C5-DD7920054304}"/>
    <cellStyle name="Output 2 2 22 7" xfId="39336" xr:uid="{394969BD-A564-4CC7-B1AA-4734A6157294}"/>
    <cellStyle name="Output 2 2 23" xfId="2839" xr:uid="{5B0C94D1-576F-4321-A132-31EE927A0E9E}"/>
    <cellStyle name="Output 2 2 23 2" xfId="11769" xr:uid="{7F8BF4B4-4BC4-4C5E-9B5B-C8077C7B47B2}"/>
    <cellStyle name="Output 2 2 23 2 2" xfId="39337" xr:uid="{9363DDF4-020B-4DD2-A555-F92C8B45025B}"/>
    <cellStyle name="Output 2 2 23 2 3" xfId="39338" xr:uid="{66F0B6B9-987D-465A-90A6-9F176E6D8E4B}"/>
    <cellStyle name="Output 2 2 23 2 4" xfId="39339" xr:uid="{D0930833-BFD6-4CF4-9699-83AB6D3A4FA7}"/>
    <cellStyle name="Output 2 2 23 2 5" xfId="39340" xr:uid="{474601D2-D10C-46C0-A985-911BEB3B69BF}"/>
    <cellStyle name="Output 2 2 23 2 6" xfId="39341" xr:uid="{1382E7DF-11FF-4418-A5BB-FF02AE59C51A}"/>
    <cellStyle name="Output 2 2 23 3" xfId="39342" xr:uid="{C93D4ED0-3768-4392-810B-DFD8A0A3CE26}"/>
    <cellStyle name="Output 2 2 23 4" xfId="39343" xr:uid="{790B51F1-EF34-42E0-B9F0-7D021AED48BE}"/>
    <cellStyle name="Output 2 2 23 5" xfId="39344" xr:uid="{BD00009C-7210-48D1-ACDB-4FF8AD10C905}"/>
    <cellStyle name="Output 2 2 23 6" xfId="39345" xr:uid="{1667544E-EFB5-4480-8396-7DC592004011}"/>
    <cellStyle name="Output 2 2 23 7" xfId="39346" xr:uid="{B53DA5C6-9E4B-4567-B6A4-07FD04C6E561}"/>
    <cellStyle name="Output 2 2 24" xfId="2840" xr:uid="{4AC33E8B-6F08-4909-A07E-B1D88A3478F9}"/>
    <cellStyle name="Output 2 2 24 2" xfId="11851" xr:uid="{9039421B-DF8A-4C08-A669-2442F76E0FB2}"/>
    <cellStyle name="Output 2 2 24 2 2" xfId="39347" xr:uid="{B803E8F6-13C0-4F78-9597-295BADEAF223}"/>
    <cellStyle name="Output 2 2 24 2 3" xfId="39348" xr:uid="{47D87089-054E-4B62-A678-194AA78EFD15}"/>
    <cellStyle name="Output 2 2 24 2 4" xfId="39349" xr:uid="{12E14FAB-974B-4DA2-AAA9-1AF1A67C6657}"/>
    <cellStyle name="Output 2 2 24 2 5" xfId="39350" xr:uid="{BD7614D3-50F8-413A-A58A-F214570E036E}"/>
    <cellStyle name="Output 2 2 24 2 6" xfId="39351" xr:uid="{DEB6A3E4-FEE3-49D6-963F-0EFB60E33779}"/>
    <cellStyle name="Output 2 2 24 3" xfId="39352" xr:uid="{37CD5BEB-21AC-4064-B2FB-159B0028C4FB}"/>
    <cellStyle name="Output 2 2 24 4" xfId="39353" xr:uid="{6F85121D-9AE6-4E08-99D3-7CE9FB7AD602}"/>
    <cellStyle name="Output 2 2 24 5" xfId="39354" xr:uid="{B274745D-9A57-48D6-A793-71DA54D85F01}"/>
    <cellStyle name="Output 2 2 24 6" xfId="39355" xr:uid="{51AEE11F-0914-470E-9789-4F10F0E5B7D4}"/>
    <cellStyle name="Output 2 2 24 7" xfId="39356" xr:uid="{C12008AC-74D7-4154-A5F6-3FAC12A16974}"/>
    <cellStyle name="Output 2 2 25" xfId="2841" xr:uid="{9DEA566D-3C7D-4CD9-915F-0CDE7F61322D}"/>
    <cellStyle name="Output 2 2 25 2" xfId="11935" xr:uid="{EE9E070F-4F4A-401F-801D-1A64FFDE5478}"/>
    <cellStyle name="Output 2 2 25 2 2" xfId="39357" xr:uid="{7B94866E-C4CF-4DFB-8696-C4B023C10774}"/>
    <cellStyle name="Output 2 2 25 2 3" xfId="39358" xr:uid="{BF9A3491-32EA-423F-B1A0-4666529E9C45}"/>
    <cellStyle name="Output 2 2 25 2 4" xfId="39359" xr:uid="{E5BCA668-4818-4A08-A942-CE5E89DF3240}"/>
    <cellStyle name="Output 2 2 25 2 5" xfId="39360" xr:uid="{34DD7117-84B3-4145-93CD-B19C2EE5BEF1}"/>
    <cellStyle name="Output 2 2 25 2 6" xfId="39361" xr:uid="{3F5D1632-5554-4136-B942-6A37C6934A64}"/>
    <cellStyle name="Output 2 2 25 3" xfId="39362" xr:uid="{4AAB70F8-EC80-4651-A43D-C8CEE0037597}"/>
    <cellStyle name="Output 2 2 25 4" xfId="39363" xr:uid="{16FA8DC4-9BDE-4260-ABDE-4C37BB2B9FCD}"/>
    <cellStyle name="Output 2 2 25 5" xfId="39364" xr:uid="{B61EB19A-C1D4-4E12-A9A2-C6E20E26EFD0}"/>
    <cellStyle name="Output 2 2 25 6" xfId="39365" xr:uid="{4E8D44FD-AEC7-44A5-934E-647DC55B6F8A}"/>
    <cellStyle name="Output 2 2 25 7" xfId="39366" xr:uid="{11618E36-60C4-4D49-9542-3C304B0355FE}"/>
    <cellStyle name="Output 2 2 26" xfId="2842" xr:uid="{AC804C28-383E-481F-B0B9-2F2A7447CC53}"/>
    <cellStyle name="Output 2 2 26 2" xfId="12019" xr:uid="{916D675E-95D2-4B46-A34B-758CECE2ED04}"/>
    <cellStyle name="Output 2 2 26 2 2" xfId="39367" xr:uid="{22532C21-B9EA-4BF0-96EE-BFB06F77F880}"/>
    <cellStyle name="Output 2 2 26 2 3" xfId="39368" xr:uid="{743F5162-15DA-4876-844E-EC34EC0AA200}"/>
    <cellStyle name="Output 2 2 26 2 4" xfId="39369" xr:uid="{FCAA2B8B-504B-4AE0-930A-539DAC65CF5D}"/>
    <cellStyle name="Output 2 2 26 2 5" xfId="39370" xr:uid="{36B5D805-5648-493A-9DC1-6F8395193BDE}"/>
    <cellStyle name="Output 2 2 26 2 6" xfId="39371" xr:uid="{B7325DFC-7ECF-4A9D-8416-50039F406979}"/>
    <cellStyle name="Output 2 2 26 3" xfId="39372" xr:uid="{0B3350DC-4D4A-4A1C-BCF2-ABAFD471FDDE}"/>
    <cellStyle name="Output 2 2 26 4" xfId="39373" xr:uid="{7F5A220D-E93E-4A54-AF48-F5DE51DA55E1}"/>
    <cellStyle name="Output 2 2 26 5" xfId="39374" xr:uid="{F2F717D0-572B-439A-8C40-7ED7B3DB8FBE}"/>
    <cellStyle name="Output 2 2 26 6" xfId="39375" xr:uid="{30E18192-E77B-40B7-BC78-A431AC4DD29E}"/>
    <cellStyle name="Output 2 2 26 7" xfId="39376" xr:uid="{87C2842F-E1D8-4E85-9A24-18C04546C918}"/>
    <cellStyle name="Output 2 2 27" xfId="2843" xr:uid="{35A48F03-72A3-4F17-9849-22148CADD69D}"/>
    <cellStyle name="Output 2 2 27 2" xfId="12102" xr:uid="{D1C70646-DC76-403F-AAD1-392B2336083A}"/>
    <cellStyle name="Output 2 2 27 2 2" xfId="39377" xr:uid="{6BF7BA07-864F-446C-8DE1-51FBD3C9F835}"/>
    <cellStyle name="Output 2 2 27 2 3" xfId="39378" xr:uid="{B86B2858-913F-4235-9D04-72E787164B1F}"/>
    <cellStyle name="Output 2 2 27 2 4" xfId="39379" xr:uid="{6F0033AC-C144-4E53-AC11-3E52A27E9361}"/>
    <cellStyle name="Output 2 2 27 2 5" xfId="39380" xr:uid="{068AC055-699A-4C15-B40E-FF64A7681D87}"/>
    <cellStyle name="Output 2 2 27 2 6" xfId="39381" xr:uid="{D747A609-8B34-4B84-B534-C0DFB20D8A7B}"/>
    <cellStyle name="Output 2 2 27 3" xfId="39382" xr:uid="{3EAD7DA5-35F1-44A1-BC6E-173B49C4504E}"/>
    <cellStyle name="Output 2 2 27 4" xfId="39383" xr:uid="{D1A03759-05C3-4832-93A5-A0CA762B8C3F}"/>
    <cellStyle name="Output 2 2 27 5" xfId="39384" xr:uid="{AE4FEAF9-76EF-4626-B781-B9ED45685FF6}"/>
    <cellStyle name="Output 2 2 27 6" xfId="39385" xr:uid="{366C63F9-3C6A-413E-9A48-973CFF54ED0F}"/>
    <cellStyle name="Output 2 2 27 7" xfId="39386" xr:uid="{5E0BC4DE-A165-4D83-9D4F-CFBCF35AB6A1}"/>
    <cellStyle name="Output 2 2 28" xfId="2844" xr:uid="{AD298C73-E483-4616-9894-C099DB3A1EDD}"/>
    <cellStyle name="Output 2 2 28 2" xfId="12184" xr:uid="{15D0428E-F26F-42CF-8D06-17FF74B97A43}"/>
    <cellStyle name="Output 2 2 28 2 2" xfId="39387" xr:uid="{B7D70F82-D612-43DB-B68C-1C99D5818EFC}"/>
    <cellStyle name="Output 2 2 28 2 3" xfId="39388" xr:uid="{2F8D4F36-2287-4EB5-9228-CF8B42853D57}"/>
    <cellStyle name="Output 2 2 28 2 4" xfId="39389" xr:uid="{B150430C-FC57-4D62-A793-54C4349A3D17}"/>
    <cellStyle name="Output 2 2 28 2 5" xfId="39390" xr:uid="{33FCD5E9-9B96-4E03-BED7-2B76A121AF26}"/>
    <cellStyle name="Output 2 2 28 2 6" xfId="39391" xr:uid="{1A749920-C5B3-4A5B-925D-4690DF33134B}"/>
    <cellStyle name="Output 2 2 28 3" xfId="39392" xr:uid="{DD883DF0-CC58-41EA-A604-3328F299CF81}"/>
    <cellStyle name="Output 2 2 28 4" xfId="39393" xr:uid="{95D01472-3574-45ED-810A-1D7E7CE79D3E}"/>
    <cellStyle name="Output 2 2 28 5" xfId="39394" xr:uid="{1656851C-B86C-42ED-916D-E06D8FB2E7E1}"/>
    <cellStyle name="Output 2 2 28 6" xfId="39395" xr:uid="{8B30C4D9-EBF5-4043-84D1-C81442D5B56E}"/>
    <cellStyle name="Output 2 2 28 7" xfId="39396" xr:uid="{C3CB69AD-312A-4517-BC8E-F2F1A46F4C87}"/>
    <cellStyle name="Output 2 2 29" xfId="2845" xr:uid="{B1FCD6DE-ABE3-4CB2-A68A-5A9EE0F5CFB8}"/>
    <cellStyle name="Output 2 2 29 2" xfId="12264" xr:uid="{F28093FB-C8EF-4CBB-8CFA-4BCF07ED654B}"/>
    <cellStyle name="Output 2 2 29 2 2" xfId="39397" xr:uid="{F4E0C07E-06EA-472B-B59D-6EFBE550C559}"/>
    <cellStyle name="Output 2 2 29 2 3" xfId="39398" xr:uid="{D7BA94EF-A8D3-43C2-B100-A6A64C99ADA2}"/>
    <cellStyle name="Output 2 2 29 2 4" xfId="39399" xr:uid="{1C2B63F0-5C39-469E-A5E1-72C447EEB5C9}"/>
    <cellStyle name="Output 2 2 29 2 5" xfId="39400" xr:uid="{6DFD7674-99C0-423C-BAEF-9FA5624BE834}"/>
    <cellStyle name="Output 2 2 29 2 6" xfId="39401" xr:uid="{8E15D325-3D8D-4CB6-922D-CD72C56FCF74}"/>
    <cellStyle name="Output 2 2 29 3" xfId="39402" xr:uid="{F79A9107-4AD6-456E-9A3A-D17D5368AB5E}"/>
    <cellStyle name="Output 2 2 29 4" xfId="39403" xr:uid="{7F200C1E-202E-4E14-96B0-B0DC21DD915F}"/>
    <cellStyle name="Output 2 2 29 5" xfId="39404" xr:uid="{BEF416A7-017F-4F8D-B75B-C152B197F6E5}"/>
    <cellStyle name="Output 2 2 29 6" xfId="39405" xr:uid="{07A7EEDE-3E03-466B-872E-49DF83270AC9}"/>
    <cellStyle name="Output 2 2 29 7" xfId="39406" xr:uid="{E4099326-C612-4BEA-A144-C58ADE4EA7E3}"/>
    <cellStyle name="Output 2 2 3" xfId="2846" xr:uid="{468D43D5-C740-47B0-B6EE-76BC58B99328}"/>
    <cellStyle name="Output 2 2 3 2" xfId="10020" xr:uid="{C461E41E-EE95-4639-BB55-99BC38FA6C74}"/>
    <cellStyle name="Output 2 2 3 2 2" xfId="39407" xr:uid="{BCA056D4-9D49-435B-AC8B-B82E81FD5BAE}"/>
    <cellStyle name="Output 2 2 3 2 3" xfId="39408" xr:uid="{E607E6AA-043A-4101-9F2B-4270FAB1D43F}"/>
    <cellStyle name="Output 2 2 3 2 4" xfId="39409" xr:uid="{3B97BFC3-996C-4961-9DC5-06506974CF18}"/>
    <cellStyle name="Output 2 2 3 2 5" xfId="39410" xr:uid="{CFFFCB7C-64DE-4227-AEEA-0D221D380BEB}"/>
    <cellStyle name="Output 2 2 3 2 6" xfId="39411" xr:uid="{223D5C8F-F525-4BE3-A75C-9E7A3571D747}"/>
    <cellStyle name="Output 2 2 3 3" xfId="39412" xr:uid="{BAE98781-70B4-490E-B366-CB49941E567D}"/>
    <cellStyle name="Output 2 2 3 4" xfId="39413" xr:uid="{84EF9D37-9E4A-4480-BFD5-268A48795501}"/>
    <cellStyle name="Output 2 2 3 5" xfId="39414" xr:uid="{40AAD367-A318-4089-BC33-1021DC49C5E5}"/>
    <cellStyle name="Output 2 2 3 6" xfId="39415" xr:uid="{B6972685-0B51-42C0-BA4C-8E1777C6FC6E}"/>
    <cellStyle name="Output 2 2 3 7" xfId="39416" xr:uid="{71CFE5E7-D9C6-4810-AE6D-DA11D329539A}"/>
    <cellStyle name="Output 2 2 30" xfId="2847" xr:uid="{6A02FEA9-4EAA-46B8-AE9F-E65A7F2B0E47}"/>
    <cellStyle name="Output 2 2 30 2" xfId="12342" xr:uid="{2F3FBA17-C882-4C33-9F99-9956934DDEA5}"/>
    <cellStyle name="Output 2 2 30 2 2" xfId="39417" xr:uid="{0C16F5D2-88DB-4F78-AAB2-FF738B77B871}"/>
    <cellStyle name="Output 2 2 30 2 3" xfId="39418" xr:uid="{F338AB69-4160-4AAB-8DCE-04430C942D68}"/>
    <cellStyle name="Output 2 2 30 2 4" xfId="39419" xr:uid="{3FB9E1AE-2008-4BBC-9227-7A34BC818880}"/>
    <cellStyle name="Output 2 2 30 2 5" xfId="39420" xr:uid="{C6AF452D-A41A-41D7-9784-0AA169C468FC}"/>
    <cellStyle name="Output 2 2 30 2 6" xfId="39421" xr:uid="{394D6843-366C-4CB0-9AFC-F1CF70C5D164}"/>
    <cellStyle name="Output 2 2 30 3" xfId="39422" xr:uid="{09DAAEDC-4FC1-4284-AD49-006DD9450A7B}"/>
    <cellStyle name="Output 2 2 30 4" xfId="39423" xr:uid="{D0842BBE-EAEE-471B-956F-52F39989EE5A}"/>
    <cellStyle name="Output 2 2 30 5" xfId="39424" xr:uid="{EA6773F2-870D-425D-A390-2EE19CF065CB}"/>
    <cellStyle name="Output 2 2 30 6" xfId="39425" xr:uid="{B9FB2110-5521-417A-B683-02F77D07455A}"/>
    <cellStyle name="Output 2 2 30 7" xfId="39426" xr:uid="{B540CEB4-93E5-4D4A-A5AC-2FD3E143CB90}"/>
    <cellStyle name="Output 2 2 31" xfId="2848" xr:uid="{5018DED4-90B6-4CD0-BDF3-AAEA4D0BC9E6}"/>
    <cellStyle name="Output 2 2 31 2" xfId="12421" xr:uid="{C1BD0CBB-6D3D-4981-917C-0CD9CF4A0F86}"/>
    <cellStyle name="Output 2 2 31 2 2" xfId="39427" xr:uid="{3374D01E-77AD-4647-8295-838E1A5F6651}"/>
    <cellStyle name="Output 2 2 31 2 3" xfId="39428" xr:uid="{7F6960EA-7A26-4060-9FEB-25EEC2CECF6A}"/>
    <cellStyle name="Output 2 2 31 2 4" xfId="39429" xr:uid="{8955B9F7-F2D4-4D4E-9971-E8544E9A6828}"/>
    <cellStyle name="Output 2 2 31 2 5" xfId="39430" xr:uid="{01273C27-4956-4E93-AB8E-BD46DE9FE502}"/>
    <cellStyle name="Output 2 2 31 2 6" xfId="39431" xr:uid="{137EB6C5-2F3D-4018-80B0-FB265EF90F99}"/>
    <cellStyle name="Output 2 2 31 3" xfId="39432" xr:uid="{C286905D-BA51-4E22-B9CD-5CADB8C4CB98}"/>
    <cellStyle name="Output 2 2 31 4" xfId="39433" xr:uid="{74D3A0F5-3A86-4B63-B80A-916D55B84D00}"/>
    <cellStyle name="Output 2 2 31 5" xfId="39434" xr:uid="{103CACF4-12D7-458F-9E8C-3533C2A1866A}"/>
    <cellStyle name="Output 2 2 31 6" xfId="39435" xr:uid="{428712BD-368D-4686-BD4C-71B950540254}"/>
    <cellStyle name="Output 2 2 31 7" xfId="39436" xr:uid="{F7C4B9B1-54D2-4EB9-906E-C59617046623}"/>
    <cellStyle name="Output 2 2 32" xfId="2849" xr:uid="{27E82DEF-39B3-4E7B-BC9A-AA76ABB39EAB}"/>
    <cellStyle name="Output 2 2 32 2" xfId="12500" xr:uid="{A8C47947-B90F-4DF2-AE95-6E5E9E50D5EF}"/>
    <cellStyle name="Output 2 2 32 2 2" xfId="39437" xr:uid="{8FC45B1F-5E3C-48D1-A436-A5E23D2B821C}"/>
    <cellStyle name="Output 2 2 32 2 3" xfId="39438" xr:uid="{E78DD173-F87A-41A3-96CB-FC38BFCEAB26}"/>
    <cellStyle name="Output 2 2 32 2 4" xfId="39439" xr:uid="{099A8C9B-0579-44C6-8323-2A150AF91957}"/>
    <cellStyle name="Output 2 2 32 2 5" xfId="39440" xr:uid="{B0ED204F-41A9-4119-982A-A9C6487F92DB}"/>
    <cellStyle name="Output 2 2 32 2 6" xfId="39441" xr:uid="{D2C3993A-8D00-4B52-8612-8418D873A724}"/>
    <cellStyle name="Output 2 2 32 3" xfId="39442" xr:uid="{F5E75712-AF15-4F12-AE9A-FEFB6810C726}"/>
    <cellStyle name="Output 2 2 32 4" xfId="39443" xr:uid="{D23181CE-E97B-49DB-BFD6-F04629C2B517}"/>
    <cellStyle name="Output 2 2 32 5" xfId="39444" xr:uid="{B72E8EB2-9ED2-41F5-AB6D-07C82A0A187B}"/>
    <cellStyle name="Output 2 2 32 6" xfId="39445" xr:uid="{FCC875BB-6FD9-43E5-8FF3-68DD2B053716}"/>
    <cellStyle name="Output 2 2 32 7" xfId="39446" xr:uid="{86187650-72EC-4982-8684-94CA94E9063D}"/>
    <cellStyle name="Output 2 2 33" xfId="2850" xr:uid="{7133A001-56E2-45C3-B4CF-82EA1F07F7C5}"/>
    <cellStyle name="Output 2 2 33 2" xfId="12579" xr:uid="{731B7271-D9CB-4C8F-B3C7-54102C371F21}"/>
    <cellStyle name="Output 2 2 33 2 2" xfId="39447" xr:uid="{C0A5985C-7EFB-4C30-BD19-A86C7412AF62}"/>
    <cellStyle name="Output 2 2 33 2 3" xfId="39448" xr:uid="{054269A5-D888-42D7-830D-D9A695325127}"/>
    <cellStyle name="Output 2 2 33 2 4" xfId="39449" xr:uid="{576636B8-00D3-4BCE-85A9-5E861223FAE6}"/>
    <cellStyle name="Output 2 2 33 2 5" xfId="39450" xr:uid="{CD74E504-7597-49B6-82A3-E4F2660239AD}"/>
    <cellStyle name="Output 2 2 33 2 6" xfId="39451" xr:uid="{28F5D815-570C-4387-841E-4B877EF90D2E}"/>
    <cellStyle name="Output 2 2 33 3" xfId="39452" xr:uid="{52FD8567-6E62-4D9B-B270-33816CE44FB9}"/>
    <cellStyle name="Output 2 2 33 4" xfId="39453" xr:uid="{E3426CE8-8807-4352-8F98-8B38F801A542}"/>
    <cellStyle name="Output 2 2 33 5" xfId="39454" xr:uid="{959DA76E-575B-491E-B23F-06FE2176DE18}"/>
    <cellStyle name="Output 2 2 33 6" xfId="39455" xr:uid="{F407636B-F3F4-4308-ACE5-95EE639E11C3}"/>
    <cellStyle name="Output 2 2 33 7" xfId="39456" xr:uid="{8F4AC873-5EA6-404B-B2CE-FA51C5533C99}"/>
    <cellStyle name="Output 2 2 34" xfId="2851" xr:uid="{DC8CAB2D-0479-453E-9806-7307A3EA42D4}"/>
    <cellStyle name="Output 2 2 34 2" xfId="12658" xr:uid="{26D50991-E2B5-4728-B2B2-740845F54083}"/>
    <cellStyle name="Output 2 2 34 2 2" xfId="39457" xr:uid="{433987E4-6FCA-459A-B7ED-1D7717A4067F}"/>
    <cellStyle name="Output 2 2 34 2 3" xfId="39458" xr:uid="{9DED6090-E8D3-401B-A617-AFE6BF4828C7}"/>
    <cellStyle name="Output 2 2 34 2 4" xfId="39459" xr:uid="{A1FD9182-8E66-4B7A-A5CB-07A574F2BB65}"/>
    <cellStyle name="Output 2 2 34 2 5" xfId="39460" xr:uid="{5105E648-C1BB-4E72-84D5-264098E91B86}"/>
    <cellStyle name="Output 2 2 34 2 6" xfId="39461" xr:uid="{7E6E09BD-E91F-413C-86C1-C475FA1A2494}"/>
    <cellStyle name="Output 2 2 34 3" xfId="39462" xr:uid="{5A28AFD3-483C-4B90-86CB-2E008D154234}"/>
    <cellStyle name="Output 2 2 34 4" xfId="39463" xr:uid="{5CB76048-5F4D-48EC-96C3-078FF12657BA}"/>
    <cellStyle name="Output 2 2 34 5" xfId="39464" xr:uid="{8A97ECBF-2643-426D-8FCD-A0F2A3B19F3F}"/>
    <cellStyle name="Output 2 2 34 6" xfId="39465" xr:uid="{403DDAA6-A28D-464E-972B-A47923FE4797}"/>
    <cellStyle name="Output 2 2 34 7" xfId="39466" xr:uid="{568F4B9E-0708-4534-99AC-04940BFD5A69}"/>
    <cellStyle name="Output 2 2 35" xfId="2852" xr:uid="{ACD4A0D4-0013-4165-BC3E-6644DCC471C9}"/>
    <cellStyle name="Output 2 2 35 2" xfId="12742" xr:uid="{4ED2AA3D-80A5-4923-BA2F-9529301188CD}"/>
    <cellStyle name="Output 2 2 35 2 2" xfId="39467" xr:uid="{A7903E5A-9D01-40B9-8D99-BB5F56F9CBC1}"/>
    <cellStyle name="Output 2 2 35 2 3" xfId="39468" xr:uid="{132158C5-B582-4497-9793-D03F9A9C7607}"/>
    <cellStyle name="Output 2 2 35 2 4" xfId="39469" xr:uid="{9B608789-AFC7-42D9-93EA-0ABAC749F811}"/>
    <cellStyle name="Output 2 2 35 2 5" xfId="39470" xr:uid="{9601CFD3-C779-4EC8-B980-7911EBC559C6}"/>
    <cellStyle name="Output 2 2 35 2 6" xfId="39471" xr:uid="{F6DB0C7F-1DCD-4718-9276-6288C1955CEE}"/>
    <cellStyle name="Output 2 2 35 3" xfId="39472" xr:uid="{C0238B64-95F0-4CFB-A2D6-4CE6219E4D8A}"/>
    <cellStyle name="Output 2 2 35 4" xfId="39473" xr:uid="{D454C5F8-E8F9-4AF4-92AA-7A24507BF2E8}"/>
    <cellStyle name="Output 2 2 35 5" xfId="39474" xr:uid="{A52230EF-8DBC-4E63-A512-A8BD2E58B1E1}"/>
    <cellStyle name="Output 2 2 35 6" xfId="39475" xr:uid="{3AD42155-644A-42C3-BCAB-77C99AFFAA31}"/>
    <cellStyle name="Output 2 2 35 7" xfId="39476" xr:uid="{E1AAE08D-2755-4B9A-97C2-2133DBCB32AA}"/>
    <cellStyle name="Output 2 2 36" xfId="9807" xr:uid="{54364442-9CA7-4262-833E-B12278A9AD34}"/>
    <cellStyle name="Output 2 2 36 2" xfId="39477" xr:uid="{2B44BA71-1A2D-46E0-A29C-D7FB09F36D84}"/>
    <cellStyle name="Output 2 2 36 3" xfId="39478" xr:uid="{45397A75-F291-4B7F-9543-687A1697D977}"/>
    <cellStyle name="Output 2 2 36 4" xfId="39479" xr:uid="{7A671260-9FD6-48A2-8FEF-D9DD7C1FA41A}"/>
    <cellStyle name="Output 2 2 36 5" xfId="39480" xr:uid="{45DB941F-AC27-45DB-80A4-AA0A56317F90}"/>
    <cellStyle name="Output 2 2 36 6" xfId="39481" xr:uid="{EBF1EC4E-03B0-4EE2-A584-2691CD569E89}"/>
    <cellStyle name="Output 2 2 37" xfId="39482" xr:uid="{D6228128-A109-44BD-9ADA-2ECB98F88BDF}"/>
    <cellStyle name="Output 2 2 38" xfId="39483" xr:uid="{DFB70B63-D79F-45BC-805F-58547FC40916}"/>
    <cellStyle name="Output 2 2 39" xfId="39484" xr:uid="{18396B1C-C74A-4B64-B66C-5D8D76A9012B}"/>
    <cellStyle name="Output 2 2 4" xfId="2853" xr:uid="{098EE888-32BC-489E-B507-C249167F8A71}"/>
    <cellStyle name="Output 2 2 4 2" xfId="10111" xr:uid="{380424D4-21E0-41EE-A69F-B94FCEBD3CBD}"/>
    <cellStyle name="Output 2 2 4 2 2" xfId="39485" xr:uid="{7FC4461C-F13A-41F9-AE09-CCA7CD11847F}"/>
    <cellStyle name="Output 2 2 4 2 3" xfId="39486" xr:uid="{7C7BA00F-776B-42AB-950E-2E2A4BC8549A}"/>
    <cellStyle name="Output 2 2 4 2 4" xfId="39487" xr:uid="{731B062A-10C2-479C-85F3-3927CD0A1D72}"/>
    <cellStyle name="Output 2 2 4 2 5" xfId="39488" xr:uid="{131F95E5-954E-48FE-94D4-B793EEC699D8}"/>
    <cellStyle name="Output 2 2 4 2 6" xfId="39489" xr:uid="{8FEB7BC8-175C-4B63-9D04-30B7A7CDBE57}"/>
    <cellStyle name="Output 2 2 4 3" xfId="39490" xr:uid="{E1DE9B9C-0984-4B91-A277-92709CDAAC7F}"/>
    <cellStyle name="Output 2 2 4 4" xfId="39491" xr:uid="{C004FC5A-E2BB-4BE7-B02B-1959157D4B99}"/>
    <cellStyle name="Output 2 2 4 5" xfId="39492" xr:uid="{17C2054D-6088-4A69-B3CB-C461B2E119F1}"/>
    <cellStyle name="Output 2 2 4 6" xfId="39493" xr:uid="{9DE53A69-F5F2-44D4-93F5-ACDA9E751897}"/>
    <cellStyle name="Output 2 2 4 7" xfId="39494" xr:uid="{39903C9A-F9F3-4C41-8BB3-95E7C9C27509}"/>
    <cellStyle name="Output 2 2 40" xfId="39495" xr:uid="{BF792774-CBEF-455C-9967-2F0F64AC3DDB}"/>
    <cellStyle name="Output 2 2 5" xfId="2854" xr:uid="{E0D86BA4-82ED-4B36-820D-F03DE48B44D9}"/>
    <cellStyle name="Output 2 2 5 2" xfId="10201" xr:uid="{A07897A1-F33B-4728-B33C-50B935E80715}"/>
    <cellStyle name="Output 2 2 5 2 2" xfId="39496" xr:uid="{A5454F7A-669B-46FB-AEB8-9F5CCE56EF0F}"/>
    <cellStyle name="Output 2 2 5 2 3" xfId="39497" xr:uid="{AC4BED97-1223-4EA9-8CFD-A91788C6C8A8}"/>
    <cellStyle name="Output 2 2 5 2 4" xfId="39498" xr:uid="{2DED042B-843D-43BD-A23B-80D9D687A143}"/>
    <cellStyle name="Output 2 2 5 2 5" xfId="39499" xr:uid="{28B653C0-419F-4F23-AD01-B688BE4546BA}"/>
    <cellStyle name="Output 2 2 5 2 6" xfId="39500" xr:uid="{36ED5000-C879-4C4D-BE3E-C6E033652790}"/>
    <cellStyle name="Output 2 2 5 3" xfId="39501" xr:uid="{95976FAC-B1D1-41BA-8979-E0A7DDF77F52}"/>
    <cellStyle name="Output 2 2 5 4" xfId="39502" xr:uid="{765A12C7-C17C-46F6-AEA3-6627DABE875B}"/>
    <cellStyle name="Output 2 2 5 5" xfId="39503" xr:uid="{075D4691-44D3-47DF-BBDA-0BF7EA586A5F}"/>
    <cellStyle name="Output 2 2 5 6" xfId="39504" xr:uid="{59EC96DC-A5CB-4D13-B324-AA04D8C982E6}"/>
    <cellStyle name="Output 2 2 5 7" xfId="39505" xr:uid="{14AB9C0F-F611-420A-83D1-ADED9EE66D64}"/>
    <cellStyle name="Output 2 2 6" xfId="2855" xr:uid="{7772F9E9-DB51-435B-950E-D42EAF3A8088}"/>
    <cellStyle name="Output 2 2 6 2" xfId="10287" xr:uid="{C0B02478-6788-4ECA-8697-36C3378D2D7F}"/>
    <cellStyle name="Output 2 2 6 2 2" xfId="39506" xr:uid="{0186CB6C-2C07-4034-9EA9-CB8DAAF62ED1}"/>
    <cellStyle name="Output 2 2 6 2 3" xfId="39507" xr:uid="{13A30EA1-15ED-436D-A293-61EE8A35D498}"/>
    <cellStyle name="Output 2 2 6 2 4" xfId="39508" xr:uid="{C1AB25EC-5C58-4294-8DFB-BFED506BEF58}"/>
    <cellStyle name="Output 2 2 6 2 5" xfId="39509" xr:uid="{AD1BA5F8-8C32-4155-98B1-5DF26F2EE79C}"/>
    <cellStyle name="Output 2 2 6 2 6" xfId="39510" xr:uid="{151AC222-6CC6-47D3-8F71-4DD7CDCE961D}"/>
    <cellStyle name="Output 2 2 6 3" xfId="39511" xr:uid="{C90A7F08-8784-4645-A5EC-2AF7B6A958FF}"/>
    <cellStyle name="Output 2 2 6 4" xfId="39512" xr:uid="{90B108D6-63E6-43A9-A64D-0C27E80DE336}"/>
    <cellStyle name="Output 2 2 6 5" xfId="39513" xr:uid="{597D064C-98B2-440B-A51A-6D71A86102B0}"/>
    <cellStyle name="Output 2 2 6 6" xfId="39514" xr:uid="{E535E009-589D-4820-97AE-DCC5A3E525C6}"/>
    <cellStyle name="Output 2 2 6 7" xfId="39515" xr:uid="{5A6D38CB-32B4-4C6B-97E8-F2D290BD2EA7}"/>
    <cellStyle name="Output 2 2 7" xfId="2856" xr:uid="{8104FFD7-4BAA-4162-91D8-190F822E42C5}"/>
    <cellStyle name="Output 2 2 7 2" xfId="10375" xr:uid="{9521CF1C-B38C-475D-9AED-D60E7301E854}"/>
    <cellStyle name="Output 2 2 7 2 2" xfId="39516" xr:uid="{BA786AFC-FCCF-4D72-AB94-8B427CC9F9D4}"/>
    <cellStyle name="Output 2 2 7 2 3" xfId="39517" xr:uid="{5E0079A1-EA00-4F01-8C3A-F47823948826}"/>
    <cellStyle name="Output 2 2 7 2 4" xfId="39518" xr:uid="{E2E18D11-1A3C-4129-93DC-A8C22706F6B8}"/>
    <cellStyle name="Output 2 2 7 2 5" xfId="39519" xr:uid="{5E4FF181-549A-4629-9D9A-2EB0C6A4E8BD}"/>
    <cellStyle name="Output 2 2 7 2 6" xfId="39520" xr:uid="{DF92AC77-28FC-40CA-8945-8B15DC18A7AF}"/>
    <cellStyle name="Output 2 2 7 3" xfId="39521" xr:uid="{84291C38-0AA3-4068-A06D-21CF7E4FA4DB}"/>
    <cellStyle name="Output 2 2 7 4" xfId="39522" xr:uid="{9462209E-9C98-42D7-B09D-83E84BDD82C6}"/>
    <cellStyle name="Output 2 2 7 5" xfId="39523" xr:uid="{DA88678A-36B6-40D5-8D85-8F614A875E11}"/>
    <cellStyle name="Output 2 2 7 6" xfId="39524" xr:uid="{5C1A34CB-3384-4E1F-AF49-A1CE69CE66B0}"/>
    <cellStyle name="Output 2 2 7 7" xfId="39525" xr:uid="{F8ABFF6A-F737-4798-806D-565360208640}"/>
    <cellStyle name="Output 2 2 8" xfId="2857" xr:uid="{FAE10893-254B-4483-AB5D-E566C71AFB28}"/>
    <cellStyle name="Output 2 2 8 2" xfId="10462" xr:uid="{C9E9D25F-F4F8-47D5-A8D0-47AAD5B49BA2}"/>
    <cellStyle name="Output 2 2 8 2 2" xfId="39526" xr:uid="{00CE831A-0BAD-47A4-99D5-3CC3AB2026FA}"/>
    <cellStyle name="Output 2 2 8 2 3" xfId="39527" xr:uid="{B8E437E5-2741-46E7-82BB-C2343B2643F3}"/>
    <cellStyle name="Output 2 2 8 2 4" xfId="39528" xr:uid="{D2705D1E-D0AD-4775-B576-5150A2316DA5}"/>
    <cellStyle name="Output 2 2 8 2 5" xfId="39529" xr:uid="{2226E115-E06B-45AA-80D5-479207F80AF6}"/>
    <cellStyle name="Output 2 2 8 2 6" xfId="39530" xr:uid="{23E867D0-08CD-4FFE-B9BE-CC2F035E0071}"/>
    <cellStyle name="Output 2 2 8 3" xfId="39531" xr:uid="{3078B335-3D63-48BA-8A81-C341EAB8948D}"/>
    <cellStyle name="Output 2 2 8 4" xfId="39532" xr:uid="{FF281495-69E6-4C3C-A6B3-C6C61E48CE8E}"/>
    <cellStyle name="Output 2 2 8 5" xfId="39533" xr:uid="{0B7BFF8C-91BF-4E18-B4E1-5B4B2EA17857}"/>
    <cellStyle name="Output 2 2 8 6" xfId="39534" xr:uid="{52E33002-9F14-4D53-AE65-4D1F6AFD1DEE}"/>
    <cellStyle name="Output 2 2 8 7" xfId="39535" xr:uid="{43AC5543-D335-4F3C-8D7E-D750374C0D3A}"/>
    <cellStyle name="Output 2 2 9" xfId="2858" xr:uid="{7EAAE8E7-077A-4C7F-993B-501E59731B5F}"/>
    <cellStyle name="Output 2 2 9 2" xfId="10551" xr:uid="{8C510ED5-029B-454A-83CA-9A969EE6B6A7}"/>
    <cellStyle name="Output 2 2 9 2 2" xfId="39536" xr:uid="{1F6B5EBA-F22F-4D01-94C7-37DFA7E51C6B}"/>
    <cellStyle name="Output 2 2 9 2 3" xfId="39537" xr:uid="{09B4A482-A3FC-471A-8E03-86250CA97740}"/>
    <cellStyle name="Output 2 2 9 2 4" xfId="39538" xr:uid="{6F5FA950-47FC-465F-966A-5B8E44BA0251}"/>
    <cellStyle name="Output 2 2 9 2 5" xfId="39539" xr:uid="{2720FBCA-605F-43EE-A86A-879E8D8E8F3D}"/>
    <cellStyle name="Output 2 2 9 2 6" xfId="39540" xr:uid="{F7A8C4E0-2233-4640-892D-FD0A35DBECFD}"/>
    <cellStyle name="Output 2 2 9 3" xfId="39541" xr:uid="{C18BB278-DA0E-4026-8821-1DBB53E0E2AB}"/>
    <cellStyle name="Output 2 2 9 4" xfId="39542" xr:uid="{1E3C8583-0A0E-4776-81A9-C338EC18722C}"/>
    <cellStyle name="Output 2 2 9 5" xfId="39543" xr:uid="{77F5B31D-3575-4AB6-9059-6642927DC2D6}"/>
    <cellStyle name="Output 2 2 9 6" xfId="39544" xr:uid="{B1631A89-2153-458D-BB27-024DED58B9F8}"/>
    <cellStyle name="Output 2 2 9 7" xfId="39545" xr:uid="{B4DE065C-AFC3-406F-BA9F-5341726B7401}"/>
    <cellStyle name="Output 2 20" xfId="2859" xr:uid="{81673D0D-707D-4D73-9C59-4CD2BE675991}"/>
    <cellStyle name="Output 2 20 2" xfId="11391" xr:uid="{7EAF366C-3D37-4818-9C3C-14411D5C2D73}"/>
    <cellStyle name="Output 2 20 2 2" xfId="39546" xr:uid="{AF4B9A33-182D-4736-9CC9-8B953B5CDBF9}"/>
    <cellStyle name="Output 2 20 2 3" xfId="39547" xr:uid="{233DAAE7-18C0-448B-9B0F-88D35517FE84}"/>
    <cellStyle name="Output 2 20 2 4" xfId="39548" xr:uid="{BA4392B9-76B2-4A06-A858-950D08DC65C9}"/>
    <cellStyle name="Output 2 20 2 5" xfId="39549" xr:uid="{293FD84E-D9C4-4CE5-9567-D306CA2B8183}"/>
    <cellStyle name="Output 2 20 2 6" xfId="39550" xr:uid="{CA2DFBFC-7B2F-49E8-86C4-AE818901F77D}"/>
    <cellStyle name="Output 2 20 3" xfId="39551" xr:uid="{01C724B8-F636-4178-991D-BFE140D6E3FB}"/>
    <cellStyle name="Output 2 20 4" xfId="39552" xr:uid="{7A831902-4B10-4EA4-9C2C-0DB91F034444}"/>
    <cellStyle name="Output 2 20 5" xfId="39553" xr:uid="{61DFB8A2-E605-461A-A1F4-35E7B0616983}"/>
    <cellStyle name="Output 2 20 6" xfId="39554" xr:uid="{B0C687E4-85B6-49FA-9747-2E87D093DEA9}"/>
    <cellStyle name="Output 2 20 7" xfId="39555" xr:uid="{A86C7499-94CF-4EAD-8ED3-6548D330C4B9}"/>
    <cellStyle name="Output 2 21" xfId="2860" xr:uid="{FF57752F-F0F6-4ACC-98A4-50493ED22135}"/>
    <cellStyle name="Output 2 21 2" xfId="10076" xr:uid="{C9B0AEC1-459B-419F-8FF3-68FC3D6400BC}"/>
    <cellStyle name="Output 2 21 2 2" xfId="39556" xr:uid="{883542E2-51E3-4D3D-868C-D13C31E8F720}"/>
    <cellStyle name="Output 2 21 2 3" xfId="39557" xr:uid="{898288C9-6D5D-49EE-BC7E-0DBE1BD8247D}"/>
    <cellStyle name="Output 2 21 2 4" xfId="39558" xr:uid="{3A6F945D-5CDE-4AAC-98EF-9DD332A42FB1}"/>
    <cellStyle name="Output 2 21 2 5" xfId="39559" xr:uid="{3C9EDCF9-442E-4DED-93CC-2CAE5B56CB5C}"/>
    <cellStyle name="Output 2 21 2 6" xfId="39560" xr:uid="{E4223A63-9081-4504-920C-8CD54A6152D3}"/>
    <cellStyle name="Output 2 21 3" xfId="39561" xr:uid="{E37D0538-1E0F-4B6E-895A-71ABF6C6F84A}"/>
    <cellStyle name="Output 2 21 4" xfId="39562" xr:uid="{2B352605-5542-408C-8CC1-633195232EA0}"/>
    <cellStyle name="Output 2 21 5" xfId="39563" xr:uid="{07EF4655-47DA-4A34-A5F8-674040B118B8}"/>
    <cellStyle name="Output 2 21 6" xfId="39564" xr:uid="{4D0AF396-3F88-4C22-8A26-74A75219B054}"/>
    <cellStyle name="Output 2 21 7" xfId="39565" xr:uid="{5D182274-DBF7-4D99-BEA9-418524B0501E}"/>
    <cellStyle name="Output 2 22" xfId="2861" xr:uid="{2896995A-508A-4351-A4EA-6E13B2F75121}"/>
    <cellStyle name="Output 2 22 2" xfId="11479" xr:uid="{C4008916-39DB-45F1-823B-12384608ABB4}"/>
    <cellStyle name="Output 2 22 2 2" xfId="39566" xr:uid="{A8B1760D-2F1D-4139-B4A2-21AAA863191A}"/>
    <cellStyle name="Output 2 22 2 3" xfId="39567" xr:uid="{57D4D214-571F-4C8B-94B9-F9A4B190BF90}"/>
    <cellStyle name="Output 2 22 2 4" xfId="39568" xr:uid="{F668205A-285B-4213-BF6C-318799B2F408}"/>
    <cellStyle name="Output 2 22 2 5" xfId="39569" xr:uid="{0CD23150-1627-4C96-8142-C35BB6F02A2A}"/>
    <cellStyle name="Output 2 22 2 6" xfId="39570" xr:uid="{5E4AD9BC-8456-4376-B6CD-259A2D97F936}"/>
    <cellStyle name="Output 2 22 3" xfId="39571" xr:uid="{C7B4ED3E-7224-49DB-8A4A-FAB324287768}"/>
    <cellStyle name="Output 2 22 4" xfId="39572" xr:uid="{A1B839CC-DC82-4056-9931-98D7CBA65765}"/>
    <cellStyle name="Output 2 22 5" xfId="39573" xr:uid="{54E9E60B-0B9A-420C-9E7A-9674ACACD154}"/>
    <cellStyle name="Output 2 22 6" xfId="39574" xr:uid="{3E3893D5-7592-46A8-9119-0330D2C605D3}"/>
    <cellStyle name="Output 2 22 7" xfId="39575" xr:uid="{A49DE4CD-DC61-4C9D-B8E0-A081D0AFE01E}"/>
    <cellStyle name="Output 2 23" xfId="2862" xr:uid="{1D47DAC2-7D7D-45E8-B9B1-21C03F35D20D}"/>
    <cellStyle name="Output 2 23 2" xfId="11562" xr:uid="{14D5CE0F-2E8B-466F-B919-F40A1682B62A}"/>
    <cellStyle name="Output 2 23 2 2" xfId="39576" xr:uid="{CEE30363-1C59-4C4E-8830-ABE55F8EDB11}"/>
    <cellStyle name="Output 2 23 2 3" xfId="39577" xr:uid="{CEB6CCEB-2CEC-4038-9A64-92B0965ED274}"/>
    <cellStyle name="Output 2 23 2 4" xfId="39578" xr:uid="{D57B2296-DE76-43EC-BEF9-DF16D59A839A}"/>
    <cellStyle name="Output 2 23 2 5" xfId="39579" xr:uid="{1445B31E-D180-44A0-9295-4A0DD65CD86B}"/>
    <cellStyle name="Output 2 23 2 6" xfId="39580" xr:uid="{A44FD7BE-074E-4175-B157-7C6C4642CC66}"/>
    <cellStyle name="Output 2 23 3" xfId="39581" xr:uid="{6959F25F-F727-4F30-9166-EF1029F654F2}"/>
    <cellStyle name="Output 2 23 4" xfId="39582" xr:uid="{431332A2-E6FD-4851-92A5-06CDA1B424B2}"/>
    <cellStyle name="Output 2 23 5" xfId="39583" xr:uid="{C01F6F97-789A-4A86-9B0E-94ABC184F724}"/>
    <cellStyle name="Output 2 23 6" xfId="39584" xr:uid="{064650FF-C04A-4CB0-AA1E-938805A4DE9A}"/>
    <cellStyle name="Output 2 23 7" xfId="39585" xr:uid="{E3180429-BCB5-4FBD-8490-C74763B33C69}"/>
    <cellStyle name="Output 2 24" xfId="2863" xr:uid="{FA8FF4F1-AC15-4D1C-981D-FD7DE1D4BE19}"/>
    <cellStyle name="Output 2 24 2" xfId="9744" xr:uid="{BE77D153-5373-47A3-BE71-8F215A713B56}"/>
    <cellStyle name="Output 2 24 2 2" xfId="39586" xr:uid="{4AD09930-8D0B-4497-80AE-BEE75104A418}"/>
    <cellStyle name="Output 2 24 2 3" xfId="39587" xr:uid="{1320A621-16D3-461C-A2CB-0AA80A589D03}"/>
    <cellStyle name="Output 2 24 2 4" xfId="39588" xr:uid="{65A0F409-EBD1-48AF-AF37-CC0E9182E732}"/>
    <cellStyle name="Output 2 24 2 5" xfId="39589" xr:uid="{688F6127-59C1-4C63-BB2B-9F0B91522764}"/>
    <cellStyle name="Output 2 24 2 6" xfId="39590" xr:uid="{9A2FB8C8-7B29-407F-AAE3-664A008181D6}"/>
    <cellStyle name="Output 2 24 3" xfId="39591" xr:uid="{0A16AA8F-4C86-4175-AE96-0AAD5B443C36}"/>
    <cellStyle name="Output 2 24 4" xfId="39592" xr:uid="{142FA2A0-9F8A-45D2-AD51-AE11DBBE1850}"/>
    <cellStyle name="Output 2 24 5" xfId="39593" xr:uid="{ACA6521E-84A3-4F60-8A8B-82EFF3D20067}"/>
    <cellStyle name="Output 2 24 6" xfId="39594" xr:uid="{B241663F-E4F9-4729-AD8C-B4BAF3056075}"/>
    <cellStyle name="Output 2 24 7" xfId="39595" xr:uid="{FC638EDC-CCFB-44A6-8FE5-A1F5F86EC113}"/>
    <cellStyle name="Output 2 25" xfId="2864" xr:uid="{850AE661-95C1-4AD1-AD56-FC838BE48BC9}"/>
    <cellStyle name="Output 2 25 2" xfId="11501" xr:uid="{5AF77C7C-979C-45FE-B6B5-F2F9710565C9}"/>
    <cellStyle name="Output 2 25 2 2" xfId="39596" xr:uid="{84BC9847-CA96-4E5E-ABA0-76B6C027F196}"/>
    <cellStyle name="Output 2 25 2 3" xfId="39597" xr:uid="{04C92565-751C-4961-A195-40DE8DD46172}"/>
    <cellStyle name="Output 2 25 2 4" xfId="39598" xr:uid="{A2B02593-D83B-4505-AA25-EFF9EE054A29}"/>
    <cellStyle name="Output 2 25 2 5" xfId="39599" xr:uid="{77F6B189-F5D4-4F49-AEFA-AF54B7C4E367}"/>
    <cellStyle name="Output 2 25 2 6" xfId="39600" xr:uid="{2F04FBFE-EF24-4F45-863D-2746AAC80E10}"/>
    <cellStyle name="Output 2 25 3" xfId="39601" xr:uid="{64071EEE-FFA8-4D55-8E36-0859178ECC9C}"/>
    <cellStyle name="Output 2 25 4" xfId="39602" xr:uid="{85290B39-70FD-4475-AA74-43F06238E8B2}"/>
    <cellStyle name="Output 2 25 5" xfId="39603" xr:uid="{EE422D7B-9AA1-4266-A26E-8C38BC25F8F3}"/>
    <cellStyle name="Output 2 25 6" xfId="39604" xr:uid="{7D2F3E5E-0E0C-4CB0-88F5-B1C594DF2D25}"/>
    <cellStyle name="Output 2 25 7" xfId="39605" xr:uid="{895A4C2F-7C8C-4232-86D5-8D7927E5280B}"/>
    <cellStyle name="Output 2 26" xfId="2865" xr:uid="{E221772C-EF84-43DD-923D-923ABBC546D2}"/>
    <cellStyle name="Output 2 26 2" xfId="11305" xr:uid="{21078917-AD95-4AB9-B024-743F0B50E202}"/>
    <cellStyle name="Output 2 26 2 2" xfId="39606" xr:uid="{4943C5E1-D200-4B63-B2DC-B7A6E5913241}"/>
    <cellStyle name="Output 2 26 2 3" xfId="39607" xr:uid="{26B210C9-9B7D-4B3F-95F3-9D710EBD08FE}"/>
    <cellStyle name="Output 2 26 2 4" xfId="39608" xr:uid="{AAABB82F-C67E-4A3A-9A42-ECD6E6EEBFDA}"/>
    <cellStyle name="Output 2 26 2 5" xfId="39609" xr:uid="{EAD1055F-C734-463D-9808-D198E494A6F8}"/>
    <cellStyle name="Output 2 26 2 6" xfId="39610" xr:uid="{A672D0C7-9591-4773-87EC-7D4CBA8041BB}"/>
    <cellStyle name="Output 2 26 3" xfId="39611" xr:uid="{2A02BC6A-C997-48FE-83C7-1B657EA1EE52}"/>
    <cellStyle name="Output 2 26 4" xfId="39612" xr:uid="{0641BCC1-E90C-46D9-A89B-CFB9A4FE3A49}"/>
    <cellStyle name="Output 2 26 5" xfId="39613" xr:uid="{887C788F-DF51-4754-9EF5-2FD799D7E479}"/>
    <cellStyle name="Output 2 26 6" xfId="39614" xr:uid="{17163A95-AE7A-4A68-8777-0A67802E1E40}"/>
    <cellStyle name="Output 2 26 7" xfId="39615" xr:uid="{4D0E3208-F419-4F1F-966C-55670A415ABE}"/>
    <cellStyle name="Output 2 27" xfId="2866" xr:uid="{3C90CE39-967E-4B55-80ED-C916FD0137C3}"/>
    <cellStyle name="Output 2 27 2" xfId="10957" xr:uid="{BC0AC36D-47E1-431B-8CF2-23A889A8B6EF}"/>
    <cellStyle name="Output 2 27 2 2" xfId="39616" xr:uid="{B309BD18-E243-4641-9532-DBC7E2772BDB}"/>
    <cellStyle name="Output 2 27 2 3" xfId="39617" xr:uid="{D059CE54-B24B-4CE2-82BB-BF19EDC5F32E}"/>
    <cellStyle name="Output 2 27 2 4" xfId="39618" xr:uid="{5430FFF9-0BFF-4581-ACA6-0E9F5945CC16}"/>
    <cellStyle name="Output 2 27 2 5" xfId="39619" xr:uid="{C776401B-8BAD-4622-A4D8-7BB8B53F938F}"/>
    <cellStyle name="Output 2 27 2 6" xfId="39620" xr:uid="{AD06FC6B-969C-4821-A506-FB8CE2E0D8D9}"/>
    <cellStyle name="Output 2 27 3" xfId="39621" xr:uid="{1A8B077C-2A67-4B8C-BF3B-6AC78FD63233}"/>
    <cellStyle name="Output 2 27 4" xfId="39622" xr:uid="{3F11EDCA-05DA-4406-94A2-847B486DAC6F}"/>
    <cellStyle name="Output 2 27 5" xfId="39623" xr:uid="{2362EB84-CF7E-4956-9FDE-0B2F9AB87DD7}"/>
    <cellStyle name="Output 2 27 6" xfId="39624" xr:uid="{D474E0AD-FFAD-4DD9-A82A-141305F56888}"/>
    <cellStyle name="Output 2 27 7" xfId="39625" xr:uid="{188BA4C5-3EDB-4AF3-AAA1-2CA9F344AAA3}"/>
    <cellStyle name="Output 2 28" xfId="2867" xr:uid="{53F700A9-46DB-41C9-9ECF-4959734EC2A4}"/>
    <cellStyle name="Output 2 28 2" xfId="12709" xr:uid="{EA698703-3795-47FB-B60D-85751619A596}"/>
    <cellStyle name="Output 2 28 2 2" xfId="39626" xr:uid="{7E0EA12F-B723-4BEC-AB43-C112F1B7DC62}"/>
    <cellStyle name="Output 2 28 2 3" xfId="39627" xr:uid="{5836CA75-DC76-4D53-89E7-80EBD95A487B}"/>
    <cellStyle name="Output 2 28 2 4" xfId="39628" xr:uid="{5E2B68B7-67D8-4F14-A413-76409A212E6B}"/>
    <cellStyle name="Output 2 28 2 5" xfId="39629" xr:uid="{BC72A2E2-ED2C-47F2-8D41-26CB20E7E0BF}"/>
    <cellStyle name="Output 2 28 2 6" xfId="39630" xr:uid="{E06707EB-3EC2-424F-8AA0-931EFD776A3C}"/>
    <cellStyle name="Output 2 28 3" xfId="39631" xr:uid="{CB9E6F29-279E-40F1-AB96-1482515D0370}"/>
    <cellStyle name="Output 2 28 4" xfId="39632" xr:uid="{F6490A5B-7CCA-46B7-BF56-60A7209A8795}"/>
    <cellStyle name="Output 2 28 5" xfId="39633" xr:uid="{0DC73BD3-4A9E-489B-8A4A-34822E5B1BB3}"/>
    <cellStyle name="Output 2 29" xfId="8919" xr:uid="{07B99FDB-EAEB-47A9-A711-B980000393CF}"/>
    <cellStyle name="Output 2 29 2" xfId="39634" xr:uid="{E0C27FAB-C0C1-4396-A816-AF6B93C06273}"/>
    <cellStyle name="Output 2 29 3" xfId="39635" xr:uid="{84BD2A0A-F91B-4416-B75B-88AF59793B04}"/>
    <cellStyle name="Output 2 29 4" xfId="39636" xr:uid="{CC795E03-1A61-4ABF-B1F0-C4E9954E7918}"/>
    <cellStyle name="Output 2 29 5" xfId="39637" xr:uid="{8329E476-9D1D-498E-9730-6CF296DF003C}"/>
    <cellStyle name="Output 2 29 6" xfId="39638" xr:uid="{DADC9678-759A-409C-AA0D-F2BFF01E0360}"/>
    <cellStyle name="Output 2 3" xfId="2868" xr:uid="{8DB96AAF-7E74-448C-8808-5C9BD13DDDCD}"/>
    <cellStyle name="Output 2 3 10" xfId="2869" xr:uid="{85FB1D03-F0FB-4A0F-90B7-89C2631474F4}"/>
    <cellStyle name="Output 2 3 10 2" xfId="10742" xr:uid="{7493E8CA-AB36-48DB-BC6C-8B9DC9F7E691}"/>
    <cellStyle name="Output 2 3 10 2 2" xfId="39639" xr:uid="{AF88A241-BD55-4865-AC2A-0CCDFC74F929}"/>
    <cellStyle name="Output 2 3 10 2 3" xfId="39640" xr:uid="{E35037C9-4EA5-46AC-8FD1-5D4749FF3E73}"/>
    <cellStyle name="Output 2 3 10 2 4" xfId="39641" xr:uid="{D3A6D72B-84C6-4FC4-B0F7-DD4D7D5C97B5}"/>
    <cellStyle name="Output 2 3 10 2 5" xfId="39642" xr:uid="{61B61266-FF6C-4E9D-B822-980769DB2D76}"/>
    <cellStyle name="Output 2 3 10 2 6" xfId="39643" xr:uid="{2FFDA502-113F-4C4F-8E7D-DD85C22E1F0E}"/>
    <cellStyle name="Output 2 3 10 3" xfId="39644" xr:uid="{BDA5EF59-E2F6-451D-8C37-B2F6093BB422}"/>
    <cellStyle name="Output 2 3 10 4" xfId="39645" xr:uid="{98C909C1-9B98-4431-8447-2210BEBD5744}"/>
    <cellStyle name="Output 2 3 10 5" xfId="39646" xr:uid="{4C405CE1-C813-41A8-A815-13C13EE3596C}"/>
    <cellStyle name="Output 2 3 10 6" xfId="39647" xr:uid="{C1960FD2-CEAC-4DA8-A697-2ED4B8DFF13F}"/>
    <cellStyle name="Output 2 3 10 7" xfId="39648" xr:uid="{DD2C88B4-CC96-4FF8-ADE0-B4A625EF05AE}"/>
    <cellStyle name="Output 2 3 11" xfId="2870" xr:uid="{243B1CDB-8E5E-4FD8-A619-2EAD15BD7D90}"/>
    <cellStyle name="Output 2 3 11 2" xfId="10830" xr:uid="{5D35A984-5BE0-4F61-B7B7-AAA5CC3B6BC0}"/>
    <cellStyle name="Output 2 3 11 2 2" xfId="39649" xr:uid="{FB909D82-E9FD-4233-94B3-854BA7981F2B}"/>
    <cellStyle name="Output 2 3 11 2 3" xfId="39650" xr:uid="{20069A08-E774-4772-9994-A5A084D069EF}"/>
    <cellStyle name="Output 2 3 11 2 4" xfId="39651" xr:uid="{54BAF471-E215-410B-9437-50CA708A0B53}"/>
    <cellStyle name="Output 2 3 11 2 5" xfId="39652" xr:uid="{C557DBA9-D843-471E-B2E1-FA3E12B54815}"/>
    <cellStyle name="Output 2 3 11 2 6" xfId="39653" xr:uid="{D35E0381-52B4-4E7C-A6AF-C6DF1E9D9616}"/>
    <cellStyle name="Output 2 3 11 3" xfId="39654" xr:uid="{FE3DA8CB-39AF-42D6-8E27-B64CB225A079}"/>
    <cellStyle name="Output 2 3 11 4" xfId="39655" xr:uid="{B7BEAC18-40A5-4510-9A88-37D2E3B848FF}"/>
    <cellStyle name="Output 2 3 11 5" xfId="39656" xr:uid="{DE0F0FEE-5058-47E6-8C91-921BAA2CA071}"/>
    <cellStyle name="Output 2 3 11 6" xfId="39657" xr:uid="{D210B89D-9085-40E5-94F4-309FEDCB3CA4}"/>
    <cellStyle name="Output 2 3 11 7" xfId="39658" xr:uid="{632A1448-172E-49E9-BBF9-62A92AC86FC3}"/>
    <cellStyle name="Output 2 3 12" xfId="2871" xr:uid="{9995464A-B6EC-4066-8B6E-8FC72A7D8D11}"/>
    <cellStyle name="Output 2 3 12 2" xfId="10919" xr:uid="{ACEF550A-B166-4255-9802-C8CACF54AB6C}"/>
    <cellStyle name="Output 2 3 12 2 2" xfId="39659" xr:uid="{38366D2F-6947-4248-B1EF-1D323F955273}"/>
    <cellStyle name="Output 2 3 12 2 3" xfId="39660" xr:uid="{24303D83-16E2-4B95-8234-FE37CB777F03}"/>
    <cellStyle name="Output 2 3 12 2 4" xfId="39661" xr:uid="{CAE13FF2-A05E-46BD-920A-7158E51F6166}"/>
    <cellStyle name="Output 2 3 12 2 5" xfId="39662" xr:uid="{A6CBA2E0-9747-43E3-BF8C-2D05647DC617}"/>
    <cellStyle name="Output 2 3 12 2 6" xfId="39663" xr:uid="{9327C150-159D-45BD-912C-5FF586D1044B}"/>
    <cellStyle name="Output 2 3 12 3" xfId="39664" xr:uid="{BE519EA0-1A2A-4F45-8B89-F3F1624320B3}"/>
    <cellStyle name="Output 2 3 12 4" xfId="39665" xr:uid="{7F9C7EFD-EBFE-4F50-A9DD-EE9E99A652F6}"/>
    <cellStyle name="Output 2 3 12 5" xfId="39666" xr:uid="{45026A05-65E5-42FE-A3B5-D6475B095F21}"/>
    <cellStyle name="Output 2 3 12 6" xfId="39667" xr:uid="{7CECEF61-40B3-4846-B64B-F90B7F2516A8}"/>
    <cellStyle name="Output 2 3 12 7" xfId="39668" xr:uid="{DD07383D-0A67-475E-A08D-B965816064B4}"/>
    <cellStyle name="Output 2 3 13" xfId="2872" xr:uid="{78A003E4-A6E4-4616-A002-22311007BE24}"/>
    <cellStyle name="Output 2 3 13 2" xfId="11009" xr:uid="{EB1EAE7F-CACF-48FA-A2F1-310BB970A2EB}"/>
    <cellStyle name="Output 2 3 13 2 2" xfId="39669" xr:uid="{C88B7609-F508-49DA-8267-2C68FE6EE0E3}"/>
    <cellStyle name="Output 2 3 13 2 3" xfId="39670" xr:uid="{B184DD14-F6C1-4281-91DC-8080ADF2C1A5}"/>
    <cellStyle name="Output 2 3 13 2 4" xfId="39671" xr:uid="{AD2A30F8-CAFD-4E6A-8552-AC4F700A27FB}"/>
    <cellStyle name="Output 2 3 13 2 5" xfId="39672" xr:uid="{20938E60-5358-4BD7-8984-83652808D7A7}"/>
    <cellStyle name="Output 2 3 13 2 6" xfId="39673" xr:uid="{A789AD21-5985-400E-AF83-06A7801C298B}"/>
    <cellStyle name="Output 2 3 13 3" xfId="39674" xr:uid="{3B60ABE3-E6FF-472C-90AF-001A8F20945E}"/>
    <cellStyle name="Output 2 3 13 4" xfId="39675" xr:uid="{73474469-668B-41FF-8AE8-172A2227AC3E}"/>
    <cellStyle name="Output 2 3 13 5" xfId="39676" xr:uid="{3764095E-C2E6-45DE-900C-CF07E2F21548}"/>
    <cellStyle name="Output 2 3 13 6" xfId="39677" xr:uid="{56691BD9-C7E1-4DA0-AE7D-97B0A327104E}"/>
    <cellStyle name="Output 2 3 13 7" xfId="39678" xr:uid="{4D30D1CC-5E07-47C0-8C99-B5899F159025}"/>
    <cellStyle name="Output 2 3 14" xfId="2873" xr:uid="{7CCC481B-7381-4C2D-B2B9-8EFB40DBBB38}"/>
    <cellStyle name="Output 2 3 14 2" xfId="11099" xr:uid="{EE0FBC3B-1866-4492-9761-42DE909B1DF1}"/>
    <cellStyle name="Output 2 3 14 2 2" xfId="39679" xr:uid="{48E7B0A4-8726-4EFA-B15E-3493F4F27D5D}"/>
    <cellStyle name="Output 2 3 14 2 3" xfId="39680" xr:uid="{F8A7D03A-E17F-4E19-878C-EC59398EEE4C}"/>
    <cellStyle name="Output 2 3 14 2 4" xfId="39681" xr:uid="{FDFBEB2B-4BDA-4319-ACF8-00E22D9C2A96}"/>
    <cellStyle name="Output 2 3 14 2 5" xfId="39682" xr:uid="{3CF0D4DB-A833-4BB7-A218-1CEAC727F2F1}"/>
    <cellStyle name="Output 2 3 14 2 6" xfId="39683" xr:uid="{235F970C-6087-4E2E-A6B5-7B4B09D44867}"/>
    <cellStyle name="Output 2 3 14 3" xfId="39684" xr:uid="{8E3D1C61-F47E-4405-A530-795086AB553A}"/>
    <cellStyle name="Output 2 3 14 4" xfId="39685" xr:uid="{1DD0C80A-AD8E-4B22-BD28-36AC6FA3AA5F}"/>
    <cellStyle name="Output 2 3 14 5" xfId="39686" xr:uid="{3693F088-410F-47D5-AB9A-21A3027CCC15}"/>
    <cellStyle name="Output 2 3 14 6" xfId="39687" xr:uid="{CCEB2470-1A7E-4EF3-A88F-C39233713C7A}"/>
    <cellStyle name="Output 2 3 14 7" xfId="39688" xr:uid="{560B6D68-9211-4BC2-8DCE-8EF36E09F0FF}"/>
    <cellStyle name="Output 2 3 15" xfId="2874" xr:uid="{654241E4-E4A2-4C92-AB12-5F4FF709AB46}"/>
    <cellStyle name="Output 2 3 15 2" xfId="11182" xr:uid="{8E50E6E8-85AE-4DAC-8680-740DE29A687D}"/>
    <cellStyle name="Output 2 3 15 2 2" xfId="39689" xr:uid="{8D79A1C7-4297-48D7-940F-17C1C63B5E8E}"/>
    <cellStyle name="Output 2 3 15 2 3" xfId="39690" xr:uid="{04E7B290-03F4-421B-88B9-3448C3D16E57}"/>
    <cellStyle name="Output 2 3 15 2 4" xfId="39691" xr:uid="{B9D122AD-603C-4103-BA00-7C1745B2C2D5}"/>
    <cellStyle name="Output 2 3 15 2 5" xfId="39692" xr:uid="{E8F73A4B-1EA1-470D-A0C4-9B7F02679CB6}"/>
    <cellStyle name="Output 2 3 15 2 6" xfId="39693" xr:uid="{EA74EF98-FA95-4B1B-8784-36E32A9C9D8F}"/>
    <cellStyle name="Output 2 3 15 3" xfId="39694" xr:uid="{7F2ED0E1-B24B-4F29-8313-264CB884FC49}"/>
    <cellStyle name="Output 2 3 15 4" xfId="39695" xr:uid="{C37A4AFD-EC7E-4C06-BC7D-CE12425B23E5}"/>
    <cellStyle name="Output 2 3 15 5" xfId="39696" xr:uid="{8C397FA1-58DF-4DA7-8482-11803C84F638}"/>
    <cellStyle name="Output 2 3 15 6" xfId="39697" xr:uid="{5171A8FE-2471-4FB6-9B2D-B22F2B66094E}"/>
    <cellStyle name="Output 2 3 15 7" xfId="39698" xr:uid="{DEB3108C-D627-4A96-8179-33F802AF110D}"/>
    <cellStyle name="Output 2 3 16" xfId="2875" xr:uid="{4C92102C-84A1-4B12-9E3F-38DD3763030B}"/>
    <cellStyle name="Output 2 3 16 2" xfId="11272" xr:uid="{261907AC-188B-43CB-84B9-D4DE932D2DB1}"/>
    <cellStyle name="Output 2 3 16 2 2" xfId="39699" xr:uid="{A13BDDE7-2674-45C0-B89A-4303D6A996F1}"/>
    <cellStyle name="Output 2 3 16 2 3" xfId="39700" xr:uid="{951F5189-179D-4F7C-86EA-3F86A2214512}"/>
    <cellStyle name="Output 2 3 16 2 4" xfId="39701" xr:uid="{EE67E701-BE85-4386-8E7A-8B7F48944E29}"/>
    <cellStyle name="Output 2 3 16 2 5" xfId="39702" xr:uid="{6E3B3FB7-20A2-4A6D-B823-F788965B7DF7}"/>
    <cellStyle name="Output 2 3 16 2 6" xfId="39703" xr:uid="{7F911F56-6B86-4D26-AD73-D08CF11BE314}"/>
    <cellStyle name="Output 2 3 16 3" xfId="39704" xr:uid="{8CA890F3-3815-47D6-AF6B-6912676A937C}"/>
    <cellStyle name="Output 2 3 16 4" xfId="39705" xr:uid="{E8C99277-3A7F-48A8-8C7F-8ED91A69B2C0}"/>
    <cellStyle name="Output 2 3 16 5" xfId="39706" xr:uid="{084691F0-8B65-4569-BC55-93F66C03FBEB}"/>
    <cellStyle name="Output 2 3 16 6" xfId="39707" xr:uid="{B40CE892-B1CE-4165-A9AF-E81851FA92F6}"/>
    <cellStyle name="Output 2 3 16 7" xfId="39708" xr:uid="{7D258ED6-BE6B-429D-9017-FA1E92BEF75D}"/>
    <cellStyle name="Output 2 3 17" xfId="2876" xr:uid="{4F434664-91D9-40E9-A618-B759294295B3}"/>
    <cellStyle name="Output 2 3 17 2" xfId="11358" xr:uid="{5D108746-9B7F-4790-B06F-BCF8C2A80BB5}"/>
    <cellStyle name="Output 2 3 17 2 2" xfId="39709" xr:uid="{4DFE3CE3-9305-4F08-8B9D-48A48A387686}"/>
    <cellStyle name="Output 2 3 17 2 3" xfId="39710" xr:uid="{763BD459-A9C2-4F52-BE14-C0A7DE67816E}"/>
    <cellStyle name="Output 2 3 17 2 4" xfId="39711" xr:uid="{CBAB8755-50AD-49F0-8E76-658961D78173}"/>
    <cellStyle name="Output 2 3 17 2 5" xfId="39712" xr:uid="{2BD818F0-156A-4514-8BB1-617713E4AE32}"/>
    <cellStyle name="Output 2 3 17 2 6" xfId="39713" xr:uid="{0D196160-6420-4DB4-A58F-DC38063FBB3C}"/>
    <cellStyle name="Output 2 3 17 3" xfId="39714" xr:uid="{2149DD17-044D-4613-9591-7919B7DD639A}"/>
    <cellStyle name="Output 2 3 17 4" xfId="39715" xr:uid="{DEF9800C-25DA-45F1-B937-2C2BABF2A716}"/>
    <cellStyle name="Output 2 3 17 5" xfId="39716" xr:uid="{34B3FCC5-7D70-4469-B298-7F6B159A7E37}"/>
    <cellStyle name="Output 2 3 17 6" xfId="39717" xr:uid="{2EFD24A7-B2F5-403A-A0AA-19DAFC2A3F42}"/>
    <cellStyle name="Output 2 3 17 7" xfId="39718" xr:uid="{4E148D41-8D08-432B-AD36-2C731BB5DB34}"/>
    <cellStyle name="Output 2 3 18" xfId="2877" xr:uid="{9CB212A8-539F-407B-BA9D-1373A84BFBD8}"/>
    <cellStyle name="Output 2 3 18 2" xfId="11445" xr:uid="{1AA0263D-5B9A-4153-A494-F25E7CCED27E}"/>
    <cellStyle name="Output 2 3 18 2 2" xfId="39719" xr:uid="{9A61ED68-D186-41AA-8DF3-EF436535F045}"/>
    <cellStyle name="Output 2 3 18 2 3" xfId="39720" xr:uid="{5D625353-898B-4EC7-A925-3F29BBAF9E98}"/>
    <cellStyle name="Output 2 3 18 2 4" xfId="39721" xr:uid="{683889AC-8F01-41DA-A54E-2F90BBF41F0D}"/>
    <cellStyle name="Output 2 3 18 2 5" xfId="39722" xr:uid="{327277A2-1300-4580-B46A-D74DB7E4E825}"/>
    <cellStyle name="Output 2 3 18 2 6" xfId="39723" xr:uid="{A1AFBD1C-F155-4EB4-B731-E9A5FF862B13}"/>
    <cellStyle name="Output 2 3 18 3" xfId="39724" xr:uid="{75EFCA90-CA09-476D-B9DA-3EC79824DC77}"/>
    <cellStyle name="Output 2 3 18 4" xfId="39725" xr:uid="{3314AD1C-C90E-4FE0-9DB7-30BB8AE37D5A}"/>
    <cellStyle name="Output 2 3 18 5" xfId="39726" xr:uid="{26D10DFA-5F29-4EFB-BD0B-BAFCF916A634}"/>
    <cellStyle name="Output 2 3 18 6" xfId="39727" xr:uid="{204FEAC6-F953-4419-BCF9-C74B044BA905}"/>
    <cellStyle name="Output 2 3 18 7" xfId="39728" xr:uid="{90695E0D-6F68-4ACD-B4E4-9D71A348A1C3}"/>
    <cellStyle name="Output 2 3 19" xfId="2878" xr:uid="{1E2C28DB-76FA-417C-9743-07EE26B65CA6}"/>
    <cellStyle name="Output 2 3 19 2" xfId="11532" xr:uid="{CADEC26C-282F-4FAF-BC36-F80506706FBA}"/>
    <cellStyle name="Output 2 3 19 2 2" xfId="39729" xr:uid="{1C71FC42-8515-4C24-9749-F171BE5694AB}"/>
    <cellStyle name="Output 2 3 19 2 3" xfId="39730" xr:uid="{E922EF5F-975B-4BB0-9821-3F7C62E38B4F}"/>
    <cellStyle name="Output 2 3 19 2 4" xfId="39731" xr:uid="{C44B7D5E-41D2-4FC7-92A5-826B3966477E}"/>
    <cellStyle name="Output 2 3 19 2 5" xfId="39732" xr:uid="{AEDE8A5F-1512-4FD8-8D11-E969B82F0CE5}"/>
    <cellStyle name="Output 2 3 19 2 6" xfId="39733" xr:uid="{0EA3EF4E-A773-4264-B0BE-6908958960E3}"/>
    <cellStyle name="Output 2 3 19 3" xfId="39734" xr:uid="{560B3C23-7987-4CF7-81B1-F16F4F6CAC7C}"/>
    <cellStyle name="Output 2 3 19 4" xfId="39735" xr:uid="{1FB529D2-F137-43F8-A443-06EF572AEE05}"/>
    <cellStyle name="Output 2 3 19 5" xfId="39736" xr:uid="{73510BB4-6015-45FB-BE34-31135AA63F33}"/>
    <cellStyle name="Output 2 3 19 6" xfId="39737" xr:uid="{0F29E877-FE79-4B7A-AB9E-AAFA3870FB4E}"/>
    <cellStyle name="Output 2 3 19 7" xfId="39738" xr:uid="{BBB0A083-4855-49F4-8D98-F3A280BC6189}"/>
    <cellStyle name="Output 2 3 2" xfId="2879" xr:uid="{3A53B98B-F3E4-468B-A88F-3832AE399768}"/>
    <cellStyle name="Output 2 3 2 2" xfId="10039" xr:uid="{ABC1F52F-FD01-482A-B90B-DD07CB5B38AE}"/>
    <cellStyle name="Output 2 3 2 2 2" xfId="39739" xr:uid="{B7F51DA1-BF71-4DA7-83A2-309E0ED0AE64}"/>
    <cellStyle name="Output 2 3 2 2 3" xfId="39740" xr:uid="{F2ACFAEB-4479-40D6-BF83-CF4BCC001FDF}"/>
    <cellStyle name="Output 2 3 2 2 4" xfId="39741" xr:uid="{BC6A7AE6-46DD-4FD2-9EB1-47024D4B392D}"/>
    <cellStyle name="Output 2 3 2 2 5" xfId="39742" xr:uid="{07473176-4DEB-42DC-9A63-E47FBB40B43F}"/>
    <cellStyle name="Output 2 3 2 2 6" xfId="39743" xr:uid="{82F05F06-453E-467C-B1B9-E1D8C882C8AC}"/>
    <cellStyle name="Output 2 3 2 3" xfId="39744" xr:uid="{B2116578-ABA6-43CE-A067-B4BCEA1DBEC5}"/>
    <cellStyle name="Output 2 3 2 4" xfId="39745" xr:uid="{BE673F10-B773-4D62-9429-96A7BDE4B150}"/>
    <cellStyle name="Output 2 3 2 5" xfId="39746" xr:uid="{69311973-F189-47AE-9CEE-12944263AA5A}"/>
    <cellStyle name="Output 2 3 2 6" xfId="39747" xr:uid="{D45F5A07-8B4D-475B-958D-A1BD457D0D27}"/>
    <cellStyle name="Output 2 3 2 7" xfId="39748" xr:uid="{C17F9AE6-A6FE-44B8-8EDA-8BD24F218C56}"/>
    <cellStyle name="Output 2 3 20" xfId="2880" xr:uid="{D45599CC-080F-4316-98E0-45C9C6C24E06}"/>
    <cellStyle name="Output 2 3 20 2" xfId="11620" xr:uid="{41BBCA79-F989-43BD-B258-C15280125D75}"/>
    <cellStyle name="Output 2 3 20 2 2" xfId="39749" xr:uid="{77A3113E-B3F4-441F-90C2-23F7981A6892}"/>
    <cellStyle name="Output 2 3 20 2 3" xfId="39750" xr:uid="{E97E3E16-AD47-41EB-B716-3709C6AD5A90}"/>
    <cellStyle name="Output 2 3 20 2 4" xfId="39751" xr:uid="{92B9E5FE-0BE1-4972-B8DE-9D00E4E72FD8}"/>
    <cellStyle name="Output 2 3 20 2 5" xfId="39752" xr:uid="{EDE46336-BF1E-478D-8852-ABCFC1EC9E41}"/>
    <cellStyle name="Output 2 3 20 2 6" xfId="39753" xr:uid="{96B6DAAB-DDB7-4857-B21F-37D7C0C83D44}"/>
    <cellStyle name="Output 2 3 20 3" xfId="39754" xr:uid="{E3351FB4-1368-43E0-BD14-0700C4F5D48A}"/>
    <cellStyle name="Output 2 3 20 4" xfId="39755" xr:uid="{09106A17-9FF7-4C91-9BA8-A9EE088BBF24}"/>
    <cellStyle name="Output 2 3 20 5" xfId="39756" xr:uid="{47B3DD1B-4661-46FF-8105-2C300D1AB263}"/>
    <cellStyle name="Output 2 3 20 6" xfId="39757" xr:uid="{3F748874-8FC2-43DB-9A35-9F69D8477DCB}"/>
    <cellStyle name="Output 2 3 20 7" xfId="39758" xr:uid="{928D6A8D-13F2-4B2E-83F0-EFF1BB6D2847}"/>
    <cellStyle name="Output 2 3 21" xfId="2881" xr:uid="{9D7B53FC-7874-42EB-8C00-85091EAACC54}"/>
    <cellStyle name="Output 2 3 21 2" xfId="11704" xr:uid="{F3738F40-0830-4020-BB0B-DC79055C5F6D}"/>
    <cellStyle name="Output 2 3 21 2 2" xfId="39759" xr:uid="{68916EC7-3F8E-4109-A77D-E3FD7FA92382}"/>
    <cellStyle name="Output 2 3 21 2 3" xfId="39760" xr:uid="{E0F979C2-4F00-4E18-A78F-4EA2C7ACFF7B}"/>
    <cellStyle name="Output 2 3 21 2 4" xfId="39761" xr:uid="{54ECAD09-BC05-4B4A-B394-74A3892D431B}"/>
    <cellStyle name="Output 2 3 21 2 5" xfId="39762" xr:uid="{4C4AF678-95E3-4D1D-9882-ABA381D8F241}"/>
    <cellStyle name="Output 2 3 21 2 6" xfId="39763" xr:uid="{A5466673-9C2A-4C9D-ADA6-27332B67ACE0}"/>
    <cellStyle name="Output 2 3 21 3" xfId="39764" xr:uid="{980568C3-0B13-4B1E-A390-5B7C71533F1A}"/>
    <cellStyle name="Output 2 3 21 4" xfId="39765" xr:uid="{FFDA14C7-A7A3-4614-B749-6242A3DB7141}"/>
    <cellStyle name="Output 2 3 21 5" xfId="39766" xr:uid="{87AE4E66-F3C9-4A9A-BCC6-45C3CA99FC19}"/>
    <cellStyle name="Output 2 3 21 6" xfId="39767" xr:uid="{2CC097C9-6170-4481-9030-B33EA8ACACFE}"/>
    <cellStyle name="Output 2 3 21 7" xfId="39768" xr:uid="{E1145E38-8D50-4C5A-AECF-AD5D1ED4625B}"/>
    <cellStyle name="Output 2 3 22" xfId="2882" xr:uid="{E9770A68-818C-460F-8369-C08A9B545F8F}"/>
    <cellStyle name="Output 2 3 22 2" xfId="11787" xr:uid="{F417206B-C7C8-4FC7-9264-B0535E866706}"/>
    <cellStyle name="Output 2 3 22 2 2" xfId="39769" xr:uid="{4F896643-4184-4A02-BBFA-0585440F6FE6}"/>
    <cellStyle name="Output 2 3 22 2 3" xfId="39770" xr:uid="{5CE1402E-CC4D-45DA-8889-E4E526E16AE2}"/>
    <cellStyle name="Output 2 3 22 2 4" xfId="39771" xr:uid="{E5CA066B-4F7F-4608-89D3-18569BC7728C}"/>
    <cellStyle name="Output 2 3 22 2 5" xfId="39772" xr:uid="{55E9D1CD-8B05-4CB6-9668-658038A15320}"/>
    <cellStyle name="Output 2 3 22 2 6" xfId="39773" xr:uid="{C889D909-9813-4C84-B25E-AE727E43A499}"/>
    <cellStyle name="Output 2 3 22 3" xfId="39774" xr:uid="{66394FF2-6B84-4465-841B-8C467A7A4C9A}"/>
    <cellStyle name="Output 2 3 22 4" xfId="39775" xr:uid="{6D66FE36-E1B0-4CCE-A6EB-2D8C049A7269}"/>
    <cellStyle name="Output 2 3 22 5" xfId="39776" xr:uid="{B78F8C98-AAC2-4FCB-B265-8F25E39A4F46}"/>
    <cellStyle name="Output 2 3 22 6" xfId="39777" xr:uid="{32736244-448D-45B7-8E4C-64500A557A7B}"/>
    <cellStyle name="Output 2 3 22 7" xfId="39778" xr:uid="{85297C3C-0258-4120-82CF-0C12CB8B6408}"/>
    <cellStyle name="Output 2 3 23" xfId="2883" xr:uid="{730C3DFB-9662-4AC7-A28B-861457857597}"/>
    <cellStyle name="Output 2 3 23 2" xfId="11870" xr:uid="{26D36920-89F4-42EB-8D95-13E9CD4F8775}"/>
    <cellStyle name="Output 2 3 23 2 2" xfId="39779" xr:uid="{6965CD1F-6B2C-45FF-ADA3-98E590868433}"/>
    <cellStyle name="Output 2 3 23 2 3" xfId="39780" xr:uid="{0EF37EC4-67B6-4DDE-BBF6-E07156A2A3BB}"/>
    <cellStyle name="Output 2 3 23 2 4" xfId="39781" xr:uid="{57FAAAF6-5D8A-4B0A-8AB4-79BA443493F1}"/>
    <cellStyle name="Output 2 3 23 2 5" xfId="39782" xr:uid="{A93BB958-9C23-48C6-A5B1-A2008EFD77BB}"/>
    <cellStyle name="Output 2 3 23 2 6" xfId="39783" xr:uid="{9F11A19D-1635-4173-87FA-2DC362810AE5}"/>
    <cellStyle name="Output 2 3 23 3" xfId="39784" xr:uid="{C11D495C-6F90-4181-B205-9B0717C7AE6C}"/>
    <cellStyle name="Output 2 3 23 4" xfId="39785" xr:uid="{30E56117-EBA5-429B-9994-E679B3D54B85}"/>
    <cellStyle name="Output 2 3 23 5" xfId="39786" xr:uid="{04BD618C-9DF2-40E9-BBF6-05FCCF6A7D86}"/>
    <cellStyle name="Output 2 3 23 6" xfId="39787" xr:uid="{4371E454-C1B5-419B-ADA9-8322DBAC0987}"/>
    <cellStyle name="Output 2 3 23 7" xfId="39788" xr:uid="{0169948E-BF55-4034-B794-7A01307C48DD}"/>
    <cellStyle name="Output 2 3 24" xfId="2884" xr:uid="{C7066C1E-5317-46BB-B386-999385CD9A74}"/>
    <cellStyle name="Output 2 3 24 2" xfId="11954" xr:uid="{0E494539-2FE4-4255-8B3B-92D0A7ABED79}"/>
    <cellStyle name="Output 2 3 24 2 2" xfId="39789" xr:uid="{8A215F0A-860F-4EC9-9392-C59D48931A05}"/>
    <cellStyle name="Output 2 3 24 2 3" xfId="39790" xr:uid="{B9936021-9716-4BF2-85F1-B9C8EC743168}"/>
    <cellStyle name="Output 2 3 24 2 4" xfId="39791" xr:uid="{F1A69627-6207-4E37-8B41-39057FF64059}"/>
    <cellStyle name="Output 2 3 24 2 5" xfId="39792" xr:uid="{B5746952-758E-467B-B7C1-2BBB4DCF7F3E}"/>
    <cellStyle name="Output 2 3 24 2 6" xfId="39793" xr:uid="{EFC715CA-6BDC-4415-9482-A2AED890C4F2}"/>
    <cellStyle name="Output 2 3 24 3" xfId="39794" xr:uid="{86D3CA65-30FF-45C3-AEFF-901EA518DC9F}"/>
    <cellStyle name="Output 2 3 24 4" xfId="39795" xr:uid="{581A0B6C-EBCF-455C-8E2E-F78F66723B7C}"/>
    <cellStyle name="Output 2 3 24 5" xfId="39796" xr:uid="{FBA07ECF-EDAF-45CF-8D99-DD8C6D76EA9C}"/>
    <cellStyle name="Output 2 3 24 6" xfId="39797" xr:uid="{7814F164-1E63-4CE9-93D3-71CF44B2488D}"/>
    <cellStyle name="Output 2 3 24 7" xfId="39798" xr:uid="{FA3FEA74-7FA7-40E1-AC43-4B454EBECA55}"/>
    <cellStyle name="Output 2 3 25" xfId="2885" xr:uid="{AFB688AC-3F41-4D6A-B231-DDB533E1EBE9}"/>
    <cellStyle name="Output 2 3 25 2" xfId="12037" xr:uid="{4AE90678-72D8-406C-B1B6-DC1651713D3D}"/>
    <cellStyle name="Output 2 3 25 2 2" xfId="39799" xr:uid="{486CD6D0-6BFD-40BD-8213-A739A32011DC}"/>
    <cellStyle name="Output 2 3 25 2 3" xfId="39800" xr:uid="{F97A5669-3286-48EB-AD51-CB3ED60F784C}"/>
    <cellStyle name="Output 2 3 25 2 4" xfId="39801" xr:uid="{22D6D063-FF76-44B1-8973-CB33F8AD9856}"/>
    <cellStyle name="Output 2 3 25 2 5" xfId="39802" xr:uid="{3307D633-B043-4584-B215-A01B64C362F2}"/>
    <cellStyle name="Output 2 3 25 2 6" xfId="39803" xr:uid="{BDDF544E-464B-4626-B4DA-23F96B226A13}"/>
    <cellStyle name="Output 2 3 25 3" xfId="39804" xr:uid="{15B7E153-D455-4CD1-BCE8-B3577D6B0687}"/>
    <cellStyle name="Output 2 3 25 4" xfId="39805" xr:uid="{44579D8F-730C-4582-9270-160326BFCE2B}"/>
    <cellStyle name="Output 2 3 25 5" xfId="39806" xr:uid="{3FDD277F-6480-4E76-998B-D2DD1AE348E6}"/>
    <cellStyle name="Output 2 3 25 6" xfId="39807" xr:uid="{293EDCF2-E412-4A46-85DD-CC5C7D2ACEFF}"/>
    <cellStyle name="Output 2 3 25 7" xfId="39808" xr:uid="{FDAA1CAE-6DFA-4E50-AEF9-E1E1351E4EAB}"/>
    <cellStyle name="Output 2 3 26" xfId="2886" xr:uid="{2AC3E253-F002-40B9-889C-1CED2E054289}"/>
    <cellStyle name="Output 2 3 26 2" xfId="12120" xr:uid="{10A44E5E-9C5C-4A67-9A9C-D5C04AD77E6B}"/>
    <cellStyle name="Output 2 3 26 2 2" xfId="39809" xr:uid="{B5F5E36A-E451-48EE-9F57-B511A1610765}"/>
    <cellStyle name="Output 2 3 26 2 3" xfId="39810" xr:uid="{6891BAE1-A969-4D20-9CFE-2DDA2F4292B2}"/>
    <cellStyle name="Output 2 3 26 2 4" xfId="39811" xr:uid="{C0235BF1-3EB9-4989-B7A9-45BA0BFC03E7}"/>
    <cellStyle name="Output 2 3 26 2 5" xfId="39812" xr:uid="{96530C53-8C73-4595-A8EA-90B89E3318E6}"/>
    <cellStyle name="Output 2 3 26 2 6" xfId="39813" xr:uid="{B5C36057-99CA-4DFB-8C5D-45B32D37D35F}"/>
    <cellStyle name="Output 2 3 26 3" xfId="39814" xr:uid="{36D8913E-F6D4-4811-9E0A-66B47B59F9E7}"/>
    <cellStyle name="Output 2 3 26 4" xfId="39815" xr:uid="{41544BEA-313C-46B4-A8DB-C179AF1D74EC}"/>
    <cellStyle name="Output 2 3 26 5" xfId="39816" xr:uid="{5DF6C30E-6A67-4637-B484-AD327E64BACC}"/>
    <cellStyle name="Output 2 3 26 6" xfId="39817" xr:uid="{2DD5CA51-9E03-48EF-A58A-1FD81F21DC7C}"/>
    <cellStyle name="Output 2 3 26 7" xfId="39818" xr:uid="{32AD28B3-E606-462A-820D-BB4BD1084071}"/>
    <cellStyle name="Output 2 3 27" xfId="2887" xr:uid="{B77F3B60-555F-412B-B6E9-4E14C22B525C}"/>
    <cellStyle name="Output 2 3 27 2" xfId="12202" xr:uid="{084639DF-7A02-4068-9788-816FF24ED8EF}"/>
    <cellStyle name="Output 2 3 27 2 2" xfId="39819" xr:uid="{9081107B-FAA7-4352-92A2-AC1EA2787F49}"/>
    <cellStyle name="Output 2 3 27 2 3" xfId="39820" xr:uid="{997CB0CC-B764-43E0-82EF-E5E5506FB099}"/>
    <cellStyle name="Output 2 3 27 2 4" xfId="39821" xr:uid="{22ACBF67-B64F-4075-AE58-DCAC379AECB0}"/>
    <cellStyle name="Output 2 3 27 2 5" xfId="39822" xr:uid="{70774633-CE9E-4E24-99B5-DE6EC44B9324}"/>
    <cellStyle name="Output 2 3 27 2 6" xfId="39823" xr:uid="{C405355A-CF8C-45B1-BECF-7AC49C0917D1}"/>
    <cellStyle name="Output 2 3 27 3" xfId="39824" xr:uid="{E7D88CFE-5D5A-4C3F-9995-22EB81672A7A}"/>
    <cellStyle name="Output 2 3 27 4" xfId="39825" xr:uid="{8C5BC0E3-82B4-4063-BEBD-CE60B8060501}"/>
    <cellStyle name="Output 2 3 27 5" xfId="39826" xr:uid="{026ACA30-14CE-4822-A5D4-D6026E70BF5B}"/>
    <cellStyle name="Output 2 3 27 6" xfId="39827" xr:uid="{95C133F3-4BC8-40CF-BE31-ADDA312D53B6}"/>
    <cellStyle name="Output 2 3 27 7" xfId="39828" xr:uid="{633A1C11-3C60-4081-ABA6-9AA61076294E}"/>
    <cellStyle name="Output 2 3 28" xfId="2888" xr:uid="{5C90A1C3-937A-42E8-92F9-FDE197D1E4BD}"/>
    <cellStyle name="Output 2 3 28 2" xfId="12282" xr:uid="{07E9F84F-28CB-4F18-946C-5479DEC2F38A}"/>
    <cellStyle name="Output 2 3 28 2 2" xfId="39829" xr:uid="{7AE069DB-C5A5-4340-BA42-7B2F6AE5AB86}"/>
    <cellStyle name="Output 2 3 28 2 3" xfId="39830" xr:uid="{E6AF826A-EE4B-43C2-B597-7C54D50D0810}"/>
    <cellStyle name="Output 2 3 28 2 4" xfId="39831" xr:uid="{81BAF032-A7D0-44D7-AB5F-F0A0AC592D8A}"/>
    <cellStyle name="Output 2 3 28 2 5" xfId="39832" xr:uid="{D66F5726-75A0-41E9-B3A0-C4EF8B95C439}"/>
    <cellStyle name="Output 2 3 28 2 6" xfId="39833" xr:uid="{73583C5A-C7FF-4E20-8E5A-4D28AB6FBA28}"/>
    <cellStyle name="Output 2 3 28 3" xfId="39834" xr:uid="{5B4A1BB3-EC01-43C7-B0AE-5C05EB5964EC}"/>
    <cellStyle name="Output 2 3 28 4" xfId="39835" xr:uid="{37529FD5-16BE-4F98-B29F-114DFCAD4E7D}"/>
    <cellStyle name="Output 2 3 28 5" xfId="39836" xr:uid="{F2004C9C-79E0-4ACB-B628-F9AD654142A9}"/>
    <cellStyle name="Output 2 3 28 6" xfId="39837" xr:uid="{741E69F7-BE4E-4FDC-A3D8-CDDC9064B54F}"/>
    <cellStyle name="Output 2 3 28 7" xfId="39838" xr:uid="{EA5FFCB6-484D-4BD3-8410-230CDC4D130A}"/>
    <cellStyle name="Output 2 3 29" xfId="2889" xr:uid="{EE5DA4A5-CB6A-47F6-820A-8FFA9FE397DC}"/>
    <cellStyle name="Output 2 3 29 2" xfId="12360" xr:uid="{1C6A230C-133D-4003-ADD0-ECA079E01A7A}"/>
    <cellStyle name="Output 2 3 29 2 2" xfId="39839" xr:uid="{AFC6463B-BB53-4855-B2C0-8AB4970436C6}"/>
    <cellStyle name="Output 2 3 29 2 3" xfId="39840" xr:uid="{16F7D42C-C332-4E14-861A-27953119EE48}"/>
    <cellStyle name="Output 2 3 29 2 4" xfId="39841" xr:uid="{631E99AA-5711-4203-90C1-15BB7444E12C}"/>
    <cellStyle name="Output 2 3 29 2 5" xfId="39842" xr:uid="{D28319F6-327B-4CE9-BF52-2E7901EDCAA4}"/>
    <cellStyle name="Output 2 3 29 2 6" xfId="39843" xr:uid="{EC127CE0-9F85-49DA-AA72-D3D57D7D0843}"/>
    <cellStyle name="Output 2 3 29 3" xfId="39844" xr:uid="{C7CE588C-AEFA-4CE3-86A7-543AEBD9E16D}"/>
    <cellStyle name="Output 2 3 29 4" xfId="39845" xr:uid="{25A8D2E8-0D77-42DD-B7B4-1F54FDF78703}"/>
    <cellStyle name="Output 2 3 29 5" xfId="39846" xr:uid="{10A02B52-F3D7-4E30-ABA7-E682EBCB3BE6}"/>
    <cellStyle name="Output 2 3 29 6" xfId="39847" xr:uid="{57AE6C18-50A2-45FA-802A-F2E1C2782EBB}"/>
    <cellStyle name="Output 2 3 29 7" xfId="39848" xr:uid="{1D8F015A-2FE6-4DC9-A7F9-7C71AF43C89E}"/>
    <cellStyle name="Output 2 3 3" xfId="2890" xr:uid="{2FEA9AA7-D4A5-4DDB-BABD-798ABD25887A}"/>
    <cellStyle name="Output 2 3 3 2" xfId="10130" xr:uid="{94A01DFA-F62D-42E0-90F0-12CBE166823F}"/>
    <cellStyle name="Output 2 3 3 2 2" xfId="39849" xr:uid="{59DE29CA-2DC4-4A69-9B11-3A95F75C0368}"/>
    <cellStyle name="Output 2 3 3 2 3" xfId="39850" xr:uid="{782A6B49-6EBD-4B83-8F7B-F092881CCD9B}"/>
    <cellStyle name="Output 2 3 3 2 4" xfId="39851" xr:uid="{93912E7B-E530-48DC-8CF7-47FDD47606F8}"/>
    <cellStyle name="Output 2 3 3 2 5" xfId="39852" xr:uid="{05370D5E-EF7B-4DD9-AD09-775BEC230930}"/>
    <cellStyle name="Output 2 3 3 2 6" xfId="39853" xr:uid="{02613245-41CB-4603-898D-05A5AED48A1B}"/>
    <cellStyle name="Output 2 3 3 3" xfId="39854" xr:uid="{B80A96BF-10B3-4E92-99A7-9D00C5480AC0}"/>
    <cellStyle name="Output 2 3 3 4" xfId="39855" xr:uid="{3366FF36-5C59-46BC-8558-9AA0DACA4F04}"/>
    <cellStyle name="Output 2 3 3 5" xfId="39856" xr:uid="{A0D93588-1571-4382-9EF8-370CAE8D513E}"/>
    <cellStyle name="Output 2 3 3 6" xfId="39857" xr:uid="{E5DF9AC1-6CB1-40C0-8A51-1456ABB27FA7}"/>
    <cellStyle name="Output 2 3 3 7" xfId="39858" xr:uid="{E96899C0-413A-44C1-B363-469AFAE1125A}"/>
    <cellStyle name="Output 2 3 30" xfId="2891" xr:uid="{B7C2DD39-22C5-48B7-98A2-162DFE598CA4}"/>
    <cellStyle name="Output 2 3 30 2" xfId="12439" xr:uid="{297CFF6A-FF73-4106-8E02-5C092DE100BD}"/>
    <cellStyle name="Output 2 3 30 2 2" xfId="39859" xr:uid="{9E0C588F-69E2-4298-8607-A5DDC576F5E6}"/>
    <cellStyle name="Output 2 3 30 2 3" xfId="39860" xr:uid="{CB068391-AC52-47A3-9EEA-0DB8233438C9}"/>
    <cellStyle name="Output 2 3 30 2 4" xfId="39861" xr:uid="{8DF3E6AA-8101-4F75-ACCF-4D81B793D52D}"/>
    <cellStyle name="Output 2 3 30 2 5" xfId="39862" xr:uid="{0CED51D3-BB3C-461F-82C7-6B322B275FBF}"/>
    <cellStyle name="Output 2 3 30 2 6" xfId="39863" xr:uid="{5C3D6ED2-2197-4D93-940D-BF6E135D56CB}"/>
    <cellStyle name="Output 2 3 30 3" xfId="39864" xr:uid="{ED323C99-D74A-4470-B663-80F74FC22B28}"/>
    <cellStyle name="Output 2 3 30 4" xfId="39865" xr:uid="{E14B4DF9-00E2-465F-8EB6-BBAD8B6B6A34}"/>
    <cellStyle name="Output 2 3 30 5" xfId="39866" xr:uid="{7B5C6166-44A1-48C9-BC80-9B337439AD39}"/>
    <cellStyle name="Output 2 3 30 6" xfId="39867" xr:uid="{C2BF525C-9F19-4A38-B3BF-E8F51B41B60E}"/>
    <cellStyle name="Output 2 3 30 7" xfId="39868" xr:uid="{B2214996-331F-415D-8512-C9E1FEECC7BF}"/>
    <cellStyle name="Output 2 3 31" xfId="2892" xr:uid="{BEA4EE64-C688-4396-B440-3A10956E5025}"/>
    <cellStyle name="Output 2 3 31 2" xfId="12518" xr:uid="{95C63616-DED7-448E-9009-A34C44529D13}"/>
    <cellStyle name="Output 2 3 31 2 2" xfId="39869" xr:uid="{AA3189BF-980A-4BDB-98B0-56A7BDDBC39E}"/>
    <cellStyle name="Output 2 3 31 2 3" xfId="39870" xr:uid="{7BD92F10-DC7F-412C-810F-B50868576A77}"/>
    <cellStyle name="Output 2 3 31 2 4" xfId="39871" xr:uid="{FF7989EA-84C2-4D34-877D-D50BCBA12421}"/>
    <cellStyle name="Output 2 3 31 2 5" xfId="39872" xr:uid="{B00CD7A7-6D87-4912-ADFF-796F39564C0D}"/>
    <cellStyle name="Output 2 3 31 2 6" xfId="39873" xr:uid="{43D67E22-569C-42AB-B887-7D579EDA8F25}"/>
    <cellStyle name="Output 2 3 31 3" xfId="39874" xr:uid="{6BEF69B4-5144-4D64-8ECC-BFAEC764A56C}"/>
    <cellStyle name="Output 2 3 31 4" xfId="39875" xr:uid="{A9D42DFC-BEFE-475D-916F-13916288E080}"/>
    <cellStyle name="Output 2 3 31 5" xfId="39876" xr:uid="{F9A0A66B-1749-4CA1-8878-9D9EBD69EBCA}"/>
    <cellStyle name="Output 2 3 31 6" xfId="39877" xr:uid="{91F35F0F-2BB2-4000-974C-AC3CA71E4484}"/>
    <cellStyle name="Output 2 3 31 7" xfId="39878" xr:uid="{D5434CB1-114D-4B1E-92DB-CC489FADBE7B}"/>
    <cellStyle name="Output 2 3 32" xfId="2893" xr:uid="{F356416F-6F31-4C14-BFAA-6A25E84AD16C}"/>
    <cellStyle name="Output 2 3 32 2" xfId="12597" xr:uid="{47D4AC85-BCF9-45DB-A38E-45EEF75B6319}"/>
    <cellStyle name="Output 2 3 32 2 2" xfId="39879" xr:uid="{09EA0989-819C-448C-AEE1-13F30744B722}"/>
    <cellStyle name="Output 2 3 32 2 3" xfId="39880" xr:uid="{CE96BB41-2CC9-4641-83F9-1B0593C0BA2E}"/>
    <cellStyle name="Output 2 3 32 2 4" xfId="39881" xr:uid="{C33981F0-3350-4EDA-9ADD-CFA730B5852B}"/>
    <cellStyle name="Output 2 3 32 2 5" xfId="39882" xr:uid="{EAD82EDF-21BE-4F55-91A8-A2CF28CF26B5}"/>
    <cellStyle name="Output 2 3 32 2 6" xfId="39883" xr:uid="{2BA1A15B-B6CC-4D25-B954-CC1FA65C7830}"/>
    <cellStyle name="Output 2 3 32 3" xfId="39884" xr:uid="{6C8D4DDE-D254-4B50-B5DA-DE2ADD6C9A46}"/>
    <cellStyle name="Output 2 3 32 4" xfId="39885" xr:uid="{BE92ADD7-FF4E-4B99-A03D-2D1568934107}"/>
    <cellStyle name="Output 2 3 32 5" xfId="39886" xr:uid="{9EEBEEFE-132E-4CB3-9CCD-5469631B0FB4}"/>
    <cellStyle name="Output 2 3 32 6" xfId="39887" xr:uid="{768EFA5C-3C8E-4797-8AB5-1B6700040318}"/>
    <cellStyle name="Output 2 3 32 7" xfId="39888" xr:uid="{C33B09D2-94FD-4BC2-89F1-F2940F1CA138}"/>
    <cellStyle name="Output 2 3 33" xfId="2894" xr:uid="{548FD61F-4F1F-42A3-8440-DB34BFFD89A2}"/>
    <cellStyle name="Output 2 3 33 2" xfId="12676" xr:uid="{A4849E43-01F7-49F4-94B3-489A662296B2}"/>
    <cellStyle name="Output 2 3 33 2 2" xfId="39889" xr:uid="{FF9AB0B2-8516-4CB3-8106-2F4A24727CE7}"/>
    <cellStyle name="Output 2 3 33 2 3" xfId="39890" xr:uid="{3C41EE3E-18BF-452B-814E-D02F8C9E74DE}"/>
    <cellStyle name="Output 2 3 33 2 4" xfId="39891" xr:uid="{D3D97A89-64CB-48B1-A07F-90001DB758C8}"/>
    <cellStyle name="Output 2 3 33 2 5" xfId="39892" xr:uid="{3A573A04-03E7-48EF-9B13-D6CC95EBBE09}"/>
    <cellStyle name="Output 2 3 33 2 6" xfId="39893" xr:uid="{640D9FB8-5E52-4FCA-BFC1-A4BAF05097C5}"/>
    <cellStyle name="Output 2 3 33 3" xfId="39894" xr:uid="{52A3FFEA-7062-442E-AC44-917D2FD45856}"/>
    <cellStyle name="Output 2 3 33 4" xfId="39895" xr:uid="{7D73A1B3-D647-4BF6-A360-68250F006C2D}"/>
    <cellStyle name="Output 2 3 33 5" xfId="39896" xr:uid="{8EC1474B-DE1A-496E-BF85-377A1193E7AF}"/>
    <cellStyle name="Output 2 3 33 6" xfId="39897" xr:uid="{CD806796-11BB-492E-909B-9CC28B1B8E36}"/>
    <cellStyle name="Output 2 3 33 7" xfId="39898" xr:uid="{E143413E-87BF-47AD-B881-004A07E18301}"/>
    <cellStyle name="Output 2 3 34" xfId="2895" xr:uid="{69A1BFB1-3F0A-4380-8AFE-6B662A7AFDA5}"/>
    <cellStyle name="Output 2 3 34 2" xfId="12760" xr:uid="{DF1C2657-BF84-43A1-927A-69ECA15D6CC6}"/>
    <cellStyle name="Output 2 3 34 2 2" xfId="39899" xr:uid="{40FEDBEE-4049-4595-8E0D-F9BFEBE1E82C}"/>
    <cellStyle name="Output 2 3 34 2 3" xfId="39900" xr:uid="{F87A37A0-725D-4529-B58F-5741DEE16C4A}"/>
    <cellStyle name="Output 2 3 34 2 4" xfId="39901" xr:uid="{4D362E62-3106-4E14-8AB9-E47CB6B3AFA3}"/>
    <cellStyle name="Output 2 3 34 2 5" xfId="39902" xr:uid="{440217B3-9AD7-4480-9199-934F5D377E52}"/>
    <cellStyle name="Output 2 3 34 2 6" xfId="39903" xr:uid="{254729FE-7986-426B-AA78-77FACC367047}"/>
    <cellStyle name="Output 2 3 34 3" xfId="39904" xr:uid="{68971BFF-D9F9-4957-B808-FDF7473AD3BA}"/>
    <cellStyle name="Output 2 3 34 4" xfId="39905" xr:uid="{7F97BC8C-48E1-4759-A399-7D1B779B5514}"/>
    <cellStyle name="Output 2 3 34 5" xfId="39906" xr:uid="{3BAC76C5-EFD8-4888-80B7-8EBBB26659F8}"/>
    <cellStyle name="Output 2 3 35" xfId="9826" xr:uid="{9AC8EF83-94B4-4257-A153-45690FEF6E79}"/>
    <cellStyle name="Output 2 3 35 2" xfId="39907" xr:uid="{569054FB-1B2F-4BC1-854E-C8024BE04810}"/>
    <cellStyle name="Output 2 3 35 3" xfId="39908" xr:uid="{869D9407-B47A-4081-9C0E-48F556DC3A25}"/>
    <cellStyle name="Output 2 3 35 4" xfId="39909" xr:uid="{47770D2D-7745-44C9-BB4C-1A800EFDB31D}"/>
    <cellStyle name="Output 2 3 35 5" xfId="39910" xr:uid="{66BDF42D-C6BB-4B86-9071-6CA6F9B86222}"/>
    <cellStyle name="Output 2 3 35 6" xfId="39911" xr:uid="{3B1173B2-D4FE-4B33-9EF5-85571B30483C}"/>
    <cellStyle name="Output 2 3 36" xfId="39912" xr:uid="{E625B552-EE60-4157-8B52-369AD2A775D7}"/>
    <cellStyle name="Output 2 3 37" xfId="39913" xr:uid="{2FB29768-755B-4172-9B2C-9CA83C994CBA}"/>
    <cellStyle name="Output 2 3 38" xfId="39914" xr:uid="{CD0DE7DC-F28B-498D-B49F-0ACEC7C989F2}"/>
    <cellStyle name="Output 2 3 4" xfId="2896" xr:uid="{15427538-E195-4F71-98AF-E09124793B2E}"/>
    <cellStyle name="Output 2 3 4 2" xfId="10220" xr:uid="{E15B1895-6F46-4249-889E-D1B817BC29F5}"/>
    <cellStyle name="Output 2 3 4 2 2" xfId="39915" xr:uid="{17443075-C855-46A2-A4E7-F8A750E3214D}"/>
    <cellStyle name="Output 2 3 4 2 3" xfId="39916" xr:uid="{4E028324-F474-406B-8921-FD1470F6A1E5}"/>
    <cellStyle name="Output 2 3 4 2 4" xfId="39917" xr:uid="{A1684EC9-94DE-47F2-8DF5-3BCA8E881A15}"/>
    <cellStyle name="Output 2 3 4 2 5" xfId="39918" xr:uid="{A7FB17B7-1CA1-4498-8D1C-DC292DA4EB39}"/>
    <cellStyle name="Output 2 3 4 2 6" xfId="39919" xr:uid="{9CEB399C-AEEE-4F92-90DB-DF7ABA0DB606}"/>
    <cellStyle name="Output 2 3 4 3" xfId="39920" xr:uid="{945D5107-B093-4578-B09D-0AA522CBC97D}"/>
    <cellStyle name="Output 2 3 4 4" xfId="39921" xr:uid="{623D108F-F5A8-40C0-A3FE-AE1D13A2B29C}"/>
    <cellStyle name="Output 2 3 4 5" xfId="39922" xr:uid="{D0AD4DFA-9E28-48F8-AFE7-3F05C6ED9291}"/>
    <cellStyle name="Output 2 3 4 6" xfId="39923" xr:uid="{DC86F342-06C7-4FFB-8E14-8CAE9FB299DC}"/>
    <cellStyle name="Output 2 3 4 7" xfId="39924" xr:uid="{DD5CB9C4-E7BE-472A-A4E5-76E7A47A1C91}"/>
    <cellStyle name="Output 2 3 5" xfId="2897" xr:uid="{F1DBCBAA-E035-42CB-A203-918A86632ED5}"/>
    <cellStyle name="Output 2 3 5 2" xfId="10306" xr:uid="{DB37C0C4-DC02-4740-A67D-31999C8EE513}"/>
    <cellStyle name="Output 2 3 5 2 2" xfId="39925" xr:uid="{7E1FF8AA-7602-48B0-B246-91D75AA8561E}"/>
    <cellStyle name="Output 2 3 5 2 3" xfId="39926" xr:uid="{15BBF5AF-26DA-4900-A841-0890DA5D9C99}"/>
    <cellStyle name="Output 2 3 5 2 4" xfId="39927" xr:uid="{C9485023-8F7B-4CB4-90D9-EE3E9FD4DE8E}"/>
    <cellStyle name="Output 2 3 5 2 5" xfId="39928" xr:uid="{D58D870A-F192-4325-91BD-A9D77E697D73}"/>
    <cellStyle name="Output 2 3 5 2 6" xfId="39929" xr:uid="{2193422F-E7C6-4207-AE86-7321F8AD3C92}"/>
    <cellStyle name="Output 2 3 5 3" xfId="39930" xr:uid="{F89DACF2-AF0B-4461-8A39-944ADFB7E2B3}"/>
    <cellStyle name="Output 2 3 5 4" xfId="39931" xr:uid="{0AA9F89C-03FF-4F91-9483-BC004CCEB804}"/>
    <cellStyle name="Output 2 3 5 5" xfId="39932" xr:uid="{C4A200C9-FF33-46EB-BF37-980D10543F20}"/>
    <cellStyle name="Output 2 3 5 6" xfId="39933" xr:uid="{AE8F8F2C-2BE1-4905-B833-39136B34B201}"/>
    <cellStyle name="Output 2 3 5 7" xfId="39934" xr:uid="{ADA4366C-05F2-477A-B4C0-A8B9A547CBF2}"/>
    <cellStyle name="Output 2 3 6" xfId="2898" xr:uid="{C7405C4C-346C-40B3-8231-101EA32E86B3}"/>
    <cellStyle name="Output 2 3 6 2" xfId="10394" xr:uid="{8BFB63E1-4C39-44D2-9E46-3F5EA4505048}"/>
    <cellStyle name="Output 2 3 6 2 2" xfId="39935" xr:uid="{DFC5B9DE-BD64-44C6-ADA4-A36FBD25595A}"/>
    <cellStyle name="Output 2 3 6 2 3" xfId="39936" xr:uid="{C1494C4C-68AA-4EB1-98C0-C3E7CEEB9ACB}"/>
    <cellStyle name="Output 2 3 6 2 4" xfId="39937" xr:uid="{A4522B18-C811-448F-8F25-4A4E0A10559E}"/>
    <cellStyle name="Output 2 3 6 2 5" xfId="39938" xr:uid="{B63498B0-2EB1-4159-9285-40B2B0467567}"/>
    <cellStyle name="Output 2 3 6 2 6" xfId="39939" xr:uid="{90F24F03-AC04-4AA5-B5C8-BCFC37A78609}"/>
    <cellStyle name="Output 2 3 6 3" xfId="39940" xr:uid="{D0454B59-D40D-43BE-A369-AAD51CBF8AC1}"/>
    <cellStyle name="Output 2 3 6 4" xfId="39941" xr:uid="{42B9659E-CE24-4FFA-AA80-972FD442243B}"/>
    <cellStyle name="Output 2 3 6 5" xfId="39942" xr:uid="{3A983BC6-01E0-422B-824D-8C703A445F50}"/>
    <cellStyle name="Output 2 3 6 6" xfId="39943" xr:uid="{11294993-E5A7-4724-9B6B-AE791139B921}"/>
    <cellStyle name="Output 2 3 6 7" xfId="39944" xr:uid="{E3AC2C9B-F3EF-45DF-853D-AC8D692C4847}"/>
    <cellStyle name="Output 2 3 7" xfId="2899" xr:uid="{11D5BA8B-0583-4C2E-93CF-A91C60A7D01B}"/>
    <cellStyle name="Output 2 3 7 2" xfId="10481" xr:uid="{814D1FC3-5EED-41A6-B0C3-91A69BCCD8AB}"/>
    <cellStyle name="Output 2 3 7 2 2" xfId="39945" xr:uid="{F039D769-A0E7-4920-8028-98D9CB6A75A1}"/>
    <cellStyle name="Output 2 3 7 2 3" xfId="39946" xr:uid="{CD3EC580-7174-49A9-87BC-82E625CDB430}"/>
    <cellStyle name="Output 2 3 7 2 4" xfId="39947" xr:uid="{F21CCB45-E580-4BDA-AEB7-6067B9905FED}"/>
    <cellStyle name="Output 2 3 7 2 5" xfId="39948" xr:uid="{3C45E7E7-BDB1-485C-8BC6-17978FB7FB75}"/>
    <cellStyle name="Output 2 3 7 2 6" xfId="39949" xr:uid="{BB9EFD34-0325-4B19-ABE0-8489AD3D01B5}"/>
    <cellStyle name="Output 2 3 7 3" xfId="39950" xr:uid="{900FA1E7-4B38-4B72-BA99-4013EE40CD28}"/>
    <cellStyle name="Output 2 3 7 4" xfId="39951" xr:uid="{F69D911A-4342-420A-9E0C-38CF8BCB1AD0}"/>
    <cellStyle name="Output 2 3 7 5" xfId="39952" xr:uid="{18C4D23F-D0DD-4190-A0F3-C11ACDFE7F2E}"/>
    <cellStyle name="Output 2 3 7 6" xfId="39953" xr:uid="{0759613D-546F-4DA2-8CAB-D3BDBB553628}"/>
    <cellStyle name="Output 2 3 7 7" xfId="39954" xr:uid="{3BEBF944-DB8A-4C88-8F16-7E9B00CCEFEB}"/>
    <cellStyle name="Output 2 3 8" xfId="2900" xr:uid="{94AA4D6B-81C9-4E63-B3EB-0F986BAE77DC}"/>
    <cellStyle name="Output 2 3 8 2" xfId="10569" xr:uid="{A4E3AF3E-452D-4D5F-993A-85AC7761A599}"/>
    <cellStyle name="Output 2 3 8 2 2" xfId="39955" xr:uid="{FE766F30-590F-4964-BF07-5D62B9341B86}"/>
    <cellStyle name="Output 2 3 8 2 3" xfId="39956" xr:uid="{30C00999-9D9B-4170-B0FB-D90203636CF6}"/>
    <cellStyle name="Output 2 3 8 2 4" xfId="39957" xr:uid="{5AC6852B-3FD1-4742-BAC9-E9491CF0A07E}"/>
    <cellStyle name="Output 2 3 8 2 5" xfId="39958" xr:uid="{F56F25D6-FE3F-4B96-A2BE-2A2415694788}"/>
    <cellStyle name="Output 2 3 8 2 6" xfId="39959" xr:uid="{2390FC20-FE02-49FB-AEB6-F69BC80AF238}"/>
    <cellStyle name="Output 2 3 8 3" xfId="39960" xr:uid="{0D04D6FC-F9D9-4E7B-A0E0-8609A9896104}"/>
    <cellStyle name="Output 2 3 8 4" xfId="39961" xr:uid="{FB055621-B208-425F-B886-C0BFEA3BED96}"/>
    <cellStyle name="Output 2 3 8 5" xfId="39962" xr:uid="{2A5626B7-DD10-4455-ADE1-7D66181759A8}"/>
    <cellStyle name="Output 2 3 8 6" xfId="39963" xr:uid="{8A41F6A0-095A-442A-826E-BB9B30CBFA21}"/>
    <cellStyle name="Output 2 3 8 7" xfId="39964" xr:uid="{5873A1B3-22A1-4289-8A6B-E67518A41879}"/>
    <cellStyle name="Output 2 3 9" xfId="2901" xr:uid="{59223D3C-9828-470B-B91E-F6DA8F560EE0}"/>
    <cellStyle name="Output 2 3 9 2" xfId="10651" xr:uid="{C5B65B4F-8ABA-4374-9137-D58D3EF928F7}"/>
    <cellStyle name="Output 2 3 9 2 2" xfId="39965" xr:uid="{D1F489B8-8353-4EDB-BBFD-CF63B6F445A9}"/>
    <cellStyle name="Output 2 3 9 2 3" xfId="39966" xr:uid="{40BF874B-4DEA-4E77-B36E-56C606C1C694}"/>
    <cellStyle name="Output 2 3 9 2 4" xfId="39967" xr:uid="{18137769-90E1-492A-BE21-5F42463F8FB4}"/>
    <cellStyle name="Output 2 3 9 2 5" xfId="39968" xr:uid="{57814759-ED09-4C51-BF96-E3254E8D19B0}"/>
    <cellStyle name="Output 2 3 9 2 6" xfId="39969" xr:uid="{E75AE385-5B76-4E74-8998-EE7105367594}"/>
    <cellStyle name="Output 2 3 9 3" xfId="39970" xr:uid="{3CCBA895-9C84-4EBF-B0D8-36B0481E8925}"/>
    <cellStyle name="Output 2 3 9 4" xfId="39971" xr:uid="{9E406D62-CF3D-4437-B514-54B4F3531DE7}"/>
    <cellStyle name="Output 2 3 9 5" xfId="39972" xr:uid="{D3775B0B-6CD0-42C7-8567-14D4FB8D11D2}"/>
    <cellStyle name="Output 2 3 9 6" xfId="39973" xr:uid="{080E77C5-8BD9-429A-A9A8-BAA8B267BDB6}"/>
    <cellStyle name="Output 2 3 9 7" xfId="39974" xr:uid="{6AFD8F56-85DE-4E51-82FB-3D625A508CA2}"/>
    <cellStyle name="Output 2 30" xfId="9772" xr:uid="{9384D01E-1A60-42A9-A16D-A51298011344}"/>
    <cellStyle name="Output 2 30 2" xfId="39975" xr:uid="{823575E2-9193-4075-9BAF-BB2030B9BA50}"/>
    <cellStyle name="Output 2 30 3" xfId="39976" xr:uid="{C5F74E00-208C-44CF-BCAB-FCED3B8E1648}"/>
    <cellStyle name="Output 2 30 4" xfId="39977" xr:uid="{D3DEF2A9-3965-419D-A5C5-8781EB12E8C3}"/>
    <cellStyle name="Output 2 30 5" xfId="39978" xr:uid="{56183659-0277-4199-AD80-59CE8834FDE1}"/>
    <cellStyle name="Output 2 30 6" xfId="39979" xr:uid="{F38FF105-2BF4-4DCC-8C97-7AEEDB9341CD}"/>
    <cellStyle name="Output 2 31" xfId="44185" xr:uid="{8A1381C1-2BD1-4872-9666-A7448DAE9A67}"/>
    <cellStyle name="Output 2 4" xfId="2902" xr:uid="{523094E5-B497-42B2-95EE-E06B6DBD0A32}"/>
    <cellStyle name="Output 2 4 2" xfId="9976" xr:uid="{A8910A59-2D79-4EC5-AD6F-EE4F65150907}"/>
    <cellStyle name="Output 2 4 2 2" xfId="39980" xr:uid="{075FD64B-C906-4147-8208-C02E09003EE3}"/>
    <cellStyle name="Output 2 4 2 3" xfId="39981" xr:uid="{94ADC132-77ED-44DD-B7CD-7F49F37782E8}"/>
    <cellStyle name="Output 2 4 2 4" xfId="39982" xr:uid="{D3098BED-9AD3-4C0D-A7DD-E6507AD97379}"/>
    <cellStyle name="Output 2 4 2 5" xfId="39983" xr:uid="{9E20BE7A-CB7E-4A96-8E8A-EDEE42D954BF}"/>
    <cellStyle name="Output 2 4 2 6" xfId="39984" xr:uid="{9C3F3DDE-5C40-44BF-85DB-F35275199BD9}"/>
    <cellStyle name="Output 2 4 3" xfId="39985" xr:uid="{50AB65AA-EF51-4B92-AAB8-A5CC2D8422C1}"/>
    <cellStyle name="Output 2 4 4" xfId="39986" xr:uid="{F8E504C2-DEF4-406C-B45A-9FA27902AC0F}"/>
    <cellStyle name="Output 2 4 5" xfId="39987" xr:uid="{A1056271-A18F-457E-81B6-82538563BACB}"/>
    <cellStyle name="Output 2 4 6" xfId="39988" xr:uid="{17EB6D6D-360A-486B-8BD0-0210355DDC3E}"/>
    <cellStyle name="Output 2 4 7" xfId="39989" xr:uid="{1D8942C1-B510-4D85-B819-49A6A7DEFACF}"/>
    <cellStyle name="Output 2 5" xfId="2903" xr:uid="{BBE0F6EF-E1B8-41E3-B99D-323DBE3B7CCB}"/>
    <cellStyle name="Output 2 5 2" xfId="9870" xr:uid="{322244A9-131B-4F03-908D-C3FCD9FC6C3F}"/>
    <cellStyle name="Output 2 5 2 2" xfId="39990" xr:uid="{E5235F9B-0D18-4390-B234-9557626A741A}"/>
    <cellStyle name="Output 2 5 2 3" xfId="39991" xr:uid="{86339F39-ED4A-4325-9EAC-974739B734D9}"/>
    <cellStyle name="Output 2 5 2 4" xfId="39992" xr:uid="{D496C886-BE95-4355-B8CD-1F3112BBEFD5}"/>
    <cellStyle name="Output 2 5 2 5" xfId="39993" xr:uid="{ABC52181-2303-43CC-9A89-2B7424BE2BC1}"/>
    <cellStyle name="Output 2 5 2 6" xfId="39994" xr:uid="{E053CE5A-3E80-4861-92DE-7E087276B1A2}"/>
    <cellStyle name="Output 2 5 3" xfId="39995" xr:uid="{D26C5212-0BF2-4397-977B-3572DC0EA6D3}"/>
    <cellStyle name="Output 2 5 4" xfId="39996" xr:uid="{C148B6A7-4DCF-447D-B895-C4AD7342590E}"/>
    <cellStyle name="Output 2 5 5" xfId="39997" xr:uid="{A9A506E5-B865-499E-84F3-79F9AFFF8AE8}"/>
    <cellStyle name="Output 2 5 6" xfId="39998" xr:uid="{DF6054B7-FA29-4032-AAD5-91733962785B}"/>
    <cellStyle name="Output 2 5 7" xfId="39999" xr:uid="{3D70929C-A1C0-49DF-9097-D6E3A89CD2F4}"/>
    <cellStyle name="Output 2 6" xfId="2904" xr:uid="{8C475DD8-0A01-47BD-98D9-F92F6F12C4AF}"/>
    <cellStyle name="Output 2 6 2" xfId="9951" xr:uid="{E0B58B75-2C1B-4A98-8440-E762A90CA64A}"/>
    <cellStyle name="Output 2 6 2 2" xfId="40000" xr:uid="{9763F2BB-FC35-4DAB-B053-D21C954BDCF4}"/>
    <cellStyle name="Output 2 6 2 3" xfId="40001" xr:uid="{5F82D1E6-6E1F-4CAB-91B1-E24273F5DAF8}"/>
    <cellStyle name="Output 2 6 2 4" xfId="40002" xr:uid="{6832983C-A8D1-4C8C-8A6C-7C75CB6654DE}"/>
    <cellStyle name="Output 2 6 2 5" xfId="40003" xr:uid="{F40CE7CC-5CE0-413A-998A-FEFA731570C5}"/>
    <cellStyle name="Output 2 6 2 6" xfId="40004" xr:uid="{ACCC2955-21BF-4821-92D8-2413EABEF573}"/>
    <cellStyle name="Output 2 6 3" xfId="40005" xr:uid="{F5BB7CDC-C763-4F4A-988F-D025536026C1}"/>
    <cellStyle name="Output 2 6 4" xfId="40006" xr:uid="{AF353C61-E9FC-4A20-A5AF-B5FE8C0A4B37}"/>
    <cellStyle name="Output 2 6 5" xfId="40007" xr:uid="{2FDAA0D2-9760-40A9-AEBF-33252786B6FF}"/>
    <cellStyle name="Output 2 6 6" xfId="40008" xr:uid="{0AAD0550-5A61-4433-9609-20328CD9B982}"/>
    <cellStyle name="Output 2 6 7" xfId="40009" xr:uid="{11E2AC00-57D3-4BA5-9F65-C29929AEB256}"/>
    <cellStyle name="Output 2 7" xfId="2905" xr:uid="{79E3A18B-BFB5-4AB7-89C3-FC813E5A7158}"/>
    <cellStyle name="Output 2 7 2" xfId="9985" xr:uid="{EBBF4EB4-00AB-4577-9B5A-4DC88EC302FC}"/>
    <cellStyle name="Output 2 7 2 2" xfId="40010" xr:uid="{9767278A-F03A-44E8-B29A-106F81E1A991}"/>
    <cellStyle name="Output 2 7 2 3" xfId="40011" xr:uid="{D2AD3644-1D68-497C-B0FB-E403D21BEAA3}"/>
    <cellStyle name="Output 2 7 2 4" xfId="40012" xr:uid="{805EF35C-8383-496F-85C2-9289933B8EE1}"/>
    <cellStyle name="Output 2 7 2 5" xfId="40013" xr:uid="{F5F44B17-EB43-476C-B43E-B000C90285E9}"/>
    <cellStyle name="Output 2 7 2 6" xfId="40014" xr:uid="{5DF0884F-3D66-4285-803C-4FB60B648E66}"/>
    <cellStyle name="Output 2 7 3" xfId="40015" xr:uid="{76848731-C1A0-4A71-9234-485569B5D7D0}"/>
    <cellStyle name="Output 2 7 4" xfId="40016" xr:uid="{E2934922-FEF1-4C0F-8D7D-1CC250E39839}"/>
    <cellStyle name="Output 2 7 5" xfId="40017" xr:uid="{4F16EC11-D156-4DAC-8A49-E93227917754}"/>
    <cellStyle name="Output 2 7 6" xfId="40018" xr:uid="{8BA2439D-AAF0-44A2-9DF4-78A274BAF6B8}"/>
    <cellStyle name="Output 2 7 7" xfId="40019" xr:uid="{02495F2D-6CCD-44D3-AFA1-44BE1783E2C5}"/>
    <cellStyle name="Output 2 8" xfId="2906" xr:uid="{45580DCF-7733-4784-998F-4E01B4E0E964}"/>
    <cellStyle name="Output 2 8 2" xfId="9971" xr:uid="{03607B95-A586-4509-B69B-67E8B593648E}"/>
    <cellStyle name="Output 2 8 2 2" xfId="40020" xr:uid="{71AE71F0-DA47-4CCB-A69D-7FAD94C5BEF6}"/>
    <cellStyle name="Output 2 8 2 3" xfId="40021" xr:uid="{5A671FC8-C473-429F-A947-7A952D3912FA}"/>
    <cellStyle name="Output 2 8 2 4" xfId="40022" xr:uid="{FC1EAA0D-56D6-43AE-B4DB-ADEC13801DAB}"/>
    <cellStyle name="Output 2 8 2 5" xfId="40023" xr:uid="{0033E1A1-1463-4AB1-80F1-A25B262B3C4B}"/>
    <cellStyle name="Output 2 8 2 6" xfId="40024" xr:uid="{CD660520-A385-4569-B2CB-E44FC039D8CE}"/>
    <cellStyle name="Output 2 8 3" xfId="40025" xr:uid="{EA316914-11FA-4E95-A53F-1CF1B1ECAB3F}"/>
    <cellStyle name="Output 2 8 4" xfId="40026" xr:uid="{14DAA05B-BFF5-4D6C-AB3E-7AFFF8B988E5}"/>
    <cellStyle name="Output 2 8 5" xfId="40027" xr:uid="{17B9A7DA-588A-4AD2-B7A4-DDF3F380769D}"/>
    <cellStyle name="Output 2 8 6" xfId="40028" xr:uid="{0C82A4B0-7464-4969-903F-E7506809EDBE}"/>
    <cellStyle name="Output 2 8 7" xfId="40029" xr:uid="{C6077552-4054-4C9A-BDCE-A34C1ECDF0F1}"/>
    <cellStyle name="Output 2 9" xfId="2907" xr:uid="{E0E05F61-DFA5-4E58-A7A8-04C23867D4A8}"/>
    <cellStyle name="Output 2 9 2" xfId="9938" xr:uid="{5F6188DC-1BAD-46E7-8DF2-15EE6EDF1304}"/>
    <cellStyle name="Output 2 9 2 2" xfId="40030" xr:uid="{DAB415B1-2BD8-4A2F-8D8B-6D73C8E01ADE}"/>
    <cellStyle name="Output 2 9 2 3" xfId="40031" xr:uid="{682DD2FD-0991-496E-A30C-1F4CC92D4BE8}"/>
    <cellStyle name="Output 2 9 2 4" xfId="40032" xr:uid="{CE156C0E-B75A-4321-B297-90D285505617}"/>
    <cellStyle name="Output 2 9 2 5" xfId="40033" xr:uid="{154F4B6D-A655-4075-B5E1-00E6D7765629}"/>
    <cellStyle name="Output 2 9 2 6" xfId="40034" xr:uid="{52313D99-99BC-441F-8164-8DF959B8B0B7}"/>
    <cellStyle name="Output 2 9 3" xfId="40035" xr:uid="{13A7C3C2-E7CE-409D-8D64-9B428DE13513}"/>
    <cellStyle name="Output 2 9 4" xfId="40036" xr:uid="{15EA91E0-3A8A-4D98-80B2-311AEC4C7BF4}"/>
    <cellStyle name="Output 2 9 5" xfId="40037" xr:uid="{4DE7969A-2E40-4CC6-9E4F-40C575763799}"/>
    <cellStyle name="Output 2 9 6" xfId="40038" xr:uid="{CE6A1B84-4DB5-465D-8990-818390BBFF9A}"/>
    <cellStyle name="Output 2 9 7" xfId="40039" xr:uid="{EE5EC8EF-06A0-451B-8F54-2350EAB85282}"/>
    <cellStyle name="Output 3" xfId="2908" xr:uid="{00A25F3D-2B3D-4C07-8A22-4C0C5AEA661C}"/>
    <cellStyle name="Output 3 10" xfId="2909" xr:uid="{E6B30578-82AC-4495-992A-5417850A0496}"/>
    <cellStyle name="Output 3 10 2" xfId="9879" xr:uid="{7FCD4A9F-06B0-47CA-8894-ADAA4F8E70F4}"/>
    <cellStyle name="Output 3 10 2 2" xfId="40040" xr:uid="{FEE9157F-A341-4812-89E6-70D474707821}"/>
    <cellStyle name="Output 3 10 2 3" xfId="40041" xr:uid="{81BA1ECD-0F27-4A03-8E00-618ECF2BB66A}"/>
    <cellStyle name="Output 3 10 2 4" xfId="40042" xr:uid="{701293C1-B079-46AC-8EEF-3A12C02B94C9}"/>
    <cellStyle name="Output 3 10 2 5" xfId="40043" xr:uid="{A94141A3-4756-4279-807D-968F5DEAA4CC}"/>
    <cellStyle name="Output 3 10 2 6" xfId="40044" xr:uid="{915395FF-0DFA-4106-A109-7E5682A78B39}"/>
    <cellStyle name="Output 3 10 3" xfId="40045" xr:uid="{70C3CDE2-2B53-4281-B64F-711656B20601}"/>
    <cellStyle name="Output 3 10 4" xfId="40046" xr:uid="{341DEB35-5A4D-4936-A0B0-A9E84A4A98D6}"/>
    <cellStyle name="Output 3 10 5" xfId="40047" xr:uid="{22B644EB-0214-455F-AAEB-31EE1CB374D7}"/>
    <cellStyle name="Output 3 10 6" xfId="40048" xr:uid="{07EBE001-AC44-4E4F-8245-8CE7A7054BD6}"/>
    <cellStyle name="Output 3 10 7" xfId="40049" xr:uid="{62A10E28-A9BE-4D24-9156-1EAEB953AE4D}"/>
    <cellStyle name="Output 3 11" xfId="2910" xr:uid="{2ED63855-7BB9-4911-9086-1EF143297ADE}"/>
    <cellStyle name="Output 3 11 2" xfId="10379" xr:uid="{FB833E21-90DD-4B01-B28C-21F6770EEB68}"/>
    <cellStyle name="Output 3 11 2 2" xfId="40050" xr:uid="{3264862F-306D-42CD-9677-8B6FF2A37E86}"/>
    <cellStyle name="Output 3 11 2 3" xfId="40051" xr:uid="{076EBDA4-7581-49DB-A702-93E30C7FC391}"/>
    <cellStyle name="Output 3 11 2 4" xfId="40052" xr:uid="{037EA5B1-3D70-4C7A-9EA3-8BFD56E0ABD8}"/>
    <cellStyle name="Output 3 11 2 5" xfId="40053" xr:uid="{530F41D8-2EE2-4929-BF77-53EAF84C6828}"/>
    <cellStyle name="Output 3 11 2 6" xfId="40054" xr:uid="{A5F59A55-C731-4945-84E4-E3A9D641C1DF}"/>
    <cellStyle name="Output 3 11 3" xfId="40055" xr:uid="{2E7AD2A6-23FA-43A9-8633-BD2E8AA3F2ED}"/>
    <cellStyle name="Output 3 11 4" xfId="40056" xr:uid="{1F12D9E2-52D4-4B05-BA68-CB22C9F7EBC9}"/>
    <cellStyle name="Output 3 11 5" xfId="40057" xr:uid="{3FA55394-5305-479C-AD54-A9A0740EC457}"/>
    <cellStyle name="Output 3 11 6" xfId="40058" xr:uid="{044AF3E5-DA6A-46BF-83E9-C545C372DA06}"/>
    <cellStyle name="Output 3 11 7" xfId="40059" xr:uid="{E5CBFD19-94D4-49E6-A70C-CA74ABCE8BE1}"/>
    <cellStyle name="Output 3 12" xfId="2911" xr:uid="{23A230A7-4E26-462D-8308-1E08E8500E41}"/>
    <cellStyle name="Output 3 12 2" xfId="9906" xr:uid="{FED7397D-7D56-4686-B661-B7CF8E265509}"/>
    <cellStyle name="Output 3 12 2 2" xfId="40060" xr:uid="{13A996B0-9705-48FB-B839-2CA9947BDE1F}"/>
    <cellStyle name="Output 3 12 2 3" xfId="40061" xr:uid="{1BCC0EDD-9C46-4BCF-A157-A940D21AA17B}"/>
    <cellStyle name="Output 3 12 2 4" xfId="40062" xr:uid="{A81FA74E-96BD-4734-AAE3-25FCC5630F22}"/>
    <cellStyle name="Output 3 12 2 5" xfId="40063" xr:uid="{D80389B1-22A9-412A-835D-E779E44B73C1}"/>
    <cellStyle name="Output 3 12 2 6" xfId="40064" xr:uid="{A96DCAB5-280C-42B0-940E-227938FFDCD8}"/>
    <cellStyle name="Output 3 12 3" xfId="40065" xr:uid="{796F3F20-CBE9-47F3-8F86-6FA12C61DB1E}"/>
    <cellStyle name="Output 3 12 4" xfId="40066" xr:uid="{B8332A46-F2FD-4BED-BF81-F69511104F3B}"/>
    <cellStyle name="Output 3 12 5" xfId="40067" xr:uid="{3103284C-5B46-4B04-A751-C93A4584E1A5}"/>
    <cellStyle name="Output 3 12 6" xfId="40068" xr:uid="{38E50382-7A6D-42D9-82F9-6F5704C891E5}"/>
    <cellStyle name="Output 3 12 7" xfId="40069" xr:uid="{26787917-21DC-4244-B77D-D91286F0718D}"/>
    <cellStyle name="Output 3 13" xfId="2912" xr:uid="{49646365-722C-40ED-866A-4FFBBAC8B6DC}"/>
    <cellStyle name="Output 3 13 2" xfId="9862" xr:uid="{509BBF08-B0FE-4487-A1C7-48BCF1597753}"/>
    <cellStyle name="Output 3 13 2 2" xfId="40070" xr:uid="{F62EEE58-531D-4861-A70B-D68725890170}"/>
    <cellStyle name="Output 3 13 2 3" xfId="40071" xr:uid="{BBCF54EF-5978-41E8-AEAE-3C92C816B2FC}"/>
    <cellStyle name="Output 3 13 2 4" xfId="40072" xr:uid="{AA57D7C5-3476-489D-9A3A-E3407A6A806E}"/>
    <cellStyle name="Output 3 13 2 5" xfId="40073" xr:uid="{5A0A369C-E8FE-4E38-A721-875635C5D37B}"/>
    <cellStyle name="Output 3 13 2 6" xfId="40074" xr:uid="{64C001A3-0E90-4303-B84B-A733831EF836}"/>
    <cellStyle name="Output 3 13 3" xfId="40075" xr:uid="{688389D2-C9F8-4D32-9811-1A9403272A4B}"/>
    <cellStyle name="Output 3 13 4" xfId="40076" xr:uid="{834E2C8F-B956-4641-9D4A-F1C7DA8D5077}"/>
    <cellStyle name="Output 3 13 5" xfId="40077" xr:uid="{931BE89F-8A3A-472A-847F-D4964641762A}"/>
    <cellStyle name="Output 3 13 6" xfId="40078" xr:uid="{9CC57957-7D95-41A6-B93F-EB8BDA1B2BA0}"/>
    <cellStyle name="Output 3 13 7" xfId="40079" xr:uid="{56BB840A-2068-4CD4-85A4-E9FFD5F09209}"/>
    <cellStyle name="Output 3 14" xfId="2913" xr:uid="{07B3F601-2439-4F5F-BEA2-EF622E5C968C}"/>
    <cellStyle name="Output 3 14 2" xfId="10687" xr:uid="{B7C607D2-5681-4933-9519-92AB59EE9446}"/>
    <cellStyle name="Output 3 14 2 2" xfId="40080" xr:uid="{B57A6D56-C0E3-49F7-A81B-EF3EA3B720A0}"/>
    <cellStyle name="Output 3 14 2 3" xfId="40081" xr:uid="{59C06A9D-E99C-46A2-A3E1-1789FB0E690A}"/>
    <cellStyle name="Output 3 14 2 4" xfId="40082" xr:uid="{08EF2462-1247-4830-8D84-ACA580839D21}"/>
    <cellStyle name="Output 3 14 2 5" xfId="40083" xr:uid="{D1756313-FABD-45A9-9EFF-40E29FABF355}"/>
    <cellStyle name="Output 3 14 2 6" xfId="40084" xr:uid="{51AF4752-D4FE-4778-9D98-B4B776DE6573}"/>
    <cellStyle name="Output 3 14 3" xfId="40085" xr:uid="{94A56344-4994-451A-A879-6FF35043ADE2}"/>
    <cellStyle name="Output 3 14 4" xfId="40086" xr:uid="{8D270236-7DE6-4B7A-ACB8-A7FFE03F7F7A}"/>
    <cellStyle name="Output 3 14 5" xfId="40087" xr:uid="{F9D638A1-CB6A-46F8-B581-2176C4A5DED4}"/>
    <cellStyle name="Output 3 14 6" xfId="40088" xr:uid="{50B3A4A9-0308-4BE5-A76B-017D22786443}"/>
    <cellStyle name="Output 3 14 7" xfId="40089" xr:uid="{E99BA343-DDA2-4E06-BCF0-7F83BD2D0CC4}"/>
    <cellStyle name="Output 3 15" xfId="2914" xr:uid="{D769BAF4-DA8E-46AE-A6E5-46961C00D285}"/>
    <cellStyle name="Output 3 15 2" xfId="10904" xr:uid="{DEA0F9D3-1C32-49E1-9426-55614023ED18}"/>
    <cellStyle name="Output 3 15 2 2" xfId="40090" xr:uid="{7EDD0101-0760-4BCD-8FEF-634343CE109F}"/>
    <cellStyle name="Output 3 15 2 3" xfId="40091" xr:uid="{2D82DF00-3E86-4B2E-926D-6B13180EDB42}"/>
    <cellStyle name="Output 3 15 2 4" xfId="40092" xr:uid="{ABB8101C-2737-43BC-9416-539C35CEA3F8}"/>
    <cellStyle name="Output 3 15 2 5" xfId="40093" xr:uid="{6FBB6C0E-FF8F-468E-94B0-E83DB10B9FFE}"/>
    <cellStyle name="Output 3 15 2 6" xfId="40094" xr:uid="{E84F45EA-E84C-4EF6-8B97-73BF21D3147C}"/>
    <cellStyle name="Output 3 15 3" xfId="40095" xr:uid="{84F654C9-2BD1-4053-815D-45380A61AB30}"/>
    <cellStyle name="Output 3 15 4" xfId="40096" xr:uid="{73971FC1-AEA9-43F4-9D29-F009AA6F088B}"/>
    <cellStyle name="Output 3 15 5" xfId="40097" xr:uid="{B5394C16-4814-4E3E-917A-52BBE0A7F9F6}"/>
    <cellStyle name="Output 3 15 6" xfId="40098" xr:uid="{31ACFE35-2DCA-4D09-8C43-B9C14F5D10F1}"/>
    <cellStyle name="Output 3 15 7" xfId="40099" xr:uid="{53860DC9-BEA7-4A5F-87E9-BF6C4B643296}"/>
    <cellStyle name="Output 3 16" xfId="2915" xr:uid="{245983B1-E51E-45EA-AB23-CE83245A2863}"/>
    <cellStyle name="Output 3 16 2" xfId="10860" xr:uid="{C861455E-437D-4442-8408-7A2EBC7F3CAB}"/>
    <cellStyle name="Output 3 16 2 2" xfId="40100" xr:uid="{6E704B8E-5F91-4DA8-8F61-F9EA6F10C3C8}"/>
    <cellStyle name="Output 3 16 2 3" xfId="40101" xr:uid="{02FF588A-35B7-4553-97C6-14B0C70D7001}"/>
    <cellStyle name="Output 3 16 2 4" xfId="40102" xr:uid="{4A3EBFDD-34F5-43DD-B9A8-2030D13E5E58}"/>
    <cellStyle name="Output 3 16 2 5" xfId="40103" xr:uid="{DC93784B-BD7A-4DB9-AEB6-734310F618E3}"/>
    <cellStyle name="Output 3 16 2 6" xfId="40104" xr:uid="{AD07FD22-B6F1-4212-BEE2-0D7E7768A7ED}"/>
    <cellStyle name="Output 3 16 3" xfId="40105" xr:uid="{404CC277-382D-460E-B644-55C55CCDB792}"/>
    <cellStyle name="Output 3 16 4" xfId="40106" xr:uid="{E12D0CFA-1B24-47C0-BD8B-D759F78E5106}"/>
    <cellStyle name="Output 3 16 5" xfId="40107" xr:uid="{DBB9F69D-DD49-4A83-9116-7F218862FC2F}"/>
    <cellStyle name="Output 3 16 6" xfId="40108" xr:uid="{06D881C4-18CD-4FB0-99D0-85F491ADD767}"/>
    <cellStyle name="Output 3 16 7" xfId="40109" xr:uid="{54E9E789-40F2-4148-8DD7-EB43C965EC90}"/>
    <cellStyle name="Output 3 17" xfId="2916" xr:uid="{F58F1F69-E6EE-4796-B9FA-CC8510AF5653}"/>
    <cellStyle name="Output 3 17 2" xfId="9754" xr:uid="{F16FB2F7-C925-40C4-8015-43E514294135}"/>
    <cellStyle name="Output 3 17 2 2" xfId="40110" xr:uid="{7C3BF2B3-E5A9-4DE0-897D-F0331B16B979}"/>
    <cellStyle name="Output 3 17 2 3" xfId="40111" xr:uid="{D54592EF-F995-44D0-AC31-8CAA4F4639FA}"/>
    <cellStyle name="Output 3 17 2 4" xfId="40112" xr:uid="{EC0ACA25-BE56-4448-B9A5-3CA2D502E865}"/>
    <cellStyle name="Output 3 17 2 5" xfId="40113" xr:uid="{662D497B-2433-4FF4-96E2-A724911D437E}"/>
    <cellStyle name="Output 3 17 2 6" xfId="40114" xr:uid="{51191BCE-377D-4486-9C5C-0185C01183B8}"/>
    <cellStyle name="Output 3 17 3" xfId="40115" xr:uid="{92C54F45-9C18-40AB-B9F3-4D35AA2EBC89}"/>
    <cellStyle name="Output 3 17 4" xfId="40116" xr:uid="{3AF11936-61F0-4952-82EE-94C63377F726}"/>
    <cellStyle name="Output 3 17 5" xfId="40117" xr:uid="{08024F04-FC56-4C52-9F5F-07EEA7B63415}"/>
    <cellStyle name="Output 3 17 6" xfId="40118" xr:uid="{9D150201-1F33-45FD-B2F2-DD9CDA46347D}"/>
    <cellStyle name="Output 3 17 7" xfId="40119" xr:uid="{87CEB1FC-8A72-4F1A-A35D-CF438125E052}"/>
    <cellStyle name="Output 3 18" xfId="2917" xr:uid="{BE32971C-B2A9-4C54-815C-342F595EFA2D}"/>
    <cellStyle name="Output 3 18 2" xfId="9878" xr:uid="{AA9DD814-420B-4B51-9E6C-263C0C6945C2}"/>
    <cellStyle name="Output 3 18 2 2" xfId="40120" xr:uid="{260B07CF-9BE8-40C4-9F8B-6DBBCE46D0A0}"/>
    <cellStyle name="Output 3 18 2 3" xfId="40121" xr:uid="{0C586877-9E72-486B-A79D-4717F82040BB}"/>
    <cellStyle name="Output 3 18 2 4" xfId="40122" xr:uid="{83876AF5-6DF2-40AE-B403-84AD15C76B01}"/>
    <cellStyle name="Output 3 18 2 5" xfId="40123" xr:uid="{B8961E32-ECFE-4268-B547-8839326A285A}"/>
    <cellStyle name="Output 3 18 2 6" xfId="40124" xr:uid="{5B9B96F2-AE73-4A75-B529-95D9180F8B51}"/>
    <cellStyle name="Output 3 18 3" xfId="40125" xr:uid="{47EAE1C8-0051-46BF-AE1B-AE4804E8FE89}"/>
    <cellStyle name="Output 3 18 4" xfId="40126" xr:uid="{4C263568-21B2-41D4-B8F8-6CDEDDE9EE06}"/>
    <cellStyle name="Output 3 18 5" xfId="40127" xr:uid="{8DA5A5BF-1E4D-449D-A758-A36BE843A124}"/>
    <cellStyle name="Output 3 18 6" xfId="40128" xr:uid="{0ED193E3-FB1F-46AE-92F2-A32ECE703A8D}"/>
    <cellStyle name="Output 3 18 7" xfId="40129" xr:uid="{57CB10B6-0ADC-4157-BA6F-C6FA3357AD2A}"/>
    <cellStyle name="Output 3 19" xfId="2918" xr:uid="{3E772D66-4D9F-46C2-8C94-420437A48BC9}"/>
    <cellStyle name="Output 3 19 2" xfId="11041" xr:uid="{EA9F05E1-D1CC-41A3-8A74-0AFFFF7ED8E5}"/>
    <cellStyle name="Output 3 19 2 2" xfId="40130" xr:uid="{1AAB5503-306D-4825-A27C-DCCEFBA076EE}"/>
    <cellStyle name="Output 3 19 2 3" xfId="40131" xr:uid="{8A43FD87-68C7-4AE5-869B-B8946C1E5343}"/>
    <cellStyle name="Output 3 19 2 4" xfId="40132" xr:uid="{B7ECDBF9-C883-492A-B7E1-C81A3EA5C4D2}"/>
    <cellStyle name="Output 3 19 2 5" xfId="40133" xr:uid="{297A917D-173C-4E21-919C-63DF4AFFA060}"/>
    <cellStyle name="Output 3 19 2 6" xfId="40134" xr:uid="{1E71B752-0D2D-4362-8F81-3F20993D360E}"/>
    <cellStyle name="Output 3 19 3" xfId="40135" xr:uid="{1C136C6D-EF5F-4976-A965-2AEB29D6A9CA}"/>
    <cellStyle name="Output 3 19 4" xfId="40136" xr:uid="{7B81D546-B897-4A3F-8729-04003081E138}"/>
    <cellStyle name="Output 3 19 5" xfId="40137" xr:uid="{6BDB08E0-6CEA-46D9-8DD0-DDAAF1CEC9F3}"/>
    <cellStyle name="Output 3 19 6" xfId="40138" xr:uid="{0AB87810-E6E4-4D41-B4C9-FC547AEEEF45}"/>
    <cellStyle name="Output 3 19 7" xfId="40139" xr:uid="{48E483AB-31DE-41C6-B9A6-660DEAB6079E}"/>
    <cellStyle name="Output 3 2" xfId="2919" xr:uid="{5C757386-D42B-4C46-B8F5-68934227373D}"/>
    <cellStyle name="Output 3 2 10" xfId="2920" xr:uid="{3D54C472-C35F-4998-93B4-D7D06C97881E}"/>
    <cellStyle name="Output 3 2 10 2" xfId="10633" xr:uid="{F06C2B07-1785-4EEC-A93F-2E9080054A45}"/>
    <cellStyle name="Output 3 2 10 2 2" xfId="40140" xr:uid="{ED9962EA-45B1-4358-9100-D4141EBCA7DD}"/>
    <cellStyle name="Output 3 2 10 2 3" xfId="40141" xr:uid="{40C6F5F4-5664-45B8-939A-2A0664B2B359}"/>
    <cellStyle name="Output 3 2 10 2 4" xfId="40142" xr:uid="{82F5B9F6-0F4F-490E-AA37-DCB8C8AA316C}"/>
    <cellStyle name="Output 3 2 10 2 5" xfId="40143" xr:uid="{EE60F529-9E4E-487D-BAEF-BA04AC50292A}"/>
    <cellStyle name="Output 3 2 10 2 6" xfId="40144" xr:uid="{AB608C42-B0DB-4454-A7F0-DC88A6AD4F76}"/>
    <cellStyle name="Output 3 2 10 3" xfId="40145" xr:uid="{83C374B8-2644-4A0B-9CF7-2E18E5D727DB}"/>
    <cellStyle name="Output 3 2 10 4" xfId="40146" xr:uid="{15FF7A02-90A5-4E70-BECB-CDD776DD13F1}"/>
    <cellStyle name="Output 3 2 10 5" xfId="40147" xr:uid="{24B015FC-F4FB-42DD-A1D7-E9E89D077422}"/>
    <cellStyle name="Output 3 2 10 6" xfId="40148" xr:uid="{0AA6FAC7-2C52-40F0-921C-8C150607E6F8}"/>
    <cellStyle name="Output 3 2 10 7" xfId="40149" xr:uid="{966650F8-901B-4350-A42A-5EC5366D70C0}"/>
    <cellStyle name="Output 3 2 11" xfId="2921" xr:uid="{4376A5A2-7AB0-4CB8-ACE5-933917D65E20}"/>
    <cellStyle name="Output 3 2 11 2" xfId="10724" xr:uid="{D365CFAD-AC9C-403D-AF1B-4A5AC038A11A}"/>
    <cellStyle name="Output 3 2 11 2 2" xfId="40150" xr:uid="{E7C0C0F5-91A4-4D59-B2F4-E71DAAD92A86}"/>
    <cellStyle name="Output 3 2 11 2 3" xfId="40151" xr:uid="{668D24FC-4EBA-4B80-8D7F-FF9FF1F4E39F}"/>
    <cellStyle name="Output 3 2 11 2 4" xfId="40152" xr:uid="{742034C7-DC20-4CA9-BDF2-39685F06856B}"/>
    <cellStyle name="Output 3 2 11 2 5" xfId="40153" xr:uid="{D21C5651-61AB-451B-9CC5-6D3B5442972B}"/>
    <cellStyle name="Output 3 2 11 2 6" xfId="40154" xr:uid="{1E063FAA-473F-4019-BC29-73F07718082B}"/>
    <cellStyle name="Output 3 2 11 3" xfId="40155" xr:uid="{AE28CA50-15A8-426F-B326-F4AA3C914C00}"/>
    <cellStyle name="Output 3 2 11 4" xfId="40156" xr:uid="{A4828A3D-BCB1-4058-8541-87F9BB31F6BB}"/>
    <cellStyle name="Output 3 2 11 5" xfId="40157" xr:uid="{1DE0AE1E-3942-4F29-B1DA-55EDBF320A56}"/>
    <cellStyle name="Output 3 2 11 6" xfId="40158" xr:uid="{872B3673-7317-4688-BD6D-73EA6AB1ACE3}"/>
    <cellStyle name="Output 3 2 11 7" xfId="40159" xr:uid="{9E000CC7-F619-4B58-8484-5DB54C429E59}"/>
    <cellStyle name="Output 3 2 12" xfId="2922" xr:uid="{EECF5AF4-8C79-438D-AF55-0DF6131706AA}"/>
    <cellStyle name="Output 3 2 12 2" xfId="10812" xr:uid="{B5FF2581-7152-4E99-A61F-909A00108004}"/>
    <cellStyle name="Output 3 2 12 2 2" xfId="40160" xr:uid="{8D7A6D6B-18E5-4EEE-A784-048BA51DFDE8}"/>
    <cellStyle name="Output 3 2 12 2 3" xfId="40161" xr:uid="{42F55E01-9106-49C1-B112-DDE8FE458AC7}"/>
    <cellStyle name="Output 3 2 12 2 4" xfId="40162" xr:uid="{83DFD222-920C-4575-B51A-E63014F4CCBC}"/>
    <cellStyle name="Output 3 2 12 2 5" xfId="40163" xr:uid="{339EDA2F-32B0-4604-B6E2-6580BFAFBA7A}"/>
    <cellStyle name="Output 3 2 12 2 6" xfId="40164" xr:uid="{B1456546-1546-48B8-B1ED-3C86C0FC1B3C}"/>
    <cellStyle name="Output 3 2 12 3" xfId="40165" xr:uid="{311B3188-599C-4613-BA92-3931F6707030}"/>
    <cellStyle name="Output 3 2 12 4" xfId="40166" xr:uid="{13256D80-2CEB-4070-AEA1-8169AAC8C7E4}"/>
    <cellStyle name="Output 3 2 12 5" xfId="40167" xr:uid="{9A7981F0-6AA6-4148-8B18-0BA78CF6FC42}"/>
    <cellStyle name="Output 3 2 12 6" xfId="40168" xr:uid="{5AA5295A-0DD2-403F-999F-4AC178995B1F}"/>
    <cellStyle name="Output 3 2 12 7" xfId="40169" xr:uid="{8DE3D350-E5FF-4065-80EA-469BFC03D9A8}"/>
    <cellStyle name="Output 3 2 13" xfId="2923" xr:uid="{561B3AEB-538F-4AA6-806E-F95B2D0C4A53}"/>
    <cellStyle name="Output 3 2 13 2" xfId="10901" xr:uid="{0879240C-8196-42A9-8C4B-4497CA4D7DBD}"/>
    <cellStyle name="Output 3 2 13 2 2" xfId="40170" xr:uid="{3A6A2E93-F464-4AD7-83EA-BEA72EDE914E}"/>
    <cellStyle name="Output 3 2 13 2 3" xfId="40171" xr:uid="{62B5E9D8-A706-479F-B8F9-925A800E3AAF}"/>
    <cellStyle name="Output 3 2 13 2 4" xfId="40172" xr:uid="{BA10D24D-4FA0-4C22-A0CB-9A1D7D70588B}"/>
    <cellStyle name="Output 3 2 13 2 5" xfId="40173" xr:uid="{C9523C9A-3E8F-4A3E-9B95-E6A84E2B5A7E}"/>
    <cellStyle name="Output 3 2 13 2 6" xfId="40174" xr:uid="{5DC64366-FEF0-46E3-9738-51955616F55E}"/>
    <cellStyle name="Output 3 2 13 3" xfId="40175" xr:uid="{A684828C-23DE-410F-AD7C-C0FBBF323949}"/>
    <cellStyle name="Output 3 2 13 4" xfId="40176" xr:uid="{0B994BB3-5764-4945-A60D-DAFFCF2DCB38}"/>
    <cellStyle name="Output 3 2 13 5" xfId="40177" xr:uid="{372193A8-DF2B-4C56-96F8-670A6CAC1B71}"/>
    <cellStyle name="Output 3 2 13 6" xfId="40178" xr:uid="{F401BC30-AADE-4848-85C8-2FBBFE535DC2}"/>
    <cellStyle name="Output 3 2 13 7" xfId="40179" xr:uid="{C162AA8A-38BC-44FA-8741-22E9F70CB6A8}"/>
    <cellStyle name="Output 3 2 14" xfId="2924" xr:uid="{B34AFE83-0C12-4E0A-B4D3-A9D199A17437}"/>
    <cellStyle name="Output 3 2 14 2" xfId="10991" xr:uid="{99D2351B-EE60-4948-BD11-B78025A83729}"/>
    <cellStyle name="Output 3 2 14 2 2" xfId="40180" xr:uid="{3FA4613E-0725-4C97-B07C-CC2D46B78A71}"/>
    <cellStyle name="Output 3 2 14 2 3" xfId="40181" xr:uid="{F4A249BF-7E98-4271-9251-EA7CC3BC32A7}"/>
    <cellStyle name="Output 3 2 14 2 4" xfId="40182" xr:uid="{B69C138E-379F-4977-8D5E-889827D100E4}"/>
    <cellStyle name="Output 3 2 14 2 5" xfId="40183" xr:uid="{4CEB38BF-3599-4FEF-AF4A-6FCBD2A0D56B}"/>
    <cellStyle name="Output 3 2 14 2 6" xfId="40184" xr:uid="{4666A770-53C6-4BB3-BCCB-B989E3848C01}"/>
    <cellStyle name="Output 3 2 14 3" xfId="40185" xr:uid="{7A463528-C63F-494D-BF62-1AAD8C0858B1}"/>
    <cellStyle name="Output 3 2 14 4" xfId="40186" xr:uid="{ABF0690E-0A8B-477B-AB28-AE20BBAFD71E}"/>
    <cellStyle name="Output 3 2 14 5" xfId="40187" xr:uid="{4900DAC9-6317-4878-B992-6B2234F67756}"/>
    <cellStyle name="Output 3 2 14 6" xfId="40188" xr:uid="{2B1F2965-B4E6-4670-9550-030C63EF80AA}"/>
    <cellStyle name="Output 3 2 14 7" xfId="40189" xr:uid="{B2E42DC4-7B27-45B6-A3B0-F73D0A522E22}"/>
    <cellStyle name="Output 3 2 15" xfId="2925" xr:uid="{C0D229A5-624B-4D36-813A-D183E64D623C}"/>
    <cellStyle name="Output 3 2 15 2" xfId="11082" xr:uid="{298AEF53-6C01-4499-AC88-69DE0CE6E424}"/>
    <cellStyle name="Output 3 2 15 2 2" xfId="40190" xr:uid="{08A519C9-016A-4AD8-B12F-52EB881FB838}"/>
    <cellStyle name="Output 3 2 15 2 3" xfId="40191" xr:uid="{86B2709C-02A0-4EBE-9141-CC9E371C3B7B}"/>
    <cellStyle name="Output 3 2 15 2 4" xfId="40192" xr:uid="{0E64615E-D03A-49D8-9F59-5E3C5E6C71D6}"/>
    <cellStyle name="Output 3 2 15 2 5" xfId="40193" xr:uid="{4A71BFDA-5529-4238-9272-FABF21762401}"/>
    <cellStyle name="Output 3 2 15 2 6" xfId="40194" xr:uid="{26028E9F-F452-4198-B66F-1CD9956A7623}"/>
    <cellStyle name="Output 3 2 15 3" xfId="40195" xr:uid="{F785CB95-5B5F-4F26-AD1B-040749A86BB2}"/>
    <cellStyle name="Output 3 2 15 4" xfId="40196" xr:uid="{CFD5C54D-B6A8-4209-8751-A5717705976B}"/>
    <cellStyle name="Output 3 2 15 5" xfId="40197" xr:uid="{D987AAAF-484A-4405-BB2B-6120138A9A36}"/>
    <cellStyle name="Output 3 2 15 6" xfId="40198" xr:uid="{782068E7-27C2-4BA3-94EB-B782E42ED8FD}"/>
    <cellStyle name="Output 3 2 15 7" xfId="40199" xr:uid="{5F7DD4EC-CE12-4152-B001-18217B26D492}"/>
    <cellStyle name="Output 3 2 16" xfId="2926" xr:uid="{7CA205E5-44EE-473D-8373-EB87D00A30BC}"/>
    <cellStyle name="Output 3 2 16 2" xfId="11165" xr:uid="{F95735BC-A180-439F-99F5-295B557F4AF2}"/>
    <cellStyle name="Output 3 2 16 2 2" xfId="40200" xr:uid="{B394D4AD-F083-483D-8B2E-C6630EAD331C}"/>
    <cellStyle name="Output 3 2 16 2 3" xfId="40201" xr:uid="{C3F539F9-22A0-4EB7-BCDA-7D1A8D8DDB99}"/>
    <cellStyle name="Output 3 2 16 2 4" xfId="40202" xr:uid="{452DF9C6-C79F-42B6-A437-3C640BE1A418}"/>
    <cellStyle name="Output 3 2 16 2 5" xfId="40203" xr:uid="{13A92948-E90E-4F8C-BE13-9BC072F51842}"/>
    <cellStyle name="Output 3 2 16 2 6" xfId="40204" xr:uid="{78FC9265-5216-48AD-9D36-A56B5E00744C}"/>
    <cellStyle name="Output 3 2 16 3" xfId="40205" xr:uid="{BB2CF842-DF16-4C25-9CDC-AD606C92C30E}"/>
    <cellStyle name="Output 3 2 16 4" xfId="40206" xr:uid="{3EB99873-17EC-4E0A-9C92-7D319124FFD8}"/>
    <cellStyle name="Output 3 2 16 5" xfId="40207" xr:uid="{2F1B3658-02DB-4473-BE10-F4B22BFF8964}"/>
    <cellStyle name="Output 3 2 16 6" xfId="40208" xr:uid="{0411F0C2-E43A-4821-8DFD-1B99C8861B99}"/>
    <cellStyle name="Output 3 2 16 7" xfId="40209" xr:uid="{CD533F54-3EF8-40A0-9EA4-926BB8B02E1D}"/>
    <cellStyle name="Output 3 2 17" xfId="2927" xr:uid="{DB790F6A-6D72-4E54-8C7A-A7508AA936CA}"/>
    <cellStyle name="Output 3 2 17 2" xfId="11255" xr:uid="{696AA6F8-0344-45D0-A330-E13C23F24398}"/>
    <cellStyle name="Output 3 2 17 2 2" xfId="40210" xr:uid="{99EEF458-D4E7-4276-B4EE-5F1CB5D4939B}"/>
    <cellStyle name="Output 3 2 17 2 3" xfId="40211" xr:uid="{63E35D12-8373-4250-9436-D93F0A4C1D7F}"/>
    <cellStyle name="Output 3 2 17 2 4" xfId="40212" xr:uid="{F04BD443-D48D-4F61-B365-372FFE460C21}"/>
    <cellStyle name="Output 3 2 17 2 5" xfId="40213" xr:uid="{C4B4E812-7828-44EF-9553-4CE18A8FC3F8}"/>
    <cellStyle name="Output 3 2 17 2 6" xfId="40214" xr:uid="{AD5A0CE4-9338-4D7D-B788-8D1E011B6CC8}"/>
    <cellStyle name="Output 3 2 17 3" xfId="40215" xr:uid="{4565CF6F-12E6-49CA-BC1B-46694C12EB00}"/>
    <cellStyle name="Output 3 2 17 4" xfId="40216" xr:uid="{3154EE3F-E3BF-4971-AE0D-2A96F4893458}"/>
    <cellStyle name="Output 3 2 17 5" xfId="40217" xr:uid="{FE05D693-CA34-4321-867C-ED9FFF4742D3}"/>
    <cellStyle name="Output 3 2 17 6" xfId="40218" xr:uid="{173BC659-82A1-4E47-B0AB-C9FC05F5783C}"/>
    <cellStyle name="Output 3 2 17 7" xfId="40219" xr:uid="{E0BD3E7B-2EBF-48CA-A6C9-D38EEBFC81A4}"/>
    <cellStyle name="Output 3 2 18" xfId="2928" xr:uid="{CEA363AE-7FE4-4789-8E58-B0F7405A1E18}"/>
    <cellStyle name="Output 3 2 18 2" xfId="11341" xr:uid="{E7008442-64B0-455D-866C-C83A42CDE880}"/>
    <cellStyle name="Output 3 2 18 2 2" xfId="40220" xr:uid="{F48BEB37-9535-4535-8A77-F2E311BF3322}"/>
    <cellStyle name="Output 3 2 18 2 3" xfId="40221" xr:uid="{FF3698BC-B731-4B64-ACCD-3435978F7313}"/>
    <cellStyle name="Output 3 2 18 2 4" xfId="40222" xr:uid="{D7CDE38E-1528-4876-A4E0-B33BE7174DE5}"/>
    <cellStyle name="Output 3 2 18 2 5" xfId="40223" xr:uid="{D21CE90E-F479-4D79-907D-A066B6D34A5B}"/>
    <cellStyle name="Output 3 2 18 2 6" xfId="40224" xr:uid="{12AE6E6B-3DF2-417C-BBA1-BD0FA2B22910}"/>
    <cellStyle name="Output 3 2 18 3" xfId="40225" xr:uid="{E011F6EC-4C4D-4758-9A0E-D244E4984E4B}"/>
    <cellStyle name="Output 3 2 18 4" xfId="40226" xr:uid="{B0C6C508-4992-4DA6-8CFA-F554B8C3D7AA}"/>
    <cellStyle name="Output 3 2 18 5" xfId="40227" xr:uid="{6DD3D5AF-B6D7-4790-B370-7B8CFD646E08}"/>
    <cellStyle name="Output 3 2 18 6" xfId="40228" xr:uid="{0EDB34C1-A286-4A70-8AE2-E9EBB39846DF}"/>
    <cellStyle name="Output 3 2 18 7" xfId="40229" xr:uid="{BAACDC5F-E187-4FDD-B0AF-070387D14959}"/>
    <cellStyle name="Output 3 2 19" xfId="2929" xr:uid="{152169C1-E243-4691-9B63-F19E934E24BE}"/>
    <cellStyle name="Output 3 2 19 2" xfId="11427" xr:uid="{D5B00605-5389-45AA-B9DD-3937FA23114C}"/>
    <cellStyle name="Output 3 2 19 2 2" xfId="40230" xr:uid="{13B1F18D-BDEA-49AD-B471-B1236E43D72E}"/>
    <cellStyle name="Output 3 2 19 2 3" xfId="40231" xr:uid="{195B2CDA-822F-4CFE-97B8-4E2C7F3D5F14}"/>
    <cellStyle name="Output 3 2 19 2 4" xfId="40232" xr:uid="{E0527A4B-D7E0-497B-BF74-CDCB0AA0A512}"/>
    <cellStyle name="Output 3 2 19 2 5" xfId="40233" xr:uid="{3C7E7490-B120-4E44-BF61-222DAB5A61C7}"/>
    <cellStyle name="Output 3 2 19 2 6" xfId="40234" xr:uid="{9DF4FA61-5789-4FFC-BD53-E24FA0C288D7}"/>
    <cellStyle name="Output 3 2 19 3" xfId="40235" xr:uid="{2627B9B1-404A-4E8C-B711-D3034A0F0A96}"/>
    <cellStyle name="Output 3 2 19 4" xfId="40236" xr:uid="{92E0A9BB-8252-40B5-8AA8-108CDE68017B}"/>
    <cellStyle name="Output 3 2 19 5" xfId="40237" xr:uid="{579FCBF0-D8AD-4078-A25E-82B3A3B94BDD}"/>
    <cellStyle name="Output 3 2 19 6" xfId="40238" xr:uid="{15E39A16-088C-41D7-B6F9-BB52214AB78C}"/>
    <cellStyle name="Output 3 2 19 7" xfId="40239" xr:uid="{A2134A6F-C37F-481C-9FB5-726DCC23F9C5}"/>
    <cellStyle name="Output 3 2 2" xfId="2930" xr:uid="{2679D424-7AA9-4776-8C42-42C060A051E4}"/>
    <cellStyle name="Output 3 2 2 10" xfId="2931" xr:uid="{79C3FA0F-4563-4573-8BFF-2FCC573D7A9D}"/>
    <cellStyle name="Output 3 2 2 10 2" xfId="10758" xr:uid="{BB0E8590-CAF9-4132-A020-08D85590B1CF}"/>
    <cellStyle name="Output 3 2 2 10 2 2" xfId="40240" xr:uid="{36B7D56C-02BF-4F94-AD64-26DE873EFF0E}"/>
    <cellStyle name="Output 3 2 2 10 2 3" xfId="40241" xr:uid="{AFC1A83F-5F4F-47D4-9DD5-4BBF9C8A83EC}"/>
    <cellStyle name="Output 3 2 2 10 2 4" xfId="40242" xr:uid="{515FA643-5B2F-4442-9A48-CC614B0BB7E4}"/>
    <cellStyle name="Output 3 2 2 10 2 5" xfId="40243" xr:uid="{6B7AC443-C6F1-4C10-87A3-5DB2D74952B0}"/>
    <cellStyle name="Output 3 2 2 10 2 6" xfId="40244" xr:uid="{B1474C4F-8C81-4098-883E-0AF6C3081A4B}"/>
    <cellStyle name="Output 3 2 2 10 3" xfId="40245" xr:uid="{98C09020-3D9E-4478-A2BA-9966A119FB6A}"/>
    <cellStyle name="Output 3 2 2 10 4" xfId="40246" xr:uid="{6C10CE65-D61D-4558-8EDB-D3B07124C9D3}"/>
    <cellStyle name="Output 3 2 2 10 5" xfId="40247" xr:uid="{DDA46A80-17A4-4B2B-A3F3-19003B3333E7}"/>
    <cellStyle name="Output 3 2 2 10 6" xfId="40248" xr:uid="{D6C90231-7764-4FBA-AFC9-CEAA7F6BE2B1}"/>
    <cellStyle name="Output 3 2 2 10 7" xfId="40249" xr:uid="{C88CADF0-C3D6-42E9-95E7-E6EA24AD629C}"/>
    <cellStyle name="Output 3 2 2 11" xfId="2932" xr:uid="{DC4E9271-1BFF-4A3C-BA7F-31213CCCCFFF}"/>
    <cellStyle name="Output 3 2 2 11 2" xfId="10846" xr:uid="{9BFEB66A-D17D-4DA4-8327-4D4108B13012}"/>
    <cellStyle name="Output 3 2 2 11 2 2" xfId="40250" xr:uid="{FC323EC8-8251-4601-A113-4BC78A2EBA23}"/>
    <cellStyle name="Output 3 2 2 11 2 3" xfId="40251" xr:uid="{665EF7D2-D655-409C-8929-0F63D9A3593A}"/>
    <cellStyle name="Output 3 2 2 11 2 4" xfId="40252" xr:uid="{AC3C9063-A3B6-4A12-ACD9-382EDC9E1E88}"/>
    <cellStyle name="Output 3 2 2 11 2 5" xfId="40253" xr:uid="{70EC1D8D-A02D-4007-8989-2EE263092D0B}"/>
    <cellStyle name="Output 3 2 2 11 2 6" xfId="40254" xr:uid="{7D0B5E79-65CC-404B-8758-6E9DA5B230D3}"/>
    <cellStyle name="Output 3 2 2 11 3" xfId="40255" xr:uid="{7ED09083-E1F0-4BA4-81C1-12F0F6317CAC}"/>
    <cellStyle name="Output 3 2 2 11 4" xfId="40256" xr:uid="{224B3555-E115-4BFE-94A2-BAA0DA954854}"/>
    <cellStyle name="Output 3 2 2 11 5" xfId="40257" xr:uid="{1F3A3365-A3C7-4510-AA57-26E19F182C9D}"/>
    <cellStyle name="Output 3 2 2 11 6" xfId="40258" xr:uid="{86F2A9F0-C426-483B-94C5-511B439B4502}"/>
    <cellStyle name="Output 3 2 2 11 7" xfId="40259" xr:uid="{2B26789C-7CC2-48C7-A039-76AFEC9E3367}"/>
    <cellStyle name="Output 3 2 2 12" xfId="2933" xr:uid="{999534FB-D63F-4086-A594-BD73093C1A5F}"/>
    <cellStyle name="Output 3 2 2 12 2" xfId="10935" xr:uid="{5F3195DE-53CB-42A6-977F-35C61C3F6CDA}"/>
    <cellStyle name="Output 3 2 2 12 2 2" xfId="40260" xr:uid="{60E057DD-9560-487F-8F23-840DCBC1BB9D}"/>
    <cellStyle name="Output 3 2 2 12 2 3" xfId="40261" xr:uid="{F1017679-6EDC-4032-9E17-97C5AC3A07FB}"/>
    <cellStyle name="Output 3 2 2 12 2 4" xfId="40262" xr:uid="{A30F3F2A-2E34-4DA6-B8A6-62ED1FE1C35D}"/>
    <cellStyle name="Output 3 2 2 12 2 5" xfId="40263" xr:uid="{8B13DFF7-2F16-4308-89EA-490A9C446E31}"/>
    <cellStyle name="Output 3 2 2 12 2 6" xfId="40264" xr:uid="{2DCA7DF0-AA43-473E-9E62-EAA49B8EEF0E}"/>
    <cellStyle name="Output 3 2 2 12 3" xfId="40265" xr:uid="{B6272629-4A6A-4784-8718-3FDAF01AEC6E}"/>
    <cellStyle name="Output 3 2 2 12 4" xfId="40266" xr:uid="{5FC806AE-4D19-4B4D-91DB-F3D18CFB61B1}"/>
    <cellStyle name="Output 3 2 2 12 5" xfId="40267" xr:uid="{3A66BAEC-E362-4357-989E-99721A0A6EE6}"/>
    <cellStyle name="Output 3 2 2 12 6" xfId="40268" xr:uid="{F7973214-E87E-4A88-97B4-469D428D2CF4}"/>
    <cellStyle name="Output 3 2 2 12 7" xfId="40269" xr:uid="{4584CA69-C921-48EE-AC89-350702DC64DB}"/>
    <cellStyle name="Output 3 2 2 13" xfId="2934" xr:uid="{437B0086-F66C-4BAB-8913-3BED1E20694B}"/>
    <cellStyle name="Output 3 2 2 13 2" xfId="11025" xr:uid="{370241E2-E3D5-4C49-9C9F-CFA16BA249BF}"/>
    <cellStyle name="Output 3 2 2 13 2 2" xfId="40270" xr:uid="{2E401DF5-EB3D-40BE-8583-4C682C6B1D67}"/>
    <cellStyle name="Output 3 2 2 13 2 3" xfId="40271" xr:uid="{A67BEC03-0C05-469F-BDE5-AF63F0014862}"/>
    <cellStyle name="Output 3 2 2 13 2 4" xfId="40272" xr:uid="{51852DD5-CB3A-4EC7-80D2-DF53320A6D2E}"/>
    <cellStyle name="Output 3 2 2 13 2 5" xfId="40273" xr:uid="{41C335D2-CE09-4CE9-AEF9-3AF7BDC1F455}"/>
    <cellStyle name="Output 3 2 2 13 2 6" xfId="40274" xr:uid="{C40A5CAB-176B-4152-9E17-BAB550C02838}"/>
    <cellStyle name="Output 3 2 2 13 3" xfId="40275" xr:uid="{EB1FE90F-6DE4-422A-BE15-3585EBBC5C33}"/>
    <cellStyle name="Output 3 2 2 13 4" xfId="40276" xr:uid="{0EBFA638-3F09-4226-BC62-F788F1178797}"/>
    <cellStyle name="Output 3 2 2 13 5" xfId="40277" xr:uid="{DF3FFD1C-290D-4FC8-8479-BCE949246556}"/>
    <cellStyle name="Output 3 2 2 13 6" xfId="40278" xr:uid="{5DA4862A-B036-4FF6-B290-B40B95E76CAF}"/>
    <cellStyle name="Output 3 2 2 13 7" xfId="40279" xr:uid="{F5854315-96D2-45FF-98D7-F8284515818C}"/>
    <cellStyle name="Output 3 2 2 14" xfId="2935" xr:uid="{E69E35E6-08C5-49D1-A403-D6BCA3D9C779}"/>
    <cellStyle name="Output 3 2 2 14 2" xfId="11115" xr:uid="{9DD8984F-7AD1-4E07-9A72-D671EEEBDDA3}"/>
    <cellStyle name="Output 3 2 2 14 2 2" xfId="40280" xr:uid="{C9CFB4C3-13E5-4756-AC86-34EA1AE9186D}"/>
    <cellStyle name="Output 3 2 2 14 2 3" xfId="40281" xr:uid="{82508CAA-CEB5-40EA-BFD4-AE45CF729C91}"/>
    <cellStyle name="Output 3 2 2 14 2 4" xfId="40282" xr:uid="{A4341ABC-93F1-4EA1-99A7-7B867CDBA511}"/>
    <cellStyle name="Output 3 2 2 14 2 5" xfId="40283" xr:uid="{88A9CA48-E234-499C-B1A5-2841635C03C0}"/>
    <cellStyle name="Output 3 2 2 14 2 6" xfId="40284" xr:uid="{49142002-6DA5-4793-B818-1D8574C9A335}"/>
    <cellStyle name="Output 3 2 2 14 3" xfId="40285" xr:uid="{07F08AB3-F991-4574-81D9-B7B4890732B4}"/>
    <cellStyle name="Output 3 2 2 14 4" xfId="40286" xr:uid="{211F68FC-DCC8-49B2-BCA5-B327CD45C3C4}"/>
    <cellStyle name="Output 3 2 2 14 5" xfId="40287" xr:uid="{08848813-7ECA-4C61-8DA2-4673A35D4365}"/>
    <cellStyle name="Output 3 2 2 14 6" xfId="40288" xr:uid="{FFBF8190-D85E-4B57-9F4F-BE85A704742E}"/>
    <cellStyle name="Output 3 2 2 14 7" xfId="40289" xr:uid="{49B16517-B609-4C4D-A8CC-F4EFCF968CC8}"/>
    <cellStyle name="Output 3 2 2 15" xfId="2936" xr:uid="{46B6000B-7D51-4FF9-ACCD-546E1391D192}"/>
    <cellStyle name="Output 3 2 2 15 2" xfId="11198" xr:uid="{E04808FD-67F4-456F-AAC5-2112FB6AC39E}"/>
    <cellStyle name="Output 3 2 2 15 2 2" xfId="40290" xr:uid="{F94DF69B-AEFE-4C3D-96D5-A5563E72270B}"/>
    <cellStyle name="Output 3 2 2 15 2 3" xfId="40291" xr:uid="{0DBAD30F-2004-4AA2-AE05-BC0D7783E9A4}"/>
    <cellStyle name="Output 3 2 2 15 2 4" xfId="40292" xr:uid="{FD247416-7097-4DB5-9941-B38729A2264C}"/>
    <cellStyle name="Output 3 2 2 15 2 5" xfId="40293" xr:uid="{B02D0492-AA0B-407F-8CCC-2829586D152D}"/>
    <cellStyle name="Output 3 2 2 15 2 6" xfId="40294" xr:uid="{19872DF2-8B0C-4FA8-AB0A-7FBF7D3FCD7E}"/>
    <cellStyle name="Output 3 2 2 15 3" xfId="40295" xr:uid="{D87E9676-B9ED-4656-9129-6576BC1F5A25}"/>
    <cellStyle name="Output 3 2 2 15 4" xfId="40296" xr:uid="{F56B0B07-F655-4A1A-A8EB-8F6A5A7C3D6C}"/>
    <cellStyle name="Output 3 2 2 15 5" xfId="40297" xr:uid="{D809EE9B-4A1E-4E3D-9978-66C361A46C00}"/>
    <cellStyle name="Output 3 2 2 15 6" xfId="40298" xr:uid="{C68ED266-74B8-443C-92D6-3447B2697D22}"/>
    <cellStyle name="Output 3 2 2 15 7" xfId="40299" xr:uid="{992665DD-E8AB-4099-916D-2593B120D0B0}"/>
    <cellStyle name="Output 3 2 2 16" xfId="2937" xr:uid="{4A82D2AB-9DDC-417C-8D3A-C5D69012A9FF}"/>
    <cellStyle name="Output 3 2 2 16 2" xfId="11288" xr:uid="{73E348C5-81B0-469C-ABBE-E1418CF36929}"/>
    <cellStyle name="Output 3 2 2 16 2 2" xfId="40300" xr:uid="{BB5C4CF1-5353-4AFE-8C2F-5DDB5C1BEEDB}"/>
    <cellStyle name="Output 3 2 2 16 2 3" xfId="40301" xr:uid="{E7EFF330-090F-4BD6-AD63-3B55416691C6}"/>
    <cellStyle name="Output 3 2 2 16 2 4" xfId="40302" xr:uid="{2AE6AFFD-3736-44D8-A8A5-5C8DF493C12A}"/>
    <cellStyle name="Output 3 2 2 16 2 5" xfId="40303" xr:uid="{42ADD8CA-0055-493A-BFB2-BEED2F339419}"/>
    <cellStyle name="Output 3 2 2 16 2 6" xfId="40304" xr:uid="{5C59C085-75E3-4578-88AB-76E11B212901}"/>
    <cellStyle name="Output 3 2 2 16 3" xfId="40305" xr:uid="{42362683-B2C4-4020-A651-12EF63BD012C}"/>
    <cellStyle name="Output 3 2 2 16 4" xfId="40306" xr:uid="{713557ED-185A-4328-B16B-9141825D6BA7}"/>
    <cellStyle name="Output 3 2 2 16 5" xfId="40307" xr:uid="{285B7CE9-FCE6-46D9-A1B0-4031801EAE61}"/>
    <cellStyle name="Output 3 2 2 16 6" xfId="40308" xr:uid="{66B4A6E8-B210-4BA4-AB85-2441DCFD0CDF}"/>
    <cellStyle name="Output 3 2 2 16 7" xfId="40309" xr:uid="{D204035C-EEBD-409B-9FE4-550529D49A2F}"/>
    <cellStyle name="Output 3 2 2 17" xfId="2938" xr:uid="{C389B69B-62CB-4825-AF9C-63ABFEC1AEE5}"/>
    <cellStyle name="Output 3 2 2 17 2" xfId="11374" xr:uid="{A1713E4F-8405-4133-987E-100C05F7D86A}"/>
    <cellStyle name="Output 3 2 2 17 2 2" xfId="40310" xr:uid="{0089288D-B017-4676-9D27-B527D4283DDA}"/>
    <cellStyle name="Output 3 2 2 17 2 3" xfId="40311" xr:uid="{49E15C27-D3ED-4390-BE4C-6EE0DB8CC7B7}"/>
    <cellStyle name="Output 3 2 2 17 2 4" xfId="40312" xr:uid="{3343CD02-AB94-41FE-B029-D073E15A566A}"/>
    <cellStyle name="Output 3 2 2 17 2 5" xfId="40313" xr:uid="{DE7C8C8A-0700-45F8-901C-974C661850AD}"/>
    <cellStyle name="Output 3 2 2 17 2 6" xfId="40314" xr:uid="{54299AC9-5535-4352-8C15-CBDEA31346C8}"/>
    <cellStyle name="Output 3 2 2 17 3" xfId="40315" xr:uid="{949D6477-EE42-4635-B7AD-77A1AF34ACD2}"/>
    <cellStyle name="Output 3 2 2 17 4" xfId="40316" xr:uid="{75CAD7D4-207F-4FB6-B8E6-BDF443BE56D8}"/>
    <cellStyle name="Output 3 2 2 17 5" xfId="40317" xr:uid="{7275B695-43DD-46DA-A4AA-176C40A2C2CB}"/>
    <cellStyle name="Output 3 2 2 17 6" xfId="40318" xr:uid="{16D13AAC-8C18-4918-A825-B86CDEC6E17A}"/>
    <cellStyle name="Output 3 2 2 17 7" xfId="40319" xr:uid="{9E660D9C-459A-4868-8ADC-9313D29FB88F}"/>
    <cellStyle name="Output 3 2 2 18" xfId="2939" xr:uid="{06467B69-5CD2-4189-9E7F-CFB051D43266}"/>
    <cellStyle name="Output 3 2 2 18 2" xfId="11461" xr:uid="{5F569C39-D2CD-4184-8AF4-4DE8485B80C4}"/>
    <cellStyle name="Output 3 2 2 18 2 2" xfId="40320" xr:uid="{9056D35C-728A-42B2-8984-DB812E4555C2}"/>
    <cellStyle name="Output 3 2 2 18 2 3" xfId="40321" xr:uid="{629F6418-2BBE-4727-A01C-FE086623E1EC}"/>
    <cellStyle name="Output 3 2 2 18 2 4" xfId="40322" xr:uid="{E8858346-3D3C-44F7-BBD2-4DDED5B69580}"/>
    <cellStyle name="Output 3 2 2 18 2 5" xfId="40323" xr:uid="{E0994F5F-2CBC-4B4F-B73B-F9CC547033F3}"/>
    <cellStyle name="Output 3 2 2 18 2 6" xfId="40324" xr:uid="{E4E11AC1-2A0D-4308-BBC2-2DB948E20A1A}"/>
    <cellStyle name="Output 3 2 2 18 3" xfId="40325" xr:uid="{F47F7D05-BDD0-43CD-A4C0-3C4D29750F55}"/>
    <cellStyle name="Output 3 2 2 18 4" xfId="40326" xr:uid="{EDF0483F-2864-4100-BE6D-9B95C80ECC40}"/>
    <cellStyle name="Output 3 2 2 18 5" xfId="40327" xr:uid="{A0BD7026-8463-4339-A76E-855A9B6F989B}"/>
    <cellStyle name="Output 3 2 2 18 6" xfId="40328" xr:uid="{A7427D40-CFF2-4EFB-B4B2-A9A56515D353}"/>
    <cellStyle name="Output 3 2 2 18 7" xfId="40329" xr:uid="{5CABB172-152F-4A1A-9455-551C1A003FE9}"/>
    <cellStyle name="Output 3 2 2 19" xfId="2940" xr:uid="{9B03C6AF-48D7-4B7C-BB5B-72C8573E15F8}"/>
    <cellStyle name="Output 3 2 2 19 2" xfId="11548" xr:uid="{5E94F650-10C6-4833-8FC4-D1FA29FCC80B}"/>
    <cellStyle name="Output 3 2 2 19 2 2" xfId="40330" xr:uid="{5A74AA61-BED9-4473-8FDD-0E0681325DCA}"/>
    <cellStyle name="Output 3 2 2 19 2 3" xfId="40331" xr:uid="{2E9001D9-D248-4F07-8FD2-71BB0AC0312D}"/>
    <cellStyle name="Output 3 2 2 19 2 4" xfId="40332" xr:uid="{8593698F-ADE1-46BC-9283-C3A737AF4CF5}"/>
    <cellStyle name="Output 3 2 2 19 2 5" xfId="40333" xr:uid="{0B9CF671-6DA6-45E3-A458-220DCEA2E9DB}"/>
    <cellStyle name="Output 3 2 2 19 2 6" xfId="40334" xr:uid="{DF3C91C3-BDFA-4172-94E3-90D539CF5F5F}"/>
    <cellStyle name="Output 3 2 2 19 3" xfId="40335" xr:uid="{2067BDAA-637B-42BA-A96D-249625C0BC90}"/>
    <cellStyle name="Output 3 2 2 19 4" xfId="40336" xr:uid="{A3EC4C61-8E0D-4928-8B8B-D31A3C39723A}"/>
    <cellStyle name="Output 3 2 2 19 5" xfId="40337" xr:uid="{2D594F55-92E7-4CE6-868F-0F88C500ADA3}"/>
    <cellStyle name="Output 3 2 2 19 6" xfId="40338" xr:uid="{B6BD97AC-F92E-4BCB-BD38-F5AED1F49382}"/>
    <cellStyle name="Output 3 2 2 19 7" xfId="40339" xr:uid="{E4F91CAE-5901-4CC4-A4A1-4038C8F8650F}"/>
    <cellStyle name="Output 3 2 2 2" xfId="2941" xr:uid="{D9E19575-974C-4B78-AE14-CAE3FAC6D805}"/>
    <cellStyle name="Output 3 2 2 2 2" xfId="10055" xr:uid="{BF8AE86E-BA5B-4098-856C-5570DA7C9975}"/>
    <cellStyle name="Output 3 2 2 2 2 2" xfId="40340" xr:uid="{DB16D190-921E-4CBD-B447-9BE498F667B9}"/>
    <cellStyle name="Output 3 2 2 2 2 3" xfId="40341" xr:uid="{C5CFC83C-13A5-4E01-81F4-8628504702BF}"/>
    <cellStyle name="Output 3 2 2 2 2 4" xfId="40342" xr:uid="{26359BB4-2BED-48FA-BA91-19B9C57BA406}"/>
    <cellStyle name="Output 3 2 2 2 2 5" xfId="40343" xr:uid="{7B81B406-3237-4634-A12A-F0E0DEC54C2F}"/>
    <cellStyle name="Output 3 2 2 2 2 6" xfId="40344" xr:uid="{3FC719CE-3DB0-468D-A9BE-7B79AC74FE73}"/>
    <cellStyle name="Output 3 2 2 2 3" xfId="40345" xr:uid="{175F2D4E-9052-48E6-B991-955DB992E73A}"/>
    <cellStyle name="Output 3 2 2 2 4" xfId="40346" xr:uid="{6799731A-528E-41A7-B2D2-D380086443AF}"/>
    <cellStyle name="Output 3 2 2 2 5" xfId="40347" xr:uid="{D252190D-34C3-45DB-9917-EFEBAD4504BB}"/>
    <cellStyle name="Output 3 2 2 2 6" xfId="40348" xr:uid="{84C0DAA6-BD88-4DC9-9A88-D9E48FF3C44D}"/>
    <cellStyle name="Output 3 2 2 2 7" xfId="40349" xr:uid="{246FDCC2-12BB-46C4-B63D-F6F0AC9184F1}"/>
    <cellStyle name="Output 3 2 2 20" xfId="2942" xr:uid="{40B34FF4-0C4B-4CF3-BD5C-392BAB7F9CF7}"/>
    <cellStyle name="Output 3 2 2 20 2" xfId="11636" xr:uid="{C1906E35-93D2-4D3B-9799-0A8795E1A835}"/>
    <cellStyle name="Output 3 2 2 20 2 2" xfId="40350" xr:uid="{97FC18BE-9D83-4601-92BB-79DDB7ED5028}"/>
    <cellStyle name="Output 3 2 2 20 2 3" xfId="40351" xr:uid="{84605143-3C8F-475B-B171-11C3FD9D6E25}"/>
    <cellStyle name="Output 3 2 2 20 2 4" xfId="40352" xr:uid="{241669EE-4352-45DE-B838-20593132BB1C}"/>
    <cellStyle name="Output 3 2 2 20 2 5" xfId="40353" xr:uid="{C91B25F0-D5C1-45EB-9CFD-12F28E781C15}"/>
    <cellStyle name="Output 3 2 2 20 2 6" xfId="40354" xr:uid="{9B8E1290-624E-4408-9E39-9A3D443901C2}"/>
    <cellStyle name="Output 3 2 2 20 3" xfId="40355" xr:uid="{4EC2DB92-E58B-4980-B2F6-D8439C26CEE6}"/>
    <cellStyle name="Output 3 2 2 20 4" xfId="40356" xr:uid="{98BBBDCC-B3C3-41C7-BDD9-262917E22A06}"/>
    <cellStyle name="Output 3 2 2 20 5" xfId="40357" xr:uid="{37309A72-A39A-4888-9CEE-DACC567739FA}"/>
    <cellStyle name="Output 3 2 2 20 6" xfId="40358" xr:uid="{CED06961-5EFA-4681-BF90-1B88D8B14031}"/>
    <cellStyle name="Output 3 2 2 20 7" xfId="40359" xr:uid="{E860DE4F-592D-451B-A501-3B8E099CAD8F}"/>
    <cellStyle name="Output 3 2 2 21" xfId="2943" xr:uid="{D91DC82B-2EF4-4176-9C97-DBB92327C72C}"/>
    <cellStyle name="Output 3 2 2 21 2" xfId="11720" xr:uid="{E8B7D8ED-B48B-4BAA-9FB6-FFD207085AC2}"/>
    <cellStyle name="Output 3 2 2 21 2 2" xfId="40360" xr:uid="{BC978C66-D726-4E07-BCCE-E72B6CB7544C}"/>
    <cellStyle name="Output 3 2 2 21 2 3" xfId="40361" xr:uid="{2B00F3D6-2ACA-4441-A62F-4652626583A3}"/>
    <cellStyle name="Output 3 2 2 21 2 4" xfId="40362" xr:uid="{7F57C87D-F6A2-4B24-8A44-E8F32F865ADB}"/>
    <cellStyle name="Output 3 2 2 21 2 5" xfId="40363" xr:uid="{AB8CD1DE-E609-4C65-ACDC-B371C1DDE9A0}"/>
    <cellStyle name="Output 3 2 2 21 2 6" xfId="40364" xr:uid="{C02A13BA-9AB5-40AD-8B72-8BB3E78AEC57}"/>
    <cellStyle name="Output 3 2 2 21 3" xfId="40365" xr:uid="{EBC36C0B-8094-4A63-94FA-B38B207A2F97}"/>
    <cellStyle name="Output 3 2 2 21 4" xfId="40366" xr:uid="{D1078A77-7F12-441F-8A8E-96B90C45ABDB}"/>
    <cellStyle name="Output 3 2 2 21 5" xfId="40367" xr:uid="{2D49BBEF-796C-4AC8-A799-168478E8AB0A}"/>
    <cellStyle name="Output 3 2 2 21 6" xfId="40368" xr:uid="{13630019-72D6-4301-B4C6-944541A35157}"/>
    <cellStyle name="Output 3 2 2 21 7" xfId="40369" xr:uid="{8F96AFB6-986B-4150-A613-B4DF39D950B6}"/>
    <cellStyle name="Output 3 2 2 22" xfId="2944" xr:uid="{5EC52A8B-C4A1-43DE-AEF9-2FFEBBEEBECC}"/>
    <cellStyle name="Output 3 2 2 22 2" xfId="11803" xr:uid="{EECC25F8-F3B2-464C-861F-9E3B6C142B2D}"/>
    <cellStyle name="Output 3 2 2 22 2 2" xfId="40370" xr:uid="{1D7AD9DA-CA39-46D2-8BFF-14006209502C}"/>
    <cellStyle name="Output 3 2 2 22 2 3" xfId="40371" xr:uid="{CDC5C4B0-6792-4E36-88E0-8A04A83FA8F5}"/>
    <cellStyle name="Output 3 2 2 22 2 4" xfId="40372" xr:uid="{12C043C1-371C-4BEC-BBC6-C99831F4D40F}"/>
    <cellStyle name="Output 3 2 2 22 2 5" xfId="40373" xr:uid="{6D74B410-72D0-4C97-B9BF-A1A3B76B76BE}"/>
    <cellStyle name="Output 3 2 2 22 2 6" xfId="40374" xr:uid="{8758C0EB-572D-4DA0-9603-FB05BD6F9FB5}"/>
    <cellStyle name="Output 3 2 2 22 3" xfId="40375" xr:uid="{CC642D17-C3F0-469E-BD8A-CA13301FF0E5}"/>
    <cellStyle name="Output 3 2 2 22 4" xfId="40376" xr:uid="{61076C85-247A-4E1E-982A-14B1B22856A7}"/>
    <cellStyle name="Output 3 2 2 22 5" xfId="40377" xr:uid="{1F495A55-4D7A-4288-AE0D-CF1165974637}"/>
    <cellStyle name="Output 3 2 2 22 6" xfId="40378" xr:uid="{B9E1D406-A3C8-42E8-B27E-5116D7F26769}"/>
    <cellStyle name="Output 3 2 2 22 7" xfId="40379" xr:uid="{2EAB9E2B-09EF-47C5-A31A-B40AD8FD3AE4}"/>
    <cellStyle name="Output 3 2 2 23" xfId="2945" xr:uid="{8058BBBF-83B8-4ED0-B0CA-48093B6D2145}"/>
    <cellStyle name="Output 3 2 2 23 2" xfId="11886" xr:uid="{CE2CF7DA-0693-4908-80FD-56FECC1A3879}"/>
    <cellStyle name="Output 3 2 2 23 2 2" xfId="40380" xr:uid="{25458371-2831-49BD-9AF4-74EA8ADEAE25}"/>
    <cellStyle name="Output 3 2 2 23 2 3" xfId="40381" xr:uid="{D2625A58-D44D-47DE-879B-4CFB9F0D78F0}"/>
    <cellStyle name="Output 3 2 2 23 2 4" xfId="40382" xr:uid="{F95A38AD-B56A-4284-A29D-D908E45A9CF0}"/>
    <cellStyle name="Output 3 2 2 23 2 5" xfId="40383" xr:uid="{80E91076-8FC6-4E81-90B9-40AC1283F600}"/>
    <cellStyle name="Output 3 2 2 23 2 6" xfId="40384" xr:uid="{423C21F7-A493-41E0-B9C9-0801AC5E7B05}"/>
    <cellStyle name="Output 3 2 2 23 3" xfId="40385" xr:uid="{68D2953C-5022-4274-B33D-D44BC5F0554D}"/>
    <cellStyle name="Output 3 2 2 23 4" xfId="40386" xr:uid="{F573EE83-1411-4571-A5B0-2B07D122CB99}"/>
    <cellStyle name="Output 3 2 2 23 5" xfId="40387" xr:uid="{C3F63CF3-9501-48F3-B8D0-4F11B602B5B6}"/>
    <cellStyle name="Output 3 2 2 23 6" xfId="40388" xr:uid="{6A08B974-3E9B-464D-916F-20C023D6F11A}"/>
    <cellStyle name="Output 3 2 2 23 7" xfId="40389" xr:uid="{1EB42F55-5D37-437E-B802-E590BB2D4059}"/>
    <cellStyle name="Output 3 2 2 24" xfId="2946" xr:uid="{4441BB4D-6022-414B-984A-9D5C868A12A4}"/>
    <cellStyle name="Output 3 2 2 24 2" xfId="11970" xr:uid="{5B24DA76-5739-4E7A-B93B-F8F3278CC299}"/>
    <cellStyle name="Output 3 2 2 24 2 2" xfId="40390" xr:uid="{38055D79-8DBE-434D-8111-3441DC882A8E}"/>
    <cellStyle name="Output 3 2 2 24 2 3" xfId="40391" xr:uid="{3FA33AFD-15B3-4ED7-BD6D-0092002C011B}"/>
    <cellStyle name="Output 3 2 2 24 2 4" xfId="40392" xr:uid="{868CE6B9-CB3A-4A17-907B-9EC806BA91B3}"/>
    <cellStyle name="Output 3 2 2 24 2 5" xfId="40393" xr:uid="{69C62D8B-0FF1-4B31-91ED-A2E52EACC385}"/>
    <cellStyle name="Output 3 2 2 24 2 6" xfId="40394" xr:uid="{A3F64D68-2A40-4E87-B03F-C59F8957E63C}"/>
    <cellStyle name="Output 3 2 2 24 3" xfId="40395" xr:uid="{ADD5D06A-556C-4526-8840-8D6DBF81284D}"/>
    <cellStyle name="Output 3 2 2 24 4" xfId="40396" xr:uid="{DC6F4801-0996-40A9-BFD5-D5F568204D45}"/>
    <cellStyle name="Output 3 2 2 24 5" xfId="40397" xr:uid="{2DA0712C-BE7F-4D2A-9452-4288A5BC429F}"/>
    <cellStyle name="Output 3 2 2 24 6" xfId="40398" xr:uid="{7840B928-A7FB-4DB9-843A-4F00991BEEEC}"/>
    <cellStyle name="Output 3 2 2 24 7" xfId="40399" xr:uid="{8BE89678-EF8D-433F-B35A-22D074D8D4A7}"/>
    <cellStyle name="Output 3 2 2 25" xfId="2947" xr:uid="{1EAB3E2C-AD9E-402D-A94C-984D578D80B3}"/>
    <cellStyle name="Output 3 2 2 25 2" xfId="12053" xr:uid="{C653893F-CAB0-4A51-A471-0AD51446A70A}"/>
    <cellStyle name="Output 3 2 2 25 2 2" xfId="40400" xr:uid="{60DFBB51-2E55-4EA2-9EB1-76F905FE613E}"/>
    <cellStyle name="Output 3 2 2 25 2 3" xfId="40401" xr:uid="{C3CDF7C6-416C-4BAF-8AD3-6FDBCEAA786B}"/>
    <cellStyle name="Output 3 2 2 25 2 4" xfId="40402" xr:uid="{D23CFF9B-5FBB-42E4-90DD-4CC775E2F0C7}"/>
    <cellStyle name="Output 3 2 2 25 2 5" xfId="40403" xr:uid="{5B5AD429-9635-48D8-82D1-7946B2AC3B24}"/>
    <cellStyle name="Output 3 2 2 25 2 6" xfId="40404" xr:uid="{571CE587-32A1-4EE1-80D8-9E96DE4C77B1}"/>
    <cellStyle name="Output 3 2 2 25 3" xfId="40405" xr:uid="{53E9922D-96E0-4471-97BB-5669EF29D844}"/>
    <cellStyle name="Output 3 2 2 25 4" xfId="40406" xr:uid="{8228FDB0-C2D8-41DA-A9F2-37239FEEFBBE}"/>
    <cellStyle name="Output 3 2 2 25 5" xfId="40407" xr:uid="{9A26832F-2EF6-47FF-A817-9EC4C07FBCE5}"/>
    <cellStyle name="Output 3 2 2 25 6" xfId="40408" xr:uid="{E8FECDEB-8F01-4B82-9AD4-59483428A881}"/>
    <cellStyle name="Output 3 2 2 25 7" xfId="40409" xr:uid="{94387209-948B-4BAF-B772-18E7AFDE329C}"/>
    <cellStyle name="Output 3 2 2 26" xfId="2948" xr:uid="{F77B2A33-4C9B-4E61-B268-F4606BC05FCF}"/>
    <cellStyle name="Output 3 2 2 26 2" xfId="12136" xr:uid="{4EE02E62-2085-4436-A2E9-9A8B24914BAF}"/>
    <cellStyle name="Output 3 2 2 26 2 2" xfId="40410" xr:uid="{248849A6-DEBE-4909-92C6-0BBCF75D74EF}"/>
    <cellStyle name="Output 3 2 2 26 2 3" xfId="40411" xr:uid="{CAF81811-6C20-43FC-A5AA-DDB377AC3FCB}"/>
    <cellStyle name="Output 3 2 2 26 2 4" xfId="40412" xr:uid="{396E7F18-1BEE-43F9-A40C-B5161E7E49F1}"/>
    <cellStyle name="Output 3 2 2 26 2 5" xfId="40413" xr:uid="{79A30C48-C073-41B9-A258-BC94CE28A6FE}"/>
    <cellStyle name="Output 3 2 2 26 2 6" xfId="40414" xr:uid="{169ED031-989C-495A-BAC0-2DA751C0FB39}"/>
    <cellStyle name="Output 3 2 2 26 3" xfId="40415" xr:uid="{4C9FF651-1D58-4640-A21C-0142B0A1DB06}"/>
    <cellStyle name="Output 3 2 2 26 4" xfId="40416" xr:uid="{3D7188EB-AFF0-47EE-8DB9-3E5AE6B6D27B}"/>
    <cellStyle name="Output 3 2 2 26 5" xfId="40417" xr:uid="{175D4E07-5EB3-42F1-B56F-EE9C7AB71AF6}"/>
    <cellStyle name="Output 3 2 2 26 6" xfId="40418" xr:uid="{9F0DA788-960E-4BED-A89F-E7B7A2FD9521}"/>
    <cellStyle name="Output 3 2 2 26 7" xfId="40419" xr:uid="{7327CFD5-8C6B-406E-90B4-18F3BA29A4E9}"/>
    <cellStyle name="Output 3 2 2 27" xfId="2949" xr:uid="{FA98AA79-7A79-4D52-B5D6-ECE3E1566316}"/>
    <cellStyle name="Output 3 2 2 27 2" xfId="12218" xr:uid="{B2BDF3EB-D6A2-4EE9-8606-C94671016F93}"/>
    <cellStyle name="Output 3 2 2 27 2 2" xfId="40420" xr:uid="{F64FDE4A-DD27-4F9A-A324-D9035B54F308}"/>
    <cellStyle name="Output 3 2 2 27 2 3" xfId="40421" xr:uid="{00DC7D4E-AF02-462F-BBBA-5009659326D5}"/>
    <cellStyle name="Output 3 2 2 27 2 4" xfId="40422" xr:uid="{1C841248-7E81-4C12-979F-A994DB075797}"/>
    <cellStyle name="Output 3 2 2 27 2 5" xfId="40423" xr:uid="{8BAA07BA-6CAB-44D6-8FB6-3E4593483062}"/>
    <cellStyle name="Output 3 2 2 27 2 6" xfId="40424" xr:uid="{0CF66122-843B-4371-99BA-6AE392D6E7C5}"/>
    <cellStyle name="Output 3 2 2 27 3" xfId="40425" xr:uid="{3FAEBBB5-7044-4200-896E-96A73BE6AEB0}"/>
    <cellStyle name="Output 3 2 2 27 4" xfId="40426" xr:uid="{5EE3FF68-3E20-4260-9FB3-21058BE212C0}"/>
    <cellStyle name="Output 3 2 2 27 5" xfId="40427" xr:uid="{60E82765-835D-42E8-BAF5-93DC58683A11}"/>
    <cellStyle name="Output 3 2 2 27 6" xfId="40428" xr:uid="{9CBC0D8D-2F3B-468A-9DA2-57C5EFAF6660}"/>
    <cellStyle name="Output 3 2 2 27 7" xfId="40429" xr:uid="{E374E9BE-693A-444D-95D6-DD96F2331F75}"/>
    <cellStyle name="Output 3 2 2 28" xfId="2950" xr:uid="{615E6DB3-B08B-440D-8E59-CCAE3AE20DE0}"/>
    <cellStyle name="Output 3 2 2 28 2" xfId="12298" xr:uid="{940BC0E6-D08C-49AC-908A-436EA2A0E09E}"/>
    <cellStyle name="Output 3 2 2 28 2 2" xfId="40430" xr:uid="{59ACF71D-ED97-4B66-B33A-F966BFB45954}"/>
    <cellStyle name="Output 3 2 2 28 2 3" xfId="40431" xr:uid="{474ADCAA-A51A-4F2E-9DC6-6C1DC6A7F0BB}"/>
    <cellStyle name="Output 3 2 2 28 2 4" xfId="40432" xr:uid="{8058EC0E-951C-4966-90BF-9CA3CEFCA1ED}"/>
    <cellStyle name="Output 3 2 2 28 2 5" xfId="40433" xr:uid="{F54B6291-A860-48A2-B076-976DC003F021}"/>
    <cellStyle name="Output 3 2 2 28 2 6" xfId="40434" xr:uid="{E2C868A9-5B18-498A-8891-949F628FAF68}"/>
    <cellStyle name="Output 3 2 2 28 3" xfId="40435" xr:uid="{5EFE8A1D-55FB-4C2F-BF8E-512F9534AD74}"/>
    <cellStyle name="Output 3 2 2 28 4" xfId="40436" xr:uid="{52AF508C-D5DF-4345-8753-F5AE1157C0B5}"/>
    <cellStyle name="Output 3 2 2 28 5" xfId="40437" xr:uid="{5F08B61A-09F7-4376-AA4B-A69B9389BCCC}"/>
    <cellStyle name="Output 3 2 2 28 6" xfId="40438" xr:uid="{8300235A-2628-4DBA-BBF4-669A9C3970D6}"/>
    <cellStyle name="Output 3 2 2 28 7" xfId="40439" xr:uid="{2BFB2456-4FB5-4632-B284-3804303D9D3F}"/>
    <cellStyle name="Output 3 2 2 29" xfId="2951" xr:uid="{5813478E-25EC-4648-AB38-DDCFCFA1A583}"/>
    <cellStyle name="Output 3 2 2 29 2" xfId="12376" xr:uid="{BBE98C9E-33C1-4415-9F37-F6EA84B9230F}"/>
    <cellStyle name="Output 3 2 2 29 2 2" xfId="40440" xr:uid="{3D4CF1DF-72C2-4FA6-891A-D8B42EB6654D}"/>
    <cellStyle name="Output 3 2 2 29 2 3" xfId="40441" xr:uid="{8F2DEF5A-7040-4E38-B27D-E8A363718F7F}"/>
    <cellStyle name="Output 3 2 2 29 2 4" xfId="40442" xr:uid="{3C7CB4B1-420A-4632-AEE8-B96F1DA60038}"/>
    <cellStyle name="Output 3 2 2 29 2 5" xfId="40443" xr:uid="{FA08E4E5-1852-4A66-AC19-C150915E0EE5}"/>
    <cellStyle name="Output 3 2 2 29 2 6" xfId="40444" xr:uid="{B2B6BE1F-D3AF-4E6A-8C46-099A41F63338}"/>
    <cellStyle name="Output 3 2 2 29 3" xfId="40445" xr:uid="{10DDE9CD-B90A-4465-92E6-FDF0984AB4A4}"/>
    <cellStyle name="Output 3 2 2 29 4" xfId="40446" xr:uid="{BC02991C-1DA5-44DD-9A54-43445367AE7C}"/>
    <cellStyle name="Output 3 2 2 29 5" xfId="40447" xr:uid="{2288C678-29D5-40C6-9E11-1DDBE1DD52BB}"/>
    <cellStyle name="Output 3 2 2 29 6" xfId="40448" xr:uid="{9B4EF424-F6FA-4FE7-A912-D11C88CCFD97}"/>
    <cellStyle name="Output 3 2 2 29 7" xfId="40449" xr:uid="{AD01B493-2829-4E88-823D-3FFBB65B3DDB}"/>
    <cellStyle name="Output 3 2 2 3" xfId="2952" xr:uid="{5830FB9D-CA83-494B-B2F5-EE4584E7452E}"/>
    <cellStyle name="Output 3 2 2 3 2" xfId="10146" xr:uid="{98828E7F-6C5F-4FBC-B2AE-3D25E5C9A06E}"/>
    <cellStyle name="Output 3 2 2 3 2 2" xfId="40450" xr:uid="{FB0F0562-CBE3-4D88-95F1-A8AFC352F7DD}"/>
    <cellStyle name="Output 3 2 2 3 2 3" xfId="40451" xr:uid="{3861FBB2-9DBF-4C82-9278-4DFCE3A411BE}"/>
    <cellStyle name="Output 3 2 2 3 2 4" xfId="40452" xr:uid="{08D23353-DAE2-49FF-9046-666B72753A97}"/>
    <cellStyle name="Output 3 2 2 3 2 5" xfId="40453" xr:uid="{257C21AD-6D41-493C-B21D-69A9DFF0AB8A}"/>
    <cellStyle name="Output 3 2 2 3 2 6" xfId="40454" xr:uid="{24EF9832-4979-4510-AEDA-48B50932F6DD}"/>
    <cellStyle name="Output 3 2 2 3 3" xfId="40455" xr:uid="{180F1AE8-1C7B-482D-B7E2-59D71AB1EFD7}"/>
    <cellStyle name="Output 3 2 2 3 4" xfId="40456" xr:uid="{BDABAFA8-FD2B-499A-B843-BA61A9AEBACD}"/>
    <cellStyle name="Output 3 2 2 3 5" xfId="40457" xr:uid="{67D4307A-34F3-42EB-BA8A-51D4030564FB}"/>
    <cellStyle name="Output 3 2 2 3 6" xfId="40458" xr:uid="{261E03BC-8596-4943-A5E1-32911373DDF6}"/>
    <cellStyle name="Output 3 2 2 3 7" xfId="40459" xr:uid="{080B1152-4921-4D5D-A9A3-E9B94354C861}"/>
    <cellStyle name="Output 3 2 2 30" xfId="2953" xr:uid="{15AD1893-1567-4148-A1F7-D73236FA9FDC}"/>
    <cellStyle name="Output 3 2 2 30 2" xfId="12455" xr:uid="{3E16A11D-D7C6-41DD-AA76-5DE6CE00DC05}"/>
    <cellStyle name="Output 3 2 2 30 2 2" xfId="40460" xr:uid="{BDBAD30D-17F8-4D8F-A489-C347DA4C87C6}"/>
    <cellStyle name="Output 3 2 2 30 2 3" xfId="40461" xr:uid="{AB6B0D56-9F32-4463-A11E-C71002D79108}"/>
    <cellStyle name="Output 3 2 2 30 2 4" xfId="40462" xr:uid="{E3704056-AD7F-4944-97EC-8E22A8371BE1}"/>
    <cellStyle name="Output 3 2 2 30 2 5" xfId="40463" xr:uid="{7D21FDE6-4E3F-4EFE-89B0-00AD7E061905}"/>
    <cellStyle name="Output 3 2 2 30 2 6" xfId="40464" xr:uid="{F0CD5DF6-876F-408A-9AD1-60146F993D36}"/>
    <cellStyle name="Output 3 2 2 30 3" xfId="40465" xr:uid="{26CFB822-A72C-4B50-AB3B-99A3C3287B27}"/>
    <cellStyle name="Output 3 2 2 30 4" xfId="40466" xr:uid="{8CDA2207-A42E-4A2F-9BB3-EFD09EA7F546}"/>
    <cellStyle name="Output 3 2 2 30 5" xfId="40467" xr:uid="{C1A4504D-9F63-40BE-97AF-EB9EA867FDFE}"/>
    <cellStyle name="Output 3 2 2 30 6" xfId="40468" xr:uid="{5BDC584E-D910-42D5-BFF0-E91DB3E2A4A4}"/>
    <cellStyle name="Output 3 2 2 30 7" xfId="40469" xr:uid="{A20D4E47-C255-4460-8B94-17AF90B6CB19}"/>
    <cellStyle name="Output 3 2 2 31" xfId="2954" xr:uid="{9810DBD5-01F5-405C-9778-B3B06B971941}"/>
    <cellStyle name="Output 3 2 2 31 2" xfId="12534" xr:uid="{D3EFCA77-86C0-4DA4-9590-79B822195AF4}"/>
    <cellStyle name="Output 3 2 2 31 2 2" xfId="40470" xr:uid="{C935BCBF-C55A-4B03-B5D6-3892A4E9169E}"/>
    <cellStyle name="Output 3 2 2 31 2 3" xfId="40471" xr:uid="{E8D421C1-E7F2-4E5E-BC9D-AB1970A5FEF6}"/>
    <cellStyle name="Output 3 2 2 31 2 4" xfId="40472" xr:uid="{1F2FACF4-8D2C-4FF1-A483-3EFA830202E2}"/>
    <cellStyle name="Output 3 2 2 31 2 5" xfId="40473" xr:uid="{B365B110-B74A-4436-AF3F-A3C859AE3A69}"/>
    <cellStyle name="Output 3 2 2 31 2 6" xfId="40474" xr:uid="{2EC1D17B-1AE6-4CCA-9A36-9655C7BEB660}"/>
    <cellStyle name="Output 3 2 2 31 3" xfId="40475" xr:uid="{0118C963-9A87-4DAA-9C17-13B008F5752A}"/>
    <cellStyle name="Output 3 2 2 31 4" xfId="40476" xr:uid="{1E4E813D-AEEE-4408-9A74-34FF317D7FC4}"/>
    <cellStyle name="Output 3 2 2 31 5" xfId="40477" xr:uid="{123E5580-5E31-4B84-BE12-89167E12CEEE}"/>
    <cellStyle name="Output 3 2 2 31 6" xfId="40478" xr:uid="{FADC5E4A-231E-496E-A403-D6B7D80E4B7A}"/>
    <cellStyle name="Output 3 2 2 31 7" xfId="40479" xr:uid="{9608D597-6973-41DC-BDC1-162D218868FC}"/>
    <cellStyle name="Output 3 2 2 32" xfId="2955" xr:uid="{E36E7FD0-872D-4ACE-B4D9-A558D7FC818B}"/>
    <cellStyle name="Output 3 2 2 32 2" xfId="12613" xr:uid="{3B2F5DF4-FA5D-4D2C-9740-7E47B6AB58BE}"/>
    <cellStyle name="Output 3 2 2 32 2 2" xfId="40480" xr:uid="{DA54C7C3-5171-4C96-9A8D-66C3CB3212F7}"/>
    <cellStyle name="Output 3 2 2 32 2 3" xfId="40481" xr:uid="{3EA378F0-5F5E-46F4-9793-0197C299DD3B}"/>
    <cellStyle name="Output 3 2 2 32 2 4" xfId="40482" xr:uid="{9FD08AD4-8893-465E-B624-F3BF42A045DF}"/>
    <cellStyle name="Output 3 2 2 32 2 5" xfId="40483" xr:uid="{55E45078-D99D-4401-A0EC-EA5FDEB50774}"/>
    <cellStyle name="Output 3 2 2 32 2 6" xfId="40484" xr:uid="{1783CCC6-0879-4CA8-9E0A-4A34DD7BB8D6}"/>
    <cellStyle name="Output 3 2 2 32 3" xfId="40485" xr:uid="{5814786E-FC6F-4FD5-9195-672A478506A0}"/>
    <cellStyle name="Output 3 2 2 32 4" xfId="40486" xr:uid="{B7E5175F-7D01-4A16-BC54-9CD91471B92F}"/>
    <cellStyle name="Output 3 2 2 32 5" xfId="40487" xr:uid="{CD6B4FF9-8BB6-4A93-A98C-EFE52ADFB945}"/>
    <cellStyle name="Output 3 2 2 32 6" xfId="40488" xr:uid="{C22AB787-68CD-4ED3-8615-F18A0E735856}"/>
    <cellStyle name="Output 3 2 2 32 7" xfId="40489" xr:uid="{274887F1-68F4-4D53-BB1E-27A8DF13C46A}"/>
    <cellStyle name="Output 3 2 2 33" xfId="2956" xr:uid="{9139567B-62FE-4A7A-984D-19A301FC2518}"/>
    <cellStyle name="Output 3 2 2 33 2" xfId="12692" xr:uid="{F566D47D-D79F-40B2-8BA3-45F0EEA80991}"/>
    <cellStyle name="Output 3 2 2 33 2 2" xfId="40490" xr:uid="{0364C099-A26E-4599-AA6F-B17ED79A5EA8}"/>
    <cellStyle name="Output 3 2 2 33 2 3" xfId="40491" xr:uid="{B8DB1F8A-EC4C-448E-B0AF-09C6CAF7D36C}"/>
    <cellStyle name="Output 3 2 2 33 2 4" xfId="40492" xr:uid="{2C90D397-E912-449C-AA5A-F72C6485D211}"/>
    <cellStyle name="Output 3 2 2 33 2 5" xfId="40493" xr:uid="{B56655B9-9A65-42CB-8B80-83036F5A1A3A}"/>
    <cellStyle name="Output 3 2 2 33 2 6" xfId="40494" xr:uid="{61FD0912-BA06-4ED8-B124-758D3492B2CD}"/>
    <cellStyle name="Output 3 2 2 33 3" xfId="40495" xr:uid="{016F1F74-B0B8-4B8E-987B-C9BB03057D6B}"/>
    <cellStyle name="Output 3 2 2 33 4" xfId="40496" xr:uid="{D4F9A548-3C6F-4970-AF8F-1E6AADADBBC6}"/>
    <cellStyle name="Output 3 2 2 33 5" xfId="40497" xr:uid="{2E3A8E34-2EED-4396-9D72-0BF483F7A288}"/>
    <cellStyle name="Output 3 2 2 33 6" xfId="40498" xr:uid="{8F435519-2B44-4801-A2FB-AFBF01062AC5}"/>
    <cellStyle name="Output 3 2 2 33 7" xfId="40499" xr:uid="{F8D0C5DE-F75A-4B89-B47F-711A10402335}"/>
    <cellStyle name="Output 3 2 2 34" xfId="2957" xr:uid="{8E446182-471A-44B5-8898-1BCC46A82683}"/>
    <cellStyle name="Output 3 2 2 34 2" xfId="12776" xr:uid="{FD224380-34DD-41E6-BBCE-539242932109}"/>
    <cellStyle name="Output 3 2 2 34 2 2" xfId="40500" xr:uid="{62B1D2E0-0F7D-43EC-9969-647F3B479691}"/>
    <cellStyle name="Output 3 2 2 34 2 3" xfId="40501" xr:uid="{7D179D2B-8B1A-4A19-98E3-44AC435F1243}"/>
    <cellStyle name="Output 3 2 2 34 2 4" xfId="40502" xr:uid="{0B90B354-CDD2-42AA-BFF5-3CD13F670360}"/>
    <cellStyle name="Output 3 2 2 34 2 5" xfId="40503" xr:uid="{AD8037B3-C86E-4ECF-A2E3-A09F74A2AF88}"/>
    <cellStyle name="Output 3 2 2 34 2 6" xfId="40504" xr:uid="{5814944D-FD1F-400A-AEDF-F848F63FA4F1}"/>
    <cellStyle name="Output 3 2 2 34 3" xfId="40505" xr:uid="{5F64D80B-305D-4C46-B08C-37C825011702}"/>
    <cellStyle name="Output 3 2 2 34 4" xfId="40506" xr:uid="{0CB063E5-F11C-4D83-B882-F48E26DD3DC2}"/>
    <cellStyle name="Output 3 2 2 34 5" xfId="40507" xr:uid="{D98A9D86-21FD-4F89-A112-6F7E23C18141}"/>
    <cellStyle name="Output 3 2 2 34 6" xfId="40508" xr:uid="{F6BFBD6C-44A7-4028-B10F-809923B3C897}"/>
    <cellStyle name="Output 3 2 2 35" xfId="8920" xr:uid="{E4CE0AA1-BE21-496A-892B-38A939954B37}"/>
    <cellStyle name="Output 3 2 2 35 2" xfId="40509" xr:uid="{9DF2B5E9-0E5C-4AF1-9DA2-B1DDB1204AC4}"/>
    <cellStyle name="Output 3 2 2 35 3" xfId="40510" xr:uid="{5F809A2D-6303-4B8A-B707-6016E5B20998}"/>
    <cellStyle name="Output 3 2 2 35 4" xfId="40511" xr:uid="{66024373-E5E5-4CBA-B0E5-5FA8E5CBF27F}"/>
    <cellStyle name="Output 3 2 2 35 5" xfId="40512" xr:uid="{BB804C75-6F5A-4D06-B1F5-BBC24D6B15E5}"/>
    <cellStyle name="Output 3 2 2 35 6" xfId="40513" xr:uid="{2A6B16EC-C999-4C71-8929-0BC001A70981}"/>
    <cellStyle name="Output 3 2 2 36" xfId="9842" xr:uid="{47BACF44-C675-4D88-9E90-2914FE9C0BF1}"/>
    <cellStyle name="Output 3 2 2 36 2" xfId="40514" xr:uid="{6E055C80-EB3D-4429-8BA2-950D839F25F0}"/>
    <cellStyle name="Output 3 2 2 36 3" xfId="40515" xr:uid="{D94BC9F1-EF71-4F50-8B17-CD8EB44DEFBC}"/>
    <cellStyle name="Output 3 2 2 36 4" xfId="40516" xr:uid="{D04B2DD7-2F73-4943-864E-B5075868922A}"/>
    <cellStyle name="Output 3 2 2 36 5" xfId="40517" xr:uid="{D90C871D-F724-4264-B911-34608EAF90A9}"/>
    <cellStyle name="Output 3 2 2 36 6" xfId="40518" xr:uid="{3B46227F-60C8-4C8B-A7DF-D2AA79258FD5}"/>
    <cellStyle name="Output 3 2 2 37" xfId="40519" xr:uid="{B04FEF66-7763-44AD-BCA3-795867CD2408}"/>
    <cellStyle name="Output 3 2 2 38" xfId="40520" xr:uid="{AEA63DB7-1C90-49C4-9563-2BE1FA99C0E1}"/>
    <cellStyle name="Output 3 2 2 39" xfId="40521" xr:uid="{117A9109-C396-45A6-BCA0-CC8FAE3B56F5}"/>
    <cellStyle name="Output 3 2 2 4" xfId="2958" xr:uid="{BABE2BB2-62A6-4CE8-AF9B-B5AE44E66495}"/>
    <cellStyle name="Output 3 2 2 4 2" xfId="10236" xr:uid="{5A1637FB-1575-41C6-B9BE-5E5C020204F3}"/>
    <cellStyle name="Output 3 2 2 4 2 2" xfId="40522" xr:uid="{90E4494A-2BDA-4A09-A952-C007DF13E15D}"/>
    <cellStyle name="Output 3 2 2 4 2 3" xfId="40523" xr:uid="{9C1FF0BA-FFB2-4A7B-8AC3-93DAD78762FD}"/>
    <cellStyle name="Output 3 2 2 4 2 4" xfId="40524" xr:uid="{6832B000-377F-49F8-AA5C-C9C10293F4D8}"/>
    <cellStyle name="Output 3 2 2 4 2 5" xfId="40525" xr:uid="{31EB382B-7ABE-4F78-B3E5-AF8BCE3146F1}"/>
    <cellStyle name="Output 3 2 2 4 2 6" xfId="40526" xr:uid="{9BE21CEE-B2B3-4D43-8526-3A3B6DAEB521}"/>
    <cellStyle name="Output 3 2 2 4 3" xfId="40527" xr:uid="{65C5913B-529C-4A6A-9212-592DCE71B6A9}"/>
    <cellStyle name="Output 3 2 2 4 4" xfId="40528" xr:uid="{74249331-64CD-4630-97DD-5E66098C91C2}"/>
    <cellStyle name="Output 3 2 2 4 5" xfId="40529" xr:uid="{972037C2-BD4A-45CE-A1FE-D4309688F7D2}"/>
    <cellStyle name="Output 3 2 2 4 6" xfId="40530" xr:uid="{CF7392BA-61DA-4BCF-A867-36CEEC30374B}"/>
    <cellStyle name="Output 3 2 2 4 7" xfId="40531" xr:uid="{638023C2-E877-43DB-AB79-6F42BEAAE7DA}"/>
    <cellStyle name="Output 3 2 2 40" xfId="40532" xr:uid="{85258144-FE08-4A16-B80E-7E0EDB428E2D}"/>
    <cellStyle name="Output 3 2 2 5" xfId="2959" xr:uid="{E33EDE2F-0943-450D-AFED-7B180F7C5454}"/>
    <cellStyle name="Output 3 2 2 5 2" xfId="10322" xr:uid="{B0261612-6F29-400B-8500-E2FB8B3F3585}"/>
    <cellStyle name="Output 3 2 2 5 2 2" xfId="40533" xr:uid="{FF7CEAB8-08F6-4C6B-98B7-F7CD7283A77E}"/>
    <cellStyle name="Output 3 2 2 5 2 3" xfId="40534" xr:uid="{5674BD2A-F27B-4342-AF17-14F955E949B9}"/>
    <cellStyle name="Output 3 2 2 5 2 4" xfId="40535" xr:uid="{9F03146C-DAB5-4681-B5E5-3F5025DD287D}"/>
    <cellStyle name="Output 3 2 2 5 2 5" xfId="40536" xr:uid="{B308D3B1-8D30-4F45-AF9B-97DC910512B2}"/>
    <cellStyle name="Output 3 2 2 5 2 6" xfId="40537" xr:uid="{B793C5F4-FF28-421E-A9EE-751932E4FC85}"/>
    <cellStyle name="Output 3 2 2 5 3" xfId="40538" xr:uid="{1FD97EED-F08F-470E-952A-A5D3A6CBA0A3}"/>
    <cellStyle name="Output 3 2 2 5 4" xfId="40539" xr:uid="{028F898E-CBAF-4463-8F5F-1CD1DD91BCFE}"/>
    <cellStyle name="Output 3 2 2 5 5" xfId="40540" xr:uid="{CF16365C-E902-423F-9A8A-1F0548BA6311}"/>
    <cellStyle name="Output 3 2 2 5 6" xfId="40541" xr:uid="{EAFA9160-5F52-49D0-B167-16884FC2E264}"/>
    <cellStyle name="Output 3 2 2 5 7" xfId="40542" xr:uid="{6BDD0C04-7C0A-401B-9207-070B1095111B}"/>
    <cellStyle name="Output 3 2 2 6" xfId="2960" xr:uid="{E649BC95-2778-4A6B-A1AA-0E21918662E3}"/>
    <cellStyle name="Output 3 2 2 6 2" xfId="10410" xr:uid="{25A3568E-94F0-402C-A276-98F673E8D924}"/>
    <cellStyle name="Output 3 2 2 6 2 2" xfId="40543" xr:uid="{2F672AEB-E817-4742-AD88-FC27643D3D9E}"/>
    <cellStyle name="Output 3 2 2 6 2 3" xfId="40544" xr:uid="{AC906FFA-2A60-4CA0-977E-634B61E0C59F}"/>
    <cellStyle name="Output 3 2 2 6 2 4" xfId="40545" xr:uid="{73446E96-D45F-477F-9F32-DF5F4AFD403C}"/>
    <cellStyle name="Output 3 2 2 6 2 5" xfId="40546" xr:uid="{A62EEA98-65F8-4AFC-9CDF-8154D3A324AD}"/>
    <cellStyle name="Output 3 2 2 6 2 6" xfId="40547" xr:uid="{03067F0C-7783-4F6C-9E2E-32F0DD10798B}"/>
    <cellStyle name="Output 3 2 2 6 3" xfId="40548" xr:uid="{A4A2ED5A-AB84-493B-9851-329FA148829D}"/>
    <cellStyle name="Output 3 2 2 6 4" xfId="40549" xr:uid="{6EEB4B9B-A6C9-4537-AAED-52D4821D6A86}"/>
    <cellStyle name="Output 3 2 2 6 5" xfId="40550" xr:uid="{EFE687C9-CEF8-42E6-9C20-97F74015470E}"/>
    <cellStyle name="Output 3 2 2 6 6" xfId="40551" xr:uid="{AD6F42AC-58A3-472F-B99C-8EB5DCCFE341}"/>
    <cellStyle name="Output 3 2 2 6 7" xfId="40552" xr:uid="{E56A314E-3B7B-4E49-B30B-E4B83E480718}"/>
    <cellStyle name="Output 3 2 2 7" xfId="2961" xr:uid="{5C77B685-B911-4C14-A3E2-03741BBC4508}"/>
    <cellStyle name="Output 3 2 2 7 2" xfId="10497" xr:uid="{55493738-54EC-47C9-A991-2308E4E0109C}"/>
    <cellStyle name="Output 3 2 2 7 2 2" xfId="40553" xr:uid="{1EFADA75-5A4E-40CA-A1DA-42904ABF31C1}"/>
    <cellStyle name="Output 3 2 2 7 2 3" xfId="40554" xr:uid="{BDA97D4B-D0B7-48F2-90BD-EE3C053DECDA}"/>
    <cellStyle name="Output 3 2 2 7 2 4" xfId="40555" xr:uid="{72D14375-79A7-4FC8-8BDF-80FF89D52F03}"/>
    <cellStyle name="Output 3 2 2 7 2 5" xfId="40556" xr:uid="{2903F5A8-E766-418F-B664-7B009D528B60}"/>
    <cellStyle name="Output 3 2 2 7 2 6" xfId="40557" xr:uid="{D8CF395C-0F96-45F3-8A4B-A1A412CAE53F}"/>
    <cellStyle name="Output 3 2 2 7 3" xfId="40558" xr:uid="{9AD650CB-B4F8-4DD4-8518-D3594FDA6256}"/>
    <cellStyle name="Output 3 2 2 7 4" xfId="40559" xr:uid="{DA1599A9-59FA-4F73-9208-C3184182191F}"/>
    <cellStyle name="Output 3 2 2 7 5" xfId="40560" xr:uid="{8368AFFF-3D5B-4F30-8843-3D174668618B}"/>
    <cellStyle name="Output 3 2 2 7 6" xfId="40561" xr:uid="{406BC054-BFBC-4130-BE10-53ABD92E8BA2}"/>
    <cellStyle name="Output 3 2 2 7 7" xfId="40562" xr:uid="{AB1B8704-1191-4BC3-A821-93681D128EDB}"/>
    <cellStyle name="Output 3 2 2 8" xfId="2962" xr:uid="{D34F9EB5-D07C-449D-9D52-21B019FD7725}"/>
    <cellStyle name="Output 3 2 2 8 2" xfId="10585" xr:uid="{3D1B0508-20F0-4714-8996-09E499065524}"/>
    <cellStyle name="Output 3 2 2 8 2 2" xfId="40563" xr:uid="{E664EDC2-D416-4BEC-8AED-61A7FA691F62}"/>
    <cellStyle name="Output 3 2 2 8 2 3" xfId="40564" xr:uid="{30A11A0A-27B9-4C0A-A9E4-F1665F74529A}"/>
    <cellStyle name="Output 3 2 2 8 2 4" xfId="40565" xr:uid="{A80F3A07-5164-4F95-BF64-43FABFB75C9A}"/>
    <cellStyle name="Output 3 2 2 8 2 5" xfId="40566" xr:uid="{82C16F43-3B89-4CE1-B2C6-54A846DCC66E}"/>
    <cellStyle name="Output 3 2 2 8 2 6" xfId="40567" xr:uid="{28E8F45E-EAE5-4481-A453-F9A9092759C0}"/>
    <cellStyle name="Output 3 2 2 8 3" xfId="40568" xr:uid="{BE5791C7-1BC9-4AE0-8ED2-C5EA623DC299}"/>
    <cellStyle name="Output 3 2 2 8 4" xfId="40569" xr:uid="{543FB57C-5B10-4D4B-8868-82DE713013F0}"/>
    <cellStyle name="Output 3 2 2 8 5" xfId="40570" xr:uid="{BCDA88F4-6430-48B5-BC38-57A3182CAD06}"/>
    <cellStyle name="Output 3 2 2 8 6" xfId="40571" xr:uid="{A4949EBD-2936-4A47-9968-619F72669979}"/>
    <cellStyle name="Output 3 2 2 8 7" xfId="40572" xr:uid="{6BF7199B-20EA-4275-BCAD-78CB127A8CAE}"/>
    <cellStyle name="Output 3 2 2 9" xfId="2963" xr:uid="{D3A2AF66-750C-47BD-9F76-28528F2461E1}"/>
    <cellStyle name="Output 3 2 2 9 2" xfId="10667" xr:uid="{6CED4892-567B-4450-A603-8D2127B5CE7C}"/>
    <cellStyle name="Output 3 2 2 9 2 2" xfId="40573" xr:uid="{A3189814-71D7-4A4C-8DE5-3B3E6AFAB69A}"/>
    <cellStyle name="Output 3 2 2 9 2 3" xfId="40574" xr:uid="{B38F0057-905D-417F-8318-B047EB8F3146}"/>
    <cellStyle name="Output 3 2 2 9 2 4" xfId="40575" xr:uid="{5D346B76-52BD-4BA0-8561-B394FF0C8CA8}"/>
    <cellStyle name="Output 3 2 2 9 2 5" xfId="40576" xr:uid="{3C90D25A-A0C5-4AA6-862A-06BB312FC965}"/>
    <cellStyle name="Output 3 2 2 9 2 6" xfId="40577" xr:uid="{98D334A7-357B-408F-91D9-BCAF09BB89BE}"/>
    <cellStyle name="Output 3 2 2 9 3" xfId="40578" xr:uid="{AC3F98DB-C273-4851-B264-9E98B8A8F821}"/>
    <cellStyle name="Output 3 2 2 9 4" xfId="40579" xr:uid="{58BAF7C5-D56E-4FD0-BD91-4A89322063FA}"/>
    <cellStyle name="Output 3 2 2 9 5" xfId="40580" xr:uid="{7F11B2D3-196F-4C40-B5B0-C8163DD9C79F}"/>
    <cellStyle name="Output 3 2 2 9 6" xfId="40581" xr:uid="{CF898DFF-27F6-4410-94D2-14A5C553E56A}"/>
    <cellStyle name="Output 3 2 2 9 7" xfId="40582" xr:uid="{418C6057-6F87-4E59-8D4A-4EE67937824F}"/>
    <cellStyle name="Output 3 2 20" xfId="2964" xr:uid="{A573AB27-BE74-4DA8-84E8-EABFA2651130}"/>
    <cellStyle name="Output 3 2 20 2" xfId="11514" xr:uid="{D19322FA-AFD7-4432-9B41-79C1969397D1}"/>
    <cellStyle name="Output 3 2 20 2 2" xfId="40583" xr:uid="{46C27A79-60EB-4503-835B-E81AF6103E10}"/>
    <cellStyle name="Output 3 2 20 2 3" xfId="40584" xr:uid="{2177AE37-8354-47BF-97D8-E66340A971CD}"/>
    <cellStyle name="Output 3 2 20 2 4" xfId="40585" xr:uid="{68BF1680-15AA-438D-B615-507339082E01}"/>
    <cellStyle name="Output 3 2 20 2 5" xfId="40586" xr:uid="{4EBE2558-3ED1-4EC9-B2BE-955929BF478E}"/>
    <cellStyle name="Output 3 2 20 2 6" xfId="40587" xr:uid="{446B7673-7B46-433F-91AC-9F1C96B3F755}"/>
    <cellStyle name="Output 3 2 20 3" xfId="40588" xr:uid="{31771DC8-28DD-46F7-A9D3-4145B809123B}"/>
    <cellStyle name="Output 3 2 20 4" xfId="40589" xr:uid="{96766935-EF0A-42B9-9C30-64BDD6C4BCB9}"/>
    <cellStyle name="Output 3 2 20 5" xfId="40590" xr:uid="{8E8F9B46-FEBE-4C69-88C1-C475DC9F37E2}"/>
    <cellStyle name="Output 3 2 20 6" xfId="40591" xr:uid="{8F4865BE-AB21-4F26-A38F-FE40DADD5DAB}"/>
    <cellStyle name="Output 3 2 20 7" xfId="40592" xr:uid="{FCD5B58D-CDF1-45E0-BA47-A9E04E0D59E9}"/>
    <cellStyle name="Output 3 2 21" xfId="2965" xr:uid="{61010BE8-1383-4E52-9F06-0E65E0DFA6A0}"/>
    <cellStyle name="Output 3 2 21 2" xfId="11602" xr:uid="{32E373F8-D48C-47B4-A100-B75D138922C6}"/>
    <cellStyle name="Output 3 2 21 2 2" xfId="40593" xr:uid="{C8B5499A-9B0F-4F97-AFF7-3C18BAD6D4E2}"/>
    <cellStyle name="Output 3 2 21 2 3" xfId="40594" xr:uid="{BBE86064-31B6-4CA0-B77E-3B652240D773}"/>
    <cellStyle name="Output 3 2 21 2 4" xfId="40595" xr:uid="{39DADD25-CEE2-48D7-85AA-79951C996F9D}"/>
    <cellStyle name="Output 3 2 21 2 5" xfId="40596" xr:uid="{3AB8EF79-4F29-4EA9-9F12-9B599BF8ACCB}"/>
    <cellStyle name="Output 3 2 21 2 6" xfId="40597" xr:uid="{4F070C63-EA75-449C-B2A7-863B59C69386}"/>
    <cellStyle name="Output 3 2 21 3" xfId="40598" xr:uid="{FDB515EF-CA12-44FF-ACB7-D9567C64FEB0}"/>
    <cellStyle name="Output 3 2 21 4" xfId="40599" xr:uid="{736F7747-8736-4224-8C1D-F58BBD4D45F5}"/>
    <cellStyle name="Output 3 2 21 5" xfId="40600" xr:uid="{AEECD913-E96E-4C8B-94C9-B8E450ABFC6C}"/>
    <cellStyle name="Output 3 2 21 6" xfId="40601" xr:uid="{6AC53CAA-E297-43FB-9720-883A325309FF}"/>
    <cellStyle name="Output 3 2 21 7" xfId="40602" xr:uid="{4B6B3310-44B3-44F7-B0ED-4232BC5EBF6F}"/>
    <cellStyle name="Output 3 2 22" xfId="2966" xr:uid="{F9178DF8-DAAB-4F04-993B-74449D100778}"/>
    <cellStyle name="Output 3 2 22 2" xfId="11687" xr:uid="{7B63CFFC-3DE4-4A6B-9519-3FAE8E6C6D44}"/>
    <cellStyle name="Output 3 2 22 2 2" xfId="40603" xr:uid="{B9C6B029-32EC-41E7-B3AF-5016E945A64B}"/>
    <cellStyle name="Output 3 2 22 2 3" xfId="40604" xr:uid="{09E943D0-AA5D-477C-A2FE-5C482F9837B6}"/>
    <cellStyle name="Output 3 2 22 2 4" xfId="40605" xr:uid="{B93818C6-2E2F-43E3-8A00-55A8FC5A90D0}"/>
    <cellStyle name="Output 3 2 22 2 5" xfId="40606" xr:uid="{14240D4A-3EA3-4336-B6FF-F444E798097F}"/>
    <cellStyle name="Output 3 2 22 2 6" xfId="40607" xr:uid="{F4AD6389-705D-4DAA-8291-79952F74E96D}"/>
    <cellStyle name="Output 3 2 22 3" xfId="40608" xr:uid="{396593B0-136E-42A0-A62A-F68B76E7BDFA}"/>
    <cellStyle name="Output 3 2 22 4" xfId="40609" xr:uid="{41C3FC65-DCC4-4EDA-BECE-FAD9E6590438}"/>
    <cellStyle name="Output 3 2 22 5" xfId="40610" xr:uid="{6E909E9A-72D2-40B5-8BF1-DA270502BDE6}"/>
    <cellStyle name="Output 3 2 22 6" xfId="40611" xr:uid="{83BEFBB4-F313-4E7D-881E-8ACF3752EF7B}"/>
    <cellStyle name="Output 3 2 22 7" xfId="40612" xr:uid="{B11060C0-936D-4CAA-873A-75A6A016B7F4}"/>
    <cellStyle name="Output 3 2 23" xfId="2967" xr:uid="{8D52E0DB-CC46-454A-ADC9-DA86B07A8B70}"/>
    <cellStyle name="Output 3 2 23 2" xfId="11770" xr:uid="{D899FAFE-75D0-452C-ACE8-AD6428965DF3}"/>
    <cellStyle name="Output 3 2 23 2 2" xfId="40613" xr:uid="{F33F08A0-8327-428B-B4A5-5CFC702D903B}"/>
    <cellStyle name="Output 3 2 23 2 3" xfId="40614" xr:uid="{A8ACEE9D-9ACA-4D6C-A6C3-35E81672196A}"/>
    <cellStyle name="Output 3 2 23 2 4" xfId="40615" xr:uid="{BE55D41C-564D-485D-A70A-31C5D53DE244}"/>
    <cellStyle name="Output 3 2 23 2 5" xfId="40616" xr:uid="{E31BA527-AFBF-4DBA-8CE3-CF6BEB3A1135}"/>
    <cellStyle name="Output 3 2 23 2 6" xfId="40617" xr:uid="{70AAFFDA-CEA4-45B1-AA5A-7610FF1A7AC9}"/>
    <cellStyle name="Output 3 2 23 3" xfId="40618" xr:uid="{7322176E-AA59-4672-94A8-58BC60FC3627}"/>
    <cellStyle name="Output 3 2 23 4" xfId="40619" xr:uid="{CE54A208-FE47-4626-AA5F-1E9C0D9FD5AA}"/>
    <cellStyle name="Output 3 2 23 5" xfId="40620" xr:uid="{83329AEF-255D-47A7-9107-817384A669CA}"/>
    <cellStyle name="Output 3 2 23 6" xfId="40621" xr:uid="{A4CC2B04-4B1B-48E6-B84D-1304216B8491}"/>
    <cellStyle name="Output 3 2 23 7" xfId="40622" xr:uid="{09B06912-CEF0-485B-9D06-5A840E60D5E3}"/>
    <cellStyle name="Output 3 2 24" xfId="2968" xr:uid="{D79C2029-5080-4823-BFB1-C4B7DAC51329}"/>
    <cellStyle name="Output 3 2 24 2" xfId="11852" xr:uid="{A5C0FDC5-5FAC-4226-A898-355439C55C8D}"/>
    <cellStyle name="Output 3 2 24 2 2" xfId="40623" xr:uid="{4288BD04-3411-4945-80EE-C0A95AE33C2D}"/>
    <cellStyle name="Output 3 2 24 2 3" xfId="40624" xr:uid="{A0956B7C-3B8E-4E8E-BA0D-3023AD026CC9}"/>
    <cellStyle name="Output 3 2 24 2 4" xfId="40625" xr:uid="{0C5B4EEE-D88F-4C57-9331-F2798D1799DB}"/>
    <cellStyle name="Output 3 2 24 2 5" xfId="40626" xr:uid="{287FEC53-4052-468F-A254-ACB48CAB05F3}"/>
    <cellStyle name="Output 3 2 24 2 6" xfId="40627" xr:uid="{3E313A64-6F40-4A8A-B88B-FC0085898D01}"/>
    <cellStyle name="Output 3 2 24 3" xfId="40628" xr:uid="{AF335BDB-BA27-47CD-BE49-1E534FE92119}"/>
    <cellStyle name="Output 3 2 24 4" xfId="40629" xr:uid="{B66EB7F8-958B-42C5-98D1-079D7686D159}"/>
    <cellStyle name="Output 3 2 24 5" xfId="40630" xr:uid="{AA95FAAE-553C-4BB3-81AD-30FC3A7440E9}"/>
    <cellStyle name="Output 3 2 24 6" xfId="40631" xr:uid="{9323956D-EA83-47D9-ABAD-F183F10D7E73}"/>
    <cellStyle name="Output 3 2 24 7" xfId="40632" xr:uid="{8D89AE43-B85A-4D0F-8CB9-B0D9AEC63066}"/>
    <cellStyle name="Output 3 2 25" xfId="2969" xr:uid="{3C8EB4EC-B5CA-46C2-8D23-7971F7507FF4}"/>
    <cellStyle name="Output 3 2 25 2" xfId="11936" xr:uid="{2F0B64A4-A7ED-4A4E-BE8B-E5CC5433001B}"/>
    <cellStyle name="Output 3 2 25 2 2" xfId="40633" xr:uid="{9C6AD79C-3644-4C07-8F1E-C031AAC90504}"/>
    <cellStyle name="Output 3 2 25 2 3" xfId="40634" xr:uid="{375AAD06-9ECB-4AE2-AE99-BA1A1FFBFD33}"/>
    <cellStyle name="Output 3 2 25 2 4" xfId="40635" xr:uid="{01885CF7-155F-4CC9-A62C-1B452B13CE3F}"/>
    <cellStyle name="Output 3 2 25 2 5" xfId="40636" xr:uid="{0B9FBB92-DD86-42E3-8443-E946611CC8DC}"/>
    <cellStyle name="Output 3 2 25 2 6" xfId="40637" xr:uid="{B0B57CF2-8398-4A8A-900D-B63F724183C0}"/>
    <cellStyle name="Output 3 2 25 3" xfId="40638" xr:uid="{3E4D8551-F2E1-4968-92A6-2669785A3A57}"/>
    <cellStyle name="Output 3 2 25 4" xfId="40639" xr:uid="{46ABF5BD-73A4-4B92-9A67-BB517AE6ADFC}"/>
    <cellStyle name="Output 3 2 25 5" xfId="40640" xr:uid="{300DE569-272E-4CB0-9E54-BD9F4FB08DA0}"/>
    <cellStyle name="Output 3 2 25 6" xfId="40641" xr:uid="{E8B07589-ABFF-4D23-9249-6551ED2B1698}"/>
    <cellStyle name="Output 3 2 25 7" xfId="40642" xr:uid="{77F851C0-3299-45D2-BDB3-59E7C4F144F0}"/>
    <cellStyle name="Output 3 2 26" xfId="2970" xr:uid="{3A4FC253-7586-488B-B0A7-AEE91CAB46EB}"/>
    <cellStyle name="Output 3 2 26 2" xfId="12020" xr:uid="{EF6A40F0-924F-4379-AA4E-56AEB29E5DC2}"/>
    <cellStyle name="Output 3 2 26 2 2" xfId="40643" xr:uid="{03EED625-3BE9-4411-A19B-B739E9CFA3DD}"/>
    <cellStyle name="Output 3 2 26 2 3" xfId="40644" xr:uid="{649ECA1D-8C7A-4729-8148-07FC5C5BB348}"/>
    <cellStyle name="Output 3 2 26 2 4" xfId="40645" xr:uid="{11990D22-6532-47D2-918E-CCF981468A45}"/>
    <cellStyle name="Output 3 2 26 2 5" xfId="40646" xr:uid="{A6CD7307-F3A9-4616-A30F-B64F0DE07C77}"/>
    <cellStyle name="Output 3 2 26 2 6" xfId="40647" xr:uid="{EF2F4234-BCA9-4A6D-89BB-32833B67958E}"/>
    <cellStyle name="Output 3 2 26 3" xfId="40648" xr:uid="{C38D0ED7-FB0B-43BC-A796-9F80D371C10F}"/>
    <cellStyle name="Output 3 2 26 4" xfId="40649" xr:uid="{231D4A71-162B-4D63-95D0-BB628C1E3737}"/>
    <cellStyle name="Output 3 2 26 5" xfId="40650" xr:uid="{B6851DD4-5A47-4ED6-B7A4-003C850545B7}"/>
    <cellStyle name="Output 3 2 26 6" xfId="40651" xr:uid="{ED0E3454-6B05-4A9B-B4AE-9C2F9B7F2D8B}"/>
    <cellStyle name="Output 3 2 26 7" xfId="40652" xr:uid="{49FF3703-5B64-4D0B-BF23-4081B4A65C81}"/>
    <cellStyle name="Output 3 2 27" xfId="2971" xr:uid="{778D57A0-36CC-4AAF-921E-B2CD6674D367}"/>
    <cellStyle name="Output 3 2 27 2" xfId="12103" xr:uid="{F9647569-C602-460A-BA44-9D2464D33F0B}"/>
    <cellStyle name="Output 3 2 27 2 2" xfId="40653" xr:uid="{27A4D5DC-343B-46C5-8D29-8574E5AFFCAC}"/>
    <cellStyle name="Output 3 2 27 2 3" xfId="40654" xr:uid="{8338C338-CD19-4A1C-9AB1-3B987E237740}"/>
    <cellStyle name="Output 3 2 27 2 4" xfId="40655" xr:uid="{AFCC0431-B20F-4FF2-9296-183D84BEA365}"/>
    <cellStyle name="Output 3 2 27 2 5" xfId="40656" xr:uid="{FA73A371-E503-4A7B-9227-E74811CF574C}"/>
    <cellStyle name="Output 3 2 27 2 6" xfId="40657" xr:uid="{0509B03F-7350-4AD9-ABD0-9B12762F43C4}"/>
    <cellStyle name="Output 3 2 27 3" xfId="40658" xr:uid="{532B5803-FB0C-47AF-8E7F-1FB36D81F470}"/>
    <cellStyle name="Output 3 2 27 4" xfId="40659" xr:uid="{F81635FD-D0C9-4BAD-B484-B4E926727CD9}"/>
    <cellStyle name="Output 3 2 27 5" xfId="40660" xr:uid="{97FAB551-4869-4F35-B1E0-CE41DD4EF7BE}"/>
    <cellStyle name="Output 3 2 27 6" xfId="40661" xr:uid="{39626564-3A6F-41B2-8C8D-53D76734137D}"/>
    <cellStyle name="Output 3 2 27 7" xfId="40662" xr:uid="{D7184BC0-E6F0-454B-BA3B-D30C38E982CE}"/>
    <cellStyle name="Output 3 2 28" xfId="2972" xr:uid="{9B1FE7DF-5556-419F-885B-ECAFA997617C}"/>
    <cellStyle name="Output 3 2 28 2" xfId="12185" xr:uid="{B9047F0C-C14F-466B-BE9E-1459306753DC}"/>
    <cellStyle name="Output 3 2 28 2 2" xfId="40663" xr:uid="{92D16A0D-2A9D-46BF-83C9-91FD37803353}"/>
    <cellStyle name="Output 3 2 28 2 3" xfId="40664" xr:uid="{0CA3019F-E216-427F-99BF-90F0F2B0D753}"/>
    <cellStyle name="Output 3 2 28 2 4" xfId="40665" xr:uid="{DAC7C941-CDE6-4CC3-BEEA-5E7EE76EAB1C}"/>
    <cellStyle name="Output 3 2 28 2 5" xfId="40666" xr:uid="{D25E24A9-7718-4CC6-A843-BE2CD5DD27D0}"/>
    <cellStyle name="Output 3 2 28 2 6" xfId="40667" xr:uid="{2CD9DBD8-A02D-44FC-90F2-E12A2DE51309}"/>
    <cellStyle name="Output 3 2 28 3" xfId="40668" xr:uid="{8F3DA4FA-F262-4566-8A1C-20A5552689B8}"/>
    <cellStyle name="Output 3 2 28 4" xfId="40669" xr:uid="{72756BB6-4B10-4551-B61E-613AA6D0B37D}"/>
    <cellStyle name="Output 3 2 28 5" xfId="40670" xr:uid="{805AD66E-46CD-42B2-9C2D-F2EAE6F63195}"/>
    <cellStyle name="Output 3 2 28 6" xfId="40671" xr:uid="{9C85AA51-D174-4B1F-B847-50EEB6673BB4}"/>
    <cellStyle name="Output 3 2 28 7" xfId="40672" xr:uid="{1244B270-1C9A-4C00-B1FB-B3E9A6C1BFB3}"/>
    <cellStyle name="Output 3 2 29" xfId="2973" xr:uid="{55284321-EBD8-4F78-8D9A-C736387B835B}"/>
    <cellStyle name="Output 3 2 29 2" xfId="12265" xr:uid="{81AED8BE-DF21-4567-9E09-E09B33CA0430}"/>
    <cellStyle name="Output 3 2 29 2 2" xfId="40673" xr:uid="{62F9E800-D4E5-4921-A5EF-4477B5488A2F}"/>
    <cellStyle name="Output 3 2 29 2 3" xfId="40674" xr:uid="{FE0EA2F1-E665-4AE5-8143-FC38116A98E6}"/>
    <cellStyle name="Output 3 2 29 2 4" xfId="40675" xr:uid="{3B52BCD4-7E49-4D03-A83D-3C82D606EADD}"/>
    <cellStyle name="Output 3 2 29 2 5" xfId="40676" xr:uid="{A5F0A585-F5D1-4619-9C1A-56A667934E51}"/>
    <cellStyle name="Output 3 2 29 2 6" xfId="40677" xr:uid="{D48D3FA7-5B7F-4327-9718-9FD1FEBFD42B}"/>
    <cellStyle name="Output 3 2 29 3" xfId="40678" xr:uid="{469D5C5E-67ED-46AE-ADC1-19B177ADD931}"/>
    <cellStyle name="Output 3 2 29 4" xfId="40679" xr:uid="{B19A701C-FB23-4903-97CD-C083EA686699}"/>
    <cellStyle name="Output 3 2 29 5" xfId="40680" xr:uid="{97350C55-ED14-4362-B173-36223148A7C0}"/>
    <cellStyle name="Output 3 2 29 6" xfId="40681" xr:uid="{02C2BBFA-3416-437B-A247-76A339EFA4E5}"/>
    <cellStyle name="Output 3 2 29 7" xfId="40682" xr:uid="{B11C895C-70EB-43E5-8349-CC5BEC651E13}"/>
    <cellStyle name="Output 3 2 3" xfId="2974" xr:uid="{EEEEDAD7-EB48-4C17-A260-B55A8C67DFF2}"/>
    <cellStyle name="Output 3 2 3 2" xfId="10021" xr:uid="{5B53D0A0-9C63-45EC-9253-A306E712D372}"/>
    <cellStyle name="Output 3 2 3 2 2" xfId="40683" xr:uid="{269DFB19-586A-44AE-BA99-53A5257EB099}"/>
    <cellStyle name="Output 3 2 3 2 3" xfId="40684" xr:uid="{79896155-5B66-4BA6-BE87-1F0C96713B08}"/>
    <cellStyle name="Output 3 2 3 2 4" xfId="40685" xr:uid="{8F16C4CF-3B2B-44A9-964A-7CC9D58D7A57}"/>
    <cellStyle name="Output 3 2 3 2 5" xfId="40686" xr:uid="{AC963862-45A9-4DA0-B6C8-AD3B3A02AC65}"/>
    <cellStyle name="Output 3 2 3 2 6" xfId="40687" xr:uid="{908032AA-7B8D-4C95-8B7D-04B4D3A2D435}"/>
    <cellStyle name="Output 3 2 3 3" xfId="40688" xr:uid="{0F70C402-385B-494C-B235-65461A40F7A9}"/>
    <cellStyle name="Output 3 2 3 4" xfId="40689" xr:uid="{B60E68BB-44BC-49A3-A5D0-5422919FC8D6}"/>
    <cellStyle name="Output 3 2 3 5" xfId="40690" xr:uid="{A583273D-B09C-4A45-81B1-862FC7D4068B}"/>
    <cellStyle name="Output 3 2 3 6" xfId="40691" xr:uid="{4885D64B-9F07-4AA4-82F8-DC958098884F}"/>
    <cellStyle name="Output 3 2 3 7" xfId="40692" xr:uid="{200F4C1E-EE7E-4E0A-87B1-5589A5A85474}"/>
    <cellStyle name="Output 3 2 30" xfId="2975" xr:uid="{C5D5CF95-1984-4183-9C07-19B49A1067A4}"/>
    <cellStyle name="Output 3 2 30 2" xfId="12343" xr:uid="{58C0D75F-E3F9-40F0-956C-1655EE5F70AA}"/>
    <cellStyle name="Output 3 2 30 2 2" xfId="40693" xr:uid="{275D8F10-8832-4ADE-AB8A-4FBC8F23D7C0}"/>
    <cellStyle name="Output 3 2 30 2 3" xfId="40694" xr:uid="{E8D05CF2-8216-470F-97AF-B7692D8D3131}"/>
    <cellStyle name="Output 3 2 30 2 4" xfId="40695" xr:uid="{7A4B2BF3-E5B1-4CE0-8261-8212099FEA71}"/>
    <cellStyle name="Output 3 2 30 2 5" xfId="40696" xr:uid="{12DEE001-0FA9-48C7-938F-9D42FF47FA02}"/>
    <cellStyle name="Output 3 2 30 2 6" xfId="40697" xr:uid="{07AFC189-A274-4005-A0C1-CA739281EA3C}"/>
    <cellStyle name="Output 3 2 30 3" xfId="40698" xr:uid="{9BEEB497-3F6A-4F67-A8A6-FF63F0E67C66}"/>
    <cellStyle name="Output 3 2 30 4" xfId="40699" xr:uid="{C83BDBBD-3109-4CE2-A006-959DB4646776}"/>
    <cellStyle name="Output 3 2 30 5" xfId="40700" xr:uid="{3942F63A-1F61-4C6E-B63D-1EA29291E00B}"/>
    <cellStyle name="Output 3 2 30 6" xfId="40701" xr:uid="{5421E1D4-2F14-4F3F-8070-4DD0A4897DBB}"/>
    <cellStyle name="Output 3 2 30 7" xfId="40702" xr:uid="{EECE6292-B6D3-458B-91F4-CC13023EF6BC}"/>
    <cellStyle name="Output 3 2 31" xfId="2976" xr:uid="{97254E85-279C-4D3B-8019-325EA494D9A0}"/>
    <cellStyle name="Output 3 2 31 2" xfId="12422" xr:uid="{D3EC9240-821B-4F66-AF63-D566D73B3E57}"/>
    <cellStyle name="Output 3 2 31 2 2" xfId="40703" xr:uid="{A427DBE5-3357-4CAF-8D1C-6FE61EC0B586}"/>
    <cellStyle name="Output 3 2 31 2 3" xfId="40704" xr:uid="{17369A7E-F829-46D9-8D9D-5FBAE15B9EF6}"/>
    <cellStyle name="Output 3 2 31 2 4" xfId="40705" xr:uid="{68BAB855-470C-4923-B5FB-BD88749A8A98}"/>
    <cellStyle name="Output 3 2 31 2 5" xfId="40706" xr:uid="{5ED653B2-0717-4790-8844-54AF4B9F1D3C}"/>
    <cellStyle name="Output 3 2 31 2 6" xfId="40707" xr:uid="{43961AD3-EF19-4B05-90F1-A44DC1D9C245}"/>
    <cellStyle name="Output 3 2 31 3" xfId="40708" xr:uid="{7047803E-1802-4448-8690-F5170026BB85}"/>
    <cellStyle name="Output 3 2 31 4" xfId="40709" xr:uid="{598DC859-073A-43A9-A36B-A655F7ACC5FD}"/>
    <cellStyle name="Output 3 2 31 5" xfId="40710" xr:uid="{BA7E918D-D1C2-4B71-96EA-7DEB0F0078CE}"/>
    <cellStyle name="Output 3 2 31 6" xfId="40711" xr:uid="{017EDE64-7A94-4774-9975-35C45BA179F4}"/>
    <cellStyle name="Output 3 2 31 7" xfId="40712" xr:uid="{A2759DBC-4208-44F0-B449-11AC1258C231}"/>
    <cellStyle name="Output 3 2 32" xfId="2977" xr:uid="{96C54F3A-5070-4351-98F6-F95466DB040B}"/>
    <cellStyle name="Output 3 2 32 2" xfId="12501" xr:uid="{0F960831-BBD7-48E1-89AA-A732923701A4}"/>
    <cellStyle name="Output 3 2 32 2 2" xfId="40713" xr:uid="{70BBAF05-2A15-4C2D-A6D7-BD536D17883A}"/>
    <cellStyle name="Output 3 2 32 2 3" xfId="40714" xr:uid="{391F3362-BDA8-48A9-BD7E-8EF8D695F1B0}"/>
    <cellStyle name="Output 3 2 32 2 4" xfId="40715" xr:uid="{C9031F13-77D9-49AF-8F60-C475F5778AD7}"/>
    <cellStyle name="Output 3 2 32 2 5" xfId="40716" xr:uid="{2A326E06-4C88-47F5-A10A-BF481B3DB7C5}"/>
    <cellStyle name="Output 3 2 32 2 6" xfId="40717" xr:uid="{6949C02F-F4DE-43CB-A138-7C9E4913EB3D}"/>
    <cellStyle name="Output 3 2 32 3" xfId="40718" xr:uid="{FF922164-5C66-4ADC-A20A-8775EBA24574}"/>
    <cellStyle name="Output 3 2 32 4" xfId="40719" xr:uid="{C1711CAD-33EE-4DF9-B215-D87CD57C1867}"/>
    <cellStyle name="Output 3 2 32 5" xfId="40720" xr:uid="{CBF07E1E-B9BA-4E1A-A57C-7E34DF06D6A4}"/>
    <cellStyle name="Output 3 2 32 6" xfId="40721" xr:uid="{D35FF8B3-E2E6-439F-9F3D-1B12211B00EB}"/>
    <cellStyle name="Output 3 2 32 7" xfId="40722" xr:uid="{79466565-8A5C-443A-A6EB-49AA4F48EA00}"/>
    <cellStyle name="Output 3 2 33" xfId="2978" xr:uid="{9451C291-8A90-432D-9B9F-E6E2380B7FEA}"/>
    <cellStyle name="Output 3 2 33 2" xfId="12580" xr:uid="{E65C21FA-830F-43B4-9176-7EFE83DBFEAC}"/>
    <cellStyle name="Output 3 2 33 2 2" xfId="40723" xr:uid="{1AD25FC4-F529-45E6-AA76-75A16FAF43EB}"/>
    <cellStyle name="Output 3 2 33 2 3" xfId="40724" xr:uid="{C60B4999-1695-4E30-8CE1-D613DD56DBE6}"/>
    <cellStyle name="Output 3 2 33 2 4" xfId="40725" xr:uid="{4F6BE84D-B8CA-4E5F-AC64-CFA56B48A444}"/>
    <cellStyle name="Output 3 2 33 2 5" xfId="40726" xr:uid="{89C69EC6-D1E5-4FAC-89C5-C3D652382704}"/>
    <cellStyle name="Output 3 2 33 2 6" xfId="40727" xr:uid="{F8AB0701-23D0-4883-B717-334E37591EB5}"/>
    <cellStyle name="Output 3 2 33 3" xfId="40728" xr:uid="{A97B00D4-5105-4053-B218-54C3831C25A2}"/>
    <cellStyle name="Output 3 2 33 4" xfId="40729" xr:uid="{F70A8BBB-DF2B-4714-A6A6-CEAB1594BD45}"/>
    <cellStyle name="Output 3 2 33 5" xfId="40730" xr:uid="{F246975B-7E78-4213-97DD-80325B2E3EC0}"/>
    <cellStyle name="Output 3 2 33 6" xfId="40731" xr:uid="{B8AD9215-E127-4363-9B5C-1B2667073CEB}"/>
    <cellStyle name="Output 3 2 33 7" xfId="40732" xr:uid="{48AFE2D0-571E-49BA-9126-4673867209F0}"/>
    <cellStyle name="Output 3 2 34" xfId="2979" xr:uid="{37CE3A6D-344D-4EE3-ACC8-2CE3B7FAA493}"/>
    <cellStyle name="Output 3 2 34 2" xfId="12659" xr:uid="{5EAD4579-0443-4F3D-8DE5-16CFE7E6D63F}"/>
    <cellStyle name="Output 3 2 34 2 2" xfId="40733" xr:uid="{4998C870-2BF7-4C41-8FCA-14F2F09383E4}"/>
    <cellStyle name="Output 3 2 34 2 3" xfId="40734" xr:uid="{45A18C40-418E-4704-9F20-BCCA038D0D12}"/>
    <cellStyle name="Output 3 2 34 2 4" xfId="40735" xr:uid="{F3CA2BCF-A0C3-413F-AE63-3310ADDDF205}"/>
    <cellStyle name="Output 3 2 34 2 5" xfId="40736" xr:uid="{ABD1131B-125E-4111-BC74-F119537C7ED5}"/>
    <cellStyle name="Output 3 2 34 2 6" xfId="40737" xr:uid="{E92D984A-DFC0-48DB-AF66-E5B7E2CAF3E7}"/>
    <cellStyle name="Output 3 2 34 3" xfId="40738" xr:uid="{5D679F33-C133-453A-BBD9-DA2FE9DE7558}"/>
    <cellStyle name="Output 3 2 34 4" xfId="40739" xr:uid="{52A3D212-E9AF-4D6A-AD43-7DF88CA5AF05}"/>
    <cellStyle name="Output 3 2 34 5" xfId="40740" xr:uid="{14D22899-9787-4B4F-8252-5C2DDF1A4DF6}"/>
    <cellStyle name="Output 3 2 34 6" xfId="40741" xr:uid="{4D1E59E8-05A3-462E-8F7A-429D6FF07792}"/>
    <cellStyle name="Output 3 2 34 7" xfId="40742" xr:uid="{96B786ED-65D1-41BE-BE72-14FA83DCE53C}"/>
    <cellStyle name="Output 3 2 35" xfId="2980" xr:uid="{6F644655-A847-4240-A540-A86509ED974D}"/>
    <cellStyle name="Output 3 2 35 2" xfId="12743" xr:uid="{0B0DB318-5119-4DA8-9228-42DCED7FCA24}"/>
    <cellStyle name="Output 3 2 35 2 2" xfId="40743" xr:uid="{6B405F06-094B-4139-A6EB-7E4D9479E33C}"/>
    <cellStyle name="Output 3 2 35 2 3" xfId="40744" xr:uid="{9957C643-4B81-4FCB-BCB3-A240ACF964A0}"/>
    <cellStyle name="Output 3 2 35 2 4" xfId="40745" xr:uid="{FC4E4822-2E4F-4C61-8C4D-CAC1DFFCAF36}"/>
    <cellStyle name="Output 3 2 35 2 5" xfId="40746" xr:uid="{7705CFB1-9CC5-4C9E-BA2D-61287F821898}"/>
    <cellStyle name="Output 3 2 35 2 6" xfId="40747" xr:uid="{B7B4CFCF-D3A2-4B83-AA8E-AA00A6958786}"/>
    <cellStyle name="Output 3 2 35 3" xfId="40748" xr:uid="{AE4D2DD5-D061-43BF-B69A-350A3217249E}"/>
    <cellStyle name="Output 3 2 35 4" xfId="40749" xr:uid="{33C726C4-2431-4762-8C65-2F8F79ED1D73}"/>
    <cellStyle name="Output 3 2 35 5" xfId="40750" xr:uid="{9542F96E-6A68-4C61-A9B0-C607BD4785EF}"/>
    <cellStyle name="Output 3 2 35 6" xfId="40751" xr:uid="{BC19F9F9-A8A2-48B2-8C87-E13C8E208D2E}"/>
    <cellStyle name="Output 3 2 35 7" xfId="40752" xr:uid="{8BD59A30-2E96-4273-935C-0C2B9BD311E1}"/>
    <cellStyle name="Output 3 2 36" xfId="8921" xr:uid="{D0CA4911-6503-4D50-A314-0D3E33EFE315}"/>
    <cellStyle name="Output 3 2 36 2" xfId="40753" xr:uid="{C0BFBBD8-41DA-4A73-BA5F-5181DBD1CF3D}"/>
    <cellStyle name="Output 3 2 36 3" xfId="40754" xr:uid="{60FBF002-46B1-4170-BA3D-BA41A583FF99}"/>
    <cellStyle name="Output 3 2 36 4" xfId="40755" xr:uid="{7A162855-7D10-4B86-8550-10793D6D070F}"/>
    <cellStyle name="Output 3 2 36 5" xfId="40756" xr:uid="{4EFEBCBB-80C3-4D13-8F39-F2D9A5AF7CC9}"/>
    <cellStyle name="Output 3 2 36 6" xfId="40757" xr:uid="{71EB0833-CC0E-4FE6-8B56-FF6A727E46B4}"/>
    <cellStyle name="Output 3 2 37" xfId="9808" xr:uid="{D72FFC22-FDCB-4492-9A87-7AC4AF9D1BD4}"/>
    <cellStyle name="Output 3 2 37 2" xfId="40758" xr:uid="{FE1DC8D9-3AF6-4D28-8DCD-997FD18F90D4}"/>
    <cellStyle name="Output 3 2 37 3" xfId="40759" xr:uid="{E9FFD696-843F-4B26-A58D-C8126B0ABBF4}"/>
    <cellStyle name="Output 3 2 37 4" xfId="40760" xr:uid="{F385BE5F-DD80-494B-B213-94CEEE358EC4}"/>
    <cellStyle name="Output 3 2 37 5" xfId="40761" xr:uid="{2573D41A-74C5-46B0-A48B-615D73FF1034}"/>
    <cellStyle name="Output 3 2 37 6" xfId="40762" xr:uid="{949582FC-DD6A-4534-B18C-2F14D241FD90}"/>
    <cellStyle name="Output 3 2 38" xfId="40763" xr:uid="{110D8715-0981-461D-A1F5-831B59CFBB07}"/>
    <cellStyle name="Output 3 2 39" xfId="40764" xr:uid="{6045A5BD-114D-486A-8DF2-ED6A3A8B4769}"/>
    <cellStyle name="Output 3 2 4" xfId="2981" xr:uid="{6BC8C900-B942-4851-9586-C446F9D9EF9F}"/>
    <cellStyle name="Output 3 2 4 2" xfId="10112" xr:uid="{58ACB2EC-5F99-4275-B019-1E9AC7EE2394}"/>
    <cellStyle name="Output 3 2 4 2 2" xfId="40765" xr:uid="{E8F2A69A-A232-4D9E-91B9-136398208077}"/>
    <cellStyle name="Output 3 2 4 2 3" xfId="40766" xr:uid="{2E73078C-BC88-482E-A9DB-B0D499032CB7}"/>
    <cellStyle name="Output 3 2 4 2 4" xfId="40767" xr:uid="{2FD19D12-446B-4FDF-8DBD-B0DF3756D9E6}"/>
    <cellStyle name="Output 3 2 4 2 5" xfId="40768" xr:uid="{2EC39AFC-B50E-48AB-B51D-FB014CE96EC3}"/>
    <cellStyle name="Output 3 2 4 2 6" xfId="40769" xr:uid="{3B9A09F1-4AB9-4788-AFEE-15C9E7E18BA2}"/>
    <cellStyle name="Output 3 2 4 3" xfId="40770" xr:uid="{B8E8E5F4-2CF9-4D53-BFB4-158BA165A968}"/>
    <cellStyle name="Output 3 2 4 4" xfId="40771" xr:uid="{17D75FE9-E643-4629-A47E-8D46D506F3E4}"/>
    <cellStyle name="Output 3 2 4 5" xfId="40772" xr:uid="{484E0290-53F4-48F8-9FA4-D2BBBD05378A}"/>
    <cellStyle name="Output 3 2 4 6" xfId="40773" xr:uid="{20605C4D-570C-474E-8216-964009D1A2E7}"/>
    <cellStyle name="Output 3 2 4 7" xfId="40774" xr:uid="{AD32570B-C00C-4133-A8CB-F4164825A535}"/>
    <cellStyle name="Output 3 2 40" xfId="40775" xr:uid="{EB616EB7-11AB-4703-AE0B-7F82B495ED09}"/>
    <cellStyle name="Output 3 2 41" xfId="40776" xr:uid="{12817142-8772-410C-86E9-1E9CA1505755}"/>
    <cellStyle name="Output 3 2 5" xfId="2982" xr:uid="{24631366-AEC8-4CF7-8569-4528198FAB60}"/>
    <cellStyle name="Output 3 2 5 2" xfId="10202" xr:uid="{9D49C85D-23B3-47DA-BDBB-560D42F4D580}"/>
    <cellStyle name="Output 3 2 5 2 2" xfId="40777" xr:uid="{570C1083-9DC7-490F-B26F-DD2AF57164B7}"/>
    <cellStyle name="Output 3 2 5 2 3" xfId="40778" xr:uid="{DCC650DA-77E7-4572-9048-FBFBB44EBEAE}"/>
    <cellStyle name="Output 3 2 5 2 4" xfId="40779" xr:uid="{2D51A491-9D74-46E1-B718-D79A4D4EA9A0}"/>
    <cellStyle name="Output 3 2 5 2 5" xfId="40780" xr:uid="{2167BA38-A663-4EDE-85F3-9E1B0CC86124}"/>
    <cellStyle name="Output 3 2 5 2 6" xfId="40781" xr:uid="{A24A793A-070A-49E8-ACB1-51471BA21E83}"/>
    <cellStyle name="Output 3 2 5 3" xfId="40782" xr:uid="{5D96563A-5D05-403B-993A-319EC49270F4}"/>
    <cellStyle name="Output 3 2 5 4" xfId="40783" xr:uid="{E4655A95-56BC-4116-8FB0-F8AE962A682F}"/>
    <cellStyle name="Output 3 2 5 5" xfId="40784" xr:uid="{A3317383-CD27-4FAF-8C87-380D6594EF0E}"/>
    <cellStyle name="Output 3 2 5 6" xfId="40785" xr:uid="{4CD6EA76-FCEB-4862-B666-BAE8168DD477}"/>
    <cellStyle name="Output 3 2 5 7" xfId="40786" xr:uid="{0680E473-5A8D-46BA-B50D-426C1B87D1AE}"/>
    <cellStyle name="Output 3 2 6" xfId="2983" xr:uid="{F2EA7E4C-D5F3-4A85-B186-32C7C175D842}"/>
    <cellStyle name="Output 3 2 6 2" xfId="10288" xr:uid="{409BBE6C-EA13-4B3E-B084-AF7BDB55E97E}"/>
    <cellStyle name="Output 3 2 6 2 2" xfId="40787" xr:uid="{C416C517-3988-4DB4-B85E-F1412459CD04}"/>
    <cellStyle name="Output 3 2 6 2 3" xfId="40788" xr:uid="{24AB5B65-4EAC-42E2-B6CB-0C7E69EA804B}"/>
    <cellStyle name="Output 3 2 6 2 4" xfId="40789" xr:uid="{BE2A489C-6CFD-4ACB-9483-76B8D9658477}"/>
    <cellStyle name="Output 3 2 6 2 5" xfId="40790" xr:uid="{301721FE-006E-4FA1-8267-974819F4834E}"/>
    <cellStyle name="Output 3 2 6 2 6" xfId="40791" xr:uid="{5E5943E7-9422-46C9-9792-18EFB9E653A0}"/>
    <cellStyle name="Output 3 2 6 3" xfId="40792" xr:uid="{8F875756-649A-4FF4-BF5F-B26599039286}"/>
    <cellStyle name="Output 3 2 6 4" xfId="40793" xr:uid="{E74E4095-7F32-4735-B559-F1DD433F698B}"/>
    <cellStyle name="Output 3 2 6 5" xfId="40794" xr:uid="{10A8CD64-886E-493B-88F3-87D5D008C79D}"/>
    <cellStyle name="Output 3 2 6 6" xfId="40795" xr:uid="{93E50A89-E8A5-4138-BC84-CD186A1A87B8}"/>
    <cellStyle name="Output 3 2 6 7" xfId="40796" xr:uid="{A3606DAE-D75C-4D86-BDE9-43812BFBF405}"/>
    <cellStyle name="Output 3 2 7" xfId="2984" xr:uid="{EB8F5377-92B1-4106-A4F1-D956ECFA06B7}"/>
    <cellStyle name="Output 3 2 7 2" xfId="10376" xr:uid="{4652F0C2-B0BB-4853-8A73-8909A72AC51C}"/>
    <cellStyle name="Output 3 2 7 2 2" xfId="40797" xr:uid="{DF79F86A-5617-416C-804E-514E5C9EC6AD}"/>
    <cellStyle name="Output 3 2 7 2 3" xfId="40798" xr:uid="{BFE9C372-509D-4DE7-B2FA-8DDC7235EF86}"/>
    <cellStyle name="Output 3 2 7 2 4" xfId="40799" xr:uid="{55176EFA-3253-4DCD-AA75-15CE4083E098}"/>
    <cellStyle name="Output 3 2 7 2 5" xfId="40800" xr:uid="{3F9A9207-1030-438C-9DE7-FD40BD7BACA1}"/>
    <cellStyle name="Output 3 2 7 2 6" xfId="40801" xr:uid="{AD7961E1-91A4-4728-B4DE-C21719BB840A}"/>
    <cellStyle name="Output 3 2 7 3" xfId="40802" xr:uid="{2BD43B29-10BA-4CB7-AC99-F5D4EF774951}"/>
    <cellStyle name="Output 3 2 7 4" xfId="40803" xr:uid="{951D3506-E9A6-496B-8D9C-34D892D0B990}"/>
    <cellStyle name="Output 3 2 7 5" xfId="40804" xr:uid="{F2692718-79CC-4474-BD77-BC7816791A9A}"/>
    <cellStyle name="Output 3 2 7 6" xfId="40805" xr:uid="{161339CE-261D-4C49-B4E7-781C5AAA7BA3}"/>
    <cellStyle name="Output 3 2 7 7" xfId="40806" xr:uid="{913D4FAD-F758-4DB5-85CE-1D047C14C828}"/>
    <cellStyle name="Output 3 2 8" xfId="2985" xr:uid="{D1DDD880-7034-403A-ACF8-D07A27333890}"/>
    <cellStyle name="Output 3 2 8 2" xfId="10463" xr:uid="{615ABE1C-4F0B-4C04-BB0A-1D12C0FA07B7}"/>
    <cellStyle name="Output 3 2 8 2 2" xfId="40807" xr:uid="{C7F86849-7AF3-4777-BACA-E3FA66A8F9C7}"/>
    <cellStyle name="Output 3 2 8 2 3" xfId="40808" xr:uid="{AEA87543-2AE1-4AE3-9B18-ED677F6799D2}"/>
    <cellStyle name="Output 3 2 8 2 4" xfId="40809" xr:uid="{EC160F7A-1B12-4EF2-AE93-C42E59D80294}"/>
    <cellStyle name="Output 3 2 8 2 5" xfId="40810" xr:uid="{F5BD26D7-24DE-463D-9B4F-791C9ACE35C4}"/>
    <cellStyle name="Output 3 2 8 2 6" xfId="40811" xr:uid="{51349B86-ED7B-42D8-9417-9AEE64F212C0}"/>
    <cellStyle name="Output 3 2 8 3" xfId="40812" xr:uid="{2CEB9914-DDB6-4652-9285-0A2B737606F0}"/>
    <cellStyle name="Output 3 2 8 4" xfId="40813" xr:uid="{C3932245-1B83-430A-A9BF-36729052C5DC}"/>
    <cellStyle name="Output 3 2 8 5" xfId="40814" xr:uid="{0F38BACD-B737-453D-B13A-B9EDF754B435}"/>
    <cellStyle name="Output 3 2 8 6" xfId="40815" xr:uid="{36934CB3-710E-4062-ACB2-2023C94F5F0D}"/>
    <cellStyle name="Output 3 2 8 7" xfId="40816" xr:uid="{7A36B273-C43F-4737-824B-C1716F2287A3}"/>
    <cellStyle name="Output 3 2 9" xfId="2986" xr:uid="{63E25530-484F-4742-B3D0-DB8871299DB7}"/>
    <cellStyle name="Output 3 2 9 2" xfId="10552" xr:uid="{51A92C55-7BA9-460A-A04B-DC75D02A868F}"/>
    <cellStyle name="Output 3 2 9 2 2" xfId="40817" xr:uid="{BC999078-9841-4946-8CC0-80A42EA9B798}"/>
    <cellStyle name="Output 3 2 9 2 3" xfId="40818" xr:uid="{F5662D98-0842-407A-9B04-871EFDAFE5E2}"/>
    <cellStyle name="Output 3 2 9 2 4" xfId="40819" xr:uid="{144573FE-02DB-4A98-8ABD-25EAE72DA69E}"/>
    <cellStyle name="Output 3 2 9 2 5" xfId="40820" xr:uid="{CA915BD2-358A-4E8A-8934-402AE33F504F}"/>
    <cellStyle name="Output 3 2 9 2 6" xfId="40821" xr:uid="{608CEB8E-0BB2-4E15-A303-8BF5A8B7F532}"/>
    <cellStyle name="Output 3 2 9 3" xfId="40822" xr:uid="{B35B3321-1937-4DD5-9DE4-FC77B68E7BB9}"/>
    <cellStyle name="Output 3 2 9 4" xfId="40823" xr:uid="{496D7DF0-6558-426B-880C-BDA314EABD42}"/>
    <cellStyle name="Output 3 2 9 5" xfId="40824" xr:uid="{71F5AD3A-ADF7-4B7B-BEA9-206FE6E92F83}"/>
    <cellStyle name="Output 3 2 9 6" xfId="40825" xr:uid="{08AC2855-A1CC-4C78-A866-8626943D4E61}"/>
    <cellStyle name="Output 3 2 9 7" xfId="40826" xr:uid="{2400AD74-C6AC-49F1-AF3B-4FC18F37F8B1}"/>
    <cellStyle name="Output 3 20" xfId="2987" xr:uid="{B56D6A3C-57EE-4371-B9A0-E971AC609D7B}"/>
    <cellStyle name="Output 3 20 2" xfId="11480" xr:uid="{B5177EE9-848D-4B98-835C-83A612D669F2}"/>
    <cellStyle name="Output 3 20 2 2" xfId="40827" xr:uid="{7BC79021-8C91-4861-805E-0B9B9AC77D38}"/>
    <cellStyle name="Output 3 20 2 3" xfId="40828" xr:uid="{6ABE4F26-AE70-45C0-B478-446789A2C981}"/>
    <cellStyle name="Output 3 20 2 4" xfId="40829" xr:uid="{04037AD0-548C-41B2-9FFA-0E6B8B03926C}"/>
    <cellStyle name="Output 3 20 2 5" xfId="40830" xr:uid="{09A2DFA1-31CD-4781-8ACC-DA833A3D5C6F}"/>
    <cellStyle name="Output 3 20 2 6" xfId="40831" xr:uid="{091DE0C4-BA86-4207-A40B-18132D537A6A}"/>
    <cellStyle name="Output 3 20 3" xfId="40832" xr:uid="{458E301E-848D-48B0-B699-A91BD38E929C}"/>
    <cellStyle name="Output 3 20 4" xfId="40833" xr:uid="{BF46BF23-721D-41BA-8419-0A0940C7883E}"/>
    <cellStyle name="Output 3 20 5" xfId="40834" xr:uid="{B4D6BDE1-D4BF-4BB6-8A58-0B7D6481253C}"/>
    <cellStyle name="Output 3 20 6" xfId="40835" xr:uid="{ACD363A4-2914-4B05-B88E-15C671787A87}"/>
    <cellStyle name="Output 3 20 7" xfId="40836" xr:uid="{979E0F7F-B534-4E5D-A81B-AA41794C17F8}"/>
    <cellStyle name="Output 3 21" xfId="2988" xr:uid="{A9D936A8-C938-458A-B56D-20155FB1328F}"/>
    <cellStyle name="Output 3 21 2" xfId="10780" xr:uid="{B1B64D62-39EE-4EE7-81D6-0DDEADAEF127}"/>
    <cellStyle name="Output 3 21 2 2" xfId="40837" xr:uid="{8585473F-8725-444A-8070-6E08C4FEA36B}"/>
    <cellStyle name="Output 3 21 2 3" xfId="40838" xr:uid="{7AA8D58A-2A70-4D74-9B34-818FCE04E570}"/>
    <cellStyle name="Output 3 21 2 4" xfId="40839" xr:uid="{42780485-D1A3-44B7-AFF2-8D0E1F5DA240}"/>
    <cellStyle name="Output 3 21 2 5" xfId="40840" xr:uid="{461BA810-A9C9-4792-8A7F-3392551FBDF1}"/>
    <cellStyle name="Output 3 21 2 6" xfId="40841" xr:uid="{F89022D1-C2D1-4180-A7F0-4F8D21532B1F}"/>
    <cellStyle name="Output 3 21 3" xfId="40842" xr:uid="{6D97094E-EFE5-4A7E-9808-1936AEEE5FE0}"/>
    <cellStyle name="Output 3 21 4" xfId="40843" xr:uid="{1C4A850F-1A73-41E3-9643-64B54775F5CB}"/>
    <cellStyle name="Output 3 21 5" xfId="40844" xr:uid="{10B1836E-15AB-4707-8A62-C3E0132A6B87}"/>
    <cellStyle name="Output 3 21 6" xfId="40845" xr:uid="{06F20E8D-52E1-4626-BDAB-5B96049A80A5}"/>
    <cellStyle name="Output 3 21 7" xfId="40846" xr:uid="{C2B0C5CF-E7AE-4F38-999A-A33DAC627FB7}"/>
    <cellStyle name="Output 3 22" xfId="2989" xr:uid="{07C4CD25-B122-4D58-99CC-D8A0FA5D433B}"/>
    <cellStyle name="Output 3 22 2" xfId="11567" xr:uid="{D58902E7-B5EF-4A53-9FD0-EFFE74FCB49F}"/>
    <cellStyle name="Output 3 22 2 2" xfId="40847" xr:uid="{F1CAF3FB-7EC7-4794-9558-70D9D0078735}"/>
    <cellStyle name="Output 3 22 2 3" xfId="40848" xr:uid="{C4406A06-36A4-4357-B19B-A186CE7875B3}"/>
    <cellStyle name="Output 3 22 2 4" xfId="40849" xr:uid="{613211A9-602E-4DB7-A11E-97801AC883B3}"/>
    <cellStyle name="Output 3 22 2 5" xfId="40850" xr:uid="{A79C238E-B5CE-4D4F-A165-E0DEBC61A3F2}"/>
    <cellStyle name="Output 3 22 2 6" xfId="40851" xr:uid="{B0724373-61A7-48AE-95A7-340F352A7C78}"/>
    <cellStyle name="Output 3 22 3" xfId="40852" xr:uid="{81BCE4AB-B1E9-4D36-976A-CAF79195B7B9}"/>
    <cellStyle name="Output 3 22 4" xfId="40853" xr:uid="{66F2B5C5-4BF3-4994-A0BF-BAF65C3CB0A1}"/>
    <cellStyle name="Output 3 22 5" xfId="40854" xr:uid="{21BCCEAD-0CC1-46C7-8BE9-A4FC893DFD71}"/>
    <cellStyle name="Output 3 22 6" xfId="40855" xr:uid="{E12581E6-20A5-407A-B426-FDA1F5B181A6}"/>
    <cellStyle name="Output 3 22 7" xfId="40856" xr:uid="{80B70F23-CB1C-404C-A050-B6EEB8E97743}"/>
    <cellStyle name="Output 3 23" xfId="2990" xr:uid="{A08127AA-13DB-429C-B45C-1C28E9507CE5}"/>
    <cellStyle name="Output 3 23 2" xfId="10685" xr:uid="{CDF4D7BE-B39B-4554-B019-AA382D2B0132}"/>
    <cellStyle name="Output 3 23 2 2" xfId="40857" xr:uid="{2A81F117-8F04-407E-A0CD-C608AD1A1601}"/>
    <cellStyle name="Output 3 23 2 3" xfId="40858" xr:uid="{D510EA37-9722-43B0-95C2-1F1B793EB495}"/>
    <cellStyle name="Output 3 23 2 4" xfId="40859" xr:uid="{FE24E29E-16CF-4FD3-82A3-8A34B64A7E84}"/>
    <cellStyle name="Output 3 23 2 5" xfId="40860" xr:uid="{04AA9D7D-1A3C-47B4-B82B-E1B647B87593}"/>
    <cellStyle name="Output 3 23 2 6" xfId="40861" xr:uid="{D8176F6B-52F4-40DE-A664-823C59EEDCB9}"/>
    <cellStyle name="Output 3 23 3" xfId="40862" xr:uid="{06B7D3B9-AC42-47C1-8BED-318C136C2759}"/>
    <cellStyle name="Output 3 23 4" xfId="40863" xr:uid="{A53863E2-BFD6-4B19-9BB7-E1A94AE4ADE9}"/>
    <cellStyle name="Output 3 23 5" xfId="40864" xr:uid="{1736B9DD-E5D7-40D0-9946-AD920A6E652F}"/>
    <cellStyle name="Output 3 23 6" xfId="40865" xr:uid="{F93B425E-8CD9-4D8C-B1FA-850BDDDA6E27}"/>
    <cellStyle name="Output 3 23 7" xfId="40866" xr:uid="{3F6319B8-3CD9-419B-A2D0-0180FB2737DC}"/>
    <cellStyle name="Output 3 24" xfId="2991" xr:uid="{A160A2A1-DFAD-467A-8B8E-E781F1B934AF}"/>
    <cellStyle name="Output 3 24 2" xfId="12071" xr:uid="{0B846594-50B3-486F-8C8E-E79C7F02DF20}"/>
    <cellStyle name="Output 3 24 2 2" xfId="40867" xr:uid="{C8FC76BA-91BC-49E4-90EC-30E3AE1BD51D}"/>
    <cellStyle name="Output 3 24 2 3" xfId="40868" xr:uid="{0C0C61C6-7803-4BF2-A644-BECFE0B12BC0}"/>
    <cellStyle name="Output 3 24 2 4" xfId="40869" xr:uid="{6524579A-7124-4384-A638-1569E4926D0D}"/>
    <cellStyle name="Output 3 24 2 5" xfId="40870" xr:uid="{BBF7D627-44A1-4D19-8E7D-B73A7B66D0AC}"/>
    <cellStyle name="Output 3 24 2 6" xfId="40871" xr:uid="{B5BF95D5-7B89-4ABA-8DCE-2EFED9E692C8}"/>
    <cellStyle name="Output 3 24 3" xfId="40872" xr:uid="{38DC657C-DF19-4EAC-98DE-F075ADD4E9C8}"/>
    <cellStyle name="Output 3 24 4" xfId="40873" xr:uid="{CACF8E35-6E72-4E26-8936-140400CDDB4E}"/>
    <cellStyle name="Output 3 24 5" xfId="40874" xr:uid="{4A4C1519-FB64-46C6-8F22-163B0C4A85C1}"/>
    <cellStyle name="Output 3 24 6" xfId="40875" xr:uid="{61D05214-03EF-40B3-80F0-21B06B71E016}"/>
    <cellStyle name="Output 3 24 7" xfId="40876" xr:uid="{C668D452-E876-44D8-83C3-333D0372C213}"/>
    <cellStyle name="Output 3 25" xfId="2992" xr:uid="{6CA219D6-BC3E-40A7-A265-82C877FE6D00}"/>
    <cellStyle name="Output 3 25 2" xfId="12154" xr:uid="{EF577353-4490-4938-A85C-B5B4067A5648}"/>
    <cellStyle name="Output 3 25 2 2" xfId="40877" xr:uid="{A37F3686-EC51-4672-AF1A-FD1B29F74317}"/>
    <cellStyle name="Output 3 25 2 3" xfId="40878" xr:uid="{2FD6055F-94C1-41A8-B9C8-15E9AB30F400}"/>
    <cellStyle name="Output 3 25 2 4" xfId="40879" xr:uid="{3D4A692C-7A34-49ED-B666-5DA1CB6EEBBE}"/>
    <cellStyle name="Output 3 25 2 5" xfId="40880" xr:uid="{93E2A8EC-376A-4D1C-8553-87E236986DD9}"/>
    <cellStyle name="Output 3 25 2 6" xfId="40881" xr:uid="{135131E3-2DA9-4A0B-B9CC-AEBED6D4AA1F}"/>
    <cellStyle name="Output 3 25 3" xfId="40882" xr:uid="{96EEA6F2-5B1A-47A2-9FD5-47153A847557}"/>
    <cellStyle name="Output 3 25 4" xfId="40883" xr:uid="{5ED1CE9E-85CA-42D9-AF0D-4AE2B75A270D}"/>
    <cellStyle name="Output 3 25 5" xfId="40884" xr:uid="{9E468CE5-59F6-4BC5-BEB7-FB756818DEB4}"/>
    <cellStyle name="Output 3 25 6" xfId="40885" xr:uid="{D9CE569A-F0D0-41C4-A80A-2971602E1038}"/>
    <cellStyle name="Output 3 25 7" xfId="40886" xr:uid="{D92DDF92-E960-4D52-AABE-4FCE194FD917}"/>
    <cellStyle name="Output 3 26" xfId="2993" xr:uid="{508C09B9-0D0B-4E6D-BE7F-B7248D7C3CFC}"/>
    <cellStyle name="Output 3 26 2" xfId="10867" xr:uid="{A8E51261-C26B-4860-9699-F7F003533FAF}"/>
    <cellStyle name="Output 3 26 2 2" xfId="40887" xr:uid="{195DA251-6091-41B0-8BF0-31EF9282CCDA}"/>
    <cellStyle name="Output 3 26 2 3" xfId="40888" xr:uid="{B8F4D5E0-9BFC-4EBC-83B4-64BD48779DC4}"/>
    <cellStyle name="Output 3 26 2 4" xfId="40889" xr:uid="{E1E5AE25-4202-45FE-8DB3-7BCE3CA25349}"/>
    <cellStyle name="Output 3 26 2 5" xfId="40890" xr:uid="{0B60CEFF-2A04-4FCE-82AF-7A23A7E82C5F}"/>
    <cellStyle name="Output 3 26 2 6" xfId="40891" xr:uid="{BEA3E0AB-348F-4E7E-B42C-12FCFB1E008A}"/>
    <cellStyle name="Output 3 26 3" xfId="40892" xr:uid="{136CF5D6-0B3D-4E5E-B425-1C01C0EB17EF}"/>
    <cellStyle name="Output 3 26 4" xfId="40893" xr:uid="{139E313A-F1F4-49BC-A6FD-91CEA39DC839}"/>
    <cellStyle name="Output 3 26 5" xfId="40894" xr:uid="{05072865-64ED-4659-91DF-84CA8B45B581}"/>
    <cellStyle name="Output 3 26 6" xfId="40895" xr:uid="{4F137C29-D4AA-4A52-AF78-A6CA455BD6DE}"/>
    <cellStyle name="Output 3 26 7" xfId="40896" xr:uid="{2C79457A-17C9-4B2B-910C-DEEEC30B6CEA}"/>
    <cellStyle name="Output 3 27" xfId="2994" xr:uid="{83A9E75C-B44D-49D0-865F-258C76DABDBF}"/>
    <cellStyle name="Output 3 27 2" xfId="10994" xr:uid="{202FBA95-B7C2-4656-ADB0-AE1DA1E983C3}"/>
    <cellStyle name="Output 3 27 2 2" xfId="40897" xr:uid="{0A9691DA-DB51-4399-850A-7BF05090FF02}"/>
    <cellStyle name="Output 3 27 2 3" xfId="40898" xr:uid="{21B95C87-42FB-4258-AC33-626E5D6C79A7}"/>
    <cellStyle name="Output 3 27 2 4" xfId="40899" xr:uid="{02A1FF86-77BD-4B5E-835C-9C00D9052134}"/>
    <cellStyle name="Output 3 27 2 5" xfId="40900" xr:uid="{E6DA846F-25A4-47F4-B036-CE86A2C20856}"/>
    <cellStyle name="Output 3 27 2 6" xfId="40901" xr:uid="{9EE78625-3224-4171-A21D-7150985FACAC}"/>
    <cellStyle name="Output 3 27 3" xfId="40902" xr:uid="{476D83C5-583F-4CD6-8484-15BD5A331C3A}"/>
    <cellStyle name="Output 3 27 4" xfId="40903" xr:uid="{8FDBC85E-2BD8-47FA-BE64-062BF9CC6420}"/>
    <cellStyle name="Output 3 27 5" xfId="40904" xr:uid="{E362250B-1F19-4E03-A7EE-A966B9094EDE}"/>
    <cellStyle name="Output 3 27 6" xfId="40905" xr:uid="{0875AA4F-3B51-48B3-AFB2-860CBC680FAA}"/>
    <cellStyle name="Output 3 27 7" xfId="40906" xr:uid="{78F8A269-219F-474E-A69E-82456EBD41B7}"/>
    <cellStyle name="Output 3 28" xfId="2995" xr:uid="{67DD3D28-7EBF-46B2-B9FE-6426175C829F}"/>
    <cellStyle name="Output 3 28 2" xfId="12710" xr:uid="{5F6ABDD9-AC04-4DA3-BBD7-5F30F9E3F3D7}"/>
    <cellStyle name="Output 3 28 2 2" xfId="40907" xr:uid="{1D0C16F1-0769-4993-BFBB-F50B831F0AA8}"/>
    <cellStyle name="Output 3 28 2 3" xfId="40908" xr:uid="{4830D56F-918F-4AB1-BB29-11D906BECC34}"/>
    <cellStyle name="Output 3 28 2 4" xfId="40909" xr:uid="{D46EF7DA-5DE6-44F6-8F2B-86A69CC6F81A}"/>
    <cellStyle name="Output 3 28 2 5" xfId="40910" xr:uid="{621579D7-665D-49A6-B247-A1FEC7393437}"/>
    <cellStyle name="Output 3 28 2 6" xfId="40911" xr:uid="{947DA6B7-7120-49E6-B697-16E26EECBDB8}"/>
    <cellStyle name="Output 3 28 3" xfId="40912" xr:uid="{B75B00E6-C42B-4577-87D8-6FDE85E9F323}"/>
    <cellStyle name="Output 3 28 4" xfId="40913" xr:uid="{981480B4-2CD9-4D0B-9948-B743000D2204}"/>
    <cellStyle name="Output 3 28 5" xfId="40914" xr:uid="{20B313A6-57B4-442B-932F-48441F4013A1}"/>
    <cellStyle name="Output 3 29" xfId="8922" xr:uid="{E5616050-1B5F-4EF2-935B-D738BD5DF2DA}"/>
    <cellStyle name="Output 3 29 2" xfId="40915" xr:uid="{7A7AC919-0D96-4C9A-92D4-F3862D3B0C10}"/>
    <cellStyle name="Output 3 29 3" xfId="40916" xr:uid="{B90BC603-ED85-4DC5-8740-F7E56C056A71}"/>
    <cellStyle name="Output 3 29 4" xfId="40917" xr:uid="{1A984F04-1A29-4F05-A529-22080E068455}"/>
    <cellStyle name="Output 3 29 5" xfId="40918" xr:uid="{5BBB8FA4-B417-43B9-A4A0-8E2945754F33}"/>
    <cellStyle name="Output 3 29 6" xfId="40919" xr:uid="{1F879C52-1734-4432-B39C-E1BF313279FE}"/>
    <cellStyle name="Output 3 3" xfId="2996" xr:uid="{BF42C938-2B18-4010-A291-06018C5434ED}"/>
    <cellStyle name="Output 3 3 10" xfId="2997" xr:uid="{89B64E45-B482-4EBC-B39C-37D6669AA0B8}"/>
    <cellStyle name="Output 3 3 10 2" xfId="10743" xr:uid="{86B00538-15EC-4F4F-9B01-9D40B7AF2B1F}"/>
    <cellStyle name="Output 3 3 10 2 2" xfId="40920" xr:uid="{10F15639-BBFA-4B61-A93C-18050092C61C}"/>
    <cellStyle name="Output 3 3 10 2 3" xfId="40921" xr:uid="{229633E2-A22D-4CC4-BD31-79122A05DA61}"/>
    <cellStyle name="Output 3 3 10 2 4" xfId="40922" xr:uid="{234B160E-FFE1-4408-B343-6869762BF110}"/>
    <cellStyle name="Output 3 3 10 2 5" xfId="40923" xr:uid="{8AB3D261-230C-4937-9FE9-CE1CD30B59AE}"/>
    <cellStyle name="Output 3 3 10 2 6" xfId="40924" xr:uid="{99470DDE-54E1-49D3-8BFE-A1F9F1B7D581}"/>
    <cellStyle name="Output 3 3 10 3" xfId="40925" xr:uid="{E4BB78A0-AEF6-4908-B1BF-8563738000EC}"/>
    <cellStyle name="Output 3 3 10 4" xfId="40926" xr:uid="{E6CFD92F-D998-4448-846B-3CACCAAEFDF8}"/>
    <cellStyle name="Output 3 3 10 5" xfId="40927" xr:uid="{7423D870-A671-45DA-BE78-B68B52961D2A}"/>
    <cellStyle name="Output 3 3 10 6" xfId="40928" xr:uid="{3C228307-C897-4486-B79C-E76A29B66F7B}"/>
    <cellStyle name="Output 3 3 10 7" xfId="40929" xr:uid="{765A07DC-8B7D-4ACA-9ACD-D34A31074AC4}"/>
    <cellStyle name="Output 3 3 11" xfId="2998" xr:uid="{B4AA722C-96C8-486A-8F66-AFF0A2A11186}"/>
    <cellStyle name="Output 3 3 11 2" xfId="10831" xr:uid="{B4B703F9-3BDC-4CAE-AD39-CF04BDD071D5}"/>
    <cellStyle name="Output 3 3 11 2 2" xfId="40930" xr:uid="{9BBABA6D-0C8A-44D3-922C-F20FEB2ED87B}"/>
    <cellStyle name="Output 3 3 11 2 3" xfId="40931" xr:uid="{D9B3B5B5-D5C8-4CB3-8A69-48A597FD3A32}"/>
    <cellStyle name="Output 3 3 11 2 4" xfId="40932" xr:uid="{A4AA3425-1398-4948-AD1F-A9EAD5033604}"/>
    <cellStyle name="Output 3 3 11 2 5" xfId="40933" xr:uid="{70A42EC5-F45F-485A-984E-6618319F14EF}"/>
    <cellStyle name="Output 3 3 11 2 6" xfId="40934" xr:uid="{6C6901B6-68A0-4D2A-8CDE-48608549F471}"/>
    <cellStyle name="Output 3 3 11 3" xfId="40935" xr:uid="{0250BFC7-7DEB-41F5-938E-F7F514E31BE9}"/>
    <cellStyle name="Output 3 3 11 4" xfId="40936" xr:uid="{0F9BBE77-ADC0-494D-A7E6-48AA27304675}"/>
    <cellStyle name="Output 3 3 11 5" xfId="40937" xr:uid="{F241D2A8-2F90-4FE3-9901-CD7217753BDF}"/>
    <cellStyle name="Output 3 3 11 6" xfId="40938" xr:uid="{993595E6-AFE5-4D12-8143-1B79B679DC00}"/>
    <cellStyle name="Output 3 3 11 7" xfId="40939" xr:uid="{40BB5A77-6DF2-451B-B78A-7C64E4297E7D}"/>
    <cellStyle name="Output 3 3 12" xfId="2999" xr:uid="{E8F5A6B6-1617-4533-8038-A59D70F06320}"/>
    <cellStyle name="Output 3 3 12 2" xfId="10920" xr:uid="{5B3E3A8C-CB8A-4F06-B0B5-729AE432F4DC}"/>
    <cellStyle name="Output 3 3 12 2 2" xfId="40940" xr:uid="{A9CE15DD-0210-463C-B972-B4F221759B00}"/>
    <cellStyle name="Output 3 3 12 2 3" xfId="40941" xr:uid="{9132DD99-0EC6-4DB0-A5C4-402DF30978CA}"/>
    <cellStyle name="Output 3 3 12 2 4" xfId="40942" xr:uid="{4EC1C8DB-6756-4778-BC41-CAE0BFDF5B44}"/>
    <cellStyle name="Output 3 3 12 2 5" xfId="40943" xr:uid="{412C4606-7F48-432C-A97A-2AEB00443CFC}"/>
    <cellStyle name="Output 3 3 12 2 6" xfId="40944" xr:uid="{8001F1B6-FE9A-4079-B311-2CDBB9D955B3}"/>
    <cellStyle name="Output 3 3 12 3" xfId="40945" xr:uid="{44D514BB-93D2-43FB-987B-01223D0D9C75}"/>
    <cellStyle name="Output 3 3 12 4" xfId="40946" xr:uid="{55AD3703-7082-43EF-A277-DC27648747BD}"/>
    <cellStyle name="Output 3 3 12 5" xfId="40947" xr:uid="{9D012D6F-8FEE-486A-A148-1C4925779A80}"/>
    <cellStyle name="Output 3 3 12 6" xfId="40948" xr:uid="{EA1B069D-BD26-4C77-A834-F7EE674E0720}"/>
    <cellStyle name="Output 3 3 12 7" xfId="40949" xr:uid="{04912719-9158-4E3C-8EE2-4E43140ABD68}"/>
    <cellStyle name="Output 3 3 13" xfId="3000" xr:uid="{AE35EBD3-71CB-4D14-B8C6-2859BFBE2406}"/>
    <cellStyle name="Output 3 3 13 2" xfId="11010" xr:uid="{033E5778-0FAE-4193-92A2-D0D644E65146}"/>
    <cellStyle name="Output 3 3 13 2 2" xfId="40950" xr:uid="{66CDDD9B-A79F-4D2A-A595-D31C7863F74D}"/>
    <cellStyle name="Output 3 3 13 2 3" xfId="40951" xr:uid="{D6A14E6D-3D7A-48E6-885A-FF03533AD64A}"/>
    <cellStyle name="Output 3 3 13 2 4" xfId="40952" xr:uid="{580CA4B2-BF97-427C-A6BC-874E423E274B}"/>
    <cellStyle name="Output 3 3 13 2 5" xfId="40953" xr:uid="{CB417158-B312-4556-ADB8-410209532974}"/>
    <cellStyle name="Output 3 3 13 2 6" xfId="40954" xr:uid="{9FE791F5-D0EE-4EB1-BA5B-1BFC07424605}"/>
    <cellStyle name="Output 3 3 13 3" xfId="40955" xr:uid="{41FE9AB4-6E9F-4E34-9548-CC7003A08E8B}"/>
    <cellStyle name="Output 3 3 13 4" xfId="40956" xr:uid="{89E4917E-AAA2-4E2C-B88D-E58468CA9549}"/>
    <cellStyle name="Output 3 3 13 5" xfId="40957" xr:uid="{E68C9195-60EB-460F-9D67-E96D590CF8BF}"/>
    <cellStyle name="Output 3 3 13 6" xfId="40958" xr:uid="{773F27DA-8174-4CBF-A911-B7762E61BFBF}"/>
    <cellStyle name="Output 3 3 13 7" xfId="40959" xr:uid="{31215A65-20C1-44B6-AE3E-B4EA2DAF6D81}"/>
    <cellStyle name="Output 3 3 14" xfId="3001" xr:uid="{D20C10EC-2702-4D23-8B91-E044BFDB809A}"/>
    <cellStyle name="Output 3 3 14 2" xfId="11100" xr:uid="{4ED27A00-81E9-49A8-84D5-715A621CC880}"/>
    <cellStyle name="Output 3 3 14 2 2" xfId="40960" xr:uid="{591C073E-5682-4A60-A65A-13538DAA85A7}"/>
    <cellStyle name="Output 3 3 14 2 3" xfId="40961" xr:uid="{53206543-4D03-4AA8-B844-3787BFD2D555}"/>
    <cellStyle name="Output 3 3 14 2 4" xfId="40962" xr:uid="{9D969367-DC98-41A9-BBDD-FF0C52312298}"/>
    <cellStyle name="Output 3 3 14 2 5" xfId="40963" xr:uid="{DF078787-2CBC-40A5-A52D-1823EDA63CEF}"/>
    <cellStyle name="Output 3 3 14 2 6" xfId="40964" xr:uid="{8E43D2BE-EF56-4B50-823B-222406E53EDC}"/>
    <cellStyle name="Output 3 3 14 3" xfId="40965" xr:uid="{2F3158F2-EDCD-4542-B956-C19FC8283DAB}"/>
    <cellStyle name="Output 3 3 14 4" xfId="40966" xr:uid="{B0882DD4-F469-4752-809B-0848B758C9C7}"/>
    <cellStyle name="Output 3 3 14 5" xfId="40967" xr:uid="{375698D1-6FD9-4C77-B003-C1AB37DE7E8C}"/>
    <cellStyle name="Output 3 3 14 6" xfId="40968" xr:uid="{07D45B73-425C-4318-9514-CECE0FCAA0D2}"/>
    <cellStyle name="Output 3 3 14 7" xfId="40969" xr:uid="{C328348E-E157-4D2B-A62C-847F4EDDF4C1}"/>
    <cellStyle name="Output 3 3 15" xfId="3002" xr:uid="{5FFBB9AE-18B6-4A45-944A-1CFD2874173C}"/>
    <cellStyle name="Output 3 3 15 2" xfId="11183" xr:uid="{6D9DD56C-5C52-4A05-A3D0-7C32EF116B0F}"/>
    <cellStyle name="Output 3 3 15 2 2" xfId="40970" xr:uid="{EC0EBF97-12DD-4666-BF44-1256CFE71170}"/>
    <cellStyle name="Output 3 3 15 2 3" xfId="40971" xr:uid="{B0F67321-6C4B-4486-85A4-FED5EC20A648}"/>
    <cellStyle name="Output 3 3 15 2 4" xfId="40972" xr:uid="{1768064D-E6A8-4866-80B0-2FD0773B76E6}"/>
    <cellStyle name="Output 3 3 15 2 5" xfId="40973" xr:uid="{D0EF306B-4A71-4F0F-AA64-3060857F5726}"/>
    <cellStyle name="Output 3 3 15 2 6" xfId="40974" xr:uid="{5A40EA6E-CCCF-439D-9BC5-5FC78BEF75B4}"/>
    <cellStyle name="Output 3 3 15 3" xfId="40975" xr:uid="{D9DFDDA8-B54F-44F9-8F69-56E240AF8020}"/>
    <cellStyle name="Output 3 3 15 4" xfId="40976" xr:uid="{49B0AE94-5600-4B32-B0D1-E593318A73D1}"/>
    <cellStyle name="Output 3 3 15 5" xfId="40977" xr:uid="{EFF1BD88-7810-43E1-8FDE-402CDB2656B8}"/>
    <cellStyle name="Output 3 3 15 6" xfId="40978" xr:uid="{868A8DAF-F868-4AC1-AE5F-E494C65383C2}"/>
    <cellStyle name="Output 3 3 15 7" xfId="40979" xr:uid="{5A1A8753-B2B7-45C5-B32B-FA810A9E48C2}"/>
    <cellStyle name="Output 3 3 16" xfId="3003" xr:uid="{07352309-CEED-4106-B4E5-EE41B9EEA022}"/>
    <cellStyle name="Output 3 3 16 2" xfId="11273" xr:uid="{7E4BCEB8-75D3-448E-BD73-EB3D4AF43118}"/>
    <cellStyle name="Output 3 3 16 2 2" xfId="40980" xr:uid="{C2A8933E-FBA7-488D-818C-B0545F32574C}"/>
    <cellStyle name="Output 3 3 16 2 3" xfId="40981" xr:uid="{F7420404-429F-40F1-A3A4-70D46A7C54E5}"/>
    <cellStyle name="Output 3 3 16 2 4" xfId="40982" xr:uid="{AC576996-A106-4AA2-87F5-F01ACD97C00F}"/>
    <cellStyle name="Output 3 3 16 2 5" xfId="40983" xr:uid="{C975FDD5-AB6F-46D8-A97C-CBD80E593FD7}"/>
    <cellStyle name="Output 3 3 16 2 6" xfId="40984" xr:uid="{91B0E0C7-AE2B-4D7F-BEA5-E41266FED402}"/>
    <cellStyle name="Output 3 3 16 3" xfId="40985" xr:uid="{E348E915-8F9B-47F8-B182-0139781D298A}"/>
    <cellStyle name="Output 3 3 16 4" xfId="40986" xr:uid="{F26E5200-6E74-4028-9DB0-770CDE425B72}"/>
    <cellStyle name="Output 3 3 16 5" xfId="40987" xr:uid="{84878A41-7EF5-4548-BE30-B1412495DA4F}"/>
    <cellStyle name="Output 3 3 16 6" xfId="40988" xr:uid="{EE392C6E-EB10-4B2B-8CEF-5390EAAD8685}"/>
    <cellStyle name="Output 3 3 16 7" xfId="40989" xr:uid="{1AFC8A27-40B6-4831-B699-810955A93E22}"/>
    <cellStyle name="Output 3 3 17" xfId="3004" xr:uid="{C050E238-37D7-4F65-9B6F-29AE152D5EDC}"/>
    <cellStyle name="Output 3 3 17 2" xfId="11359" xr:uid="{737E142D-15FE-4CA9-BBFD-1A09B5EF4751}"/>
    <cellStyle name="Output 3 3 17 2 2" xfId="40990" xr:uid="{B8F2F9B9-8EBB-4E2C-BFBD-CEB244E56B43}"/>
    <cellStyle name="Output 3 3 17 2 3" xfId="40991" xr:uid="{055909E2-EE5E-4294-9C02-EC9215CFEE1E}"/>
    <cellStyle name="Output 3 3 17 2 4" xfId="40992" xr:uid="{F9FB4642-D0D0-40B7-87FB-99A9C0AA7C0E}"/>
    <cellStyle name="Output 3 3 17 2 5" xfId="40993" xr:uid="{B2737AC7-47FF-4C3B-B52D-F323CDD558E0}"/>
    <cellStyle name="Output 3 3 17 2 6" xfId="40994" xr:uid="{1F57C330-3EE2-45EF-A911-2BDD1FDEDC02}"/>
    <cellStyle name="Output 3 3 17 3" xfId="40995" xr:uid="{4C8BBFE6-1B00-4861-8B63-BD47772DFFD0}"/>
    <cellStyle name="Output 3 3 17 4" xfId="40996" xr:uid="{5BF723C2-F795-4C92-B955-76ABEFCC8D5D}"/>
    <cellStyle name="Output 3 3 17 5" xfId="40997" xr:uid="{863C5884-050E-4812-A18D-F87AB211B1B2}"/>
    <cellStyle name="Output 3 3 17 6" xfId="40998" xr:uid="{E2BB1319-BAA2-44DD-AC8F-33ABD777F137}"/>
    <cellStyle name="Output 3 3 17 7" xfId="40999" xr:uid="{4C9D77E9-C898-47E2-9CEF-583203810DD0}"/>
    <cellStyle name="Output 3 3 18" xfId="3005" xr:uid="{94ACB7CB-012A-404D-AEF1-13C71A9BDE07}"/>
    <cellStyle name="Output 3 3 18 2" xfId="11446" xr:uid="{2DF95075-A148-4155-A553-BF98F7854BD9}"/>
    <cellStyle name="Output 3 3 18 2 2" xfId="41000" xr:uid="{9A6D0AD9-DE37-4D5D-ADF7-C6621579B486}"/>
    <cellStyle name="Output 3 3 18 2 3" xfId="41001" xr:uid="{8CD5CFEC-3A7A-45EC-B0FE-6736A399243B}"/>
    <cellStyle name="Output 3 3 18 2 4" xfId="41002" xr:uid="{07E1580C-0320-41D4-850F-DBA7276600FC}"/>
    <cellStyle name="Output 3 3 18 2 5" xfId="41003" xr:uid="{611B8C67-7A9C-4FFF-81B1-9ABABB7C2552}"/>
    <cellStyle name="Output 3 3 18 2 6" xfId="41004" xr:uid="{F92F1691-E4BD-4B09-B41E-A700B64CED2F}"/>
    <cellStyle name="Output 3 3 18 3" xfId="41005" xr:uid="{22422404-EAF8-4DBF-81B3-3CBCBF1A2518}"/>
    <cellStyle name="Output 3 3 18 4" xfId="41006" xr:uid="{91616D70-D4CE-4F32-962C-560FA4F3377E}"/>
    <cellStyle name="Output 3 3 18 5" xfId="41007" xr:uid="{05E93A30-4F0F-421F-803C-4E692488575C}"/>
    <cellStyle name="Output 3 3 18 6" xfId="41008" xr:uid="{59FA61D8-F304-46F6-9F23-795C1071E27D}"/>
    <cellStyle name="Output 3 3 18 7" xfId="41009" xr:uid="{F032B7CF-51D4-4FF8-91B5-EDA22EB7988C}"/>
    <cellStyle name="Output 3 3 19" xfId="3006" xr:uid="{385AE771-DBB4-4D41-9253-F9CDD7892D9E}"/>
    <cellStyle name="Output 3 3 19 2" xfId="11533" xr:uid="{29F0D242-F6E9-4C49-8C8A-5B4FF0DFCD7A}"/>
    <cellStyle name="Output 3 3 19 2 2" xfId="41010" xr:uid="{6B20C2A9-3D8A-40F2-B353-DB9599AFCDAC}"/>
    <cellStyle name="Output 3 3 19 2 3" xfId="41011" xr:uid="{49991839-9AEC-4F86-8AF3-22EC8825EF50}"/>
    <cellStyle name="Output 3 3 19 2 4" xfId="41012" xr:uid="{41110B40-32EE-4DBD-B9CA-30E41C4B389F}"/>
    <cellStyle name="Output 3 3 19 2 5" xfId="41013" xr:uid="{59DB8EDB-9838-4AA1-9DDF-F170CA99C9E9}"/>
    <cellStyle name="Output 3 3 19 2 6" xfId="41014" xr:uid="{634DE1FE-1B73-408C-8823-3BC318DB16E1}"/>
    <cellStyle name="Output 3 3 19 3" xfId="41015" xr:uid="{89B040A3-97E8-41C5-8C01-1EE036A3BE21}"/>
    <cellStyle name="Output 3 3 19 4" xfId="41016" xr:uid="{A359015D-A65A-4648-8444-BCF9E33201E4}"/>
    <cellStyle name="Output 3 3 19 5" xfId="41017" xr:uid="{E9B876C3-6D52-410F-88BB-CEFCA24598BA}"/>
    <cellStyle name="Output 3 3 19 6" xfId="41018" xr:uid="{1EEEB174-CE80-484A-B678-D779AE155B90}"/>
    <cellStyle name="Output 3 3 19 7" xfId="41019" xr:uid="{E6736CE9-26DD-4E28-8F5B-DA9D4FD534BF}"/>
    <cellStyle name="Output 3 3 2" xfId="3007" xr:uid="{EB60C331-9087-48F8-96E9-9FCFA1B07C58}"/>
    <cellStyle name="Output 3 3 2 2" xfId="10040" xr:uid="{E7F61CFC-D7AB-4353-860C-1CA0EA474420}"/>
    <cellStyle name="Output 3 3 2 2 2" xfId="41020" xr:uid="{4EDA683B-F28D-4C10-85DE-56E4A5758CF5}"/>
    <cellStyle name="Output 3 3 2 2 3" xfId="41021" xr:uid="{C814BB57-3CAB-42D1-B756-ED089BF11EAA}"/>
    <cellStyle name="Output 3 3 2 2 4" xfId="41022" xr:uid="{DF64248C-248C-4DE1-9BAB-717387156C50}"/>
    <cellStyle name="Output 3 3 2 2 5" xfId="41023" xr:uid="{1C88B32B-4622-4AFC-A5B7-CF351E789509}"/>
    <cellStyle name="Output 3 3 2 2 6" xfId="41024" xr:uid="{1293BF9F-7FD3-4C16-BCA5-238F6BEB8B9E}"/>
    <cellStyle name="Output 3 3 2 3" xfId="41025" xr:uid="{66D24CF0-7E02-4250-83F2-52CF476FA68C}"/>
    <cellStyle name="Output 3 3 2 4" xfId="41026" xr:uid="{A57B26C4-0564-4946-8DCE-2F628FBA3C8A}"/>
    <cellStyle name="Output 3 3 2 5" xfId="41027" xr:uid="{85FB67ED-74E9-4232-9D12-EEB99767C763}"/>
    <cellStyle name="Output 3 3 2 6" xfId="41028" xr:uid="{76D2DA82-3D5D-418A-B946-9E4E7B10C0C3}"/>
    <cellStyle name="Output 3 3 2 7" xfId="41029" xr:uid="{C98D5E97-B1A3-4719-96CB-B445048117EF}"/>
    <cellStyle name="Output 3 3 20" xfId="3008" xr:uid="{809AFC00-3FA4-4F74-BA14-F0BD04B97ADE}"/>
    <cellStyle name="Output 3 3 20 2" xfId="11621" xr:uid="{E47B1660-4BC8-4E68-A969-CEBF09D365E3}"/>
    <cellStyle name="Output 3 3 20 2 2" xfId="41030" xr:uid="{C7FA444C-723D-4BA9-8F11-193425BA902D}"/>
    <cellStyle name="Output 3 3 20 2 3" xfId="41031" xr:uid="{D08933B4-0B7A-4DFB-95D5-453543B4E045}"/>
    <cellStyle name="Output 3 3 20 2 4" xfId="41032" xr:uid="{0C96A935-A927-4D60-B948-B66D11C901AA}"/>
    <cellStyle name="Output 3 3 20 2 5" xfId="41033" xr:uid="{580489D4-19DE-4824-9383-E33C5ED8227A}"/>
    <cellStyle name="Output 3 3 20 2 6" xfId="41034" xr:uid="{657C8FD2-8F90-4749-81C6-AD29D001ACDE}"/>
    <cellStyle name="Output 3 3 20 3" xfId="41035" xr:uid="{10274B63-5B45-496F-9CC6-EAEC46A88364}"/>
    <cellStyle name="Output 3 3 20 4" xfId="41036" xr:uid="{E7BBC625-7229-4D74-B4B7-8D26D39784AB}"/>
    <cellStyle name="Output 3 3 20 5" xfId="41037" xr:uid="{ECCB43FB-CA4E-49F6-BC78-1F915FA975D7}"/>
    <cellStyle name="Output 3 3 20 6" xfId="41038" xr:uid="{986FDA48-397D-413D-8982-913FAA587FBE}"/>
    <cellStyle name="Output 3 3 20 7" xfId="41039" xr:uid="{D450EA97-446E-4DC1-87FD-A592E11F291E}"/>
    <cellStyle name="Output 3 3 21" xfId="3009" xr:uid="{3E98BACE-15AF-4BC6-AC83-9E4ADDAD76A9}"/>
    <cellStyle name="Output 3 3 21 2" xfId="11705" xr:uid="{F78EAA98-A340-4460-B059-322E1F0E5689}"/>
    <cellStyle name="Output 3 3 21 2 2" xfId="41040" xr:uid="{F13B5C64-5503-4CD9-BCD2-054B97F22CE1}"/>
    <cellStyle name="Output 3 3 21 2 3" xfId="41041" xr:uid="{0A0A30FC-12B0-4C57-8674-EFBFA6CB6B37}"/>
    <cellStyle name="Output 3 3 21 2 4" xfId="41042" xr:uid="{C4DA6988-D247-4B65-ADB6-FA9F918EA45C}"/>
    <cellStyle name="Output 3 3 21 2 5" xfId="41043" xr:uid="{350E617D-A5B8-4B2B-8079-C94A785D251E}"/>
    <cellStyle name="Output 3 3 21 2 6" xfId="41044" xr:uid="{E29F4E18-3F32-4A5F-B8AD-DDB16FA57F98}"/>
    <cellStyle name="Output 3 3 21 3" xfId="41045" xr:uid="{3811B816-6F20-4FD3-BD0A-A1F41BF36296}"/>
    <cellStyle name="Output 3 3 21 4" xfId="41046" xr:uid="{3A8D76F8-FF83-40A1-A637-36BB9295E044}"/>
    <cellStyle name="Output 3 3 21 5" xfId="41047" xr:uid="{03A50BC4-CD0A-413E-A512-8FAE09D75406}"/>
    <cellStyle name="Output 3 3 21 6" xfId="41048" xr:uid="{FD2091DD-EFD0-4DB0-9C91-04D052FE5290}"/>
    <cellStyle name="Output 3 3 21 7" xfId="41049" xr:uid="{F885A1E2-1C23-4A7C-9E0A-F5ECB63FA26F}"/>
    <cellStyle name="Output 3 3 22" xfId="3010" xr:uid="{B7DD430C-C0F8-4EA0-912F-F9E2BAC4D69A}"/>
    <cellStyle name="Output 3 3 22 2" xfId="11788" xr:uid="{EB765259-A659-4406-89CC-5651E228EC18}"/>
    <cellStyle name="Output 3 3 22 2 2" xfId="41050" xr:uid="{08AD860C-3ACA-4691-A8E7-B742C25AC68D}"/>
    <cellStyle name="Output 3 3 22 2 3" xfId="41051" xr:uid="{4F1BA030-A76E-42BE-924F-34AC41B9E3B8}"/>
    <cellStyle name="Output 3 3 22 2 4" xfId="41052" xr:uid="{3409A025-EE23-440C-B677-0FCA99494E0E}"/>
    <cellStyle name="Output 3 3 22 2 5" xfId="41053" xr:uid="{8981E097-5EFE-4AEC-8A5F-109E15EDD977}"/>
    <cellStyle name="Output 3 3 22 2 6" xfId="41054" xr:uid="{526E77A8-5AE2-4332-AAE7-F186AF00FCDC}"/>
    <cellStyle name="Output 3 3 22 3" xfId="41055" xr:uid="{63C30882-A735-442C-A9E8-551B183303F4}"/>
    <cellStyle name="Output 3 3 22 4" xfId="41056" xr:uid="{B97F9423-D086-4709-ABD1-20ACA323F82C}"/>
    <cellStyle name="Output 3 3 22 5" xfId="41057" xr:uid="{84890F0D-574B-442D-93F6-F6DF01201A13}"/>
    <cellStyle name="Output 3 3 22 6" xfId="41058" xr:uid="{BA2CB4DB-23C0-4BE3-B4AA-6FCD70C91A10}"/>
    <cellStyle name="Output 3 3 22 7" xfId="41059" xr:uid="{FF436963-A09F-43D7-82E7-D1A816EEA429}"/>
    <cellStyle name="Output 3 3 23" xfId="3011" xr:uid="{CBACD5B4-44A8-4883-A4D2-79762DEB72D6}"/>
    <cellStyle name="Output 3 3 23 2" xfId="11871" xr:uid="{C81BE5BE-91A0-4856-AB41-7EF569F47812}"/>
    <cellStyle name="Output 3 3 23 2 2" xfId="41060" xr:uid="{BE753A01-4124-4DE9-B116-C75EE87D67C5}"/>
    <cellStyle name="Output 3 3 23 2 3" xfId="41061" xr:uid="{8EA87B42-7101-4DF8-A977-7C949C05506C}"/>
    <cellStyle name="Output 3 3 23 2 4" xfId="41062" xr:uid="{B1344447-3DC5-4322-B3A6-464ED18723D6}"/>
    <cellStyle name="Output 3 3 23 2 5" xfId="41063" xr:uid="{5B9133BE-13A4-4D75-A147-50A7CF735751}"/>
    <cellStyle name="Output 3 3 23 2 6" xfId="41064" xr:uid="{926488A4-8C5D-4A7A-B786-7E754188B0AB}"/>
    <cellStyle name="Output 3 3 23 3" xfId="41065" xr:uid="{9EFD7069-83C9-4007-AF18-7CA0BC0C02C4}"/>
    <cellStyle name="Output 3 3 23 4" xfId="41066" xr:uid="{10C71D4A-2A52-4214-8962-FAEF26B6134F}"/>
    <cellStyle name="Output 3 3 23 5" xfId="41067" xr:uid="{0366F467-1DA4-4F64-BACB-64E1FA439D85}"/>
    <cellStyle name="Output 3 3 23 6" xfId="41068" xr:uid="{DDB9D863-39D6-4AE1-AD4C-5AEEFB31E8F5}"/>
    <cellStyle name="Output 3 3 23 7" xfId="41069" xr:uid="{2CA4FF9D-B17E-4A03-AF8A-43196607AD26}"/>
    <cellStyle name="Output 3 3 24" xfId="3012" xr:uid="{EB94A531-4C78-4FEA-8A17-4F038C47EA2F}"/>
    <cellStyle name="Output 3 3 24 2" xfId="11955" xr:uid="{286ACD70-6227-4102-8B05-085A2BAA5753}"/>
    <cellStyle name="Output 3 3 24 2 2" xfId="41070" xr:uid="{EA557D0E-C4B1-41D0-B9B7-824BFAF4FE2D}"/>
    <cellStyle name="Output 3 3 24 2 3" xfId="41071" xr:uid="{27207A8F-7BEE-436A-A072-FB77C34D51FB}"/>
    <cellStyle name="Output 3 3 24 2 4" xfId="41072" xr:uid="{571306A5-F3EA-466A-BB6B-62033EBEBECA}"/>
    <cellStyle name="Output 3 3 24 2 5" xfId="41073" xr:uid="{340189FA-F29C-467B-831B-EB71AE5DB10E}"/>
    <cellStyle name="Output 3 3 24 2 6" xfId="41074" xr:uid="{AB0E1D1D-C0F0-454E-910A-E32E0CA6B981}"/>
    <cellStyle name="Output 3 3 24 3" xfId="41075" xr:uid="{B0717985-1413-4C38-90D6-CF409266B677}"/>
    <cellStyle name="Output 3 3 24 4" xfId="41076" xr:uid="{3BE812D0-F70A-44E0-82F0-E2A9F93EF340}"/>
    <cellStyle name="Output 3 3 24 5" xfId="41077" xr:uid="{3D422FEE-3B05-444E-B561-73D7E29D05D6}"/>
    <cellStyle name="Output 3 3 24 6" xfId="41078" xr:uid="{5E8D9C7D-5618-4097-B8BE-FC307AFBBF90}"/>
    <cellStyle name="Output 3 3 24 7" xfId="41079" xr:uid="{82E00E1F-3B20-4227-A0BD-593DB8B8A9D8}"/>
    <cellStyle name="Output 3 3 25" xfId="3013" xr:uid="{4F6ED439-A459-4874-BFCF-954A32E34BD0}"/>
    <cellStyle name="Output 3 3 25 2" xfId="12038" xr:uid="{EC7B96E0-C01B-47DF-93AB-7536BEA2CF61}"/>
    <cellStyle name="Output 3 3 25 2 2" xfId="41080" xr:uid="{43467709-03B0-4F19-A8B5-4C56E3D0A695}"/>
    <cellStyle name="Output 3 3 25 2 3" xfId="41081" xr:uid="{C01A357B-1C53-41C1-8842-9F4098249936}"/>
    <cellStyle name="Output 3 3 25 2 4" xfId="41082" xr:uid="{629AE086-B435-43DD-8112-29D8C2C29963}"/>
    <cellStyle name="Output 3 3 25 2 5" xfId="41083" xr:uid="{84D4EF2A-D4A1-41DA-B307-CA28B86FB851}"/>
    <cellStyle name="Output 3 3 25 2 6" xfId="41084" xr:uid="{76A61C11-600D-4AF3-B3B7-7DC6DA143070}"/>
    <cellStyle name="Output 3 3 25 3" xfId="41085" xr:uid="{BA9321C0-FE91-4D5E-B96F-79DA5A56AE30}"/>
    <cellStyle name="Output 3 3 25 4" xfId="41086" xr:uid="{15767DF8-D844-43D1-AE01-FAED790794FC}"/>
    <cellStyle name="Output 3 3 25 5" xfId="41087" xr:uid="{B799F9FA-1CB9-4CAC-BAE6-3A4DD2021F03}"/>
    <cellStyle name="Output 3 3 25 6" xfId="41088" xr:uid="{6F695592-19B6-43FC-B132-9E287BBE62F8}"/>
    <cellStyle name="Output 3 3 25 7" xfId="41089" xr:uid="{E8944F36-31FE-45F6-82D2-360294CF1AE7}"/>
    <cellStyle name="Output 3 3 26" xfId="3014" xr:uid="{AEA59CC3-F527-4E73-A451-22525A796221}"/>
    <cellStyle name="Output 3 3 26 2" xfId="12121" xr:uid="{2EE710C2-78EE-4B97-94FC-834E8F9502D0}"/>
    <cellStyle name="Output 3 3 26 2 2" xfId="41090" xr:uid="{F8FA2EB7-0522-4267-8634-FD03F893D5C0}"/>
    <cellStyle name="Output 3 3 26 2 3" xfId="41091" xr:uid="{0BCE1DEC-63A9-4B87-A8E8-BF13AAC071D2}"/>
    <cellStyle name="Output 3 3 26 2 4" xfId="41092" xr:uid="{72C1B268-28A5-42AA-934A-E3B688252AB1}"/>
    <cellStyle name="Output 3 3 26 2 5" xfId="41093" xr:uid="{50A0CACC-8011-4C2A-BDE1-AD9BF283338F}"/>
    <cellStyle name="Output 3 3 26 2 6" xfId="41094" xr:uid="{3C6C4782-9843-46F3-B2B1-4D6FA6F00690}"/>
    <cellStyle name="Output 3 3 26 3" xfId="41095" xr:uid="{08181727-4316-495A-9464-B05080CDF516}"/>
    <cellStyle name="Output 3 3 26 4" xfId="41096" xr:uid="{0544CACD-5527-47A6-85F0-9F069BFFC96D}"/>
    <cellStyle name="Output 3 3 26 5" xfId="41097" xr:uid="{080A38AF-E24D-43D4-92C7-817807579BAA}"/>
    <cellStyle name="Output 3 3 26 6" xfId="41098" xr:uid="{B6810662-9934-4CF1-832E-E317F6C6893C}"/>
    <cellStyle name="Output 3 3 26 7" xfId="41099" xr:uid="{022AE054-F0AD-44F8-9FC0-DCC2922B67B9}"/>
    <cellStyle name="Output 3 3 27" xfId="3015" xr:uid="{C756B6C3-1B88-4DF2-8233-412AC9DBDA01}"/>
    <cellStyle name="Output 3 3 27 2" xfId="12203" xr:uid="{A52E567E-6D35-48C7-B01F-231FB8302B1A}"/>
    <cellStyle name="Output 3 3 27 2 2" xfId="41100" xr:uid="{07F2380C-4A74-466E-BEAE-A45BAC0D9650}"/>
    <cellStyle name="Output 3 3 27 2 3" xfId="41101" xr:uid="{59550982-7A77-440F-8A93-C821A065263C}"/>
    <cellStyle name="Output 3 3 27 2 4" xfId="41102" xr:uid="{5084E4B0-F37C-47F4-BBE9-E2FCB41E86AD}"/>
    <cellStyle name="Output 3 3 27 2 5" xfId="41103" xr:uid="{0461B8FB-9499-4705-A137-8F8898CA9E8D}"/>
    <cellStyle name="Output 3 3 27 2 6" xfId="41104" xr:uid="{F9786502-7443-4F9B-BC5F-1B70E997E2C4}"/>
    <cellStyle name="Output 3 3 27 3" xfId="41105" xr:uid="{C2BE1CF5-024D-4341-B003-7D1D7021997A}"/>
    <cellStyle name="Output 3 3 27 4" xfId="41106" xr:uid="{9FEEB557-3241-44A5-A182-34A106BE1B41}"/>
    <cellStyle name="Output 3 3 27 5" xfId="41107" xr:uid="{9547F5A5-AF1E-4587-9BBC-001F181DD2B0}"/>
    <cellStyle name="Output 3 3 27 6" xfId="41108" xr:uid="{E729F0AF-FCD2-4AB2-8C8D-75E6929C9969}"/>
    <cellStyle name="Output 3 3 27 7" xfId="41109" xr:uid="{236D5878-B9EF-497C-82D0-226604370790}"/>
    <cellStyle name="Output 3 3 28" xfId="3016" xr:uid="{291B328F-2583-420C-9A93-13E6AFA4B96A}"/>
    <cellStyle name="Output 3 3 28 2" xfId="12283" xr:uid="{9A28C935-4F6E-4B00-9CB3-357D4EA176FE}"/>
    <cellStyle name="Output 3 3 28 2 2" xfId="41110" xr:uid="{CB80B07A-A895-4C1E-8FA0-BFE729B17E53}"/>
    <cellStyle name="Output 3 3 28 2 3" xfId="41111" xr:uid="{6A286B7F-85A4-49D4-B823-9E44922700C9}"/>
    <cellStyle name="Output 3 3 28 2 4" xfId="41112" xr:uid="{FC5153A9-8972-4F06-A41A-E020298D7F02}"/>
    <cellStyle name="Output 3 3 28 2 5" xfId="41113" xr:uid="{CA8544A2-B8F3-446E-A679-39928C56AB43}"/>
    <cellStyle name="Output 3 3 28 2 6" xfId="41114" xr:uid="{206FD402-93AD-41F9-B256-9D0DAC69982E}"/>
    <cellStyle name="Output 3 3 28 3" xfId="41115" xr:uid="{591FA043-83B9-40B7-A036-73A0B85299A4}"/>
    <cellStyle name="Output 3 3 28 4" xfId="41116" xr:uid="{2BEF0B3C-692B-42B8-AE95-99AD126E5E5C}"/>
    <cellStyle name="Output 3 3 28 5" xfId="41117" xr:uid="{A881D570-DF44-4E5F-BB03-9535EAB198FF}"/>
    <cellStyle name="Output 3 3 28 6" xfId="41118" xr:uid="{B469E6C5-3297-41B3-B57A-789CC643E661}"/>
    <cellStyle name="Output 3 3 28 7" xfId="41119" xr:uid="{7DBCF5F6-50A2-4EA3-B5EC-D0422686816C}"/>
    <cellStyle name="Output 3 3 29" xfId="3017" xr:uid="{2AA74211-B285-4574-A679-84C3AA5FF0E7}"/>
    <cellStyle name="Output 3 3 29 2" xfId="12361" xr:uid="{10936C00-544B-4E4C-9202-B8E95C2FF771}"/>
    <cellStyle name="Output 3 3 29 2 2" xfId="41120" xr:uid="{83E7E8F7-F014-4F12-BA25-D152D2FB2F58}"/>
    <cellStyle name="Output 3 3 29 2 3" xfId="41121" xr:uid="{30B978AD-03FF-44D8-A4F8-BAD2E87CE2B7}"/>
    <cellStyle name="Output 3 3 29 2 4" xfId="41122" xr:uid="{7E7303D4-155A-434B-8272-7E41E4E01BDD}"/>
    <cellStyle name="Output 3 3 29 2 5" xfId="41123" xr:uid="{89F793E0-73C6-47FA-829D-A6C59197CC33}"/>
    <cellStyle name="Output 3 3 29 2 6" xfId="41124" xr:uid="{5CBE3BE6-80B8-420C-8687-B94EC83C475F}"/>
    <cellStyle name="Output 3 3 29 3" xfId="41125" xr:uid="{426130D2-3A4F-47B9-965A-A7703B94C6A9}"/>
    <cellStyle name="Output 3 3 29 4" xfId="41126" xr:uid="{13823143-EBCC-4FAE-8C4C-B29E11310DF9}"/>
    <cellStyle name="Output 3 3 29 5" xfId="41127" xr:uid="{18D6CBBE-BDC6-4331-AB2C-F08A1227C949}"/>
    <cellStyle name="Output 3 3 29 6" xfId="41128" xr:uid="{A1725CA2-5D7A-483A-BF39-37640B51492C}"/>
    <cellStyle name="Output 3 3 29 7" xfId="41129" xr:uid="{B5C46AB3-9008-4268-91AD-2288255D9930}"/>
    <cellStyle name="Output 3 3 3" xfId="3018" xr:uid="{84CDC7D4-ABCB-4DEF-B57C-BFD25641F96C}"/>
    <cellStyle name="Output 3 3 3 2" xfId="10131" xr:uid="{2EBB3108-58D9-4491-95EA-0614800069F2}"/>
    <cellStyle name="Output 3 3 3 2 2" xfId="41130" xr:uid="{FEF3CC92-1615-44F4-91D6-6D706E41CDB4}"/>
    <cellStyle name="Output 3 3 3 2 3" xfId="41131" xr:uid="{D333A36C-958D-40A1-A2EC-1787284A3711}"/>
    <cellStyle name="Output 3 3 3 2 4" xfId="41132" xr:uid="{2C49F7FE-8B83-4771-B90B-CE2E8ABC079A}"/>
    <cellStyle name="Output 3 3 3 2 5" xfId="41133" xr:uid="{056159DF-3B5F-42F6-95C5-AF06B003C834}"/>
    <cellStyle name="Output 3 3 3 2 6" xfId="41134" xr:uid="{BDE16061-2C68-4262-94A7-0AAC1449F120}"/>
    <cellStyle name="Output 3 3 3 3" xfId="41135" xr:uid="{D85D2AC4-23E8-4FCA-9727-7EB5D86900D2}"/>
    <cellStyle name="Output 3 3 3 4" xfId="41136" xr:uid="{46139C36-AFA2-47BA-81D5-824ED3CE7AFE}"/>
    <cellStyle name="Output 3 3 3 5" xfId="41137" xr:uid="{EE031BFA-0C50-4FD3-8182-E487FBF1EDAF}"/>
    <cellStyle name="Output 3 3 3 6" xfId="41138" xr:uid="{6CF1469F-F2C8-487E-B076-4CC0E8F844E7}"/>
    <cellStyle name="Output 3 3 3 7" xfId="41139" xr:uid="{48E84503-D7C5-4411-B58D-5E1A762BB447}"/>
    <cellStyle name="Output 3 3 30" xfId="3019" xr:uid="{287D3435-87D3-4DB4-87CF-3F10892D70F1}"/>
    <cellStyle name="Output 3 3 30 2" xfId="12440" xr:uid="{18497E9B-0F23-447E-B9D3-583B14EC974E}"/>
    <cellStyle name="Output 3 3 30 2 2" xfId="41140" xr:uid="{580FACCB-B39D-4694-AD3B-698E9CCDB216}"/>
    <cellStyle name="Output 3 3 30 2 3" xfId="41141" xr:uid="{1E17FA3C-8EED-42C3-BADD-7C4E1BB46EA2}"/>
    <cellStyle name="Output 3 3 30 2 4" xfId="41142" xr:uid="{EB8A2794-0003-44E3-A310-1F07FDCC8BE6}"/>
    <cellStyle name="Output 3 3 30 2 5" xfId="41143" xr:uid="{2C6A282C-0FCC-4708-BAE1-171B9AD2EA9F}"/>
    <cellStyle name="Output 3 3 30 2 6" xfId="41144" xr:uid="{B3EB24AA-8A20-4425-B681-4D6848522127}"/>
    <cellStyle name="Output 3 3 30 3" xfId="41145" xr:uid="{F30C2F07-B7BB-44F1-BAA8-72A6AF1F3E9B}"/>
    <cellStyle name="Output 3 3 30 4" xfId="41146" xr:uid="{C3472A1B-1BDF-4B62-8083-73DB2908214E}"/>
    <cellStyle name="Output 3 3 30 5" xfId="41147" xr:uid="{CD043EFC-942A-4559-B9A4-7FF4CA6BED6C}"/>
    <cellStyle name="Output 3 3 30 6" xfId="41148" xr:uid="{A1ECB656-C966-497B-94EE-EB1E4C652DB4}"/>
    <cellStyle name="Output 3 3 30 7" xfId="41149" xr:uid="{A9E5548A-13E5-4FC8-9B16-D6D9FD0FFA3A}"/>
    <cellStyle name="Output 3 3 31" xfId="3020" xr:uid="{98D81502-CC32-4E05-B07B-CBD75D23E22D}"/>
    <cellStyle name="Output 3 3 31 2" xfId="12519" xr:uid="{5F3C66C8-80DB-443D-A745-E5C7659CAA14}"/>
    <cellStyle name="Output 3 3 31 2 2" xfId="41150" xr:uid="{6330C3BE-38AE-4EB9-ADBA-460C5B58422D}"/>
    <cellStyle name="Output 3 3 31 2 3" xfId="41151" xr:uid="{D85720E5-ED62-4871-A308-BF508C136A98}"/>
    <cellStyle name="Output 3 3 31 2 4" xfId="41152" xr:uid="{9E616F7E-CE9C-470F-9262-E99CE8A51B25}"/>
    <cellStyle name="Output 3 3 31 2 5" xfId="41153" xr:uid="{45CC062A-785E-4C8E-9831-887D88C612A9}"/>
    <cellStyle name="Output 3 3 31 2 6" xfId="41154" xr:uid="{48A54E04-C833-4341-B50C-AA11D3C0771D}"/>
    <cellStyle name="Output 3 3 31 3" xfId="41155" xr:uid="{4498D3FF-DF42-4B93-9635-785ACAAF1A91}"/>
    <cellStyle name="Output 3 3 31 4" xfId="41156" xr:uid="{7238FA53-5500-46F1-A2AB-76C19719CCCA}"/>
    <cellStyle name="Output 3 3 31 5" xfId="41157" xr:uid="{66B35393-C7DB-45F9-A228-69B7043FDFD8}"/>
    <cellStyle name="Output 3 3 31 6" xfId="41158" xr:uid="{42BB7317-23E2-4F07-9EC5-2B899F864426}"/>
    <cellStyle name="Output 3 3 31 7" xfId="41159" xr:uid="{3A1547E4-CDA1-43A6-A53C-C5CAA14EF619}"/>
    <cellStyle name="Output 3 3 32" xfId="3021" xr:uid="{5FBFDD51-F63D-4F4E-8A3B-9D2E9D07524D}"/>
    <cellStyle name="Output 3 3 32 2" xfId="12598" xr:uid="{70C5B8E5-ADFD-42B3-844F-1BE4CB2FD4F4}"/>
    <cellStyle name="Output 3 3 32 2 2" xfId="41160" xr:uid="{94680D01-49CA-4710-84AB-B0DFCDE7770D}"/>
    <cellStyle name="Output 3 3 32 2 3" xfId="41161" xr:uid="{ED1F460B-0B56-41DC-A65B-A182AF751282}"/>
    <cellStyle name="Output 3 3 32 2 4" xfId="41162" xr:uid="{2CDF5815-BB41-495D-97A6-2AFB221E1602}"/>
    <cellStyle name="Output 3 3 32 2 5" xfId="41163" xr:uid="{680B92C4-6F70-4219-854C-1C441F93BD54}"/>
    <cellStyle name="Output 3 3 32 2 6" xfId="41164" xr:uid="{9363AC89-5FD8-440D-8BEE-A542DBC58514}"/>
    <cellStyle name="Output 3 3 32 3" xfId="41165" xr:uid="{37405376-80B4-425C-83F9-6FD45A137EDD}"/>
    <cellStyle name="Output 3 3 32 4" xfId="41166" xr:uid="{FB9A4797-1352-49DE-8FA4-AAB700F64EE2}"/>
    <cellStyle name="Output 3 3 32 5" xfId="41167" xr:uid="{5D32C64A-E3AB-475C-83B5-69CC739A3A1D}"/>
    <cellStyle name="Output 3 3 32 6" xfId="41168" xr:uid="{B0A90A0D-A363-488F-BC89-69B2E35F9EE4}"/>
    <cellStyle name="Output 3 3 32 7" xfId="41169" xr:uid="{3D2DE226-D4FF-4C77-82F0-DDED83A6EDD8}"/>
    <cellStyle name="Output 3 3 33" xfId="3022" xr:uid="{D9CA841C-A2BD-4066-9841-FA308E341AC6}"/>
    <cellStyle name="Output 3 3 33 2" xfId="12677" xr:uid="{0A95F041-B3DE-45C9-9947-0BBDD3692450}"/>
    <cellStyle name="Output 3 3 33 2 2" xfId="41170" xr:uid="{64F009F0-9A3A-4A88-BB63-ECCC3B98C165}"/>
    <cellStyle name="Output 3 3 33 2 3" xfId="41171" xr:uid="{D626D7E9-9A0C-4594-8CEF-9A98F0CC735B}"/>
    <cellStyle name="Output 3 3 33 2 4" xfId="41172" xr:uid="{69E96ED3-D260-4153-9920-A82FC7FFE8D4}"/>
    <cellStyle name="Output 3 3 33 2 5" xfId="41173" xr:uid="{9FA4568E-207A-4820-9181-553CC23A2D41}"/>
    <cellStyle name="Output 3 3 33 2 6" xfId="41174" xr:uid="{A657FF3C-E7A5-41C9-AD87-19B7A4D89E34}"/>
    <cellStyle name="Output 3 3 33 3" xfId="41175" xr:uid="{441F347C-0CE6-4FC3-8E86-771ECE74F13D}"/>
    <cellStyle name="Output 3 3 33 4" xfId="41176" xr:uid="{9B142E04-A2BD-413A-9665-C569FC4F9D7D}"/>
    <cellStyle name="Output 3 3 33 5" xfId="41177" xr:uid="{0765E345-D7EC-43F9-B466-796CEB1F3C94}"/>
    <cellStyle name="Output 3 3 33 6" xfId="41178" xr:uid="{E1DD1F36-A9F4-4009-9F49-0539BABE0CC3}"/>
    <cellStyle name="Output 3 3 33 7" xfId="41179" xr:uid="{A8E94E59-4578-4C13-97EC-4A2B42596149}"/>
    <cellStyle name="Output 3 3 34" xfId="3023" xr:uid="{7C59CEEC-09ED-43F8-8ABE-4B54C083A757}"/>
    <cellStyle name="Output 3 3 34 2" xfId="12761" xr:uid="{D5BB5CAB-3152-432D-BF34-CA4E050015C6}"/>
    <cellStyle name="Output 3 3 34 2 2" xfId="41180" xr:uid="{CE84901F-552C-4DA3-BFFC-42A76EAC514B}"/>
    <cellStyle name="Output 3 3 34 2 3" xfId="41181" xr:uid="{55D675E2-B1ED-4A19-9A27-BFD1B0F7AF3B}"/>
    <cellStyle name="Output 3 3 34 2 4" xfId="41182" xr:uid="{B73BBCCB-BF50-4835-9D8B-4FEDD2BE3650}"/>
    <cellStyle name="Output 3 3 34 2 5" xfId="41183" xr:uid="{1097F292-8A7A-4D02-BBCB-06DA833700FE}"/>
    <cellStyle name="Output 3 3 34 2 6" xfId="41184" xr:uid="{704DD019-6AA4-4D6F-815F-BAA75FEA9B40}"/>
    <cellStyle name="Output 3 3 34 3" xfId="41185" xr:uid="{A8F6A0E7-3364-431A-BF05-20D64CF398FD}"/>
    <cellStyle name="Output 3 3 34 4" xfId="41186" xr:uid="{239C4A2D-CABE-4B2C-99A1-6F9AF8211027}"/>
    <cellStyle name="Output 3 3 34 5" xfId="41187" xr:uid="{2FCF2C1F-B583-452B-A94C-ADF929068E72}"/>
    <cellStyle name="Output 3 3 35" xfId="8923" xr:uid="{0FF5E37A-51B0-466E-9B91-D20FC17A1341}"/>
    <cellStyle name="Output 3 3 35 2" xfId="41188" xr:uid="{6DE894D7-C36F-49F3-AC63-20259E6CCBD0}"/>
    <cellStyle name="Output 3 3 35 3" xfId="41189" xr:uid="{2BA486A5-B967-447B-8883-573758C71A73}"/>
    <cellStyle name="Output 3 3 35 4" xfId="41190" xr:uid="{B40D5FAE-20A3-460E-BE3E-041122302349}"/>
    <cellStyle name="Output 3 3 35 5" xfId="41191" xr:uid="{1A570FA2-C7FF-4832-AD0A-56BEB72AFFA0}"/>
    <cellStyle name="Output 3 3 35 6" xfId="41192" xr:uid="{148F2D01-7E23-4715-B06E-68A0E24A39A8}"/>
    <cellStyle name="Output 3 3 36" xfId="9827" xr:uid="{1C5F7696-E8C4-4DAD-969C-7BFE537BB022}"/>
    <cellStyle name="Output 3 3 36 2" xfId="41193" xr:uid="{93C616E3-E136-405A-9670-D109F5E87242}"/>
    <cellStyle name="Output 3 3 36 3" xfId="41194" xr:uid="{CEB951FF-B746-42A7-B292-BA6550F94CA3}"/>
    <cellStyle name="Output 3 3 36 4" xfId="41195" xr:uid="{8C931AAC-7810-4A31-A370-7387CAE7B95A}"/>
    <cellStyle name="Output 3 3 36 5" xfId="41196" xr:uid="{CCA2B9CC-873A-45E9-9DFD-A6F80BF307D2}"/>
    <cellStyle name="Output 3 3 36 6" xfId="41197" xr:uid="{595CDFE3-7EE9-4A9B-981D-BDEBD150525F}"/>
    <cellStyle name="Output 3 3 37" xfId="41198" xr:uid="{574BEBCE-B760-4CA9-B928-51F7169CB34C}"/>
    <cellStyle name="Output 3 3 38" xfId="41199" xr:uid="{FF99C059-684F-41D4-80C5-FA25C36D303E}"/>
    <cellStyle name="Output 3 3 39" xfId="41200" xr:uid="{6F20AA11-9393-45E7-A2FB-AD8A974905BC}"/>
    <cellStyle name="Output 3 3 4" xfId="3024" xr:uid="{55F0FECC-DC7F-4FBE-B502-ADA21A03C868}"/>
    <cellStyle name="Output 3 3 4 2" xfId="10221" xr:uid="{B33ECC70-8D1B-4D63-81D1-BFB16ABDA693}"/>
    <cellStyle name="Output 3 3 4 2 2" xfId="41201" xr:uid="{07CCE9F9-279D-40BE-BDAD-63E1116B8B1F}"/>
    <cellStyle name="Output 3 3 4 2 3" xfId="41202" xr:uid="{2C672794-7D11-489F-A825-111F6523A34F}"/>
    <cellStyle name="Output 3 3 4 2 4" xfId="41203" xr:uid="{6556B7BD-1050-4373-961C-4C3BFD44A024}"/>
    <cellStyle name="Output 3 3 4 2 5" xfId="41204" xr:uid="{28CA78D1-F982-45FB-9381-636618F87522}"/>
    <cellStyle name="Output 3 3 4 2 6" xfId="41205" xr:uid="{0B347EC1-0848-4F09-BD1E-B93CF5BC8428}"/>
    <cellStyle name="Output 3 3 4 3" xfId="41206" xr:uid="{950EF065-9F3E-4237-89D6-538E23686C8B}"/>
    <cellStyle name="Output 3 3 4 4" xfId="41207" xr:uid="{5AE40CFE-55C3-46E4-AA1C-4758AABBC363}"/>
    <cellStyle name="Output 3 3 4 5" xfId="41208" xr:uid="{A1F3950B-CE29-40B9-8A96-A9F1E120F39F}"/>
    <cellStyle name="Output 3 3 4 6" xfId="41209" xr:uid="{5128C9BB-40A3-4B19-8B29-32DD4EAAA12B}"/>
    <cellStyle name="Output 3 3 4 7" xfId="41210" xr:uid="{DED71936-889E-4E9C-89C7-08D647931813}"/>
    <cellStyle name="Output 3 3 5" xfId="3025" xr:uid="{87E77755-977E-47DA-9781-3BAD14DC8610}"/>
    <cellStyle name="Output 3 3 5 2" xfId="10307" xr:uid="{81F57BC6-C0F9-40AC-8220-F6AC9C2A3D15}"/>
    <cellStyle name="Output 3 3 5 2 2" xfId="41211" xr:uid="{77920A09-BD24-4146-BB81-1395C3541C6C}"/>
    <cellStyle name="Output 3 3 5 2 3" xfId="41212" xr:uid="{BA2F672A-134F-443D-879B-F2607BD94DF7}"/>
    <cellStyle name="Output 3 3 5 2 4" xfId="41213" xr:uid="{3BE5323E-1AC0-488F-8A8A-8A6766B7DBDA}"/>
    <cellStyle name="Output 3 3 5 2 5" xfId="41214" xr:uid="{3BF4CDD2-77C2-4150-8ED5-99480925B1DF}"/>
    <cellStyle name="Output 3 3 5 2 6" xfId="41215" xr:uid="{0D88DFF6-FB28-419F-91C1-C1774A8FE084}"/>
    <cellStyle name="Output 3 3 5 3" xfId="41216" xr:uid="{B47BA03A-9FCB-4704-AACA-74AAE52706E3}"/>
    <cellStyle name="Output 3 3 5 4" xfId="41217" xr:uid="{B014F395-ADE6-4AE4-BB45-98B759D14137}"/>
    <cellStyle name="Output 3 3 5 5" xfId="41218" xr:uid="{6DFD033C-6940-4173-A44C-5011F1E36106}"/>
    <cellStyle name="Output 3 3 5 6" xfId="41219" xr:uid="{CA575095-CBF9-4224-ABB1-698E4EF6ABBB}"/>
    <cellStyle name="Output 3 3 5 7" xfId="41220" xr:uid="{7E6D14DD-81E6-451B-B68B-108108528C7B}"/>
    <cellStyle name="Output 3 3 6" xfId="3026" xr:uid="{053C6C30-C9BF-493D-A4AD-1A688D966488}"/>
    <cellStyle name="Output 3 3 6 2" xfId="10395" xr:uid="{278841EB-4DB9-46E4-964C-F99FA4EA5D9D}"/>
    <cellStyle name="Output 3 3 6 2 2" xfId="41221" xr:uid="{8567CA88-B54E-4D8E-A8B3-72E4ADCB302F}"/>
    <cellStyle name="Output 3 3 6 2 3" xfId="41222" xr:uid="{4BF66D09-D7CA-4918-8481-BE4BB843114F}"/>
    <cellStyle name="Output 3 3 6 2 4" xfId="41223" xr:uid="{40DC668B-5516-4CE3-9121-F315FEC6B5E8}"/>
    <cellStyle name="Output 3 3 6 2 5" xfId="41224" xr:uid="{5F9A59F8-BCCC-4065-92C1-58ADFE6450C0}"/>
    <cellStyle name="Output 3 3 6 2 6" xfId="41225" xr:uid="{2A9A8A72-E800-43AF-82A4-FD0BDF4B73AE}"/>
    <cellStyle name="Output 3 3 6 3" xfId="41226" xr:uid="{6D7D73ED-5A43-46BF-81A1-6CAAF236B717}"/>
    <cellStyle name="Output 3 3 6 4" xfId="41227" xr:uid="{765381D4-5AB0-489A-8AC3-23BC55940806}"/>
    <cellStyle name="Output 3 3 6 5" xfId="41228" xr:uid="{F47B492B-DE1B-439D-B3C6-A3565BFF2D10}"/>
    <cellStyle name="Output 3 3 6 6" xfId="41229" xr:uid="{2A23EFD1-E916-4256-9FC3-F472AF1BEC5F}"/>
    <cellStyle name="Output 3 3 6 7" xfId="41230" xr:uid="{4370B833-F646-42B8-B5AF-F020DA433E83}"/>
    <cellStyle name="Output 3 3 7" xfId="3027" xr:uid="{BA3926CA-DECE-4B14-98D2-04183BC3C7D3}"/>
    <cellStyle name="Output 3 3 7 2" xfId="10482" xr:uid="{34BC48E1-336E-448D-97E5-2EC6ED38EC6F}"/>
    <cellStyle name="Output 3 3 7 2 2" xfId="41231" xr:uid="{2FDF9DC5-B273-4402-B44E-E10B48FA813D}"/>
    <cellStyle name="Output 3 3 7 2 3" xfId="41232" xr:uid="{D3A32799-C8F4-45BD-A247-A4C6A8CA0120}"/>
    <cellStyle name="Output 3 3 7 2 4" xfId="41233" xr:uid="{7E25AFF8-47D2-4F87-A21E-2CAADF293A9E}"/>
    <cellStyle name="Output 3 3 7 2 5" xfId="41234" xr:uid="{6B788748-BFC1-4213-A5D7-B946CB11DB46}"/>
    <cellStyle name="Output 3 3 7 2 6" xfId="41235" xr:uid="{4EAD48C6-3989-46B7-BD9D-D5A8B3D9C58D}"/>
    <cellStyle name="Output 3 3 7 3" xfId="41236" xr:uid="{00A420D6-F525-4519-BE63-CF7A400BB58D}"/>
    <cellStyle name="Output 3 3 7 4" xfId="41237" xr:uid="{07F9FCDE-D53E-4318-9E98-4EAE5883F6ED}"/>
    <cellStyle name="Output 3 3 7 5" xfId="41238" xr:uid="{54BB98C7-958D-4FAA-AC3D-7A1AD71DA64C}"/>
    <cellStyle name="Output 3 3 7 6" xfId="41239" xr:uid="{EC47478D-71E9-4224-9B2D-8799CEE190EF}"/>
    <cellStyle name="Output 3 3 7 7" xfId="41240" xr:uid="{9661E240-A45B-422F-AF53-04D69B79CDE1}"/>
    <cellStyle name="Output 3 3 8" xfId="3028" xr:uid="{9A1964AB-901F-4968-BAEB-D28B6B8490BE}"/>
    <cellStyle name="Output 3 3 8 2" xfId="10570" xr:uid="{CAA4CB04-BED1-437E-BA6D-2EA0FD669322}"/>
    <cellStyle name="Output 3 3 8 2 2" xfId="41241" xr:uid="{207958E5-1242-4A49-925C-8E1F9AFA32CA}"/>
    <cellStyle name="Output 3 3 8 2 3" xfId="41242" xr:uid="{A69CF17B-C39E-4380-A37C-50775E3D5376}"/>
    <cellStyle name="Output 3 3 8 2 4" xfId="41243" xr:uid="{843F4C94-505E-4D5F-9CB8-1F890E4914EB}"/>
    <cellStyle name="Output 3 3 8 2 5" xfId="41244" xr:uid="{B205D5B7-DED1-4337-90E0-1A0EF94464A2}"/>
    <cellStyle name="Output 3 3 8 2 6" xfId="41245" xr:uid="{BD2C9EF8-CE1E-4896-BD18-B0214F66F4BD}"/>
    <cellStyle name="Output 3 3 8 3" xfId="41246" xr:uid="{68D8308B-5C7E-408D-9E02-8B42F9EEBA01}"/>
    <cellStyle name="Output 3 3 8 4" xfId="41247" xr:uid="{04210FD5-C0FE-4CD3-8856-9137E15FACC6}"/>
    <cellStyle name="Output 3 3 8 5" xfId="41248" xr:uid="{BBF5A030-1E88-484D-8FBF-2CB5464B55E6}"/>
    <cellStyle name="Output 3 3 8 6" xfId="41249" xr:uid="{AC405F6E-9E23-48C4-9F5A-EA08892623E8}"/>
    <cellStyle name="Output 3 3 8 7" xfId="41250" xr:uid="{9B77404E-F6D0-462C-85E7-973BECF78ECB}"/>
    <cellStyle name="Output 3 3 9" xfId="3029" xr:uid="{5F3C6EFB-A0AD-40FA-86A8-893F03F8472E}"/>
    <cellStyle name="Output 3 3 9 2" xfId="10652" xr:uid="{59C228F7-00D2-4B54-9F32-EBD4964EDF0F}"/>
    <cellStyle name="Output 3 3 9 2 2" xfId="41251" xr:uid="{5A03038F-0B90-40BE-A738-863FE46A67EF}"/>
    <cellStyle name="Output 3 3 9 2 3" xfId="41252" xr:uid="{BF770DA3-39C0-4749-A774-067D069DB91C}"/>
    <cellStyle name="Output 3 3 9 2 4" xfId="41253" xr:uid="{FE9AD4D2-DB08-4800-81DD-0BE945FF6DB2}"/>
    <cellStyle name="Output 3 3 9 2 5" xfId="41254" xr:uid="{D427BAAD-A26A-4E9D-8FCA-316D20FF75C5}"/>
    <cellStyle name="Output 3 3 9 2 6" xfId="41255" xr:uid="{73C9F4EA-391E-4944-A0C9-372EF48CCE96}"/>
    <cellStyle name="Output 3 3 9 3" xfId="41256" xr:uid="{4AC207B6-AF0E-43FD-B072-476D6DEB5655}"/>
    <cellStyle name="Output 3 3 9 4" xfId="41257" xr:uid="{A16C45A7-7020-49A0-958B-51B74A2861F5}"/>
    <cellStyle name="Output 3 3 9 5" xfId="41258" xr:uid="{AB560C12-AA7D-4693-8D92-FC97AF76D5A8}"/>
    <cellStyle name="Output 3 3 9 6" xfId="41259" xr:uid="{DE0A95FF-F7DF-44B1-A185-921D463D4EBF}"/>
    <cellStyle name="Output 3 3 9 7" xfId="41260" xr:uid="{7AD0CBD9-E2EA-4FC1-A139-9E42D215B575}"/>
    <cellStyle name="Output 3 30" xfId="9773" xr:uid="{0A638DCC-F53C-47D9-ABEA-D9B2472A36A5}"/>
    <cellStyle name="Output 3 30 2" xfId="41261" xr:uid="{A5837753-199C-4726-ACAF-070863778E2F}"/>
    <cellStyle name="Output 3 30 3" xfId="41262" xr:uid="{FCB6FDAC-FC70-4BEA-B1B4-0DF03358A855}"/>
    <cellStyle name="Output 3 30 4" xfId="41263" xr:uid="{46C6CF17-4122-47DC-9EB0-2F43F6F5229D}"/>
    <cellStyle name="Output 3 30 5" xfId="41264" xr:uid="{B16E42E3-28BD-479E-8EB0-77AF2D72EA99}"/>
    <cellStyle name="Output 3 30 6" xfId="41265" xr:uid="{4A62168E-9039-4909-A678-6DF74D2C75E2}"/>
    <cellStyle name="Output 3 31" xfId="44186" xr:uid="{F5151C1B-3E67-49CD-BB3F-11F1555D4C9B}"/>
    <cellStyle name="Output 3 4" xfId="3030" xr:uid="{66E33B45-F70B-4F15-A9BA-62F8A157AF59}"/>
    <cellStyle name="Output 3 4 2" xfId="9977" xr:uid="{2E52635C-45B4-4655-B13C-A7E7BFB0FF8D}"/>
    <cellStyle name="Output 3 4 2 2" xfId="41266" xr:uid="{2FA591B3-16CE-4EE6-BB3D-10144A412CB5}"/>
    <cellStyle name="Output 3 4 2 3" xfId="41267" xr:uid="{7885588A-8F16-43AF-82D9-B8527F06D2EB}"/>
    <cellStyle name="Output 3 4 2 4" xfId="41268" xr:uid="{2975B86E-85E1-423B-AEEE-790018DFBC81}"/>
    <cellStyle name="Output 3 4 2 5" xfId="41269" xr:uid="{B8CF93BA-1106-4D6B-B408-81672E3E7DE0}"/>
    <cellStyle name="Output 3 4 2 6" xfId="41270" xr:uid="{84279AD8-8706-4672-8564-0459A7D3DBAE}"/>
    <cellStyle name="Output 3 4 3" xfId="41271" xr:uid="{F9C9FEE2-556D-4D75-A840-D03F3AE94121}"/>
    <cellStyle name="Output 3 4 4" xfId="41272" xr:uid="{E658234E-3B41-442E-9692-1C0A36C5F770}"/>
    <cellStyle name="Output 3 4 5" xfId="41273" xr:uid="{5BFB2E80-A1B3-4AE8-8842-D501B728190E}"/>
    <cellStyle name="Output 3 4 6" xfId="41274" xr:uid="{5A4FFA58-E639-455A-BE40-4B2379883393}"/>
    <cellStyle name="Output 3 4 7" xfId="41275" xr:uid="{A440B323-35E3-4EBB-A375-8F89737ABB42}"/>
    <cellStyle name="Output 3 5" xfId="3031" xr:uid="{BE528C19-B5CE-4B70-93F5-9D78E42ED30C}"/>
    <cellStyle name="Output 3 5 2" xfId="9869" xr:uid="{2F77EEE5-5F87-4FED-B88E-45468037D597}"/>
    <cellStyle name="Output 3 5 2 2" xfId="41276" xr:uid="{B1472D28-04E1-46F0-8BB2-A3C512C69F73}"/>
    <cellStyle name="Output 3 5 2 3" xfId="41277" xr:uid="{42B04992-E243-46D7-BC35-8834A30C986C}"/>
    <cellStyle name="Output 3 5 2 4" xfId="41278" xr:uid="{1BE9BA5E-1852-4E0C-A704-C1F2BD0E1CE6}"/>
    <cellStyle name="Output 3 5 2 5" xfId="41279" xr:uid="{085FEA61-0D0C-4515-A558-8376B30E507D}"/>
    <cellStyle name="Output 3 5 2 6" xfId="41280" xr:uid="{8DEC9774-248F-4DA8-80B3-C2B004BE160D}"/>
    <cellStyle name="Output 3 5 3" xfId="41281" xr:uid="{1820941D-F67A-4C5C-9A3D-D7E027017950}"/>
    <cellStyle name="Output 3 5 4" xfId="41282" xr:uid="{691FF020-FFEF-4BC1-BB47-905FF1015B3F}"/>
    <cellStyle name="Output 3 5 5" xfId="41283" xr:uid="{C49E7A1B-27AA-4F2B-8602-5D024B699212}"/>
    <cellStyle name="Output 3 5 6" xfId="41284" xr:uid="{8C5B4B64-181A-4229-82B2-C487266A2294}"/>
    <cellStyle name="Output 3 5 7" xfId="41285" xr:uid="{031402AC-E301-492A-B379-721A4D699789}"/>
    <cellStyle name="Output 3 6" xfId="3032" xr:uid="{FDFAA012-FF34-47ED-AC26-6CE90087ECB0}"/>
    <cellStyle name="Output 3 6 2" xfId="9952" xr:uid="{A75EA63F-BBAE-46D5-83F3-E12F3941C46E}"/>
    <cellStyle name="Output 3 6 2 2" xfId="41286" xr:uid="{AB401F67-175B-4341-8B0F-2E823C0F1F12}"/>
    <cellStyle name="Output 3 6 2 3" xfId="41287" xr:uid="{8A06EAD9-1273-464B-842C-5270D6A31411}"/>
    <cellStyle name="Output 3 6 2 4" xfId="41288" xr:uid="{745361DF-3564-46F3-BED1-1252F3CE42F1}"/>
    <cellStyle name="Output 3 6 2 5" xfId="41289" xr:uid="{FBFD510B-6433-4E0B-824B-BBBCD507B7D7}"/>
    <cellStyle name="Output 3 6 2 6" xfId="41290" xr:uid="{D59418E6-DC0D-4D31-95F3-94435C3E3805}"/>
    <cellStyle name="Output 3 6 3" xfId="41291" xr:uid="{9EAA8F23-1CEF-4694-AAEA-8317CA3ADBA1}"/>
    <cellStyle name="Output 3 6 4" xfId="41292" xr:uid="{EB515FCE-05E9-4834-BCCE-FD00FA0E8871}"/>
    <cellStyle name="Output 3 6 5" xfId="41293" xr:uid="{9FA6F969-C375-47F8-B147-87802A78948C}"/>
    <cellStyle name="Output 3 6 6" xfId="41294" xr:uid="{340A4706-2338-4628-97C1-5A502795EAC8}"/>
    <cellStyle name="Output 3 6 7" xfId="41295" xr:uid="{1A0943BF-6A91-473E-BC13-CDA00DE4FEC6}"/>
    <cellStyle name="Output 3 7" xfId="3033" xr:uid="{EF488B5E-05D7-4E24-BDD2-427E7D4C2B35}"/>
    <cellStyle name="Output 3 7 2" xfId="9725" xr:uid="{0694E3D7-656D-4EA5-B03E-99C8B3F6431A}"/>
    <cellStyle name="Output 3 7 2 2" xfId="41296" xr:uid="{A7484CA2-58C4-4F67-9557-35DCE2D327F6}"/>
    <cellStyle name="Output 3 7 2 3" xfId="41297" xr:uid="{266AE850-8671-44E8-BE51-7544064F40A6}"/>
    <cellStyle name="Output 3 7 2 4" xfId="41298" xr:uid="{8EFCE1EA-B31B-40BA-946A-1A003425A1B9}"/>
    <cellStyle name="Output 3 7 2 5" xfId="41299" xr:uid="{B213D4F1-D68C-4CB0-A070-5E69A78DD69C}"/>
    <cellStyle name="Output 3 7 2 6" xfId="41300" xr:uid="{C198D502-3B4B-4405-8E8A-C60474F9E395}"/>
    <cellStyle name="Output 3 7 3" xfId="41301" xr:uid="{86770205-AC50-4B76-96AB-8DF5D0E5F3DC}"/>
    <cellStyle name="Output 3 7 4" xfId="41302" xr:uid="{FD9983DA-3CB0-44FB-97FF-D8CFBBD714FF}"/>
    <cellStyle name="Output 3 7 5" xfId="41303" xr:uid="{A7BD2CDD-4829-4EDB-9BD9-F5A0B27A3A14}"/>
    <cellStyle name="Output 3 7 6" xfId="41304" xr:uid="{B10F9C5B-70EF-4BB0-99E6-882C61AA0951}"/>
    <cellStyle name="Output 3 7 7" xfId="41305" xr:uid="{3D54314B-4568-43A0-A4BF-6FE07D001099}"/>
    <cellStyle name="Output 3 8" xfId="3034" xr:uid="{26A85EBF-7CBC-4470-81EF-BD37107B288C}"/>
    <cellStyle name="Output 3 8 2" xfId="9911" xr:uid="{AF290387-6535-454C-9BFB-6D56FCFFC8FF}"/>
    <cellStyle name="Output 3 8 2 2" xfId="41306" xr:uid="{5C958E65-A1CE-48EF-B3A9-7CC74AA1D130}"/>
    <cellStyle name="Output 3 8 2 3" xfId="41307" xr:uid="{FD612FE4-60D8-43C2-9548-03766C398ED3}"/>
    <cellStyle name="Output 3 8 2 4" xfId="41308" xr:uid="{3D653890-BA97-4521-BF10-787AE8BEBD29}"/>
    <cellStyle name="Output 3 8 2 5" xfId="41309" xr:uid="{9E66AC5A-489C-4E2C-B696-0CF299CCD1FF}"/>
    <cellStyle name="Output 3 8 2 6" xfId="41310" xr:uid="{B78A711C-EA2F-4822-910F-5E4E8F2115EF}"/>
    <cellStyle name="Output 3 8 3" xfId="41311" xr:uid="{CBCEF60A-FB3D-4C2F-B3FB-338FAE1FBFD5}"/>
    <cellStyle name="Output 3 8 4" xfId="41312" xr:uid="{F25D1047-9B29-4431-94EA-C976B490852C}"/>
    <cellStyle name="Output 3 8 5" xfId="41313" xr:uid="{86C7BB29-B67D-46EB-A571-9DDFD92146C1}"/>
    <cellStyle name="Output 3 8 6" xfId="41314" xr:uid="{95268CCA-5FAF-422C-B6EA-CE4EDD26C9D3}"/>
    <cellStyle name="Output 3 8 7" xfId="41315" xr:uid="{C7F2F4F8-8E95-43CD-8CE0-482B2F253D0B}"/>
    <cellStyle name="Output 3 9" xfId="3035" xr:uid="{00626745-73F3-45B6-B380-2EA311EB4E4A}"/>
    <cellStyle name="Output 3 9 2" xfId="10205" xr:uid="{2E071505-9D94-4533-99AB-AAC424886A94}"/>
    <cellStyle name="Output 3 9 2 2" xfId="41316" xr:uid="{F056BEEE-172B-4C49-9025-080DC4591995}"/>
    <cellStyle name="Output 3 9 2 3" xfId="41317" xr:uid="{D3FED053-DD31-4A94-AF51-A68A9F18DE86}"/>
    <cellStyle name="Output 3 9 2 4" xfId="41318" xr:uid="{A41E9EC3-2712-4C67-B61C-09507500C9E4}"/>
    <cellStyle name="Output 3 9 2 5" xfId="41319" xr:uid="{1DFA5067-54F8-41D8-823D-C40A82E4F7A0}"/>
    <cellStyle name="Output 3 9 2 6" xfId="41320" xr:uid="{8DFB019C-5F93-486B-8589-2350C0228025}"/>
    <cellStyle name="Output 3 9 3" xfId="41321" xr:uid="{177867B5-9B0C-4874-B838-01880B6EDA5E}"/>
    <cellStyle name="Output 3 9 4" xfId="41322" xr:uid="{B1120F0C-F129-444A-9576-52E7DC89B401}"/>
    <cellStyle name="Output 3 9 5" xfId="41323" xr:uid="{A7286C06-DDAC-44A6-AA92-E2304C249600}"/>
    <cellStyle name="Output 3 9 6" xfId="41324" xr:uid="{FD617A51-B594-40C9-80AC-9A45794E1F9C}"/>
    <cellStyle name="Output 3 9 7" xfId="41325" xr:uid="{1741093B-440C-4866-89E8-6A8B42EEC5C8}"/>
    <cellStyle name="Output 4" xfId="8924" xr:uid="{873E337B-78B1-4EB7-AE8F-3460EB6B7DCA}"/>
    <cellStyle name="Output 5" xfId="44208" xr:uid="{0287D5E2-6EB1-49DB-9649-E194E16BB3B3}"/>
    <cellStyle name="Percent" xfId="1" builtinId="5"/>
    <cellStyle name="Percent [2]" xfId="3036" xr:uid="{2D5AC723-0FAB-4A30-AFF2-CB33CF752293}"/>
    <cellStyle name="Percent 10" xfId="9704" xr:uid="{74A145A5-76C7-4577-BFEB-EC18D0593F9E}"/>
    <cellStyle name="Percent 11" xfId="41326" xr:uid="{D777B5DD-AAEB-4F6C-ACE6-86C05DF46E2D}"/>
    <cellStyle name="Percent 12" xfId="41327" xr:uid="{81301192-1CE5-4A25-876A-695E7FB5C0B1}"/>
    <cellStyle name="Percent 13" xfId="41328" xr:uid="{A9DE8180-8710-4FAF-8B7E-CA2CE795E95A}"/>
    <cellStyle name="Percent 14" xfId="41329" xr:uid="{40E86430-CB50-4ECB-9BB1-F54664F64CF1}"/>
    <cellStyle name="Percent 15" xfId="41330" xr:uid="{A9CDE307-3B02-4CF7-8292-674D357D5E18}"/>
    <cellStyle name="Percent 16" xfId="41331" xr:uid="{1D8BE536-7AE7-4A3B-A935-E3D3784833FA}"/>
    <cellStyle name="Percent 17" xfId="44253" xr:uid="{55AC1FED-AE29-4768-9700-9E9958789AD6}"/>
    <cellStyle name="Percent 17 2" xfId="44741" xr:uid="{5A3F5C9A-3F8E-4AE0-87A9-7F1D1C158C86}"/>
    <cellStyle name="Percent 18" xfId="44265" xr:uid="{DB2B1AA2-D8D8-4679-B231-CB3C7D239E49}"/>
    <cellStyle name="Percent 18 2" xfId="44778" xr:uid="{3498287A-45CE-4F6E-B5B0-E1AC3E19FD70}"/>
    <cellStyle name="Percent 19" xfId="44266" xr:uid="{ADBAA3C9-77B8-4EC6-AC30-16B295EE3E84}"/>
    <cellStyle name="Percent 2" xfId="14" xr:uid="{52C99685-3D89-4624-B378-837CFA62307E}"/>
    <cellStyle name="Percent 2 10" xfId="8925" xr:uid="{03335BF6-4118-40E1-A163-4FAAAAEA3FEE}"/>
    <cellStyle name="Percent 2 10 10" xfId="8926" xr:uid="{A26A9FC8-4BA6-45B2-9E61-9254D2E731D8}"/>
    <cellStyle name="Percent 2 10 2" xfId="8927" xr:uid="{EBA75DA0-C43D-47C0-BF1D-A1270B59853C}"/>
    <cellStyle name="Percent 2 10 2 2" xfId="8928" xr:uid="{B284EE13-0D94-489E-9C1B-812BFC0BB3FD}"/>
    <cellStyle name="Percent 2 10 2 2 2" xfId="8929" xr:uid="{57DA9124-872D-41F9-B720-85BB013CC138}"/>
    <cellStyle name="Percent 2 10 2 2 2 2" xfId="8930" xr:uid="{D3B4501C-F199-452D-A732-4E535AD6AA7D}"/>
    <cellStyle name="Percent 2 10 2 2 3" xfId="8931" xr:uid="{F74D3CAD-43D7-4834-8545-B177A1FF1FB7}"/>
    <cellStyle name="Percent 2 10 2 2 4" xfId="8932" xr:uid="{2F28D18A-CB00-4588-AB66-EF2E4CE706C5}"/>
    <cellStyle name="Percent 2 10 2 3" xfId="8933" xr:uid="{CFB22591-22AC-4721-8D1F-35207D284F31}"/>
    <cellStyle name="Percent 2 10 2 3 2" xfId="8934" xr:uid="{89901FF7-CB70-4D60-8774-4A96517B1470}"/>
    <cellStyle name="Percent 2 10 2 4" xfId="8935" xr:uid="{D7FDC8F0-71B4-4417-A522-A5FC09E20E9B}"/>
    <cellStyle name="Percent 2 10 2 5" xfId="8936" xr:uid="{523A5998-4B03-4134-9D1D-A6044940256F}"/>
    <cellStyle name="Percent 2 10 3" xfId="8937" xr:uid="{E28517BB-3294-4327-B182-03F5243F02B9}"/>
    <cellStyle name="Percent 2 10 4" xfId="8938" xr:uid="{B2DF09AD-4135-49E8-AFA8-675575633EC7}"/>
    <cellStyle name="Percent 2 10 5" xfId="8939" xr:uid="{D0AF7FE8-F8CD-4AE4-AD86-5D75715CD54C}"/>
    <cellStyle name="Percent 2 10 6" xfId="8940" xr:uid="{73D91DD8-B5AE-4599-8F34-7EF8B28FB0E7}"/>
    <cellStyle name="Percent 2 10 6 2" xfId="8941" xr:uid="{6B29E4D1-7408-4DBE-BF81-BB196CD0EE59}"/>
    <cellStyle name="Percent 2 10 6 2 2" xfId="8942" xr:uid="{3548FC2F-15E7-4530-992F-7020CA7EE830}"/>
    <cellStyle name="Percent 2 10 6 3" xfId="8943" xr:uid="{7D54776F-4124-43E4-A364-B3A848D351CD}"/>
    <cellStyle name="Percent 2 10 7" xfId="8944" xr:uid="{EFF0CFA6-7DD5-4C21-BBEA-F03D543B38A2}"/>
    <cellStyle name="Percent 2 10 7 2" xfId="8945" xr:uid="{D3A87DEC-CF2E-4769-86CC-CF3DC1CFA780}"/>
    <cellStyle name="Percent 2 10 7 2 2" xfId="8946" xr:uid="{84066982-C815-489E-9E18-9775AC296C16}"/>
    <cellStyle name="Percent 2 10 7 3" xfId="8947" xr:uid="{813999B0-B410-438F-B7BD-4307AA4378E0}"/>
    <cellStyle name="Percent 2 10 8" xfId="8948" xr:uid="{D2CAA651-8288-47C4-9E99-7A5D35EE7D75}"/>
    <cellStyle name="Percent 2 10 8 2" xfId="8949" xr:uid="{EF454D64-6ADD-404B-B065-0021837ECBF2}"/>
    <cellStyle name="Percent 2 10 9" xfId="8950" xr:uid="{AB1C3191-2BFE-4B44-A23C-D77979ABB98E}"/>
    <cellStyle name="Percent 2 11" xfId="8951" xr:uid="{37960359-618F-4607-9F66-C8A1079CEEB4}"/>
    <cellStyle name="Percent 2 11 10" xfId="8952" xr:uid="{B00B6F57-AD7E-4100-976E-78FDA0679D9E}"/>
    <cellStyle name="Percent 2 11 2" xfId="8953" xr:uid="{6E47C4B3-5DBE-4FAC-9CFC-03D307B6EB15}"/>
    <cellStyle name="Percent 2 11 2 2" xfId="8954" xr:uid="{2B903CCB-5BEA-4DB2-BA19-31CFE4F15B2F}"/>
    <cellStyle name="Percent 2 11 2 2 2" xfId="8955" xr:uid="{761029E7-377B-4423-8FBF-5CFC05C008D7}"/>
    <cellStyle name="Percent 2 11 2 2 2 2" xfId="8956" xr:uid="{8FA4C1BA-7DB4-4367-BF2D-2C711C3C4116}"/>
    <cellStyle name="Percent 2 11 2 2 3" xfId="8957" xr:uid="{67D7B9F7-E216-4CE5-9CC2-D19C76BE64F3}"/>
    <cellStyle name="Percent 2 11 2 2 4" xfId="8958" xr:uid="{1360B293-8F1C-4220-AAAB-EAB4B295DB6E}"/>
    <cellStyle name="Percent 2 11 2 3" xfId="8959" xr:uid="{8458B179-31FB-42DB-87A4-4628E8DF12BF}"/>
    <cellStyle name="Percent 2 11 2 3 2" xfId="8960" xr:uid="{8E23C82E-A479-438E-BD0E-9B08A5A221BC}"/>
    <cellStyle name="Percent 2 11 2 4" xfId="8961" xr:uid="{E68C96E3-557F-43D3-95FD-A17F5EFBD080}"/>
    <cellStyle name="Percent 2 11 2 5" xfId="8962" xr:uid="{E2B6EB03-4871-4DEA-86B6-E4845A78E631}"/>
    <cellStyle name="Percent 2 11 3" xfId="8963" xr:uid="{D2DA1DE9-988F-4DB0-A1D1-973EEF4606D2}"/>
    <cellStyle name="Percent 2 11 4" xfId="8964" xr:uid="{D7C64E91-FA2B-44F8-BCE1-EB4A3AFF8C3E}"/>
    <cellStyle name="Percent 2 11 5" xfId="8965" xr:uid="{2117200C-3BF6-42E6-9CC0-C14FCF222CF4}"/>
    <cellStyle name="Percent 2 11 6" xfId="8966" xr:uid="{5AF976F0-2910-4894-996F-7FFB05C5A4A4}"/>
    <cellStyle name="Percent 2 11 6 2" xfId="8967" xr:uid="{BF9B1E54-70AD-498E-9A67-4EA6CB8286E9}"/>
    <cellStyle name="Percent 2 11 6 2 2" xfId="8968" xr:uid="{7F741551-FA98-4BB6-AA2B-C6FB5EFFC8AC}"/>
    <cellStyle name="Percent 2 11 6 3" xfId="8969" xr:uid="{0D81DD2C-8B5B-44E1-B0E9-5ADFCD150B15}"/>
    <cellStyle name="Percent 2 11 7" xfId="8970" xr:uid="{FBDB18F5-5F83-4CFA-838B-A70C7F7F1DF1}"/>
    <cellStyle name="Percent 2 11 7 2" xfId="8971" xr:uid="{1433687B-1FA0-48AF-A0FE-B7E3B080262B}"/>
    <cellStyle name="Percent 2 11 7 2 2" xfId="8972" xr:uid="{0A16BDFB-6AD7-4D7B-AA81-B2FD2AE94BD3}"/>
    <cellStyle name="Percent 2 11 7 3" xfId="8973" xr:uid="{496F16FC-D149-4CCC-B413-F305C39571AC}"/>
    <cellStyle name="Percent 2 11 8" xfId="8974" xr:uid="{8CDE8E65-BC6E-4221-98EF-29100BC2EF09}"/>
    <cellStyle name="Percent 2 11 8 2" xfId="8975" xr:uid="{19D45B35-D372-439E-83CA-CF4054AAAADB}"/>
    <cellStyle name="Percent 2 11 9" xfId="8976" xr:uid="{3295916C-A87C-4B91-A13A-5F259C400DE6}"/>
    <cellStyle name="Percent 2 12" xfId="8977" xr:uid="{A083099D-EBC7-4C23-AAEC-3E6B29D526A2}"/>
    <cellStyle name="Percent 2 12 10" xfId="8978" xr:uid="{53E18AD2-4973-4A68-8CA0-C90D248DEF63}"/>
    <cellStyle name="Percent 2 12 2" xfId="8979" xr:uid="{1A89C0FA-6E74-4E9D-984E-08EF1F943780}"/>
    <cellStyle name="Percent 2 12 2 2" xfId="8980" xr:uid="{A4E09684-28B9-46FB-A2D0-699FE96C3F0B}"/>
    <cellStyle name="Percent 2 12 2 2 2" xfId="8981" xr:uid="{0DCBAA89-3266-427C-827D-2283DEAFA89C}"/>
    <cellStyle name="Percent 2 12 2 2 2 2" xfId="8982" xr:uid="{921DDB23-393E-40E2-BB32-6001796CCFD3}"/>
    <cellStyle name="Percent 2 12 2 2 3" xfId="8983" xr:uid="{07DBF30B-E594-4F04-82C0-30B59177C61F}"/>
    <cellStyle name="Percent 2 12 2 2 4" xfId="8984" xr:uid="{A74A28B4-7948-4438-A411-80DC4A132745}"/>
    <cellStyle name="Percent 2 12 2 3" xfId="8985" xr:uid="{48DB6029-87E6-45C3-B783-B2B869D7FE55}"/>
    <cellStyle name="Percent 2 12 2 3 2" xfId="8986" xr:uid="{E885952B-7E5F-4C11-9D4C-9F9F093E0650}"/>
    <cellStyle name="Percent 2 12 2 4" xfId="8987" xr:uid="{5811CF86-97A6-4843-B297-2F8708077FEC}"/>
    <cellStyle name="Percent 2 12 2 5" xfId="8988" xr:uid="{013F6A0B-D9E5-42A8-9EAF-86DCABBDA37C}"/>
    <cellStyle name="Percent 2 12 3" xfId="8989" xr:uid="{AA4B08D9-D766-4F2E-8F61-D4D8A99AC4AF}"/>
    <cellStyle name="Percent 2 12 4" xfId="8990" xr:uid="{E5C8DD37-A538-45E5-8269-961FA7F70914}"/>
    <cellStyle name="Percent 2 12 5" xfId="8991" xr:uid="{AF96E4A4-F45D-4AB8-8AB7-C31650550F5F}"/>
    <cellStyle name="Percent 2 12 6" xfId="8992" xr:uid="{4011C3A7-29F9-4955-A320-0684F6F05A1B}"/>
    <cellStyle name="Percent 2 12 6 2" xfId="8993" xr:uid="{7135D5EE-CB3A-430B-B497-4CF839E547FF}"/>
    <cellStyle name="Percent 2 12 6 2 2" xfId="8994" xr:uid="{BB1E4833-E80E-4090-A6E3-F31390648CBF}"/>
    <cellStyle name="Percent 2 12 6 3" xfId="8995" xr:uid="{7987B5D5-D024-400A-8E38-905683FE3750}"/>
    <cellStyle name="Percent 2 12 7" xfId="8996" xr:uid="{10C4D9AF-23EC-4C19-9583-57CDE3B4D3B0}"/>
    <cellStyle name="Percent 2 12 7 2" xfId="8997" xr:uid="{D3158DD7-F0AC-4D98-A6F4-7D289914E5BA}"/>
    <cellStyle name="Percent 2 12 7 2 2" xfId="8998" xr:uid="{941F5E7B-3051-4306-87E8-E258138B36BE}"/>
    <cellStyle name="Percent 2 12 7 3" xfId="8999" xr:uid="{3D6A91AA-B75A-4A7C-8DDA-810DA467D1AD}"/>
    <cellStyle name="Percent 2 12 8" xfId="9000" xr:uid="{683540FF-8014-44DA-92AB-7D86586D20A3}"/>
    <cellStyle name="Percent 2 12 8 2" xfId="9001" xr:uid="{6F2A50A5-E7F5-45A4-A713-B6C9017CE7D1}"/>
    <cellStyle name="Percent 2 12 9" xfId="9002" xr:uid="{417EAFEC-F74F-4FCE-962B-3BBADE339F70}"/>
    <cellStyle name="Percent 2 13" xfId="9003" xr:uid="{2794F1CF-621F-474A-A8E3-E8D13E85443A}"/>
    <cellStyle name="Percent 2 13 10" xfId="9004" xr:uid="{1F89A690-EBE3-4515-A4E9-8C7497E9BAA0}"/>
    <cellStyle name="Percent 2 13 2" xfId="9005" xr:uid="{9DBB878A-8CB9-44AC-BF13-380EDFEBCB0E}"/>
    <cellStyle name="Percent 2 13 2 2" xfId="9006" xr:uid="{32413C4A-B386-4710-BF13-EB6369E23482}"/>
    <cellStyle name="Percent 2 13 2 2 2" xfId="9007" xr:uid="{DD2849DA-C121-4F33-A8E9-085E024D58F8}"/>
    <cellStyle name="Percent 2 13 2 2 2 2" xfId="9008" xr:uid="{33496343-6520-4F60-A4E7-C2F037A9C479}"/>
    <cellStyle name="Percent 2 13 2 2 3" xfId="9009" xr:uid="{FF1F2447-FCD8-4BDA-837F-401C18A62EC8}"/>
    <cellStyle name="Percent 2 13 2 2 4" xfId="9010" xr:uid="{2B78A79B-0E79-4AC3-B384-8E40DC8E207B}"/>
    <cellStyle name="Percent 2 13 2 3" xfId="9011" xr:uid="{C2B2CE80-CD4C-45A0-BBC0-A83EB221BE50}"/>
    <cellStyle name="Percent 2 13 2 3 2" xfId="9012" xr:uid="{54F40876-01D6-4DC2-B4C7-7B6CF9C50165}"/>
    <cellStyle name="Percent 2 13 2 4" xfId="9013" xr:uid="{D2228FFC-8292-4243-A555-E199EAF4F880}"/>
    <cellStyle name="Percent 2 13 2 5" xfId="9014" xr:uid="{ECAC7920-811A-41ED-B585-9CE05F01F43D}"/>
    <cellStyle name="Percent 2 13 3" xfId="9015" xr:uid="{3EBE1090-B1CD-4A45-8720-2C844A807884}"/>
    <cellStyle name="Percent 2 13 4" xfId="9016" xr:uid="{C71FF904-C44B-4CA5-90C9-5BF5D37F2516}"/>
    <cellStyle name="Percent 2 13 5" xfId="9017" xr:uid="{BB820E66-C6A9-401D-85EE-B2BB67842E8F}"/>
    <cellStyle name="Percent 2 13 6" xfId="9018" xr:uid="{29F074AD-A2BD-4A9B-9EC0-865DBE1305A8}"/>
    <cellStyle name="Percent 2 13 6 2" xfId="9019" xr:uid="{F4676FBF-3152-44B9-8246-4647646D765F}"/>
    <cellStyle name="Percent 2 13 6 2 2" xfId="9020" xr:uid="{A523E5ED-5BA7-4A1A-BCF7-106B6946A841}"/>
    <cellStyle name="Percent 2 13 6 3" xfId="9021" xr:uid="{F4E328D5-4BF3-4914-83C3-516C58588C7B}"/>
    <cellStyle name="Percent 2 13 7" xfId="9022" xr:uid="{AE77879A-9E7F-431C-B5BD-F681E1DFE950}"/>
    <cellStyle name="Percent 2 13 7 2" xfId="9023" xr:uid="{45142ED6-FC3F-48B4-A3E3-86BE36DF847D}"/>
    <cellStyle name="Percent 2 13 7 2 2" xfId="9024" xr:uid="{C43CFB3D-FAC1-4387-AB5F-39F2137A408C}"/>
    <cellStyle name="Percent 2 13 7 3" xfId="9025" xr:uid="{54F5B026-EE83-4740-A43D-A82172769B45}"/>
    <cellStyle name="Percent 2 13 8" xfId="9026" xr:uid="{BA0120C5-BF2F-4678-B5E9-7A93048922FA}"/>
    <cellStyle name="Percent 2 13 8 2" xfId="9027" xr:uid="{DB2B5093-E38E-4B55-AA34-B34A85A44854}"/>
    <cellStyle name="Percent 2 13 9" xfId="9028" xr:uid="{CFA2BBE7-795B-4485-B22D-DED41F7C7012}"/>
    <cellStyle name="Percent 2 14" xfId="9029" xr:uid="{762132A3-D0AB-4649-B421-10CF8B2C1F9F}"/>
    <cellStyle name="Percent 2 14 10" xfId="9030" xr:uid="{AC3ABA6F-AE13-4D3F-83B7-DAF0C58789EA}"/>
    <cellStyle name="Percent 2 14 2" xfId="9031" xr:uid="{7DE60EB1-2330-4E7B-98C5-A16B6294F64F}"/>
    <cellStyle name="Percent 2 14 2 2" xfId="9032" xr:uid="{6A41ABAF-5039-4DF6-91FE-5F5B651A1615}"/>
    <cellStyle name="Percent 2 14 2 2 2" xfId="9033" xr:uid="{963715B7-7823-4ED4-A663-D43D1C72B921}"/>
    <cellStyle name="Percent 2 14 2 2 2 2" xfId="9034" xr:uid="{4078AF7F-A089-43CA-AFF4-A732C71C0EFB}"/>
    <cellStyle name="Percent 2 14 2 2 3" xfId="9035" xr:uid="{44CBD160-C571-46C2-83C9-3EECBA855438}"/>
    <cellStyle name="Percent 2 14 2 2 4" xfId="9036" xr:uid="{02621F98-F6BD-4441-9BA6-E5B1D33A4495}"/>
    <cellStyle name="Percent 2 14 2 3" xfId="9037" xr:uid="{F55DA5D7-67BC-414A-9AB5-A477FAEA9D81}"/>
    <cellStyle name="Percent 2 14 2 3 2" xfId="9038" xr:uid="{1E2544A1-5CC0-46EF-AEB4-6CB3E3E377E8}"/>
    <cellStyle name="Percent 2 14 2 4" xfId="9039" xr:uid="{535CFAFA-3B43-4532-83C8-EE013CE3B306}"/>
    <cellStyle name="Percent 2 14 2 5" xfId="9040" xr:uid="{AEC27626-4153-42A5-AC08-BE4C8F604CC3}"/>
    <cellStyle name="Percent 2 14 3" xfId="9041" xr:uid="{103E6145-C267-4A95-927A-EE87BA368167}"/>
    <cellStyle name="Percent 2 14 4" xfId="9042" xr:uid="{A8BB9E29-E98C-4949-911A-ADFE8A096FE7}"/>
    <cellStyle name="Percent 2 14 5" xfId="9043" xr:uid="{E91C37C7-4A73-41AD-98A8-B25F9C95F40E}"/>
    <cellStyle name="Percent 2 14 6" xfId="9044" xr:uid="{A0F80B5B-59B5-4A46-986C-09062FF21D9C}"/>
    <cellStyle name="Percent 2 14 6 2" xfId="9045" xr:uid="{B086795E-2320-4F7A-AB4C-22CFDE933CE2}"/>
    <cellStyle name="Percent 2 14 6 2 2" xfId="9046" xr:uid="{9F80EE53-E6ED-46DB-B367-A2D5818403BB}"/>
    <cellStyle name="Percent 2 14 6 3" xfId="9047" xr:uid="{D8B8C47D-3311-4BEC-84BD-EED532314232}"/>
    <cellStyle name="Percent 2 14 7" xfId="9048" xr:uid="{66761CF1-E573-4B3E-AA1B-8AB4963DA3ED}"/>
    <cellStyle name="Percent 2 14 7 2" xfId="9049" xr:uid="{BF25744F-AD89-4550-BE6A-8AC463EE12A5}"/>
    <cellStyle name="Percent 2 14 7 2 2" xfId="9050" xr:uid="{07477D5D-7539-47C6-9B8A-49D9BCEC5890}"/>
    <cellStyle name="Percent 2 14 7 3" xfId="9051" xr:uid="{0D9166A7-871B-4287-B3FB-946BAB412BC2}"/>
    <cellStyle name="Percent 2 14 8" xfId="9052" xr:uid="{6DE4D5B4-2EFD-44CE-8E67-32CAB8C61B07}"/>
    <cellStyle name="Percent 2 14 8 2" xfId="9053" xr:uid="{EE09C5E9-4780-43DA-9317-B163449832AC}"/>
    <cellStyle name="Percent 2 14 9" xfId="9054" xr:uid="{3216E703-4788-4F9F-9999-48FDDDC58670}"/>
    <cellStyle name="Percent 2 15" xfId="9055" xr:uid="{7300BD02-82F2-4E11-8A2B-67CDC6B2161B}"/>
    <cellStyle name="Percent 2 15 2" xfId="9056" xr:uid="{9E42A667-7041-472C-837F-FA677CED6717}"/>
    <cellStyle name="Percent 2 15 2 2" xfId="9057" xr:uid="{584F4279-6379-481B-80BC-A8225A01005B}"/>
    <cellStyle name="Percent 2 15 2 2 2" xfId="9058" xr:uid="{BC350D51-6302-4394-A44A-90B4A5467BE2}"/>
    <cellStyle name="Percent 2 15 2 2 2 2" xfId="9059" xr:uid="{57F63020-66AC-411C-957F-60EFDC081B0C}"/>
    <cellStyle name="Percent 2 15 2 2 3" xfId="9060" xr:uid="{6CA40AB5-CE97-4928-91BD-CDAC098B8324}"/>
    <cellStyle name="Percent 2 15 2 2 4" xfId="9061" xr:uid="{61B2B3C5-54D0-4597-946D-2B5C3B57CA58}"/>
    <cellStyle name="Percent 2 15 2 3" xfId="9062" xr:uid="{2BB122D0-EC07-49CB-AE3C-2B3DCAFC7C89}"/>
    <cellStyle name="Percent 2 15 2 3 2" xfId="9063" xr:uid="{24BC0A14-2714-45B1-8AEE-F1D293233BBA}"/>
    <cellStyle name="Percent 2 15 2 4" xfId="9064" xr:uid="{944AD16B-43E7-4CDE-8D01-BDDA7917C647}"/>
    <cellStyle name="Percent 2 15 2 5" xfId="9065" xr:uid="{02EBFFF5-6E48-4C88-BE3F-F1FCFD7D68DF}"/>
    <cellStyle name="Percent 2 15 3" xfId="9066" xr:uid="{AB585586-B825-44F7-AB60-3C855E088D65}"/>
    <cellStyle name="Percent 2 15 4" xfId="9067" xr:uid="{20D664AA-A0BA-4280-BA66-AC2DDE55BFA6}"/>
    <cellStyle name="Percent 2 15 5" xfId="9068" xr:uid="{C393C2F7-BAF3-416B-8C07-3DB9F5163289}"/>
    <cellStyle name="Percent 2 15 5 2" xfId="9069" xr:uid="{F7392967-CC42-4C45-B041-F0E368D2EFE5}"/>
    <cellStyle name="Percent 2 15 6" xfId="9070" xr:uid="{A5ECF86E-B2E6-4646-9594-25D87E2FEA74}"/>
    <cellStyle name="Percent 2 15 7" xfId="9071" xr:uid="{DCB34DAB-BB5B-40FD-B8B7-023364619E21}"/>
    <cellStyle name="Percent 2 16" xfId="9072" xr:uid="{B7CADF7D-0D1D-48F8-9C21-39754E40746F}"/>
    <cellStyle name="Percent 2 16 2" xfId="9073" xr:uid="{647A71BB-006A-4557-92FB-676137D6E2EC}"/>
    <cellStyle name="Percent 2 16 3" xfId="9074" xr:uid="{27DD1C01-82D5-4501-820F-8B232AEF82F0}"/>
    <cellStyle name="Percent 2 16 3 2" xfId="9075" xr:uid="{935CC244-2A09-4EB3-9002-9AFC0FB4BA46}"/>
    <cellStyle name="Percent 2 16 4" xfId="9076" xr:uid="{6DD53741-4D54-4308-8EBF-DB8007665FB8}"/>
    <cellStyle name="Percent 2 16 5" xfId="9077" xr:uid="{2C86E8D1-C2BC-456C-AC0F-682E71B20295}"/>
    <cellStyle name="Percent 2 17" xfId="9078" xr:uid="{F0277FB2-5B43-41F3-A0A8-CCAFCA6A0960}"/>
    <cellStyle name="Percent 2 18" xfId="9079" xr:uid="{3960F659-6AFB-4DD9-998A-403C5E78ABB9}"/>
    <cellStyle name="Percent 2 18 2" xfId="9080" xr:uid="{07D906EB-A712-4C08-B6C4-CA9B00A4B015}"/>
    <cellStyle name="Percent 2 18 2 2" xfId="9081" xr:uid="{26195B4D-8ADE-4312-887A-D22F9775D59C}"/>
    <cellStyle name="Percent 2 18 2 2 2" xfId="9082" xr:uid="{3A14B1E3-5940-4483-A876-EA837406955C}"/>
    <cellStyle name="Percent 2 18 2 3" xfId="9083" xr:uid="{7D683268-71BF-4CA2-9BCA-A72A014A5E41}"/>
    <cellStyle name="Percent 2 18 2 4" xfId="9084" xr:uid="{A1E39742-60D8-4E64-9DD5-FBA77C9648D8}"/>
    <cellStyle name="Percent 2 18 3" xfId="9085" xr:uid="{231EA778-4674-414B-AA9C-927BCED8E4C2}"/>
    <cellStyle name="Percent 2 18 3 2" xfId="9086" xr:uid="{B4C86D9F-866A-47F3-BB6F-69F10825FD58}"/>
    <cellStyle name="Percent 2 18 4" xfId="9087" xr:uid="{FB0B51CF-5C3C-4256-87F5-A617A6B269D7}"/>
    <cellStyle name="Percent 2 18 5" xfId="9088" xr:uid="{DFE2B8F3-F164-45B9-94A4-02625C8517D1}"/>
    <cellStyle name="Percent 2 19" xfId="9089" xr:uid="{2A2E14F1-999C-4E11-9A50-F74ACE1E7C46}"/>
    <cellStyle name="Percent 2 2" xfId="17" xr:uid="{34F33CAF-6A52-4BDC-AAB2-274064BA095F}"/>
    <cellStyle name="Percent 2 2 2" xfId="9090" xr:uid="{781206DF-60B9-47C1-94C1-60751EDA1407}"/>
    <cellStyle name="Percent 2 2 3" xfId="44187" xr:uid="{ADE87203-77C3-4D70-BDA0-D868A4C08087}"/>
    <cellStyle name="Percent 2 2 4" xfId="44754" xr:uid="{DA41AF86-289A-4A75-AAF1-674FF3B5FC95}"/>
    <cellStyle name="Percent 2 2 5" xfId="3037" xr:uid="{9A3C3BD6-9FE8-4D02-9FF7-7EE199F719AD}"/>
    <cellStyle name="Percent 2 20" xfId="9091" xr:uid="{7A26087B-D1EE-4C04-A949-AEF16333E02B}"/>
    <cellStyle name="Percent 2 21" xfId="9092" xr:uid="{842CFAB4-BA45-4D1C-9BDF-26F603832B1B}"/>
    <cellStyle name="Percent 2 21 2" xfId="9093" xr:uid="{6EDFD189-7AAF-436A-BC50-092A98D40BDE}"/>
    <cellStyle name="Percent 2 21 2 2" xfId="9094" xr:uid="{310E5979-CDED-4BA1-97EE-20001F8BDA32}"/>
    <cellStyle name="Percent 2 21 3" xfId="9095" xr:uid="{72FD1DFB-F923-4B53-8F9C-ADBE1CA576AC}"/>
    <cellStyle name="Percent 2 22" xfId="9096" xr:uid="{F76BD98C-6EA0-4C9A-92A8-002507ABACF2}"/>
    <cellStyle name="Percent 2 22 2" xfId="9097" xr:uid="{1E637A1B-EBD2-45C2-96AF-9E98293701B1}"/>
    <cellStyle name="Percent 2 22 2 2" xfId="9098" xr:uid="{18158269-BAA6-4A3A-B24C-BE7F7902EA23}"/>
    <cellStyle name="Percent 2 22 3" xfId="9099" xr:uid="{E2ED25CD-F4C2-4C7A-9383-714D8BBE3D3C}"/>
    <cellStyle name="Percent 2 23" xfId="9100" xr:uid="{468E69DC-D335-4146-86AF-DE1DCEC90FD9}"/>
    <cellStyle name="Percent 2 23 2" xfId="9101" xr:uid="{D1BF79ED-D05A-475A-8747-A3ADD50D7605}"/>
    <cellStyle name="Percent 2 24" xfId="9102" xr:uid="{D6CB7C15-64C9-4094-880A-C3AEF4CA929E}"/>
    <cellStyle name="Percent 2 25" xfId="9103" xr:uid="{C0D9AAAC-FBCD-4345-AEEE-D4E4F2AEEDBD}"/>
    <cellStyle name="Percent 2 26" xfId="9104" xr:uid="{3A2646A8-DA0A-4B50-8E48-EF69F38370D8}"/>
    <cellStyle name="Percent 2 27" xfId="9105" xr:uid="{C345B69D-8573-4D2A-9619-CD0ACE739DAA}"/>
    <cellStyle name="Percent 2 28" xfId="44724" xr:uid="{68B1A657-8EF2-439B-BC7A-C3386E5D50A9}"/>
    <cellStyle name="Percent 2 29" xfId="44755" xr:uid="{3AA36880-4178-46F2-83C1-B7500C1E5DC5}"/>
    <cellStyle name="Percent 2 3" xfId="9106" xr:uid="{097E3170-C21B-4D36-A250-66417A56E091}"/>
    <cellStyle name="Percent 2 3 10" xfId="9107" xr:uid="{C73D9E43-3D49-4597-8C7F-3557440F738B}"/>
    <cellStyle name="Percent 2 3 10 2" xfId="9108" xr:uid="{811F5C17-A84A-408F-9680-DBCEF7CDE201}"/>
    <cellStyle name="Percent 2 3 11" xfId="9109" xr:uid="{852ECD59-9581-4A0E-A8C2-E5DFF4BFB630}"/>
    <cellStyle name="Percent 2 3 12" xfId="9110" xr:uid="{979C5367-5AF5-428E-8BE6-5E48E772E6C5}"/>
    <cellStyle name="Percent 2 3 13" xfId="9111" xr:uid="{0AC38E99-9C35-45BB-B630-6CD19A6E913C}"/>
    <cellStyle name="Percent 2 3 14" xfId="9112" xr:uid="{31E9987D-5513-4697-843E-525723473178}"/>
    <cellStyle name="Percent 2 3 15" xfId="9113" xr:uid="{81CF8DED-10F9-48DC-AB77-9CA527AF8400}"/>
    <cellStyle name="Percent 2 3 2" xfId="9114" xr:uid="{38D2DAFC-BD80-43F9-8B45-C41F59B93E20}"/>
    <cellStyle name="Percent 2 3 2 2" xfId="9115" xr:uid="{A207B8D9-230C-4678-84D0-CFDFEF955B38}"/>
    <cellStyle name="Percent 2 3 2 2 2" xfId="9116" xr:uid="{8E7942B3-57AD-493E-86BB-E0558F22E870}"/>
    <cellStyle name="Percent 2 3 2 2 2 2" xfId="9117" xr:uid="{048A9352-50AC-411E-A8D9-601C68439318}"/>
    <cellStyle name="Percent 2 3 2 2 2 2 2" xfId="9118" xr:uid="{6EC7977C-9826-4EBF-ACDE-875252AF6D96}"/>
    <cellStyle name="Percent 2 3 2 2 2 3" xfId="9119" xr:uid="{F01C2398-73D3-463C-8789-8BBDE0514E43}"/>
    <cellStyle name="Percent 2 3 2 2 2 4" xfId="9120" xr:uid="{56E03080-3F14-4438-A249-50136EB7BD87}"/>
    <cellStyle name="Percent 2 3 2 2 3" xfId="9121" xr:uid="{D13F2F34-A402-4DEC-A214-46C5F07A992F}"/>
    <cellStyle name="Percent 2 3 2 2 3 2" xfId="9122" xr:uid="{30E471E4-DDCB-48C5-8BF8-CF3DEFF734E4}"/>
    <cellStyle name="Percent 2 3 2 2 4" xfId="9123" xr:uid="{2C179C38-7B77-48C9-A238-45D3D2B703C0}"/>
    <cellStyle name="Percent 2 3 2 2 5" xfId="9124" xr:uid="{DEBC2401-34DA-4E6F-B257-25A9F57500C5}"/>
    <cellStyle name="Percent 2 3 2 3" xfId="9125" xr:uid="{5B4189D4-464A-4F97-8CAD-817B48494E0E}"/>
    <cellStyle name="Percent 2 3 3" xfId="9126" xr:uid="{2384FFFD-1155-49E9-AD5B-9BCE30B3B02F}"/>
    <cellStyle name="Percent 2 3 3 2" xfId="44619" xr:uid="{E28921C1-F5DC-4F1C-881E-07352C41B82C}"/>
    <cellStyle name="Percent 2 3 4" xfId="9127" xr:uid="{7F508292-61B5-42BE-B572-9F83D7563195}"/>
    <cellStyle name="Percent 2 3 4 2" xfId="44620" xr:uid="{8CCD7E74-5C19-4B75-B82E-25BBC419A30F}"/>
    <cellStyle name="Percent 2 3 5" xfId="9128" xr:uid="{B0D1261A-5F30-4DA6-B70F-EECC83B403F1}"/>
    <cellStyle name="Percent 2 3 5 2" xfId="9129" xr:uid="{9684CAA5-D523-42AB-988A-347D36821CC7}"/>
    <cellStyle name="Percent 2 3 5 2 2" xfId="9130" xr:uid="{BD202CBE-1153-4148-8C6C-1F33F7CE2044}"/>
    <cellStyle name="Percent 2 3 5 2 2 2" xfId="9131" xr:uid="{69FD8396-6B36-409E-992A-341A8CACE901}"/>
    <cellStyle name="Percent 2 3 5 2 3" xfId="9132" xr:uid="{443123F5-F9DE-4798-A2FA-F5844EA85A97}"/>
    <cellStyle name="Percent 2 3 5 2 4" xfId="9133" xr:uid="{FE0D9E20-C20D-4A9C-B4D4-32F92E010911}"/>
    <cellStyle name="Percent 2 3 5 3" xfId="9134" xr:uid="{4E33BD3B-2721-4869-81F2-A42ADBF4FBA0}"/>
    <cellStyle name="Percent 2 3 5 3 2" xfId="9135" xr:uid="{EFBF653B-BD97-4799-ACAC-3F307926EE62}"/>
    <cellStyle name="Percent 2 3 5 4" xfId="9136" xr:uid="{763DA2EE-E4C3-4112-BEAE-E515E1FA1E99}"/>
    <cellStyle name="Percent 2 3 5 5" xfId="9137" xr:uid="{D4BBA58D-A6CF-41D0-86E0-C44DE7B4519C}"/>
    <cellStyle name="Percent 2 3 6" xfId="9138" xr:uid="{C3F81DCA-6A5F-48E8-99F6-BB36DFF57509}"/>
    <cellStyle name="Percent 2 3 7" xfId="9139" xr:uid="{35314E5C-BA7F-45DD-A3B4-97BFA437CD4E}"/>
    <cellStyle name="Percent 2 3 8" xfId="9140" xr:uid="{789C58C1-9BBA-4EC8-A006-8EC24272F138}"/>
    <cellStyle name="Percent 2 3 8 2" xfId="9141" xr:uid="{DBC0E421-3769-4C29-A987-8FB2BD5E9D4C}"/>
    <cellStyle name="Percent 2 3 8 2 2" xfId="9142" xr:uid="{60C1075A-9552-4CF8-80C0-B989D606E19F}"/>
    <cellStyle name="Percent 2 3 8 3" xfId="9143" xr:uid="{F17AA3ED-9B3A-447F-AF56-C2DEAADE160C}"/>
    <cellStyle name="Percent 2 3 9" xfId="9144" xr:uid="{6A6FC872-B1DD-46FD-89B1-8CE64C0BD773}"/>
    <cellStyle name="Percent 2 3 9 2" xfId="9145" xr:uid="{8DA2B7D0-4F51-4B3F-8350-7BA03718EBBB}"/>
    <cellStyle name="Percent 2 3 9 2 2" xfId="9146" xr:uid="{C8A188A5-9B85-4983-96A4-0844B831D7F8}"/>
    <cellStyle name="Percent 2 3 9 3" xfId="9147" xr:uid="{F9302AD9-0DC2-4157-8B85-41BC1C606E68}"/>
    <cellStyle name="Percent 2 30" xfId="38" xr:uid="{B7A235BF-A966-4E82-86B7-D9AA60870CA0}"/>
    <cellStyle name="Percent 2 4" xfId="9148" xr:uid="{B49B94A6-F8F0-4DC6-BB45-0ED8174F283F}"/>
    <cellStyle name="Percent 2 4 2" xfId="9149" xr:uid="{8A5AC2B0-6F3C-4AC9-BA40-1A92ECC7455F}"/>
    <cellStyle name="Percent 2 4 2 2" xfId="44621" xr:uid="{4C0F62AF-0383-49C5-8146-B03E0B09D1B4}"/>
    <cellStyle name="Percent 2 4 3" xfId="9150" xr:uid="{08550FA4-5B44-4366-91A3-A880A580B53E}"/>
    <cellStyle name="Percent 2 4 3 2" xfId="41332" xr:uid="{48792DE3-C4D8-441B-8029-4DD687CE6100}"/>
    <cellStyle name="Percent 2 4 4" xfId="9151" xr:uid="{557E29B1-A69C-4785-9B3A-C64CBE4C44C5}"/>
    <cellStyle name="Percent 2 4 4 2" xfId="41333" xr:uid="{7596F86A-EF7D-445D-BB3C-B75BE30B4ADB}"/>
    <cellStyle name="Percent 2 5" xfId="9152" xr:uid="{19D4AF87-820F-4983-B0A2-CBA37FE5A9CF}"/>
    <cellStyle name="Percent 2 5 10" xfId="9153" xr:uid="{12804F58-0D48-40BB-8FA7-8303FCA83C0A}"/>
    <cellStyle name="Percent 2 5 11" xfId="9154" xr:uid="{E0F84579-181D-4B7F-A748-2F2FBC43C008}"/>
    <cellStyle name="Percent 2 5 12" xfId="9155" xr:uid="{8D477430-FE88-4100-926F-6EB915C3FB6A}"/>
    <cellStyle name="Percent 2 5 13" xfId="9156" xr:uid="{B262DE55-F087-4FE9-AC30-D142F8FE6E49}"/>
    <cellStyle name="Percent 2 5 2" xfId="9157" xr:uid="{6A2B0DFF-C776-427A-9BFE-F650E8480394}"/>
    <cellStyle name="Percent 2 5 2 2" xfId="9158" xr:uid="{077848EB-8A45-4B15-B5D6-85D6693ACD63}"/>
    <cellStyle name="Percent 2 5 2 2 2" xfId="9159" xr:uid="{AD69A1DC-FCD1-415A-95BB-CF8D2A20C264}"/>
    <cellStyle name="Percent 2 5 2 2 2 2" xfId="9160" xr:uid="{F099A98A-36F2-4259-AA1B-A4DCF19131B9}"/>
    <cellStyle name="Percent 2 5 2 2 3" xfId="9161" xr:uid="{25F0516E-B137-4EC1-97DB-BB62C0C20F6A}"/>
    <cellStyle name="Percent 2 5 2 2 4" xfId="9162" xr:uid="{EBD395A6-E6BC-4976-A6D3-0A9CDAA7467A}"/>
    <cellStyle name="Percent 2 5 2 3" xfId="9163" xr:uid="{B2BEB5C2-9F62-4819-B485-69E7F8CFA5C2}"/>
    <cellStyle name="Percent 2 5 2 3 2" xfId="9164" xr:uid="{F0B8DD60-517C-48FA-A26C-89CBF1DFA0E5}"/>
    <cellStyle name="Percent 2 5 2 4" xfId="9165" xr:uid="{5F8FEC45-7B4D-453E-894D-D06E45BE49C8}"/>
    <cellStyle name="Percent 2 5 2 5" xfId="9166" xr:uid="{FE074C99-1913-4D69-B2E2-2CBA520D9D31}"/>
    <cellStyle name="Percent 2 5 3" xfId="9167" xr:uid="{34333C89-C363-47FB-9683-0C5C00DED3E8}"/>
    <cellStyle name="Percent 2 5 4" xfId="9168" xr:uid="{148CFBD0-72C2-4B38-A205-7A0C27E87688}"/>
    <cellStyle name="Percent 2 5 5" xfId="9169" xr:uid="{B0C43D57-79EB-4B07-88B2-70FA684E4C3D}"/>
    <cellStyle name="Percent 2 5 6" xfId="9170" xr:uid="{3472B54C-4D7E-402E-A8E1-BD2889AF4A28}"/>
    <cellStyle name="Percent 2 5 6 2" xfId="9171" xr:uid="{7C78A63A-A5DF-43E3-9206-63C3FFA3B8D7}"/>
    <cellStyle name="Percent 2 5 6 2 2" xfId="9172" xr:uid="{DDCB3A3D-2D46-480E-B1E7-E64FC0825604}"/>
    <cellStyle name="Percent 2 5 6 3" xfId="9173" xr:uid="{DFFC2553-AAAC-4C16-95E9-F9B67AB96365}"/>
    <cellStyle name="Percent 2 5 7" xfId="9174" xr:uid="{333B408F-D321-459B-8C96-AD1E4C982C6E}"/>
    <cellStyle name="Percent 2 5 7 2" xfId="9175" xr:uid="{38AB4190-83D6-4ED8-9049-151F9C3E10EA}"/>
    <cellStyle name="Percent 2 5 7 2 2" xfId="9176" xr:uid="{E43ADC22-8C5A-4DCC-8702-EAF4A1A10373}"/>
    <cellStyle name="Percent 2 5 7 3" xfId="9177" xr:uid="{BEE19479-B923-4066-A28A-263203558E48}"/>
    <cellStyle name="Percent 2 5 8" xfId="9178" xr:uid="{A7BAC4D3-DF1D-4EB4-AC37-E29F9C8C7D45}"/>
    <cellStyle name="Percent 2 5 8 2" xfId="9179" xr:uid="{C5123981-3F92-415D-814A-E053339FDDC6}"/>
    <cellStyle name="Percent 2 5 9" xfId="9180" xr:uid="{D1698764-298C-4183-8152-23D9E1A31E21}"/>
    <cellStyle name="Percent 2 6" xfId="9181" xr:uid="{8737BDDD-794A-4FD5-9056-9FC40AB75806}"/>
    <cellStyle name="Percent 2 6 10" xfId="9182" xr:uid="{969BD57F-D7D9-45A1-8A5E-4136573E8822}"/>
    <cellStyle name="Percent 2 6 11" xfId="9183" xr:uid="{57250380-C3DB-4763-A2DC-604C89E13025}"/>
    <cellStyle name="Percent 2 6 12" xfId="9184" xr:uid="{6814ABE0-17BC-4D94-89AA-4EAF5BA24B85}"/>
    <cellStyle name="Percent 2 6 13" xfId="9185" xr:uid="{E0BB15ED-07A3-489F-97B5-31DC4A110FF1}"/>
    <cellStyle name="Percent 2 6 2" xfId="9186" xr:uid="{DA3D4E53-1B0A-40BC-A872-DF86BC74853C}"/>
    <cellStyle name="Percent 2 6 2 2" xfId="9187" xr:uid="{94D20EAF-5A14-452F-8403-77E03F1E5EB3}"/>
    <cellStyle name="Percent 2 6 2 2 2" xfId="9188" xr:uid="{9F68BF9F-4D59-4143-953C-0F2918BE481D}"/>
    <cellStyle name="Percent 2 6 2 2 2 2" xfId="9189" xr:uid="{DFABEB79-311E-41F7-A794-73A641E325D6}"/>
    <cellStyle name="Percent 2 6 2 2 3" xfId="9190" xr:uid="{E0B37252-229D-4193-B5D4-DD2A5B9F41D8}"/>
    <cellStyle name="Percent 2 6 2 2 4" xfId="9191" xr:uid="{CB471607-A242-4CF5-85FA-FB8E6A5BA4D2}"/>
    <cellStyle name="Percent 2 6 2 3" xfId="9192" xr:uid="{8D750BD7-984B-4425-84EC-55D9C3EBA48F}"/>
    <cellStyle name="Percent 2 6 2 3 2" xfId="9193" xr:uid="{AE24F491-F5AF-4584-8BBB-E23054184206}"/>
    <cellStyle name="Percent 2 6 2 4" xfId="9194" xr:uid="{047174B8-A3E0-4BCC-A1F7-A9A5E7367E69}"/>
    <cellStyle name="Percent 2 6 2 5" xfId="9195" xr:uid="{F60B315D-A52B-4FB9-83D9-F930F2D14441}"/>
    <cellStyle name="Percent 2 6 3" xfId="9196" xr:uid="{411D1FD9-8688-4485-B1A6-6B4E28D6587C}"/>
    <cellStyle name="Percent 2 6 4" xfId="9197" xr:uid="{60B70FBF-080E-48DD-A302-D422261F87A3}"/>
    <cellStyle name="Percent 2 6 5" xfId="9198" xr:uid="{AAE1D7CE-6AEF-460D-8C90-CC081D7E0980}"/>
    <cellStyle name="Percent 2 6 6" xfId="9199" xr:uid="{3013717A-B8DB-4984-AA16-20FB5ADA4347}"/>
    <cellStyle name="Percent 2 6 6 2" xfId="9200" xr:uid="{A2F98E2D-0A0F-4359-ADA8-78811B2C6E0A}"/>
    <cellStyle name="Percent 2 6 6 2 2" xfId="9201" xr:uid="{572EF657-BC82-48C5-932C-179B5BE99339}"/>
    <cellStyle name="Percent 2 6 6 3" xfId="9202" xr:uid="{F93B66BF-5224-4F1A-9504-5A421FC1340F}"/>
    <cellStyle name="Percent 2 6 7" xfId="9203" xr:uid="{F4F30720-52AC-4169-B28A-8CC46C051304}"/>
    <cellStyle name="Percent 2 6 7 2" xfId="9204" xr:uid="{A4C2A582-A4F9-4B07-95BE-3CC27E28406D}"/>
    <cellStyle name="Percent 2 6 7 2 2" xfId="9205" xr:uid="{414683F6-30CB-4115-8887-ECFF5B7A0003}"/>
    <cellStyle name="Percent 2 6 7 3" xfId="9206" xr:uid="{06D5C2B9-1368-4FD1-ABC4-A0850D3FACB1}"/>
    <cellStyle name="Percent 2 6 8" xfId="9207" xr:uid="{8113139A-4FF1-4EAC-8DCD-7956B5F3AE39}"/>
    <cellStyle name="Percent 2 6 8 2" xfId="9208" xr:uid="{0681BA58-F3AF-44C9-94C4-A787B41FB639}"/>
    <cellStyle name="Percent 2 6 9" xfId="9209" xr:uid="{9D6D1B30-7816-4D89-A03B-B1B7FACFFBC9}"/>
    <cellStyle name="Percent 2 7" xfId="9210" xr:uid="{5AF3CD55-44DE-4CF2-B62E-70E623B7FD65}"/>
    <cellStyle name="Percent 2 7 10" xfId="9211" xr:uid="{EEC988A2-7225-4E91-98B1-53BD66E65AC8}"/>
    <cellStyle name="Percent 2 7 2" xfId="9212" xr:uid="{7439A6BA-E724-47B6-9F59-DB51112D3E16}"/>
    <cellStyle name="Percent 2 7 2 2" xfId="9213" xr:uid="{7EB71C98-62AC-495C-806C-7785D1E8FA5D}"/>
    <cellStyle name="Percent 2 7 2 2 2" xfId="9214" xr:uid="{0161ECCC-CBD6-4159-A37B-071462683DCD}"/>
    <cellStyle name="Percent 2 7 2 2 2 2" xfId="9215" xr:uid="{643BB3EE-1010-418D-81BE-37B420705385}"/>
    <cellStyle name="Percent 2 7 2 2 3" xfId="9216" xr:uid="{B18D631E-03F0-4802-8D6A-40F31C9D0DC1}"/>
    <cellStyle name="Percent 2 7 2 2 4" xfId="9217" xr:uid="{7B8E706D-D62A-4BFB-8EE9-00B6FCE05159}"/>
    <cellStyle name="Percent 2 7 2 3" xfId="9218" xr:uid="{04650C48-C577-404C-8363-84467CC6516F}"/>
    <cellStyle name="Percent 2 7 2 3 2" xfId="9219" xr:uid="{B9A97D87-1A72-4C81-AD4C-B5485AE78DFF}"/>
    <cellStyle name="Percent 2 7 2 4" xfId="9220" xr:uid="{B4FFD3C8-E4B2-4831-B41F-F488B75F5969}"/>
    <cellStyle name="Percent 2 7 2 5" xfId="9221" xr:uid="{B65B94A4-0579-4A2F-8520-135A2E3855A9}"/>
    <cellStyle name="Percent 2 7 3" xfId="9222" xr:uid="{EBC4A563-E872-43CA-AA3D-042C87114CB8}"/>
    <cellStyle name="Percent 2 7 4" xfId="9223" xr:uid="{FE985925-ECA3-4C67-86C7-C78C3CE72456}"/>
    <cellStyle name="Percent 2 7 5" xfId="9224" xr:uid="{4ED38695-41C7-471D-B263-5054FB3BEDDE}"/>
    <cellStyle name="Percent 2 7 6" xfId="9225" xr:uid="{1825F3BD-56CE-4927-B3F0-F1852395C2A2}"/>
    <cellStyle name="Percent 2 7 6 2" xfId="9226" xr:uid="{3DD6DED9-8E9F-420D-A048-F32C795A9AEC}"/>
    <cellStyle name="Percent 2 7 6 2 2" xfId="9227" xr:uid="{FEA487BD-B5C1-42DF-894B-3EF2371F444E}"/>
    <cellStyle name="Percent 2 7 6 3" xfId="9228" xr:uid="{AF1615DA-E350-407D-B78D-7BF437A73657}"/>
    <cellStyle name="Percent 2 7 7" xfId="9229" xr:uid="{752991F7-32EE-482C-8295-6039276ECA1F}"/>
    <cellStyle name="Percent 2 7 7 2" xfId="9230" xr:uid="{88273725-AE7F-49C6-B924-E5574918F863}"/>
    <cellStyle name="Percent 2 7 7 2 2" xfId="9231" xr:uid="{0FAB45F0-CBE7-40C7-86DF-8361907135E7}"/>
    <cellStyle name="Percent 2 7 7 3" xfId="9232" xr:uid="{3F5EC7D3-7708-4A09-AA90-8C692E83DF33}"/>
    <cellStyle name="Percent 2 7 8" xfId="9233" xr:uid="{96DB82C6-7D15-43DB-BC0A-B0579317B9AC}"/>
    <cellStyle name="Percent 2 7 8 2" xfId="9234" xr:uid="{9FD1FA9B-4FDF-4BF7-A17C-8B59ADCE70E3}"/>
    <cellStyle name="Percent 2 7 9" xfId="9235" xr:uid="{92EC002D-69D3-4594-BE3E-0CAB2F51F9BC}"/>
    <cellStyle name="Percent 2 8" xfId="9236" xr:uid="{697D1E02-1502-410A-B582-CB7D9DB6C7CF}"/>
    <cellStyle name="Percent 2 8 10" xfId="9237" xr:uid="{B47B537C-26DA-40FD-83CF-86B8D1C100FF}"/>
    <cellStyle name="Percent 2 8 2" xfId="9238" xr:uid="{E9984298-E9B1-4262-8A3D-966E1C5A816E}"/>
    <cellStyle name="Percent 2 8 2 2" xfId="9239" xr:uid="{861B85CF-E746-4E56-9830-3472AC85F54E}"/>
    <cellStyle name="Percent 2 8 2 2 2" xfId="9240" xr:uid="{F4C6D3CB-AEF3-4F7F-A6C9-35DC9E61CD03}"/>
    <cellStyle name="Percent 2 8 2 2 2 2" xfId="9241" xr:uid="{5059D797-B7E8-422B-B5B1-2414AF8FDB16}"/>
    <cellStyle name="Percent 2 8 2 2 3" xfId="9242" xr:uid="{97ED40BD-CF90-47C7-B182-66A2B9BD922F}"/>
    <cellStyle name="Percent 2 8 2 2 4" xfId="9243" xr:uid="{A4D6B0B2-2346-4420-83C5-128A104E0E5D}"/>
    <cellStyle name="Percent 2 8 2 3" xfId="9244" xr:uid="{14FF4017-E27C-45A0-8063-3B323FAB67BC}"/>
    <cellStyle name="Percent 2 8 2 3 2" xfId="9245" xr:uid="{E8B4B103-E5D3-47BF-9E2E-1F5C5E085739}"/>
    <cellStyle name="Percent 2 8 2 4" xfId="9246" xr:uid="{E194DF07-B4FD-4780-B992-393A4AEFB001}"/>
    <cellStyle name="Percent 2 8 2 5" xfId="9247" xr:uid="{67E5A397-0C8F-4009-8667-EF77A8932504}"/>
    <cellStyle name="Percent 2 8 3" xfId="9248" xr:uid="{0EC938EA-8C05-4E1D-955D-D292741DF735}"/>
    <cellStyle name="Percent 2 8 4" xfId="9249" xr:uid="{74F010E0-4351-4721-AF64-A40E61596454}"/>
    <cellStyle name="Percent 2 8 5" xfId="9250" xr:uid="{20793202-E4E1-4C2C-9F95-82F12DF4114A}"/>
    <cellStyle name="Percent 2 8 6" xfId="9251" xr:uid="{1D489C20-9348-42FD-9AF5-86D57C78DC7B}"/>
    <cellStyle name="Percent 2 8 6 2" xfId="9252" xr:uid="{AF9259AA-BF51-4C95-B209-5505FFB27CE7}"/>
    <cellStyle name="Percent 2 8 6 2 2" xfId="9253" xr:uid="{1AF5F700-55A6-4264-B89C-4579AD0B4EEC}"/>
    <cellStyle name="Percent 2 8 6 3" xfId="9254" xr:uid="{E0276090-3297-4FA0-9B45-94358B531E4C}"/>
    <cellStyle name="Percent 2 8 7" xfId="9255" xr:uid="{E7E03B40-2BC8-44A4-B0D9-77F07A36C0B8}"/>
    <cellStyle name="Percent 2 8 7 2" xfId="9256" xr:uid="{CAC547BD-8C65-4C89-8AAC-D8FCA01A7A24}"/>
    <cellStyle name="Percent 2 8 7 2 2" xfId="9257" xr:uid="{C68F3C6F-6F43-431B-AEE1-F5AACCA38687}"/>
    <cellStyle name="Percent 2 8 7 3" xfId="9258" xr:uid="{BE56CCD5-F221-4810-BC42-7914442CF5BE}"/>
    <cellStyle name="Percent 2 8 8" xfId="9259" xr:uid="{FF757B47-FD79-435C-B296-3E5BFEFECE1B}"/>
    <cellStyle name="Percent 2 8 8 2" xfId="9260" xr:uid="{62291581-5CF1-4C64-823F-35D6541DD819}"/>
    <cellStyle name="Percent 2 8 9" xfId="9261" xr:uid="{3F8F4AAA-7197-4883-BC5F-2BB3E79141E9}"/>
    <cellStyle name="Percent 2 9" xfId="9262" xr:uid="{B53A32BB-9BBF-4145-9AA8-9EEF4808B176}"/>
    <cellStyle name="Percent 2 9 10" xfId="9263" xr:uid="{863A405B-CEE0-4CC4-AC18-8F4543915655}"/>
    <cellStyle name="Percent 2 9 2" xfId="9264" xr:uid="{179CF713-3876-4A94-981C-E0211FCE3491}"/>
    <cellStyle name="Percent 2 9 2 2" xfId="9265" xr:uid="{0BF48A63-E30C-4A8B-83D1-FC327DF41B8C}"/>
    <cellStyle name="Percent 2 9 2 2 2" xfId="9266" xr:uid="{BDD83E6A-14D8-4E07-906F-AB941881133E}"/>
    <cellStyle name="Percent 2 9 2 2 2 2" xfId="9267" xr:uid="{B77B0407-ADFD-41F1-AF25-DD772E2957C3}"/>
    <cellStyle name="Percent 2 9 2 2 3" xfId="9268" xr:uid="{546B64B1-25C0-4385-BC03-C939F1BE2F21}"/>
    <cellStyle name="Percent 2 9 2 2 4" xfId="9269" xr:uid="{AEEB5A93-DB8B-4E45-A3FC-1AC78C899CB1}"/>
    <cellStyle name="Percent 2 9 2 3" xfId="9270" xr:uid="{8A2D032D-5F84-4E3E-8D46-C36557194B30}"/>
    <cellStyle name="Percent 2 9 2 3 2" xfId="9271" xr:uid="{27357898-59FE-4A27-A28C-B49076030F18}"/>
    <cellStyle name="Percent 2 9 2 4" xfId="9272" xr:uid="{CAD19D76-EED2-4B70-BE10-9003EE8AD272}"/>
    <cellStyle name="Percent 2 9 2 5" xfId="9273" xr:uid="{B7D6EDF2-5536-491A-BD43-221F9EBEAA21}"/>
    <cellStyle name="Percent 2 9 3" xfId="9274" xr:uid="{7453AD47-866B-42EC-A943-C957C37F563D}"/>
    <cellStyle name="Percent 2 9 4" xfId="9275" xr:uid="{C2AD7E51-2E43-4404-B83F-A35FC12F8518}"/>
    <cellStyle name="Percent 2 9 5" xfId="9276" xr:uid="{CE1E86E5-98F4-4D78-B30B-12E3FC4BB635}"/>
    <cellStyle name="Percent 2 9 6" xfId="9277" xr:uid="{CC9AACEB-CACC-4D49-A733-3200A5C82B7C}"/>
    <cellStyle name="Percent 2 9 6 2" xfId="9278" xr:uid="{0097FEA2-3141-48C2-940A-CB66A254F784}"/>
    <cellStyle name="Percent 2 9 6 2 2" xfId="9279" xr:uid="{B4A83CDF-9BAA-4591-854D-C831DD46EE5C}"/>
    <cellStyle name="Percent 2 9 6 3" xfId="9280" xr:uid="{F90AC54D-C9EA-4745-A30C-BB08FAD619F1}"/>
    <cellStyle name="Percent 2 9 7" xfId="9281" xr:uid="{0FB91648-2C84-4B7C-9A47-85BF221DF614}"/>
    <cellStyle name="Percent 2 9 7 2" xfId="9282" xr:uid="{7BB1AE28-E03F-4C64-B230-2B3C864397B6}"/>
    <cellStyle name="Percent 2 9 7 2 2" xfId="9283" xr:uid="{5E66988B-2B51-4207-826B-DD19E64D2B49}"/>
    <cellStyle name="Percent 2 9 7 3" xfId="9284" xr:uid="{F8AB2FD6-DFFE-41E3-B018-CC96FED9093F}"/>
    <cellStyle name="Percent 2 9 8" xfId="9285" xr:uid="{665D66AE-491C-4C99-B9C3-2537C1BA77E7}"/>
    <cellStyle name="Percent 2 9 8 2" xfId="9286" xr:uid="{67E9C656-4DC6-422B-BE8C-A125933711AA}"/>
    <cellStyle name="Percent 2 9 9" xfId="9287" xr:uid="{2D549BCB-A533-4B96-9EEF-410CA67055F4}"/>
    <cellStyle name="Percent 20" xfId="44267" xr:uid="{8B3C0733-766E-48B2-83CF-43AFE7C928F4}"/>
    <cellStyle name="Percent 21" xfId="44268" xr:uid="{57717674-8A20-4A12-9779-C7DB688F6B3B}"/>
    <cellStyle name="Percent 22" xfId="44622" xr:uid="{2FFDC649-11FB-4C21-BEFF-97B21B2B269A}"/>
    <cellStyle name="Percent 23" xfId="44623" xr:uid="{923C6E94-60D3-4F7B-9755-93A4C994FF6E}"/>
    <cellStyle name="Percent 24" xfId="44624" xr:uid="{2990C9B0-858A-4D34-AA09-565D83672306}"/>
    <cellStyle name="Percent 25" xfId="44625" xr:uid="{2F2F20A0-A434-46B6-AF56-7827C3656D9E}"/>
    <cellStyle name="Percent 26" xfId="44626" xr:uid="{24239EF8-5922-4D27-990F-D191EA6B9F07}"/>
    <cellStyle name="Percent 27" xfId="44627" xr:uid="{FA030919-DC65-4856-B763-F5427B2A9C12}"/>
    <cellStyle name="Percent 28" xfId="44628" xr:uid="{D1D006F4-D414-4E3B-A87A-84BCCD9CA193}"/>
    <cellStyle name="Percent 29" xfId="44629" xr:uid="{4E3DD4A2-40A6-4501-B3E0-D6393FC74114}"/>
    <cellStyle name="Percent 3" xfId="24" xr:uid="{834BDD2C-E06A-40B2-91F7-CCAAEB866250}"/>
    <cellStyle name="Percent 3 10" xfId="9288" xr:uid="{4B6AFA06-155E-4D1C-A833-89D6287EFBE6}"/>
    <cellStyle name="Percent 3 11" xfId="9289" xr:uid="{8AE118FA-2F7E-4D2D-A314-9DC4F38B46A2}"/>
    <cellStyle name="Percent 3 12" xfId="9290" xr:uid="{007C53BB-897E-4D6E-B56B-737FC308D5A2}"/>
    <cellStyle name="Percent 3 13" xfId="9291" xr:uid="{33C6A59D-5380-41FD-B6D4-43CBFAC781C4}"/>
    <cellStyle name="Percent 3 13 2" xfId="9292" xr:uid="{D410D581-1DB7-4498-819C-3582F9DF382C}"/>
    <cellStyle name="Percent 3 13 2 2" xfId="9293" xr:uid="{4D6EC6CB-3E1A-44D6-A7B6-F0501951FF55}"/>
    <cellStyle name="Percent 3 13 2 2 2" xfId="9294" xr:uid="{BD558D32-9D39-429C-993C-4870AD33C2AF}"/>
    <cellStyle name="Percent 3 13 2 2 2 2" xfId="9295" xr:uid="{5B9134D5-4936-4130-8C17-562ADCA43149}"/>
    <cellStyle name="Percent 3 13 2 2 3" xfId="9296" xr:uid="{21976408-B57A-4946-B60F-7AF92CC97816}"/>
    <cellStyle name="Percent 3 13 2 2 4" xfId="9297" xr:uid="{F38CE461-05CC-4696-9E42-F553F7C7DCB2}"/>
    <cellStyle name="Percent 3 13 2 3" xfId="9298" xr:uid="{F3AB1A87-F825-4C06-AF5D-FA6EA4BA9AC7}"/>
    <cellStyle name="Percent 3 13 2 3 2" xfId="9299" xr:uid="{BE53E663-B50D-45A6-BAE2-F2E967C8DA32}"/>
    <cellStyle name="Percent 3 13 2 4" xfId="9300" xr:uid="{BA46162F-9534-46CA-945B-8035E9931EC4}"/>
    <cellStyle name="Percent 3 13 2 5" xfId="9301" xr:uid="{6048E86F-5F3B-4394-90DB-A51AA39E4C2F}"/>
    <cellStyle name="Percent 3 13 3" xfId="9302" xr:uid="{6964A9BE-2DC8-44DA-86B3-5F19526790D4}"/>
    <cellStyle name="Percent 3 14" xfId="9303" xr:uid="{D42588A4-A308-48BE-8E53-262BCF2FB6CE}"/>
    <cellStyle name="Percent 3 14 2" xfId="9304" xr:uid="{65E86703-2870-4F44-8A23-74D06B2438FD}"/>
    <cellStyle name="Percent 3 14 2 2" xfId="9305" xr:uid="{963757B5-7EC3-48CF-BB76-E151437BF117}"/>
    <cellStyle name="Percent 3 14 2 2 2" xfId="9306" xr:uid="{BF8D3EC2-8A93-4546-8377-39127517EB38}"/>
    <cellStyle name="Percent 3 14 2 3" xfId="9307" xr:uid="{48FC88AD-A7C3-4F90-870C-199025CC4DA5}"/>
    <cellStyle name="Percent 3 14 2 4" xfId="9308" xr:uid="{6C94DCC7-6FA1-44F9-97E3-FFE68A61AC6E}"/>
    <cellStyle name="Percent 3 14 3" xfId="9309" xr:uid="{907C1791-8499-44AF-AD6D-D26ECC015C89}"/>
    <cellStyle name="Percent 3 14 3 2" xfId="9310" xr:uid="{49958321-51AD-48A5-8F05-230402765B33}"/>
    <cellStyle name="Percent 3 14 4" xfId="9311" xr:uid="{C7A316DA-5E53-44D2-A91A-3FBACE40B37B}"/>
    <cellStyle name="Percent 3 14 5" xfId="9312" xr:uid="{37374A9F-D1C9-4767-BFA0-40913899F2C4}"/>
    <cellStyle name="Percent 3 15" xfId="9313" xr:uid="{95094179-5537-464A-BD76-3BD8333DFFEB}"/>
    <cellStyle name="Percent 3 15 2" xfId="9314" xr:uid="{58DF9F28-4F58-4CEE-B1CB-E0603D2488BC}"/>
    <cellStyle name="Percent 3 15 2 2" xfId="9315" xr:uid="{D2C7749E-FB17-42CC-847D-3097589B5A55}"/>
    <cellStyle name="Percent 3 15 3" xfId="9316" xr:uid="{CA85C5A7-FEB0-41E4-88CF-17F3AE7FDA71}"/>
    <cellStyle name="Percent 3 16" xfId="9317" xr:uid="{C254FB05-EC7D-412E-9DB3-CCCFA24D51E2}"/>
    <cellStyle name="Percent 3 16 2" xfId="9318" xr:uid="{983E8ADD-7675-4D9E-BCE6-8F6F70E25B8E}"/>
    <cellStyle name="Percent 3 16 2 2" xfId="9319" xr:uid="{AE8E768C-6B33-4157-8045-FDDC5056351B}"/>
    <cellStyle name="Percent 3 16 3" xfId="9320" xr:uid="{762320DA-4B1C-4C02-98C1-733C970FD68C}"/>
    <cellStyle name="Percent 3 17" xfId="9321" xr:uid="{1FE123B3-BF30-418C-8A94-1E11E88774EF}"/>
    <cellStyle name="Percent 3 17 2" xfId="9322" xr:uid="{FFA7FEB2-1C0A-4DBF-BF52-88D5D2F1FBF4}"/>
    <cellStyle name="Percent 3 17 2 2" xfId="9323" xr:uid="{3B6EF127-0D7B-4197-9758-BC3DE520AFC1}"/>
    <cellStyle name="Percent 3 17 3" xfId="9324" xr:uid="{FD8327AC-C0A5-4282-86BE-1AEBD4FCF02D}"/>
    <cellStyle name="Percent 3 18" xfId="9325" xr:uid="{33541283-00AE-40A3-BD10-346CEE8D0FD3}"/>
    <cellStyle name="Percent 3 18 2" xfId="9326" xr:uid="{3C7CBFA7-367B-4CF2-B9B8-14DD731ACA77}"/>
    <cellStyle name="Percent 3 18 2 2" xfId="9327" xr:uid="{A52EA552-D80F-432A-A14A-ED53DB88475B}"/>
    <cellStyle name="Percent 3 18 3" xfId="9328" xr:uid="{A2F81B00-5149-4F05-B0D7-C372BB77DC74}"/>
    <cellStyle name="Percent 3 19" xfId="9329" xr:uid="{05F77F14-0E80-43DB-807B-667D0831F7E0}"/>
    <cellStyle name="Percent 3 19 2" xfId="9330" xr:uid="{668098C8-0538-4415-84D1-42D3E4069D16}"/>
    <cellStyle name="Percent 3 19 2 2" xfId="9331" xr:uid="{E21855FF-A822-4AEA-9B8D-67C2362F9B61}"/>
    <cellStyle name="Percent 3 19 3" xfId="9332" xr:uid="{F81946D3-7A8B-4C80-B684-12845BEC92D4}"/>
    <cellStyle name="Percent 3 2" xfId="54" xr:uid="{70A5C62F-6B05-451C-AB11-33653D1A7591}"/>
    <cellStyle name="Percent 3 2 10" xfId="9333" xr:uid="{BC91CBC7-77C0-4456-9714-76B1AAD673AA}"/>
    <cellStyle name="Percent 3 2 11" xfId="9334" xr:uid="{71FB53F5-D6FF-483D-8F9A-6794A08731C5}"/>
    <cellStyle name="Percent 3 2 11 2" xfId="9335" xr:uid="{20D567FF-AD24-4542-B25A-BBF502AD1DA2}"/>
    <cellStyle name="Percent 3 2 11 2 2" xfId="9336" xr:uid="{0A2B0027-85A4-4792-B681-C56835CC958D}"/>
    <cellStyle name="Percent 3 2 11 2 2 2" xfId="9337" xr:uid="{747B896A-8AD7-41D0-B37A-7A4794663882}"/>
    <cellStyle name="Percent 3 2 11 2 2 2 2" xfId="9338" xr:uid="{141B6093-4A2D-48E7-BECE-347EEE9C4461}"/>
    <cellStyle name="Percent 3 2 11 2 2 3" xfId="9339" xr:uid="{8A3137F6-E19D-49C3-88BC-2655BDF7C254}"/>
    <cellStyle name="Percent 3 2 11 2 2 4" xfId="9340" xr:uid="{E23F6B83-0840-48C3-AFB3-A1E718DF3F60}"/>
    <cellStyle name="Percent 3 2 11 2 3" xfId="9341" xr:uid="{7D45E08A-B9F5-4D1A-8FC1-3EA096939A00}"/>
    <cellStyle name="Percent 3 2 11 2 3 2" xfId="9342" xr:uid="{7FDA0B06-2E9A-47C9-8EC5-98B699CE4F72}"/>
    <cellStyle name="Percent 3 2 11 2 4" xfId="9343" xr:uid="{7760E311-C737-4287-BDE6-0ECBED893B8F}"/>
    <cellStyle name="Percent 3 2 11 2 5" xfId="9344" xr:uid="{7D70A254-A9A0-4143-B882-489064490AE4}"/>
    <cellStyle name="Percent 3 2 11 3" xfId="9345" xr:uid="{17910A60-69C9-408E-80FB-8025945939FF}"/>
    <cellStyle name="Percent 3 2 12" xfId="9346" xr:uid="{6DF857FC-6509-4CC2-B968-F54F186DDA4E}"/>
    <cellStyle name="Percent 3 2 12 2" xfId="9347" xr:uid="{895D3249-E713-4A79-8F83-14F24CDF004E}"/>
    <cellStyle name="Percent 3 2 12 2 2" xfId="9348" xr:uid="{53ABE8A8-CC4C-4498-B5F1-0F8C9C01507E}"/>
    <cellStyle name="Percent 3 2 12 2 2 2" xfId="9349" xr:uid="{918492FD-BCC9-4F67-9736-1C1E629D75FF}"/>
    <cellStyle name="Percent 3 2 12 2 3" xfId="9350" xr:uid="{7E170CD8-C4AB-4D46-BAB6-223CAE1E2A27}"/>
    <cellStyle name="Percent 3 2 12 2 4" xfId="9351" xr:uid="{B09642BE-06D0-4DA4-9DA4-FAD266429638}"/>
    <cellStyle name="Percent 3 2 12 3" xfId="9352" xr:uid="{3D97D9C9-B85B-40C7-A5B3-05038D4FC91B}"/>
    <cellStyle name="Percent 3 2 12 3 2" xfId="9353" xr:uid="{3D196423-5A0D-44D2-A887-F19815B75EFE}"/>
    <cellStyle name="Percent 3 2 12 4" xfId="9354" xr:uid="{31505080-DE43-407B-A24D-B58A23E4AD3F}"/>
    <cellStyle name="Percent 3 2 12 5" xfId="9355" xr:uid="{106F8D09-5E5C-4485-B13F-57F6E7BB407C}"/>
    <cellStyle name="Percent 3 2 13" xfId="9356" xr:uid="{4E3EB34B-8F49-4C20-824F-8F737FC6E8B5}"/>
    <cellStyle name="Percent 3 2 13 2" xfId="9357" xr:uid="{F750DD8B-CB0F-4F7A-955C-E654957BCE8F}"/>
    <cellStyle name="Percent 3 2 13 2 2" xfId="9358" xr:uid="{14C84A91-08BA-482E-BF07-CD11A863BF02}"/>
    <cellStyle name="Percent 3 2 13 3" xfId="9359" xr:uid="{4E7DFABC-2B00-4116-AA30-1AD351AD527C}"/>
    <cellStyle name="Percent 3 2 14" xfId="9360" xr:uid="{442C7EE4-66F8-4D34-9A0B-89B62767BE0A}"/>
    <cellStyle name="Percent 3 2 14 2" xfId="9361" xr:uid="{98B1D8F5-DCF2-4E30-A3CA-3671B32F2EC2}"/>
    <cellStyle name="Percent 3 2 14 2 2" xfId="9362" xr:uid="{F98B2645-84CE-4D96-B642-E599CAFC2666}"/>
    <cellStyle name="Percent 3 2 14 3" xfId="9363" xr:uid="{22537D04-3C56-459C-8597-4A03CD989815}"/>
    <cellStyle name="Percent 3 2 15" xfId="9364" xr:uid="{F596D54E-68F7-4C66-B918-C3ACB206D48B}"/>
    <cellStyle name="Percent 3 2 15 2" xfId="9365" xr:uid="{8BB713BF-07CE-4EAB-8173-9E713570B1F0}"/>
    <cellStyle name="Percent 3 2 15 2 2" xfId="9366" xr:uid="{7F9CE961-00E4-418C-A875-19DD1FCA16FF}"/>
    <cellStyle name="Percent 3 2 15 3" xfId="9367" xr:uid="{09200288-3734-4C6C-A7FF-9F312CFF1B71}"/>
    <cellStyle name="Percent 3 2 16" xfId="9368" xr:uid="{97D30DAD-F0C0-42A2-A7FB-033F43FBD35B}"/>
    <cellStyle name="Percent 3 2 16 2" xfId="9369" xr:uid="{9601F85E-4F98-4F7C-AC72-6C034EDC3837}"/>
    <cellStyle name="Percent 3 2 16 2 2" xfId="9370" xr:uid="{0E835CFE-C481-4782-AD4A-9B9645728320}"/>
    <cellStyle name="Percent 3 2 16 3" xfId="9371" xr:uid="{BEA81F82-34A8-4E21-9FFC-3377CFF1EABC}"/>
    <cellStyle name="Percent 3 2 17" xfId="9372" xr:uid="{6838ACA1-A1E6-4B8A-AFE0-2FE664BF2ED9}"/>
    <cellStyle name="Percent 3 2 17 2" xfId="9373" xr:uid="{59D922FB-E161-47C8-8634-434E6B10120B}"/>
    <cellStyle name="Percent 3 2 17 2 2" xfId="9374" xr:uid="{DA84806E-E249-4ABF-88D5-FDBC88C24632}"/>
    <cellStyle name="Percent 3 2 17 3" xfId="9375" xr:uid="{A36E7D66-91DB-427C-9734-02B5E70492DB}"/>
    <cellStyle name="Percent 3 2 18" xfId="9376" xr:uid="{706A254C-3FA8-4EB6-949C-11D0A55089F2}"/>
    <cellStyle name="Percent 3 2 18 2" xfId="9377" xr:uid="{DEF690FC-345B-4A4A-ACFA-C67C90D70B2C}"/>
    <cellStyle name="Percent 3 2 19" xfId="9378" xr:uid="{022F28E2-AE83-4E4E-8B40-5A2B7AAED50B}"/>
    <cellStyle name="Percent 3 2 2" xfId="3038" xr:uid="{F5FE2AE3-DB4B-45B2-A660-C75F481FC5D8}"/>
    <cellStyle name="Percent 3 2 2 10" xfId="9379" xr:uid="{0A761705-CD57-4934-B67E-1456FE0F5A18}"/>
    <cellStyle name="Percent 3 2 2 10 2" xfId="9380" xr:uid="{0261CF45-792E-406C-BCA6-074F6C03F31C}"/>
    <cellStyle name="Percent 3 2 2 10 2 2" xfId="9381" xr:uid="{52CC04FB-9710-4363-8677-8DC8E48A1795}"/>
    <cellStyle name="Percent 3 2 2 10 2 2 2" xfId="9382" xr:uid="{A48C47BA-B1C8-4ABB-A9FD-A58C985A7957}"/>
    <cellStyle name="Percent 3 2 2 10 2 2 2 2" xfId="9383" xr:uid="{39D0BA93-9E65-4EF3-9A54-D8943BEE8670}"/>
    <cellStyle name="Percent 3 2 2 10 2 2 3" xfId="9384" xr:uid="{2F5EE37C-87F0-48D6-9E1A-E536ED33AA0A}"/>
    <cellStyle name="Percent 3 2 2 10 2 2 4" xfId="9385" xr:uid="{41D218F3-6074-4BB2-B236-7AD2B6039732}"/>
    <cellStyle name="Percent 3 2 2 10 2 3" xfId="9386" xr:uid="{5C727D8C-6B15-411F-9978-1D8C4F6B5629}"/>
    <cellStyle name="Percent 3 2 2 10 2 3 2" xfId="9387" xr:uid="{5CDCF39B-5BF0-478C-B4BE-87FC2A0F4854}"/>
    <cellStyle name="Percent 3 2 2 10 2 4" xfId="9388" xr:uid="{F4B0E4D8-0216-491B-B048-11D57ECEE972}"/>
    <cellStyle name="Percent 3 2 2 10 2 5" xfId="9389" xr:uid="{A0C8EBBC-2F77-4606-8CBA-54385303A47D}"/>
    <cellStyle name="Percent 3 2 2 10 3" xfId="9390" xr:uid="{8687BF8A-F421-4473-9206-A4394EA26D0D}"/>
    <cellStyle name="Percent 3 2 2 11" xfId="9391" xr:uid="{5FFC1522-418A-43D4-9CC5-66F36C356E4F}"/>
    <cellStyle name="Percent 3 2 2 11 2" xfId="9392" xr:uid="{440CB6E0-C7F3-47EF-9A03-C3B57502608E}"/>
    <cellStyle name="Percent 3 2 2 11 2 2" xfId="9393" xr:uid="{B6A6E506-93B2-4C4C-BC0D-94FBFCAAAAD8}"/>
    <cellStyle name="Percent 3 2 2 11 2 2 2" xfId="9394" xr:uid="{008FD3B6-6759-4F55-89D1-37D615C15B23}"/>
    <cellStyle name="Percent 3 2 2 11 2 3" xfId="9395" xr:uid="{62E25B5F-02FB-43B9-8827-8E4B012698AD}"/>
    <cellStyle name="Percent 3 2 2 11 2 4" xfId="9396" xr:uid="{317E9ADF-E5DF-46CB-BA34-E93F71DD71A5}"/>
    <cellStyle name="Percent 3 2 2 11 3" xfId="9397" xr:uid="{48567AF2-723C-4489-BF3B-35ADB26C1484}"/>
    <cellStyle name="Percent 3 2 2 11 3 2" xfId="9398" xr:uid="{F73B4E7D-15EC-4C93-AB58-4F38CF77F1BF}"/>
    <cellStyle name="Percent 3 2 2 11 4" xfId="9399" xr:uid="{6EEE16A1-88D6-43ED-834F-BA85DD5A892C}"/>
    <cellStyle name="Percent 3 2 2 11 5" xfId="9400" xr:uid="{8CC503B9-DF72-445F-8364-92A9DC315B2F}"/>
    <cellStyle name="Percent 3 2 2 12" xfId="9401" xr:uid="{990444C8-0971-4137-858B-B9710C6B60A8}"/>
    <cellStyle name="Percent 3 2 2 12 2" xfId="9402" xr:uid="{1A630B4E-F730-4C02-9BE3-DE073FF5CE80}"/>
    <cellStyle name="Percent 3 2 2 12 2 2" xfId="9403" xr:uid="{B4BC84A4-A6E1-45EF-9D25-DE8D59591686}"/>
    <cellStyle name="Percent 3 2 2 12 3" xfId="9404" xr:uid="{54C01093-C7A0-47CB-8C71-14A04B8C27EB}"/>
    <cellStyle name="Percent 3 2 2 13" xfId="9405" xr:uid="{BA278E70-0647-482D-A39E-B53884E1789C}"/>
    <cellStyle name="Percent 3 2 2 13 2" xfId="9406" xr:uid="{A44DB24C-A2D1-416F-9EB2-E0151CDB316B}"/>
    <cellStyle name="Percent 3 2 2 13 2 2" xfId="9407" xr:uid="{2CE8912D-8944-481A-B3CB-78892F6995DB}"/>
    <cellStyle name="Percent 3 2 2 13 3" xfId="9408" xr:uid="{4DE846B9-7A51-4227-812C-AA45A2E6AEA7}"/>
    <cellStyle name="Percent 3 2 2 14" xfId="9409" xr:uid="{28923DCF-B510-4600-BDB8-B55018F1D4D9}"/>
    <cellStyle name="Percent 3 2 2 14 2" xfId="9410" xr:uid="{CDB734C9-AAD8-4E2D-9E21-03E9982BFB2E}"/>
    <cellStyle name="Percent 3 2 2 14 2 2" xfId="9411" xr:uid="{73CFB2AD-A374-46D2-A069-75314D045A24}"/>
    <cellStyle name="Percent 3 2 2 14 3" xfId="9412" xr:uid="{2E117354-E0AD-460F-8500-3A018341F880}"/>
    <cellStyle name="Percent 3 2 2 15" xfId="9413" xr:uid="{B05E48D1-52B5-40BB-9FC5-F16A127B905A}"/>
    <cellStyle name="Percent 3 2 2 15 2" xfId="9414" xr:uid="{B071ADF8-156B-40D8-8A76-0934AAC23B1B}"/>
    <cellStyle name="Percent 3 2 2 15 2 2" xfId="9415" xr:uid="{40B89E36-CB63-4A4E-97F3-D23850D33ACE}"/>
    <cellStyle name="Percent 3 2 2 15 3" xfId="9416" xr:uid="{6B2A1DBE-5E9D-4033-96C2-E80109B9FEC0}"/>
    <cellStyle name="Percent 3 2 2 16" xfId="9417" xr:uid="{8ECA255C-0D92-4125-BBCB-9DB25B4448B4}"/>
    <cellStyle name="Percent 3 2 2 16 2" xfId="9418" xr:uid="{32E36593-3533-466F-8F2F-AC7D8657DFFC}"/>
    <cellStyle name="Percent 3 2 2 16 2 2" xfId="9419" xr:uid="{CAF5FA00-533D-45E1-AB10-8E4D8941D1B7}"/>
    <cellStyle name="Percent 3 2 2 16 3" xfId="9420" xr:uid="{34905145-760E-42CD-AB9C-78A71B514AF7}"/>
    <cellStyle name="Percent 3 2 2 17" xfId="9421" xr:uid="{09CA64BC-F5B4-4364-BEF8-E75057B920AE}"/>
    <cellStyle name="Percent 3 2 2 17 2" xfId="9422" xr:uid="{3BE2C7C0-CB91-45E7-AE8F-B2EC3CA5C2EE}"/>
    <cellStyle name="Percent 3 2 2 18" xfId="9423" xr:uid="{2D961830-00A5-4E2C-AA87-AEAE7DC35572}"/>
    <cellStyle name="Percent 3 2 2 19" xfId="9424" xr:uid="{543E9A6B-AC1C-42B7-8538-ECF8B985D442}"/>
    <cellStyle name="Percent 3 2 2 2" xfId="3039" xr:uid="{9D7A5B4A-FC76-4E3B-B3F5-8F280A736E25}"/>
    <cellStyle name="Percent 3 2 2 20" xfId="44797" xr:uid="{19EBC7A1-639D-42D9-9C95-C3FCBAEEFAFC}"/>
    <cellStyle name="Percent 3 2 2 3" xfId="9425" xr:uid="{9F85C4CF-6C70-494E-B589-830AC40872C6}"/>
    <cellStyle name="Percent 3 2 2 4" xfId="9426" xr:uid="{0DCEFAC2-B06B-473A-9591-2A87A6690522}"/>
    <cellStyle name="Percent 3 2 2 5" xfId="9427" xr:uid="{C2A24889-6654-46B3-B5DA-51BBA879209E}"/>
    <cellStyle name="Percent 3 2 2 6" xfId="9428" xr:uid="{09F5D17B-2736-45D6-8244-54D1E32EC62F}"/>
    <cellStyle name="Percent 3 2 2 7" xfId="9429" xr:uid="{953828CF-C47C-41CF-A68C-9455511455D0}"/>
    <cellStyle name="Percent 3 2 2 8" xfId="9430" xr:uid="{D0831EE7-E9E1-429D-9BFC-D0F5586AE75C}"/>
    <cellStyle name="Percent 3 2 2 9" xfId="9431" xr:uid="{339DCE9D-6F5D-45A7-AD5A-4B9D8364106F}"/>
    <cellStyle name="Percent 3 2 20" xfId="9432" xr:uid="{77AE8E97-58DA-4A7F-8972-7983CA108EE1}"/>
    <cellStyle name="Percent 3 2 21" xfId="44725" xr:uid="{48314848-2E59-4C16-8329-5C3DB26BDB31}"/>
    <cellStyle name="Percent 3 2 22" xfId="44780" xr:uid="{7184CD39-BE6D-41B3-A9B8-DD373D8C8108}"/>
    <cellStyle name="Percent 3 2 3" xfId="9433" xr:uid="{A93E3170-8379-4D49-9DA5-DCECD5A37741}"/>
    <cellStyle name="Percent 3 2 4" xfId="9434" xr:uid="{1CC52FD8-1797-45B2-A177-374DD24A8B73}"/>
    <cellStyle name="Percent 3 2 5" xfId="9435" xr:uid="{2A6AD015-4FBD-412E-A04B-48CA78689434}"/>
    <cellStyle name="Percent 3 2 6" xfId="9436" xr:uid="{FE6D5170-CD25-4D8B-B472-78EE8E0D572F}"/>
    <cellStyle name="Percent 3 2 7" xfId="9437" xr:uid="{790B4998-18E8-42EF-AB11-AE0B2B3F3C04}"/>
    <cellStyle name="Percent 3 2 8" xfId="9438" xr:uid="{B8A5B9E8-5C5F-4D84-B61A-AE5FB33FB4D2}"/>
    <cellStyle name="Percent 3 2 9" xfId="9439" xr:uid="{6B4D4EDD-C2D7-4722-A5D9-3018F7DB3B0C}"/>
    <cellStyle name="Percent 3 20" xfId="9440" xr:uid="{0C7174B2-1629-47A6-BE10-559707A534E1}"/>
    <cellStyle name="Percent 3 20 2" xfId="9441" xr:uid="{9CA6C3FE-B394-4736-B050-7B35E9D7544B}"/>
    <cellStyle name="Percent 3 21" xfId="9442" xr:uid="{A051F7E2-AFCD-4047-90E1-AF3D2B0E32E0}"/>
    <cellStyle name="Percent 3 22" xfId="9443" xr:uid="{93BF3D9F-74DC-4786-9904-8824C6281DB6}"/>
    <cellStyle name="Percent 3 23" xfId="9444" xr:uid="{1D54C52B-9EAD-494B-9C11-ED9215999660}"/>
    <cellStyle name="Percent 3 24" xfId="9445" xr:uid="{D8E4A6C1-4894-4F03-A9B9-3DF7E440E1E4}"/>
    <cellStyle name="Percent 3 25" xfId="44726" xr:uid="{10F5F32A-B25E-42A3-891D-E9BB4E9B7769}"/>
    <cellStyle name="Percent 3 26" xfId="44764" xr:uid="{29DCD954-5722-40DA-8CFA-6AD874210A45}"/>
    <cellStyle name="Percent 3 27" xfId="53" xr:uid="{B04B52DD-0C9F-4236-B2BD-AAFD15938437}"/>
    <cellStyle name="Percent 3 3" xfId="3040" xr:uid="{44A9395C-01D5-4815-B15B-2DCDFC228343}"/>
    <cellStyle name="Percent 3 3 10" xfId="9446" xr:uid="{C898B9E9-F50D-47BD-8FB3-EE0CA9ECBE2F}"/>
    <cellStyle name="Percent 3 3 10 2" xfId="9447" xr:uid="{4C4B1418-613D-4146-80D6-69574E5DAC68}"/>
    <cellStyle name="Percent 3 3 10 2 2" xfId="9448" xr:uid="{75BC5420-F867-40B4-B144-62D3DBAD0DC0}"/>
    <cellStyle name="Percent 3 3 10 2 2 2" xfId="9449" xr:uid="{D3D8FA90-E366-4195-A01D-3FA799928055}"/>
    <cellStyle name="Percent 3 3 10 2 2 2 2" xfId="9450" xr:uid="{3F1AA3C7-4F1E-4306-A7E9-ECAC84C6E46C}"/>
    <cellStyle name="Percent 3 3 10 2 2 3" xfId="9451" xr:uid="{4FF13893-426D-4744-8BD5-DC91515C735F}"/>
    <cellStyle name="Percent 3 3 10 2 2 4" xfId="9452" xr:uid="{CC31B124-5769-429D-8676-B5E672E8B119}"/>
    <cellStyle name="Percent 3 3 10 2 3" xfId="9453" xr:uid="{C3B66CA8-714E-4361-8F11-E5B28697ACB1}"/>
    <cellStyle name="Percent 3 3 10 2 3 2" xfId="9454" xr:uid="{7ABABDAB-806E-46E1-BF61-6EB6BFC3DD5B}"/>
    <cellStyle name="Percent 3 3 10 2 4" xfId="9455" xr:uid="{86DBB5EA-F4B3-4E47-BA71-1A58F5722328}"/>
    <cellStyle name="Percent 3 3 10 2 5" xfId="9456" xr:uid="{09EDD8A4-AF73-471D-B628-F8B20C0D3815}"/>
    <cellStyle name="Percent 3 3 10 3" xfId="9457" xr:uid="{4158D99C-4CFA-414E-827F-7E03B216323C}"/>
    <cellStyle name="Percent 3 3 11" xfId="9458" xr:uid="{3D3DB76D-0F48-4CFC-BB23-F952C069F630}"/>
    <cellStyle name="Percent 3 3 11 2" xfId="9459" xr:uid="{5BCC5ECC-6244-4256-8BB5-BB92DC74E47E}"/>
    <cellStyle name="Percent 3 3 11 2 2" xfId="9460" xr:uid="{DB808598-2197-44D3-AC38-87FA69566C3A}"/>
    <cellStyle name="Percent 3 3 11 2 2 2" xfId="9461" xr:uid="{A3FFE1BC-90E7-4C9B-820A-B6C737D18CFA}"/>
    <cellStyle name="Percent 3 3 11 2 3" xfId="9462" xr:uid="{C6F2256A-6067-4894-B683-F39AAE7112A3}"/>
    <cellStyle name="Percent 3 3 11 2 4" xfId="9463" xr:uid="{44A8349F-F96E-41EC-B37D-8B9774BFD100}"/>
    <cellStyle name="Percent 3 3 11 3" xfId="9464" xr:uid="{B89E9CDC-25D7-425E-8DB4-38638AD0EDB6}"/>
    <cellStyle name="Percent 3 3 11 3 2" xfId="9465" xr:uid="{AC2EEF93-F56D-437E-A86A-296ABCD35097}"/>
    <cellStyle name="Percent 3 3 11 4" xfId="9466" xr:uid="{FBCEDF37-C49A-4D55-9F18-1004EA729D45}"/>
    <cellStyle name="Percent 3 3 11 5" xfId="9467" xr:uid="{C873135C-C08B-4228-BA92-811CFCEF3E74}"/>
    <cellStyle name="Percent 3 3 12" xfId="9468" xr:uid="{EE83C082-9FFB-4B26-906D-EFC0952F59DA}"/>
    <cellStyle name="Percent 3 3 12 2" xfId="9469" xr:uid="{9CA3C683-B34E-4EBE-B7CE-E09ACB8F008B}"/>
    <cellStyle name="Percent 3 3 12 2 2" xfId="9470" xr:uid="{DFB3769A-DA02-4249-ACCF-A08911646AFC}"/>
    <cellStyle name="Percent 3 3 12 3" xfId="9471" xr:uid="{E56705EE-72C7-4568-B622-F2BB48600FA1}"/>
    <cellStyle name="Percent 3 3 13" xfId="9472" xr:uid="{CF720D71-8C57-462A-8E80-BFC604321D6E}"/>
    <cellStyle name="Percent 3 3 13 2" xfId="9473" xr:uid="{8D47ECAC-3054-4802-B8DF-94DA662EA5CD}"/>
    <cellStyle name="Percent 3 3 13 2 2" xfId="9474" xr:uid="{F0422853-58FA-4A1C-9032-8627D43EFBA8}"/>
    <cellStyle name="Percent 3 3 13 3" xfId="9475" xr:uid="{03A371D1-FAA4-4D80-9B4B-DC4F1E26246B}"/>
    <cellStyle name="Percent 3 3 14" xfId="9476" xr:uid="{DF91A580-02B2-44D3-849C-2A5B7A4E80CD}"/>
    <cellStyle name="Percent 3 3 14 2" xfId="9477" xr:uid="{5DADE80E-F82D-4AD0-8F14-E61D23522B83}"/>
    <cellStyle name="Percent 3 3 14 2 2" xfId="9478" xr:uid="{38D55C3F-91D5-412A-8092-2735CE76A900}"/>
    <cellStyle name="Percent 3 3 14 3" xfId="9479" xr:uid="{F3259122-6EA0-4E82-9E6A-D04A6EC917A2}"/>
    <cellStyle name="Percent 3 3 15" xfId="9480" xr:uid="{54F796BA-58E8-447F-9E18-9E9FE1D827E8}"/>
    <cellStyle name="Percent 3 3 15 2" xfId="9481" xr:uid="{2D8A2B26-6477-4457-970D-D4603773BBE8}"/>
    <cellStyle name="Percent 3 3 15 2 2" xfId="9482" xr:uid="{A0665EE8-E2FB-4065-9E8A-55DFD26D52A9}"/>
    <cellStyle name="Percent 3 3 15 3" xfId="9483" xr:uid="{0EA3EF78-8BE2-411B-A790-1E660C9C8245}"/>
    <cellStyle name="Percent 3 3 16" xfId="9484" xr:uid="{CFEDEACD-BF22-4E30-BE5A-4F4C6CAAEAD9}"/>
    <cellStyle name="Percent 3 3 16 2" xfId="9485" xr:uid="{534BD714-043B-4462-B672-E832284DA1C5}"/>
    <cellStyle name="Percent 3 3 16 2 2" xfId="9486" xr:uid="{235BDC58-3494-45E1-A750-809091B3915E}"/>
    <cellStyle name="Percent 3 3 16 3" xfId="9487" xr:uid="{9AA94924-8613-443E-A8A4-081995E1875E}"/>
    <cellStyle name="Percent 3 3 17" xfId="9488" xr:uid="{5AE3BC8C-F9C0-465B-9DDA-C9F89D57D4FB}"/>
    <cellStyle name="Percent 3 3 17 2" xfId="9489" xr:uid="{46D12CC3-0667-4714-B772-839ABB716846}"/>
    <cellStyle name="Percent 3 3 18" xfId="9490" xr:uid="{1BF52D90-20BF-4168-A816-2F7F7DE33664}"/>
    <cellStyle name="Percent 3 3 19" xfId="9491" xr:uid="{A99A7FA2-67B5-490A-A1FE-92F1E3AA7A77}"/>
    <cellStyle name="Percent 3 3 2" xfId="9492" xr:uid="{397EFFA3-DF38-4664-BDE9-96F556CC8B50}"/>
    <cellStyle name="Percent 3 3 2 2" xfId="9493" xr:uid="{0B77455A-8DB7-4682-A2CC-64FFB1935CC7}"/>
    <cellStyle name="Percent 3 3 2 2 2" xfId="44630" xr:uid="{EFA8A61B-C376-447C-A8F2-C782B244CDFE}"/>
    <cellStyle name="Percent 3 3 2 3" xfId="44631" xr:uid="{30978994-925A-43E4-8309-8EC7673CEE5C}"/>
    <cellStyle name="Percent 3 3 20" xfId="9494" xr:uid="{7CEE8DD3-A5BF-44BE-A6B6-5B1E7827E7AA}"/>
    <cellStyle name="Percent 3 3 21" xfId="9495" xr:uid="{56020102-0BEA-4910-8FCF-F0ED3E9B273B}"/>
    <cellStyle name="Percent 3 3 22" xfId="9496" xr:uid="{531D1B7B-180E-4A17-A2CE-76AD91373C7B}"/>
    <cellStyle name="Percent 3 3 23" xfId="44787" xr:uid="{B6355D97-B615-407F-B670-13919195BD2C}"/>
    <cellStyle name="Percent 3 3 3" xfId="9497" xr:uid="{E83FFFE8-9823-4B47-A1D2-22961A706A92}"/>
    <cellStyle name="Percent 3 3 3 2" xfId="44632" xr:uid="{67036F0B-A251-4068-AC31-0EC5CE30E7CE}"/>
    <cellStyle name="Percent 3 3 4" xfId="9498" xr:uid="{49C55B44-D12E-4441-9F43-BC422BE09B49}"/>
    <cellStyle name="Percent 3 3 4 2" xfId="44633" xr:uid="{861CBBE9-A74F-4685-99A4-2CE5079BE976}"/>
    <cellStyle name="Percent 3 3 5" xfId="9499" xr:uid="{EC339EE6-9DB5-4FB4-9E33-F7E38CD522B3}"/>
    <cellStyle name="Percent 3 3 6" xfId="9500" xr:uid="{6DF77C2A-A571-4DAB-A607-711842F924A9}"/>
    <cellStyle name="Percent 3 3 7" xfId="9501" xr:uid="{E5574ED4-2791-49AB-B274-006CCCAB8BE5}"/>
    <cellStyle name="Percent 3 3 8" xfId="9502" xr:uid="{BABD4EA9-1FC2-44AF-9D19-969787D81D54}"/>
    <cellStyle name="Percent 3 3 9" xfId="9503" xr:uid="{AD4DF96E-65D7-4E70-A1F7-67E8E11E223F}"/>
    <cellStyle name="Percent 3 4" xfId="9504" xr:uid="{88ADB99A-E134-4B1B-834B-3DCE45ADF139}"/>
    <cellStyle name="Percent 3 4 10" xfId="9505" xr:uid="{8553A675-8336-4D3F-8582-5A782AAB55B7}"/>
    <cellStyle name="Percent 3 4 10 2" xfId="9506" xr:uid="{5B30F39F-7F94-4851-A292-7E3338EC999A}"/>
    <cellStyle name="Percent 3 4 10 2 2" xfId="9507" xr:uid="{CE8B149F-662A-4A8E-A06B-3E28CDC9A06F}"/>
    <cellStyle name="Percent 3 4 10 2 2 2" xfId="9508" xr:uid="{051B14F4-03D9-4B97-BD91-2EB740E271FB}"/>
    <cellStyle name="Percent 3 4 10 2 2 2 2" xfId="9509" xr:uid="{4AC1149A-CBBB-47C3-8302-22B6EC267D69}"/>
    <cellStyle name="Percent 3 4 10 2 2 3" xfId="9510" xr:uid="{AF0A9C7C-C407-4BC9-B271-A006EBDF4D74}"/>
    <cellStyle name="Percent 3 4 10 2 2 4" xfId="9511" xr:uid="{41EF946B-4C87-4EB7-A2DB-79BC95EFB504}"/>
    <cellStyle name="Percent 3 4 10 2 3" xfId="9512" xr:uid="{BCAEB0A2-7DEB-4636-A42E-4F1223C3E54C}"/>
    <cellStyle name="Percent 3 4 10 2 3 2" xfId="9513" xr:uid="{5007274F-2A8E-4249-A462-23A1F823209D}"/>
    <cellStyle name="Percent 3 4 10 2 4" xfId="9514" xr:uid="{E5046C9E-D149-4C0A-A235-75C17105FABE}"/>
    <cellStyle name="Percent 3 4 10 2 5" xfId="9515" xr:uid="{72025437-98BB-4071-B642-49BCE0C7A79F}"/>
    <cellStyle name="Percent 3 4 10 3" xfId="9516" xr:uid="{20F8C634-2551-46C4-BCCA-12704DA3F739}"/>
    <cellStyle name="Percent 3 4 11" xfId="9517" xr:uid="{207C6B92-BF02-4C47-88F8-54620E8E3EB2}"/>
    <cellStyle name="Percent 3 4 11 2" xfId="9518" xr:uid="{7195402B-0119-41CB-9ADE-E32745179906}"/>
    <cellStyle name="Percent 3 4 11 2 2" xfId="9519" xr:uid="{01906A43-CD86-413D-ABC0-826DF8C092AF}"/>
    <cellStyle name="Percent 3 4 11 2 2 2" xfId="9520" xr:uid="{2548C97E-3B46-4D56-A1C4-B078025D03B9}"/>
    <cellStyle name="Percent 3 4 11 2 3" xfId="9521" xr:uid="{4322D9EA-A004-4250-A593-1FA0E8E10CDA}"/>
    <cellStyle name="Percent 3 4 11 2 4" xfId="9522" xr:uid="{E6F4FD03-AE5B-4463-AE74-CBDAA003738B}"/>
    <cellStyle name="Percent 3 4 11 3" xfId="9523" xr:uid="{FA508910-A936-4FDA-A594-6F2407116813}"/>
    <cellStyle name="Percent 3 4 11 3 2" xfId="9524" xr:uid="{518D1786-8F40-4A68-B44A-5F46AEE9A946}"/>
    <cellStyle name="Percent 3 4 11 4" xfId="9525" xr:uid="{8382AF1D-0AD4-4B5E-B5AC-57BE5695C3F5}"/>
    <cellStyle name="Percent 3 4 11 5" xfId="9526" xr:uid="{DA9CCD72-BA35-4364-A023-066BBA051C7A}"/>
    <cellStyle name="Percent 3 4 12" xfId="9527" xr:uid="{D78229AE-7CEE-4A1B-970F-72C49C21C9CE}"/>
    <cellStyle name="Percent 3 4 12 2" xfId="9528" xr:uid="{89F333F2-27B5-423D-B4C8-FBE330B2CCF1}"/>
    <cellStyle name="Percent 3 4 12 2 2" xfId="9529" xr:uid="{B12614EC-4F38-4240-A781-8CC97A8207B8}"/>
    <cellStyle name="Percent 3 4 12 3" xfId="9530" xr:uid="{375A05EB-3CA3-4DEA-B716-9578CF09CEC5}"/>
    <cellStyle name="Percent 3 4 13" xfId="9531" xr:uid="{8E433BBF-2851-4525-AA53-F9E746F89985}"/>
    <cellStyle name="Percent 3 4 13 2" xfId="9532" xr:uid="{13E4DA6D-AA92-4F76-A3C2-BEA5E67820C4}"/>
    <cellStyle name="Percent 3 4 13 2 2" xfId="9533" xr:uid="{1DF2690D-23E9-44DE-B9D4-A4CCDD2CAC41}"/>
    <cellStyle name="Percent 3 4 13 3" xfId="9534" xr:uid="{09960BE9-B354-4F4F-AC6D-DE12945087A7}"/>
    <cellStyle name="Percent 3 4 14" xfId="9535" xr:uid="{BD851BAA-6456-4833-B0FD-AF4C71B7B07A}"/>
    <cellStyle name="Percent 3 4 14 2" xfId="9536" xr:uid="{C7CD2F95-6671-4CDC-9401-F58C893C9535}"/>
    <cellStyle name="Percent 3 4 14 2 2" xfId="9537" xr:uid="{48DD0DAF-AD90-4232-B8D7-BC79A31AC8DD}"/>
    <cellStyle name="Percent 3 4 14 3" xfId="9538" xr:uid="{088EE15E-EABF-4CDD-A462-CAA587A4F483}"/>
    <cellStyle name="Percent 3 4 15" xfId="9539" xr:uid="{B316470E-40B4-4ADF-AF94-9643B885EBEA}"/>
    <cellStyle name="Percent 3 4 15 2" xfId="9540" xr:uid="{DB022C46-FA71-419A-92BF-9CF82532F465}"/>
    <cellStyle name="Percent 3 4 15 2 2" xfId="9541" xr:uid="{BBCE81BC-8724-4DB0-BD1E-BF86FB473377}"/>
    <cellStyle name="Percent 3 4 15 3" xfId="9542" xr:uid="{1957AAF7-2AF1-4A53-8366-315DAAE326F3}"/>
    <cellStyle name="Percent 3 4 16" xfId="9543" xr:uid="{E9B4A954-82D1-4648-B2EC-FB92DADDD2F3}"/>
    <cellStyle name="Percent 3 4 16 2" xfId="9544" xr:uid="{23DA8A9F-201F-4766-8C6D-91B2BA894ABF}"/>
    <cellStyle name="Percent 3 4 16 2 2" xfId="9545" xr:uid="{A2F5FF0C-7FC8-4DAD-B5DF-B8E94514A2B7}"/>
    <cellStyle name="Percent 3 4 16 3" xfId="9546" xr:uid="{255278DB-2CD3-4408-A0D1-C5314A062C5C}"/>
    <cellStyle name="Percent 3 4 17" xfId="9547" xr:uid="{FF4EE542-7399-4944-BB46-66752624F46F}"/>
    <cellStyle name="Percent 3 4 17 2" xfId="9548" xr:uid="{B01F2582-664B-4ED7-8052-67123F9120CC}"/>
    <cellStyle name="Percent 3 4 18" xfId="9549" xr:uid="{F9375F02-F9E9-4AB4-88E8-B5DD86FB0461}"/>
    <cellStyle name="Percent 3 4 19" xfId="9550" xr:uid="{740433D2-CCC0-4660-9C0E-153DE845CD29}"/>
    <cellStyle name="Percent 3 4 2" xfId="9551" xr:uid="{47971567-2685-4A3D-9AEC-566014450DF7}"/>
    <cellStyle name="Percent 3 4 2 2" xfId="44634" xr:uid="{8DA99253-3151-4125-9D18-460B3F9542EF}"/>
    <cellStyle name="Percent 3 4 3" xfId="9552" xr:uid="{3A23C895-F9FF-4C30-865C-5A3CB84295A1}"/>
    <cellStyle name="Percent 3 4 3 2" xfId="44635" xr:uid="{B4337073-58B1-49CC-BE84-31BC130CADA8}"/>
    <cellStyle name="Percent 3 4 4" xfId="9553" xr:uid="{AC0A35D2-9DDF-49E9-B2E2-3F83FFF8A81F}"/>
    <cellStyle name="Percent 3 4 5" xfId="9554" xr:uid="{D967EA04-4F81-4FBD-8CF4-EDD2F43F9C72}"/>
    <cellStyle name="Percent 3 4 6" xfId="9555" xr:uid="{A3361C07-A52E-4FC3-99E3-97A8602F950E}"/>
    <cellStyle name="Percent 3 4 7" xfId="9556" xr:uid="{FAF361D6-26C8-40F8-A95F-5FDF67594FC7}"/>
    <cellStyle name="Percent 3 4 8" xfId="9557" xr:uid="{49CCDC08-0F21-4CCC-9B71-0F0305050308}"/>
    <cellStyle name="Percent 3 4 9" xfId="9558" xr:uid="{E5C2F838-9E7B-4116-BD70-1D0894FBD7AA}"/>
    <cellStyle name="Percent 3 5" xfId="9559" xr:uid="{79E52B7B-BAAA-43B8-86F8-59DF3958EA54}"/>
    <cellStyle name="Percent 3 5 2" xfId="44636" xr:uid="{846C0BB3-40E8-4D88-8E9E-871F3B2EDDCE}"/>
    <cellStyle name="Percent 3 5 2 2" xfId="44637" xr:uid="{C8FAC6B5-3E24-495F-BF9F-B8198E38E6F4}"/>
    <cellStyle name="Percent 3 5 3" xfId="44638" xr:uid="{71B8A359-A38C-415E-B216-9A1097A64392}"/>
    <cellStyle name="Percent 3 6" xfId="9560" xr:uid="{E79106D8-9A62-4446-A9C3-1B34A0669577}"/>
    <cellStyle name="Percent 3 6 2" xfId="44639" xr:uid="{40DFFC14-3604-4FBB-BF60-EE0F249650F9}"/>
    <cellStyle name="Percent 3 7" xfId="9561" xr:uid="{7C553F55-43B5-4BDB-8D12-59D445C00E26}"/>
    <cellStyle name="Percent 3 8" xfId="9562" xr:uid="{4B89BD8D-E052-4C56-AC94-BA3DEB844ADE}"/>
    <cellStyle name="Percent 3 9" xfId="9563" xr:uid="{CAED4B20-0C9D-47EA-AEDB-FAE29D4C7529}"/>
    <cellStyle name="Percent 30" xfId="44640" xr:uid="{2972E894-AFB5-4519-A1BA-817909F6F4FE}"/>
    <cellStyle name="Percent 31" xfId="44641" xr:uid="{246C2CB1-90CE-4F05-9183-6A23987628B5}"/>
    <cellStyle name="Percent 32" xfId="44642" xr:uid="{EEB8B104-2134-4FC5-BD88-018334817308}"/>
    <cellStyle name="Percent 33" xfId="44643" xr:uid="{7ACA46F7-8B2F-4C49-990B-127531466E27}"/>
    <cellStyle name="Percent 34" xfId="44644" xr:uid="{BABE536D-A672-4950-A0B8-81129D7AD076}"/>
    <cellStyle name="Percent 35" xfId="44645" xr:uid="{F9688830-7198-40DE-BF42-E0B9D3D6170E}"/>
    <cellStyle name="Percent 36" xfId="44646" xr:uid="{4331F1E4-CD7B-4FD0-9882-8E75841AE514}"/>
    <cellStyle name="Percent 37" xfId="44647" xr:uid="{E032D6D4-3D5D-4980-BDF2-FFB5F2FC7954}"/>
    <cellStyle name="Percent 38" xfId="44648" xr:uid="{D276B08F-3933-4E72-AE39-D8B5FE199EE9}"/>
    <cellStyle name="Percent 39" xfId="44649" xr:uid="{9964E182-BFA3-455B-BBE4-5185764258EF}"/>
    <cellStyle name="Percent 4" xfId="3041" xr:uid="{958E6A97-17CC-423A-9B60-401F65088F94}"/>
    <cellStyle name="Percent 4 2" xfId="3042" xr:uid="{4FA6B3FF-A056-498D-85AF-856C88E310C6}"/>
    <cellStyle name="Percent 4 2 2" xfId="9564" xr:uid="{6A66B93F-FF6D-4B2D-85F5-77068CD3249D}"/>
    <cellStyle name="Percent 4 2 2 2" xfId="44650" xr:uid="{54CA9322-D816-4F32-851E-F262D295C107}"/>
    <cellStyle name="Percent 4 2 2 2 2" xfId="44651" xr:uid="{3C355B2F-E369-43FE-90C5-D557A6232426}"/>
    <cellStyle name="Percent 4 2 2 3" xfId="44652" xr:uid="{76142DA7-4767-46A7-8560-3F86DD1CBEDA}"/>
    <cellStyle name="Percent 4 2 2 4" xfId="44800" xr:uid="{3E454EC8-18D2-4531-A8BE-A6BEE105856A}"/>
    <cellStyle name="Percent 4 2 3" xfId="44189" xr:uid="{3B6EA50E-1C28-42B7-BE73-01164442F89F}"/>
    <cellStyle name="Percent 4 2 3 2" xfId="44653" xr:uid="{1D89AB1D-8964-45D4-8743-BCBF162795AC}"/>
    <cellStyle name="Percent 4 2 4" xfId="44654" xr:uid="{0F434FCF-A110-48C8-960C-0E4D024188C5}"/>
    <cellStyle name="Percent 4 2 5" xfId="44655" xr:uid="{9E9B004C-1E48-495F-924D-BE64D1229C61}"/>
    <cellStyle name="Percent 4 2 6" xfId="44783" xr:uid="{7C575AE3-20E5-4FEA-B887-72E80D7D47D4}"/>
    <cellStyle name="Percent 4 3" xfId="9565" xr:uid="{282D25E2-759A-4335-9604-67A02D0559FB}"/>
    <cellStyle name="Percent 4 3 2" xfId="44656" xr:uid="{8D11FC84-9B37-4DF7-9DEE-4DD1473DE10A}"/>
    <cellStyle name="Percent 4 3 2 2" xfId="44657" xr:uid="{15B4F0EA-7DB6-4A9E-8BA1-9E19DCACEA91}"/>
    <cellStyle name="Percent 4 3 3" xfId="44658" xr:uid="{2576419C-CCE5-4FE9-B574-74CECDCBC354}"/>
    <cellStyle name="Percent 4 3 3 2" xfId="44659" xr:uid="{B9B7E342-1763-4C17-8933-D0CBBC9DA80B}"/>
    <cellStyle name="Percent 4 3 4" xfId="44660" xr:uid="{F41D137B-63EE-4810-9EDB-C730020CA392}"/>
    <cellStyle name="Percent 4 3 5" xfId="44790" xr:uid="{F5DA711F-F209-4E4C-9426-9CAE5A657D5B}"/>
    <cellStyle name="Percent 4 4" xfId="9712" xr:uid="{F2705FF1-9757-4C4D-B6E2-2245499EDDE7}"/>
    <cellStyle name="Percent 4 4 2" xfId="44661" xr:uid="{2B235E9B-5CE8-4627-A4DD-2F26E1F5B5D4}"/>
    <cellStyle name="Percent 4 4 2 2" xfId="44662" xr:uid="{FCDC6110-8957-49AF-A302-552257F019EA}"/>
    <cellStyle name="Percent 4 4 3" xfId="44663" xr:uid="{DFCAC328-3891-4F70-96D2-06E9C1E153BE}"/>
    <cellStyle name="Percent 4 5" xfId="44188" xr:uid="{76BEBCAB-584F-49C7-AA8A-888A2D56EB44}"/>
    <cellStyle name="Percent 4 5 2" xfId="44664" xr:uid="{99D7D1CB-2613-4E1F-8D3F-A77AD2EF7CAB}"/>
    <cellStyle name="Percent 4 6" xfId="44665" xr:uid="{CBE23304-46DF-48F9-88F5-06B0202B016C}"/>
    <cellStyle name="Percent 4 6 2" xfId="44666" xr:uid="{0182571E-2CB8-442A-9ED9-BCE4651ECD38}"/>
    <cellStyle name="Percent 4 7" xfId="44667" xr:uid="{73247901-8B32-4A7B-96E9-A6BBD34CD8AE}"/>
    <cellStyle name="Percent 4 8" xfId="44767" xr:uid="{D0A585F7-D9AD-4648-9719-912F9E20F444}"/>
    <cellStyle name="Percent 40" xfId="44668" xr:uid="{B08F3856-FA5A-409E-9F49-BBDFE786447B}"/>
    <cellStyle name="Percent 41" xfId="44669" xr:uid="{3AB4EDC8-B9F3-4B13-B0A1-3AB352248AB2}"/>
    <cellStyle name="Percent 42" xfId="44670" xr:uid="{346C803C-AA34-4575-8F69-E2F38EE3DA6F}"/>
    <cellStyle name="Percent 43" xfId="44671" xr:uid="{4916B8AA-B4FB-4C25-98A3-41F17666B62D}"/>
    <cellStyle name="Percent 44" xfId="44672" xr:uid="{15CC286A-0532-4F38-943E-B9F4C0681CAD}"/>
    <cellStyle name="Percent 45" xfId="44673" xr:uid="{11406A61-2935-4BE4-97F0-AEC7980100F5}"/>
    <cellStyle name="Percent 46" xfId="44674" xr:uid="{2C753F87-16B9-4FB6-83B4-E5DD2BE292D1}"/>
    <cellStyle name="Percent 47" xfId="44675" xr:uid="{E7A09F0F-D193-4231-9B6D-438FE1015DA6}"/>
    <cellStyle name="Percent 48" xfId="44676" xr:uid="{136D95EA-D362-402C-99AD-7416F9CBEB4B}"/>
    <cellStyle name="Percent 49" xfId="44677" xr:uid="{2760C925-E0E7-4FD0-AE7D-EDA1D364995F}"/>
    <cellStyle name="Percent 5" xfId="64" xr:uid="{855F0448-C2B5-441D-A9B9-9CFBF12FA29E}"/>
    <cellStyle name="Percent 5 10" xfId="9566" xr:uid="{449C5ED3-F48B-45F5-8DDF-33CE3D5FD1BD}"/>
    <cellStyle name="Percent 5 10 2" xfId="9567" xr:uid="{B6E6F9E3-6FD1-43A6-849F-3B94E02069E7}"/>
    <cellStyle name="Percent 5 10 2 2" xfId="9568" xr:uid="{63DDD60B-FCBE-4980-AFB0-35EF3649693F}"/>
    <cellStyle name="Percent 5 10 2 2 2" xfId="9569" xr:uid="{4A2324CA-265A-4673-A721-4F4402B92ACE}"/>
    <cellStyle name="Percent 5 10 2 2 2 2" xfId="9570" xr:uid="{6A5ED262-5881-493E-97E3-1B97CBC1B0F1}"/>
    <cellStyle name="Percent 5 10 2 2 2 2 2" xfId="41334" xr:uid="{1CA9B713-7CDF-4EB1-A6D5-562FDE132AD0}"/>
    <cellStyle name="Percent 5 10 2 2 2 3" xfId="41335" xr:uid="{1D74D458-419B-469E-800B-7C6F29D54F53}"/>
    <cellStyle name="Percent 5 10 2 2 3" xfId="9571" xr:uid="{BDCEE550-5321-418B-BF31-0D02BE43DAC5}"/>
    <cellStyle name="Percent 5 10 2 2 3 2" xfId="41336" xr:uid="{29BCA6C1-C70A-477F-8A66-CCF3059FF169}"/>
    <cellStyle name="Percent 5 10 2 2 4" xfId="9572" xr:uid="{AFAA35D1-6AD2-41ED-93AC-4D55CBFB615C}"/>
    <cellStyle name="Percent 5 10 2 2 4 2" xfId="41337" xr:uid="{3EB219B3-B3D7-4123-8C1C-CA4F751D515A}"/>
    <cellStyle name="Percent 5 10 2 2 5" xfId="41338" xr:uid="{97B67BB5-EE85-4D3A-BCE1-DC505D31E9F9}"/>
    <cellStyle name="Percent 5 10 2 3" xfId="9573" xr:uid="{94784723-8669-42D2-9369-FC674B900BD6}"/>
    <cellStyle name="Percent 5 10 2 3 2" xfId="9574" xr:uid="{BF6B21A8-D0E0-466B-A808-17FFCDCAE95A}"/>
    <cellStyle name="Percent 5 10 2 3 2 2" xfId="9575" xr:uid="{48FA2D04-6BF1-489B-A33D-6ED4A8703129}"/>
    <cellStyle name="Percent 5 10 2 3 2 2 2" xfId="41339" xr:uid="{A3BE95A9-CE50-4BA8-A1D5-3B959EAE941E}"/>
    <cellStyle name="Percent 5 10 2 3 2 3" xfId="41340" xr:uid="{6B250814-9DD6-4CF9-83CB-4E997CFCA733}"/>
    <cellStyle name="Percent 5 10 2 3 3" xfId="9576" xr:uid="{D710B914-EC83-402F-A04F-BC868C8B9953}"/>
    <cellStyle name="Percent 5 10 2 3 3 2" xfId="41341" xr:uid="{EA78A3C6-B1BC-44DE-8E37-5DC681CF04CA}"/>
    <cellStyle name="Percent 5 10 2 3 4" xfId="9577" xr:uid="{D8763AF8-37EC-4640-B7F5-28EA66D30278}"/>
    <cellStyle name="Percent 5 10 2 3 4 2" xfId="41342" xr:uid="{ECA04E81-93E8-4C53-ABA8-99AC7F4F7C2A}"/>
    <cellStyle name="Percent 5 10 2 3 5" xfId="41343" xr:uid="{108FE31E-82F9-4219-B69A-24DA3D73ABDE}"/>
    <cellStyle name="Percent 5 10 2 4" xfId="9578" xr:uid="{0C9C90D0-0B41-44B6-8B5F-37DF62CDB550}"/>
    <cellStyle name="Percent 5 10 2 4 2" xfId="9579" xr:uid="{17BB362F-67E6-4815-944A-E3A4EAB0EC59}"/>
    <cellStyle name="Percent 5 10 2 4 2 2" xfId="41344" xr:uid="{84ACC716-A4B0-4D41-89B2-CA584FF89276}"/>
    <cellStyle name="Percent 5 10 2 4 3" xfId="41345" xr:uid="{EA1BF917-87C1-4A82-A784-2591A58B44D5}"/>
    <cellStyle name="Percent 5 10 2 5" xfId="9580" xr:uid="{BF4A2FD3-DFD7-43D3-8A60-901BBC5E0769}"/>
    <cellStyle name="Percent 5 10 2 5 2" xfId="9581" xr:uid="{75A6D4DA-60AE-496E-8927-FAB51D3C8CE4}"/>
    <cellStyle name="Percent 5 10 2 5 2 2" xfId="41346" xr:uid="{BFDCDFB6-3815-40E5-AACE-C8A83A3829E3}"/>
    <cellStyle name="Percent 5 10 2 5 3" xfId="41347" xr:uid="{2036A433-0DBF-4B06-9CFE-E1242B45EE3E}"/>
    <cellStyle name="Percent 5 10 2 6" xfId="9582" xr:uid="{7345F43D-5B47-4241-AED0-EBF73BD743F6}"/>
    <cellStyle name="Percent 5 10 2 6 2" xfId="41348" xr:uid="{3A57E63F-B3BD-42AD-9223-CFDEC1BC4757}"/>
    <cellStyle name="Percent 5 10 2 7" xfId="9583" xr:uid="{2DAD8D7F-4EFE-482D-9FA7-C59C83D56F28}"/>
    <cellStyle name="Percent 5 10 2 7 2" xfId="41349" xr:uid="{50B723E8-64C1-49DD-BC75-EF313934EE93}"/>
    <cellStyle name="Percent 5 10 2 8" xfId="41350" xr:uid="{3C27E097-1068-44A9-90DF-70556BBDB34D}"/>
    <cellStyle name="Percent 5 10 2 9" xfId="44761" xr:uid="{0A3359F1-95B8-41C1-90DF-22F7740FDF46}"/>
    <cellStyle name="Percent 5 10 3" xfId="9584" xr:uid="{BAA2F8D6-8A26-47BB-8282-2080718B85BA}"/>
    <cellStyle name="Percent 5 11" xfId="9585" xr:uid="{CB15EBAC-79D7-4EB2-A198-11FB99BD2D6C}"/>
    <cellStyle name="Percent 5 11 2" xfId="9586" xr:uid="{537D61A9-9B26-49FC-A9F3-C4ACBC3B8CDD}"/>
    <cellStyle name="Percent 5 11 2 2" xfId="9587" xr:uid="{329FFBBE-CE48-4030-B4E5-B95600FBCA46}"/>
    <cellStyle name="Percent 5 11 2 2 2" xfId="9588" xr:uid="{1ADFC2BB-3C27-4458-A128-BEF699C92D0B}"/>
    <cellStyle name="Percent 5 11 2 2 2 2" xfId="41351" xr:uid="{66EB793F-3943-4325-B2B5-9A9FCAB0FA78}"/>
    <cellStyle name="Percent 5 11 2 2 3" xfId="41352" xr:uid="{C9359A09-D3A0-4ECE-AE70-8214C8C6705F}"/>
    <cellStyle name="Percent 5 11 2 3" xfId="9589" xr:uid="{575FAAE2-ECD0-49EE-A2BE-39C5CF21E0BF}"/>
    <cellStyle name="Percent 5 11 2 3 2" xfId="41353" xr:uid="{6C7D11DF-B9DE-41E6-AB84-DB6CE8EBAF90}"/>
    <cellStyle name="Percent 5 11 2 4" xfId="9590" xr:uid="{7ED5A19E-F63D-4CEB-981C-52BFAC2A87EA}"/>
    <cellStyle name="Percent 5 11 2 4 2" xfId="41354" xr:uid="{76A46EB5-F491-4EDD-871E-61CA7734601F}"/>
    <cellStyle name="Percent 5 11 2 5" xfId="41355" xr:uid="{B1C8BA6E-530D-4F08-A04B-1B4640FDDB9E}"/>
    <cellStyle name="Percent 5 11 3" xfId="9591" xr:uid="{F5162CF2-AC2B-4584-AE4C-9CDBAEBFFD1A}"/>
    <cellStyle name="Percent 5 11 3 2" xfId="9592" xr:uid="{967B715E-D9EA-483D-A373-75B9EF53CB47}"/>
    <cellStyle name="Percent 5 11 3 2 2" xfId="9593" xr:uid="{9EEBA544-C9F3-4A0A-943B-4C8D72501E3C}"/>
    <cellStyle name="Percent 5 11 3 2 2 2" xfId="41356" xr:uid="{5BF4ED6F-8BD7-42D3-9353-181A7E21246F}"/>
    <cellStyle name="Percent 5 11 3 2 3" xfId="41357" xr:uid="{0B5F2CA8-EE0E-4486-B0EE-27FA2EF9ECBA}"/>
    <cellStyle name="Percent 5 11 3 3" xfId="9594" xr:uid="{615E65DD-661C-45D8-B6C5-65A8F2B01088}"/>
    <cellStyle name="Percent 5 11 3 3 2" xfId="41358" xr:uid="{D3F18E6C-D076-4CAB-B4F7-3A03780BD9AA}"/>
    <cellStyle name="Percent 5 11 3 4" xfId="9595" xr:uid="{BC7FE8C0-49C4-443C-8A31-CAAF128B0A5B}"/>
    <cellStyle name="Percent 5 11 3 4 2" xfId="41359" xr:uid="{15DE5347-F37C-4E79-9954-A01BC86F8EB7}"/>
    <cellStyle name="Percent 5 11 3 5" xfId="41360" xr:uid="{72CEDC10-168D-4B6F-8031-B03C939CD9C8}"/>
    <cellStyle name="Percent 5 11 4" xfId="9596" xr:uid="{0800A83E-A5D6-42AE-94FF-A745C705BE7F}"/>
    <cellStyle name="Percent 5 11 4 2" xfId="9597" xr:uid="{2DE16BA8-3442-4527-A396-3B7C20555F1A}"/>
    <cellStyle name="Percent 5 11 4 2 2" xfId="41361" xr:uid="{B4D77717-4FC2-4C39-9C85-08CE8CFD380F}"/>
    <cellStyle name="Percent 5 11 4 3" xfId="41362" xr:uid="{1121FD82-D43C-4E93-A6F0-2265973A122C}"/>
    <cellStyle name="Percent 5 11 5" xfId="9598" xr:uid="{02FF90CF-6DE6-4079-9CB6-29CD1FD4B38E}"/>
    <cellStyle name="Percent 5 11 5 2" xfId="9599" xr:uid="{42138C79-6566-4808-B35E-352E4F7114A6}"/>
    <cellStyle name="Percent 5 11 5 2 2" xfId="41363" xr:uid="{2AF02B7C-D9D5-4024-B427-4E7A7B6406AA}"/>
    <cellStyle name="Percent 5 11 5 3" xfId="41364" xr:uid="{BDCC2017-A116-4232-84C2-1A0BDADCB336}"/>
    <cellStyle name="Percent 5 11 6" xfId="9600" xr:uid="{B5722B4A-0813-4A6A-A47E-878880E9E32E}"/>
    <cellStyle name="Percent 5 11 6 2" xfId="41365" xr:uid="{70080155-8FF4-474C-807F-8C9AF66E652C}"/>
    <cellStyle name="Percent 5 11 7" xfId="9601" xr:uid="{87F8A261-5701-4C35-A30D-B83454DDD1F2}"/>
    <cellStyle name="Percent 5 11 7 2" xfId="41366" xr:uid="{43A28838-77D4-4B41-9215-76F0F55BB370}"/>
    <cellStyle name="Percent 5 11 8" xfId="41367" xr:uid="{72CE4358-DA53-4721-8995-26FFCB662B66}"/>
    <cellStyle name="Percent 5 12" xfId="9602" xr:uid="{D8AB976F-A4F7-48F2-A727-18AB15FB82A0}"/>
    <cellStyle name="Percent 5 12 2" xfId="9603" xr:uid="{99EA30D4-2DB4-496A-A1E7-E77C9153F5DE}"/>
    <cellStyle name="Percent 5 12 2 2" xfId="9604" xr:uid="{D449375A-67DE-41C5-8A4B-302DA6795AC0}"/>
    <cellStyle name="Percent 5 12 2 2 2" xfId="41368" xr:uid="{8B490C37-AC4A-4256-964B-EA295DA1A073}"/>
    <cellStyle name="Percent 5 12 2 3" xfId="41369" xr:uid="{FA0BEC75-3B08-4AF6-8260-D9A8A119A644}"/>
    <cellStyle name="Percent 5 12 3" xfId="9605" xr:uid="{23DFC13E-0331-49D2-9AFC-17F42344905C}"/>
    <cellStyle name="Percent 5 12 3 2" xfId="41370" xr:uid="{FCD034AE-A849-4D86-B4B3-398D7A930E96}"/>
    <cellStyle name="Percent 5 12 4" xfId="9606" xr:uid="{E2450F22-8E8B-401F-821C-215401F1F609}"/>
    <cellStyle name="Percent 5 12 4 2" xfId="41371" xr:uid="{0020B858-B6BF-4906-86E8-0908DD5476D0}"/>
    <cellStyle name="Percent 5 12 5" xfId="41372" xr:uid="{FE72B1A7-E3F0-43C6-8D67-04C8B6ADB1D5}"/>
    <cellStyle name="Percent 5 13" xfId="9607" xr:uid="{650E354F-E639-425B-BC14-E778D1883C1C}"/>
    <cellStyle name="Percent 5 13 2" xfId="9608" xr:uid="{C9B2C57D-55DD-4E9D-87D8-43AA85F24AB0}"/>
    <cellStyle name="Percent 5 13 2 2" xfId="9609" xr:uid="{DF9F9478-7F54-4C70-A454-EECFF88D2A61}"/>
    <cellStyle name="Percent 5 13 2 2 2" xfId="41373" xr:uid="{820AE1E6-8A7E-46BF-B154-BF1572CA28C4}"/>
    <cellStyle name="Percent 5 13 2 3" xfId="41374" xr:uid="{3249BB0B-498C-4D1F-8E72-B7A3B0693F35}"/>
    <cellStyle name="Percent 5 13 3" xfId="9610" xr:uid="{2B3F5F1E-B7E6-464C-8752-FB6A1772FD57}"/>
    <cellStyle name="Percent 5 13 3 2" xfId="41375" xr:uid="{97C6F871-38C4-426C-B171-4FB6FA9F8D40}"/>
    <cellStyle name="Percent 5 13 4" xfId="9611" xr:uid="{CED56CEC-3626-4808-A0EF-E72C7274FB9E}"/>
    <cellStyle name="Percent 5 13 4 2" xfId="41376" xr:uid="{5B0FD9DA-62E1-4F81-8534-9A1DCCC0244C}"/>
    <cellStyle name="Percent 5 13 5" xfId="41377" xr:uid="{B1607110-A2CC-4B3A-B4E0-F805F17A9A92}"/>
    <cellStyle name="Percent 5 14" xfId="9612" xr:uid="{B2DC9403-7D71-4D42-B00D-E44A10E5D2B4}"/>
    <cellStyle name="Percent 5 14 2" xfId="9613" xr:uid="{40097158-E4D6-46A6-B77D-0058E9A8FFBA}"/>
    <cellStyle name="Percent 5 14 2 2" xfId="41378" xr:uid="{D6DC10EB-646A-40D4-8AD4-F373B4A07F51}"/>
    <cellStyle name="Percent 5 14 3" xfId="9614" xr:uid="{76ACE619-109A-4E8E-BD84-A186E6BEE0FD}"/>
    <cellStyle name="Percent 5 14 3 2" xfId="41379" xr:uid="{BEC92F25-033C-436E-8346-CFA18C6C18E8}"/>
    <cellStyle name="Percent 5 14 4" xfId="41380" xr:uid="{C252E25A-6CA9-4F5B-9619-BCDC794626B7}"/>
    <cellStyle name="Percent 5 15" xfId="9615" xr:uid="{C423F2DE-884E-4B0D-81BC-F2C26A0CF9E6}"/>
    <cellStyle name="Percent 5 15 2" xfId="9616" xr:uid="{D2B7B14D-2964-491D-B6FE-CB3390A17BD0}"/>
    <cellStyle name="Percent 5 15 2 2" xfId="41381" xr:uid="{D6F113C2-DFBB-4418-9D69-D52A5D742667}"/>
    <cellStyle name="Percent 5 15 3" xfId="9617" xr:uid="{22D50E74-D6CD-4BD3-97B9-8BB8604A1313}"/>
    <cellStyle name="Percent 5 15 4" xfId="41382" xr:uid="{5A873089-CE97-4CA1-831E-F29440D93765}"/>
    <cellStyle name="Percent 5 16" xfId="9618" xr:uid="{958C5277-6163-4478-8046-80CD06A78305}"/>
    <cellStyle name="Percent 5 16 2" xfId="41383" xr:uid="{B0256BF0-F019-4ECD-8516-1B81B5D09B2A}"/>
    <cellStyle name="Percent 5 17" xfId="9619" xr:uid="{0B62B71C-CC20-4DFD-AD12-83F9F4339969}"/>
    <cellStyle name="Percent 5 18" xfId="44190" xr:uid="{2EAF85DC-4856-46EA-B908-A1D62F49E65D}"/>
    <cellStyle name="Percent 5 19" xfId="44727" xr:uid="{1D7F688C-F6A1-47D0-8558-DB74B55382A8}"/>
    <cellStyle name="Percent 5 2" xfId="3043" xr:uid="{B26B239F-61F4-48EE-8CF3-66125FBCA91F}"/>
    <cellStyle name="Percent 5 2 2" xfId="9620" xr:uid="{17CA06D8-E28D-4AA8-A8DA-83F9F3770CEC}"/>
    <cellStyle name="Percent 5 2 2 2" xfId="44678" xr:uid="{D8F71FC2-75BB-4FA2-B4B9-0718CCBCFB01}"/>
    <cellStyle name="Percent 5 2 2 2 2" xfId="44679" xr:uid="{01F043F7-5318-451E-91FD-819ABA174C86}"/>
    <cellStyle name="Percent 5 2 2 3" xfId="44680" xr:uid="{4F1C679F-3E2B-4E05-BDBA-2E090224A459}"/>
    <cellStyle name="Percent 5 2 3" xfId="9621" xr:uid="{FBF23C15-BD12-4ACB-9743-D034CD23CB9C}"/>
    <cellStyle name="Percent 5 2 3 2" xfId="44681" xr:uid="{41970ECB-06F5-47A0-BD89-83B20611CAAD}"/>
    <cellStyle name="Percent 5 2 4" xfId="9622" xr:uid="{F1C4F060-A2E3-45D8-BC1D-453DBC26FBCF}"/>
    <cellStyle name="Percent 5 2 5" xfId="9623" xr:uid="{467696E3-64D1-4A73-8DD5-1C1671F68217}"/>
    <cellStyle name="Percent 5 20" xfId="44807" xr:uid="{C56A8BDE-2993-465A-B129-AA3FEB446000}"/>
    <cellStyle name="Percent 5 3" xfId="9624" xr:uid="{EE43E780-53D6-4B45-9898-3328F270870F}"/>
    <cellStyle name="Percent 5 3 2" xfId="9625" xr:uid="{EBE905B9-1C20-4EF7-88BE-BA88809B8FA9}"/>
    <cellStyle name="Percent 5 3 2 2" xfId="44682" xr:uid="{6AA194E7-07C7-491D-B176-9DE2956D6E30}"/>
    <cellStyle name="Percent 5 3 3" xfId="44683" xr:uid="{755DCB57-BAAE-4F07-B1A8-15CECDD7A37C}"/>
    <cellStyle name="Percent 5 4" xfId="9626" xr:uid="{5DD8ABB5-3A25-41F6-AE6A-E5099B4569C8}"/>
    <cellStyle name="Percent 5 4 2" xfId="44684" xr:uid="{0C36DF3E-8E55-4D0B-8E84-A5A7A358C1DB}"/>
    <cellStyle name="Percent 5 5" xfId="9627" xr:uid="{6185FC60-BD58-4CD8-86C2-91632729EB43}"/>
    <cellStyle name="Percent 5 6" xfId="9628" xr:uid="{4A2011DC-42DE-430C-8F04-CCE8BA665FEB}"/>
    <cellStyle name="Percent 5 7" xfId="9629" xr:uid="{61C8C418-20B1-4A1D-B5DA-2CA1DFDF2246}"/>
    <cellStyle name="Percent 5 8" xfId="9630" xr:uid="{5AC38D88-00A4-4543-A3E4-9D081AE8B86C}"/>
    <cellStyle name="Percent 5 9" xfId="9631" xr:uid="{E5236A41-EB67-4013-B0D1-17E4F66AB915}"/>
    <cellStyle name="Percent 50" xfId="44685" xr:uid="{F4CEE6B6-6BB4-4BEC-B874-52BF22455D82}"/>
    <cellStyle name="Percent 51" xfId="44686" xr:uid="{33D5BC60-B0A3-4ED9-8F56-452B9DB95C64}"/>
    <cellStyle name="Percent 52" xfId="44687" xr:uid="{29145462-39C3-452F-AF97-157910EF1C95}"/>
    <cellStyle name="Percent 53" xfId="44688" xr:uid="{095B7F0E-C4AB-44CB-BB8A-A854A765DCE2}"/>
    <cellStyle name="Percent 54" xfId="44689" xr:uid="{1292F270-82B4-4392-8D5C-EC6D4E483CDC}"/>
    <cellStyle name="Percent 55" xfId="44690" xr:uid="{90C69A13-F651-4AD3-9B8C-A63D6D1AFBB5}"/>
    <cellStyle name="Percent 56" xfId="44691" xr:uid="{699F9AE1-005C-4E0C-8C03-6DB4F391F8DD}"/>
    <cellStyle name="Percent 57" xfId="44692" xr:uid="{E41B26D4-4D8C-48D3-926D-0FEAD2AA90C6}"/>
    <cellStyle name="Percent 58" xfId="44693" xr:uid="{1B97E60A-61C0-4A80-AEB6-D0D659D9A10E}"/>
    <cellStyle name="Percent 59" xfId="44694" xr:uid="{9571913D-34C2-4331-B74D-8CCCB91A3772}"/>
    <cellStyle name="Percent 6" xfId="3044" xr:uid="{2EA6B176-C92A-4B48-BAC9-5A7FDF84BD19}"/>
    <cellStyle name="Percent 6 2" xfId="9632" xr:uid="{D092A28D-E7BF-441E-AC6E-42AC2C8027E2}"/>
    <cellStyle name="Percent 6 2 2" xfId="9633" xr:uid="{280ACCAD-65CD-4E69-B57E-A315438A792A}"/>
    <cellStyle name="Percent 6 3" xfId="9634" xr:uid="{253613D7-94C0-46F5-9AEA-8E4FB0DF142C}"/>
    <cellStyle name="Percent 6 4" xfId="9635" xr:uid="{03004718-444C-4177-8D09-0F39120B7030}"/>
    <cellStyle name="Percent 6 5" xfId="9636" xr:uid="{DFE98ABC-0344-44A5-840D-D031A849DE09}"/>
    <cellStyle name="Percent 6 6" xfId="9637" xr:uid="{10AA3B3E-60D7-4932-8A0E-2731DB718D37}"/>
    <cellStyle name="Percent 6 7" xfId="9638" xr:uid="{FD16536D-B559-4D3B-957D-2BEA88D44B89}"/>
    <cellStyle name="Percent 60" xfId="44695" xr:uid="{EA12C097-A0B8-4705-B74B-F424BD3AD842}"/>
    <cellStyle name="Percent 61" xfId="44696" xr:uid="{0494DF31-32B1-4491-96AE-3B1800B82F41}"/>
    <cellStyle name="Percent 62" xfId="44697" xr:uid="{31D0B92F-6E13-4683-AC34-55D962103BE1}"/>
    <cellStyle name="Percent 63" xfId="44698" xr:uid="{AA904D2A-FD1C-4EE7-B32E-ACA192AAEFFE}"/>
    <cellStyle name="Percent 64" xfId="44699" xr:uid="{721B5C43-0013-445C-88FA-67129DA1147C}"/>
    <cellStyle name="Percent 65" xfId="44700" xr:uid="{E32C7932-2719-47A9-A19C-4E56494D5BB0}"/>
    <cellStyle name="Percent 66" xfId="44701" xr:uid="{D393D236-D4F3-4A67-A527-1ABEBE2CCA7D}"/>
    <cellStyle name="Percent 67" xfId="44702" xr:uid="{29DF7FF2-4049-4E36-9527-1019A3B30BF6}"/>
    <cellStyle name="Percent 68" xfId="44703" xr:uid="{A44261EA-0584-4A8E-B402-976ADC3DC232}"/>
    <cellStyle name="Percent 69" xfId="44704" xr:uid="{ECC7F5F8-4B1F-4817-AB36-FD046176A2A7}"/>
    <cellStyle name="Percent 7" xfId="3045" xr:uid="{DD6CA3A0-B4D4-45A0-8B07-BD14F93F8576}"/>
    <cellStyle name="Percent 70" xfId="44705" xr:uid="{AF376730-C481-4A6C-AB17-8F54D3E990C2}"/>
    <cellStyle name="Percent 71" xfId="44706" xr:uid="{FEC3071D-9039-4E53-ADBA-9C8DF096E27F}"/>
    <cellStyle name="Percent 72" xfId="44707" xr:uid="{0278BBCF-A8A2-48DD-A1C4-3095D5524AEE}"/>
    <cellStyle name="Percent 73" xfId="44708" xr:uid="{D23CD123-3FB2-4B7A-A34D-76F8B521CF5B}"/>
    <cellStyle name="Percent 74" xfId="44709" xr:uid="{EB0BD6E0-A93B-44A7-840E-26C80A815718}"/>
    <cellStyle name="Percent 75" xfId="44710" xr:uid="{C04151BE-28BE-4988-850D-12003106B51D}"/>
    <cellStyle name="Percent 76" xfId="44711" xr:uid="{6E376B65-7B24-43DD-9FE8-305C1F98F0FF}"/>
    <cellStyle name="Percent 77" xfId="44734" xr:uid="{3D875163-F686-4B96-9217-3E162A53F637}"/>
    <cellStyle name="Percent 78" xfId="44752" xr:uid="{1EEFE1F7-01D5-4ACD-9035-4D4F8C2778CD}"/>
    <cellStyle name="Percent 79" xfId="44758" xr:uid="{7CEB0287-ABE8-4E5F-A488-CB05C49EA769}"/>
    <cellStyle name="Percent 8" xfId="3046" xr:uid="{D909D231-908E-435D-874F-CB21FAF10F1E}"/>
    <cellStyle name="Percent 8 2" xfId="9639" xr:uid="{ABEC3C5E-4A04-4CAC-B30D-08923E01B11D}"/>
    <cellStyle name="Percent 80" xfId="36" xr:uid="{3A66D61C-8D40-492B-87B7-81637C8E1670}"/>
    <cellStyle name="Percent 9" xfId="9640" xr:uid="{9B145EA2-685D-4646-8858-A1ABF52D2C0A}"/>
    <cellStyle name="Percent 9 2" xfId="9641" xr:uid="{03D719F7-C93A-46EB-B81A-52965595BD82}"/>
    <cellStyle name="PSChar" xfId="55" xr:uid="{D48ABC21-3EE0-4E97-8E19-9781B7A078CB}"/>
    <cellStyle name="PSDate" xfId="56" xr:uid="{C7B7B3D5-98FB-42EA-B922-547D7F3D0348}"/>
    <cellStyle name="PSDec" xfId="57" xr:uid="{A07410D1-DF25-4AC6-A821-9829C15638ED}"/>
    <cellStyle name="PSHeading" xfId="58" xr:uid="{53FD2AB4-2D25-4E62-A06A-D1EE359D0668}"/>
    <cellStyle name="PSHeading 2" xfId="9642" xr:uid="{187A699B-B953-43A1-8986-12BC69F8EC3B}"/>
    <cellStyle name="PSHeading 2 2" xfId="9643" xr:uid="{F2BC5064-1C80-4135-80A4-463DB79A7FBF}"/>
    <cellStyle name="PSHeading 3" xfId="9644" xr:uid="{06224705-349C-4789-994F-F152E0CD5044}"/>
    <cellStyle name="PSInt" xfId="59" xr:uid="{DA99B84C-C492-41FC-960A-D0B51F95CDCD}"/>
    <cellStyle name="PSSpacer" xfId="60" xr:uid="{B025BA2D-23FC-4BCE-9C42-89CA96CFFC4E}"/>
    <cellStyle name="Questionable" xfId="44820" xr:uid="{079BC349-466C-4AF4-B84C-70274F2055DD}"/>
    <cellStyle name="Row Stub" xfId="3047" xr:uid="{47828852-314D-46C5-A48B-F402961D5B1C}"/>
    <cellStyle name="SAPBEXaggData" xfId="9645" xr:uid="{7A185564-BA35-4D9C-885E-0DBEAB399EA8}"/>
    <cellStyle name="SAPBEXaggData 2" xfId="41384" xr:uid="{5BB6826D-4499-4723-9A97-A9EF8911F105}"/>
    <cellStyle name="SAPBEXaggData 3" xfId="41385" xr:uid="{9EC861E2-00F5-4B4C-805E-07D12BE2DF0A}"/>
    <cellStyle name="SAPBEXaggData 4" xfId="41386" xr:uid="{D847C115-949D-4636-BB8C-BCB1F0D76A58}"/>
    <cellStyle name="SAPBEXaggData 5" xfId="41387" xr:uid="{F9CC530C-BB81-4E92-AA89-6BAE2985D68A}"/>
    <cellStyle name="SAPBEXaggData 6" xfId="41388" xr:uid="{373592E5-FF0E-4B72-8A8C-0C0C03599FDD}"/>
    <cellStyle name="SAPBEXaggDataEmph" xfId="9646" xr:uid="{E8B0E502-E66E-4CAA-95D7-2E98AD3112AF}"/>
    <cellStyle name="SAPBEXaggDataEmph 2" xfId="41389" xr:uid="{D2791B04-D431-4476-B154-B7EAEC1322ED}"/>
    <cellStyle name="SAPBEXaggDataEmph 3" xfId="41390" xr:uid="{86645FE2-3E6C-41AC-8720-F6BA008F9346}"/>
    <cellStyle name="SAPBEXaggDataEmph 4" xfId="41391" xr:uid="{8E7A6602-1E8A-42C5-9EE3-A2B2057B30FE}"/>
    <cellStyle name="SAPBEXaggDataEmph 5" xfId="41392" xr:uid="{AED73857-D142-4C05-9C47-E156B0D65187}"/>
    <cellStyle name="SAPBEXaggDataEmph 6" xfId="41393" xr:uid="{BFA9E8DF-9A33-411B-A94D-3F1BE0CA2B22}"/>
    <cellStyle name="SAPBEXaggItem" xfId="9647" xr:uid="{2384166F-ED6A-4EA1-B2A3-80959ABA796F}"/>
    <cellStyle name="SAPBEXaggItem 2" xfId="41394" xr:uid="{AF5173DE-26C3-446B-8F27-DFEBF74B4568}"/>
    <cellStyle name="SAPBEXaggItem 3" xfId="41395" xr:uid="{5F5321C0-E2EE-46AE-B169-EBF289EFB11C}"/>
    <cellStyle name="SAPBEXaggItem 4" xfId="41396" xr:uid="{FC57F2C3-46E8-4913-81C8-610DF34E94C4}"/>
    <cellStyle name="SAPBEXaggItem 5" xfId="41397" xr:uid="{41C137C6-7C92-450F-827B-C3512DD0E965}"/>
    <cellStyle name="SAPBEXaggItem 6" xfId="41398" xr:uid="{2979427B-4F00-4477-86E2-C7EDEA3A1E9D}"/>
    <cellStyle name="SAPBEXaggItemX" xfId="9648" xr:uid="{C599B791-D28A-42D6-B8A6-CFAC9E748284}"/>
    <cellStyle name="SAPBEXaggItemX 2" xfId="41399" xr:uid="{68C55207-EB67-440B-A41E-30B7967516E9}"/>
    <cellStyle name="SAPBEXaggItemX 3" xfId="41400" xr:uid="{7B9AFD4E-E665-474A-9139-0139A0537E88}"/>
    <cellStyle name="SAPBEXaggItemX 4" xfId="41401" xr:uid="{755485BD-41EF-418E-B6DA-58C905ECE77A}"/>
    <cellStyle name="SAPBEXaggItemX 5" xfId="41402" xr:uid="{C306902A-CBF5-4A87-9F2E-FA912EE6C9A1}"/>
    <cellStyle name="SAPBEXaggItemX 6" xfId="41403" xr:uid="{615BA4BA-33D1-484C-A2FB-D0435D2D646D}"/>
    <cellStyle name="SAPBEXchaText" xfId="9649" xr:uid="{E4FA39A4-E0D8-44B1-A30A-8A2AB8712963}"/>
    <cellStyle name="SAPBEXexcBad7" xfId="9650" xr:uid="{8A6B3639-3FAE-47C5-9379-0D4607A7D87D}"/>
    <cellStyle name="SAPBEXexcBad7 2" xfId="41404" xr:uid="{04C49878-7B9C-4435-8878-9E5174E30E62}"/>
    <cellStyle name="SAPBEXexcBad7 3" xfId="41405" xr:uid="{1BFEF769-EBBB-4346-B1CB-D705A7EF9A5C}"/>
    <cellStyle name="SAPBEXexcBad7 4" xfId="41406" xr:uid="{D77B0AB9-1B16-490C-9EDB-D95802208550}"/>
    <cellStyle name="SAPBEXexcBad7 5" xfId="41407" xr:uid="{684E5DAC-5217-4520-AC44-3A0DCD26452D}"/>
    <cellStyle name="SAPBEXexcBad7 6" xfId="41408" xr:uid="{3C63B189-2A01-47DB-9EE1-873E7EF28ECA}"/>
    <cellStyle name="SAPBEXexcBad8" xfId="9651" xr:uid="{EF7C7FF4-85EC-43C0-8274-53E1C12DE8EA}"/>
    <cellStyle name="SAPBEXexcBad8 2" xfId="41409" xr:uid="{5835B2CE-5D01-4184-9AB8-3AE96EE54BF5}"/>
    <cellStyle name="SAPBEXexcBad8 3" xfId="41410" xr:uid="{1B8DEC50-64D0-4839-8C06-F5CB9CD63FB6}"/>
    <cellStyle name="SAPBEXexcBad8 4" xfId="41411" xr:uid="{1689497E-AA80-4F42-A334-83C5C9BBF81F}"/>
    <cellStyle name="SAPBEXexcBad8 5" xfId="41412" xr:uid="{750751EE-CC39-4A7D-88FB-3DD42135434B}"/>
    <cellStyle name="SAPBEXexcBad8 6" xfId="41413" xr:uid="{5F001645-BC67-46A5-9746-3F73F09962F2}"/>
    <cellStyle name="SAPBEXexcBad9" xfId="9652" xr:uid="{D96751E7-CC56-4798-BE98-6EF7FD5300DF}"/>
    <cellStyle name="SAPBEXexcBad9 2" xfId="41414" xr:uid="{5A1F5274-499B-4481-AA24-DD34876CE17D}"/>
    <cellStyle name="SAPBEXexcBad9 3" xfId="41415" xr:uid="{D1AD9A3E-0D44-45E2-9850-568DF9F275A9}"/>
    <cellStyle name="SAPBEXexcBad9 4" xfId="41416" xr:uid="{E191C294-A845-41CB-8BF6-B55701950A95}"/>
    <cellStyle name="SAPBEXexcBad9 5" xfId="41417" xr:uid="{11656839-7EF8-4A64-956D-F4A6999EA1AD}"/>
    <cellStyle name="SAPBEXexcBad9 6" xfId="41418" xr:uid="{46288588-10AE-4670-975E-CA073240D34E}"/>
    <cellStyle name="SAPBEXexcCritical4" xfId="9653" xr:uid="{DED61432-FCD4-4CEB-A6E9-7E802E0512B1}"/>
    <cellStyle name="SAPBEXexcCritical4 2" xfId="41419" xr:uid="{01CFA0B0-12AA-4DDD-8E55-E544DF1AE493}"/>
    <cellStyle name="SAPBEXexcCritical4 3" xfId="41420" xr:uid="{69E8902D-0718-4471-B42E-42FE8B4B30ED}"/>
    <cellStyle name="SAPBEXexcCritical4 4" xfId="41421" xr:uid="{74667785-F352-4C1E-9194-829C80694BAB}"/>
    <cellStyle name="SAPBEXexcCritical4 5" xfId="41422" xr:uid="{254EFE95-BCE0-410A-BB0C-D1962E2FDC65}"/>
    <cellStyle name="SAPBEXexcCritical4 6" xfId="41423" xr:uid="{20C5445A-8BF5-451A-ADB9-38B84D5BF2DF}"/>
    <cellStyle name="SAPBEXexcCritical5" xfId="9654" xr:uid="{87AFDD6F-62DC-4CAD-A32F-6320BBB8B2A0}"/>
    <cellStyle name="SAPBEXexcCritical5 2" xfId="41424" xr:uid="{4B918162-E7E6-43EA-85C2-664CF0103FD6}"/>
    <cellStyle name="SAPBEXexcCritical5 3" xfId="41425" xr:uid="{E83CA7E7-3652-405F-A0DC-9A0EEDFA8C04}"/>
    <cellStyle name="SAPBEXexcCritical5 4" xfId="41426" xr:uid="{97522846-CE8E-499F-BDC2-14310E29CF11}"/>
    <cellStyle name="SAPBEXexcCritical5 5" xfId="41427" xr:uid="{131A24DF-EC3E-4299-A25A-2E0B74CE7A5E}"/>
    <cellStyle name="SAPBEXexcCritical5 6" xfId="41428" xr:uid="{5543671B-230D-4A6A-A901-D4CE1C2A2EFE}"/>
    <cellStyle name="SAPBEXexcCritical6" xfId="9655" xr:uid="{8F14B227-572F-4648-9B9A-3BCCE23165BF}"/>
    <cellStyle name="SAPBEXexcCritical6 2" xfId="41429" xr:uid="{FF76042B-B3B2-44D9-AC96-EDC55C9A61FD}"/>
    <cellStyle name="SAPBEXexcCritical6 3" xfId="41430" xr:uid="{4B598417-6EED-48A6-832F-00B38CE9B5A9}"/>
    <cellStyle name="SAPBEXexcCritical6 4" xfId="41431" xr:uid="{3E3025DD-E35B-4F18-8F16-AACDD8A4B42D}"/>
    <cellStyle name="SAPBEXexcCritical6 5" xfId="41432" xr:uid="{B0FF0019-A0E6-489A-BD9C-800DE557A7A2}"/>
    <cellStyle name="SAPBEXexcCritical6 6" xfId="41433" xr:uid="{9B3C409B-BE96-4839-B9AA-235968564175}"/>
    <cellStyle name="SAPBEXexcGood1" xfId="9656" xr:uid="{E9A30DD5-36B7-4245-94AD-7F90974E879B}"/>
    <cellStyle name="SAPBEXexcGood1 2" xfId="41434" xr:uid="{A22471A1-3E7F-47D0-A09D-F819780B46C1}"/>
    <cellStyle name="SAPBEXexcGood1 3" xfId="41435" xr:uid="{C52163AC-63F8-4C15-8F05-E5109E5AF4DE}"/>
    <cellStyle name="SAPBEXexcGood1 4" xfId="41436" xr:uid="{18868CD8-D726-4FB4-8E43-D8F943E73D70}"/>
    <cellStyle name="SAPBEXexcGood1 5" xfId="41437" xr:uid="{CF175203-6905-4044-9998-CAE34D1A4F88}"/>
    <cellStyle name="SAPBEXexcGood1 6" xfId="41438" xr:uid="{064E8583-5BCE-4E47-965B-49365A0EEA9D}"/>
    <cellStyle name="SAPBEXexcGood2" xfId="9657" xr:uid="{30404ED0-4037-46A4-85B9-F66111024B19}"/>
    <cellStyle name="SAPBEXexcGood2 2" xfId="41439" xr:uid="{4DDD2531-4B14-47B2-A592-3B3A389E4124}"/>
    <cellStyle name="SAPBEXexcGood2 3" xfId="41440" xr:uid="{9CE15312-0B4F-4971-B8C1-A42810C543B8}"/>
    <cellStyle name="SAPBEXexcGood2 4" xfId="41441" xr:uid="{C9642F2D-9C93-431B-8E92-C90CFF634907}"/>
    <cellStyle name="SAPBEXexcGood2 5" xfId="41442" xr:uid="{FBADDF6F-AA2B-4A4A-989C-9341862477CF}"/>
    <cellStyle name="SAPBEXexcGood2 6" xfId="41443" xr:uid="{C3F9862E-8152-491C-AB66-4A364E585EAA}"/>
    <cellStyle name="SAPBEXexcGood3" xfId="9658" xr:uid="{EC7B5458-E70A-4572-93C5-E9CAA3507FA8}"/>
    <cellStyle name="SAPBEXexcGood3 2" xfId="41444" xr:uid="{9F2BB196-3FDE-45E9-981E-D685AF2FC6A4}"/>
    <cellStyle name="SAPBEXexcGood3 3" xfId="41445" xr:uid="{D7DA377B-0488-4C1E-A186-6D7610AF5B98}"/>
    <cellStyle name="SAPBEXexcGood3 4" xfId="41446" xr:uid="{2F28884D-B735-4DFD-A27E-856EDFBAAFA9}"/>
    <cellStyle name="SAPBEXexcGood3 5" xfId="41447" xr:uid="{4254BCDF-D949-4341-A638-562EB13CF5DF}"/>
    <cellStyle name="SAPBEXexcGood3 6" xfId="41448" xr:uid="{B9C72F4C-3371-4579-AAB8-02F36755E75E}"/>
    <cellStyle name="SAPBEXfilterDrill" xfId="9659" xr:uid="{6A9BD74A-7304-45F4-9C26-3DE2693D16D6}"/>
    <cellStyle name="SAPBEXfilterDrill 2" xfId="9660" xr:uid="{905C8BBE-BB76-4A84-B544-3E480A90939A}"/>
    <cellStyle name="SAPBEXfilterItem" xfId="9661" xr:uid="{A6510ACF-ACD1-4555-8673-3C4101F9C102}"/>
    <cellStyle name="SAPBEXfilterText" xfId="9662" xr:uid="{F69BF5D0-8AF1-4649-9013-661F5A471FC7}"/>
    <cellStyle name="SAPBEXformats" xfId="9663" xr:uid="{FD482E6B-1F4A-4DB0-8EF9-D77202E40F6D}"/>
    <cellStyle name="SAPBEXformats 2" xfId="41449" xr:uid="{0128BEDA-D864-4A5B-8E5D-908CC62A12E8}"/>
    <cellStyle name="SAPBEXformats 3" xfId="41450" xr:uid="{CC741AB4-C435-4C35-9AB2-8B60A13DB3EE}"/>
    <cellStyle name="SAPBEXformats 4" xfId="41451" xr:uid="{8C13EBAA-CDF2-4CCC-837F-BAD295EB39F1}"/>
    <cellStyle name="SAPBEXformats 5" xfId="41452" xr:uid="{5DAE4D2F-AAD7-4DD8-8252-1BF78407D152}"/>
    <cellStyle name="SAPBEXformats 6" xfId="41453" xr:uid="{96F24C8A-0B94-4C8A-A636-36CF4D3993F4}"/>
    <cellStyle name="SAPBEXheaderItem" xfId="9664" xr:uid="{1272D08B-33BF-4265-8F54-49A0119E8145}"/>
    <cellStyle name="SAPBEXheaderText" xfId="9665" xr:uid="{13DCFEB5-9AA6-4123-AA51-768FF8CD8968}"/>
    <cellStyle name="SAPBEXHLevel0" xfId="9666" xr:uid="{1DC83A57-D228-4331-9623-5A402A3ECC02}"/>
    <cellStyle name="SAPBEXHLevel0 2" xfId="41454" xr:uid="{B4999D2A-3140-45D3-A4B0-DC540DAE15FE}"/>
    <cellStyle name="SAPBEXHLevel0 3" xfId="41455" xr:uid="{5ED23580-47DE-4825-8129-FA06196A789F}"/>
    <cellStyle name="SAPBEXHLevel0 4" xfId="41456" xr:uid="{DFB76EDA-3104-4A3D-9761-39C699D50146}"/>
    <cellStyle name="SAPBEXHLevel0 5" xfId="41457" xr:uid="{79FF3D3B-F1C3-41BF-A787-444411104BED}"/>
    <cellStyle name="SAPBEXHLevel0 6" xfId="41458" xr:uid="{760A1F5F-3475-4FF3-89B7-FEB0970E0F3F}"/>
    <cellStyle name="SAPBEXHLevel0X" xfId="9667" xr:uid="{F7774762-4E54-4E3A-859F-E8574DFD24F4}"/>
    <cellStyle name="SAPBEXHLevel0X 2" xfId="41459" xr:uid="{73555D13-4347-48D9-80C1-5995E4A06088}"/>
    <cellStyle name="SAPBEXHLevel0X 3" xfId="41460" xr:uid="{C8B944B4-3C76-44C3-B681-6C2D4B21BB1A}"/>
    <cellStyle name="SAPBEXHLevel0X 4" xfId="41461" xr:uid="{16AFB742-2462-48A3-BBB0-31D540C3F25A}"/>
    <cellStyle name="SAPBEXHLevel0X 5" xfId="41462" xr:uid="{41E1F420-E6DA-4261-BAE2-820B95BA3F0E}"/>
    <cellStyle name="SAPBEXHLevel0X 6" xfId="41463" xr:uid="{07FDA858-D43E-44C4-8546-0FC577EE7AD2}"/>
    <cellStyle name="SAPBEXHLevel1" xfId="9668" xr:uid="{5F146FD7-BECA-4865-BEBC-94232E7390D7}"/>
    <cellStyle name="SAPBEXHLevel1 2" xfId="41464" xr:uid="{C2DCF476-E905-4B01-AF1F-B228A60CCAF0}"/>
    <cellStyle name="SAPBEXHLevel1 3" xfId="41465" xr:uid="{8E2AA13E-390E-47C4-97AB-8BED34DB6F85}"/>
    <cellStyle name="SAPBEXHLevel1 4" xfId="41466" xr:uid="{A7C76761-4578-4C20-B070-B7E6B6E78124}"/>
    <cellStyle name="SAPBEXHLevel1 5" xfId="41467" xr:uid="{6FD4BCE1-EA86-473E-B01A-CF12109396EE}"/>
    <cellStyle name="SAPBEXHLevel1 6" xfId="41468" xr:uid="{6DE25541-065A-422C-B6E9-6452F343F5FF}"/>
    <cellStyle name="SAPBEXHLevel1X" xfId="9669" xr:uid="{565D0FE4-2892-4139-8301-0EE966658AF4}"/>
    <cellStyle name="SAPBEXHLevel1X 2" xfId="41469" xr:uid="{0C2C4F10-E9D0-43DE-B8A5-3F9B74304843}"/>
    <cellStyle name="SAPBEXHLevel1X 3" xfId="41470" xr:uid="{4CCFFA0E-8195-42B4-9B05-3D6CEEBF0518}"/>
    <cellStyle name="SAPBEXHLevel1X 4" xfId="41471" xr:uid="{35E80E30-7991-4C70-B450-936760E17E13}"/>
    <cellStyle name="SAPBEXHLevel1X 5" xfId="41472" xr:uid="{6A03DADF-7A76-4A9F-9223-D17DD2737931}"/>
    <cellStyle name="SAPBEXHLevel1X 6" xfId="41473" xr:uid="{7E2AF5CE-8041-421D-907A-7A1428D51BC3}"/>
    <cellStyle name="SAPBEXHLevel2" xfId="9670" xr:uid="{35CF664A-743A-46A4-BF76-5928DDB94965}"/>
    <cellStyle name="SAPBEXHLevel2 2" xfId="41474" xr:uid="{B7DF8C25-10C1-4F38-AF44-3D17D6226D5C}"/>
    <cellStyle name="SAPBEXHLevel2 3" xfId="41475" xr:uid="{0FBAB72E-3D33-4F8B-94F4-7914F6AF627E}"/>
    <cellStyle name="SAPBEXHLevel2 4" xfId="41476" xr:uid="{611112F9-953D-4A55-9B83-5EC39DCC38C4}"/>
    <cellStyle name="SAPBEXHLevel2 5" xfId="41477" xr:uid="{09B1A30B-AD59-488C-BFB3-A2C96DCAA90B}"/>
    <cellStyle name="SAPBEXHLevel2 6" xfId="41478" xr:uid="{A3A59C31-95C4-4898-A96F-E7CC90C1019F}"/>
    <cellStyle name="SAPBEXHLevel2X" xfId="9671" xr:uid="{4060B4B7-00BF-4246-9EC8-346938023C5A}"/>
    <cellStyle name="SAPBEXHLevel2X 2" xfId="41479" xr:uid="{C4C04E66-D5A7-45CD-9F43-D156668CC05B}"/>
    <cellStyle name="SAPBEXHLevel2X 3" xfId="41480" xr:uid="{DB87DCE2-6FC7-476E-9A66-2A8983D1F6F8}"/>
    <cellStyle name="SAPBEXHLevel2X 4" xfId="41481" xr:uid="{D37D5511-A424-45C7-917C-864805CFC8B5}"/>
    <cellStyle name="SAPBEXHLevel2X 5" xfId="41482" xr:uid="{E7D33BBF-4A73-4951-A5F8-1FD1D303FF73}"/>
    <cellStyle name="SAPBEXHLevel2X 6" xfId="41483" xr:uid="{B6691ECE-833A-4AC4-B7F6-080994E14334}"/>
    <cellStyle name="SAPBEXHLevel3" xfId="9672" xr:uid="{1BE44E8F-BAF6-4224-BDB0-7C18BCA40EED}"/>
    <cellStyle name="SAPBEXHLevel3 2" xfId="41484" xr:uid="{9B2E8D42-48B9-44BA-9FD0-9421E228D2BF}"/>
    <cellStyle name="SAPBEXHLevel3 3" xfId="41485" xr:uid="{D93036DD-E84E-4A1D-B44B-EA9418242ABF}"/>
    <cellStyle name="SAPBEXHLevel3 4" xfId="41486" xr:uid="{A26B235E-91A3-42AA-B4E5-F95668368C3A}"/>
    <cellStyle name="SAPBEXHLevel3 5" xfId="41487" xr:uid="{84C4DC24-D776-4BA4-9314-875407B12D00}"/>
    <cellStyle name="SAPBEXHLevel3 6" xfId="41488" xr:uid="{D8C648D1-BB0C-4CF6-A541-B63849211FD7}"/>
    <cellStyle name="SAPBEXHLevel3X" xfId="9673" xr:uid="{DB6CD2E9-41A6-4C7F-84EE-9978CE5A1E25}"/>
    <cellStyle name="SAPBEXHLevel3X 2" xfId="41489" xr:uid="{56884008-20BE-46A6-9D94-CD00B2520505}"/>
    <cellStyle name="SAPBEXHLevel3X 3" xfId="41490" xr:uid="{B3CD5873-D7A4-47E2-AAB6-A732797069BE}"/>
    <cellStyle name="SAPBEXHLevel3X 4" xfId="41491" xr:uid="{1AF9A4D2-743A-405A-8D78-4C4D15B79BDF}"/>
    <cellStyle name="SAPBEXHLevel3X 5" xfId="41492" xr:uid="{5F7E5081-3BB5-4706-8604-A7E82DF1E530}"/>
    <cellStyle name="SAPBEXHLevel3X 6" xfId="41493" xr:uid="{40A1835B-3D51-4EB2-902D-B2738A2578E7}"/>
    <cellStyle name="SAPBEXresData" xfId="9674" xr:uid="{E18B55E1-1D98-4260-BD0B-19D30785F64B}"/>
    <cellStyle name="SAPBEXresData 2" xfId="41494" xr:uid="{E9609B38-E82B-41A9-BC04-4D76D6356081}"/>
    <cellStyle name="SAPBEXresData 3" xfId="41495" xr:uid="{E625CB66-4930-4E43-AEB1-1EB240B51286}"/>
    <cellStyle name="SAPBEXresData 4" xfId="41496" xr:uid="{21C1C843-28A6-4F52-90B2-27752974E2BC}"/>
    <cellStyle name="SAPBEXresData 5" xfId="41497" xr:uid="{FFB6DD85-EE88-48C8-BC91-8424EFCF52A6}"/>
    <cellStyle name="SAPBEXresData 6" xfId="41498" xr:uid="{8665B121-54E5-4CA9-BA26-F24BE7A9A3AB}"/>
    <cellStyle name="SAPBEXresDataEmph" xfId="9675" xr:uid="{3E1B1033-63AE-4BB2-A8CE-31462425C669}"/>
    <cellStyle name="SAPBEXresDataEmph 2" xfId="41499" xr:uid="{74B7A46A-D7FC-4E30-9EA6-4DB4365E04A8}"/>
    <cellStyle name="SAPBEXresDataEmph 3" xfId="41500" xr:uid="{80F0F9D6-A972-4E99-A3DD-852C46F3EAE5}"/>
    <cellStyle name="SAPBEXresDataEmph 4" xfId="41501" xr:uid="{FA6C10DB-66A0-441F-8C75-AD6A784FC38D}"/>
    <cellStyle name="SAPBEXresDataEmph 5" xfId="41502" xr:uid="{8CCC4452-993A-4125-A164-94B66B155F1E}"/>
    <cellStyle name="SAPBEXresDataEmph 6" xfId="41503" xr:uid="{4823E51C-8A05-403B-970C-FC00941C5BAE}"/>
    <cellStyle name="SAPBEXresItem" xfId="9676" xr:uid="{1CEEF963-EB4B-496A-B486-283078CF24B2}"/>
    <cellStyle name="SAPBEXresItem 2" xfId="41504" xr:uid="{D997D267-15B6-4E09-A036-CA8A1241A9E2}"/>
    <cellStyle name="SAPBEXresItem 3" xfId="41505" xr:uid="{D52F8ED5-37C6-41D4-BAB7-556A330BF8A3}"/>
    <cellStyle name="SAPBEXresItem 4" xfId="41506" xr:uid="{848BB8E4-EC5F-43BB-80B6-E9A475B1EDE7}"/>
    <cellStyle name="SAPBEXresItem 5" xfId="41507" xr:uid="{E71D4AC0-72F4-48C6-84EB-414D54125F5B}"/>
    <cellStyle name="SAPBEXresItem 6" xfId="41508" xr:uid="{72D0D005-6D85-44CE-AD1D-FD43BBA7455C}"/>
    <cellStyle name="SAPBEXresItemX" xfId="9677" xr:uid="{78B3D28B-D8D5-479E-9767-BBC9E3D51A78}"/>
    <cellStyle name="SAPBEXresItemX 2" xfId="41509" xr:uid="{E6D58CE3-FC82-4EE5-B1DF-2E232296317B}"/>
    <cellStyle name="SAPBEXresItemX 3" xfId="41510" xr:uid="{C1D1ECB4-F518-4BF2-A8C2-A858EECECD8B}"/>
    <cellStyle name="SAPBEXresItemX 4" xfId="41511" xr:uid="{9F73F375-5EC3-4A2C-8AA3-7AD8C39A6D3A}"/>
    <cellStyle name="SAPBEXresItemX 5" xfId="41512" xr:uid="{8F15E982-ADBC-41F5-9E79-EB429F5EF51D}"/>
    <cellStyle name="SAPBEXresItemX 6" xfId="41513" xr:uid="{0EB2FD51-71CC-4D5E-A6E6-144E026948DD}"/>
    <cellStyle name="SAPBEXstdData" xfId="9678" xr:uid="{4E61B68D-04DE-4CEF-85EB-4C43ACD98855}"/>
    <cellStyle name="SAPBEXstdData 2" xfId="41514" xr:uid="{F14B3956-6BD5-4E76-88C3-6F84A2A4740A}"/>
    <cellStyle name="SAPBEXstdData 3" xfId="41515" xr:uid="{2295C03D-C51D-44C4-A863-4D275EDD4625}"/>
    <cellStyle name="SAPBEXstdData 4" xfId="41516" xr:uid="{A0C80EAE-1237-4260-B3E3-7CEDBCB96047}"/>
    <cellStyle name="SAPBEXstdData 5" xfId="41517" xr:uid="{42960157-A98D-4A07-9C12-A66ED0FDF676}"/>
    <cellStyle name="SAPBEXstdData 6" xfId="41518" xr:uid="{4856D514-B6C2-4C06-AE30-187B8AC444E4}"/>
    <cellStyle name="SAPBEXstdDataEmph" xfId="9679" xr:uid="{BC394A0C-47FC-4A91-8661-F33136CC9E58}"/>
    <cellStyle name="SAPBEXstdDataEmph 2" xfId="41519" xr:uid="{2FDCC846-F718-443E-8D7A-5F75E028BEB2}"/>
    <cellStyle name="SAPBEXstdDataEmph 3" xfId="41520" xr:uid="{D9BF0F42-E642-41C2-BCC9-5268CCAA59B4}"/>
    <cellStyle name="SAPBEXstdDataEmph 4" xfId="41521" xr:uid="{C3391D01-A9A3-49F5-8116-7044C7EBED3B}"/>
    <cellStyle name="SAPBEXstdDataEmph 5" xfId="41522" xr:uid="{4A0C8007-9F4F-4FBF-9A42-14958268C15D}"/>
    <cellStyle name="SAPBEXstdDataEmph 6" xfId="41523" xr:uid="{F9A879C0-A364-43B3-9477-84F2CF2A7B88}"/>
    <cellStyle name="SAPBEXstdItem" xfId="9680" xr:uid="{0C81F295-47EA-4C99-9535-D6F97B4762EC}"/>
    <cellStyle name="SAPBEXstdItem 2" xfId="41524" xr:uid="{DB165A02-DB42-4561-B80A-2D3D46416562}"/>
    <cellStyle name="SAPBEXstdItem 3" xfId="41525" xr:uid="{AEEE7538-88FA-432F-AA63-857C1AAA0A1B}"/>
    <cellStyle name="SAPBEXstdItem 4" xfId="41526" xr:uid="{78EBC005-3BA0-44B0-AB9F-366AB35DC37B}"/>
    <cellStyle name="SAPBEXstdItem 5" xfId="41527" xr:uid="{CE557170-BFE1-4016-9FA8-FA9DE2A14064}"/>
    <cellStyle name="SAPBEXstdItem 6" xfId="41528" xr:uid="{69E48F5F-3EBD-42BA-87B4-E43B24041157}"/>
    <cellStyle name="SAPBEXstdItemX" xfId="9681" xr:uid="{B6AB6DF1-7D4B-44C1-95EB-EBAC41DDC37D}"/>
    <cellStyle name="SAPBEXstdItemX 2" xfId="41529" xr:uid="{7FA3B146-8519-48A6-A3AC-5D17DAC0BCFB}"/>
    <cellStyle name="SAPBEXstdItemX 3" xfId="41530" xr:uid="{C0C8CF5B-6E65-47E7-B49F-D8FC3CF5BFC0}"/>
    <cellStyle name="SAPBEXstdItemX 4" xfId="41531" xr:uid="{3364DB1B-B158-4681-BE75-325E4D415DE2}"/>
    <cellStyle name="SAPBEXstdItemX 5" xfId="41532" xr:uid="{E10D3EF1-5BFC-48DC-BA4C-2698B569C532}"/>
    <cellStyle name="SAPBEXstdItemX 6" xfId="41533" xr:uid="{7E6C5479-1521-4232-9E1A-0C4278529B32}"/>
    <cellStyle name="SAPBEXtitle" xfId="9682" xr:uid="{B2E073DE-E312-4425-8BAD-7E8AE0FA81F4}"/>
    <cellStyle name="SAPBEXundefined" xfId="9683" xr:uid="{CBE8ECA3-ACE3-4053-B876-A97270A52EDB}"/>
    <cellStyle name="SAPBEXundefined 2" xfId="41534" xr:uid="{40C0F765-EB3B-4129-A48B-F7CA696A6C9F}"/>
    <cellStyle name="SAPBEXundefined 3" xfId="41535" xr:uid="{17938088-D49B-475E-AF9B-D1032E894396}"/>
    <cellStyle name="SAPBEXundefined 4" xfId="41536" xr:uid="{ACFD5435-8B5B-4D1A-9867-1E5C08F0CE22}"/>
    <cellStyle name="SAPBEXundefined 5" xfId="41537" xr:uid="{8A10588A-34EA-42B2-A0B8-3956AE23972F}"/>
    <cellStyle name="SAPBEXundefined 6" xfId="41538" xr:uid="{9696D7CD-DDDC-470D-9386-EF1322367403}"/>
    <cellStyle name="Sheet Title" xfId="3048" xr:uid="{998A3138-119B-4A84-8AD3-7130119D909F}"/>
    <cellStyle name="Title 2" xfId="3049" xr:uid="{7B6BC332-DD8E-4EAF-BDE8-3255E20D2882}"/>
    <cellStyle name="Title 2 2" xfId="9684" xr:uid="{21D64965-B538-44EF-8101-10BB92946F89}"/>
    <cellStyle name="Title 2 3" xfId="44191" xr:uid="{D4A962B0-87C7-43BC-B830-DA1DF05E88A1}"/>
    <cellStyle name="Title 3" xfId="41539" xr:uid="{089DBFFE-95B1-415F-A8DB-1F38CCD047EE}"/>
    <cellStyle name="Title 4" xfId="44199" xr:uid="{BCE8EAAA-9F1D-4EAD-B829-01F9612BCA5A}"/>
    <cellStyle name="Total 2" xfId="3050" xr:uid="{67F21846-3D8E-4795-BAA0-A363CB0B3D5C}"/>
    <cellStyle name="Total 2 10" xfId="3051" xr:uid="{E7B4B8DB-331E-424C-9E39-5193757CFD44}"/>
    <cellStyle name="Total 2 10 2" xfId="9966" xr:uid="{B7EF013F-57FD-4EF9-BE42-C71CC4973114}"/>
    <cellStyle name="Total 2 10 2 2" xfId="41540" xr:uid="{022D61E6-E108-46CE-A13A-925AF46EDFCB}"/>
    <cellStyle name="Total 2 10 2 3" xfId="41541" xr:uid="{CFA50A46-A17E-4701-9B49-86DD500804C9}"/>
    <cellStyle name="Total 2 10 2 4" xfId="41542" xr:uid="{A62C6289-7813-4BF5-9B99-F693B510BDE3}"/>
    <cellStyle name="Total 2 10 2 5" xfId="41543" xr:uid="{A867D3CB-778F-495E-80AD-99BE5715669E}"/>
    <cellStyle name="Total 2 10 2 6" xfId="41544" xr:uid="{2C8687A5-FBE2-4473-A1AE-972F47B5EC91}"/>
    <cellStyle name="Total 2 10 3" xfId="41545" xr:uid="{E2E801C7-2BEB-4CBE-8716-DA8BB56F8BB9}"/>
    <cellStyle name="Total 2 10 4" xfId="41546" xr:uid="{DF26DEF4-667C-470F-86C6-71ABE81491A0}"/>
    <cellStyle name="Total 2 10 5" xfId="41547" xr:uid="{CC1DDF77-10EB-421A-BCA3-3C2E6CB5A437}"/>
    <cellStyle name="Total 2 10 6" xfId="41548" xr:uid="{DA4CD8AE-B268-4AE9-8130-24B8442DF69C}"/>
    <cellStyle name="Total 2 10 7" xfId="41549" xr:uid="{0386521C-3816-4091-B8EF-CC38F67A8DF4}"/>
    <cellStyle name="Total 2 11" xfId="3052" xr:uid="{1D7D746E-B75B-4048-9F2D-899E0CF4079B}"/>
    <cellStyle name="Total 2 11 2" xfId="10683" xr:uid="{9C2759B1-B859-4EA5-B9C1-6897D6BC71E5}"/>
    <cellStyle name="Total 2 11 2 2" xfId="41550" xr:uid="{8F75051B-95A5-43C4-BC02-BDA85F1A834F}"/>
    <cellStyle name="Total 2 11 2 3" xfId="41551" xr:uid="{60CEC371-5F5C-4049-9305-868E0947EBFF}"/>
    <cellStyle name="Total 2 11 2 4" xfId="41552" xr:uid="{AA02DB86-9933-41B1-8928-8568CA3D10A6}"/>
    <cellStyle name="Total 2 11 2 5" xfId="41553" xr:uid="{EE097EB6-C86D-48E3-A8FE-B9B97C7D4A33}"/>
    <cellStyle name="Total 2 11 2 6" xfId="41554" xr:uid="{5130B03C-9EDC-4120-86C3-75BABE0B3EC3}"/>
    <cellStyle name="Total 2 11 3" xfId="41555" xr:uid="{41C00079-F39E-4A29-A8B9-A7FA8654B280}"/>
    <cellStyle name="Total 2 11 4" xfId="41556" xr:uid="{769F925F-B84B-43B3-A14B-24359A026783}"/>
    <cellStyle name="Total 2 11 5" xfId="41557" xr:uid="{93EFFFA3-8832-4100-898F-2B4113EC25D2}"/>
    <cellStyle name="Total 2 11 6" xfId="41558" xr:uid="{F3407676-302A-4084-9997-D45546C21BB2}"/>
    <cellStyle name="Total 2 11 7" xfId="41559" xr:uid="{CE3C66A0-CFF8-49C2-9C8C-7EC7DF30926C}"/>
    <cellStyle name="Total 2 12" xfId="3053" xr:uid="{A993969D-A300-40AD-913E-386BF5CAA8AF}"/>
    <cellStyle name="Total 2 12 2" xfId="10774" xr:uid="{A1D67359-4E95-4429-8B70-5C809929AF39}"/>
    <cellStyle name="Total 2 12 2 2" xfId="41560" xr:uid="{390C6804-0560-4406-8A27-20A7BDFE4150}"/>
    <cellStyle name="Total 2 12 2 3" xfId="41561" xr:uid="{387196C5-2232-4658-AF14-61D8F3C85820}"/>
    <cellStyle name="Total 2 12 2 4" xfId="41562" xr:uid="{6FB0D230-E472-48B1-80CF-50E0C84AF992}"/>
    <cellStyle name="Total 2 12 2 5" xfId="41563" xr:uid="{8621EC57-4D0B-494D-BC0E-CEF949B86658}"/>
    <cellStyle name="Total 2 12 2 6" xfId="41564" xr:uid="{7ABCF968-1AC7-46F1-B6AD-07A80962D34E}"/>
    <cellStyle name="Total 2 12 3" xfId="41565" xr:uid="{161496C0-1F90-42D9-8B3F-3E50A5E0D620}"/>
    <cellStyle name="Total 2 12 4" xfId="41566" xr:uid="{BB0C1C35-30B6-4E51-8835-1CAAEECE52B7}"/>
    <cellStyle name="Total 2 12 5" xfId="41567" xr:uid="{BE092EB9-9907-4B12-8A0E-E2200382741A}"/>
    <cellStyle name="Total 2 12 6" xfId="41568" xr:uid="{4D18E432-3995-4D16-8D92-4B20FFD9DE69}"/>
    <cellStyle name="Total 2 12 7" xfId="41569" xr:uid="{FC34242C-1902-40A8-AD69-B50ADF009228}"/>
    <cellStyle name="Total 2 13" xfId="3054" xr:uid="{123C7D83-6CD2-4326-94FC-D62E27329E89}"/>
    <cellStyle name="Total 2 13 2" xfId="10861" xr:uid="{65553613-E40F-4B2E-B343-FD60722C12C0}"/>
    <cellStyle name="Total 2 13 2 2" xfId="41570" xr:uid="{FA9A0357-8A64-45FF-86CF-562F9F782FD0}"/>
    <cellStyle name="Total 2 13 2 3" xfId="41571" xr:uid="{332F7238-4959-46E3-A89C-CB485B218B06}"/>
    <cellStyle name="Total 2 13 2 4" xfId="41572" xr:uid="{2348BF2A-5B37-419D-9EF5-ED8772354F56}"/>
    <cellStyle name="Total 2 13 2 5" xfId="41573" xr:uid="{FA6F5C0E-319E-4AD4-91AF-3412A1BF7EF0}"/>
    <cellStyle name="Total 2 13 2 6" xfId="41574" xr:uid="{7439AEEE-9E1C-4E7B-9410-731F7C263C4E}"/>
    <cellStyle name="Total 2 13 3" xfId="41575" xr:uid="{4BFA0070-69A0-453D-AAEF-DA9384505513}"/>
    <cellStyle name="Total 2 13 4" xfId="41576" xr:uid="{BBD79362-931F-42D5-9DDD-5BF48802D3B6}"/>
    <cellStyle name="Total 2 13 5" xfId="41577" xr:uid="{D536EEA4-1325-45EE-9D53-984288D4736B}"/>
    <cellStyle name="Total 2 13 6" xfId="41578" xr:uid="{8DBE08A9-A171-4D8F-9452-E2C1B334DB07}"/>
    <cellStyle name="Total 2 13 7" xfId="41579" xr:uid="{1CD8D7BB-6799-46E7-B19C-A5311082FCA2}"/>
    <cellStyle name="Total 2 14" xfId="3055" xr:uid="{7CC56373-DB30-4D28-BB9C-738E25D541B9}"/>
    <cellStyle name="Total 2 14 2" xfId="10951" xr:uid="{C42B222A-F5E3-4105-BE40-1A56FED3B92D}"/>
    <cellStyle name="Total 2 14 2 2" xfId="41580" xr:uid="{6D76C7D6-73A3-47F4-9E13-B291625AC259}"/>
    <cellStyle name="Total 2 14 2 3" xfId="41581" xr:uid="{60A33C30-CC06-469D-A5AE-D2648D11841E}"/>
    <cellStyle name="Total 2 14 2 4" xfId="41582" xr:uid="{DAD24A7B-1D91-4F38-A0DA-D4F532EAD688}"/>
    <cellStyle name="Total 2 14 2 5" xfId="41583" xr:uid="{6237AB2C-3CB0-4ED3-AA0C-9FFDC358F6D5}"/>
    <cellStyle name="Total 2 14 2 6" xfId="41584" xr:uid="{1EA2887E-6EA0-4B8A-B792-2247EE4F2AE7}"/>
    <cellStyle name="Total 2 14 3" xfId="41585" xr:uid="{F112346C-7ACC-4A1B-97AF-79266DEDC112}"/>
    <cellStyle name="Total 2 14 4" xfId="41586" xr:uid="{724FC65C-446C-42C7-B3EA-118794FE17A6}"/>
    <cellStyle name="Total 2 14 5" xfId="41587" xr:uid="{D453B0C7-D0E6-4E21-807D-E55A25C2EFE8}"/>
    <cellStyle name="Total 2 14 6" xfId="41588" xr:uid="{B92B1889-89BF-4EC9-AD27-957C193F890D}"/>
    <cellStyle name="Total 2 14 7" xfId="41589" xr:uid="{D72AC656-DC83-4A31-9EDB-600D3CE73351}"/>
    <cellStyle name="Total 2 15" xfId="3056" xr:uid="{470FE10B-A34C-4422-9E48-840489E2BAE6}"/>
    <cellStyle name="Total 2 15 2" xfId="10781" xr:uid="{A31B8EDD-7720-40EC-8654-B5B9C93DBDB1}"/>
    <cellStyle name="Total 2 15 2 2" xfId="41590" xr:uid="{BF505A35-C6CF-441B-9108-2B82AB5B7D03}"/>
    <cellStyle name="Total 2 15 2 3" xfId="41591" xr:uid="{3D72692E-D474-427A-8EE3-FB695F8C7818}"/>
    <cellStyle name="Total 2 15 2 4" xfId="41592" xr:uid="{189EBDD4-672D-49F4-A3EA-A45BBB27021B}"/>
    <cellStyle name="Total 2 15 2 5" xfId="41593" xr:uid="{728312D9-C04C-40CB-915F-14EE179FCC04}"/>
    <cellStyle name="Total 2 15 2 6" xfId="41594" xr:uid="{63F3F60D-9CEB-429C-97F9-E2E644710BEB}"/>
    <cellStyle name="Total 2 15 3" xfId="41595" xr:uid="{C9349711-A3F3-4C70-AA48-9903B32303A5}"/>
    <cellStyle name="Total 2 15 4" xfId="41596" xr:uid="{B4BC2C72-91CD-4D3B-B322-3121783AE223}"/>
    <cellStyle name="Total 2 15 5" xfId="41597" xr:uid="{53870A7E-9FFD-4AA5-9B80-52F912B4F6FC}"/>
    <cellStyle name="Total 2 15 6" xfId="41598" xr:uid="{CBBDB649-C842-4962-8641-7B442B6B301E}"/>
    <cellStyle name="Total 2 15 7" xfId="41599" xr:uid="{DB14D0C9-2586-41B4-A7C6-D639EA7F0007}"/>
    <cellStyle name="Total 2 16" xfId="3057" xr:uid="{4EB1AFCA-EF52-4A6C-AF6E-774B02D2635A}"/>
    <cellStyle name="Total 2 16 2" xfId="11215" xr:uid="{B0F68BDB-AF42-4159-9463-9C906C35CCB4}"/>
    <cellStyle name="Total 2 16 2 2" xfId="41600" xr:uid="{285EFBD5-9EE3-4847-AAAA-25BF29302CDB}"/>
    <cellStyle name="Total 2 16 2 3" xfId="41601" xr:uid="{F3A8A5FB-EBE4-478F-8ECA-CFCB2F72FAC2}"/>
    <cellStyle name="Total 2 16 2 4" xfId="41602" xr:uid="{CF9710B6-1C79-4C19-BDC0-68C0A8641470}"/>
    <cellStyle name="Total 2 16 2 5" xfId="41603" xr:uid="{5AE31CB0-0D76-45E9-B344-492067881E30}"/>
    <cellStyle name="Total 2 16 2 6" xfId="41604" xr:uid="{0FB6961B-CBAB-40E9-BF73-4FBCF49621FC}"/>
    <cellStyle name="Total 2 16 3" xfId="41605" xr:uid="{B28063A5-BA6B-4687-A86C-B0B1048CA627}"/>
    <cellStyle name="Total 2 16 4" xfId="41606" xr:uid="{8C609B88-453D-4272-9D10-FD8F36A53C70}"/>
    <cellStyle name="Total 2 16 5" xfId="41607" xr:uid="{ED313028-CA1B-4AD9-830D-03121C2A1732}"/>
    <cellStyle name="Total 2 16 6" xfId="41608" xr:uid="{8CFDD557-7971-4D5B-A48D-0CEB382CDBD6}"/>
    <cellStyle name="Total 2 16 7" xfId="41609" xr:uid="{E0CD008C-38F9-45D7-87DC-6E9981DB6A36}"/>
    <cellStyle name="Total 2 17" xfId="3058" xr:uid="{9A62F3C5-C0F7-46BE-9A84-71138E7011F1}"/>
    <cellStyle name="Total 2 17 2" xfId="11302" xr:uid="{9E81BE68-3C71-4275-9B59-C2BB05166DF3}"/>
    <cellStyle name="Total 2 17 2 2" xfId="41610" xr:uid="{B157F431-0AA7-46E3-9E06-456451ED8C59}"/>
    <cellStyle name="Total 2 17 2 3" xfId="41611" xr:uid="{89A6C8F3-4D89-4CBE-903D-4F79DDF5C92B}"/>
    <cellStyle name="Total 2 17 2 4" xfId="41612" xr:uid="{A782B67E-D97E-470F-84C4-702A0C95B0E0}"/>
    <cellStyle name="Total 2 17 2 5" xfId="41613" xr:uid="{F49FF007-219A-4ABE-9B2C-23D0C26B8395}"/>
    <cellStyle name="Total 2 17 2 6" xfId="41614" xr:uid="{E1B2A0F8-90DD-47C7-9A26-539AA1E438A5}"/>
    <cellStyle name="Total 2 17 3" xfId="41615" xr:uid="{A6148806-8475-45AD-92D9-50A7BB43D30B}"/>
    <cellStyle name="Total 2 17 4" xfId="41616" xr:uid="{CE487161-7ABD-45B4-A47A-23CDA23DDDB2}"/>
    <cellStyle name="Total 2 17 5" xfId="41617" xr:uid="{84777CCC-A038-4F23-B7A5-98A624E801C9}"/>
    <cellStyle name="Total 2 17 6" xfId="41618" xr:uid="{9C643B69-48CC-41B3-8CEE-870BE0569A3F}"/>
    <cellStyle name="Total 2 17 7" xfId="41619" xr:uid="{30E1BB2B-B8FB-4432-8765-B8D6E5673D67}"/>
    <cellStyle name="Total 2 18" xfId="3059" xr:uid="{A54D8CAF-7153-44AB-9A05-EB31526C936D}"/>
    <cellStyle name="Total 2 18 2" xfId="10188" xr:uid="{0C505D76-84BC-40BC-ABEA-05909509FA2F}"/>
    <cellStyle name="Total 2 18 2 2" xfId="41620" xr:uid="{7691858B-6B60-41C9-9609-ADC780C59B60}"/>
    <cellStyle name="Total 2 18 2 3" xfId="41621" xr:uid="{DE9C51D3-EAD4-4D27-B8F5-04AA740A58BA}"/>
    <cellStyle name="Total 2 18 2 4" xfId="41622" xr:uid="{BAE1B125-58BB-43FA-B5BC-F6650AC4205A}"/>
    <cellStyle name="Total 2 18 2 5" xfId="41623" xr:uid="{CF25157E-76CA-41D6-BA4D-685216049546}"/>
    <cellStyle name="Total 2 18 2 6" xfId="41624" xr:uid="{9FE0E8B7-820C-4D42-82A0-C48E627C8D64}"/>
    <cellStyle name="Total 2 18 3" xfId="41625" xr:uid="{0F21A2B7-92E1-4BE1-9203-B17808A7B93A}"/>
    <cellStyle name="Total 2 18 4" xfId="41626" xr:uid="{F634B8B3-ED8E-4849-B48A-FA319565F6F0}"/>
    <cellStyle name="Total 2 18 5" xfId="41627" xr:uid="{755DE5CE-7638-4136-AA77-410145D07D7F}"/>
    <cellStyle name="Total 2 18 6" xfId="41628" xr:uid="{D67F2D32-4CB6-4E43-A0E0-D52126FFCE79}"/>
    <cellStyle name="Total 2 18 7" xfId="41629" xr:uid="{7B725688-501B-4A77-B4BE-3544DFCA4616}"/>
    <cellStyle name="Total 2 19" xfId="3060" xr:uid="{90DB1D28-F134-450F-94E5-2461DBC3916C}"/>
    <cellStyle name="Total 2 19 2" xfId="11477" xr:uid="{7F8CB32D-219E-4A0A-9DE5-6BAA7371636B}"/>
    <cellStyle name="Total 2 19 2 2" xfId="41630" xr:uid="{38C18C17-AFE9-422C-BDD2-4EFFBE5C10AB}"/>
    <cellStyle name="Total 2 19 2 3" xfId="41631" xr:uid="{8E2869E2-ADD3-490B-B79A-5BA456C9337C}"/>
    <cellStyle name="Total 2 19 2 4" xfId="41632" xr:uid="{79EC0BD6-C80F-43FA-BB13-8733CBAFDF43}"/>
    <cellStyle name="Total 2 19 2 5" xfId="41633" xr:uid="{95FCA042-980A-4E8B-8C39-96C423BA23D7}"/>
    <cellStyle name="Total 2 19 2 6" xfId="41634" xr:uid="{8ACA8F1F-5D33-4776-BF8B-D1CA10B6B0C1}"/>
    <cellStyle name="Total 2 19 3" xfId="41635" xr:uid="{66BBF94F-D1B1-451F-8B84-90DA9BB6C6D5}"/>
    <cellStyle name="Total 2 19 4" xfId="41636" xr:uid="{7FAB772B-145A-41FE-A943-0AB0DB2B8438}"/>
    <cellStyle name="Total 2 19 5" xfId="41637" xr:uid="{566A9CF8-C3B1-4727-9CA3-77E1447E828A}"/>
    <cellStyle name="Total 2 19 6" xfId="41638" xr:uid="{C20E4406-F559-453C-9C6A-89EDE95A91BB}"/>
    <cellStyle name="Total 2 19 7" xfId="41639" xr:uid="{A8A58C46-3DEC-4484-AA3D-999D27EC6569}"/>
    <cellStyle name="Total 2 2" xfId="3061" xr:uid="{DE225B49-FEFC-4E49-A9BD-53557A1930C5}"/>
    <cellStyle name="Total 2 2 10" xfId="3062" xr:uid="{1F8E4034-4F3F-43E4-AE80-A79B3E1DFFAD}"/>
    <cellStyle name="Total 2 2 10 2" xfId="10634" xr:uid="{D7A9DF04-A2CD-46E2-BFC4-9747BDDEDE55}"/>
    <cellStyle name="Total 2 2 10 2 2" xfId="41640" xr:uid="{BCE3BD7E-7BB9-4AFF-B67D-368C445310E6}"/>
    <cellStyle name="Total 2 2 10 2 3" xfId="41641" xr:uid="{5963EEAD-2B0C-455C-A532-9D8898F711E8}"/>
    <cellStyle name="Total 2 2 10 2 4" xfId="41642" xr:uid="{90C8BE3C-7743-4078-8E24-8E3648C348FF}"/>
    <cellStyle name="Total 2 2 10 2 5" xfId="41643" xr:uid="{1CC363F3-639D-4A2A-BBB0-95ACC566C955}"/>
    <cellStyle name="Total 2 2 10 2 6" xfId="41644" xr:uid="{AC936D55-489B-457F-9B8F-7BE8EBE71CAC}"/>
    <cellStyle name="Total 2 2 10 3" xfId="41645" xr:uid="{3229C4CD-95D9-4383-9E96-540D981ACCFB}"/>
    <cellStyle name="Total 2 2 10 4" xfId="41646" xr:uid="{AD5FBF68-1A1E-48A3-9518-C3C8A741FDCB}"/>
    <cellStyle name="Total 2 2 10 5" xfId="41647" xr:uid="{FF6B21E5-A38B-4857-874A-0B03C8477C09}"/>
    <cellStyle name="Total 2 2 10 6" xfId="41648" xr:uid="{DDD22E78-8FFE-466F-B702-09563BD49654}"/>
    <cellStyle name="Total 2 2 10 7" xfId="41649" xr:uid="{6E730D8C-DAE6-4FA7-A217-87F542DCD0A6}"/>
    <cellStyle name="Total 2 2 11" xfId="3063" xr:uid="{D36258A9-8076-4AC8-9B59-ED8DE93FBF9A}"/>
    <cellStyle name="Total 2 2 11 2" xfId="10725" xr:uid="{508D3CA5-061D-4A41-B26F-19CD35F5B40E}"/>
    <cellStyle name="Total 2 2 11 2 2" xfId="41650" xr:uid="{17840A4C-40F7-4C8B-A73B-4146487FCCC0}"/>
    <cellStyle name="Total 2 2 11 2 3" xfId="41651" xr:uid="{388CDA2D-3342-4792-820E-3AD18E7CC3B9}"/>
    <cellStyle name="Total 2 2 11 2 4" xfId="41652" xr:uid="{E3DBBC04-0358-43E2-90D3-4E678FF80B82}"/>
    <cellStyle name="Total 2 2 11 2 5" xfId="41653" xr:uid="{FEFC2AD3-AE2E-49C2-B96E-C5E084903B5A}"/>
    <cellStyle name="Total 2 2 11 2 6" xfId="41654" xr:uid="{2C0FA1AE-BC16-4EFB-A097-7D480A77FEC7}"/>
    <cellStyle name="Total 2 2 11 3" xfId="41655" xr:uid="{2C09F3D6-CCF0-4E75-ACBD-1A97C69E12B2}"/>
    <cellStyle name="Total 2 2 11 4" xfId="41656" xr:uid="{737E4626-6919-4473-8BC0-DBE27DA337A4}"/>
    <cellStyle name="Total 2 2 11 5" xfId="41657" xr:uid="{58877AB8-2E20-468C-B95F-2B0B10D0F64F}"/>
    <cellStyle name="Total 2 2 11 6" xfId="41658" xr:uid="{DF0C11F2-E6AD-4270-89E6-5B40C09B86C1}"/>
    <cellStyle name="Total 2 2 11 7" xfId="41659" xr:uid="{ADC8BF84-124A-461E-861A-6F4C022BFFEA}"/>
    <cellStyle name="Total 2 2 12" xfId="3064" xr:uid="{DA4475BC-DEEC-4ECD-A84E-B9FFB6E86E08}"/>
    <cellStyle name="Total 2 2 12 2" xfId="10813" xr:uid="{A47B51E0-23D5-484E-BCBF-91D84F413B4D}"/>
    <cellStyle name="Total 2 2 12 2 2" xfId="41660" xr:uid="{96255B19-9A79-47BF-8B58-BEA7E4DF979C}"/>
    <cellStyle name="Total 2 2 12 2 3" xfId="41661" xr:uid="{D6F184DB-18CB-40C1-8D4D-B6CE13D85B7D}"/>
    <cellStyle name="Total 2 2 12 2 4" xfId="41662" xr:uid="{0321D73F-5C80-487E-83AF-82DDE4339074}"/>
    <cellStyle name="Total 2 2 12 2 5" xfId="41663" xr:uid="{3F856277-DB5D-4155-ADF4-17E0A4472262}"/>
    <cellStyle name="Total 2 2 12 2 6" xfId="41664" xr:uid="{DC50CEFA-0F07-4B12-AFF4-4298654303CE}"/>
    <cellStyle name="Total 2 2 12 3" xfId="41665" xr:uid="{F6BEC975-6148-4368-A072-D749F5D4533F}"/>
    <cellStyle name="Total 2 2 12 4" xfId="41666" xr:uid="{14D99901-B364-485B-B55B-DE6E14285A36}"/>
    <cellStyle name="Total 2 2 12 5" xfId="41667" xr:uid="{AB9C7782-1B6C-4DA1-82A2-B709B9317549}"/>
    <cellStyle name="Total 2 2 12 6" xfId="41668" xr:uid="{40E7F36D-91CA-463E-AAE1-EDF63D1018FF}"/>
    <cellStyle name="Total 2 2 12 7" xfId="41669" xr:uid="{6CB74C41-35AD-491C-87CD-AAF0B23C601D}"/>
    <cellStyle name="Total 2 2 13" xfId="3065" xr:uid="{02DF9E6E-2E3A-4B56-94C8-944F84CEDA2F}"/>
    <cellStyle name="Total 2 2 13 2" xfId="10902" xr:uid="{F717B254-01D9-4C2D-B209-FE7B45B62019}"/>
    <cellStyle name="Total 2 2 13 2 2" xfId="41670" xr:uid="{B24F2745-F21F-45E2-84E0-1B7B1D5566B6}"/>
    <cellStyle name="Total 2 2 13 2 3" xfId="41671" xr:uid="{4505C2EE-B377-4A48-BE90-90DBBC0D796A}"/>
    <cellStyle name="Total 2 2 13 2 4" xfId="41672" xr:uid="{DCE613AC-A6CC-450C-AA96-69981477EE35}"/>
    <cellStyle name="Total 2 2 13 2 5" xfId="41673" xr:uid="{BAA01482-924B-41C5-AD8F-4E818CF90D64}"/>
    <cellStyle name="Total 2 2 13 2 6" xfId="41674" xr:uid="{9CE8E8FB-65B7-4B7C-A005-6C6AFC2A7FCF}"/>
    <cellStyle name="Total 2 2 13 3" xfId="41675" xr:uid="{4A2B5092-A78A-446C-A780-44B27F33F927}"/>
    <cellStyle name="Total 2 2 13 4" xfId="41676" xr:uid="{D8B7A453-CAC8-495B-BB19-26A1D301943B}"/>
    <cellStyle name="Total 2 2 13 5" xfId="41677" xr:uid="{ECFE6C7B-6D33-4FF3-8DF1-82FDE013C13B}"/>
    <cellStyle name="Total 2 2 13 6" xfId="41678" xr:uid="{47B6BE83-E521-48F7-B2C4-D6484964A0EB}"/>
    <cellStyle name="Total 2 2 13 7" xfId="41679" xr:uid="{B1D2AB5D-F166-4C6A-9C48-82DCB02FF121}"/>
    <cellStyle name="Total 2 2 14" xfId="3066" xr:uid="{32538974-DEE5-46B8-8230-3CFBA5236C8F}"/>
    <cellStyle name="Total 2 2 14 2" xfId="10992" xr:uid="{026A1D55-7513-4E33-9BF1-1E3B98CE53F4}"/>
    <cellStyle name="Total 2 2 14 2 2" xfId="41680" xr:uid="{BD10BEFF-1859-45CB-B2C7-952B661F9905}"/>
    <cellStyle name="Total 2 2 14 2 3" xfId="41681" xr:uid="{5E9A8F59-B0E4-4C73-923E-61BC03A1D908}"/>
    <cellStyle name="Total 2 2 14 2 4" xfId="41682" xr:uid="{9809CE5B-2D21-4483-9952-723EF97FC0F1}"/>
    <cellStyle name="Total 2 2 14 2 5" xfId="41683" xr:uid="{2D15C2D3-4C03-40B4-89D9-411EAA10A4F4}"/>
    <cellStyle name="Total 2 2 14 2 6" xfId="41684" xr:uid="{CDFDE98D-3345-472E-8BEE-5B0E8F5B4531}"/>
    <cellStyle name="Total 2 2 14 3" xfId="41685" xr:uid="{696F2E5C-A6D9-45C4-B7A4-B3DD6F6BC680}"/>
    <cellStyle name="Total 2 2 14 4" xfId="41686" xr:uid="{CACA75A9-1696-40A9-9BD6-ACC9EA7D112B}"/>
    <cellStyle name="Total 2 2 14 5" xfId="41687" xr:uid="{834ED2F1-115B-4140-BAB7-82A79CE4BF57}"/>
    <cellStyle name="Total 2 2 14 6" xfId="41688" xr:uid="{E779E6B0-BE1F-4232-83B9-5912F2DB8D44}"/>
    <cellStyle name="Total 2 2 14 7" xfId="41689" xr:uid="{58133014-AA88-49FA-9128-08148A20107E}"/>
    <cellStyle name="Total 2 2 15" xfId="3067" xr:uid="{3B91D5E9-C216-43D8-BC8B-240C0892B141}"/>
    <cellStyle name="Total 2 2 15 2" xfId="11083" xr:uid="{CA9DA158-DC15-48F1-975F-608FE8565A0A}"/>
    <cellStyle name="Total 2 2 15 2 2" xfId="41690" xr:uid="{07AE13B1-8191-4AC8-A03F-FD6E292ECA5E}"/>
    <cellStyle name="Total 2 2 15 2 3" xfId="41691" xr:uid="{5E733C94-2F15-4A6C-BB58-FF73D0A2AC5E}"/>
    <cellStyle name="Total 2 2 15 2 4" xfId="41692" xr:uid="{9B27D829-054F-4635-B02C-E0E0FC79DBD1}"/>
    <cellStyle name="Total 2 2 15 2 5" xfId="41693" xr:uid="{24224E0E-9541-4B08-9A42-808F17C661F6}"/>
    <cellStyle name="Total 2 2 15 2 6" xfId="41694" xr:uid="{A90ACCAB-62FC-4450-BC95-4116BD6BD6DD}"/>
    <cellStyle name="Total 2 2 15 3" xfId="41695" xr:uid="{2A7AA809-F3F6-40F1-B298-D6C1739214F1}"/>
    <cellStyle name="Total 2 2 15 4" xfId="41696" xr:uid="{58B334A9-18C3-4CCD-A720-9EE1DED6576F}"/>
    <cellStyle name="Total 2 2 15 5" xfId="41697" xr:uid="{FF8A1047-1DC9-429E-8D7D-70A9169D197E}"/>
    <cellStyle name="Total 2 2 15 6" xfId="41698" xr:uid="{9C395B7F-064E-4AC3-9307-BF98C9290F13}"/>
    <cellStyle name="Total 2 2 15 7" xfId="41699" xr:uid="{B40AED7D-B652-4F52-A8F7-2A9CBA499307}"/>
    <cellStyle name="Total 2 2 16" xfId="3068" xr:uid="{9381E4E9-0B14-4654-980B-D0DEBD8B2DA3}"/>
    <cellStyle name="Total 2 2 16 2" xfId="11166" xr:uid="{629CACD2-F142-475B-96FD-DC705DDF1E76}"/>
    <cellStyle name="Total 2 2 16 2 2" xfId="41700" xr:uid="{0DE3DCA6-D906-4A30-B42F-89241B41D236}"/>
    <cellStyle name="Total 2 2 16 2 3" xfId="41701" xr:uid="{76A67EDD-3B2E-4CFB-A547-B2978185F433}"/>
    <cellStyle name="Total 2 2 16 2 4" xfId="41702" xr:uid="{AEC91613-A3BA-428C-94A2-7F7E78DD20DB}"/>
    <cellStyle name="Total 2 2 16 2 5" xfId="41703" xr:uid="{C8F3FF57-E4C8-47AD-9BDC-1F430E7E80A5}"/>
    <cellStyle name="Total 2 2 16 2 6" xfId="41704" xr:uid="{9EE5A524-20B5-41EE-8BF9-F264D17A786D}"/>
    <cellStyle name="Total 2 2 16 3" xfId="41705" xr:uid="{3919D2C2-CD67-4C88-B7A9-E7459F3E1359}"/>
    <cellStyle name="Total 2 2 16 4" xfId="41706" xr:uid="{E1E48E63-E260-47DD-A4FA-06F9EDBD342F}"/>
    <cellStyle name="Total 2 2 16 5" xfId="41707" xr:uid="{28B5F1D0-ABE6-4719-B3D8-EE9484AF379C}"/>
    <cellStyle name="Total 2 2 16 6" xfId="41708" xr:uid="{4ADCDD5D-76A5-467E-85E1-D3259675DBA1}"/>
    <cellStyle name="Total 2 2 16 7" xfId="41709" xr:uid="{03EFF7EB-2F7A-4055-8441-8B3CBAA00BBB}"/>
    <cellStyle name="Total 2 2 17" xfId="3069" xr:uid="{CDD80AEA-337A-4DA1-B175-D93F4D896D0E}"/>
    <cellStyle name="Total 2 2 17 2" xfId="11256" xr:uid="{34ED49F6-C4BF-41FB-8D20-95E3A4416E83}"/>
    <cellStyle name="Total 2 2 17 2 2" xfId="41710" xr:uid="{E2D77359-0359-4B2F-A599-BADBAAD62CCC}"/>
    <cellStyle name="Total 2 2 17 2 3" xfId="41711" xr:uid="{E393C8C2-7862-4DA6-B997-96FC7DF87ADF}"/>
    <cellStyle name="Total 2 2 17 2 4" xfId="41712" xr:uid="{A4254BAE-7062-477A-9ABC-F7E329186E82}"/>
    <cellStyle name="Total 2 2 17 2 5" xfId="41713" xr:uid="{2634CE72-482F-41B5-AE56-EFA402EB830C}"/>
    <cellStyle name="Total 2 2 17 2 6" xfId="41714" xr:uid="{26B7394E-BB98-4C05-8EF4-3E278C861262}"/>
    <cellStyle name="Total 2 2 17 3" xfId="41715" xr:uid="{96730790-35FA-40BB-88F3-E4AD30446BA7}"/>
    <cellStyle name="Total 2 2 17 4" xfId="41716" xr:uid="{F07F9C04-D8A2-453B-A6BF-C664D82A2B03}"/>
    <cellStyle name="Total 2 2 17 5" xfId="41717" xr:uid="{076D2B82-875F-4064-B851-C2BE12E95266}"/>
    <cellStyle name="Total 2 2 17 6" xfId="41718" xr:uid="{FA74298F-C265-480C-B016-A469CE31833B}"/>
    <cellStyle name="Total 2 2 17 7" xfId="41719" xr:uid="{F156DE88-C47E-45BE-99CF-E35FB271D24E}"/>
    <cellStyle name="Total 2 2 18" xfId="3070" xr:uid="{36F45876-4519-4C0A-8A10-45C4BAFEE2ED}"/>
    <cellStyle name="Total 2 2 18 2" xfId="11342" xr:uid="{CA258BDE-7FBD-4A62-8387-E1B97317D821}"/>
    <cellStyle name="Total 2 2 18 2 2" xfId="41720" xr:uid="{7B02AA86-4866-4C7B-ADBC-014343A61ADE}"/>
    <cellStyle name="Total 2 2 18 2 3" xfId="41721" xr:uid="{7F8561EC-A23C-4FC7-907E-A4DDF90F974D}"/>
    <cellStyle name="Total 2 2 18 2 4" xfId="41722" xr:uid="{6284915D-1C2C-4068-B61A-9D535646E7A9}"/>
    <cellStyle name="Total 2 2 18 2 5" xfId="41723" xr:uid="{62B3C581-001D-4989-8250-3D0655793FE5}"/>
    <cellStyle name="Total 2 2 18 2 6" xfId="41724" xr:uid="{CBB1D1F2-1E96-4DAC-8679-CBF6EEF35D71}"/>
    <cellStyle name="Total 2 2 18 3" xfId="41725" xr:uid="{DDDC5EE1-CAFA-43B9-8FA9-DF44AA3C594D}"/>
    <cellStyle name="Total 2 2 18 4" xfId="41726" xr:uid="{22731D5E-2F89-4B11-A480-70B5909147F3}"/>
    <cellStyle name="Total 2 2 18 5" xfId="41727" xr:uid="{2A27C796-D497-4998-AEBE-012B58A75F9B}"/>
    <cellStyle name="Total 2 2 18 6" xfId="41728" xr:uid="{EF8E736F-3047-4857-94FE-A0FA6808C627}"/>
    <cellStyle name="Total 2 2 18 7" xfId="41729" xr:uid="{F3D351CD-B5BF-45E8-B1B8-11F4A6D64824}"/>
    <cellStyle name="Total 2 2 19" xfId="3071" xr:uid="{9AC97648-7346-402B-B94E-E7CF3514CA85}"/>
    <cellStyle name="Total 2 2 19 2" xfId="11428" xr:uid="{29390993-7D39-4E4C-AFC8-7B5BE36A9929}"/>
    <cellStyle name="Total 2 2 19 2 2" xfId="41730" xr:uid="{999BF3A5-ACEC-448D-8BB6-61A8482D76E4}"/>
    <cellStyle name="Total 2 2 19 2 3" xfId="41731" xr:uid="{AEDE1A3B-0F95-43A5-B676-507705702F4E}"/>
    <cellStyle name="Total 2 2 19 2 4" xfId="41732" xr:uid="{39C5EBDE-3E63-4BCE-A7FB-A0C7A6D70A58}"/>
    <cellStyle name="Total 2 2 19 2 5" xfId="41733" xr:uid="{DBC3ED32-411D-4F0C-A149-4939F419ABC9}"/>
    <cellStyle name="Total 2 2 19 2 6" xfId="41734" xr:uid="{DACF5E18-3184-4993-926A-0C19279C4C25}"/>
    <cellStyle name="Total 2 2 19 3" xfId="41735" xr:uid="{98B58ED9-ECA8-4FD1-B728-3A56BCA3EDE8}"/>
    <cellStyle name="Total 2 2 19 4" xfId="41736" xr:uid="{8F4882DC-05A4-47E9-89BD-B396E180F1F8}"/>
    <cellStyle name="Total 2 2 19 5" xfId="41737" xr:uid="{23262BD1-603E-4B6A-8331-A47781247D34}"/>
    <cellStyle name="Total 2 2 19 6" xfId="41738" xr:uid="{D2787172-EFEE-445E-BEE7-D07FC9108350}"/>
    <cellStyle name="Total 2 2 19 7" xfId="41739" xr:uid="{3D7328AF-ECF1-4450-B010-0587050E4F6B}"/>
    <cellStyle name="Total 2 2 2" xfId="3072" xr:uid="{47429A03-CDF8-4C72-A921-634344CF8B28}"/>
    <cellStyle name="Total 2 2 2 10" xfId="3073" xr:uid="{4D019EA6-50C3-4902-8D63-11AA7AC2AB86}"/>
    <cellStyle name="Total 2 2 2 10 2" xfId="10759" xr:uid="{E36B5011-EFAD-4052-8DEC-56042B9C38C4}"/>
    <cellStyle name="Total 2 2 2 10 2 2" xfId="41740" xr:uid="{7EB2F665-41D0-4235-91EB-99CCF2B5E53F}"/>
    <cellStyle name="Total 2 2 2 10 2 3" xfId="41741" xr:uid="{F1ED8C97-969B-42E4-908E-95E03803E6B6}"/>
    <cellStyle name="Total 2 2 2 10 2 4" xfId="41742" xr:uid="{5B083519-CEA0-412E-949D-799213A9E855}"/>
    <cellStyle name="Total 2 2 2 10 2 5" xfId="41743" xr:uid="{878BFB77-36D6-4BC2-B2DB-9094539A85B3}"/>
    <cellStyle name="Total 2 2 2 10 2 6" xfId="41744" xr:uid="{9C6CC47A-99BA-4245-9DA5-0ACA99797DEA}"/>
    <cellStyle name="Total 2 2 2 10 3" xfId="41745" xr:uid="{DEC5948F-3A5B-4178-9ECD-7290C405639A}"/>
    <cellStyle name="Total 2 2 2 10 4" xfId="41746" xr:uid="{9745AECE-6055-4A33-AFAE-41F14619A326}"/>
    <cellStyle name="Total 2 2 2 10 5" xfId="41747" xr:uid="{461CACA0-CCD1-45DE-AA81-B38527E7CFAE}"/>
    <cellStyle name="Total 2 2 2 10 6" xfId="41748" xr:uid="{192F5417-2E82-4FE9-AB6D-30B5A3FBC244}"/>
    <cellStyle name="Total 2 2 2 10 7" xfId="41749" xr:uid="{0622B07E-844E-4B26-A222-7A216E3FD110}"/>
    <cellStyle name="Total 2 2 2 11" xfId="3074" xr:uid="{03EAA38B-1C3B-4F7E-8354-3A934F996157}"/>
    <cellStyle name="Total 2 2 2 11 2" xfId="10847" xr:uid="{255C1995-FA07-4542-9B42-5B82F35086CF}"/>
    <cellStyle name="Total 2 2 2 11 2 2" xfId="41750" xr:uid="{7F40F0BC-06DB-4CF6-A387-954FDDE7AA79}"/>
    <cellStyle name="Total 2 2 2 11 2 3" xfId="41751" xr:uid="{DDEACC88-73BB-48D9-B1C1-EC316F0C8167}"/>
    <cellStyle name="Total 2 2 2 11 2 4" xfId="41752" xr:uid="{D7F1B4B4-9832-40AC-B292-EC546EF6BEED}"/>
    <cellStyle name="Total 2 2 2 11 2 5" xfId="41753" xr:uid="{45A665E7-3EEB-4421-AAD4-AAEBEC74B600}"/>
    <cellStyle name="Total 2 2 2 11 2 6" xfId="41754" xr:uid="{CFE88862-A511-4418-B389-AF2BCF86E323}"/>
    <cellStyle name="Total 2 2 2 11 3" xfId="41755" xr:uid="{A4680EA5-D25A-4EA3-94AA-21F0E2444A9F}"/>
    <cellStyle name="Total 2 2 2 11 4" xfId="41756" xr:uid="{2435E8E8-CB2B-417F-9B2D-43E35986E6FD}"/>
    <cellStyle name="Total 2 2 2 11 5" xfId="41757" xr:uid="{1AD01E21-4A46-4BCF-802C-A0F730333EF7}"/>
    <cellStyle name="Total 2 2 2 11 6" xfId="41758" xr:uid="{8365B971-9899-48C7-96C2-1EBABC7F8EB2}"/>
    <cellStyle name="Total 2 2 2 11 7" xfId="41759" xr:uid="{A598479F-F499-432B-999B-D91F92FC4703}"/>
    <cellStyle name="Total 2 2 2 12" xfId="3075" xr:uid="{00334542-6935-4F7A-A9DA-0693FF99A8CB}"/>
    <cellStyle name="Total 2 2 2 12 2" xfId="10936" xr:uid="{6437F851-BE7C-4965-9D10-056BA4525D4D}"/>
    <cellStyle name="Total 2 2 2 12 2 2" xfId="41760" xr:uid="{06EEA4C0-6DCF-4446-BDC8-0304D84AAC32}"/>
    <cellStyle name="Total 2 2 2 12 2 3" xfId="41761" xr:uid="{1967A724-9240-4A80-BCB5-CBFF8F9C1AB2}"/>
    <cellStyle name="Total 2 2 2 12 2 4" xfId="41762" xr:uid="{9F250CEF-770C-4DDC-9163-38411DD635D7}"/>
    <cellStyle name="Total 2 2 2 12 2 5" xfId="41763" xr:uid="{53AA0EE0-2849-4D05-B46D-C0193F2C2689}"/>
    <cellStyle name="Total 2 2 2 12 2 6" xfId="41764" xr:uid="{BA7E9E39-C059-46A6-A7A0-EDA9CA160BD9}"/>
    <cellStyle name="Total 2 2 2 12 3" xfId="41765" xr:uid="{AD4C35A4-F339-49E7-9BAB-CC59691A0A6D}"/>
    <cellStyle name="Total 2 2 2 12 4" xfId="41766" xr:uid="{1172D592-138F-4C06-9EF2-6A0D2FADF088}"/>
    <cellStyle name="Total 2 2 2 12 5" xfId="41767" xr:uid="{515128F0-BD49-4F7B-8C61-0AD7B06AC375}"/>
    <cellStyle name="Total 2 2 2 12 6" xfId="41768" xr:uid="{253A6DF8-3B56-4139-90B7-F64FD7EA5027}"/>
    <cellStyle name="Total 2 2 2 12 7" xfId="41769" xr:uid="{5CBE6C3F-526E-47ED-839A-7DE9ADE903AC}"/>
    <cellStyle name="Total 2 2 2 13" xfId="3076" xr:uid="{5E28899F-D7BE-4564-8426-CA056E44EA28}"/>
    <cellStyle name="Total 2 2 2 13 2" xfId="11026" xr:uid="{6A627159-9908-4668-A654-48812E9BA395}"/>
    <cellStyle name="Total 2 2 2 13 2 2" xfId="41770" xr:uid="{822CF3BA-CEF4-4D24-BD6D-1DF45ED733A6}"/>
    <cellStyle name="Total 2 2 2 13 2 3" xfId="41771" xr:uid="{559CB4CD-C138-492A-A43A-E7E5636FD533}"/>
    <cellStyle name="Total 2 2 2 13 2 4" xfId="41772" xr:uid="{8CC94FA3-D3E7-4606-87DE-2C8253498BEF}"/>
    <cellStyle name="Total 2 2 2 13 2 5" xfId="41773" xr:uid="{FB2526AD-5D6C-4AAA-B0FF-8B57BF4404DA}"/>
    <cellStyle name="Total 2 2 2 13 2 6" xfId="41774" xr:uid="{AD0A10ED-93F9-41D6-864F-B574C6D17398}"/>
    <cellStyle name="Total 2 2 2 13 3" xfId="41775" xr:uid="{410C8DA8-4002-4BC6-8A71-84EC9CA2D0E8}"/>
    <cellStyle name="Total 2 2 2 13 4" xfId="41776" xr:uid="{17681A8D-B49F-49A3-B6EF-6BE95FD9AD7D}"/>
    <cellStyle name="Total 2 2 2 13 5" xfId="41777" xr:uid="{F9AE9307-EDA8-4F9A-B396-A0DC77590425}"/>
    <cellStyle name="Total 2 2 2 13 6" xfId="41778" xr:uid="{21F0D189-9941-464A-A659-D5C673EF2807}"/>
    <cellStyle name="Total 2 2 2 13 7" xfId="41779" xr:uid="{EB57F478-4B92-4B75-82D5-6734CEFABA5C}"/>
    <cellStyle name="Total 2 2 2 14" xfId="3077" xr:uid="{A4636E22-AB50-4EB1-8C06-DAD79884F390}"/>
    <cellStyle name="Total 2 2 2 14 2" xfId="11116" xr:uid="{9288205A-2443-46EE-AA43-CFA69E4E89A3}"/>
    <cellStyle name="Total 2 2 2 14 2 2" xfId="41780" xr:uid="{CC176850-3FAC-43D4-BEB3-EE3F08D7ADCD}"/>
    <cellStyle name="Total 2 2 2 14 2 3" xfId="41781" xr:uid="{F96A1ACF-95D3-4261-813B-AEBC9A395840}"/>
    <cellStyle name="Total 2 2 2 14 2 4" xfId="41782" xr:uid="{F61C366B-F3E4-4A31-8903-543CEE25E0A2}"/>
    <cellStyle name="Total 2 2 2 14 2 5" xfId="41783" xr:uid="{939FC159-2027-4D69-9C1F-4D4CCEBE0CE0}"/>
    <cellStyle name="Total 2 2 2 14 2 6" xfId="41784" xr:uid="{EB5B62E3-7E70-4F54-B847-7C2D44E057F9}"/>
    <cellStyle name="Total 2 2 2 14 3" xfId="41785" xr:uid="{4956B3C2-2D11-4F0A-8C19-AB59C3580759}"/>
    <cellStyle name="Total 2 2 2 14 4" xfId="41786" xr:uid="{D23F17C4-28B3-4231-8480-8445DD7DD280}"/>
    <cellStyle name="Total 2 2 2 14 5" xfId="41787" xr:uid="{ACC530C2-D6B8-4FA1-BD34-D8CBC405239F}"/>
    <cellStyle name="Total 2 2 2 14 6" xfId="41788" xr:uid="{0E678E22-AF58-453E-BABF-8D0A514362D5}"/>
    <cellStyle name="Total 2 2 2 14 7" xfId="41789" xr:uid="{A16982DE-2F9C-4C20-AF8E-ED78F6CDC54A}"/>
    <cellStyle name="Total 2 2 2 15" xfId="3078" xr:uid="{2A6309DF-2549-4032-998A-29D00E7BFB10}"/>
    <cellStyle name="Total 2 2 2 15 2" xfId="11199" xr:uid="{210D57DA-9412-4936-AA28-3756B70EEFCB}"/>
    <cellStyle name="Total 2 2 2 15 2 2" xfId="41790" xr:uid="{829B8C79-5C07-460E-86BE-8ABFA83AF725}"/>
    <cellStyle name="Total 2 2 2 15 2 3" xfId="41791" xr:uid="{FCB604CC-9FD7-4BFE-8AF4-24E7288F594F}"/>
    <cellStyle name="Total 2 2 2 15 2 4" xfId="41792" xr:uid="{00D48B17-D188-4CE7-A195-E871FF776F70}"/>
    <cellStyle name="Total 2 2 2 15 2 5" xfId="41793" xr:uid="{FABDAC3F-F80D-4CA2-BA6C-1364D2E09C22}"/>
    <cellStyle name="Total 2 2 2 15 2 6" xfId="41794" xr:uid="{E3344FEF-4A9C-4940-99E1-C3113298112E}"/>
    <cellStyle name="Total 2 2 2 15 3" xfId="41795" xr:uid="{C0BA5E9C-B726-42D8-86D1-AC9C9037F625}"/>
    <cellStyle name="Total 2 2 2 15 4" xfId="41796" xr:uid="{11114CE6-DEFA-4FF6-BD10-02027F221114}"/>
    <cellStyle name="Total 2 2 2 15 5" xfId="41797" xr:uid="{F7B60A58-8E29-4891-B923-EE1DBB104B99}"/>
    <cellStyle name="Total 2 2 2 15 6" xfId="41798" xr:uid="{9175DB67-706C-4122-A0CF-9613F73F3278}"/>
    <cellStyle name="Total 2 2 2 15 7" xfId="41799" xr:uid="{B77B676F-8C13-4B11-A97B-FBF78C9FF464}"/>
    <cellStyle name="Total 2 2 2 16" xfId="3079" xr:uid="{EC38D9BB-45F0-4CD8-BA11-CE9A437D7001}"/>
    <cellStyle name="Total 2 2 2 16 2" xfId="11289" xr:uid="{D5C28FD6-55A8-480F-AC5C-EF41B1179C2E}"/>
    <cellStyle name="Total 2 2 2 16 2 2" xfId="41800" xr:uid="{DEFDB1C7-61CF-45C9-A973-D418BF42D9B6}"/>
    <cellStyle name="Total 2 2 2 16 2 3" xfId="41801" xr:uid="{3838F4B6-B100-4925-9CAE-A887ADA1ACC4}"/>
    <cellStyle name="Total 2 2 2 16 2 4" xfId="41802" xr:uid="{F4995EBF-0243-4738-B753-5C9990C1169D}"/>
    <cellStyle name="Total 2 2 2 16 2 5" xfId="41803" xr:uid="{B92DA0AD-D658-470E-851D-A755C0C615EA}"/>
    <cellStyle name="Total 2 2 2 16 2 6" xfId="41804" xr:uid="{73C3D341-F4C1-412D-883C-27F2037450C4}"/>
    <cellStyle name="Total 2 2 2 16 3" xfId="41805" xr:uid="{AA7BAD3E-8998-494E-A2D9-AF4EBF7A22EB}"/>
    <cellStyle name="Total 2 2 2 16 4" xfId="41806" xr:uid="{D94FECD1-B457-4B00-BB8C-22701829BA6A}"/>
    <cellStyle name="Total 2 2 2 16 5" xfId="41807" xr:uid="{0094CC8F-1CF7-46F4-90B3-BAA36763636D}"/>
    <cellStyle name="Total 2 2 2 16 6" xfId="41808" xr:uid="{4B09B60D-BB06-4520-9186-44635CB2FF08}"/>
    <cellStyle name="Total 2 2 2 16 7" xfId="41809" xr:uid="{52538D78-4019-4116-8B53-F54F3FAEB883}"/>
    <cellStyle name="Total 2 2 2 17" xfId="3080" xr:uid="{B9908084-B1E1-430F-B49A-299C51AC63BF}"/>
    <cellStyle name="Total 2 2 2 17 2" xfId="11375" xr:uid="{F221CAAE-ED42-454F-89F6-44E504EC4EA4}"/>
    <cellStyle name="Total 2 2 2 17 2 2" xfId="41810" xr:uid="{2E3CFF1B-7C41-4AA8-A1C4-830F6A8C2ACA}"/>
    <cellStyle name="Total 2 2 2 17 2 3" xfId="41811" xr:uid="{8E48682E-D58A-41B7-AAE4-5A982B3EECCC}"/>
    <cellStyle name="Total 2 2 2 17 2 4" xfId="41812" xr:uid="{DA6309C7-738C-47D8-A13A-DA1B43FFFC37}"/>
    <cellStyle name="Total 2 2 2 17 2 5" xfId="41813" xr:uid="{E586CA97-6CE2-4120-B63E-97F439B4CEF6}"/>
    <cellStyle name="Total 2 2 2 17 2 6" xfId="41814" xr:uid="{C6188760-CE43-4020-902A-7708FD17A383}"/>
    <cellStyle name="Total 2 2 2 17 3" xfId="41815" xr:uid="{2EB9DF4E-E3A0-48BB-B1A2-40BA99208076}"/>
    <cellStyle name="Total 2 2 2 17 4" xfId="41816" xr:uid="{E0C2AECC-7F5E-4DDE-9BC7-E0A5F17BD972}"/>
    <cellStyle name="Total 2 2 2 17 5" xfId="41817" xr:uid="{42F9D8BA-5A69-456E-A37B-191FAB8F6134}"/>
    <cellStyle name="Total 2 2 2 17 6" xfId="41818" xr:uid="{C145C705-1D55-48E2-8D92-AE3E3C25FC22}"/>
    <cellStyle name="Total 2 2 2 17 7" xfId="41819" xr:uid="{D9C29AF1-9E32-4364-9B8A-E726ED7E02D3}"/>
    <cellStyle name="Total 2 2 2 18" xfId="3081" xr:uid="{36E8418D-A64A-4664-B6E9-58816ACEA8E6}"/>
    <cellStyle name="Total 2 2 2 18 2" xfId="11462" xr:uid="{5F50C7A6-A029-47C5-B1A4-326976806172}"/>
    <cellStyle name="Total 2 2 2 18 2 2" xfId="41820" xr:uid="{1F98C03A-6C07-4AB1-9CD6-96D73A66FF3B}"/>
    <cellStyle name="Total 2 2 2 18 2 3" xfId="41821" xr:uid="{5438EE72-D051-463B-B148-3A9316C38341}"/>
    <cellStyle name="Total 2 2 2 18 2 4" xfId="41822" xr:uid="{630F1B22-9E59-45D3-8FB1-2AD15405F888}"/>
    <cellStyle name="Total 2 2 2 18 2 5" xfId="41823" xr:uid="{88084F47-635C-4B3A-943A-7BEDFBD86E0C}"/>
    <cellStyle name="Total 2 2 2 18 2 6" xfId="41824" xr:uid="{97FBC170-FBAB-42BE-99BF-AEF083BC3CB4}"/>
    <cellStyle name="Total 2 2 2 18 3" xfId="41825" xr:uid="{FB9D7E0C-2A49-46C6-878E-F051D6E1CA7A}"/>
    <cellStyle name="Total 2 2 2 18 4" xfId="41826" xr:uid="{55F1DFD6-FB2E-45E0-9485-1D4AF824FD48}"/>
    <cellStyle name="Total 2 2 2 18 5" xfId="41827" xr:uid="{2C75C82C-A5CA-4AAC-A3CF-4FFFC470EBAC}"/>
    <cellStyle name="Total 2 2 2 18 6" xfId="41828" xr:uid="{6C842B9A-46FD-42FB-BA40-435AE0642321}"/>
    <cellStyle name="Total 2 2 2 18 7" xfId="41829" xr:uid="{97147CFC-D133-48F5-8661-BA3D2421ADD2}"/>
    <cellStyle name="Total 2 2 2 19" xfId="3082" xr:uid="{A0D87533-0BAC-476C-A29C-BDB1875B17E6}"/>
    <cellStyle name="Total 2 2 2 19 2" xfId="11549" xr:uid="{C67B81F9-E34B-4AFD-8066-F3D209D5BF3A}"/>
    <cellStyle name="Total 2 2 2 19 2 2" xfId="41830" xr:uid="{F19B617D-4D8D-41F1-BD7B-670444C4DEEF}"/>
    <cellStyle name="Total 2 2 2 19 2 3" xfId="41831" xr:uid="{42CF1DEE-5CE3-4E57-9AA9-E1861EC0625F}"/>
    <cellStyle name="Total 2 2 2 19 2 4" xfId="41832" xr:uid="{1C442687-D9BC-425E-BB8F-28FCC93D84FE}"/>
    <cellStyle name="Total 2 2 2 19 2 5" xfId="41833" xr:uid="{D47ED28C-22BF-4414-ABA6-1CC40E325C8A}"/>
    <cellStyle name="Total 2 2 2 19 2 6" xfId="41834" xr:uid="{7346D903-8617-47D3-9FC5-F6DF0FC48057}"/>
    <cellStyle name="Total 2 2 2 19 3" xfId="41835" xr:uid="{F27EEB80-DFFB-49B0-A1D9-8DCD08188924}"/>
    <cellStyle name="Total 2 2 2 19 4" xfId="41836" xr:uid="{904FC219-0EDD-4F86-AF2C-95C0669EB984}"/>
    <cellStyle name="Total 2 2 2 19 5" xfId="41837" xr:uid="{2C5DF811-5DF5-47E4-B139-C48642C76EB8}"/>
    <cellStyle name="Total 2 2 2 19 6" xfId="41838" xr:uid="{42914903-B4EA-4DDC-83D9-B8B760898A02}"/>
    <cellStyle name="Total 2 2 2 19 7" xfId="41839" xr:uid="{19ABA044-4B43-44C1-A325-8AE154D002C3}"/>
    <cellStyle name="Total 2 2 2 2" xfId="3083" xr:uid="{0CF700EE-3FA1-4D77-BEF2-738513EA63F9}"/>
    <cellStyle name="Total 2 2 2 2 2" xfId="10056" xr:uid="{19ECED16-6897-4105-B169-53D353119182}"/>
    <cellStyle name="Total 2 2 2 2 2 2" xfId="41840" xr:uid="{78D5F2D1-785D-4D81-B9DC-4A9333797790}"/>
    <cellStyle name="Total 2 2 2 2 2 3" xfId="41841" xr:uid="{C872C36A-0CBD-4065-8282-E2C346B14F3B}"/>
    <cellStyle name="Total 2 2 2 2 2 4" xfId="41842" xr:uid="{B445D7AB-0F34-44B2-9B8B-DF88CC24B38B}"/>
    <cellStyle name="Total 2 2 2 2 2 5" xfId="41843" xr:uid="{DF17C437-8ABD-41BA-B9A6-446BCE095332}"/>
    <cellStyle name="Total 2 2 2 2 2 6" xfId="41844" xr:uid="{46FCD186-43AC-4B09-8EC7-D0EC5A7A56D3}"/>
    <cellStyle name="Total 2 2 2 2 3" xfId="41845" xr:uid="{BC3349F7-0F93-4D93-910F-DD468B73DBDB}"/>
    <cellStyle name="Total 2 2 2 2 4" xfId="41846" xr:uid="{58DE201E-D01C-481F-B8D4-FACD97381A00}"/>
    <cellStyle name="Total 2 2 2 2 5" xfId="41847" xr:uid="{96397539-8DE3-4EC9-9A4E-4F17C4E7345E}"/>
    <cellStyle name="Total 2 2 2 2 6" xfId="41848" xr:uid="{63303172-DE38-4D06-A8A6-432A60B26FA7}"/>
    <cellStyle name="Total 2 2 2 2 7" xfId="41849" xr:uid="{4D9202C0-667E-4E9C-94C0-077BC12DB429}"/>
    <cellStyle name="Total 2 2 2 20" xfId="3084" xr:uid="{52648724-73E4-4953-9223-3E4F922C1A26}"/>
    <cellStyle name="Total 2 2 2 20 2" xfId="11637" xr:uid="{5893AFAC-A1D7-4981-B804-1F259F7C482C}"/>
    <cellStyle name="Total 2 2 2 20 2 2" xfId="41850" xr:uid="{9B863BFE-845B-46F1-83F1-E8C95953404E}"/>
    <cellStyle name="Total 2 2 2 20 2 3" xfId="41851" xr:uid="{66B14D0D-906B-41A3-99B3-62288593D009}"/>
    <cellStyle name="Total 2 2 2 20 2 4" xfId="41852" xr:uid="{7D774A53-19DC-4899-8439-9D72FF814EF2}"/>
    <cellStyle name="Total 2 2 2 20 2 5" xfId="41853" xr:uid="{8D46A9A5-E127-4E3A-B139-D0ECE45A8B23}"/>
    <cellStyle name="Total 2 2 2 20 2 6" xfId="41854" xr:uid="{44FC15E8-97A5-4F95-84A4-EB5D9CBBE3FE}"/>
    <cellStyle name="Total 2 2 2 20 3" xfId="41855" xr:uid="{3E940E07-4962-46DD-8ABE-78C38F7B647D}"/>
    <cellStyle name="Total 2 2 2 20 4" xfId="41856" xr:uid="{061F520D-91B8-49F5-B43E-5DBDA45749E5}"/>
    <cellStyle name="Total 2 2 2 20 5" xfId="41857" xr:uid="{07488B32-F2A2-430D-8589-20A94A45295E}"/>
    <cellStyle name="Total 2 2 2 20 6" xfId="41858" xr:uid="{8CC59239-9105-40E9-8191-5C417E2F8BC4}"/>
    <cellStyle name="Total 2 2 2 20 7" xfId="41859" xr:uid="{196CB0FB-3C5B-4DCE-8750-5BECAED04F82}"/>
    <cellStyle name="Total 2 2 2 21" xfId="3085" xr:uid="{4B0C7D22-BA3A-4D03-8B70-C216A2D67159}"/>
    <cellStyle name="Total 2 2 2 21 2" xfId="11721" xr:uid="{875F4736-91E6-47B6-A3B2-8AD05C6D486D}"/>
    <cellStyle name="Total 2 2 2 21 2 2" xfId="41860" xr:uid="{1878933B-679C-4448-92BC-4B5B31EB8F7B}"/>
    <cellStyle name="Total 2 2 2 21 2 3" xfId="41861" xr:uid="{A92B24A1-3E9A-46C4-85B8-3EBD4AB12306}"/>
    <cellStyle name="Total 2 2 2 21 2 4" xfId="41862" xr:uid="{0A83CF72-5A5C-43A2-890A-2A965D036156}"/>
    <cellStyle name="Total 2 2 2 21 2 5" xfId="41863" xr:uid="{5408EC45-E5FA-41B8-B849-121354BF6965}"/>
    <cellStyle name="Total 2 2 2 21 2 6" xfId="41864" xr:uid="{B760FA9C-1883-4539-A1E8-01DDFAFA2109}"/>
    <cellStyle name="Total 2 2 2 21 3" xfId="41865" xr:uid="{9BD32239-2645-4C11-8B8E-2A08F5A5546B}"/>
    <cellStyle name="Total 2 2 2 21 4" xfId="41866" xr:uid="{AA9BB8B8-24A5-44FF-9368-1FF3608D900B}"/>
    <cellStyle name="Total 2 2 2 21 5" xfId="41867" xr:uid="{7AD40E7D-94DD-49EE-B246-5043D3C36BA8}"/>
    <cellStyle name="Total 2 2 2 21 6" xfId="41868" xr:uid="{DA7628DB-D172-4136-BD17-7C6BAA66913B}"/>
    <cellStyle name="Total 2 2 2 21 7" xfId="41869" xr:uid="{E014E90D-CD0E-4FAF-BDF8-8203F0BC5074}"/>
    <cellStyle name="Total 2 2 2 22" xfId="3086" xr:uid="{E80D2EE5-8AD1-47AC-AA80-A7456D07D365}"/>
    <cellStyle name="Total 2 2 2 22 2" xfId="11804" xr:uid="{0F334F40-3687-472A-A372-2D9F56BA3559}"/>
    <cellStyle name="Total 2 2 2 22 2 2" xfId="41870" xr:uid="{49DC8506-FD64-407A-B17F-5B713FA2E1F9}"/>
    <cellStyle name="Total 2 2 2 22 2 3" xfId="41871" xr:uid="{79E4D02E-6342-4CB2-A702-AF530101F627}"/>
    <cellStyle name="Total 2 2 2 22 2 4" xfId="41872" xr:uid="{36D0AE1F-C188-4A3D-809E-EB7625A76C87}"/>
    <cellStyle name="Total 2 2 2 22 2 5" xfId="41873" xr:uid="{C3FB8EB5-44DC-403D-A665-9829B89FD151}"/>
    <cellStyle name="Total 2 2 2 22 2 6" xfId="41874" xr:uid="{D207A7C1-347F-4A1E-8D07-8222E7A8A1D5}"/>
    <cellStyle name="Total 2 2 2 22 3" xfId="41875" xr:uid="{778EABF5-451D-47DA-BE17-18258E8F4AA7}"/>
    <cellStyle name="Total 2 2 2 22 4" xfId="41876" xr:uid="{81C46222-E5E1-4D7C-9850-34853F7F70AA}"/>
    <cellStyle name="Total 2 2 2 22 5" xfId="41877" xr:uid="{E06ADB1C-4DBD-4289-B597-E02BD7C6677F}"/>
    <cellStyle name="Total 2 2 2 22 6" xfId="41878" xr:uid="{BC3C08C9-BAB4-45CB-9CFE-8CFAFC65D725}"/>
    <cellStyle name="Total 2 2 2 22 7" xfId="41879" xr:uid="{B1468B0C-27FA-4D24-8991-01DE11991883}"/>
    <cellStyle name="Total 2 2 2 23" xfId="3087" xr:uid="{788B7E0F-9904-427F-BDD3-A191A00F6514}"/>
    <cellStyle name="Total 2 2 2 23 2" xfId="11887" xr:uid="{7D071003-9F4A-4C94-93EB-13A8FD894241}"/>
    <cellStyle name="Total 2 2 2 23 2 2" xfId="41880" xr:uid="{88B7533D-A8D0-48DB-8E90-179D81508E41}"/>
    <cellStyle name="Total 2 2 2 23 2 3" xfId="41881" xr:uid="{E39075FE-D35A-4629-AA06-FE3D2AB566E1}"/>
    <cellStyle name="Total 2 2 2 23 2 4" xfId="41882" xr:uid="{817FE369-BDB2-4E19-88EA-2430BC747C1B}"/>
    <cellStyle name="Total 2 2 2 23 2 5" xfId="41883" xr:uid="{C3648CB7-94AC-481A-9FA2-2955AFC5C553}"/>
    <cellStyle name="Total 2 2 2 23 2 6" xfId="41884" xr:uid="{73E78315-50DA-4558-9A99-5EB29FED78EF}"/>
    <cellStyle name="Total 2 2 2 23 3" xfId="41885" xr:uid="{4FF29BB1-AFED-419B-9E04-4E5EB9B485CE}"/>
    <cellStyle name="Total 2 2 2 23 4" xfId="41886" xr:uid="{57EDBEAB-35B0-463F-8C0D-00A4AB2D5018}"/>
    <cellStyle name="Total 2 2 2 23 5" xfId="41887" xr:uid="{666A8ADA-08F2-41FB-B9FE-4FBC9C779765}"/>
    <cellStyle name="Total 2 2 2 23 6" xfId="41888" xr:uid="{03C9B01D-C05A-4D0F-A1E7-F4B2EB7021D4}"/>
    <cellStyle name="Total 2 2 2 23 7" xfId="41889" xr:uid="{DAD4B831-842F-412B-B903-2BCE380B61A4}"/>
    <cellStyle name="Total 2 2 2 24" xfId="3088" xr:uid="{521B4DDD-7902-4D07-950A-BD394908F773}"/>
    <cellStyle name="Total 2 2 2 24 2" xfId="11971" xr:uid="{43ADE1F8-BEF9-48FB-8984-E2C140BEA1CE}"/>
    <cellStyle name="Total 2 2 2 24 2 2" xfId="41890" xr:uid="{51C495D2-06B9-4E68-80B1-8CEC69B2EAD1}"/>
    <cellStyle name="Total 2 2 2 24 2 3" xfId="41891" xr:uid="{D618CDEA-6893-49A5-B0DD-26F57DDF7DA3}"/>
    <cellStyle name="Total 2 2 2 24 2 4" xfId="41892" xr:uid="{870A7F28-A22C-41B0-8B08-2F505ACB5427}"/>
    <cellStyle name="Total 2 2 2 24 2 5" xfId="41893" xr:uid="{1415D780-53CC-47D7-BC8B-BA092F77BF37}"/>
    <cellStyle name="Total 2 2 2 24 2 6" xfId="41894" xr:uid="{FB0AD5F8-F508-494C-A326-CB39EB36030F}"/>
    <cellStyle name="Total 2 2 2 24 3" xfId="41895" xr:uid="{559083E1-90A7-4DE4-B04C-8F97DD8031AB}"/>
    <cellStyle name="Total 2 2 2 24 4" xfId="41896" xr:uid="{F5F90D30-326F-47F3-82A6-F5D37EE26A78}"/>
    <cellStyle name="Total 2 2 2 24 5" xfId="41897" xr:uid="{C6B577D1-86DF-4ACD-97F3-03E52AB57B55}"/>
    <cellStyle name="Total 2 2 2 24 6" xfId="41898" xr:uid="{47CEC7AA-FDD7-4699-B7A7-29E2A6B95F9C}"/>
    <cellStyle name="Total 2 2 2 24 7" xfId="41899" xr:uid="{E94A4F77-8436-4DAF-8E9F-5416201BCA7A}"/>
    <cellStyle name="Total 2 2 2 25" xfId="3089" xr:uid="{C07F7C33-9A6B-4E04-85FE-E20A6907AF41}"/>
    <cellStyle name="Total 2 2 2 25 2" xfId="12054" xr:uid="{C71E3EAE-EC18-41D6-B5B7-0BFE1E999E98}"/>
    <cellStyle name="Total 2 2 2 25 2 2" xfId="41900" xr:uid="{D53D23A3-6EEF-4E2E-A146-74538FDFD204}"/>
    <cellStyle name="Total 2 2 2 25 2 3" xfId="41901" xr:uid="{A457D289-3FD5-46C8-8DE2-F0BA8710711E}"/>
    <cellStyle name="Total 2 2 2 25 2 4" xfId="41902" xr:uid="{EC302076-B20D-4B05-8F12-5C46B9F810D6}"/>
    <cellStyle name="Total 2 2 2 25 2 5" xfId="41903" xr:uid="{5F92A5CB-8F8F-421D-B1F2-80507DD57CAC}"/>
    <cellStyle name="Total 2 2 2 25 2 6" xfId="41904" xr:uid="{82C9047E-4493-4F93-8C95-AF37ECE89751}"/>
    <cellStyle name="Total 2 2 2 25 3" xfId="41905" xr:uid="{01E14AA4-5367-4AC7-AFE8-E25DC5817BE8}"/>
    <cellStyle name="Total 2 2 2 25 4" xfId="41906" xr:uid="{48D93FD2-2D95-4F8A-B203-135208530A2D}"/>
    <cellStyle name="Total 2 2 2 25 5" xfId="41907" xr:uid="{D99BEE85-63B4-4CB2-BC8F-A912B2CEB1C4}"/>
    <cellStyle name="Total 2 2 2 25 6" xfId="41908" xr:uid="{B255C372-1668-4AB8-AB3B-8EEE7170A54F}"/>
    <cellStyle name="Total 2 2 2 25 7" xfId="41909" xr:uid="{D6C94F21-6113-4C83-B7A6-744587496157}"/>
    <cellStyle name="Total 2 2 2 26" xfId="3090" xr:uid="{F3E6DC26-24A6-4D28-9C83-E8AEB0DED586}"/>
    <cellStyle name="Total 2 2 2 26 2" xfId="12137" xr:uid="{CB642402-9D07-4AFC-AF32-941F53943E3F}"/>
    <cellStyle name="Total 2 2 2 26 2 2" xfId="41910" xr:uid="{4EA74034-0BBA-4E22-84EA-4DA707227D7D}"/>
    <cellStyle name="Total 2 2 2 26 2 3" xfId="41911" xr:uid="{F1E55E09-216D-4969-82CE-CF9A4B7C95B4}"/>
    <cellStyle name="Total 2 2 2 26 2 4" xfId="41912" xr:uid="{82D9D8FD-D05A-4CD8-87E6-79323FF827DB}"/>
    <cellStyle name="Total 2 2 2 26 2 5" xfId="41913" xr:uid="{999F45CF-07A4-474B-A001-66D25AE58546}"/>
    <cellStyle name="Total 2 2 2 26 2 6" xfId="41914" xr:uid="{AD26AC31-68AD-490C-BFFA-DC8E10F06A67}"/>
    <cellStyle name="Total 2 2 2 26 3" xfId="41915" xr:uid="{8B1DEF48-33E8-4A6D-8A88-3D797315939E}"/>
    <cellStyle name="Total 2 2 2 26 4" xfId="41916" xr:uid="{36894CFA-0A5E-43D7-9CA2-705E0230854C}"/>
    <cellStyle name="Total 2 2 2 26 5" xfId="41917" xr:uid="{3CFAD801-82DF-4EE3-BC34-8931E029C737}"/>
    <cellStyle name="Total 2 2 2 26 6" xfId="41918" xr:uid="{057E747E-C17D-45E3-AAC6-686171D959AB}"/>
    <cellStyle name="Total 2 2 2 26 7" xfId="41919" xr:uid="{0CAC0F84-FEBE-426C-A475-008E44BDD11D}"/>
    <cellStyle name="Total 2 2 2 27" xfId="3091" xr:uid="{0A6A04C2-0E90-4CCB-8BC1-600031687880}"/>
    <cellStyle name="Total 2 2 2 27 2" xfId="12219" xr:uid="{58524527-6A59-476A-8E41-F9DA54C8EF03}"/>
    <cellStyle name="Total 2 2 2 27 2 2" xfId="41920" xr:uid="{78A8CEA9-040C-4D0A-8FBB-DD0DC7B48B9B}"/>
    <cellStyle name="Total 2 2 2 27 2 3" xfId="41921" xr:uid="{A3B72C10-D970-4792-BD06-8F5D7215604A}"/>
    <cellStyle name="Total 2 2 2 27 2 4" xfId="41922" xr:uid="{F4F92842-8C69-454F-9F9F-C75EE26661F4}"/>
    <cellStyle name="Total 2 2 2 27 2 5" xfId="41923" xr:uid="{63064F03-733E-4C19-BBF6-6140F8AD78AA}"/>
    <cellStyle name="Total 2 2 2 27 2 6" xfId="41924" xr:uid="{D7A17C00-3280-4FA7-B102-6157FC8C09DA}"/>
    <cellStyle name="Total 2 2 2 27 3" xfId="41925" xr:uid="{27C8E670-CCA9-4060-9514-A2AD65D00094}"/>
    <cellStyle name="Total 2 2 2 27 4" xfId="41926" xr:uid="{FD381CFF-93B9-4082-AB07-BBE13617D484}"/>
    <cellStyle name="Total 2 2 2 27 5" xfId="41927" xr:uid="{49560C04-EB00-493F-AAB8-8C9BCA864FCC}"/>
    <cellStyle name="Total 2 2 2 27 6" xfId="41928" xr:uid="{DED9F399-1F2F-4065-AB9C-BFDEDB303F83}"/>
    <cellStyle name="Total 2 2 2 27 7" xfId="41929" xr:uid="{ED147228-0BF1-45A9-8F76-31C86AA4F101}"/>
    <cellStyle name="Total 2 2 2 28" xfId="3092" xr:uid="{10234DC6-1853-4055-8858-AADCCC08EE49}"/>
    <cellStyle name="Total 2 2 2 28 2" xfId="12299" xr:uid="{0CBF2FC0-1A30-4769-A0ED-B01BE347196A}"/>
    <cellStyle name="Total 2 2 2 28 2 2" xfId="41930" xr:uid="{6B77ED66-A4E0-47D9-86F5-49F914D0424F}"/>
    <cellStyle name="Total 2 2 2 28 2 3" xfId="41931" xr:uid="{34204782-75DE-4C40-9B07-45A118DDB535}"/>
    <cellStyle name="Total 2 2 2 28 2 4" xfId="41932" xr:uid="{E72085F8-C1C6-443A-98B0-8BF1F757A275}"/>
    <cellStyle name="Total 2 2 2 28 2 5" xfId="41933" xr:uid="{62938FE0-B566-433D-ADD5-D36EAD5D1B1E}"/>
    <cellStyle name="Total 2 2 2 28 2 6" xfId="41934" xr:uid="{52E27820-B2B6-481A-B13F-2CE5D842F231}"/>
    <cellStyle name="Total 2 2 2 28 3" xfId="41935" xr:uid="{4C04C85F-904B-4931-8207-ECABB5CCBAD2}"/>
    <cellStyle name="Total 2 2 2 28 4" xfId="41936" xr:uid="{C7285BDB-E7A2-4AAB-825F-8C09A9CF6C59}"/>
    <cellStyle name="Total 2 2 2 28 5" xfId="41937" xr:uid="{3C992E5F-1816-472F-8B98-326324D7ABDD}"/>
    <cellStyle name="Total 2 2 2 28 6" xfId="41938" xr:uid="{C3A96381-CED5-4732-A1D6-D02411DE94B3}"/>
    <cellStyle name="Total 2 2 2 28 7" xfId="41939" xr:uid="{7BFC7951-497B-464F-B3C2-BE78A6C7D86A}"/>
    <cellStyle name="Total 2 2 2 29" xfId="3093" xr:uid="{DF6A57EC-DDC7-4827-A9AD-C8721964A0CF}"/>
    <cellStyle name="Total 2 2 2 29 2" xfId="12377" xr:uid="{D17166AB-50E8-4C8B-9192-C512EE4E7E30}"/>
    <cellStyle name="Total 2 2 2 29 2 2" xfId="41940" xr:uid="{696421EB-F92E-4579-AA55-C4A8C82E7DB9}"/>
    <cellStyle name="Total 2 2 2 29 2 3" xfId="41941" xr:uid="{9331D57B-7D69-4260-BC17-77D6122908AA}"/>
    <cellStyle name="Total 2 2 2 29 2 4" xfId="41942" xr:uid="{169FDEA2-3890-4091-B824-1A8CF49C103D}"/>
    <cellStyle name="Total 2 2 2 29 2 5" xfId="41943" xr:uid="{DB164ABA-8D42-4732-A75E-D698D189F167}"/>
    <cellStyle name="Total 2 2 2 29 2 6" xfId="41944" xr:uid="{D05436CF-5D7D-47DF-9889-5CC5B301055C}"/>
    <cellStyle name="Total 2 2 2 29 3" xfId="41945" xr:uid="{1F339743-A38F-4767-A69B-A9C5BA93FA24}"/>
    <cellStyle name="Total 2 2 2 29 4" xfId="41946" xr:uid="{8CC85424-A7BF-4997-B95C-0A1926CAE402}"/>
    <cellStyle name="Total 2 2 2 29 5" xfId="41947" xr:uid="{8ABD0821-B5B2-4391-8DB2-2791E3DFBDD1}"/>
    <cellStyle name="Total 2 2 2 29 6" xfId="41948" xr:uid="{7B54FBAE-EF77-4227-AD06-860EAC0BFE33}"/>
    <cellStyle name="Total 2 2 2 29 7" xfId="41949" xr:uid="{62CE0F30-9C5B-4A61-9D7D-F992838F3C4D}"/>
    <cellStyle name="Total 2 2 2 3" xfId="3094" xr:uid="{6C6D7268-67B4-4AA9-A2E8-6423BFDC03AD}"/>
    <cellStyle name="Total 2 2 2 3 2" xfId="10147" xr:uid="{79E611D0-D4C4-4AC8-9836-C7C430C2735D}"/>
    <cellStyle name="Total 2 2 2 3 2 2" xfId="41950" xr:uid="{E38D5369-3D94-4397-BDC4-CCB28A45C469}"/>
    <cellStyle name="Total 2 2 2 3 2 3" xfId="41951" xr:uid="{F7D23DD0-A4AE-4BC7-99D9-09C8D9068D09}"/>
    <cellStyle name="Total 2 2 2 3 2 4" xfId="41952" xr:uid="{D89B5200-9D09-46E8-9A42-9DF5961A8C17}"/>
    <cellStyle name="Total 2 2 2 3 2 5" xfId="41953" xr:uid="{038B53D4-281B-44E2-8A03-0BC3B356EFA9}"/>
    <cellStyle name="Total 2 2 2 3 2 6" xfId="41954" xr:uid="{975A578B-8083-4B2D-8704-5EBAD57C4A9B}"/>
    <cellStyle name="Total 2 2 2 3 3" xfId="41955" xr:uid="{5880353B-24E6-460D-86C6-920C13872646}"/>
    <cellStyle name="Total 2 2 2 3 4" xfId="41956" xr:uid="{C9286CBC-9FCE-46A5-ADA9-580FC030F659}"/>
    <cellStyle name="Total 2 2 2 3 5" xfId="41957" xr:uid="{E4003AB8-AB72-4163-B676-9122BD1C66F1}"/>
    <cellStyle name="Total 2 2 2 3 6" xfId="41958" xr:uid="{66F564FA-5004-4EE2-AB24-737FDD7E8C3C}"/>
    <cellStyle name="Total 2 2 2 3 7" xfId="41959" xr:uid="{5E832C82-B654-4D0F-B9E0-44FE1EF38149}"/>
    <cellStyle name="Total 2 2 2 30" xfId="3095" xr:uid="{4FB1B5A6-A6B5-4C0F-B2C3-AF44AA9A0871}"/>
    <cellStyle name="Total 2 2 2 30 2" xfId="12456" xr:uid="{E3BA7025-25E0-43C1-AA94-4EE9FA84C0F6}"/>
    <cellStyle name="Total 2 2 2 30 2 2" xfId="41960" xr:uid="{0D76BBCD-9E49-4165-8420-94FA961A0B00}"/>
    <cellStyle name="Total 2 2 2 30 2 3" xfId="41961" xr:uid="{6C738F5A-7AFD-4B30-B2D8-7D0124B5A819}"/>
    <cellStyle name="Total 2 2 2 30 2 4" xfId="41962" xr:uid="{763448AD-50F2-44FB-9AAD-15681B73B1C1}"/>
    <cellStyle name="Total 2 2 2 30 2 5" xfId="41963" xr:uid="{83E7E899-B502-428B-A014-E082290BFCA7}"/>
    <cellStyle name="Total 2 2 2 30 2 6" xfId="41964" xr:uid="{15E41D99-D067-41AC-ADFB-B95DEDC065CB}"/>
    <cellStyle name="Total 2 2 2 30 3" xfId="41965" xr:uid="{D89D6FC1-8798-4E0B-8AE5-D5395A00C8D9}"/>
    <cellStyle name="Total 2 2 2 30 4" xfId="41966" xr:uid="{FF92CDC4-0A69-4D50-9156-640426280F53}"/>
    <cellStyle name="Total 2 2 2 30 5" xfId="41967" xr:uid="{710A070C-097E-4AEC-8CDE-46E1BCB52E98}"/>
    <cellStyle name="Total 2 2 2 30 6" xfId="41968" xr:uid="{A587651B-8E2B-4144-B696-48535DDFFA6A}"/>
    <cellStyle name="Total 2 2 2 30 7" xfId="41969" xr:uid="{400C7350-DE6E-4B3C-AF47-2F8BEACEB7C9}"/>
    <cellStyle name="Total 2 2 2 31" xfId="3096" xr:uid="{C4AF0272-7EDC-409F-B039-B35CF96F624E}"/>
    <cellStyle name="Total 2 2 2 31 2" xfId="12535" xr:uid="{EF486AD2-A66A-4977-A39D-3FBF3E750D37}"/>
    <cellStyle name="Total 2 2 2 31 2 2" xfId="41970" xr:uid="{0115BF93-45D3-47A4-85C6-10480A75DCD5}"/>
    <cellStyle name="Total 2 2 2 31 2 3" xfId="41971" xr:uid="{457AE901-4F68-46CF-830C-64C9CC5168CE}"/>
    <cellStyle name="Total 2 2 2 31 2 4" xfId="41972" xr:uid="{3ACA5D4C-E673-45E4-881E-A5470AC6182E}"/>
    <cellStyle name="Total 2 2 2 31 2 5" xfId="41973" xr:uid="{4E736481-98EF-4D9B-897D-06AFB8D31158}"/>
    <cellStyle name="Total 2 2 2 31 2 6" xfId="41974" xr:uid="{2CAB87E2-CA5A-4CE9-BDB2-5850CFFD4E4A}"/>
    <cellStyle name="Total 2 2 2 31 3" xfId="41975" xr:uid="{7BBE1C9F-BDB9-4FBF-84A3-08CED8A1BE78}"/>
    <cellStyle name="Total 2 2 2 31 4" xfId="41976" xr:uid="{5BA379BD-E73A-4618-8004-FBBBAE8122C1}"/>
    <cellStyle name="Total 2 2 2 31 5" xfId="41977" xr:uid="{D231451F-BD46-453B-85D1-46DBFFBD0252}"/>
    <cellStyle name="Total 2 2 2 31 6" xfId="41978" xr:uid="{8AA86E1D-5652-4A7E-B58D-ABE039EA15FE}"/>
    <cellStyle name="Total 2 2 2 31 7" xfId="41979" xr:uid="{46A6C88D-53E1-4686-804C-39BF3B3501C1}"/>
    <cellStyle name="Total 2 2 2 32" xfId="3097" xr:uid="{A0C3A22C-27D9-4CF2-88CE-53F024A7DEC1}"/>
    <cellStyle name="Total 2 2 2 32 2" xfId="12614" xr:uid="{30DAB5B5-4A8C-4C0A-A954-55F82CCB558C}"/>
    <cellStyle name="Total 2 2 2 32 2 2" xfId="41980" xr:uid="{F7F1B629-B2F3-4FCF-B46C-86B3A06E78DF}"/>
    <cellStyle name="Total 2 2 2 32 2 3" xfId="41981" xr:uid="{899848DF-2897-41ED-B53B-42C0EB77A695}"/>
    <cellStyle name="Total 2 2 2 32 2 4" xfId="41982" xr:uid="{0E843CC6-24A5-43BF-9161-9FD923310041}"/>
    <cellStyle name="Total 2 2 2 32 2 5" xfId="41983" xr:uid="{42CCE360-7760-433E-826F-5B7E29379141}"/>
    <cellStyle name="Total 2 2 2 32 2 6" xfId="41984" xr:uid="{3B96A3EE-741B-413E-A40A-0826E5C00CE4}"/>
    <cellStyle name="Total 2 2 2 32 3" xfId="41985" xr:uid="{BBB9E5AA-DCB5-4826-9483-6921FC132F44}"/>
    <cellStyle name="Total 2 2 2 32 4" xfId="41986" xr:uid="{B7FD9B8E-1216-43FE-88DA-15AD9878FA0F}"/>
    <cellStyle name="Total 2 2 2 32 5" xfId="41987" xr:uid="{86F2CC72-90E4-4F23-B79D-D581F08CD83A}"/>
    <cellStyle name="Total 2 2 2 32 6" xfId="41988" xr:uid="{E4670A51-7EE1-4FA5-9E6C-8FC4C02E3676}"/>
    <cellStyle name="Total 2 2 2 32 7" xfId="41989" xr:uid="{925BD11B-66AA-492F-95E3-703D1129B917}"/>
    <cellStyle name="Total 2 2 2 33" xfId="3098" xr:uid="{1B888EDA-5593-43D3-85D8-F7205E7B2A7A}"/>
    <cellStyle name="Total 2 2 2 33 2" xfId="12693" xr:uid="{4BCC9121-5596-4C8F-BC06-A83FDEF303B8}"/>
    <cellStyle name="Total 2 2 2 33 2 2" xfId="41990" xr:uid="{1F3E3EDB-0CE2-4C58-9668-2047EE1BE3FE}"/>
    <cellStyle name="Total 2 2 2 33 2 3" xfId="41991" xr:uid="{7EF0C838-0B12-47A7-964D-8C89CC7BBD6C}"/>
    <cellStyle name="Total 2 2 2 33 2 4" xfId="41992" xr:uid="{83FACAF3-3EE1-4D13-BA2B-6BBCCA153670}"/>
    <cellStyle name="Total 2 2 2 33 2 5" xfId="41993" xr:uid="{9B57C985-C58D-46ED-B5C3-DB54F6D24EAF}"/>
    <cellStyle name="Total 2 2 2 33 2 6" xfId="41994" xr:uid="{18877969-BD8E-428A-8FB2-E744CB6BF531}"/>
    <cellStyle name="Total 2 2 2 33 3" xfId="41995" xr:uid="{8875B1DA-36E1-43B9-B77B-95051C14D94A}"/>
    <cellStyle name="Total 2 2 2 33 4" xfId="41996" xr:uid="{8D56B1B7-FAFA-416A-87EE-2A2C36911773}"/>
    <cellStyle name="Total 2 2 2 33 5" xfId="41997" xr:uid="{4760F966-B8FD-40F6-8458-2B966D473523}"/>
    <cellStyle name="Total 2 2 2 33 6" xfId="41998" xr:uid="{3229B451-2839-476E-891A-D42DDF215C60}"/>
    <cellStyle name="Total 2 2 2 33 7" xfId="41999" xr:uid="{56087B9E-099C-4C3A-B2FB-AEA9003BAF04}"/>
    <cellStyle name="Total 2 2 2 34" xfId="3099" xr:uid="{E49225D2-B8CA-4BEF-8577-10F47801E003}"/>
    <cellStyle name="Total 2 2 2 34 2" xfId="12777" xr:uid="{83B44F3D-85E1-45A7-9DB3-E720B8BDBB7D}"/>
    <cellStyle name="Total 2 2 2 34 2 2" xfId="42000" xr:uid="{86172D8C-2368-4F27-9D0D-C07623F19F0C}"/>
    <cellStyle name="Total 2 2 2 34 2 3" xfId="42001" xr:uid="{40AC3864-F444-45F1-92B0-276A96C79928}"/>
    <cellStyle name="Total 2 2 2 34 2 4" xfId="42002" xr:uid="{641548DE-7082-4F66-A3AD-B4C4B8371447}"/>
    <cellStyle name="Total 2 2 2 34 2 5" xfId="42003" xr:uid="{BB0BE0F1-53BD-4A39-899D-165750EBAF35}"/>
    <cellStyle name="Total 2 2 2 34 2 6" xfId="42004" xr:uid="{EE0A14AA-0EBA-40FA-86A4-6152E3437760}"/>
    <cellStyle name="Total 2 2 2 34 3" xfId="42005" xr:uid="{8AEC1250-96DB-49D3-A8B9-E5FABA8A8338}"/>
    <cellStyle name="Total 2 2 2 34 4" xfId="42006" xr:uid="{18BE9946-ACE3-4895-8748-0753ADDAEA2E}"/>
    <cellStyle name="Total 2 2 2 34 5" xfId="42007" xr:uid="{5FF23525-346E-4D23-9F19-D15D17DB139E}"/>
    <cellStyle name="Total 2 2 2 35" xfId="9843" xr:uid="{3172B0D9-4E7A-4E2B-8936-FDA195FADBE5}"/>
    <cellStyle name="Total 2 2 2 35 2" xfId="42008" xr:uid="{21338FDA-C8E9-4F71-BBF2-1831AB6A8FF2}"/>
    <cellStyle name="Total 2 2 2 35 3" xfId="42009" xr:uid="{00CA764C-9439-4DA7-B547-4BB56132A450}"/>
    <cellStyle name="Total 2 2 2 35 4" xfId="42010" xr:uid="{F95637D4-A07C-482B-B37A-340ADAE156BB}"/>
    <cellStyle name="Total 2 2 2 35 5" xfId="42011" xr:uid="{076B19BD-57F7-4225-A93B-A1F24B675266}"/>
    <cellStyle name="Total 2 2 2 35 6" xfId="42012" xr:uid="{FCB40AFE-F88E-46FE-A145-F29537D56C3D}"/>
    <cellStyle name="Total 2 2 2 36" xfId="42013" xr:uid="{898B42F6-55BB-411F-BB64-81743C5A6CAA}"/>
    <cellStyle name="Total 2 2 2 37" xfId="42014" xr:uid="{E47666C1-2E5B-40D8-9FFA-601F823320E9}"/>
    <cellStyle name="Total 2 2 2 38" xfId="42015" xr:uid="{5F2A51CF-2ADA-41FB-AF03-AC905CF47CFF}"/>
    <cellStyle name="Total 2 2 2 4" xfId="3100" xr:uid="{7BD40605-3D8B-4F29-A389-8C23DB54DCE8}"/>
    <cellStyle name="Total 2 2 2 4 2" xfId="10237" xr:uid="{5B2AB3CA-7BEA-4B9D-862C-8A881395B59D}"/>
    <cellStyle name="Total 2 2 2 4 2 2" xfId="42016" xr:uid="{FAC8877C-701B-40FE-B9D0-5C5D3D49EF9D}"/>
    <cellStyle name="Total 2 2 2 4 2 3" xfId="42017" xr:uid="{B8225EB0-A887-4C20-83A0-9FECD8A6A01C}"/>
    <cellStyle name="Total 2 2 2 4 2 4" xfId="42018" xr:uid="{DE9DDC81-E78D-469E-A775-E4D5DB49F69A}"/>
    <cellStyle name="Total 2 2 2 4 2 5" xfId="42019" xr:uid="{B51FE6FC-90CD-487F-BFB9-2662480CE64A}"/>
    <cellStyle name="Total 2 2 2 4 2 6" xfId="42020" xr:uid="{A7744FE6-176A-4022-BFFD-DB22F4CCDAAA}"/>
    <cellStyle name="Total 2 2 2 4 3" xfId="42021" xr:uid="{097AB5E2-612E-4237-83D4-9D14C17F49CC}"/>
    <cellStyle name="Total 2 2 2 4 4" xfId="42022" xr:uid="{2DF64BBB-1121-4AEE-8A62-0504522FEC1D}"/>
    <cellStyle name="Total 2 2 2 4 5" xfId="42023" xr:uid="{D6F43476-817D-49DB-B732-40E5459D21C4}"/>
    <cellStyle name="Total 2 2 2 4 6" xfId="42024" xr:uid="{DB22F742-3ED1-48C2-AD7E-42EE9D6147A8}"/>
    <cellStyle name="Total 2 2 2 4 7" xfId="42025" xr:uid="{4E462C4F-3CC7-4A7B-8B3C-832D3CE3C6A0}"/>
    <cellStyle name="Total 2 2 2 5" xfId="3101" xr:uid="{6410D98E-34F9-4004-AAE9-52D92E271E96}"/>
    <cellStyle name="Total 2 2 2 5 2" xfId="10323" xr:uid="{612E7026-BA30-481C-B3D9-BC59743B11B5}"/>
    <cellStyle name="Total 2 2 2 5 2 2" xfId="42026" xr:uid="{5E64813C-3DEA-45DE-8F09-650AE3BBAFF5}"/>
    <cellStyle name="Total 2 2 2 5 2 3" xfId="42027" xr:uid="{39E306C1-3E1E-4774-AA0E-B5A8E9378229}"/>
    <cellStyle name="Total 2 2 2 5 2 4" xfId="42028" xr:uid="{9993AA80-C653-4818-A65E-1E58795F0E7F}"/>
    <cellStyle name="Total 2 2 2 5 2 5" xfId="42029" xr:uid="{ECADF427-5B74-4F9E-9587-49941AE86912}"/>
    <cellStyle name="Total 2 2 2 5 2 6" xfId="42030" xr:uid="{82115808-15D3-4B36-83EA-D7D3FCC54ACB}"/>
    <cellStyle name="Total 2 2 2 5 3" xfId="42031" xr:uid="{2E967158-2DDD-454B-8BD4-EEABEAB279F8}"/>
    <cellStyle name="Total 2 2 2 5 4" xfId="42032" xr:uid="{C7987137-EE25-4CC9-93A4-63886B2C2019}"/>
    <cellStyle name="Total 2 2 2 5 5" xfId="42033" xr:uid="{11FC7435-8608-47FF-BF34-2A1C4300445C}"/>
    <cellStyle name="Total 2 2 2 5 6" xfId="42034" xr:uid="{F614AB3A-5D1B-438F-99D6-5EFC81D6418A}"/>
    <cellStyle name="Total 2 2 2 5 7" xfId="42035" xr:uid="{7DA46CC9-3F63-41A4-8518-E4160217AE6C}"/>
    <cellStyle name="Total 2 2 2 6" xfId="3102" xr:uid="{E99A1FAB-C7A0-4216-9DE4-A302CA2CB43A}"/>
    <cellStyle name="Total 2 2 2 6 2" xfId="10411" xr:uid="{C88BB07D-90AF-4576-9943-D3F8538EF5F3}"/>
    <cellStyle name="Total 2 2 2 6 2 2" xfId="42036" xr:uid="{23CBF46D-1D3C-4E02-8129-16B04D22BB0F}"/>
    <cellStyle name="Total 2 2 2 6 2 3" xfId="42037" xr:uid="{93793CBF-A1DE-4AED-846D-2889CA69E3FF}"/>
    <cellStyle name="Total 2 2 2 6 2 4" xfId="42038" xr:uid="{1F02E530-9F04-48EE-A057-118E89FB68A2}"/>
    <cellStyle name="Total 2 2 2 6 2 5" xfId="42039" xr:uid="{2CE5E31C-DCDA-48BA-A477-78DAFB337B1C}"/>
    <cellStyle name="Total 2 2 2 6 2 6" xfId="42040" xr:uid="{CB5124DA-FBD0-4012-9CA0-80251B8DA9EB}"/>
    <cellStyle name="Total 2 2 2 6 3" xfId="42041" xr:uid="{C728E469-7DE0-4649-A907-C9B442557204}"/>
    <cellStyle name="Total 2 2 2 6 4" xfId="42042" xr:uid="{0DEE9E41-5A48-42E7-8A0E-D111256F1B8F}"/>
    <cellStyle name="Total 2 2 2 6 5" xfId="42043" xr:uid="{7B222833-A323-4F35-8193-72839A24DC08}"/>
    <cellStyle name="Total 2 2 2 6 6" xfId="42044" xr:uid="{01289223-1124-46CE-828A-D434DA9BD7F7}"/>
    <cellStyle name="Total 2 2 2 6 7" xfId="42045" xr:uid="{402DC2B9-CBFD-4884-87E3-DB119DBD915F}"/>
    <cellStyle name="Total 2 2 2 7" xfId="3103" xr:uid="{FD803ABB-91C6-4F3B-8972-86918C2CFDA0}"/>
    <cellStyle name="Total 2 2 2 7 2" xfId="10498" xr:uid="{6F1A6E70-BD71-41FC-A7F1-50C4B9677030}"/>
    <cellStyle name="Total 2 2 2 7 2 2" xfId="42046" xr:uid="{1643133C-24B1-4C00-901B-5471E4C72FE2}"/>
    <cellStyle name="Total 2 2 2 7 2 3" xfId="42047" xr:uid="{BC41DFAE-EEFF-4962-AA19-B2F8D1732C13}"/>
    <cellStyle name="Total 2 2 2 7 2 4" xfId="42048" xr:uid="{D0F8B30C-D88A-47B5-8AD7-61F027BD1BF8}"/>
    <cellStyle name="Total 2 2 2 7 2 5" xfId="42049" xr:uid="{DABF00F6-DE50-4F85-87B6-77E605C3904C}"/>
    <cellStyle name="Total 2 2 2 7 2 6" xfId="42050" xr:uid="{6C7D867E-99EE-4F65-A18A-861355F1B433}"/>
    <cellStyle name="Total 2 2 2 7 3" xfId="42051" xr:uid="{FF11FCEF-0C85-474C-8DAF-B826A437F63C}"/>
    <cellStyle name="Total 2 2 2 7 4" xfId="42052" xr:uid="{BF384866-C34C-4186-96F4-E9BFB0B3355F}"/>
    <cellStyle name="Total 2 2 2 7 5" xfId="42053" xr:uid="{C7C0DDDF-14C6-4270-BB87-9FB7F50A3729}"/>
    <cellStyle name="Total 2 2 2 7 6" xfId="42054" xr:uid="{B0343107-55D0-4611-A0AA-72D4DD8BC9F0}"/>
    <cellStyle name="Total 2 2 2 7 7" xfId="42055" xr:uid="{DB60C232-DC4F-47DD-90C3-7D7BF5AE9146}"/>
    <cellStyle name="Total 2 2 2 8" xfId="3104" xr:uid="{6364F81C-F95F-4B98-B0F2-D82765CED228}"/>
    <cellStyle name="Total 2 2 2 8 2" xfId="10586" xr:uid="{8FBC48CD-D206-4532-9525-4304A9962241}"/>
    <cellStyle name="Total 2 2 2 8 2 2" xfId="42056" xr:uid="{2104CB63-EBE6-4E7C-872D-4A5D225CB679}"/>
    <cellStyle name="Total 2 2 2 8 2 3" xfId="42057" xr:uid="{DCD2AA96-7F6D-41D6-8BD0-9BAAED054687}"/>
    <cellStyle name="Total 2 2 2 8 2 4" xfId="42058" xr:uid="{6B0CBEF2-B197-4261-BF59-DB87600F9462}"/>
    <cellStyle name="Total 2 2 2 8 2 5" xfId="42059" xr:uid="{79DB8AAB-007B-4123-9258-9BE845D202E2}"/>
    <cellStyle name="Total 2 2 2 8 2 6" xfId="42060" xr:uid="{F81190B0-1085-43FB-846D-DF90D26FBB99}"/>
    <cellStyle name="Total 2 2 2 8 3" xfId="42061" xr:uid="{627D70A2-1014-4321-81F1-71A747A134AF}"/>
    <cellStyle name="Total 2 2 2 8 4" xfId="42062" xr:uid="{7C596DBD-318F-4C27-AEAD-A2E1DE9DC3D8}"/>
    <cellStyle name="Total 2 2 2 8 5" xfId="42063" xr:uid="{54002B81-0C21-48C8-BE2C-E12D65869BDB}"/>
    <cellStyle name="Total 2 2 2 8 6" xfId="42064" xr:uid="{9670945D-77C1-4771-91C0-F7234A8ADE3C}"/>
    <cellStyle name="Total 2 2 2 8 7" xfId="42065" xr:uid="{840A63F6-BA00-49C8-A797-ADEB84196623}"/>
    <cellStyle name="Total 2 2 2 9" xfId="3105" xr:uid="{7CD50241-5CA9-4D5F-97C3-8DBBE05AC7EA}"/>
    <cellStyle name="Total 2 2 2 9 2" xfId="10668" xr:uid="{24D2CEDD-9607-4A14-B90D-3D5A879445CB}"/>
    <cellStyle name="Total 2 2 2 9 2 2" xfId="42066" xr:uid="{9F05A6C0-432B-464E-9956-E2E064BE17B8}"/>
    <cellStyle name="Total 2 2 2 9 2 3" xfId="42067" xr:uid="{CA8EEBD5-529E-43C7-B550-ECEF256D8C88}"/>
    <cellStyle name="Total 2 2 2 9 2 4" xfId="42068" xr:uid="{A85C579A-9B22-43F2-8EAF-FA8D9A773F74}"/>
    <cellStyle name="Total 2 2 2 9 2 5" xfId="42069" xr:uid="{0865159C-7BA4-4936-92E9-3591FD5A7B53}"/>
    <cellStyle name="Total 2 2 2 9 2 6" xfId="42070" xr:uid="{7D410E31-625C-41CB-9057-B2D527EBE5DF}"/>
    <cellStyle name="Total 2 2 2 9 3" xfId="42071" xr:uid="{7C4A29A9-E5C7-4148-804A-4D0EF2611CEB}"/>
    <cellStyle name="Total 2 2 2 9 4" xfId="42072" xr:uid="{376955E6-48CB-4C93-8F7C-42171AD27DB4}"/>
    <cellStyle name="Total 2 2 2 9 5" xfId="42073" xr:uid="{0FD3C003-02BC-4AF8-B60C-1AF1B73D915D}"/>
    <cellStyle name="Total 2 2 2 9 6" xfId="42074" xr:uid="{60D99A26-430F-448C-9B94-21D2901CC3A6}"/>
    <cellStyle name="Total 2 2 2 9 7" xfId="42075" xr:uid="{34F93060-B963-44AC-A00D-E88F7A41A9DA}"/>
    <cellStyle name="Total 2 2 20" xfId="3106" xr:uid="{123AC720-8D5E-42ED-97A9-9614E5B9A103}"/>
    <cellStyle name="Total 2 2 20 2" xfId="11515" xr:uid="{7DD55201-1A24-4500-A720-C7226496028A}"/>
    <cellStyle name="Total 2 2 20 2 2" xfId="42076" xr:uid="{8A4B4D1A-F26F-4A48-BB47-61C5DE0B4D8C}"/>
    <cellStyle name="Total 2 2 20 2 3" xfId="42077" xr:uid="{1B4F4AF1-56CB-402C-ABB5-30BBA9CF3E84}"/>
    <cellStyle name="Total 2 2 20 2 4" xfId="42078" xr:uid="{30EB53D0-9807-427A-8297-3A4D9F4B78F1}"/>
    <cellStyle name="Total 2 2 20 2 5" xfId="42079" xr:uid="{D4390E28-3F63-40B1-ABC8-B0C8BDA4C543}"/>
    <cellStyle name="Total 2 2 20 2 6" xfId="42080" xr:uid="{5AC0FF98-A387-407C-B49A-DE490561CD31}"/>
    <cellStyle name="Total 2 2 20 3" xfId="42081" xr:uid="{021D3A21-7252-4C63-B90F-995D1ADA2B1B}"/>
    <cellStyle name="Total 2 2 20 4" xfId="42082" xr:uid="{A411D046-5E17-40B4-82B2-DEAA533E1862}"/>
    <cellStyle name="Total 2 2 20 5" xfId="42083" xr:uid="{D31D9384-1692-4D7C-8769-8E34AFB1778C}"/>
    <cellStyle name="Total 2 2 20 6" xfId="42084" xr:uid="{BA165C22-414B-410F-AD38-3905E83A31E2}"/>
    <cellStyle name="Total 2 2 20 7" xfId="42085" xr:uid="{B01B1A19-1D99-462E-9093-9BF5B5B7336E}"/>
    <cellStyle name="Total 2 2 21" xfId="3107" xr:uid="{D9F36F36-582E-401F-B3FB-359C0FEB605B}"/>
    <cellStyle name="Total 2 2 21 2" xfId="11603" xr:uid="{5C79F703-79EF-4B82-B64D-F1967B2423B7}"/>
    <cellStyle name="Total 2 2 21 2 2" xfId="42086" xr:uid="{D629F647-CC0F-4060-AB10-D8A81F1FB7AA}"/>
    <cellStyle name="Total 2 2 21 2 3" xfId="42087" xr:uid="{EFB14C8A-9380-4D9E-AED4-510B29047B04}"/>
    <cellStyle name="Total 2 2 21 2 4" xfId="42088" xr:uid="{650ADD4F-17D1-47E8-A627-106AA28F6B82}"/>
    <cellStyle name="Total 2 2 21 2 5" xfId="42089" xr:uid="{BAD99967-CE24-4A12-A392-8CC11719366A}"/>
    <cellStyle name="Total 2 2 21 2 6" xfId="42090" xr:uid="{B3124482-CAE9-4A2E-804E-DFD52F00BD39}"/>
    <cellStyle name="Total 2 2 21 3" xfId="42091" xr:uid="{4D0D270F-398B-4509-BC64-CE545F684DA8}"/>
    <cellStyle name="Total 2 2 21 4" xfId="42092" xr:uid="{EC8BB3FA-118C-4561-817A-32E4719248B1}"/>
    <cellStyle name="Total 2 2 21 5" xfId="42093" xr:uid="{1D2DB80A-3692-40B1-A6CF-1E9911D1A492}"/>
    <cellStyle name="Total 2 2 21 6" xfId="42094" xr:uid="{C0E2C875-BD76-4325-B25F-402D25C55E45}"/>
    <cellStyle name="Total 2 2 21 7" xfId="42095" xr:uid="{48932C1F-9A83-4AD7-A732-DE82947CAEB3}"/>
    <cellStyle name="Total 2 2 22" xfId="3108" xr:uid="{7AD92C17-841E-41AF-B1BD-EEA859BA6776}"/>
    <cellStyle name="Total 2 2 22 2" xfId="11688" xr:uid="{CD0C2512-7208-461E-9C13-4FBE41FFBD44}"/>
    <cellStyle name="Total 2 2 22 2 2" xfId="42096" xr:uid="{646CEC6D-8044-49E6-8EBA-1FB7E51DFABB}"/>
    <cellStyle name="Total 2 2 22 2 3" xfId="42097" xr:uid="{ADF0AACD-BC91-4773-AFA5-AF57D43056BF}"/>
    <cellStyle name="Total 2 2 22 2 4" xfId="42098" xr:uid="{4FBB337F-F89F-4944-9E8D-7B5BBC0ADAD2}"/>
    <cellStyle name="Total 2 2 22 2 5" xfId="42099" xr:uid="{2938BAB1-2A26-4203-9986-CAFB97739F0C}"/>
    <cellStyle name="Total 2 2 22 2 6" xfId="42100" xr:uid="{5A335236-47B7-4FA0-A3AF-691EB73BF690}"/>
    <cellStyle name="Total 2 2 22 3" xfId="42101" xr:uid="{AB42EB8C-312E-44F1-B79E-0C1A690FA758}"/>
    <cellStyle name="Total 2 2 22 4" xfId="42102" xr:uid="{041C2F98-E1F7-47B4-A2EA-148EFE561B71}"/>
    <cellStyle name="Total 2 2 22 5" xfId="42103" xr:uid="{E803EDE3-4E73-4B64-ADD1-442945032F88}"/>
    <cellStyle name="Total 2 2 22 6" xfId="42104" xr:uid="{B6076468-7258-4402-A673-7A702D0A30EE}"/>
    <cellStyle name="Total 2 2 22 7" xfId="42105" xr:uid="{A93FD7A9-9DFA-4232-BDA6-A4826B64C6A8}"/>
    <cellStyle name="Total 2 2 23" xfId="3109" xr:uid="{E4C310FD-0A20-4524-AD61-C6C5FC942279}"/>
    <cellStyle name="Total 2 2 23 2" xfId="11771" xr:uid="{0C7B1993-981A-4DBD-A111-B4287154D290}"/>
    <cellStyle name="Total 2 2 23 2 2" xfId="42106" xr:uid="{7E7ED315-C9C9-4F19-9DE7-F4BD9E2119B2}"/>
    <cellStyle name="Total 2 2 23 2 3" xfId="42107" xr:uid="{BADCA3D8-A303-4E4E-A8E8-AE999397C9AD}"/>
    <cellStyle name="Total 2 2 23 2 4" xfId="42108" xr:uid="{1B868415-4321-41E6-8F4D-158F241F25A7}"/>
    <cellStyle name="Total 2 2 23 2 5" xfId="42109" xr:uid="{F7C71EE0-503C-4740-81B4-47474365ED0B}"/>
    <cellStyle name="Total 2 2 23 2 6" xfId="42110" xr:uid="{C71C3032-8934-49C7-9969-C4410CE1EC36}"/>
    <cellStyle name="Total 2 2 23 3" xfId="42111" xr:uid="{8270EABC-D660-4E58-9476-6AB93148C826}"/>
    <cellStyle name="Total 2 2 23 4" xfId="42112" xr:uid="{C81F8DBA-9B35-4364-8351-489A06F1028E}"/>
    <cellStyle name="Total 2 2 23 5" xfId="42113" xr:uid="{FD1B50FF-AB29-43E3-B4EA-810CA8F103F7}"/>
    <cellStyle name="Total 2 2 23 6" xfId="42114" xr:uid="{8EE47CAC-BB2D-41CC-9504-41559531974C}"/>
    <cellStyle name="Total 2 2 23 7" xfId="42115" xr:uid="{3836534B-CD28-4B7B-833C-1FF6DBC585A2}"/>
    <cellStyle name="Total 2 2 24" xfId="3110" xr:uid="{BF3A4239-6DB4-49F1-934B-EB886BF4C657}"/>
    <cellStyle name="Total 2 2 24 2" xfId="11853" xr:uid="{4A323578-99E8-49A0-92C6-DD8B39BBBF1A}"/>
    <cellStyle name="Total 2 2 24 2 2" xfId="42116" xr:uid="{EEF6E718-5597-48A5-8943-131700477CDF}"/>
    <cellStyle name="Total 2 2 24 2 3" xfId="42117" xr:uid="{2EFE3D27-7FF6-45EA-8A34-0A8A27DE8348}"/>
    <cellStyle name="Total 2 2 24 2 4" xfId="42118" xr:uid="{1716DEA8-9E2C-4F6A-9520-FA1C037C2DA5}"/>
    <cellStyle name="Total 2 2 24 2 5" xfId="42119" xr:uid="{1BFE0A4C-DB13-4234-8074-30365F5EB2BB}"/>
    <cellStyle name="Total 2 2 24 2 6" xfId="42120" xr:uid="{FD14611F-DF93-4CBF-B456-230CB5933C6F}"/>
    <cellStyle name="Total 2 2 24 3" xfId="42121" xr:uid="{9BBD08B8-4D56-4C5A-B982-9AF9AB07FB6E}"/>
    <cellStyle name="Total 2 2 24 4" xfId="42122" xr:uid="{FC08B909-E54E-4C9C-83F0-67263C42B10B}"/>
    <cellStyle name="Total 2 2 24 5" xfId="42123" xr:uid="{941079B0-325D-40B1-BFDF-27AE4624DFA5}"/>
    <cellStyle name="Total 2 2 24 6" xfId="42124" xr:uid="{1BFEBC3C-CF98-447B-A89F-CC4F0878B9F5}"/>
    <cellStyle name="Total 2 2 24 7" xfId="42125" xr:uid="{C96D9437-CE5D-4DF9-9FF1-F5F1E7D9EECB}"/>
    <cellStyle name="Total 2 2 25" xfId="3111" xr:uid="{B9AB0AD8-A2C0-44EB-BFA1-77A1867E0B72}"/>
    <cellStyle name="Total 2 2 25 2" xfId="11937" xr:uid="{24E568BC-6DF2-48B1-A871-D2F1547CEE67}"/>
    <cellStyle name="Total 2 2 25 2 2" xfId="42126" xr:uid="{61A74AC3-435E-4D0F-8404-9B0B0A8E7D87}"/>
    <cellStyle name="Total 2 2 25 2 3" xfId="42127" xr:uid="{EF79040A-A82E-4AEF-AD2B-26622B36F646}"/>
    <cellStyle name="Total 2 2 25 2 4" xfId="42128" xr:uid="{95D5A830-9742-4401-8DD0-032B3094830A}"/>
    <cellStyle name="Total 2 2 25 2 5" xfId="42129" xr:uid="{BBBC43A3-925F-42FE-A2B7-4CE9D2F3BFE7}"/>
    <cellStyle name="Total 2 2 25 2 6" xfId="42130" xr:uid="{E0BF5252-43E0-48AF-B698-76E2E9AE595C}"/>
    <cellStyle name="Total 2 2 25 3" xfId="42131" xr:uid="{21EA76C4-9B9D-4362-8CC6-1974E0BD8D34}"/>
    <cellStyle name="Total 2 2 25 4" xfId="42132" xr:uid="{40F813F2-9339-448F-A384-8D36DB08EA02}"/>
    <cellStyle name="Total 2 2 25 5" xfId="42133" xr:uid="{45D21E5F-A15E-4546-8C7D-18A3C64C7503}"/>
    <cellStyle name="Total 2 2 25 6" xfId="42134" xr:uid="{7626D44F-D922-45E9-81A2-6D42AF6A984C}"/>
    <cellStyle name="Total 2 2 25 7" xfId="42135" xr:uid="{052EC2D3-3DC2-4100-95FE-1E2D8F6ED66D}"/>
    <cellStyle name="Total 2 2 26" xfId="3112" xr:uid="{DB0F9B01-E296-40A7-8B3A-B178242ED41B}"/>
    <cellStyle name="Total 2 2 26 2" xfId="12021" xr:uid="{C10127BE-192E-4C76-9D4E-8D879ABE57E7}"/>
    <cellStyle name="Total 2 2 26 2 2" xfId="42136" xr:uid="{272B9D58-F74A-43CA-B178-53A522721B10}"/>
    <cellStyle name="Total 2 2 26 2 3" xfId="42137" xr:uid="{88FC72B9-68FF-4EC6-819D-5AA41A705757}"/>
    <cellStyle name="Total 2 2 26 2 4" xfId="42138" xr:uid="{0C97F107-AD39-4884-BC79-82E2FE48C289}"/>
    <cellStyle name="Total 2 2 26 2 5" xfId="42139" xr:uid="{D049F4C5-5C7C-4242-89CD-F196681C5344}"/>
    <cellStyle name="Total 2 2 26 2 6" xfId="42140" xr:uid="{C719F3FA-E7B4-44DC-B536-900887160AE0}"/>
    <cellStyle name="Total 2 2 26 3" xfId="42141" xr:uid="{24F3774F-FDB3-453B-AC6F-81D58A52162E}"/>
    <cellStyle name="Total 2 2 26 4" xfId="42142" xr:uid="{29C367C6-D266-48FA-97E4-CC75DFFE7A3C}"/>
    <cellStyle name="Total 2 2 26 5" xfId="42143" xr:uid="{3588E5EF-F77E-4CD1-9972-F657490D8634}"/>
    <cellStyle name="Total 2 2 26 6" xfId="42144" xr:uid="{F8ECDD5C-F293-4C27-BC9A-BC81E6FA6DF1}"/>
    <cellStyle name="Total 2 2 26 7" xfId="42145" xr:uid="{AE3513D4-2D83-49DD-8E91-821819D2798A}"/>
    <cellStyle name="Total 2 2 27" xfId="3113" xr:uid="{EA17C69E-EC78-4BC6-A61B-3F350230F55D}"/>
    <cellStyle name="Total 2 2 27 2" xfId="12104" xr:uid="{025DD167-98EB-4913-B85D-CC9AB43C29C6}"/>
    <cellStyle name="Total 2 2 27 2 2" xfId="42146" xr:uid="{E7843FC4-D8BD-4CC2-9C98-0997C2E028FF}"/>
    <cellStyle name="Total 2 2 27 2 3" xfId="42147" xr:uid="{53FCD3C6-F5C2-463C-9E56-16C1268AB52B}"/>
    <cellStyle name="Total 2 2 27 2 4" xfId="42148" xr:uid="{DF79417D-C0E7-4321-8EF1-0AB7458F6269}"/>
    <cellStyle name="Total 2 2 27 2 5" xfId="42149" xr:uid="{B08530E2-EFA5-4544-9D29-0CE225DDA866}"/>
    <cellStyle name="Total 2 2 27 2 6" xfId="42150" xr:uid="{E6201021-0EA8-48C8-A913-91D39ECECFD8}"/>
    <cellStyle name="Total 2 2 27 3" xfId="42151" xr:uid="{4B200893-2899-4D9F-A17A-BD1E7862291E}"/>
    <cellStyle name="Total 2 2 27 4" xfId="42152" xr:uid="{2F4B37C6-E4F1-49E0-B001-F060A90053EE}"/>
    <cellStyle name="Total 2 2 27 5" xfId="42153" xr:uid="{BFF20148-01CF-41C3-9598-5FF483584564}"/>
    <cellStyle name="Total 2 2 27 6" xfId="42154" xr:uid="{6C6638FF-4287-440D-8D37-2A6C8D378D61}"/>
    <cellStyle name="Total 2 2 27 7" xfId="42155" xr:uid="{8C3131CF-CFC6-4ECD-84C2-DE751DBC116A}"/>
    <cellStyle name="Total 2 2 28" xfId="3114" xr:uid="{E6D9511C-828E-4D9D-B888-327E5CB05C37}"/>
    <cellStyle name="Total 2 2 28 2" xfId="12186" xr:uid="{52450F36-4F35-4A2E-A9F9-961E6C887CB9}"/>
    <cellStyle name="Total 2 2 28 2 2" xfId="42156" xr:uid="{29F2B44A-9F29-420B-A01C-3F81B39D2990}"/>
    <cellStyle name="Total 2 2 28 2 3" xfId="42157" xr:uid="{8D1700E3-61C6-41A2-811B-0D19C32AACE7}"/>
    <cellStyle name="Total 2 2 28 2 4" xfId="42158" xr:uid="{35B503BC-D9E6-4E65-9C3D-7C4AEBDBFF96}"/>
    <cellStyle name="Total 2 2 28 2 5" xfId="42159" xr:uid="{EFDE8BDA-E37C-4C43-A019-9DFFF3E60939}"/>
    <cellStyle name="Total 2 2 28 2 6" xfId="42160" xr:uid="{B422E85D-A115-47E9-845C-A6EF1C5C4285}"/>
    <cellStyle name="Total 2 2 28 3" xfId="42161" xr:uid="{C6168DA7-966E-471B-B046-950DBC16900B}"/>
    <cellStyle name="Total 2 2 28 4" xfId="42162" xr:uid="{9E385C87-B722-4F24-B752-900F963B8C5F}"/>
    <cellStyle name="Total 2 2 28 5" xfId="42163" xr:uid="{4DBD05D1-5B8D-4259-BDEE-18C5F109BEF1}"/>
    <cellStyle name="Total 2 2 28 6" xfId="42164" xr:uid="{DC690A01-2055-4617-9803-62AF815CE5B4}"/>
    <cellStyle name="Total 2 2 28 7" xfId="42165" xr:uid="{22FF261E-1D3B-47DE-AC63-5FD98F1C5A3C}"/>
    <cellStyle name="Total 2 2 29" xfId="3115" xr:uid="{2B5C7610-06B5-490D-B528-EB2D928F28B5}"/>
    <cellStyle name="Total 2 2 29 2" xfId="12266" xr:uid="{7FA9D0E1-99B3-4D7C-8B67-B10BB9A12A32}"/>
    <cellStyle name="Total 2 2 29 2 2" xfId="42166" xr:uid="{2910287C-CEBF-4723-840B-34CFD9D94333}"/>
    <cellStyle name="Total 2 2 29 2 3" xfId="42167" xr:uid="{1F9E5CFD-9E3C-4B24-A9E8-CB147537C081}"/>
    <cellStyle name="Total 2 2 29 2 4" xfId="42168" xr:uid="{84980BC1-79C9-49EF-8978-3C703519FB0F}"/>
    <cellStyle name="Total 2 2 29 2 5" xfId="42169" xr:uid="{83A95F3A-80E8-4EB2-A744-6165ECFFCF29}"/>
    <cellStyle name="Total 2 2 29 2 6" xfId="42170" xr:uid="{65F9862A-48BD-472E-837B-D22B60AF2591}"/>
    <cellStyle name="Total 2 2 29 3" xfId="42171" xr:uid="{351B0117-46BE-4072-AAA6-90E40102D849}"/>
    <cellStyle name="Total 2 2 29 4" xfId="42172" xr:uid="{019BCF6F-8CA5-46F3-877D-4B8BEC5E4EA5}"/>
    <cellStyle name="Total 2 2 29 5" xfId="42173" xr:uid="{5D71E7D0-CFF9-4141-803E-3ADA3805F8A8}"/>
    <cellStyle name="Total 2 2 29 6" xfId="42174" xr:uid="{157C80B3-C3DE-4C50-956A-6DC0F0D29CD0}"/>
    <cellStyle name="Total 2 2 29 7" xfId="42175" xr:uid="{EA561DEA-C413-4CE7-B987-E8B1C9F9A0C9}"/>
    <cellStyle name="Total 2 2 3" xfId="3116" xr:uid="{35407A85-E95B-4CB7-B78E-EBAEC61C1CEA}"/>
    <cellStyle name="Total 2 2 3 2" xfId="10022" xr:uid="{44D8D476-2529-4E16-AB9D-970C8285B73E}"/>
    <cellStyle name="Total 2 2 3 2 2" xfId="42176" xr:uid="{D0F907C1-4861-464E-8013-EEF7AD1B090F}"/>
    <cellStyle name="Total 2 2 3 2 3" xfId="42177" xr:uid="{599D45D1-F656-4DE4-B603-4A1F62C45DAD}"/>
    <cellStyle name="Total 2 2 3 2 4" xfId="42178" xr:uid="{2340E2B0-586D-4514-B069-AF916B6C01E3}"/>
    <cellStyle name="Total 2 2 3 2 5" xfId="42179" xr:uid="{822F0152-41B7-4F86-99E0-D75F3A238E99}"/>
    <cellStyle name="Total 2 2 3 2 6" xfId="42180" xr:uid="{D8F82A79-22DE-4A04-B357-F20389DD83C2}"/>
    <cellStyle name="Total 2 2 3 3" xfId="42181" xr:uid="{037EEF88-DDE3-42B9-A42A-541CFA0FA0A0}"/>
    <cellStyle name="Total 2 2 3 4" xfId="42182" xr:uid="{91F0A170-1482-4A61-9087-183363F75747}"/>
    <cellStyle name="Total 2 2 3 5" xfId="42183" xr:uid="{BACD4AD7-F407-4823-986C-DC05B89C80BD}"/>
    <cellStyle name="Total 2 2 3 6" xfId="42184" xr:uid="{C80B2B67-675B-495D-96EF-96AD58A45DB9}"/>
    <cellStyle name="Total 2 2 3 7" xfId="42185" xr:uid="{35EC1771-1B4A-4482-A115-9E8EE3B62070}"/>
    <cellStyle name="Total 2 2 30" xfId="3117" xr:uid="{CAF7AF18-16CE-4A7F-B6DE-21617982927B}"/>
    <cellStyle name="Total 2 2 30 2" xfId="12344" xr:uid="{396C3AF9-44FA-461F-9008-9AD5D63ABADF}"/>
    <cellStyle name="Total 2 2 30 2 2" xfId="42186" xr:uid="{17984E92-FDF3-4068-BCA6-73EB856174D7}"/>
    <cellStyle name="Total 2 2 30 2 3" xfId="42187" xr:uid="{175BEE0B-376D-4EC6-A46B-D85962818B40}"/>
    <cellStyle name="Total 2 2 30 2 4" xfId="42188" xr:uid="{0DAE1C87-D63F-4DA8-A84C-AFB8FE30C17E}"/>
    <cellStyle name="Total 2 2 30 2 5" xfId="42189" xr:uid="{196E3A8A-F501-42F3-B9B6-3C1D4A6D8746}"/>
    <cellStyle name="Total 2 2 30 2 6" xfId="42190" xr:uid="{FDC6865B-9A1D-4555-A853-CA3F342FB26A}"/>
    <cellStyle name="Total 2 2 30 3" xfId="42191" xr:uid="{57FA1CB2-185C-48A0-89B2-497E0F723378}"/>
    <cellStyle name="Total 2 2 30 4" xfId="42192" xr:uid="{51E33997-405A-492F-AAE9-79378C8C30E3}"/>
    <cellStyle name="Total 2 2 30 5" xfId="42193" xr:uid="{B016D5CB-F507-4756-8123-C272509C0E68}"/>
    <cellStyle name="Total 2 2 30 6" xfId="42194" xr:uid="{345518F2-5504-45AD-B58E-8800AA2211ED}"/>
    <cellStyle name="Total 2 2 30 7" xfId="42195" xr:uid="{4AEB9E75-EAE6-4EEB-9077-17F59E225721}"/>
    <cellStyle name="Total 2 2 31" xfId="3118" xr:uid="{446379B5-1989-461A-AA3B-EDDB33214FCA}"/>
    <cellStyle name="Total 2 2 31 2" xfId="12423" xr:uid="{88D165BE-1C68-4B5D-8CBB-557400BF01DA}"/>
    <cellStyle name="Total 2 2 31 2 2" xfId="42196" xr:uid="{7F6D0A4B-B9DA-4C2D-AA44-07D536A22D01}"/>
    <cellStyle name="Total 2 2 31 2 3" xfId="42197" xr:uid="{7A55DF6A-8E0E-4F1A-9A66-38C23BD482E7}"/>
    <cellStyle name="Total 2 2 31 2 4" xfId="42198" xr:uid="{A2976002-ED4E-407A-A0D9-213C5F0218CA}"/>
    <cellStyle name="Total 2 2 31 2 5" xfId="42199" xr:uid="{6B110178-C509-4C00-B37C-D863982A140B}"/>
    <cellStyle name="Total 2 2 31 2 6" xfId="42200" xr:uid="{08F04F6A-09FF-4574-9E87-482923BFA495}"/>
    <cellStyle name="Total 2 2 31 3" xfId="42201" xr:uid="{DAEE2600-8FF8-4397-8DE9-0E182EDC257F}"/>
    <cellStyle name="Total 2 2 31 4" xfId="42202" xr:uid="{CFDEFD94-4AE2-4CDF-AD31-D88AC657FA1C}"/>
    <cellStyle name="Total 2 2 31 5" xfId="42203" xr:uid="{2340A1EF-16BE-4D9A-B74B-7B8DDBCB1EBC}"/>
    <cellStyle name="Total 2 2 31 6" xfId="42204" xr:uid="{FE6D07A5-53FF-439B-A506-EB69CCB867E5}"/>
    <cellStyle name="Total 2 2 31 7" xfId="42205" xr:uid="{2735A5EA-4C2D-4DDF-A2A3-74BEEAB2F53C}"/>
    <cellStyle name="Total 2 2 32" xfId="3119" xr:uid="{E805B4E3-4BA2-42E0-B6B2-BC076E6594F7}"/>
    <cellStyle name="Total 2 2 32 2" xfId="12502" xr:uid="{DAB6F605-3F2D-42D5-9661-732D3BB97FC2}"/>
    <cellStyle name="Total 2 2 32 2 2" xfId="42206" xr:uid="{013945E4-8BA3-462A-B5D1-4596D12FDF35}"/>
    <cellStyle name="Total 2 2 32 2 3" xfId="42207" xr:uid="{60355D04-4ED3-4467-B8AE-81C9F4AC922A}"/>
    <cellStyle name="Total 2 2 32 2 4" xfId="42208" xr:uid="{31394ED9-8346-48FD-BBD7-8B84A66DEBA8}"/>
    <cellStyle name="Total 2 2 32 2 5" xfId="42209" xr:uid="{61EBBD88-79E6-4DB6-A472-1712BCFDF89D}"/>
    <cellStyle name="Total 2 2 32 2 6" xfId="42210" xr:uid="{EF021546-0F56-4ADC-802E-BF93902603B9}"/>
    <cellStyle name="Total 2 2 32 3" xfId="42211" xr:uid="{14DFAD84-1D22-43A7-AA3D-6D65DE2D46C3}"/>
    <cellStyle name="Total 2 2 32 4" xfId="42212" xr:uid="{A3364F5E-5E35-4897-8796-66301AB34D81}"/>
    <cellStyle name="Total 2 2 32 5" xfId="42213" xr:uid="{5BF5DFFD-BCA3-412A-8587-95D77C329395}"/>
    <cellStyle name="Total 2 2 32 6" xfId="42214" xr:uid="{182BD2DF-8D32-496F-9B7F-A15B9FAE225E}"/>
    <cellStyle name="Total 2 2 32 7" xfId="42215" xr:uid="{A8AC1678-C261-48F4-B975-B4370DA666CA}"/>
    <cellStyle name="Total 2 2 33" xfId="3120" xr:uid="{7E948D84-2102-43C5-BC62-E4A1CBC78034}"/>
    <cellStyle name="Total 2 2 33 2" xfId="12581" xr:uid="{BB138AD9-D9A2-4766-81EB-BF2F41C27E4C}"/>
    <cellStyle name="Total 2 2 33 2 2" xfId="42216" xr:uid="{DB4BB75F-73BD-4F4B-9D0E-D406DCEE997E}"/>
    <cellStyle name="Total 2 2 33 2 3" xfId="42217" xr:uid="{A210C81F-DFBF-4B01-9EFE-6CFD8814F462}"/>
    <cellStyle name="Total 2 2 33 2 4" xfId="42218" xr:uid="{47D76901-862D-4888-8B13-61C341985F03}"/>
    <cellStyle name="Total 2 2 33 2 5" xfId="42219" xr:uid="{78EBE172-DAC5-479D-ACCF-4AB950E68417}"/>
    <cellStyle name="Total 2 2 33 2 6" xfId="42220" xr:uid="{05BE4C3C-5439-42AD-BFF9-8AAAB4D1B6FF}"/>
    <cellStyle name="Total 2 2 33 3" xfId="42221" xr:uid="{7CC58C16-6077-4021-8FAE-5E5D4FF0034C}"/>
    <cellStyle name="Total 2 2 33 4" xfId="42222" xr:uid="{F13357CB-B670-4EE5-A579-AACE733FB521}"/>
    <cellStyle name="Total 2 2 33 5" xfId="42223" xr:uid="{59D9C5E8-B574-4DDB-8E88-2AA058D3DF4C}"/>
    <cellStyle name="Total 2 2 33 6" xfId="42224" xr:uid="{67EF65E5-2A2F-4ED7-B6E6-E48F1251D9A8}"/>
    <cellStyle name="Total 2 2 33 7" xfId="42225" xr:uid="{40DC2E75-A289-44F1-871D-1A02DD1AF0CF}"/>
    <cellStyle name="Total 2 2 34" xfId="3121" xr:uid="{5F0CA296-1DEB-43E8-9F07-3240418AECCC}"/>
    <cellStyle name="Total 2 2 34 2" xfId="12660" xr:uid="{29EAA238-B994-4EAE-919F-9CE30A84DC99}"/>
    <cellStyle name="Total 2 2 34 2 2" xfId="42226" xr:uid="{1F89F5D0-FD9A-4D71-975A-49CB15DBE243}"/>
    <cellStyle name="Total 2 2 34 2 3" xfId="42227" xr:uid="{18D2BF7A-D46A-4F92-8F67-4507C5EDA7B2}"/>
    <cellStyle name="Total 2 2 34 2 4" xfId="42228" xr:uid="{3042E099-D203-4ECE-97A7-0D42C7D93331}"/>
    <cellStyle name="Total 2 2 34 2 5" xfId="42229" xr:uid="{7FB03A81-F878-45DD-A1EF-F43816E34858}"/>
    <cellStyle name="Total 2 2 34 2 6" xfId="42230" xr:uid="{1E533858-9FE1-432A-B422-182A12DA0310}"/>
    <cellStyle name="Total 2 2 34 3" xfId="42231" xr:uid="{1B61B971-541E-4267-83D2-340D73A80212}"/>
    <cellStyle name="Total 2 2 34 4" xfId="42232" xr:uid="{E54DFF7C-947F-4C4F-9503-8EDEDB90A223}"/>
    <cellStyle name="Total 2 2 34 5" xfId="42233" xr:uid="{1F5B4E64-7144-4EF4-A581-2FA3E32B2FDD}"/>
    <cellStyle name="Total 2 2 34 6" xfId="42234" xr:uid="{9535FC01-66FE-4930-9999-7815E09E2295}"/>
    <cellStyle name="Total 2 2 34 7" xfId="42235" xr:uid="{E71F5152-FFD5-4C54-8CC3-1C0F7D5B914F}"/>
    <cellStyle name="Total 2 2 35" xfId="3122" xr:uid="{5E13443C-EEA8-4648-984E-267F0F824633}"/>
    <cellStyle name="Total 2 2 35 2" xfId="12744" xr:uid="{F4D0D0E1-B0DD-4E2F-A083-903E3CED07BE}"/>
    <cellStyle name="Total 2 2 35 2 2" xfId="42236" xr:uid="{FAAA2381-D14C-4E9D-8A40-4688CE6A7601}"/>
    <cellStyle name="Total 2 2 35 2 3" xfId="42237" xr:uid="{8527A174-50ED-4D73-BB87-992CB3D82A1D}"/>
    <cellStyle name="Total 2 2 35 2 4" xfId="42238" xr:uid="{76824556-0C5B-44F4-A4E0-F9C281DC31EC}"/>
    <cellStyle name="Total 2 2 35 2 5" xfId="42239" xr:uid="{8A97DF5D-56AC-4462-97A2-7FB6EB99CE21}"/>
    <cellStyle name="Total 2 2 35 2 6" xfId="42240" xr:uid="{D4BB98DB-64CC-4C3C-8FAA-7A332593D174}"/>
    <cellStyle name="Total 2 2 35 3" xfId="42241" xr:uid="{C595AC78-5636-44A5-A3FF-4790C9E0BE46}"/>
    <cellStyle name="Total 2 2 35 4" xfId="42242" xr:uid="{0025DBF9-01E1-468B-B109-FF7810609DFF}"/>
    <cellStyle name="Total 2 2 35 5" xfId="42243" xr:uid="{EF46ED10-8B92-4C55-B027-B082CC7E515E}"/>
    <cellStyle name="Total 2 2 35 6" xfId="42244" xr:uid="{914F8EBF-21FC-48B2-B23A-2FAE5AA1CA20}"/>
    <cellStyle name="Total 2 2 36" xfId="9685" xr:uid="{4148C44B-380F-4EBB-9D18-2C3F7F43E6D1}"/>
    <cellStyle name="Total 2 2 37" xfId="9809" xr:uid="{6FEB99EE-3E0C-435A-8030-27331D8EBFBA}"/>
    <cellStyle name="Total 2 2 37 2" xfId="42245" xr:uid="{E5211B1B-8144-4674-8179-12A6CD3E8799}"/>
    <cellStyle name="Total 2 2 37 3" xfId="42246" xr:uid="{DB353602-33A7-4774-99EA-C72EDDB04195}"/>
    <cellStyle name="Total 2 2 37 4" xfId="42247" xr:uid="{347A9C42-72CF-463E-9520-716362A87F85}"/>
    <cellStyle name="Total 2 2 37 5" xfId="42248" xr:uid="{D22A1551-0B90-4FA1-9381-986E655AD6C1}"/>
    <cellStyle name="Total 2 2 37 6" xfId="42249" xr:uid="{AC631BA1-ABAC-4729-ACA6-58249426C912}"/>
    <cellStyle name="Total 2 2 38" xfId="42250" xr:uid="{553B0FA3-F7F9-49E8-A5C4-AF4BDCB7802E}"/>
    <cellStyle name="Total 2 2 39" xfId="42251" xr:uid="{BE17E40F-602A-449B-BD19-CD91EDEC214F}"/>
    <cellStyle name="Total 2 2 4" xfId="3123" xr:uid="{06E1FFFA-BC6E-48F2-AB46-94AD7DA2B832}"/>
    <cellStyle name="Total 2 2 4 2" xfId="10113" xr:uid="{D3F4ECD2-3F5A-4638-95ED-8ACB2D0EA01F}"/>
    <cellStyle name="Total 2 2 4 2 2" xfId="42252" xr:uid="{262F5D7D-631B-4057-BE51-15F0AB00B437}"/>
    <cellStyle name="Total 2 2 4 2 3" xfId="42253" xr:uid="{26747759-E724-4DDF-8F59-BE9F6E1FD008}"/>
    <cellStyle name="Total 2 2 4 2 4" xfId="42254" xr:uid="{ECB8A088-A430-4436-B756-A6C77D908CDF}"/>
    <cellStyle name="Total 2 2 4 2 5" xfId="42255" xr:uid="{C9B2313F-6903-4D93-817F-B0F27429E02D}"/>
    <cellStyle name="Total 2 2 4 2 6" xfId="42256" xr:uid="{E60AFACE-0CCD-45C2-B7C0-837088A94AF7}"/>
    <cellStyle name="Total 2 2 4 3" xfId="42257" xr:uid="{9BE5C40B-E94D-4D45-800E-06E95E62A2F9}"/>
    <cellStyle name="Total 2 2 4 4" xfId="42258" xr:uid="{3DEB4F29-B4B3-40F6-ACEB-08E4831F0454}"/>
    <cellStyle name="Total 2 2 4 5" xfId="42259" xr:uid="{509DD612-DC02-4EDB-83F8-8174BDD5E718}"/>
    <cellStyle name="Total 2 2 4 6" xfId="42260" xr:uid="{6F8112D1-EC1F-4703-AB54-E21814CC06A8}"/>
    <cellStyle name="Total 2 2 4 7" xfId="42261" xr:uid="{1179C2EB-FFBF-4133-B3BC-B9B101C0AB1D}"/>
    <cellStyle name="Total 2 2 5" xfId="3124" xr:uid="{32466A3A-A0BC-46B5-A4F4-2EE76F751F52}"/>
    <cellStyle name="Total 2 2 5 2" xfId="10203" xr:uid="{00E05198-6FCF-4284-AFBC-1812596044F0}"/>
    <cellStyle name="Total 2 2 5 2 2" xfId="42262" xr:uid="{72818EF6-9520-4512-AC1E-83BD4F75E03C}"/>
    <cellStyle name="Total 2 2 5 2 3" xfId="42263" xr:uid="{BE558002-D8CD-412E-9965-0DCC5D4061EB}"/>
    <cellStyle name="Total 2 2 5 2 4" xfId="42264" xr:uid="{E3EC4E4C-F781-4898-9E32-3D200942AC60}"/>
    <cellStyle name="Total 2 2 5 2 5" xfId="42265" xr:uid="{26675D7D-58B1-4233-A2CA-968C96B97F3A}"/>
    <cellStyle name="Total 2 2 5 2 6" xfId="42266" xr:uid="{F9AAB83A-DDA3-4F6F-9B3C-8F81B63FB6F9}"/>
    <cellStyle name="Total 2 2 5 3" xfId="42267" xr:uid="{1FE90E66-CD64-400B-877A-73EB3DAE3792}"/>
    <cellStyle name="Total 2 2 5 4" xfId="42268" xr:uid="{B7DFA45C-9309-4360-AC86-F37A12225BB0}"/>
    <cellStyle name="Total 2 2 5 5" xfId="42269" xr:uid="{BC54A0D0-A2B1-443F-94C7-DEA9BFD5FCA6}"/>
    <cellStyle name="Total 2 2 5 6" xfId="42270" xr:uid="{BBA649E1-F465-456E-A64B-D5B5DBF8E42F}"/>
    <cellStyle name="Total 2 2 5 7" xfId="42271" xr:uid="{284CB62A-3D27-4F53-904C-F49491A9298A}"/>
    <cellStyle name="Total 2 2 6" xfId="3125" xr:uid="{823F677B-E552-4C53-905C-7EA236FB2169}"/>
    <cellStyle name="Total 2 2 6 2" xfId="10289" xr:uid="{F81ABDE5-5F4E-48F2-8B87-71A4AB8FFD24}"/>
    <cellStyle name="Total 2 2 6 2 2" xfId="42272" xr:uid="{ECF1D54C-4BB5-4062-94E9-37C1B9254EFA}"/>
    <cellStyle name="Total 2 2 6 2 3" xfId="42273" xr:uid="{044F0BD4-CC1A-4472-8BEE-8A6C586DBEBC}"/>
    <cellStyle name="Total 2 2 6 2 4" xfId="42274" xr:uid="{68E86C0C-FE34-4C1E-BC1F-2EFE5654DDA1}"/>
    <cellStyle name="Total 2 2 6 2 5" xfId="42275" xr:uid="{664542D1-F549-41E5-BF7A-CEF96396878D}"/>
    <cellStyle name="Total 2 2 6 2 6" xfId="42276" xr:uid="{348175E9-B9FB-4135-BB18-7C4DE3DB7E44}"/>
    <cellStyle name="Total 2 2 6 3" xfId="42277" xr:uid="{6DAEACEF-3907-4BB3-ACA5-5292A0DE058C}"/>
    <cellStyle name="Total 2 2 6 4" xfId="42278" xr:uid="{E5770F82-7FDF-4E5D-815D-7646E375730A}"/>
    <cellStyle name="Total 2 2 6 5" xfId="42279" xr:uid="{037A44AE-6B28-413A-8B24-8FC61A156900}"/>
    <cellStyle name="Total 2 2 6 6" xfId="42280" xr:uid="{89B5BACC-0E40-48F0-9207-431CD783E8F5}"/>
    <cellStyle name="Total 2 2 6 7" xfId="42281" xr:uid="{1E05D70E-99F1-45A2-8C46-5FA84D09E85E}"/>
    <cellStyle name="Total 2 2 7" xfId="3126" xr:uid="{8ED89F7F-38EB-4619-9F72-F92F392AE740}"/>
    <cellStyle name="Total 2 2 7 2" xfId="10377" xr:uid="{BEE969B5-18BB-409C-ADCE-3060309E0B52}"/>
    <cellStyle name="Total 2 2 7 2 2" xfId="42282" xr:uid="{A89BDEC0-3892-428E-ADAC-47643C57C717}"/>
    <cellStyle name="Total 2 2 7 2 3" xfId="42283" xr:uid="{7DA74457-16AE-4FA1-9FE5-33CFAF3BAADB}"/>
    <cellStyle name="Total 2 2 7 2 4" xfId="42284" xr:uid="{75DDB8CA-32DE-48B3-9C4B-75C491FB57E3}"/>
    <cellStyle name="Total 2 2 7 2 5" xfId="42285" xr:uid="{3DA1E179-7CD1-45D1-94CE-EC42490A52A3}"/>
    <cellStyle name="Total 2 2 7 2 6" xfId="42286" xr:uid="{47BDADE3-BCE5-4FC3-B586-98C1BBE3DA9B}"/>
    <cellStyle name="Total 2 2 7 3" xfId="42287" xr:uid="{60DF46C7-1FED-4DC8-AAFA-C84F1DBCB21B}"/>
    <cellStyle name="Total 2 2 7 4" xfId="42288" xr:uid="{A325A5DB-7120-4AD6-A001-3451454402E0}"/>
    <cellStyle name="Total 2 2 7 5" xfId="42289" xr:uid="{656E2342-E092-4F58-A944-C994FE410DBE}"/>
    <cellStyle name="Total 2 2 7 6" xfId="42290" xr:uid="{C7046299-12DD-4011-9D87-DA7845560E92}"/>
    <cellStyle name="Total 2 2 7 7" xfId="42291" xr:uid="{8595B378-E38C-4E02-B1A9-CFAB0EEC2241}"/>
    <cellStyle name="Total 2 2 8" xfId="3127" xr:uid="{58B45ABD-B2D0-4D24-8BC7-4005878F8CD0}"/>
    <cellStyle name="Total 2 2 8 2" xfId="10464" xr:uid="{8EF461E0-91C1-457A-87DC-303D573D31EB}"/>
    <cellStyle name="Total 2 2 8 2 2" xfId="42292" xr:uid="{D1C97263-7088-4F94-B34E-44881C980BAC}"/>
    <cellStyle name="Total 2 2 8 2 3" xfId="42293" xr:uid="{7B74AE22-3D4D-4E2E-989E-EAF5DE00372A}"/>
    <cellStyle name="Total 2 2 8 2 4" xfId="42294" xr:uid="{DC029F03-5350-4994-9CDF-5CE6E55A5C96}"/>
    <cellStyle name="Total 2 2 8 2 5" xfId="42295" xr:uid="{1675B258-EDDE-4538-9123-BDFB221E0852}"/>
    <cellStyle name="Total 2 2 8 2 6" xfId="42296" xr:uid="{8AD924F7-8210-4B09-AEC6-9F3A7D7A8F17}"/>
    <cellStyle name="Total 2 2 8 3" xfId="42297" xr:uid="{E9A55AFB-F5BA-4AD2-A9DC-8E5E50B4F89F}"/>
    <cellStyle name="Total 2 2 8 4" xfId="42298" xr:uid="{3B870539-C989-49EF-BA13-4301C3202FF2}"/>
    <cellStyle name="Total 2 2 8 5" xfId="42299" xr:uid="{47476C83-5018-44FB-8B6F-E6239C875DDB}"/>
    <cellStyle name="Total 2 2 8 6" xfId="42300" xr:uid="{F32958AF-4813-4ED4-9D5B-39C07424726F}"/>
    <cellStyle name="Total 2 2 8 7" xfId="42301" xr:uid="{DAAAD11F-2221-4CF5-971A-DBBCF9ADF158}"/>
    <cellStyle name="Total 2 2 9" xfId="3128" xr:uid="{E73D7EDE-2438-42D8-BF78-0AC5F408227C}"/>
    <cellStyle name="Total 2 2 9 2" xfId="10553" xr:uid="{A90FA6B6-7C89-4599-A1B5-C7216BA16E0A}"/>
    <cellStyle name="Total 2 2 9 2 2" xfId="42302" xr:uid="{9F308051-0DE1-401B-A66D-2D50CAD25447}"/>
    <cellStyle name="Total 2 2 9 2 3" xfId="42303" xr:uid="{9FBF85C2-5AB3-4CF3-9600-5C4A22C346A2}"/>
    <cellStyle name="Total 2 2 9 2 4" xfId="42304" xr:uid="{F8B7987D-E2D7-41DD-BBB6-BD5B9B5284E2}"/>
    <cellStyle name="Total 2 2 9 2 5" xfId="42305" xr:uid="{B8FEC047-EE2F-47BB-8216-6B5260FAD543}"/>
    <cellStyle name="Total 2 2 9 2 6" xfId="42306" xr:uid="{38AAABFE-7859-4F6F-8DB7-CFBAFB38BB3B}"/>
    <cellStyle name="Total 2 2 9 3" xfId="42307" xr:uid="{554D1511-CC55-4BFE-BE30-5FBB73AFCACB}"/>
    <cellStyle name="Total 2 2 9 4" xfId="42308" xr:uid="{826B48C4-D62C-4427-A3F7-7DCE01EF641A}"/>
    <cellStyle name="Total 2 2 9 5" xfId="42309" xr:uid="{A9D13263-B86A-42E1-8590-9C789C501F09}"/>
    <cellStyle name="Total 2 2 9 6" xfId="42310" xr:uid="{A3FFA526-C4A5-4D87-B91B-E436967F3AB5}"/>
    <cellStyle name="Total 2 2 9 7" xfId="42311" xr:uid="{29280DE4-EE9C-4EA2-9C0C-FC3F372BA209}"/>
    <cellStyle name="Total 2 20" xfId="3129" xr:uid="{F483A989-4CC6-4AEB-81F4-8E7C15CF38CE}"/>
    <cellStyle name="Total 2 20 2" xfId="11564" xr:uid="{EFC26D9E-1270-42B1-A694-D0303AFE2516}"/>
    <cellStyle name="Total 2 20 2 2" xfId="42312" xr:uid="{2A3C2BA6-1FCE-489B-9B0C-CF7B87457674}"/>
    <cellStyle name="Total 2 20 2 3" xfId="42313" xr:uid="{3BB28203-8E79-49C1-A374-DFAA82D2CA45}"/>
    <cellStyle name="Total 2 20 2 4" xfId="42314" xr:uid="{BFAD7882-1233-4C4A-A1C2-449B9FEE1DE5}"/>
    <cellStyle name="Total 2 20 2 5" xfId="42315" xr:uid="{7B02D8F1-6850-4E5B-965A-917794975B9B}"/>
    <cellStyle name="Total 2 20 2 6" xfId="42316" xr:uid="{475B6001-BA6B-4C5C-83C9-6DA204359665}"/>
    <cellStyle name="Total 2 20 3" xfId="42317" xr:uid="{C24F4FE9-7996-451D-AA76-2B88B9D5B2D5}"/>
    <cellStyle name="Total 2 20 4" xfId="42318" xr:uid="{3EE83243-A15C-4862-B8CA-7A215F5408EF}"/>
    <cellStyle name="Total 2 20 5" xfId="42319" xr:uid="{4E62935B-C5CD-4BBD-9A5D-1D01120FF8C3}"/>
    <cellStyle name="Total 2 20 6" xfId="42320" xr:uid="{71F8FAA7-6309-4661-AE12-2F477CEBAB74}"/>
    <cellStyle name="Total 2 20 7" xfId="42321" xr:uid="{4AC8F12B-0ACD-4052-AE23-D63A00CB816E}"/>
    <cellStyle name="Total 2 21" xfId="3130" xr:uid="{33606EF9-AB2B-4613-8688-B337550E9767}"/>
    <cellStyle name="Total 2 21 2" xfId="11652" xr:uid="{64D2C9C0-A58F-41B6-816E-864388F21328}"/>
    <cellStyle name="Total 2 21 2 2" xfId="42322" xr:uid="{800EF0A3-A382-476C-951D-1693A74D45EC}"/>
    <cellStyle name="Total 2 21 2 3" xfId="42323" xr:uid="{6FE532E4-4902-426B-AEA7-C73C7B651A0E}"/>
    <cellStyle name="Total 2 21 2 4" xfId="42324" xr:uid="{3551F15F-B902-4D46-9C34-5338FCAEB3D1}"/>
    <cellStyle name="Total 2 21 2 5" xfId="42325" xr:uid="{CA8A6293-ABFF-469E-BB90-411668A91292}"/>
    <cellStyle name="Total 2 21 2 6" xfId="42326" xr:uid="{BF1BD874-A595-4D32-95FB-8858E5F7261E}"/>
    <cellStyle name="Total 2 21 3" xfId="42327" xr:uid="{FBD64EF4-A02E-4A05-8456-AD68071518EC}"/>
    <cellStyle name="Total 2 21 4" xfId="42328" xr:uid="{DE5464A3-6CA6-4FB8-A913-C2DE88055AE3}"/>
    <cellStyle name="Total 2 21 5" xfId="42329" xr:uid="{8B962925-8ADA-4817-9E4E-7B6B95CB5555}"/>
    <cellStyle name="Total 2 21 6" xfId="42330" xr:uid="{D21B3F67-056B-48A9-8B2F-F0618D58DB29}"/>
    <cellStyle name="Total 2 21 7" xfId="42331" xr:uid="{B2B51043-010F-4689-882A-B8A172901C9C}"/>
    <cellStyle name="Total 2 22" xfId="3131" xr:uid="{F7D1B369-05C2-439A-B5F9-B42D48DAFC5D}"/>
    <cellStyle name="Total 2 22 2" xfId="9884" xr:uid="{745DCD29-D9F5-4658-8719-E5E1A90DEE06}"/>
    <cellStyle name="Total 2 22 2 2" xfId="42332" xr:uid="{0663ABC2-1219-4094-98BA-711331866052}"/>
    <cellStyle name="Total 2 22 2 3" xfId="42333" xr:uid="{BE60B5AC-05D1-4FCD-A208-5B5FFFC7F269}"/>
    <cellStyle name="Total 2 22 2 4" xfId="42334" xr:uid="{B1C1AD50-C716-4DF9-AABD-86D061F7EFA7}"/>
    <cellStyle name="Total 2 22 2 5" xfId="42335" xr:uid="{3A6EBEF1-66D2-4D3E-BD92-193FC9991E11}"/>
    <cellStyle name="Total 2 22 2 6" xfId="42336" xr:uid="{962D35C3-624A-4BC6-B9B2-1C0B7ADA3942}"/>
    <cellStyle name="Total 2 22 3" xfId="42337" xr:uid="{B2C5764F-E046-4016-A155-CC8899607187}"/>
    <cellStyle name="Total 2 22 4" xfId="42338" xr:uid="{00ECBAF5-E42B-4527-ACAE-51206FB6991D}"/>
    <cellStyle name="Total 2 22 5" xfId="42339" xr:uid="{C8B5C35C-F384-432D-89A1-1F3625C949FE}"/>
    <cellStyle name="Total 2 22 6" xfId="42340" xr:uid="{C5AE85D1-FC62-4170-A224-978ADADC6263}"/>
    <cellStyle name="Total 2 22 7" xfId="42341" xr:uid="{A2834E77-1836-4A4A-AF27-D3E78270CE24}"/>
    <cellStyle name="Total 2 23" xfId="3132" xr:uid="{5427B701-71C6-4E20-BFB9-3115F3EC34EE}"/>
    <cellStyle name="Total 2 23 2" xfId="11901" xr:uid="{85FE0D3C-0AA4-4CA1-B1BD-BDA22154D271}"/>
    <cellStyle name="Total 2 23 2 2" xfId="42342" xr:uid="{7FFEFB7D-C700-40C9-8D1C-B8FD804BC11F}"/>
    <cellStyle name="Total 2 23 2 3" xfId="42343" xr:uid="{078075DE-3D36-45C7-9B09-CA6EFC893B18}"/>
    <cellStyle name="Total 2 23 2 4" xfId="42344" xr:uid="{2E5EE893-5110-4727-BBFD-54C43E6369FF}"/>
    <cellStyle name="Total 2 23 2 5" xfId="42345" xr:uid="{723D0551-3D99-4A94-8FCE-2CEB0D9C22F0}"/>
    <cellStyle name="Total 2 23 2 6" xfId="42346" xr:uid="{A609A685-2EE3-46C5-BFEA-C77D7F037BAB}"/>
    <cellStyle name="Total 2 23 3" xfId="42347" xr:uid="{91DDF692-0327-4191-A886-A2FE770E1DDE}"/>
    <cellStyle name="Total 2 23 4" xfId="42348" xr:uid="{5B9A5AEA-4FA9-476D-B85A-722C6D4C1CB3}"/>
    <cellStyle name="Total 2 23 5" xfId="42349" xr:uid="{1875DC2D-F209-45A4-B424-1E57A5215029}"/>
    <cellStyle name="Total 2 23 6" xfId="42350" xr:uid="{15A35584-139D-4E11-A88B-5BCE641CBB4E}"/>
    <cellStyle name="Total 2 23 7" xfId="42351" xr:uid="{1BAF2E65-3C23-4B98-9B15-D6FDEB37E600}"/>
    <cellStyle name="Total 2 24" xfId="3133" xr:uid="{853A2CF1-6236-4BC0-A259-5A782441172D}"/>
    <cellStyle name="Total 2 24 2" xfId="11985" xr:uid="{9D9E9A24-4BC9-4071-BA16-8D26BF5824C0}"/>
    <cellStyle name="Total 2 24 2 2" xfId="42352" xr:uid="{BD1A45FE-8CCA-4761-9106-092274B19425}"/>
    <cellStyle name="Total 2 24 2 3" xfId="42353" xr:uid="{AF8F3646-1D77-4139-9C7B-D7B4D555F9F2}"/>
    <cellStyle name="Total 2 24 2 4" xfId="42354" xr:uid="{88C1B3FD-D643-437C-B2FD-C91FCC4A8B32}"/>
    <cellStyle name="Total 2 24 2 5" xfId="42355" xr:uid="{B6363A5B-51E5-47BA-B946-02BA6E3BBD4D}"/>
    <cellStyle name="Total 2 24 2 6" xfId="42356" xr:uid="{0DA32315-B424-44C2-9CC9-8C47D0C3D590}"/>
    <cellStyle name="Total 2 24 3" xfId="42357" xr:uid="{257F42AB-809B-4A57-813F-50D35F7826CD}"/>
    <cellStyle name="Total 2 24 4" xfId="42358" xr:uid="{5F4D49F9-E8F2-47A2-9F11-F4380BCCA021}"/>
    <cellStyle name="Total 2 24 5" xfId="42359" xr:uid="{EB47A3A3-8A8E-422B-8588-3427254C0B1F}"/>
    <cellStyle name="Total 2 24 6" xfId="42360" xr:uid="{6E538347-649A-4FCE-9FD4-5C6F8532DA10}"/>
    <cellStyle name="Total 2 24 7" xfId="42361" xr:uid="{DBF9A03D-3756-4D6E-8553-173EB3FB91F1}"/>
    <cellStyle name="Total 2 25" xfId="3134" xr:uid="{53CE72F7-5F10-42AF-A613-7F5FE117088A}"/>
    <cellStyle name="Total 2 25 2" xfId="12067" xr:uid="{40DFAD41-72B4-4C69-B595-77018520132D}"/>
    <cellStyle name="Total 2 25 2 2" xfId="42362" xr:uid="{2A0BCB08-F723-4F73-9B7D-B1E534238A40}"/>
    <cellStyle name="Total 2 25 2 3" xfId="42363" xr:uid="{11BB18AE-1126-4A76-9538-E96400656C5B}"/>
    <cellStyle name="Total 2 25 2 4" xfId="42364" xr:uid="{7FBAD62E-4A7B-4BF3-9323-F5CE1CB11453}"/>
    <cellStyle name="Total 2 25 2 5" xfId="42365" xr:uid="{1FD62F6D-394E-4558-8159-B28D19026D29}"/>
    <cellStyle name="Total 2 25 2 6" xfId="42366" xr:uid="{1A94EC8B-CB54-4F20-89DE-BBAA1D027C14}"/>
    <cellStyle name="Total 2 25 3" xfId="42367" xr:uid="{0BF06BE0-8518-4B24-9530-315234A8F476}"/>
    <cellStyle name="Total 2 25 4" xfId="42368" xr:uid="{B4880E6A-35DB-4596-8D4E-DED428A46A25}"/>
    <cellStyle name="Total 2 25 5" xfId="42369" xr:uid="{D35F0FB8-FFC8-41EC-B1B0-2263247390CC}"/>
    <cellStyle name="Total 2 25 6" xfId="42370" xr:uid="{9A0226A7-FDA9-497C-B740-611ED4FB5748}"/>
    <cellStyle name="Total 2 25 7" xfId="42371" xr:uid="{FFB76523-D031-41E4-828D-8E41E7C7ECD4}"/>
    <cellStyle name="Total 2 26" xfId="3135" xr:uid="{28AF2C93-50E4-4B93-9D41-C75C803A0594}"/>
    <cellStyle name="Total 2 26 2" xfId="12151" xr:uid="{7CC536B6-6BCC-432E-BF97-C62B57B8C512}"/>
    <cellStyle name="Total 2 26 2 2" xfId="42372" xr:uid="{D0A35E73-5E4F-4A9D-A663-E1367643D35D}"/>
    <cellStyle name="Total 2 26 2 3" xfId="42373" xr:uid="{7F4BA588-A136-4327-A337-A1FFB188A84C}"/>
    <cellStyle name="Total 2 26 2 4" xfId="42374" xr:uid="{C0470C82-9F1A-4B8C-BA41-5FB774D70757}"/>
    <cellStyle name="Total 2 26 2 5" xfId="42375" xr:uid="{8B05D619-44CB-43D5-8152-F46C27D4662E}"/>
    <cellStyle name="Total 2 26 2 6" xfId="42376" xr:uid="{CC1E6D79-2930-4151-B95C-A9EC59869941}"/>
    <cellStyle name="Total 2 26 3" xfId="42377" xr:uid="{C71EC87C-7777-4D35-BF59-5165EC000FED}"/>
    <cellStyle name="Total 2 26 4" xfId="42378" xr:uid="{7A756D5F-52EA-4538-BB09-7B0998B2973E}"/>
    <cellStyle name="Total 2 26 5" xfId="42379" xr:uid="{2062F68A-A008-4E66-8D47-060E6155F038}"/>
    <cellStyle name="Total 2 26 6" xfId="42380" xr:uid="{1760C7F5-1E00-41A1-97BF-8226765494D9}"/>
    <cellStyle name="Total 2 26 7" xfId="42381" xr:uid="{834CFED9-D3A8-45DA-9BE7-AE2D4382374B}"/>
    <cellStyle name="Total 2 27" xfId="3136" xr:uid="{79660B2A-8554-4356-9E33-8C5CE2295E27}"/>
    <cellStyle name="Total 2 27 2" xfId="9727" xr:uid="{71B3208A-5636-463A-9713-F52DECC0004E}"/>
    <cellStyle name="Total 2 27 2 2" xfId="42382" xr:uid="{9FA93C37-7607-4C29-841B-41053AF6A08F}"/>
    <cellStyle name="Total 2 27 2 3" xfId="42383" xr:uid="{62C5CEBB-AD0B-4708-8233-3E8E089D6945}"/>
    <cellStyle name="Total 2 27 2 4" xfId="42384" xr:uid="{A43205F3-30AD-4D7C-8849-7356469C700D}"/>
    <cellStyle name="Total 2 27 2 5" xfId="42385" xr:uid="{B3F658DD-4CA9-4938-96A1-9A95587EBD81}"/>
    <cellStyle name="Total 2 27 2 6" xfId="42386" xr:uid="{2F6CB4A4-74B7-4B7C-9B55-5421C9D6484A}"/>
    <cellStyle name="Total 2 27 3" xfId="42387" xr:uid="{AFFFD0EC-4160-48BB-B8D0-CE81F383B63E}"/>
    <cellStyle name="Total 2 27 4" xfId="42388" xr:uid="{D731C815-0487-4E10-BCAF-7F07902A87F9}"/>
    <cellStyle name="Total 2 27 5" xfId="42389" xr:uid="{6EAFB38B-891F-4F39-9B32-1F3C0F802AF2}"/>
    <cellStyle name="Total 2 27 6" xfId="42390" xr:uid="{80543195-24BF-4FB3-B26C-BD9B1DAE8594}"/>
    <cellStyle name="Total 2 27 7" xfId="42391" xr:uid="{A6867089-A8E1-449C-A39A-45DFCBF38073}"/>
    <cellStyle name="Total 2 28" xfId="3137" xr:uid="{00BDFE12-791A-4C52-9F59-76E43F4D9AC9}"/>
    <cellStyle name="Total 2 28 2" xfId="12390" xr:uid="{410F18A6-E798-44A7-A8E9-D305E727688D}"/>
    <cellStyle name="Total 2 28 2 2" xfId="42392" xr:uid="{69267968-9E77-4FD6-B503-6EA75C659596}"/>
    <cellStyle name="Total 2 28 2 3" xfId="42393" xr:uid="{2A3AFAF7-E470-4E53-A709-FF57D243DBE4}"/>
    <cellStyle name="Total 2 28 2 4" xfId="42394" xr:uid="{4B9B87F4-2B31-48DD-9865-735F922A3268}"/>
    <cellStyle name="Total 2 28 2 5" xfId="42395" xr:uid="{9273F3B9-00E0-4D28-82E4-EF4523F2106E}"/>
    <cellStyle name="Total 2 28 2 6" xfId="42396" xr:uid="{38688432-FDC6-4CD3-8799-F6580739AAA2}"/>
    <cellStyle name="Total 2 28 3" xfId="42397" xr:uid="{4136DD4C-A0DE-4141-A77B-C457F28ADEA0}"/>
    <cellStyle name="Total 2 28 4" xfId="42398" xr:uid="{467D48B1-FE17-4EFF-B81F-0BB9B57C320B}"/>
    <cellStyle name="Total 2 28 5" xfId="42399" xr:uid="{2F8C97BC-572A-44C6-9712-886F5904D8F0}"/>
    <cellStyle name="Total 2 28 6" xfId="42400" xr:uid="{13E1D532-7159-4737-AABB-CE313C509163}"/>
    <cellStyle name="Total 2 28 7" xfId="42401" xr:uid="{044E4764-B98F-40C8-B76A-605BF4D28A6E}"/>
    <cellStyle name="Total 2 29" xfId="3138" xr:uid="{CF692359-1130-4F18-926C-455A3AAE4110}"/>
    <cellStyle name="Total 2 29 2" xfId="12469" xr:uid="{286FECCA-4AD6-46EC-98F6-C8533893C1AB}"/>
    <cellStyle name="Total 2 29 2 2" xfId="42402" xr:uid="{00AB4B30-A448-4175-A6F9-068CCB2170AF}"/>
    <cellStyle name="Total 2 29 2 3" xfId="42403" xr:uid="{1B6C0ED5-0F24-4990-8ABD-026D84DD78F0}"/>
    <cellStyle name="Total 2 29 2 4" xfId="42404" xr:uid="{758FA05F-F55F-4A7A-8C3D-48F6A42F671C}"/>
    <cellStyle name="Total 2 29 2 5" xfId="42405" xr:uid="{FDB2FE04-8E25-4294-B8BA-7603F0334216}"/>
    <cellStyle name="Total 2 29 2 6" xfId="42406" xr:uid="{F8BFDBF2-D125-4F0A-8BCA-BB85905379A0}"/>
    <cellStyle name="Total 2 29 3" xfId="42407" xr:uid="{FFBD09B4-FCF9-4FF1-93DC-F9ECA9E12149}"/>
    <cellStyle name="Total 2 29 4" xfId="42408" xr:uid="{CAD5603D-A5AF-429A-B98E-4F3FAD6ABA36}"/>
    <cellStyle name="Total 2 29 5" xfId="42409" xr:uid="{C44EB0EA-1A8F-4722-B5BF-E4A232F9E427}"/>
    <cellStyle name="Total 2 29 6" xfId="42410" xr:uid="{FD01306D-4ACB-4971-849C-D6962A45D6F5}"/>
    <cellStyle name="Total 2 29 7" xfId="42411" xr:uid="{2F73EA51-0CB6-4D57-BA7E-63AA9A5D9979}"/>
    <cellStyle name="Total 2 3" xfId="3139" xr:uid="{C04C909E-997A-4437-B67E-F41D3757128A}"/>
    <cellStyle name="Total 2 3 10" xfId="3140" xr:uid="{33FC1519-3512-4651-8E86-83BB80FEE4D1}"/>
    <cellStyle name="Total 2 3 10 2" xfId="10744" xr:uid="{71B43549-B4B2-4436-919F-4968B0CB99FA}"/>
    <cellStyle name="Total 2 3 10 2 2" xfId="42412" xr:uid="{2F8ABA12-1AEE-4DC1-880D-E208D31856B8}"/>
    <cellStyle name="Total 2 3 10 2 3" xfId="42413" xr:uid="{A5FC1F25-15DE-450A-B463-3ED93E377D08}"/>
    <cellStyle name="Total 2 3 10 2 4" xfId="42414" xr:uid="{41208EA4-08A3-4998-AFC0-75EDADF86ACE}"/>
    <cellStyle name="Total 2 3 10 2 5" xfId="42415" xr:uid="{2D0FECB6-932B-48C8-9426-23551C31772B}"/>
    <cellStyle name="Total 2 3 10 2 6" xfId="42416" xr:uid="{B06CE374-32AE-42CC-AFDB-B529FFE46C09}"/>
    <cellStyle name="Total 2 3 10 3" xfId="42417" xr:uid="{8896F6E1-C6E6-4CAA-9018-DA3FA1E0033E}"/>
    <cellStyle name="Total 2 3 10 4" xfId="42418" xr:uid="{4B3A0568-BCD4-4257-8F39-2E14758FD6D5}"/>
    <cellStyle name="Total 2 3 10 5" xfId="42419" xr:uid="{C3F87BBB-FD79-4CD3-991F-0E10D5854B32}"/>
    <cellStyle name="Total 2 3 10 6" xfId="42420" xr:uid="{1B315105-4669-4F3E-880B-9A3DE7B33F13}"/>
    <cellStyle name="Total 2 3 10 7" xfId="42421" xr:uid="{548B2DB8-9D00-4D8F-BC85-CB6180E6B4BC}"/>
    <cellStyle name="Total 2 3 11" xfId="3141" xr:uid="{02666FFA-1133-41B3-B7A9-42C8FB24396F}"/>
    <cellStyle name="Total 2 3 11 2" xfId="10832" xr:uid="{2D9D6914-2FF7-430C-AC7A-0148EF5C129A}"/>
    <cellStyle name="Total 2 3 11 2 2" xfId="42422" xr:uid="{74C9A726-0B1F-44BF-A2FB-03387AFE489A}"/>
    <cellStyle name="Total 2 3 11 2 3" xfId="42423" xr:uid="{FB66A9C7-D00B-448D-A9E0-5B0C83809748}"/>
    <cellStyle name="Total 2 3 11 2 4" xfId="42424" xr:uid="{256DB438-92DA-44D5-82D4-AE3BF4264F03}"/>
    <cellStyle name="Total 2 3 11 2 5" xfId="42425" xr:uid="{A5A3E6F5-0F02-44EF-BDCB-5948FAB349C9}"/>
    <cellStyle name="Total 2 3 11 2 6" xfId="42426" xr:uid="{789C7448-213D-42A9-89EB-46021682EF35}"/>
    <cellStyle name="Total 2 3 11 3" xfId="42427" xr:uid="{8CD679E2-5E56-48AD-95DC-2EA545756446}"/>
    <cellStyle name="Total 2 3 11 4" xfId="42428" xr:uid="{BEE4BA84-42D7-40EB-88B1-F93F7A990B7B}"/>
    <cellStyle name="Total 2 3 11 5" xfId="42429" xr:uid="{879F69DB-FB1E-4224-935B-551AF12CB2E8}"/>
    <cellStyle name="Total 2 3 11 6" xfId="42430" xr:uid="{DFBF05DC-5B6D-441A-9640-EE1395A37BDA}"/>
    <cellStyle name="Total 2 3 11 7" xfId="42431" xr:uid="{F407A9FD-F091-44E0-A561-42FB6ED6D5C5}"/>
    <cellStyle name="Total 2 3 12" xfId="3142" xr:uid="{50A01A5E-64E5-4B74-86FD-10EED0FC0473}"/>
    <cellStyle name="Total 2 3 12 2" xfId="10921" xr:uid="{50C0042D-B201-4180-B628-18BE8A6FCC6A}"/>
    <cellStyle name="Total 2 3 12 2 2" xfId="42432" xr:uid="{0A131A95-D0DD-445F-9490-0D30BF6FB845}"/>
    <cellStyle name="Total 2 3 12 2 3" xfId="42433" xr:uid="{3FFB1A8D-6B4A-44E9-A2A0-1D5B78EA110F}"/>
    <cellStyle name="Total 2 3 12 2 4" xfId="42434" xr:uid="{C15ADC59-A39D-452E-9178-2184F46A6AF0}"/>
    <cellStyle name="Total 2 3 12 2 5" xfId="42435" xr:uid="{73024813-71F1-40B5-A70A-688E3176EA38}"/>
    <cellStyle name="Total 2 3 12 2 6" xfId="42436" xr:uid="{2A354461-44B9-4F24-BE91-23E15135F08F}"/>
    <cellStyle name="Total 2 3 12 3" xfId="42437" xr:uid="{F58B3356-92DF-4E53-893B-64433003739C}"/>
    <cellStyle name="Total 2 3 12 4" xfId="42438" xr:uid="{B669A55F-716F-48B5-9DB9-25299F1DAED4}"/>
    <cellStyle name="Total 2 3 12 5" xfId="42439" xr:uid="{B9246739-39BB-4D9B-BAA1-03E491A5534C}"/>
    <cellStyle name="Total 2 3 12 6" xfId="42440" xr:uid="{0D360590-4B90-4C73-BB4B-77B39AC4F54A}"/>
    <cellStyle name="Total 2 3 12 7" xfId="42441" xr:uid="{D9D18571-1E8B-40DC-8F44-91BDD8B89F94}"/>
    <cellStyle name="Total 2 3 13" xfId="3143" xr:uid="{02717D33-7F65-41C8-A384-C3913BAF9E19}"/>
    <cellStyle name="Total 2 3 13 2" xfId="11011" xr:uid="{4A8BFC0F-E228-47C1-BA51-5CADF6731F63}"/>
    <cellStyle name="Total 2 3 13 2 2" xfId="42442" xr:uid="{1AE71935-6823-4789-81A4-B111E5A37D93}"/>
    <cellStyle name="Total 2 3 13 2 3" xfId="42443" xr:uid="{828FCCF2-ADD6-4C07-8EB7-6E5213B3F148}"/>
    <cellStyle name="Total 2 3 13 2 4" xfId="42444" xr:uid="{CC309925-DC45-4211-B70E-D41240007365}"/>
    <cellStyle name="Total 2 3 13 2 5" xfId="42445" xr:uid="{E016B873-ADC3-43FB-9C94-2A40F9D32AF9}"/>
    <cellStyle name="Total 2 3 13 2 6" xfId="42446" xr:uid="{92D82A7C-9941-4F2D-AE83-27F70FE798EB}"/>
    <cellStyle name="Total 2 3 13 3" xfId="42447" xr:uid="{39173D65-D63F-410E-99B7-9D1837D47804}"/>
    <cellStyle name="Total 2 3 13 4" xfId="42448" xr:uid="{7DEF5715-EF6A-4CCA-B056-5EF1A4A96D44}"/>
    <cellStyle name="Total 2 3 13 5" xfId="42449" xr:uid="{06D69BD6-87FE-4F98-BEF8-39038976083E}"/>
    <cellStyle name="Total 2 3 13 6" xfId="42450" xr:uid="{5A9957AE-775D-4B12-AF2F-89AC73E5D152}"/>
    <cellStyle name="Total 2 3 13 7" xfId="42451" xr:uid="{5A0D4C46-267E-45CD-871A-FFD9047096FE}"/>
    <cellStyle name="Total 2 3 14" xfId="3144" xr:uid="{998A1594-2C3F-4E36-BB04-4FBF935FC2C1}"/>
    <cellStyle name="Total 2 3 14 2" xfId="11101" xr:uid="{5A539242-4EA3-416B-A48E-189675D45CED}"/>
    <cellStyle name="Total 2 3 14 2 2" xfId="42452" xr:uid="{584E5E49-3742-42F3-8C69-3FFD9EE4F457}"/>
    <cellStyle name="Total 2 3 14 2 3" xfId="42453" xr:uid="{F31B60C4-7A2A-42A8-B2E1-943F9114670C}"/>
    <cellStyle name="Total 2 3 14 2 4" xfId="42454" xr:uid="{98BFCFBF-25B5-4FB4-B254-AB1C5E629CDC}"/>
    <cellStyle name="Total 2 3 14 2 5" xfId="42455" xr:uid="{2CB10148-2F30-4EBC-BC63-F77A2E133E8D}"/>
    <cellStyle name="Total 2 3 14 2 6" xfId="42456" xr:uid="{69807A9F-979F-4D14-932C-3F42EF920B6C}"/>
    <cellStyle name="Total 2 3 14 3" xfId="42457" xr:uid="{7AB12BD3-68FD-4EB1-9EDB-7467F45AAF70}"/>
    <cellStyle name="Total 2 3 14 4" xfId="42458" xr:uid="{825519D7-BAED-48CF-A9E4-F183BF126F89}"/>
    <cellStyle name="Total 2 3 14 5" xfId="42459" xr:uid="{157EA452-2DB8-407B-9C85-ABCB0008C798}"/>
    <cellStyle name="Total 2 3 14 6" xfId="42460" xr:uid="{1A9BEE5F-3DA2-4099-8C13-1F9D48D9541C}"/>
    <cellStyle name="Total 2 3 14 7" xfId="42461" xr:uid="{04A984C5-144C-46C1-AA3F-0629254E67EB}"/>
    <cellStyle name="Total 2 3 15" xfId="3145" xr:uid="{C5BB8C38-1236-4ADC-AF21-E97D6F9276FD}"/>
    <cellStyle name="Total 2 3 15 2" xfId="11184" xr:uid="{5328B8BE-9E75-4A94-96E6-B3BB1C7B4C99}"/>
    <cellStyle name="Total 2 3 15 2 2" xfId="42462" xr:uid="{E4171D2D-4CD6-4A62-9433-7C56A3C2B7FC}"/>
    <cellStyle name="Total 2 3 15 2 3" xfId="42463" xr:uid="{722917C4-BE3C-4F92-A31B-F1558ED15391}"/>
    <cellStyle name="Total 2 3 15 2 4" xfId="42464" xr:uid="{7E5B5105-B78E-464A-A99A-3D6DDCDEBDE5}"/>
    <cellStyle name="Total 2 3 15 2 5" xfId="42465" xr:uid="{43AAB662-2F0C-429C-825E-155A48D56873}"/>
    <cellStyle name="Total 2 3 15 2 6" xfId="42466" xr:uid="{51F38EDA-038B-4358-85A7-9C3806FCACF9}"/>
    <cellStyle name="Total 2 3 15 3" xfId="42467" xr:uid="{E75430AE-4977-4917-B40E-66CE397ECA72}"/>
    <cellStyle name="Total 2 3 15 4" xfId="42468" xr:uid="{617C7C55-D28C-488F-9518-347C413F6B60}"/>
    <cellStyle name="Total 2 3 15 5" xfId="42469" xr:uid="{7D73BFD3-ED6C-40D3-AFBB-00894B2ACB88}"/>
    <cellStyle name="Total 2 3 15 6" xfId="42470" xr:uid="{C835D6A0-857A-4AAC-B0F6-E16009EB9F83}"/>
    <cellStyle name="Total 2 3 15 7" xfId="42471" xr:uid="{61F20951-1BAA-4665-AF6C-0DD81B89BE86}"/>
    <cellStyle name="Total 2 3 16" xfId="3146" xr:uid="{81FE79E3-A8B6-429B-85D9-D224B96E5875}"/>
    <cellStyle name="Total 2 3 16 2" xfId="11274" xr:uid="{BA98A4C7-00F3-4D29-AC1A-0A029EA55319}"/>
    <cellStyle name="Total 2 3 16 2 2" xfId="42472" xr:uid="{170D72ED-76A3-4AD1-8598-38B08417AFDC}"/>
    <cellStyle name="Total 2 3 16 2 3" xfId="42473" xr:uid="{836A537A-E7AC-4954-85CD-505975501ABE}"/>
    <cellStyle name="Total 2 3 16 2 4" xfId="42474" xr:uid="{BE60AA35-5929-4F1D-8E23-E0925181AC5B}"/>
    <cellStyle name="Total 2 3 16 2 5" xfId="42475" xr:uid="{1BB6DC92-425C-4891-9933-AEE8F2B8E5E2}"/>
    <cellStyle name="Total 2 3 16 2 6" xfId="42476" xr:uid="{3D075E2D-A0EF-4C6F-B4C3-78C01FE05792}"/>
    <cellStyle name="Total 2 3 16 3" xfId="42477" xr:uid="{A2D4769C-6106-433C-B5A4-750A507FCB8E}"/>
    <cellStyle name="Total 2 3 16 4" xfId="42478" xr:uid="{D534DEC0-2F52-4BE9-B813-73F329DD238D}"/>
    <cellStyle name="Total 2 3 16 5" xfId="42479" xr:uid="{24BF5A68-CF65-43F5-AE06-4418146D60E9}"/>
    <cellStyle name="Total 2 3 16 6" xfId="42480" xr:uid="{BA67C1CF-F06A-4A51-983E-8D4587AFDBCF}"/>
    <cellStyle name="Total 2 3 16 7" xfId="42481" xr:uid="{5614C003-BB07-4DCB-B276-78B62CA539B6}"/>
    <cellStyle name="Total 2 3 17" xfId="3147" xr:uid="{BD89A7B0-47E1-425A-997B-E7FFDBB4043A}"/>
    <cellStyle name="Total 2 3 17 2" xfId="11360" xr:uid="{88E218AA-7692-443A-9BF7-C7585FE033C8}"/>
    <cellStyle name="Total 2 3 17 2 2" xfId="42482" xr:uid="{761C1744-256C-4314-B384-90F97C334D0C}"/>
    <cellStyle name="Total 2 3 17 2 3" xfId="42483" xr:uid="{8171EFEB-B8F6-4576-BABF-FDB5EF9FC126}"/>
    <cellStyle name="Total 2 3 17 2 4" xfId="42484" xr:uid="{9ACC0BD2-CDAA-49D3-9DEC-86CBC9095464}"/>
    <cellStyle name="Total 2 3 17 2 5" xfId="42485" xr:uid="{6409F208-72A3-421A-828F-206CF3852807}"/>
    <cellStyle name="Total 2 3 17 2 6" xfId="42486" xr:uid="{9EDD5C13-E110-4F32-9522-6DC9373D7A5D}"/>
    <cellStyle name="Total 2 3 17 3" xfId="42487" xr:uid="{2261AC7F-0767-41FC-BD6B-05D5D0D006AB}"/>
    <cellStyle name="Total 2 3 17 4" xfId="42488" xr:uid="{203223FF-7DC0-4853-8B88-259A85B2AE67}"/>
    <cellStyle name="Total 2 3 17 5" xfId="42489" xr:uid="{25020FCA-2B44-467F-9C93-B404C0F98006}"/>
    <cellStyle name="Total 2 3 17 6" xfId="42490" xr:uid="{6C12CD66-9DE5-4DD5-9E5C-2759FEFDAC32}"/>
    <cellStyle name="Total 2 3 17 7" xfId="42491" xr:uid="{859CB8D7-2320-44A6-92E3-F0C123F52E0E}"/>
    <cellStyle name="Total 2 3 18" xfId="3148" xr:uid="{8052E897-6491-4CD3-BE92-822B5E31BDAF}"/>
    <cellStyle name="Total 2 3 18 2" xfId="11447" xr:uid="{F68A143D-E2C1-48D9-BCD1-AC7A67524F47}"/>
    <cellStyle name="Total 2 3 18 2 2" xfId="42492" xr:uid="{715EC50B-40D5-4BE2-8441-6603736EFC03}"/>
    <cellStyle name="Total 2 3 18 2 3" xfId="42493" xr:uid="{6EBF0066-B531-4E89-8529-E0C6E3CCA2B9}"/>
    <cellStyle name="Total 2 3 18 2 4" xfId="42494" xr:uid="{6BCFD959-08F4-49A3-A871-639291E52DD7}"/>
    <cellStyle name="Total 2 3 18 2 5" xfId="42495" xr:uid="{BD1050B2-678B-4378-837B-3E07143A071A}"/>
    <cellStyle name="Total 2 3 18 2 6" xfId="42496" xr:uid="{3B7B4063-98BB-4974-B057-85D1A9AB1615}"/>
    <cellStyle name="Total 2 3 18 3" xfId="42497" xr:uid="{0EA6BF23-583F-44A2-91A3-CA75288ABC62}"/>
    <cellStyle name="Total 2 3 18 4" xfId="42498" xr:uid="{C32C346B-D935-436B-9320-46FEA2655F53}"/>
    <cellStyle name="Total 2 3 18 5" xfId="42499" xr:uid="{D14287C1-D9BA-4790-A5AA-219EB73C4612}"/>
    <cellStyle name="Total 2 3 18 6" xfId="42500" xr:uid="{7DFECEFC-AD9A-4599-9D08-3A4398E80B64}"/>
    <cellStyle name="Total 2 3 18 7" xfId="42501" xr:uid="{63E404F0-C02B-4F2C-BDCA-DCD8DA515E97}"/>
    <cellStyle name="Total 2 3 19" xfId="3149" xr:uid="{AE739546-7378-4283-AEE3-AD2A9BBAA0A7}"/>
    <cellStyle name="Total 2 3 19 2" xfId="11534" xr:uid="{7547B4BD-757A-48A9-A4CF-8959B3BA98AB}"/>
    <cellStyle name="Total 2 3 19 2 2" xfId="42502" xr:uid="{6190EC65-5126-4D9D-B854-429358E9D36C}"/>
    <cellStyle name="Total 2 3 19 2 3" xfId="42503" xr:uid="{4CCFF512-8C85-4F23-85DA-B2C26F103E60}"/>
    <cellStyle name="Total 2 3 19 2 4" xfId="42504" xr:uid="{D1B6EF2C-5964-4AF5-B767-F34443E199AE}"/>
    <cellStyle name="Total 2 3 19 2 5" xfId="42505" xr:uid="{0CC0F889-24E9-4F66-A747-C63FE92BF811}"/>
    <cellStyle name="Total 2 3 19 2 6" xfId="42506" xr:uid="{9E6ECB34-330D-4286-9147-CB2E1ED05CF2}"/>
    <cellStyle name="Total 2 3 19 3" xfId="42507" xr:uid="{954AAD85-2260-4599-91AF-F49CECF04CA1}"/>
    <cellStyle name="Total 2 3 19 4" xfId="42508" xr:uid="{699A39A9-F559-47A5-879F-E6D08CF3810A}"/>
    <cellStyle name="Total 2 3 19 5" xfId="42509" xr:uid="{15B5F523-233D-47DE-87A4-4BEAB75B4A71}"/>
    <cellStyle name="Total 2 3 19 6" xfId="42510" xr:uid="{B8734955-7E6A-44ED-B1E7-EF1D9825DEDE}"/>
    <cellStyle name="Total 2 3 19 7" xfId="42511" xr:uid="{A12D4C79-D708-498C-8D6D-EDE690E01ED6}"/>
    <cellStyle name="Total 2 3 2" xfId="3150" xr:uid="{C86A8058-8FE8-49FA-A689-26CB4AE09D9F}"/>
    <cellStyle name="Total 2 3 2 2" xfId="10041" xr:uid="{FF43D3D8-93F9-43FC-B798-4E6340F6891E}"/>
    <cellStyle name="Total 2 3 2 2 2" xfId="42512" xr:uid="{F8C628D8-0538-48F9-A1E3-2945B585D050}"/>
    <cellStyle name="Total 2 3 2 2 3" xfId="42513" xr:uid="{A795FC66-1C3B-4161-82DA-1438E5DE7944}"/>
    <cellStyle name="Total 2 3 2 2 4" xfId="42514" xr:uid="{C3EECC9E-9885-4B6C-B8C6-28A00AAC96EA}"/>
    <cellStyle name="Total 2 3 2 2 5" xfId="42515" xr:uid="{0CF3BCD8-ECB0-4394-BD03-DF235B933DEE}"/>
    <cellStyle name="Total 2 3 2 2 6" xfId="42516" xr:uid="{FBD3048A-AFAE-4B04-AA56-FC510E29486C}"/>
    <cellStyle name="Total 2 3 2 3" xfId="42517" xr:uid="{ACAE30E7-FAEB-434F-8C7B-A077D26587A5}"/>
    <cellStyle name="Total 2 3 2 4" xfId="42518" xr:uid="{F8997738-26D8-44C5-8ADB-9D8F59FCB100}"/>
    <cellStyle name="Total 2 3 2 5" xfId="42519" xr:uid="{A7EB1832-6D19-44A8-AA74-443BD02B0881}"/>
    <cellStyle name="Total 2 3 2 6" xfId="42520" xr:uid="{83B62B5B-43E0-4B14-A0B4-D9CEF73F9169}"/>
    <cellStyle name="Total 2 3 2 7" xfId="42521" xr:uid="{B43617E2-4495-4163-BF63-FD000ECB7CF7}"/>
    <cellStyle name="Total 2 3 20" xfId="3151" xr:uid="{C671C091-4EDC-4190-AEF5-9B9C4E058C7A}"/>
    <cellStyle name="Total 2 3 20 2" xfId="11622" xr:uid="{D5DDFA54-EB93-4ED5-8E5D-33AB6080073D}"/>
    <cellStyle name="Total 2 3 20 2 2" xfId="42522" xr:uid="{E13F35BE-240B-46AE-AD0F-AFCCB65D91F9}"/>
    <cellStyle name="Total 2 3 20 2 3" xfId="42523" xr:uid="{30C23B82-EBBF-415C-AE42-E003589D5648}"/>
    <cellStyle name="Total 2 3 20 2 4" xfId="42524" xr:uid="{A7EEAC22-EC02-4780-A36E-6F93C6532282}"/>
    <cellStyle name="Total 2 3 20 2 5" xfId="42525" xr:uid="{4EE0C1AA-7598-4173-81CE-18FA19F5561D}"/>
    <cellStyle name="Total 2 3 20 2 6" xfId="42526" xr:uid="{BC38A6E1-5CA9-4A5A-BEED-734241BEAD49}"/>
    <cellStyle name="Total 2 3 20 3" xfId="42527" xr:uid="{4EFEFFC7-C253-46E9-A3FA-9E80005E1D27}"/>
    <cellStyle name="Total 2 3 20 4" xfId="42528" xr:uid="{B89BDC7D-1ACF-4041-885A-02D89ABB812D}"/>
    <cellStyle name="Total 2 3 20 5" xfId="42529" xr:uid="{92DD196B-08AB-4B64-881C-CD5EA6B1B2A2}"/>
    <cellStyle name="Total 2 3 20 6" xfId="42530" xr:uid="{99787B46-1E62-49B1-AA30-5F7E6B9E550D}"/>
    <cellStyle name="Total 2 3 20 7" xfId="42531" xr:uid="{5DC4BDB5-A4C2-4181-A592-0D4FF55E6149}"/>
    <cellStyle name="Total 2 3 21" xfId="3152" xr:uid="{43577DB6-70FC-4E6F-B9CB-42F4B10A812F}"/>
    <cellStyle name="Total 2 3 21 2" xfId="11706" xr:uid="{8237E1EE-6F1E-496A-99AE-D301410A722E}"/>
    <cellStyle name="Total 2 3 21 2 2" xfId="42532" xr:uid="{ECD1A91E-DA59-44EC-9750-DE406FB05B38}"/>
    <cellStyle name="Total 2 3 21 2 3" xfId="42533" xr:uid="{10CC10D1-2DC3-4364-96CF-8AE0000DC8DC}"/>
    <cellStyle name="Total 2 3 21 2 4" xfId="42534" xr:uid="{DBAC357E-6821-4127-BA41-C220D70AE442}"/>
    <cellStyle name="Total 2 3 21 2 5" xfId="42535" xr:uid="{7B3200B8-ACD5-4DAB-8E8A-12A70673FE02}"/>
    <cellStyle name="Total 2 3 21 2 6" xfId="42536" xr:uid="{547E452C-D509-427F-8561-7C15F3D6ABAB}"/>
    <cellStyle name="Total 2 3 21 3" xfId="42537" xr:uid="{2EC8DF26-545D-412B-A641-F59B0CBED2AE}"/>
    <cellStyle name="Total 2 3 21 4" xfId="42538" xr:uid="{58A6D846-5BFA-4426-8A0C-C13F8F7C809D}"/>
    <cellStyle name="Total 2 3 21 5" xfId="42539" xr:uid="{E7EE04F1-92F3-4EF7-BA39-037ECEE434E9}"/>
    <cellStyle name="Total 2 3 21 6" xfId="42540" xr:uid="{FE4B146E-B8E3-4236-BC8F-DE4CC8DD8622}"/>
    <cellStyle name="Total 2 3 21 7" xfId="42541" xr:uid="{9B3566DC-FC43-4CEE-936C-A1A7A5ECDED4}"/>
    <cellStyle name="Total 2 3 22" xfId="3153" xr:uid="{B1E77C77-3E3A-43F6-A8D9-18FBEA15369D}"/>
    <cellStyle name="Total 2 3 22 2" xfId="11789" xr:uid="{0E6BC6A4-B24E-4DBA-8F66-2F2FAD08D000}"/>
    <cellStyle name="Total 2 3 22 2 2" xfId="42542" xr:uid="{879C7E17-8A55-485F-92FC-F1721EEB4C05}"/>
    <cellStyle name="Total 2 3 22 2 3" xfId="42543" xr:uid="{674518D0-EF5D-47BF-95B9-BFBD4EAA72E8}"/>
    <cellStyle name="Total 2 3 22 2 4" xfId="42544" xr:uid="{7EFC37D7-E10C-414E-81DE-2965FA6BA49C}"/>
    <cellStyle name="Total 2 3 22 2 5" xfId="42545" xr:uid="{F3042802-1E61-4CC7-861C-B3D874BFDD84}"/>
    <cellStyle name="Total 2 3 22 2 6" xfId="42546" xr:uid="{AC44E96E-24CD-46AB-915C-6ACB595541B5}"/>
    <cellStyle name="Total 2 3 22 3" xfId="42547" xr:uid="{9C07B8C3-6279-4897-A9EA-9F6DEA799CB4}"/>
    <cellStyle name="Total 2 3 22 4" xfId="42548" xr:uid="{7AF2FBBC-92D0-40C7-8DFA-A90C3B78892D}"/>
    <cellStyle name="Total 2 3 22 5" xfId="42549" xr:uid="{9FB59E09-5014-4DE4-9937-DA887CA684DA}"/>
    <cellStyle name="Total 2 3 22 6" xfId="42550" xr:uid="{071A59A7-AB98-42FC-B602-E5E9594C6752}"/>
    <cellStyle name="Total 2 3 22 7" xfId="42551" xr:uid="{2CE10DAB-39FF-441B-A125-67C0628CD404}"/>
    <cellStyle name="Total 2 3 23" xfId="3154" xr:uid="{FC7392CA-7664-4BB5-90E0-A1F91A1122A7}"/>
    <cellStyle name="Total 2 3 23 2" xfId="11872" xr:uid="{D6F7C963-0CA9-4FBD-B849-5A65B6F3171D}"/>
    <cellStyle name="Total 2 3 23 2 2" xfId="42552" xr:uid="{2C069FC3-65DA-497F-AE2A-B005BADDCBE7}"/>
    <cellStyle name="Total 2 3 23 2 3" xfId="42553" xr:uid="{C598934F-7149-4BF0-9760-2597A1EAE70F}"/>
    <cellStyle name="Total 2 3 23 2 4" xfId="42554" xr:uid="{6F8BE48F-3A52-436E-B6C8-31AC33FE095C}"/>
    <cellStyle name="Total 2 3 23 2 5" xfId="42555" xr:uid="{F8698925-B285-4ED6-B49B-4CE69E40E5C3}"/>
    <cellStyle name="Total 2 3 23 2 6" xfId="42556" xr:uid="{9B99D199-AE0D-4AA5-89B5-0E2332AFEED0}"/>
    <cellStyle name="Total 2 3 23 3" xfId="42557" xr:uid="{8B4B62B3-9625-4568-8215-DA1BC4CADB7C}"/>
    <cellStyle name="Total 2 3 23 4" xfId="42558" xr:uid="{34E64EEA-4567-4F0F-808D-D10FE68CDCD3}"/>
    <cellStyle name="Total 2 3 23 5" xfId="42559" xr:uid="{775CECA8-4B2C-4184-8947-371BB73799A6}"/>
    <cellStyle name="Total 2 3 23 6" xfId="42560" xr:uid="{4E3DAB4B-584C-4822-B9D6-4BE722F7E325}"/>
    <cellStyle name="Total 2 3 23 7" xfId="42561" xr:uid="{9E50458E-BE00-4770-B3B9-949864DEB630}"/>
    <cellStyle name="Total 2 3 24" xfId="3155" xr:uid="{ED67A55C-A9F5-456C-A3C7-76909097ED62}"/>
    <cellStyle name="Total 2 3 24 2" xfId="11956" xr:uid="{7B4FF94B-0AD2-4591-A5C0-AC7B62837758}"/>
    <cellStyle name="Total 2 3 24 2 2" xfId="42562" xr:uid="{B004E4B0-9751-448D-B661-81100A4CAD73}"/>
    <cellStyle name="Total 2 3 24 2 3" xfId="42563" xr:uid="{540D295F-AFB2-4730-AD49-39281C75726E}"/>
    <cellStyle name="Total 2 3 24 2 4" xfId="42564" xr:uid="{0EB3D769-23E7-4124-A9A3-85BC11D2B634}"/>
    <cellStyle name="Total 2 3 24 2 5" xfId="42565" xr:uid="{B2C858ED-5812-4962-9CB5-E8B134C0CDDD}"/>
    <cellStyle name="Total 2 3 24 2 6" xfId="42566" xr:uid="{1DC9490E-930D-4F3A-AE63-B27AE653EEED}"/>
    <cellStyle name="Total 2 3 24 3" xfId="42567" xr:uid="{13810DC4-92D9-4F68-8338-D65581774C88}"/>
    <cellStyle name="Total 2 3 24 4" xfId="42568" xr:uid="{1B41CA11-1247-4D07-AC6C-BBA691EFFD55}"/>
    <cellStyle name="Total 2 3 24 5" xfId="42569" xr:uid="{0AEB1466-24EF-422D-B093-0263172ECDD1}"/>
    <cellStyle name="Total 2 3 24 6" xfId="42570" xr:uid="{72F88C35-598B-4D64-8F77-F6DA129451EB}"/>
    <cellStyle name="Total 2 3 24 7" xfId="42571" xr:uid="{BCD54A24-A834-46CA-993B-1FF01EE60AD3}"/>
    <cellStyle name="Total 2 3 25" xfId="3156" xr:uid="{43C290CA-CFBD-4981-8A87-70A9D0F4950C}"/>
    <cellStyle name="Total 2 3 25 2" xfId="12039" xr:uid="{3BEC64C3-741E-4FB3-84DE-D8DF683486F3}"/>
    <cellStyle name="Total 2 3 25 2 2" xfId="42572" xr:uid="{EFAF4E22-0D1B-4CB6-9A09-27C9ACC06BD7}"/>
    <cellStyle name="Total 2 3 25 2 3" xfId="42573" xr:uid="{ACC6A55B-A372-4F4E-8855-8BC73910F9E3}"/>
    <cellStyle name="Total 2 3 25 2 4" xfId="42574" xr:uid="{2A9EDD55-6773-4BDA-A81D-41A72368FDB9}"/>
    <cellStyle name="Total 2 3 25 2 5" xfId="42575" xr:uid="{B9171F6C-5DAC-4D24-B09B-6C9739F89EB9}"/>
    <cellStyle name="Total 2 3 25 2 6" xfId="42576" xr:uid="{7E3C4076-EBD3-4766-A604-BF44521D049B}"/>
    <cellStyle name="Total 2 3 25 3" xfId="42577" xr:uid="{64C31F2B-4EAF-4392-B6AA-8234BFA2AFFD}"/>
    <cellStyle name="Total 2 3 25 4" xfId="42578" xr:uid="{676F5B61-79DB-48DC-9250-86084AC189BA}"/>
    <cellStyle name="Total 2 3 25 5" xfId="42579" xr:uid="{1DB391AF-8FD6-46B6-B3BA-228B0324A9CA}"/>
    <cellStyle name="Total 2 3 25 6" xfId="42580" xr:uid="{67C47E03-5857-40FA-8082-72B35F01FDA8}"/>
    <cellStyle name="Total 2 3 25 7" xfId="42581" xr:uid="{4A4BB23B-082B-4CD9-A5B5-6508420D2DFF}"/>
    <cellStyle name="Total 2 3 26" xfId="3157" xr:uid="{FB1B6363-55BB-43D2-BAFF-4D91845CFC75}"/>
    <cellStyle name="Total 2 3 26 2" xfId="12122" xr:uid="{6048F1CF-42C2-4908-8503-515F655D0575}"/>
    <cellStyle name="Total 2 3 26 2 2" xfId="42582" xr:uid="{DD4A051C-BFC5-4EC1-BA5A-B2D6F3FE75BC}"/>
    <cellStyle name="Total 2 3 26 2 3" xfId="42583" xr:uid="{4FC8EEEE-B15E-4B30-943D-BB5C78BC6B2B}"/>
    <cellStyle name="Total 2 3 26 2 4" xfId="42584" xr:uid="{7F022168-FB93-4929-9F04-7E5B17EB449B}"/>
    <cellStyle name="Total 2 3 26 2 5" xfId="42585" xr:uid="{86BE95B8-73ED-4565-8193-39A312E6CEE9}"/>
    <cellStyle name="Total 2 3 26 2 6" xfId="42586" xr:uid="{C12C49A1-07EA-4424-AD07-ADE4BEDB7F1B}"/>
    <cellStyle name="Total 2 3 26 3" xfId="42587" xr:uid="{D2A37BD8-04E9-4C61-A41E-58F385990190}"/>
    <cellStyle name="Total 2 3 26 4" xfId="42588" xr:uid="{325EFB92-5640-42B9-976F-0753C0DFAE51}"/>
    <cellStyle name="Total 2 3 26 5" xfId="42589" xr:uid="{8E7FF3A4-2E71-4122-84E9-F6B3E6AFAEC2}"/>
    <cellStyle name="Total 2 3 26 6" xfId="42590" xr:uid="{94F9368E-60CA-4639-98D8-036BF70828DB}"/>
    <cellStyle name="Total 2 3 26 7" xfId="42591" xr:uid="{011D5A4E-58FC-42A3-AED3-7BF1655F64ED}"/>
    <cellStyle name="Total 2 3 27" xfId="3158" xr:uid="{3CD799D6-56EB-477A-AC27-C1E0F43AC1E1}"/>
    <cellStyle name="Total 2 3 27 2" xfId="12204" xr:uid="{6B3A91F3-04C1-48D9-9973-F63461E8BD67}"/>
    <cellStyle name="Total 2 3 27 2 2" xfId="42592" xr:uid="{47E436B0-1594-49BD-9D15-E624421DD28E}"/>
    <cellStyle name="Total 2 3 27 2 3" xfId="42593" xr:uid="{A2C0E099-4086-40A3-A190-37B6392E2A35}"/>
    <cellStyle name="Total 2 3 27 2 4" xfId="42594" xr:uid="{21493D93-4CE8-46B6-AFAE-AFBC0F2DF84C}"/>
    <cellStyle name="Total 2 3 27 2 5" xfId="42595" xr:uid="{D0E30140-75AF-42EC-926E-3ABBF4198852}"/>
    <cellStyle name="Total 2 3 27 2 6" xfId="42596" xr:uid="{B3744D75-7F4E-4F66-BEE8-83448A909EB4}"/>
    <cellStyle name="Total 2 3 27 3" xfId="42597" xr:uid="{5AB62569-8E32-4040-9905-1F4D429A4C48}"/>
    <cellStyle name="Total 2 3 27 4" xfId="42598" xr:uid="{F43E99D0-1B7A-4A86-B1FA-13AF7C18EC25}"/>
    <cellStyle name="Total 2 3 27 5" xfId="42599" xr:uid="{8795D75F-9EFE-4952-AF1C-F91EE6086B38}"/>
    <cellStyle name="Total 2 3 27 6" xfId="42600" xr:uid="{71A1647B-0C0B-4780-9529-2C60995CFF03}"/>
    <cellStyle name="Total 2 3 27 7" xfId="42601" xr:uid="{69931FDE-03EA-4ABB-A9E2-AD18A53AF0F0}"/>
    <cellStyle name="Total 2 3 28" xfId="3159" xr:uid="{33A89766-45E6-4C1B-A9FB-2A247DEFEEB5}"/>
    <cellStyle name="Total 2 3 28 2" xfId="12284" xr:uid="{F8C786D6-4D3E-4EA2-9155-CD2F4BB625F9}"/>
    <cellStyle name="Total 2 3 28 2 2" xfId="42602" xr:uid="{76697DD7-5A78-403E-8685-19571C37CC88}"/>
    <cellStyle name="Total 2 3 28 2 3" xfId="42603" xr:uid="{DFA3D4CE-15AE-4A64-BD3A-F23B7CC9EA69}"/>
    <cellStyle name="Total 2 3 28 2 4" xfId="42604" xr:uid="{CF265A67-9410-4DE9-8B9C-BA73FF08D0D7}"/>
    <cellStyle name="Total 2 3 28 2 5" xfId="42605" xr:uid="{01331CF3-12EA-45D2-8B07-AE65F270F4A9}"/>
    <cellStyle name="Total 2 3 28 2 6" xfId="42606" xr:uid="{84E40163-3CDA-41E1-817F-26E5C6BDB18F}"/>
    <cellStyle name="Total 2 3 28 3" xfId="42607" xr:uid="{3CD9BAE6-C203-49C0-BBBA-70AF025B9029}"/>
    <cellStyle name="Total 2 3 28 4" xfId="42608" xr:uid="{10E0E44E-2AA5-46F9-9B64-BBA9E4EC590C}"/>
    <cellStyle name="Total 2 3 28 5" xfId="42609" xr:uid="{572D9F4C-6960-456A-ACA3-CF2E26145E12}"/>
    <cellStyle name="Total 2 3 28 6" xfId="42610" xr:uid="{B239354C-76DE-444C-92A5-CF4204D68DEE}"/>
    <cellStyle name="Total 2 3 28 7" xfId="42611" xr:uid="{AE33F2F5-53BB-44A1-B8A2-79E12E2DC9D0}"/>
    <cellStyle name="Total 2 3 29" xfId="3160" xr:uid="{0C0586E8-0026-41BF-8741-0A2F613AF2AB}"/>
    <cellStyle name="Total 2 3 29 2" xfId="12362" xr:uid="{1918A944-54B1-4879-988F-4B59C493B409}"/>
    <cellStyle name="Total 2 3 29 2 2" xfId="42612" xr:uid="{0800F53C-9E07-4EF2-8764-DC754398416D}"/>
    <cellStyle name="Total 2 3 29 2 3" xfId="42613" xr:uid="{BD033D50-53B5-4E46-A283-4C1B27162261}"/>
    <cellStyle name="Total 2 3 29 2 4" xfId="42614" xr:uid="{6A237E95-FDCF-48FC-BB13-83B62D9D8883}"/>
    <cellStyle name="Total 2 3 29 2 5" xfId="42615" xr:uid="{19DC521A-73A3-489E-ABAA-A940085EEE56}"/>
    <cellStyle name="Total 2 3 29 2 6" xfId="42616" xr:uid="{99297A7D-8937-4D14-B8AC-E3033E91ED84}"/>
    <cellStyle name="Total 2 3 29 3" xfId="42617" xr:uid="{ECA867DE-3A84-49F5-A858-DC3B65D0E081}"/>
    <cellStyle name="Total 2 3 29 4" xfId="42618" xr:uid="{BD9745CF-D6B0-42AD-B4E4-507A3633E68D}"/>
    <cellStyle name="Total 2 3 29 5" xfId="42619" xr:uid="{AB477FD3-C0C8-47A3-846D-BAADBE28E1C5}"/>
    <cellStyle name="Total 2 3 29 6" xfId="42620" xr:uid="{4E0C8172-B6AA-4F4F-BDC3-8AE40FEA4349}"/>
    <cellStyle name="Total 2 3 29 7" xfId="42621" xr:uid="{24DA31F2-33D2-4AB8-B38A-4F6CAD935161}"/>
    <cellStyle name="Total 2 3 3" xfId="3161" xr:uid="{38C604DE-F227-4954-BDAD-81CCC8E10B5A}"/>
    <cellStyle name="Total 2 3 3 2" xfId="10132" xr:uid="{4569DB8E-014C-4C30-B17C-47FA1EF7DB25}"/>
    <cellStyle name="Total 2 3 3 2 2" xfId="42622" xr:uid="{AE08FFEA-C565-4427-8950-C42B5AE0EE9F}"/>
    <cellStyle name="Total 2 3 3 2 3" xfId="42623" xr:uid="{9D1E49B3-4A80-4F84-8E3F-1AF88A9984DD}"/>
    <cellStyle name="Total 2 3 3 2 4" xfId="42624" xr:uid="{05A09F1E-C6C9-4D2E-BCA0-1E24E742B8A0}"/>
    <cellStyle name="Total 2 3 3 2 5" xfId="42625" xr:uid="{D317C205-49D0-41F5-B91B-7C58CDBA9F6B}"/>
    <cellStyle name="Total 2 3 3 2 6" xfId="42626" xr:uid="{354528EF-4D6F-47E4-97DD-894ADBCE1E3E}"/>
    <cellStyle name="Total 2 3 3 3" xfId="42627" xr:uid="{1CABEE5E-4C3F-45AD-9784-F8D2827EA6D3}"/>
    <cellStyle name="Total 2 3 3 4" xfId="42628" xr:uid="{D207361F-F5C0-4F4E-8718-399C9BB74823}"/>
    <cellStyle name="Total 2 3 3 5" xfId="42629" xr:uid="{2AC8634D-F05A-40CD-982D-368457EEFA1E}"/>
    <cellStyle name="Total 2 3 3 6" xfId="42630" xr:uid="{C3AC5450-6250-49A4-B69A-40FA5C4D99C9}"/>
    <cellStyle name="Total 2 3 3 7" xfId="42631" xr:uid="{290A4EE9-F41D-4518-8D46-0E46A63E7CE5}"/>
    <cellStyle name="Total 2 3 30" xfId="3162" xr:uid="{E0C2AD22-8237-4AD5-9DB4-FD3C5C3FCFB5}"/>
    <cellStyle name="Total 2 3 30 2" xfId="12441" xr:uid="{7A138763-B763-4CB0-A325-77FE6C7E0906}"/>
    <cellStyle name="Total 2 3 30 2 2" xfId="42632" xr:uid="{561C3FDA-2753-4FE3-9BC5-1C206F071BC7}"/>
    <cellStyle name="Total 2 3 30 2 3" xfId="42633" xr:uid="{38B87A6E-6C9F-4E1C-B08C-3E90F27A8295}"/>
    <cellStyle name="Total 2 3 30 2 4" xfId="42634" xr:uid="{ED1D98C7-E73A-48D6-AECA-07DB9F42888E}"/>
    <cellStyle name="Total 2 3 30 2 5" xfId="42635" xr:uid="{91132E30-FF1B-4265-840A-3A62D2D0B77E}"/>
    <cellStyle name="Total 2 3 30 2 6" xfId="42636" xr:uid="{34DF34DE-F269-4B6D-9916-0A69906B483C}"/>
    <cellStyle name="Total 2 3 30 3" xfId="42637" xr:uid="{0FA003C9-3346-4FEC-B350-E3D74E26BAEF}"/>
    <cellStyle name="Total 2 3 30 4" xfId="42638" xr:uid="{4C8742B7-B9F2-4785-8AFC-5381D114FDE4}"/>
    <cellStyle name="Total 2 3 30 5" xfId="42639" xr:uid="{C3137A71-12D8-44D3-AD04-EFCBCBE5B059}"/>
    <cellStyle name="Total 2 3 30 6" xfId="42640" xr:uid="{984AD273-E668-4AA7-8479-79861B95FFC2}"/>
    <cellStyle name="Total 2 3 30 7" xfId="42641" xr:uid="{07AB7B4B-B02F-43FD-8D17-8E9D8812052C}"/>
    <cellStyle name="Total 2 3 31" xfId="3163" xr:uid="{1820A26C-DE63-4D6F-8A01-DED83B3E5989}"/>
    <cellStyle name="Total 2 3 31 2" xfId="12520" xr:uid="{949D362A-F47D-4752-BB4E-E4BDD664AC16}"/>
    <cellStyle name="Total 2 3 31 2 2" xfId="42642" xr:uid="{73FCB29C-1696-4CAE-9D0A-15A561A46988}"/>
    <cellStyle name="Total 2 3 31 2 3" xfId="42643" xr:uid="{020B949D-73D2-4B83-B921-2436F1B82FEE}"/>
    <cellStyle name="Total 2 3 31 2 4" xfId="42644" xr:uid="{4E7B328A-5B4A-4BCD-8D5A-D639823723BC}"/>
    <cellStyle name="Total 2 3 31 2 5" xfId="42645" xr:uid="{56A09558-2772-488E-BCE0-C57CF95BD106}"/>
    <cellStyle name="Total 2 3 31 2 6" xfId="42646" xr:uid="{0629BA80-03F8-4312-9606-CFEBA485C487}"/>
    <cellStyle name="Total 2 3 31 3" xfId="42647" xr:uid="{2CCF8914-D4F8-47DE-BD63-72E868A29602}"/>
    <cellStyle name="Total 2 3 31 4" xfId="42648" xr:uid="{A13F8582-A1BD-42FA-9597-CDD4A46BAC04}"/>
    <cellStyle name="Total 2 3 31 5" xfId="42649" xr:uid="{4C5C772E-AF7E-47B3-9942-56E65A3DD5B0}"/>
    <cellStyle name="Total 2 3 31 6" xfId="42650" xr:uid="{94F2A871-1EC3-4770-B9D4-E978CEF0AA03}"/>
    <cellStyle name="Total 2 3 31 7" xfId="42651" xr:uid="{A8470B96-99FB-4BC9-83D8-C38283851083}"/>
    <cellStyle name="Total 2 3 32" xfId="3164" xr:uid="{4D4D2EA9-FD0A-4965-B2FC-72BBD3840382}"/>
    <cellStyle name="Total 2 3 32 2" xfId="12599" xr:uid="{B6A5779E-314F-48B9-8F22-10BAAFA75611}"/>
    <cellStyle name="Total 2 3 32 2 2" xfId="42652" xr:uid="{5B5810C0-FE7B-4BA9-A7AE-C1EFA015F5C0}"/>
    <cellStyle name="Total 2 3 32 2 3" xfId="42653" xr:uid="{9390F553-30B0-43F9-89F0-8C18DE69EF92}"/>
    <cellStyle name="Total 2 3 32 2 4" xfId="42654" xr:uid="{97FF60B8-7BFA-423D-B35F-EDCE05A8AF92}"/>
    <cellStyle name="Total 2 3 32 2 5" xfId="42655" xr:uid="{596A4873-90C5-46A8-99DD-B12E5C2DBABF}"/>
    <cellStyle name="Total 2 3 32 2 6" xfId="42656" xr:uid="{62D6EEA8-DCCF-45B5-8796-0BCED06EA406}"/>
    <cellStyle name="Total 2 3 32 3" xfId="42657" xr:uid="{D64DCF13-2A6C-44BB-B55F-87153B3D4587}"/>
    <cellStyle name="Total 2 3 32 4" xfId="42658" xr:uid="{F62AA71E-AD1A-42E2-BC67-329D1B23639F}"/>
    <cellStyle name="Total 2 3 32 5" xfId="42659" xr:uid="{BFF41169-DD5F-4DDD-BA56-F2F2857174C6}"/>
    <cellStyle name="Total 2 3 32 6" xfId="42660" xr:uid="{913DA934-5A81-4888-A442-151763061C49}"/>
    <cellStyle name="Total 2 3 32 7" xfId="42661" xr:uid="{155CD87F-A027-4781-9772-3CCEB3DD99E5}"/>
    <cellStyle name="Total 2 3 33" xfId="3165" xr:uid="{F6CF2F2A-BFF5-493E-B5A4-2A3A139D50D8}"/>
    <cellStyle name="Total 2 3 33 2" xfId="12678" xr:uid="{A520F857-F775-46C6-883F-42A63CCA9CBF}"/>
    <cellStyle name="Total 2 3 33 2 2" xfId="42662" xr:uid="{887F43F4-D5FF-4BD7-ABF4-98F66CC271CE}"/>
    <cellStyle name="Total 2 3 33 2 3" xfId="42663" xr:uid="{B69B3D85-0BC3-4325-AD5D-89973361E303}"/>
    <cellStyle name="Total 2 3 33 2 4" xfId="42664" xr:uid="{F73D6264-6A72-4AC4-9994-6A3D15BA625E}"/>
    <cellStyle name="Total 2 3 33 2 5" xfId="42665" xr:uid="{3E03BF8B-7031-4C9A-8B4B-79CA95BA584E}"/>
    <cellStyle name="Total 2 3 33 2 6" xfId="42666" xr:uid="{B7D29849-C954-4274-AD77-5285498F1D22}"/>
    <cellStyle name="Total 2 3 33 3" xfId="42667" xr:uid="{EB0EECF1-0C1F-4CB3-9BB4-52266127BBB2}"/>
    <cellStyle name="Total 2 3 33 4" xfId="42668" xr:uid="{8138F792-B014-4A22-B6BF-ABC64AC82109}"/>
    <cellStyle name="Total 2 3 33 5" xfId="42669" xr:uid="{AF1610D0-85D1-4A2B-858D-9ADBCFC9CE59}"/>
    <cellStyle name="Total 2 3 33 6" xfId="42670" xr:uid="{65FEC780-F7B5-42C5-9FE1-0B683B98050C}"/>
    <cellStyle name="Total 2 3 33 7" xfId="42671" xr:uid="{77D19B22-58E3-41D4-AD3B-8AFF63AABCDA}"/>
    <cellStyle name="Total 2 3 34" xfId="3166" xr:uid="{D8B280FA-4EDE-49E3-813B-3DE2FA11D26D}"/>
    <cellStyle name="Total 2 3 34 2" xfId="12762" xr:uid="{A47DCC99-7463-4E49-8A61-09928F7FEB64}"/>
    <cellStyle name="Total 2 3 34 2 2" xfId="42672" xr:uid="{6FB55828-9E45-4E80-8960-5AEFF618691A}"/>
    <cellStyle name="Total 2 3 34 2 3" xfId="42673" xr:uid="{BA5971DC-AAF4-498D-86B7-A9393D284DA4}"/>
    <cellStyle name="Total 2 3 34 2 4" xfId="42674" xr:uid="{BCA607F9-F3C2-4009-A128-652C13D55ED5}"/>
    <cellStyle name="Total 2 3 34 2 5" xfId="42675" xr:uid="{2DCC94FB-4DD9-474A-9B3C-2AB70FFF5ADD}"/>
    <cellStyle name="Total 2 3 34 2 6" xfId="42676" xr:uid="{48DBE55D-2B62-4BB5-B8C7-859DBE73093F}"/>
    <cellStyle name="Total 2 3 34 3" xfId="42677" xr:uid="{5F083BF9-3942-4E59-8FE7-F56A54A1225E}"/>
    <cellStyle name="Total 2 3 34 4" xfId="42678" xr:uid="{411B644C-F086-43C8-8841-A8276E162D74}"/>
    <cellStyle name="Total 2 3 34 5" xfId="42679" xr:uid="{4F8A3479-89C2-446A-855E-DC3F36BE01D0}"/>
    <cellStyle name="Total 2 3 34 6" xfId="42680" xr:uid="{EC65209D-99D7-4781-9602-08B72ADA3F5F}"/>
    <cellStyle name="Total 2 3 35" xfId="9686" xr:uid="{43CD85AB-0BC8-4DD2-BCF8-CBC8A8E80BBD}"/>
    <cellStyle name="Total 2 3 36" xfId="9828" xr:uid="{DB030B66-065E-40E9-9B28-1B8A143E9DB3}"/>
    <cellStyle name="Total 2 3 36 2" xfId="42681" xr:uid="{CF45E8EA-DBC5-432D-B569-6A46C195B148}"/>
    <cellStyle name="Total 2 3 36 3" xfId="42682" xr:uid="{9DAFD3B1-A1BA-4FD9-AD31-662D053D6676}"/>
    <cellStyle name="Total 2 3 36 4" xfId="42683" xr:uid="{141EA3F5-AFEE-41F4-97BA-292B3C018931}"/>
    <cellStyle name="Total 2 3 36 5" xfId="42684" xr:uid="{37DBA10A-77AB-45A9-90B2-2CD7CFD7DCFD}"/>
    <cellStyle name="Total 2 3 36 6" xfId="42685" xr:uid="{41199395-73E3-47D7-AEF0-E77BF6FC36FD}"/>
    <cellStyle name="Total 2 3 37" xfId="42686" xr:uid="{C5AD8D3A-931B-4EFE-B7C3-3780D5B7565B}"/>
    <cellStyle name="Total 2 3 38" xfId="42687" xr:uid="{70537753-94A1-4C02-9121-6019BFA8137E}"/>
    <cellStyle name="Total 2 3 39" xfId="42688" xr:uid="{448B5ABD-2C11-4CA4-89C7-88D3FF26A10E}"/>
    <cellStyle name="Total 2 3 4" xfId="3167" xr:uid="{D58FC594-4A90-4314-B9CB-6A2E9BBB57A7}"/>
    <cellStyle name="Total 2 3 4 2" xfId="10222" xr:uid="{B066000F-3697-452B-B85E-D2D828DE9EDA}"/>
    <cellStyle name="Total 2 3 4 2 2" xfId="42689" xr:uid="{DFB269A0-4271-46B2-AB70-DA04316CCA36}"/>
    <cellStyle name="Total 2 3 4 2 3" xfId="42690" xr:uid="{2C8E747F-1013-43FB-99F9-6EE7EED0E1B4}"/>
    <cellStyle name="Total 2 3 4 2 4" xfId="42691" xr:uid="{9EDA1482-C13E-4397-8771-D1CC37E7E0AD}"/>
    <cellStyle name="Total 2 3 4 2 5" xfId="42692" xr:uid="{545F58FB-8AFD-4885-B4B7-362B621C00C9}"/>
    <cellStyle name="Total 2 3 4 2 6" xfId="42693" xr:uid="{96D62D78-78E2-42AB-BD97-34C9BBF3EF34}"/>
    <cellStyle name="Total 2 3 4 3" xfId="42694" xr:uid="{F0622BBE-5456-45EB-9628-D60540A97FFC}"/>
    <cellStyle name="Total 2 3 4 4" xfId="42695" xr:uid="{316D9B84-9E6E-4840-8C3C-D116F5C34675}"/>
    <cellStyle name="Total 2 3 4 5" xfId="42696" xr:uid="{E87E8033-7016-450E-A5B8-25BAF6EB085A}"/>
    <cellStyle name="Total 2 3 4 6" xfId="42697" xr:uid="{36781119-BD24-4534-8B8A-384144C816CF}"/>
    <cellStyle name="Total 2 3 4 7" xfId="42698" xr:uid="{94FE0BC9-108C-45A4-BAD2-EC7119FAD502}"/>
    <cellStyle name="Total 2 3 40" xfId="42699" xr:uid="{A52392D4-3DBD-4B54-A678-72DBA91C769D}"/>
    <cellStyle name="Total 2 3 5" xfId="3168" xr:uid="{492D3A00-C3A9-4315-8626-38A6D2C0FF41}"/>
    <cellStyle name="Total 2 3 5 2" xfId="10308" xr:uid="{429782BA-A1B1-451E-AF04-B1B987FA6AE4}"/>
    <cellStyle name="Total 2 3 5 2 2" xfId="42700" xr:uid="{7987C438-8A73-4F15-8EFC-0F391D8F5293}"/>
    <cellStyle name="Total 2 3 5 2 3" xfId="42701" xr:uid="{112E2D81-588D-45F6-B4EB-B48167F199D3}"/>
    <cellStyle name="Total 2 3 5 2 4" xfId="42702" xr:uid="{AE20FC8B-C0D6-457A-9127-4E6689A5FAB0}"/>
    <cellStyle name="Total 2 3 5 2 5" xfId="42703" xr:uid="{01398A97-DDB0-41E2-BA1C-AB03846044B0}"/>
    <cellStyle name="Total 2 3 5 2 6" xfId="42704" xr:uid="{B1E4677F-583F-465D-8654-76F8F28FB030}"/>
    <cellStyle name="Total 2 3 5 3" xfId="42705" xr:uid="{8B54F6D7-8347-40FB-B229-3852BF7DC547}"/>
    <cellStyle name="Total 2 3 5 4" xfId="42706" xr:uid="{6ED3E3F5-7FC1-4913-8C5C-6AF7178BCCB2}"/>
    <cellStyle name="Total 2 3 5 5" xfId="42707" xr:uid="{61D51FDD-A923-4F9A-8129-211D5AD6BFCA}"/>
    <cellStyle name="Total 2 3 5 6" xfId="42708" xr:uid="{8B887B2E-985E-40D0-AC7F-14670F459ED9}"/>
    <cellStyle name="Total 2 3 5 7" xfId="42709" xr:uid="{C4854844-1883-4F12-AC25-3BF16CFBE48B}"/>
    <cellStyle name="Total 2 3 6" xfId="3169" xr:uid="{A6C6510C-BA17-461F-82C8-61121A3EF260}"/>
    <cellStyle name="Total 2 3 6 2" xfId="10396" xr:uid="{3A52EC6C-03DA-49E3-9D6E-A8C09FF275EB}"/>
    <cellStyle name="Total 2 3 6 2 2" xfId="42710" xr:uid="{B0DFB15F-F5FD-4089-BFED-72EF85C55103}"/>
    <cellStyle name="Total 2 3 6 2 3" xfId="42711" xr:uid="{048D9A56-8E82-41B3-99FE-4DA233CBCA24}"/>
    <cellStyle name="Total 2 3 6 2 4" xfId="42712" xr:uid="{05DBB90F-6299-40BF-8670-CD952206C47B}"/>
    <cellStyle name="Total 2 3 6 2 5" xfId="42713" xr:uid="{0BBFEE62-8926-4BD7-B15A-8862005D2296}"/>
    <cellStyle name="Total 2 3 6 2 6" xfId="42714" xr:uid="{D317D136-C8B2-428F-B585-75AD435AA85A}"/>
    <cellStyle name="Total 2 3 6 3" xfId="42715" xr:uid="{75A5F7DC-9CD9-455F-8025-22117FEC9881}"/>
    <cellStyle name="Total 2 3 6 4" xfId="42716" xr:uid="{70A2BC15-C86E-4413-A4C0-81019435338B}"/>
    <cellStyle name="Total 2 3 6 5" xfId="42717" xr:uid="{E68FC462-B960-4F0A-8198-984929E1D6AD}"/>
    <cellStyle name="Total 2 3 6 6" xfId="42718" xr:uid="{BD434DD7-1643-40C1-8262-056E3BD78E9A}"/>
    <cellStyle name="Total 2 3 6 7" xfId="42719" xr:uid="{5859A15E-59EA-4657-99F0-A7ECE5FDDA17}"/>
    <cellStyle name="Total 2 3 7" xfId="3170" xr:uid="{B242BFA4-5248-479A-B2FB-26EFD8C2D82D}"/>
    <cellStyle name="Total 2 3 7 2" xfId="10483" xr:uid="{B09FDCC5-B384-47E6-81B1-FBD6D3EC7D73}"/>
    <cellStyle name="Total 2 3 7 2 2" xfId="42720" xr:uid="{9FAC51B9-9900-4798-A887-C53260603CBC}"/>
    <cellStyle name="Total 2 3 7 2 3" xfId="42721" xr:uid="{E968EF8D-958F-4D38-9CAC-CF866F535AFA}"/>
    <cellStyle name="Total 2 3 7 2 4" xfId="42722" xr:uid="{B2DBF388-2031-49E5-B935-C1B431B92EBB}"/>
    <cellStyle name="Total 2 3 7 2 5" xfId="42723" xr:uid="{54839D07-D776-4C1E-BB59-44610EBA8013}"/>
    <cellStyle name="Total 2 3 7 2 6" xfId="42724" xr:uid="{CB99FB6E-700A-4EBD-95B8-AD0D50EEBCE1}"/>
    <cellStyle name="Total 2 3 7 3" xfId="42725" xr:uid="{420DA638-4D28-4DDE-B5C1-31485E1469A3}"/>
    <cellStyle name="Total 2 3 7 4" xfId="42726" xr:uid="{6995A234-CDC5-4317-8071-555B900DD106}"/>
    <cellStyle name="Total 2 3 7 5" xfId="42727" xr:uid="{4C6176CE-DB9F-4762-8DCE-8B57A0CF1C69}"/>
    <cellStyle name="Total 2 3 7 6" xfId="42728" xr:uid="{36969541-D100-4F16-8E32-C1B973A962E9}"/>
    <cellStyle name="Total 2 3 7 7" xfId="42729" xr:uid="{FE11AC22-B31F-4535-BCEB-C4B43BD505C0}"/>
    <cellStyle name="Total 2 3 8" xfId="3171" xr:uid="{8325DDB5-ED15-40F5-B238-99C2255189BD}"/>
    <cellStyle name="Total 2 3 8 2" xfId="10571" xr:uid="{376724CB-A4D4-4B8E-8A35-02E18B452681}"/>
    <cellStyle name="Total 2 3 8 2 2" xfId="42730" xr:uid="{631311FB-2245-4B2A-B82A-E7E3A1631B75}"/>
    <cellStyle name="Total 2 3 8 2 3" xfId="42731" xr:uid="{F2B40CFF-E374-4261-8C3E-7A9DA3BC67E9}"/>
    <cellStyle name="Total 2 3 8 2 4" xfId="42732" xr:uid="{430ACE6E-CAE5-4696-BA9C-B91339719F7E}"/>
    <cellStyle name="Total 2 3 8 2 5" xfId="42733" xr:uid="{C1C5240C-4483-422A-A212-8C789E2CBBA2}"/>
    <cellStyle name="Total 2 3 8 2 6" xfId="42734" xr:uid="{187D56F6-7B8E-4E2A-91FB-3FE654A9EF11}"/>
    <cellStyle name="Total 2 3 8 3" xfId="42735" xr:uid="{DC9201E0-4ECA-4153-8D95-882AEB0CAB82}"/>
    <cellStyle name="Total 2 3 8 4" xfId="42736" xr:uid="{206FC259-51A7-43BD-A790-04140F85BF6A}"/>
    <cellStyle name="Total 2 3 8 5" xfId="42737" xr:uid="{9977B490-FFEA-4EA0-8C7B-5C26BEF4D043}"/>
    <cellStyle name="Total 2 3 8 6" xfId="42738" xr:uid="{2232E87E-C361-4A4B-A096-F3F5272C1F50}"/>
    <cellStyle name="Total 2 3 8 7" xfId="42739" xr:uid="{7AF38614-0E86-422A-A5C0-717A4C160E85}"/>
    <cellStyle name="Total 2 3 9" xfId="3172" xr:uid="{51353733-D91B-4BB1-8942-3774BA5EB0DB}"/>
    <cellStyle name="Total 2 3 9 2" xfId="10653" xr:uid="{80CF4151-F929-4E20-92F0-E72C155770F1}"/>
    <cellStyle name="Total 2 3 9 2 2" xfId="42740" xr:uid="{7D71AE54-AEFD-44D5-BC16-3004568590A6}"/>
    <cellStyle name="Total 2 3 9 2 3" xfId="42741" xr:uid="{4ADA1D56-C4B5-4D2D-A9BC-99ED053E73A6}"/>
    <cellStyle name="Total 2 3 9 2 4" xfId="42742" xr:uid="{3EAD2034-BAFA-4A6E-8B37-57868CE97739}"/>
    <cellStyle name="Total 2 3 9 2 5" xfId="42743" xr:uid="{41109D48-85B3-4415-B2BB-E00FEC1819C5}"/>
    <cellStyle name="Total 2 3 9 2 6" xfId="42744" xr:uid="{A38D7453-5949-4465-83AA-EAC8411082F3}"/>
    <cellStyle name="Total 2 3 9 3" xfId="42745" xr:uid="{2DEAA6F1-14A0-46D2-985A-F2C1FA1A6866}"/>
    <cellStyle name="Total 2 3 9 4" xfId="42746" xr:uid="{21DE621C-FBFC-4A2A-93AE-A10B53E0B23D}"/>
    <cellStyle name="Total 2 3 9 5" xfId="42747" xr:uid="{121B5708-9650-4C30-8C48-F1BE63488AB6}"/>
    <cellStyle name="Total 2 3 9 6" xfId="42748" xr:uid="{502A5667-9B19-4E7C-8942-1F1AE6B63896}"/>
    <cellStyle name="Total 2 3 9 7" xfId="42749" xr:uid="{AD2CFE82-1910-45AB-AF58-A0C55E052181}"/>
    <cellStyle name="Total 2 30" xfId="3173" xr:uid="{4F12828E-82FE-4C13-B4E4-23042314E86E}"/>
    <cellStyle name="Total 2 30 2" xfId="12548" xr:uid="{B6C0C5EF-0F3B-4EA3-BE19-39F92A92D65E}"/>
    <cellStyle name="Total 2 30 2 2" xfId="42750" xr:uid="{DD508F71-D4EE-4F2D-B320-DED33AE9E0DF}"/>
    <cellStyle name="Total 2 30 2 3" xfId="42751" xr:uid="{824859DA-27E9-4BD9-B383-2818F9D63F55}"/>
    <cellStyle name="Total 2 30 2 4" xfId="42752" xr:uid="{624A2D1E-8FA5-4B50-8A0B-3D96274DBEE2}"/>
    <cellStyle name="Total 2 30 2 5" xfId="42753" xr:uid="{20BE1ABF-6610-474F-9B6C-51F346396722}"/>
    <cellStyle name="Total 2 30 2 6" xfId="42754" xr:uid="{69258A1F-9F2D-4F03-81ED-87E8D6CBB4EE}"/>
    <cellStyle name="Total 2 30 3" xfId="42755" xr:uid="{2277113D-76DB-47BA-9EFB-D73035CB5E3C}"/>
    <cellStyle name="Total 2 30 4" xfId="42756" xr:uid="{3BB94D4B-EB67-4739-AEBE-F35DC9234D8A}"/>
    <cellStyle name="Total 2 30 5" xfId="42757" xr:uid="{B52681E6-8BDB-4D61-86EC-79FDB37A5596}"/>
    <cellStyle name="Total 2 30 6" xfId="42758" xr:uid="{A1C57EC6-CE5B-4EE4-8301-0E1AC605FA03}"/>
    <cellStyle name="Total 2 30 7" xfId="42759" xr:uid="{C7180CAD-BF84-436E-9E80-517918E6066D}"/>
    <cellStyle name="Total 2 31" xfId="3174" xr:uid="{243614E1-8633-47EC-83A3-79F4F5D63775}"/>
    <cellStyle name="Total 2 31 2" xfId="12627" xr:uid="{3EAD8EC5-FD3E-4131-B36A-5299DF0B4212}"/>
    <cellStyle name="Total 2 31 2 2" xfId="42760" xr:uid="{9CEBD9BA-2AD5-4B81-92AE-10C7AE3DBFE7}"/>
    <cellStyle name="Total 2 31 2 3" xfId="42761" xr:uid="{91ECDCF8-982E-4A58-BB07-25423C7FDAF2}"/>
    <cellStyle name="Total 2 31 2 4" xfId="42762" xr:uid="{1FF2B837-9484-4193-B5B3-E4E3D6F60B03}"/>
    <cellStyle name="Total 2 31 2 5" xfId="42763" xr:uid="{015A6833-76CC-4D13-ACD8-09531E115BA0}"/>
    <cellStyle name="Total 2 31 2 6" xfId="42764" xr:uid="{491D7628-EFD3-4144-98FF-EC15E816DB7E}"/>
    <cellStyle name="Total 2 31 3" xfId="42765" xr:uid="{BB8BC73D-2C40-478F-8237-8BE2EB98DC2D}"/>
    <cellStyle name="Total 2 31 4" xfId="42766" xr:uid="{57426256-5324-4D63-8C30-0661CFBD42BA}"/>
    <cellStyle name="Total 2 31 5" xfId="42767" xr:uid="{859F30F6-1614-40B2-8109-5C33C7244E2D}"/>
    <cellStyle name="Total 2 31 6" xfId="42768" xr:uid="{C7EA7718-6C4A-43DB-829A-F989E489A022}"/>
    <cellStyle name="Total 2 31 7" xfId="42769" xr:uid="{28B23872-D85B-4D24-945A-64E79DA14136}"/>
    <cellStyle name="Total 2 32" xfId="3175" xr:uid="{9E709379-DA89-48C1-AD3E-BE7BE65B26F0}"/>
    <cellStyle name="Total 2 32 2" xfId="12711" xr:uid="{D9BC2A4A-4C95-4D8D-9D7F-5C0A2DDA71D9}"/>
    <cellStyle name="Total 2 32 2 2" xfId="42770" xr:uid="{82ECD313-3F28-474C-AD7C-5AA8B1567BC2}"/>
    <cellStyle name="Total 2 32 2 3" xfId="42771" xr:uid="{C8E99FAA-A4F6-4485-B844-87B98873FF4C}"/>
    <cellStyle name="Total 2 32 2 4" xfId="42772" xr:uid="{327B19DB-7ADB-4458-A3B8-35E93F490CB3}"/>
    <cellStyle name="Total 2 32 2 5" xfId="42773" xr:uid="{E20ABFE0-DA53-45BB-9408-17C64B86CDA4}"/>
    <cellStyle name="Total 2 32 2 6" xfId="42774" xr:uid="{1EC70C7C-A920-41D5-ACDA-B75C7376AB77}"/>
    <cellStyle name="Total 2 32 3" xfId="42775" xr:uid="{EE568408-F32D-4918-A4B3-C9DF662C3B49}"/>
    <cellStyle name="Total 2 32 4" xfId="42776" xr:uid="{04C1943B-8701-4736-BE72-DA4B3358083F}"/>
    <cellStyle name="Total 2 32 5" xfId="42777" xr:uid="{D812313B-B8C3-44F0-8905-E445ECEA2418}"/>
    <cellStyle name="Total 2 32 6" xfId="42778" xr:uid="{FB9C4805-DC73-42BE-8483-10835FD82229}"/>
    <cellStyle name="Total 2 33" xfId="3176" xr:uid="{0D81474F-7452-44B1-B6EA-6EDCF534C359}"/>
    <cellStyle name="Total 2 33 2" xfId="42779" xr:uid="{8235B7CC-73E8-41F6-8162-13FFB7725AA5}"/>
    <cellStyle name="Total 2 33 3" xfId="42780" xr:uid="{7F86F876-1843-4EB5-AE61-C24E1A0CBBF6}"/>
    <cellStyle name="Total 2 33 4" xfId="42781" xr:uid="{1C671EFF-2905-4723-9C13-478491CF5AD6}"/>
    <cellStyle name="Total 2 33 5" xfId="42782" xr:uid="{5A3A8CFC-0665-403B-BE74-6E776C02D84B}"/>
    <cellStyle name="Total 2 33 6" xfId="42783" xr:uid="{8608F956-971C-41ED-98FA-21E05DA9D023}"/>
    <cellStyle name="Total 2 34" xfId="9687" xr:uid="{4D94ADD9-4CBF-4D2F-BBD4-CF90D0FFBF77}"/>
    <cellStyle name="Total 2 34 2" xfId="42784" xr:uid="{82B751FB-B873-4548-866D-F1F180B18319}"/>
    <cellStyle name="Total 2 34 3" xfId="42785" xr:uid="{FEAD415B-19CC-4428-908E-274F3A5C64F3}"/>
    <cellStyle name="Total 2 34 4" xfId="42786" xr:uid="{3B0E3754-7E8E-43BE-B8A3-6F200B0FE6F2}"/>
    <cellStyle name="Total 2 34 5" xfId="42787" xr:uid="{8F69039B-CFEA-44A2-931A-791BE7360E31}"/>
    <cellStyle name="Total 2 34 6" xfId="42788" xr:uid="{A0AED334-DE0D-4BB7-9B7F-0AEBA5713909}"/>
    <cellStyle name="Total 2 35" xfId="9774" xr:uid="{1A9B26A4-4ABA-4D12-837B-3D208ADFF364}"/>
    <cellStyle name="Total 2 35 2" xfId="42789" xr:uid="{09206FA4-EBEB-43E4-94A5-42A95607DC77}"/>
    <cellStyle name="Total 2 35 3" xfId="42790" xr:uid="{5557BDF9-180B-44FE-AADB-2483F2706B25}"/>
    <cellStyle name="Total 2 35 4" xfId="42791" xr:uid="{4B8085A3-1ABC-4567-BB02-CA81C3FBB904}"/>
    <cellStyle name="Total 2 35 5" xfId="42792" xr:uid="{9EB786F9-3CBE-4BBD-921C-A59AA9A0EA45}"/>
    <cellStyle name="Total 2 35 6" xfId="42793" xr:uid="{66EF3C05-57F2-4FB8-A317-6FAE002F09E2}"/>
    <cellStyle name="Total 2 36" xfId="42794" xr:uid="{723E09BE-3E48-4992-BC41-E13D2A129716}"/>
    <cellStyle name="Total 2 4" xfId="3177" xr:uid="{2B226D44-C428-4A3A-ADB3-76FF2DC3D2D5}"/>
    <cellStyle name="Total 2 4 2" xfId="9688" xr:uid="{19074451-6082-41D2-93C6-D9CFE50A67DF}"/>
    <cellStyle name="Total 2 4 3" xfId="9981" xr:uid="{06C58641-6699-43E9-9120-1090FB16B36B}"/>
    <cellStyle name="Total 2 4 3 2" xfId="42795" xr:uid="{746E23C5-2E64-4F45-AAE5-A44C351ADA50}"/>
    <cellStyle name="Total 2 4 3 3" xfId="42796" xr:uid="{B668505F-619C-4686-8217-EBBDAF960DB7}"/>
    <cellStyle name="Total 2 4 3 4" xfId="42797" xr:uid="{4A83937D-630D-4474-8ACA-7495B531018A}"/>
    <cellStyle name="Total 2 4 3 5" xfId="42798" xr:uid="{657D0013-2236-426C-8064-B7A82D30D2A8}"/>
    <cellStyle name="Total 2 4 3 6" xfId="42799" xr:uid="{2A41D1FE-EB17-43B5-A6C5-83F83DFF3A15}"/>
    <cellStyle name="Total 2 4 4" xfId="42800" xr:uid="{338A6D0D-A75D-45F6-ADB8-61FE38A4B9B7}"/>
    <cellStyle name="Total 2 4 5" xfId="42801" xr:uid="{0FA62C85-C294-46AF-8E9A-549734339CB1}"/>
    <cellStyle name="Total 2 4 6" xfId="42802" xr:uid="{0C05C2CA-FC6F-4BB4-BA63-721F147CC686}"/>
    <cellStyle name="Total 2 4 7" xfId="42803" xr:uid="{733C99E1-4D10-4827-9DED-F1D4A5A503EC}"/>
    <cellStyle name="Total 2 4 8" xfId="42804" xr:uid="{C55A3642-A4C5-4834-91B4-2A4C2E4EB035}"/>
    <cellStyle name="Total 2 5" xfId="3178" xr:uid="{F8ABEBCD-7423-4580-8DAF-14C9BA5FEFEB}"/>
    <cellStyle name="Total 2 5 2" xfId="9689" xr:uid="{3CDF8DF2-1A24-481A-9C52-44438E5930A9}"/>
    <cellStyle name="Total 2 5 3" xfId="10071" xr:uid="{2BDF217F-F246-48D3-BC0C-BB41E7C6A5B5}"/>
    <cellStyle name="Total 2 5 3 2" xfId="42805" xr:uid="{5B124FC6-35EA-4512-9D91-84A6FE7F1702}"/>
    <cellStyle name="Total 2 5 3 3" xfId="42806" xr:uid="{F87B8A4F-9784-4209-8518-1408E1994B2C}"/>
    <cellStyle name="Total 2 5 3 4" xfId="42807" xr:uid="{DCC5E3CD-0F72-47F1-BA87-92A3F340C36D}"/>
    <cellStyle name="Total 2 5 3 5" xfId="42808" xr:uid="{2762D097-F4D7-4AEC-981A-21903B546ECA}"/>
    <cellStyle name="Total 2 5 3 6" xfId="42809" xr:uid="{11F216EB-5BEC-49B3-8BAA-EA5B98FD2752}"/>
    <cellStyle name="Total 2 5 4" xfId="42810" xr:uid="{3627BC70-2123-433C-AA69-D7B924C7B0C7}"/>
    <cellStyle name="Total 2 5 5" xfId="42811" xr:uid="{A48C7C59-5E0B-4364-851C-343098FEC136}"/>
    <cellStyle name="Total 2 5 6" xfId="42812" xr:uid="{4E495E72-FEC9-4E77-808A-AF2275085134}"/>
    <cellStyle name="Total 2 5 7" xfId="42813" xr:uid="{498EBEA1-2F87-4D9F-923A-1CBDADE2D77C}"/>
    <cellStyle name="Total 2 5 8" xfId="42814" xr:uid="{75D4AC86-567E-49BF-B84A-1613CD68429D}"/>
    <cellStyle name="Total 2 6" xfId="3179" xr:uid="{85731855-EB41-4207-ACF2-6BD98B9DE428}"/>
    <cellStyle name="Total 2 6 2" xfId="10162" xr:uid="{03087384-FED4-4A54-919F-190D2B81D4EA}"/>
    <cellStyle name="Total 2 6 2 2" xfId="42815" xr:uid="{DD999005-7974-4719-AFFC-7C909CD5473C}"/>
    <cellStyle name="Total 2 6 2 3" xfId="42816" xr:uid="{3D869A00-9BEB-475A-AAAE-9910E000CD31}"/>
    <cellStyle name="Total 2 6 2 4" xfId="42817" xr:uid="{857E2413-D000-4543-8ECA-05859AA7D77E}"/>
    <cellStyle name="Total 2 6 2 5" xfId="42818" xr:uid="{F2FCB837-E798-47DE-813F-525254EFB03F}"/>
    <cellStyle name="Total 2 6 2 6" xfId="42819" xr:uid="{35C30759-7366-48BE-9347-EB85AB1B19DC}"/>
    <cellStyle name="Total 2 6 3" xfId="42820" xr:uid="{F485D297-3B36-4E9B-8CE6-1F07AB6D9A68}"/>
    <cellStyle name="Total 2 6 4" xfId="42821" xr:uid="{19B4789E-1023-4496-BC59-880150395CC5}"/>
    <cellStyle name="Total 2 6 5" xfId="42822" xr:uid="{407F24A1-AD46-4287-B3F8-E1EB9AF35797}"/>
    <cellStyle name="Total 2 6 6" xfId="42823" xr:uid="{4C1011EB-1C45-450C-9A14-425E72F46944}"/>
    <cellStyle name="Total 2 6 7" xfId="42824" xr:uid="{D91FC150-0E3C-4BA9-8C31-67E89D954E8B}"/>
    <cellStyle name="Total 2 7" xfId="3180" xr:uid="{D7945E57-242F-454F-847A-A227A1FA299F}"/>
    <cellStyle name="Total 2 7 2" xfId="10251" xr:uid="{32ACD68E-0266-47A7-AA4F-32854C71BEB3}"/>
    <cellStyle name="Total 2 7 2 2" xfId="42825" xr:uid="{529C92B5-B561-4D80-9D97-FC4C1E5589F8}"/>
    <cellStyle name="Total 2 7 2 3" xfId="42826" xr:uid="{2BAE35AE-5919-44D0-BAB4-1F5AEB72C84A}"/>
    <cellStyle name="Total 2 7 2 4" xfId="42827" xr:uid="{453EAADA-E364-43A2-B57A-966CE8281F85}"/>
    <cellStyle name="Total 2 7 2 5" xfId="42828" xr:uid="{4598038C-674A-4715-B0D6-DC4F9101E43A}"/>
    <cellStyle name="Total 2 7 2 6" xfId="42829" xr:uid="{1272C271-6D2C-43C2-9C4C-88ECF2688E0C}"/>
    <cellStyle name="Total 2 7 3" xfId="42830" xr:uid="{FDD25A99-DC05-440E-A985-154E2DBCC3F5}"/>
    <cellStyle name="Total 2 7 4" xfId="42831" xr:uid="{5BF0CAED-60DD-473F-88BA-C6975F3860DE}"/>
    <cellStyle name="Total 2 7 5" xfId="42832" xr:uid="{D54C18DF-EE37-42F7-BBD4-2D93C9C17331}"/>
    <cellStyle name="Total 2 7 6" xfId="42833" xr:uid="{F2E877C9-B13A-484B-8AF3-40D7CE1E5945}"/>
    <cellStyle name="Total 2 7 7" xfId="42834" xr:uid="{49D48349-5542-4615-83B1-341D382C80C2}"/>
    <cellStyle name="Total 2 8" xfId="3181" xr:uid="{5310B421-AD09-4EB4-84B4-B72D7E62C72F}"/>
    <cellStyle name="Total 2 8 2" xfId="10336" xr:uid="{F16A2EB6-9DD6-4DFF-AC04-E529F8C84561}"/>
    <cellStyle name="Total 2 8 2 2" xfId="42835" xr:uid="{18E4B546-3D86-4344-89D0-AED8E078EBED}"/>
    <cellStyle name="Total 2 8 2 3" xfId="42836" xr:uid="{021E2CCB-2FD6-48B1-80B9-B0D8135CFE41}"/>
    <cellStyle name="Total 2 8 2 4" xfId="42837" xr:uid="{C5AB09E1-4B83-45C4-8B4F-F0CFF5F400D9}"/>
    <cellStyle name="Total 2 8 2 5" xfId="42838" xr:uid="{C796DECB-5FCF-45C3-ACBC-6141D514542E}"/>
    <cellStyle name="Total 2 8 2 6" xfId="42839" xr:uid="{15418A9E-3561-44AC-8BC9-8EE09990CC8B}"/>
    <cellStyle name="Total 2 8 3" xfId="42840" xr:uid="{563B33CC-127B-495C-A827-A5B6FC5C847D}"/>
    <cellStyle name="Total 2 8 4" xfId="42841" xr:uid="{185EE92C-BDE6-48E1-93EA-6035399E185A}"/>
    <cellStyle name="Total 2 8 5" xfId="42842" xr:uid="{EA3C7F7C-38DC-4404-B842-E3C281D0C57C}"/>
    <cellStyle name="Total 2 8 6" xfId="42843" xr:uid="{09EEDD8D-9F73-4275-A51F-ED6FBEA74283}"/>
    <cellStyle name="Total 2 8 7" xfId="42844" xr:uid="{3A64040E-BC9A-492D-A912-331AF315D0B0}"/>
    <cellStyle name="Total 2 9" xfId="3182" xr:uid="{056F1CC5-B8F9-40D0-83A7-4DCE99A0D690}"/>
    <cellStyle name="Total 2 9 2" xfId="10425" xr:uid="{62294A64-7757-4B9E-B85F-24C6FD2854CB}"/>
    <cellStyle name="Total 2 9 2 2" xfId="42845" xr:uid="{345A6925-C4AB-4566-97F7-F7EF5A42BD14}"/>
    <cellStyle name="Total 2 9 2 3" xfId="42846" xr:uid="{8F551EE6-DC4F-4D3D-993E-91932289B52D}"/>
    <cellStyle name="Total 2 9 2 4" xfId="42847" xr:uid="{D04636ED-2DCE-4655-853D-44B3DC892B0E}"/>
    <cellStyle name="Total 2 9 2 5" xfId="42848" xr:uid="{4DAF4A28-3756-4F62-80EE-7354190F06CC}"/>
    <cellStyle name="Total 2 9 2 6" xfId="42849" xr:uid="{A8385FAB-5A71-4C79-96E7-24EB977607F7}"/>
    <cellStyle name="Total 2 9 3" xfId="42850" xr:uid="{1922A370-5D76-4674-B452-AF03B88F8E1E}"/>
    <cellStyle name="Total 2 9 4" xfId="42851" xr:uid="{2D70E987-FCFC-4836-82BC-17BD842F8980}"/>
    <cellStyle name="Total 2 9 5" xfId="42852" xr:uid="{67E3DF27-43B2-408D-89A8-A123194808F3}"/>
    <cellStyle name="Total 2 9 6" xfId="42853" xr:uid="{E956874B-B261-41A8-88CF-69FBF1829E9E}"/>
    <cellStyle name="Total 2 9 7" xfId="42854" xr:uid="{F50782B4-8872-483C-B251-83121214A8FD}"/>
    <cellStyle name="Total 3" xfId="3183" xr:uid="{C3F6A91C-C5F8-455D-A7C9-E1B23DD4DBF0}"/>
    <cellStyle name="Total 3 10" xfId="3184" xr:uid="{88B277A2-8BBC-4EF1-BCCA-F36BB363482C}"/>
    <cellStyle name="Total 3 10 2" xfId="10257" xr:uid="{F2156686-0F94-49C5-B09D-291B2E428251}"/>
    <cellStyle name="Total 3 10 2 2" xfId="42855" xr:uid="{391C617D-D19C-443D-BBD6-5DFF512E0A6E}"/>
    <cellStyle name="Total 3 10 2 3" xfId="42856" xr:uid="{8DA23A19-343E-4449-9C45-2EB0525ED6FF}"/>
    <cellStyle name="Total 3 10 2 4" xfId="42857" xr:uid="{66B86DB9-B803-48D1-8A64-F5C3D825391C}"/>
    <cellStyle name="Total 3 10 2 5" xfId="42858" xr:uid="{428946B1-5BE5-4B75-AF5B-8B43F46570DD}"/>
    <cellStyle name="Total 3 10 2 6" xfId="42859" xr:uid="{D0C70DEA-49F9-4210-B761-6DCF8CD6EEF1}"/>
    <cellStyle name="Total 3 10 3" xfId="42860" xr:uid="{EEB8DC0A-3DB0-4271-8653-C15CD2CCBAB1}"/>
    <cellStyle name="Total 3 10 4" xfId="42861" xr:uid="{B7CF7F34-F4CC-453C-A075-6C78A116E4D2}"/>
    <cellStyle name="Total 3 10 5" xfId="42862" xr:uid="{8ADA0E31-177A-4046-A04E-61CCCC2443FD}"/>
    <cellStyle name="Total 3 10 6" xfId="42863" xr:uid="{A044AD09-A1FE-45E9-AA27-B78E852488C3}"/>
    <cellStyle name="Total 3 10 7" xfId="42864" xr:uid="{D2AE7C77-62D0-49C6-A85A-4A9ADAC95163}"/>
    <cellStyle name="Total 3 11" xfId="3185" xr:uid="{3ADFE608-14F8-4852-9297-07BE3BE16B71}"/>
    <cellStyle name="Total 3 11 2" xfId="10684" xr:uid="{2BA4DB9D-F302-4458-9EEB-450AB70FD7B7}"/>
    <cellStyle name="Total 3 11 2 2" xfId="42865" xr:uid="{6971C392-F8AF-4612-A059-A62EA2A9E706}"/>
    <cellStyle name="Total 3 11 2 3" xfId="42866" xr:uid="{570691A5-E7C2-4E98-AED6-9767A9DE67C8}"/>
    <cellStyle name="Total 3 11 2 4" xfId="42867" xr:uid="{CA94F3D4-E2C8-4DED-885C-410153D8DC4B}"/>
    <cellStyle name="Total 3 11 2 5" xfId="42868" xr:uid="{393E7D16-0554-4174-B8E4-CAD1ACE12FF7}"/>
    <cellStyle name="Total 3 11 2 6" xfId="42869" xr:uid="{AD5D73FA-7EC2-4BFB-B304-B0FBC7E736F9}"/>
    <cellStyle name="Total 3 11 3" xfId="42870" xr:uid="{C3406E25-0629-4866-91D2-E45D5D855DC0}"/>
    <cellStyle name="Total 3 11 4" xfId="42871" xr:uid="{804F3772-EFB3-489F-8B72-6F8B384CF1E2}"/>
    <cellStyle name="Total 3 11 5" xfId="42872" xr:uid="{C212CFDC-D8DC-43B2-AF61-9716D6CB5319}"/>
    <cellStyle name="Total 3 11 6" xfId="42873" xr:uid="{81F3B573-4C61-48C4-9E22-B43B3EECFE27}"/>
    <cellStyle name="Total 3 11 7" xfId="42874" xr:uid="{761278E1-D8EE-4A69-8314-1672AD1EC716}"/>
    <cellStyle name="Total 3 12" xfId="3186" xr:uid="{5D06C074-5987-449E-9817-68B855932AB9}"/>
    <cellStyle name="Total 3 12 2" xfId="10775" xr:uid="{BC8CC3BF-187A-401D-B299-487B68018596}"/>
    <cellStyle name="Total 3 12 2 2" xfId="42875" xr:uid="{7E87CCBB-7CA6-4C74-8FC6-D538693EEAF9}"/>
    <cellStyle name="Total 3 12 2 3" xfId="42876" xr:uid="{144E251D-C8A2-4F0D-89D1-BA7A82C8344E}"/>
    <cellStyle name="Total 3 12 2 4" xfId="42877" xr:uid="{1A4BB85B-6B48-4379-9B50-B94825AFD5D6}"/>
    <cellStyle name="Total 3 12 2 5" xfId="42878" xr:uid="{368048E5-C9CC-48CD-9117-2D315690F69E}"/>
    <cellStyle name="Total 3 12 2 6" xfId="42879" xr:uid="{A066172E-D7F8-4BB1-B487-9170F3AF57A3}"/>
    <cellStyle name="Total 3 12 3" xfId="42880" xr:uid="{35EAFF25-344D-4543-B69C-A4F5ED54EB28}"/>
    <cellStyle name="Total 3 12 4" xfId="42881" xr:uid="{774CB6C9-6868-42E7-9E2B-24D569518ECD}"/>
    <cellStyle name="Total 3 12 5" xfId="42882" xr:uid="{257FCB13-0339-49AB-9D04-A14B02CF4FD4}"/>
    <cellStyle name="Total 3 12 6" xfId="42883" xr:uid="{69B84B47-BDAC-4108-A930-C66595F33241}"/>
    <cellStyle name="Total 3 12 7" xfId="42884" xr:uid="{D1A49FEB-1A84-439E-B577-E1EE09316DFD}"/>
    <cellStyle name="Total 3 13" xfId="3187" xr:uid="{B83367FC-AD6B-4C9C-A473-8F87A494F0B9}"/>
    <cellStyle name="Total 3 13 2" xfId="10862" xr:uid="{4F1D49B2-0CDA-4111-948B-A6F54B5B2B74}"/>
    <cellStyle name="Total 3 13 2 2" xfId="42885" xr:uid="{D3D52BE8-513A-4EEF-AA53-F1E8AD7E9406}"/>
    <cellStyle name="Total 3 13 2 3" xfId="42886" xr:uid="{8A3E6504-6302-4B72-8E9E-5AA1A32CDB20}"/>
    <cellStyle name="Total 3 13 2 4" xfId="42887" xr:uid="{D42AF07E-4AFB-4DCF-A599-1A2E863D0A44}"/>
    <cellStyle name="Total 3 13 2 5" xfId="42888" xr:uid="{6A00A7C4-40C3-414E-A4B2-F47C98FE2313}"/>
    <cellStyle name="Total 3 13 2 6" xfId="42889" xr:uid="{F4593F20-A3A3-4DF3-93D2-3DAAAC4D6219}"/>
    <cellStyle name="Total 3 13 3" xfId="42890" xr:uid="{734A71AE-307B-42F0-AFCA-DF189A30337A}"/>
    <cellStyle name="Total 3 13 4" xfId="42891" xr:uid="{BF254AB0-6C16-40DF-B150-E686DCF80F29}"/>
    <cellStyle name="Total 3 13 5" xfId="42892" xr:uid="{9FD34A42-045B-4336-9A1F-A30A8618CB72}"/>
    <cellStyle name="Total 3 13 6" xfId="42893" xr:uid="{E930F75D-CB00-4DDA-8233-52F2D014D7F7}"/>
    <cellStyle name="Total 3 13 7" xfId="42894" xr:uid="{7CFD9DF1-A93A-4C0B-8CA2-FF9596121DDD}"/>
    <cellStyle name="Total 3 14" xfId="3188" xr:uid="{81741F04-3A1E-433C-80A2-79118C29D2A2}"/>
    <cellStyle name="Total 3 14 2" xfId="10952" xr:uid="{B48B26E5-9434-407F-B8C9-1A9B2ACA22B5}"/>
    <cellStyle name="Total 3 14 2 2" xfId="42895" xr:uid="{0BDC86D7-E3E5-4DDA-A59D-302276BE4E54}"/>
    <cellStyle name="Total 3 14 2 3" xfId="42896" xr:uid="{CAAFC0CA-01C5-4DD7-B520-324F25F3CC51}"/>
    <cellStyle name="Total 3 14 2 4" xfId="42897" xr:uid="{C7C23738-2154-4D4A-AF3C-B0FA2D8E2BF9}"/>
    <cellStyle name="Total 3 14 2 5" xfId="42898" xr:uid="{E4085DDF-675E-409D-8D26-659C18346A2B}"/>
    <cellStyle name="Total 3 14 2 6" xfId="42899" xr:uid="{72AD660A-E018-4E7F-8586-C59C1216D1AF}"/>
    <cellStyle name="Total 3 14 3" xfId="42900" xr:uid="{1110DD17-4DCA-4BF2-A210-EF3FDECC83C4}"/>
    <cellStyle name="Total 3 14 4" xfId="42901" xr:uid="{816D3279-5FB5-4291-970E-6C13C7E9BDC2}"/>
    <cellStyle name="Total 3 14 5" xfId="42902" xr:uid="{ECEE056F-A727-4FA8-8D7E-8734C05311F6}"/>
    <cellStyle name="Total 3 14 6" xfId="42903" xr:uid="{54D4E2E8-16F6-4B6E-8228-8A80DE929F38}"/>
    <cellStyle name="Total 3 14 7" xfId="42904" xr:uid="{39F248B0-9A02-4EEF-A7FE-05E4B2CD8019}"/>
    <cellStyle name="Total 3 15" xfId="3189" xr:uid="{43870D11-5876-4A52-AB50-3D64220D487B}"/>
    <cellStyle name="Total 3 15 2" xfId="9726" xr:uid="{8153FE36-5112-423A-9D00-37753FF36685}"/>
    <cellStyle name="Total 3 15 2 2" xfId="42905" xr:uid="{461F1271-4014-4A4C-BE54-7EC27C9B1DA5}"/>
    <cellStyle name="Total 3 15 2 3" xfId="42906" xr:uid="{DB314D10-B64B-44E3-A610-FB5676DEDCFF}"/>
    <cellStyle name="Total 3 15 2 4" xfId="42907" xr:uid="{0160A5B0-CB97-450F-B863-C33297F8E6CE}"/>
    <cellStyle name="Total 3 15 2 5" xfId="42908" xr:uid="{ABD11A7E-E594-48A8-8512-13C36DB60F12}"/>
    <cellStyle name="Total 3 15 2 6" xfId="42909" xr:uid="{96C3EFC9-D115-4EFA-9275-F984F62FFB29}"/>
    <cellStyle name="Total 3 15 3" xfId="42910" xr:uid="{626B2F8B-467E-4E08-B73B-B1963EC6E191}"/>
    <cellStyle name="Total 3 15 4" xfId="42911" xr:uid="{600C73EB-AA0C-4049-9FD4-EBE2FD79AB52}"/>
    <cellStyle name="Total 3 15 5" xfId="42912" xr:uid="{FBDA696E-12ED-4742-ACC1-7FA4037B0729}"/>
    <cellStyle name="Total 3 15 6" xfId="42913" xr:uid="{7029BE10-37A0-4668-9366-FA2A3BDC0758}"/>
    <cellStyle name="Total 3 15 7" xfId="42914" xr:uid="{695FE263-7122-4BC0-9F53-05FF3F64F31E}"/>
    <cellStyle name="Total 3 16" xfId="3190" xr:uid="{09C2B27D-B780-433B-A014-5BD667C3DCF7}"/>
    <cellStyle name="Total 3 16 2" xfId="11216" xr:uid="{F28F53DB-3B88-481E-8DC6-07DE72F47716}"/>
    <cellStyle name="Total 3 16 2 2" xfId="42915" xr:uid="{7386FEA2-64E1-423B-B072-B46BC322B37A}"/>
    <cellStyle name="Total 3 16 2 3" xfId="42916" xr:uid="{21A48E65-7896-4B3E-A4D9-AE5E17E6B155}"/>
    <cellStyle name="Total 3 16 2 4" xfId="42917" xr:uid="{2F1AE019-1CD2-4F1A-BAA0-80147A298AAA}"/>
    <cellStyle name="Total 3 16 2 5" xfId="42918" xr:uid="{3BB0714B-1CB8-451B-B61C-F4F1470E38C9}"/>
    <cellStyle name="Total 3 16 2 6" xfId="42919" xr:uid="{FDF8723A-73BC-4364-9BC6-B8138250613D}"/>
    <cellStyle name="Total 3 16 3" xfId="42920" xr:uid="{AE7D69BF-5F59-41A4-922F-E838314EFF18}"/>
    <cellStyle name="Total 3 16 4" xfId="42921" xr:uid="{6BAB9E0B-5EF5-4C50-8A5C-936565728C93}"/>
    <cellStyle name="Total 3 16 5" xfId="42922" xr:uid="{08BD7482-9762-4ED0-8457-4040A180F93F}"/>
    <cellStyle name="Total 3 16 6" xfId="42923" xr:uid="{35C92CCA-EFD1-475B-BCB9-39FB7D9006DC}"/>
    <cellStyle name="Total 3 16 7" xfId="42924" xr:uid="{75A3B94D-112F-46FC-A7A4-BC93C7752BA4}"/>
    <cellStyle name="Total 3 17" xfId="3191" xr:uid="{B5087EED-2E9D-4299-BF80-84D2A84ED2AD}"/>
    <cellStyle name="Total 3 17 2" xfId="11303" xr:uid="{DF5D4BBD-F67B-49F5-B874-C2CEFD0915A0}"/>
    <cellStyle name="Total 3 17 2 2" xfId="42925" xr:uid="{F8D500FD-AA72-4568-901A-83555D54891B}"/>
    <cellStyle name="Total 3 17 2 3" xfId="42926" xr:uid="{AA658984-C23B-4241-8EE2-1FAE26690276}"/>
    <cellStyle name="Total 3 17 2 4" xfId="42927" xr:uid="{4C4E37C2-2FFB-4664-A2DE-E0E85317250D}"/>
    <cellStyle name="Total 3 17 2 5" xfId="42928" xr:uid="{7AAEDF84-1A1E-4232-B329-0D9B40CD6A5E}"/>
    <cellStyle name="Total 3 17 2 6" xfId="42929" xr:uid="{22C06642-691C-44C7-BC30-E23D1326A97D}"/>
    <cellStyle name="Total 3 17 3" xfId="42930" xr:uid="{555A1C3F-F014-42FB-A12F-83D296845B34}"/>
    <cellStyle name="Total 3 17 4" xfId="42931" xr:uid="{AE31EB25-6A4D-4898-97C1-D2FCACFACE2B}"/>
    <cellStyle name="Total 3 17 5" xfId="42932" xr:uid="{22F262EF-2AF6-429B-AFE8-A9742A2E957D}"/>
    <cellStyle name="Total 3 17 6" xfId="42933" xr:uid="{68EE99B7-D8AF-4B0B-BBAC-E2EC746F291E}"/>
    <cellStyle name="Total 3 17 7" xfId="42934" xr:uid="{DC5DA00A-B1F7-4B1C-B2AA-4F014CF2B4F7}"/>
    <cellStyle name="Total 3 18" xfId="3192" xr:uid="{9A4814F8-DA0E-41EC-9FD2-D853A6D7B56D}"/>
    <cellStyle name="Total 3 18 2" xfId="11388" xr:uid="{5EBAE559-2F42-482F-B25E-DDA6D4D71C2A}"/>
    <cellStyle name="Total 3 18 2 2" xfId="42935" xr:uid="{C8E7F7E1-08E7-4013-B5C0-64A403BDC038}"/>
    <cellStyle name="Total 3 18 2 3" xfId="42936" xr:uid="{6D50EE6D-CDFE-4940-A397-63D7622DD390}"/>
    <cellStyle name="Total 3 18 2 4" xfId="42937" xr:uid="{B22240C9-A8EF-4159-AA71-0C3DFE2FB994}"/>
    <cellStyle name="Total 3 18 2 5" xfId="42938" xr:uid="{B5017A9D-D2F9-4A63-BDCD-60697D7E48EB}"/>
    <cellStyle name="Total 3 18 2 6" xfId="42939" xr:uid="{39F768FC-8EF5-452C-919F-26E6B85FA3BC}"/>
    <cellStyle name="Total 3 18 3" xfId="42940" xr:uid="{B584E96D-9C8F-4FC2-8128-A7373211CD73}"/>
    <cellStyle name="Total 3 18 4" xfId="42941" xr:uid="{E215752A-0952-4386-86EB-E65E91C1DBEB}"/>
    <cellStyle name="Total 3 18 5" xfId="42942" xr:uid="{48E5CFAD-BCFA-4CF1-BD45-82E41F6CC7D7}"/>
    <cellStyle name="Total 3 18 6" xfId="42943" xr:uid="{4589F6F9-2B54-442F-9F6F-4170AD2300AC}"/>
    <cellStyle name="Total 3 18 7" xfId="42944" xr:uid="{343EC3F6-6206-4E11-B961-8CF8D1271000}"/>
    <cellStyle name="Total 3 19" xfId="3193" xr:uid="{E7CCADD0-4977-43FF-BE47-4739CE6A3B51}"/>
    <cellStyle name="Total 3 19 2" xfId="11478" xr:uid="{6954B9A2-D226-46CA-9307-0CE3FF9A2F37}"/>
    <cellStyle name="Total 3 19 2 2" xfId="42945" xr:uid="{A3A637D0-6567-4895-8119-585EA6921099}"/>
    <cellStyle name="Total 3 19 2 3" xfId="42946" xr:uid="{81DF39BB-95AE-4ECC-927C-9C80023A9744}"/>
    <cellStyle name="Total 3 19 2 4" xfId="42947" xr:uid="{85D830DD-79C0-485E-9A56-902BDE65BE59}"/>
    <cellStyle name="Total 3 19 2 5" xfId="42948" xr:uid="{358C240F-1E27-4357-A308-73D1F95F28D2}"/>
    <cellStyle name="Total 3 19 2 6" xfId="42949" xr:uid="{F849F389-7141-4E56-808F-9E4C1D33A08E}"/>
    <cellStyle name="Total 3 19 3" xfId="42950" xr:uid="{044EAB28-E7CF-4D40-8AB4-2B0650B21605}"/>
    <cellStyle name="Total 3 19 4" xfId="42951" xr:uid="{F3DF6DD3-FC72-4FD1-B105-0F759A1F9D2B}"/>
    <cellStyle name="Total 3 19 5" xfId="42952" xr:uid="{9EC063D0-C8F1-41F9-8313-3E1CD6C9F600}"/>
    <cellStyle name="Total 3 19 6" xfId="42953" xr:uid="{98CF9400-D997-4BBC-8432-399BCFF0EFE4}"/>
    <cellStyle name="Total 3 19 7" xfId="42954" xr:uid="{ACFF72B2-3336-412D-85EF-355890D3B29B}"/>
    <cellStyle name="Total 3 2" xfId="3194" xr:uid="{1F1D814C-EC8A-4338-B535-B0EDDDF557AA}"/>
    <cellStyle name="Total 3 2 10" xfId="3195" xr:uid="{4581D2D7-932A-4087-96CB-2B08E073897B}"/>
    <cellStyle name="Total 3 2 10 2" xfId="10635" xr:uid="{8827A638-A412-41A7-AC2D-A63410F910F8}"/>
    <cellStyle name="Total 3 2 10 2 2" xfId="42955" xr:uid="{89CD0BEC-4A40-4BB2-861D-4D99727014B1}"/>
    <cellStyle name="Total 3 2 10 2 3" xfId="42956" xr:uid="{087FC968-E9B4-446A-BA08-E27D83E1ED07}"/>
    <cellStyle name="Total 3 2 10 2 4" xfId="42957" xr:uid="{FCA173AE-B902-46BA-8F6D-9610BDA9D10A}"/>
    <cellStyle name="Total 3 2 10 2 5" xfId="42958" xr:uid="{8903731A-8550-4D3B-A3DB-4B852F97E2F0}"/>
    <cellStyle name="Total 3 2 10 2 6" xfId="42959" xr:uid="{3A7E81B2-02D5-431D-BB2F-87F338E68568}"/>
    <cellStyle name="Total 3 2 10 3" xfId="42960" xr:uid="{D6E8AEC8-0EB6-4AB5-B073-E0CBB81E8D8D}"/>
    <cellStyle name="Total 3 2 10 4" xfId="42961" xr:uid="{071D1961-A45A-4BBE-AE21-419B3E7CF0AE}"/>
    <cellStyle name="Total 3 2 10 5" xfId="42962" xr:uid="{2F7A1125-B0C9-4931-9A5C-4622F14AC6D2}"/>
    <cellStyle name="Total 3 2 10 6" xfId="42963" xr:uid="{965DCE2C-D491-40C8-9BA0-48D9A8594255}"/>
    <cellStyle name="Total 3 2 10 7" xfId="42964" xr:uid="{997D63EE-4A4B-4CB3-A9A7-C84C5B2540A0}"/>
    <cellStyle name="Total 3 2 11" xfId="3196" xr:uid="{989C7765-15F1-4002-BA78-FC89E0C1A81F}"/>
    <cellStyle name="Total 3 2 11 2" xfId="10726" xr:uid="{4701EB3B-05B6-4076-AE0B-2F08F4EC8C18}"/>
    <cellStyle name="Total 3 2 11 2 2" xfId="42965" xr:uid="{874EFBEA-9A24-42CC-8853-92C31364B80C}"/>
    <cellStyle name="Total 3 2 11 2 3" xfId="42966" xr:uid="{0E25119C-1790-4DDA-B607-C3440DE79624}"/>
    <cellStyle name="Total 3 2 11 2 4" xfId="42967" xr:uid="{F93784A8-93EF-484C-9253-34F5DA8D1AF4}"/>
    <cellStyle name="Total 3 2 11 2 5" xfId="42968" xr:uid="{4B13B49D-D6DE-4298-9006-D796FB5BEF8E}"/>
    <cellStyle name="Total 3 2 11 2 6" xfId="42969" xr:uid="{E082D1C1-C492-44BF-8FAA-546CC6646EA8}"/>
    <cellStyle name="Total 3 2 11 3" xfId="42970" xr:uid="{11198D57-9B6C-478D-9A3C-CECB80C4AB6C}"/>
    <cellStyle name="Total 3 2 11 4" xfId="42971" xr:uid="{C85D9702-191F-4A71-8C5D-FE3280EAB77C}"/>
    <cellStyle name="Total 3 2 11 5" xfId="42972" xr:uid="{D2518FD3-02BF-4EA5-9E5B-ED87983D0913}"/>
    <cellStyle name="Total 3 2 11 6" xfId="42973" xr:uid="{F54B30C5-30D0-4D9F-B4B4-5EF5C2A90BD0}"/>
    <cellStyle name="Total 3 2 11 7" xfId="42974" xr:uid="{E24D2A14-72B8-45E9-972F-980E9A2F0BA7}"/>
    <cellStyle name="Total 3 2 12" xfId="3197" xr:uid="{0A7D435D-68ED-42A2-BD1F-164C556A35F0}"/>
    <cellStyle name="Total 3 2 12 2" xfId="10814" xr:uid="{39D54415-4C29-47E3-A48C-5C40A5B8715A}"/>
    <cellStyle name="Total 3 2 12 2 2" xfId="42975" xr:uid="{6B113B76-3237-4CF8-964C-58462C31FFFD}"/>
    <cellStyle name="Total 3 2 12 2 3" xfId="42976" xr:uid="{75C12E77-CBA6-4C05-9E6A-6DEC1E25E638}"/>
    <cellStyle name="Total 3 2 12 2 4" xfId="42977" xr:uid="{C74D3981-CBAA-4F0F-A69C-7F0704883D41}"/>
    <cellStyle name="Total 3 2 12 2 5" xfId="42978" xr:uid="{0FF65CFD-6057-456D-936F-8F8879F7A82B}"/>
    <cellStyle name="Total 3 2 12 2 6" xfId="42979" xr:uid="{E86DBF37-510E-4DED-9645-7192D3B20F65}"/>
    <cellStyle name="Total 3 2 12 3" xfId="42980" xr:uid="{198EB8FE-C6B0-494E-B6CF-84EF08D810F6}"/>
    <cellStyle name="Total 3 2 12 4" xfId="42981" xr:uid="{F680D6AD-BA47-4E46-A366-20CE27E14A1D}"/>
    <cellStyle name="Total 3 2 12 5" xfId="42982" xr:uid="{28B46465-9DCD-40DF-9AD1-06AF64AF873E}"/>
    <cellStyle name="Total 3 2 12 6" xfId="42983" xr:uid="{B50C4401-9453-46C0-A56D-57DEF42BF94E}"/>
    <cellStyle name="Total 3 2 12 7" xfId="42984" xr:uid="{1556701B-9E40-4EDD-BB7F-76FDC9D6C98B}"/>
    <cellStyle name="Total 3 2 13" xfId="3198" xr:uid="{F4003DEF-9540-44A1-9BBB-2734530AE6F8}"/>
    <cellStyle name="Total 3 2 13 2" xfId="10903" xr:uid="{01587BF9-B745-49F5-90CB-91A6F7F15181}"/>
    <cellStyle name="Total 3 2 13 2 2" xfId="42985" xr:uid="{71085A57-2C28-49C6-A380-1139F95D0247}"/>
    <cellStyle name="Total 3 2 13 2 3" xfId="42986" xr:uid="{1B195C25-BAC4-4BD2-8807-431042666AAA}"/>
    <cellStyle name="Total 3 2 13 2 4" xfId="42987" xr:uid="{1CA09375-3312-4892-9384-DEA74CAC0302}"/>
    <cellStyle name="Total 3 2 13 2 5" xfId="42988" xr:uid="{38CCCCF6-DC9A-417B-81C9-2F0A1A4C56E1}"/>
    <cellStyle name="Total 3 2 13 2 6" xfId="42989" xr:uid="{062E3977-3949-4071-B1D2-385E3EC7656F}"/>
    <cellStyle name="Total 3 2 13 3" xfId="42990" xr:uid="{21D5A1B1-7D6D-4707-AE4B-89C4B208FD40}"/>
    <cellStyle name="Total 3 2 13 4" xfId="42991" xr:uid="{CC099994-FE0B-493A-B670-359F329805B4}"/>
    <cellStyle name="Total 3 2 13 5" xfId="42992" xr:uid="{8D8559CB-C9CD-4A79-83FA-E84C62D25E97}"/>
    <cellStyle name="Total 3 2 13 6" xfId="42993" xr:uid="{7435675F-41C0-420D-9AC0-0DDCB3167BAD}"/>
    <cellStyle name="Total 3 2 13 7" xfId="42994" xr:uid="{7AB3A7D0-8A88-4B6E-B5A4-825808A46764}"/>
    <cellStyle name="Total 3 2 14" xfId="3199" xr:uid="{F5587CF2-DE13-430B-81B9-9DFEA64819B0}"/>
    <cellStyle name="Total 3 2 14 2" xfId="10993" xr:uid="{4EEB1CEA-4F17-4EE1-B35B-E21363E55A6D}"/>
    <cellStyle name="Total 3 2 14 2 2" xfId="42995" xr:uid="{731C187F-58A1-46CE-9FCD-F2CB5A9427F1}"/>
    <cellStyle name="Total 3 2 14 2 3" xfId="42996" xr:uid="{E1DE0288-88D1-4166-907B-331A6343C1DF}"/>
    <cellStyle name="Total 3 2 14 2 4" xfId="42997" xr:uid="{C6FE623B-9040-4C08-B5F1-1C6B47AE2499}"/>
    <cellStyle name="Total 3 2 14 2 5" xfId="42998" xr:uid="{51050E92-D315-4363-ADB7-00355AD928A9}"/>
    <cellStyle name="Total 3 2 14 2 6" xfId="42999" xr:uid="{38BE2B11-093D-47C6-B59B-85F1207CD1AD}"/>
    <cellStyle name="Total 3 2 14 3" xfId="43000" xr:uid="{BC9A5CC1-0DA7-4D88-A2DB-9C9D404B4857}"/>
    <cellStyle name="Total 3 2 14 4" xfId="43001" xr:uid="{8EE55EB7-C405-4079-9122-AA4B481F615A}"/>
    <cellStyle name="Total 3 2 14 5" xfId="43002" xr:uid="{81D1BA15-1427-40FB-B3D5-3EFF4E8B5498}"/>
    <cellStyle name="Total 3 2 14 6" xfId="43003" xr:uid="{D05EB2AD-2BA6-4624-9708-ECDDD5620AEF}"/>
    <cellStyle name="Total 3 2 14 7" xfId="43004" xr:uid="{24C0FE04-0C3E-473A-833A-F91DA2F69255}"/>
    <cellStyle name="Total 3 2 15" xfId="3200" xr:uid="{A3B368D8-1E4C-4EA7-AE12-947AD347310E}"/>
    <cellStyle name="Total 3 2 15 2" xfId="11084" xr:uid="{A21DA9B7-A823-41E1-8A61-73867CA23220}"/>
    <cellStyle name="Total 3 2 15 2 2" xfId="43005" xr:uid="{41316FBE-577B-4BE1-9DCC-BCB7E572D5E0}"/>
    <cellStyle name="Total 3 2 15 2 3" xfId="43006" xr:uid="{7A01B8BA-7F3B-454E-B064-04CD4C602F49}"/>
    <cellStyle name="Total 3 2 15 2 4" xfId="43007" xr:uid="{89C983B9-53E3-4B3E-B3C5-C970E9BA9FCF}"/>
    <cellStyle name="Total 3 2 15 2 5" xfId="43008" xr:uid="{FD211A93-3621-44F8-A457-358D5CC31FB7}"/>
    <cellStyle name="Total 3 2 15 2 6" xfId="43009" xr:uid="{91B61B59-55FB-41EE-BBA7-762F1157A812}"/>
    <cellStyle name="Total 3 2 15 3" xfId="43010" xr:uid="{D2604663-5683-40E9-8504-767C3E5FD43B}"/>
    <cellStyle name="Total 3 2 15 4" xfId="43011" xr:uid="{1770CEC6-AC63-44D6-955B-EC1B27697DF9}"/>
    <cellStyle name="Total 3 2 15 5" xfId="43012" xr:uid="{2ABC3B71-DC25-4775-90F5-76B61A24F5E8}"/>
    <cellStyle name="Total 3 2 15 6" xfId="43013" xr:uid="{1056F27B-B493-436D-9B4F-77208B51D12D}"/>
    <cellStyle name="Total 3 2 15 7" xfId="43014" xr:uid="{A09E3412-7238-4798-91FD-6BE362318C53}"/>
    <cellStyle name="Total 3 2 16" xfId="3201" xr:uid="{38FE7EDA-88EB-49FD-AC52-FB04A1C37341}"/>
    <cellStyle name="Total 3 2 16 2" xfId="11167" xr:uid="{815CC7A7-B62B-4ED8-BFEB-C218C8DC669F}"/>
    <cellStyle name="Total 3 2 16 2 2" xfId="43015" xr:uid="{1FC6B55B-8529-4B8D-88AE-2F3FDEFCE6F0}"/>
    <cellStyle name="Total 3 2 16 2 3" xfId="43016" xr:uid="{C914DF71-3F1A-4AE1-9752-3A7BD62CB2C3}"/>
    <cellStyle name="Total 3 2 16 2 4" xfId="43017" xr:uid="{99B6871B-7332-459E-9945-BC270BB4B551}"/>
    <cellStyle name="Total 3 2 16 2 5" xfId="43018" xr:uid="{9A2DDC7E-A863-4520-8F9B-B123D10F0247}"/>
    <cellStyle name="Total 3 2 16 2 6" xfId="43019" xr:uid="{A2A333F9-8886-4C8F-B7CB-E61C4223DC1D}"/>
    <cellStyle name="Total 3 2 16 3" xfId="43020" xr:uid="{43C52CDF-F846-43B9-A2D3-4959C4C469FF}"/>
    <cellStyle name="Total 3 2 16 4" xfId="43021" xr:uid="{008578BD-2519-4A04-A1FE-9F7B02AD861D}"/>
    <cellStyle name="Total 3 2 16 5" xfId="43022" xr:uid="{A6D1301B-40B6-4299-9408-3F3783032C04}"/>
    <cellStyle name="Total 3 2 16 6" xfId="43023" xr:uid="{301FC8AB-2EB7-4275-B362-DA2F4E965FC0}"/>
    <cellStyle name="Total 3 2 16 7" xfId="43024" xr:uid="{A1D456FF-5589-4DF0-A56B-8DC899049DEB}"/>
    <cellStyle name="Total 3 2 17" xfId="3202" xr:uid="{DCE73E58-031A-4B81-84EA-6ED602BB859F}"/>
    <cellStyle name="Total 3 2 17 2" xfId="11257" xr:uid="{7DC6297B-6C73-429F-A23E-49B7FAAE0EAA}"/>
    <cellStyle name="Total 3 2 17 2 2" xfId="43025" xr:uid="{B087D4CB-9387-4E02-95BC-70944A28B01B}"/>
    <cellStyle name="Total 3 2 17 2 3" xfId="43026" xr:uid="{12742908-A468-433C-86D6-485EAF7BCE10}"/>
    <cellStyle name="Total 3 2 17 2 4" xfId="43027" xr:uid="{1DCCC1D3-B9C6-439E-A0E0-7E98284C947F}"/>
    <cellStyle name="Total 3 2 17 2 5" xfId="43028" xr:uid="{67204C36-4430-440D-B9C0-C814680BDA45}"/>
    <cellStyle name="Total 3 2 17 2 6" xfId="43029" xr:uid="{73F9A785-B563-418F-B4C7-D4FEA1701F82}"/>
    <cellStyle name="Total 3 2 17 3" xfId="43030" xr:uid="{5F850584-925E-4AD9-A671-A814F7A55397}"/>
    <cellStyle name="Total 3 2 17 4" xfId="43031" xr:uid="{03853E81-ABED-428B-8BF1-793F746E1C8F}"/>
    <cellStyle name="Total 3 2 17 5" xfId="43032" xr:uid="{E3EB4956-A4B1-4A03-981D-DC7BAC464C49}"/>
    <cellStyle name="Total 3 2 17 6" xfId="43033" xr:uid="{847D5619-D0C9-450B-BC62-13C7DEDEF9E6}"/>
    <cellStyle name="Total 3 2 17 7" xfId="43034" xr:uid="{8F01F594-1089-4821-A5B9-513A220F9281}"/>
    <cellStyle name="Total 3 2 18" xfId="3203" xr:uid="{2F7FFFE4-4CD5-43B6-83D1-99C461773BAC}"/>
    <cellStyle name="Total 3 2 18 2" xfId="11343" xr:uid="{E8F34353-0589-43FB-87CA-E167469C1BBB}"/>
    <cellStyle name="Total 3 2 18 2 2" xfId="43035" xr:uid="{501CE505-5466-4A77-8E89-54376EB5179F}"/>
    <cellStyle name="Total 3 2 18 2 3" xfId="43036" xr:uid="{1B891966-2EA4-48E7-BA6E-60D1925EA56A}"/>
    <cellStyle name="Total 3 2 18 2 4" xfId="43037" xr:uid="{3C134BA4-1B51-41CE-B7AB-6C04319B59A4}"/>
    <cellStyle name="Total 3 2 18 2 5" xfId="43038" xr:uid="{C01908D6-CA16-4D6B-BEEC-FE7DCB6C26E0}"/>
    <cellStyle name="Total 3 2 18 2 6" xfId="43039" xr:uid="{FDFF8652-61A6-45E8-8370-D9D754EC2416}"/>
    <cellStyle name="Total 3 2 18 3" xfId="43040" xr:uid="{6DE42936-88EA-4B2C-88BC-7F62AE2A42E0}"/>
    <cellStyle name="Total 3 2 18 4" xfId="43041" xr:uid="{2A5B4D56-9D31-4ABE-980E-AAEA5DCA5DCF}"/>
    <cellStyle name="Total 3 2 18 5" xfId="43042" xr:uid="{84C40ECC-7195-461F-85F2-F1AB1B28040B}"/>
    <cellStyle name="Total 3 2 18 6" xfId="43043" xr:uid="{26F8FBB0-0C79-43F8-86D5-A6C68229DC53}"/>
    <cellStyle name="Total 3 2 18 7" xfId="43044" xr:uid="{733B00C0-476D-4862-9F26-B9C61755C0EE}"/>
    <cellStyle name="Total 3 2 19" xfId="3204" xr:uid="{289841D2-D69C-4DB1-B6B0-E96763728C4C}"/>
    <cellStyle name="Total 3 2 19 2" xfId="11429" xr:uid="{CFCB2217-2B2B-402D-BD6B-CBF87982053B}"/>
    <cellStyle name="Total 3 2 19 2 2" xfId="43045" xr:uid="{921A3F0C-DE98-4039-B042-C4A9329F29E2}"/>
    <cellStyle name="Total 3 2 19 2 3" xfId="43046" xr:uid="{80549253-5B11-4315-930B-3C458AB6754E}"/>
    <cellStyle name="Total 3 2 19 2 4" xfId="43047" xr:uid="{D5D9FE89-FD3B-4FE5-B3CD-A25124EBB90F}"/>
    <cellStyle name="Total 3 2 19 2 5" xfId="43048" xr:uid="{F347953F-D770-463A-B43A-7204B316DC6E}"/>
    <cellStyle name="Total 3 2 19 2 6" xfId="43049" xr:uid="{D2D61D06-7A2E-4C55-9F80-B70C2A71A9E4}"/>
    <cellStyle name="Total 3 2 19 3" xfId="43050" xr:uid="{E009AED2-EE0A-494F-923C-73E3041125B0}"/>
    <cellStyle name="Total 3 2 19 4" xfId="43051" xr:uid="{66C14378-05B2-4D02-BF7A-E54D72D07A8E}"/>
    <cellStyle name="Total 3 2 19 5" xfId="43052" xr:uid="{8E944796-3E73-4FC5-9ED5-0B67E1D93969}"/>
    <cellStyle name="Total 3 2 19 6" xfId="43053" xr:uid="{48EC2F15-8979-44A3-8CB5-64356FAB5A18}"/>
    <cellStyle name="Total 3 2 19 7" xfId="43054" xr:uid="{3C60C221-CCF5-46C9-8A3E-4BE68624D712}"/>
    <cellStyle name="Total 3 2 2" xfId="3205" xr:uid="{B470BAE3-77A3-415A-8391-5C83D390C892}"/>
    <cellStyle name="Total 3 2 2 10" xfId="3206" xr:uid="{D331BFC8-0034-4572-B0E0-F54AE87BC603}"/>
    <cellStyle name="Total 3 2 2 10 2" xfId="10760" xr:uid="{CD40C063-5DA2-4ED7-AD5C-CA96FE4667E6}"/>
    <cellStyle name="Total 3 2 2 10 2 2" xfId="43055" xr:uid="{69C8EA51-0259-4B7F-86AE-648A2BAD5963}"/>
    <cellStyle name="Total 3 2 2 10 2 3" xfId="43056" xr:uid="{64D2ECE4-1E89-462C-B45C-5EDB4956C308}"/>
    <cellStyle name="Total 3 2 2 10 2 4" xfId="43057" xr:uid="{C8691DBA-F12B-4170-AEA4-A233CBD41E1F}"/>
    <cellStyle name="Total 3 2 2 10 2 5" xfId="43058" xr:uid="{62959D44-46C5-4651-9C28-205E5D99DDE8}"/>
    <cellStyle name="Total 3 2 2 10 2 6" xfId="43059" xr:uid="{A0C70718-87F9-4153-B1FB-5CEAECB12DB5}"/>
    <cellStyle name="Total 3 2 2 10 3" xfId="43060" xr:uid="{19C2596E-D494-4FCD-9012-F95E96FDEF7F}"/>
    <cellStyle name="Total 3 2 2 10 4" xfId="43061" xr:uid="{3706A00E-D77B-423D-8F0D-7E3A3BF9C772}"/>
    <cellStyle name="Total 3 2 2 10 5" xfId="43062" xr:uid="{D9622E72-B03F-44C6-8A65-9D9C43385348}"/>
    <cellStyle name="Total 3 2 2 10 6" xfId="43063" xr:uid="{EE184474-9B8D-4977-99F4-6DC7334270C6}"/>
    <cellStyle name="Total 3 2 2 10 7" xfId="43064" xr:uid="{50AC9C50-095A-4750-8095-E5CFC1B990DD}"/>
    <cellStyle name="Total 3 2 2 11" xfId="3207" xr:uid="{66AA5A9D-784F-4A48-90EB-0D54AC5850DE}"/>
    <cellStyle name="Total 3 2 2 11 2" xfId="10848" xr:uid="{1F047980-86D1-4B27-B7FB-3BF07317F791}"/>
    <cellStyle name="Total 3 2 2 11 2 2" xfId="43065" xr:uid="{1481CC84-8B54-4BA2-8BC6-EAFF3F4FB630}"/>
    <cellStyle name="Total 3 2 2 11 2 3" xfId="43066" xr:uid="{40B259E5-1A43-4F23-A5CD-75732FB444B9}"/>
    <cellStyle name="Total 3 2 2 11 2 4" xfId="43067" xr:uid="{74CD2B74-8DFC-4A29-AF48-28E035D0CCBC}"/>
    <cellStyle name="Total 3 2 2 11 2 5" xfId="43068" xr:uid="{9E71E31E-8645-4193-B596-9ECB424DDD24}"/>
    <cellStyle name="Total 3 2 2 11 2 6" xfId="43069" xr:uid="{38F3F0C4-AC75-4832-A68C-8754513FE2F6}"/>
    <cellStyle name="Total 3 2 2 11 3" xfId="43070" xr:uid="{5847336A-14E1-4268-9B39-E57E02F9DC27}"/>
    <cellStyle name="Total 3 2 2 11 4" xfId="43071" xr:uid="{E55E514B-3146-4881-8790-FE4055E21FF0}"/>
    <cellStyle name="Total 3 2 2 11 5" xfId="43072" xr:uid="{4D4F1AB3-9E4F-45C2-8F58-909FC7AA18E0}"/>
    <cellStyle name="Total 3 2 2 11 6" xfId="43073" xr:uid="{F2D21CD5-1407-4592-A6FE-16279678A912}"/>
    <cellStyle name="Total 3 2 2 11 7" xfId="43074" xr:uid="{3CB2146F-9A38-439A-92A7-44D1EB7022A8}"/>
    <cellStyle name="Total 3 2 2 12" xfId="3208" xr:uid="{6E98C11E-751A-4DC1-A5FD-39B9534980AC}"/>
    <cellStyle name="Total 3 2 2 12 2" xfId="10937" xr:uid="{AC768BEC-7ABD-4B5E-82AA-CA9ED4EA1E58}"/>
    <cellStyle name="Total 3 2 2 12 2 2" xfId="43075" xr:uid="{D7E6E72A-645F-4CED-89BA-8CDF694681B3}"/>
    <cellStyle name="Total 3 2 2 12 2 3" xfId="43076" xr:uid="{C4BBC639-1DE6-4C2B-933E-3A32DF205C90}"/>
    <cellStyle name="Total 3 2 2 12 2 4" xfId="43077" xr:uid="{A0828581-7D24-46AE-892B-50C25A3C6EB5}"/>
    <cellStyle name="Total 3 2 2 12 2 5" xfId="43078" xr:uid="{527017F0-AE33-4BCD-A622-9A19B9469ADF}"/>
    <cellStyle name="Total 3 2 2 12 2 6" xfId="43079" xr:uid="{C326B814-CD4B-41BD-8E31-3E1CA4C331AF}"/>
    <cellStyle name="Total 3 2 2 12 3" xfId="43080" xr:uid="{84FB6071-E9F7-4BDE-9432-56F8817E55A3}"/>
    <cellStyle name="Total 3 2 2 12 4" xfId="43081" xr:uid="{5C113E35-1E76-4464-8B16-891DF43EA3A2}"/>
    <cellStyle name="Total 3 2 2 12 5" xfId="43082" xr:uid="{3F40DD6E-0A69-45A2-8B92-7E328D195357}"/>
    <cellStyle name="Total 3 2 2 12 6" xfId="43083" xr:uid="{ECAFF98A-7751-4F27-9104-D67736400062}"/>
    <cellStyle name="Total 3 2 2 12 7" xfId="43084" xr:uid="{56D29A69-7932-4F03-9F91-FE6302E102DE}"/>
    <cellStyle name="Total 3 2 2 13" xfId="3209" xr:uid="{6AF84CF9-9D6A-43E2-A579-5FC79C55695E}"/>
    <cellStyle name="Total 3 2 2 13 2" xfId="11027" xr:uid="{5588CBC3-DF45-47D8-A096-2905F1B3E678}"/>
    <cellStyle name="Total 3 2 2 13 2 2" xfId="43085" xr:uid="{61B0D134-4122-4BBF-BD7D-BD50BFF417CC}"/>
    <cellStyle name="Total 3 2 2 13 2 3" xfId="43086" xr:uid="{69A9975E-54AF-4FC9-83C4-06F2A346C89C}"/>
    <cellStyle name="Total 3 2 2 13 2 4" xfId="43087" xr:uid="{AFA90FA1-6715-4952-B66F-950820DCD470}"/>
    <cellStyle name="Total 3 2 2 13 2 5" xfId="43088" xr:uid="{DC627DFE-435F-49D5-87AB-C0314B3512C0}"/>
    <cellStyle name="Total 3 2 2 13 2 6" xfId="43089" xr:uid="{548304A9-89FB-4B58-96D9-B33EFEF9DB61}"/>
    <cellStyle name="Total 3 2 2 13 3" xfId="43090" xr:uid="{260C6274-85AC-4E38-8E0D-C1EFE41AC2EA}"/>
    <cellStyle name="Total 3 2 2 13 4" xfId="43091" xr:uid="{3D5D67D0-D1CF-40E8-ABB3-95D1414D5560}"/>
    <cellStyle name="Total 3 2 2 13 5" xfId="43092" xr:uid="{B937677B-E492-45A2-BDDA-6406BEFBAAA6}"/>
    <cellStyle name="Total 3 2 2 13 6" xfId="43093" xr:uid="{91117E48-19F4-4328-A60D-5D0AF318DF2A}"/>
    <cellStyle name="Total 3 2 2 13 7" xfId="43094" xr:uid="{8116FF43-73ED-49F7-B943-F2E1E5D81985}"/>
    <cellStyle name="Total 3 2 2 14" xfId="3210" xr:uid="{7C1A4FCB-6E3C-4262-BAD9-CF9510012A8B}"/>
    <cellStyle name="Total 3 2 2 14 2" xfId="11117" xr:uid="{EB12B1B1-0FDD-4104-B00A-73EDC05DC520}"/>
    <cellStyle name="Total 3 2 2 14 2 2" xfId="43095" xr:uid="{9642F04F-1777-494B-B683-9B08534376E4}"/>
    <cellStyle name="Total 3 2 2 14 2 3" xfId="43096" xr:uid="{CE37B5E5-048F-4C56-924A-B79C1792BB8F}"/>
    <cellStyle name="Total 3 2 2 14 2 4" xfId="43097" xr:uid="{AD1973AE-BC78-41E2-AB85-F1AE2BAA9850}"/>
    <cellStyle name="Total 3 2 2 14 2 5" xfId="43098" xr:uid="{29FD0219-E5BE-4DD2-95E1-DBE26D8CAFB2}"/>
    <cellStyle name="Total 3 2 2 14 2 6" xfId="43099" xr:uid="{48277E32-72F2-47DD-B370-9FAEF7B2572D}"/>
    <cellStyle name="Total 3 2 2 14 3" xfId="43100" xr:uid="{82410BBE-405C-4EB0-8809-FA5F18EA12CE}"/>
    <cellStyle name="Total 3 2 2 14 4" xfId="43101" xr:uid="{C7C6CBD9-18DB-442B-8D6E-318285EC0DAE}"/>
    <cellStyle name="Total 3 2 2 14 5" xfId="43102" xr:uid="{0A33E656-5762-400C-84FD-CCCD980F39C9}"/>
    <cellStyle name="Total 3 2 2 14 6" xfId="43103" xr:uid="{BFEAB538-17F6-4B6D-90BA-BEFCE9FDD9DE}"/>
    <cellStyle name="Total 3 2 2 14 7" xfId="43104" xr:uid="{CA6F01E0-CEFE-4EC7-879A-3098410A4F28}"/>
    <cellStyle name="Total 3 2 2 15" xfId="3211" xr:uid="{EAC4C168-88AF-4E7C-AADA-6BF2E6619D55}"/>
    <cellStyle name="Total 3 2 2 15 2" xfId="11200" xr:uid="{506A1021-AADD-474A-99D3-736639BD6BE9}"/>
    <cellStyle name="Total 3 2 2 15 2 2" xfId="43105" xr:uid="{66C41889-1FC7-4C10-92B3-79DFA07F8104}"/>
    <cellStyle name="Total 3 2 2 15 2 3" xfId="43106" xr:uid="{FBB51847-9206-4797-8887-AC036C402D37}"/>
    <cellStyle name="Total 3 2 2 15 2 4" xfId="43107" xr:uid="{10D702C2-E705-42C0-B986-202B1AF3C21A}"/>
    <cellStyle name="Total 3 2 2 15 2 5" xfId="43108" xr:uid="{E3D49146-CEDF-4E7A-9C98-8E30C26FC277}"/>
    <cellStyle name="Total 3 2 2 15 2 6" xfId="43109" xr:uid="{576D73C4-460D-4AB0-8B0F-D4CBAFBFC1C7}"/>
    <cellStyle name="Total 3 2 2 15 3" xfId="43110" xr:uid="{0DE23CF0-D272-464F-8702-55C6B5B35A22}"/>
    <cellStyle name="Total 3 2 2 15 4" xfId="43111" xr:uid="{F7E49C6C-EA97-4A3B-B324-CE6C893233D2}"/>
    <cellStyle name="Total 3 2 2 15 5" xfId="43112" xr:uid="{33D758CB-6E43-4664-88B1-582E93DE4E3C}"/>
    <cellStyle name="Total 3 2 2 15 6" xfId="43113" xr:uid="{39322565-77B6-4C55-8269-1808DDFA9DCA}"/>
    <cellStyle name="Total 3 2 2 15 7" xfId="43114" xr:uid="{57C8810C-8877-4E7E-AFA2-87705E82AB69}"/>
    <cellStyle name="Total 3 2 2 16" xfId="3212" xr:uid="{700FE22B-8684-4932-AD3A-9047C395F202}"/>
    <cellStyle name="Total 3 2 2 16 2" xfId="11290" xr:uid="{A0F3394A-C2C8-444F-9EDA-446E50FF80FB}"/>
    <cellStyle name="Total 3 2 2 16 2 2" xfId="43115" xr:uid="{7F1F154C-A782-4D6B-8872-DF9203CC31BC}"/>
    <cellStyle name="Total 3 2 2 16 2 3" xfId="43116" xr:uid="{DA584B7B-6890-4401-9955-EF2BA7FF7C35}"/>
    <cellStyle name="Total 3 2 2 16 2 4" xfId="43117" xr:uid="{13868EA0-5DF6-4CD7-8FEC-4A7F46848824}"/>
    <cellStyle name="Total 3 2 2 16 2 5" xfId="43118" xr:uid="{B9626839-9FCD-42B1-9D98-DA178A4DBC19}"/>
    <cellStyle name="Total 3 2 2 16 2 6" xfId="43119" xr:uid="{0779C9CC-963B-4E33-91A1-E3642320267F}"/>
    <cellStyle name="Total 3 2 2 16 3" xfId="43120" xr:uid="{BCA50861-B642-4919-BB3F-4C4C042AAF4A}"/>
    <cellStyle name="Total 3 2 2 16 4" xfId="43121" xr:uid="{83845334-6F04-42B2-81F5-648A016999AF}"/>
    <cellStyle name="Total 3 2 2 16 5" xfId="43122" xr:uid="{4928DEE9-1A0F-4291-BB4B-4A5C978AE3AC}"/>
    <cellStyle name="Total 3 2 2 16 6" xfId="43123" xr:uid="{508C18D8-713E-49B3-AB51-EC7008ABF9E6}"/>
    <cellStyle name="Total 3 2 2 16 7" xfId="43124" xr:uid="{1DAA8C73-EFB5-4839-B9CA-5B9A2D22D8F3}"/>
    <cellStyle name="Total 3 2 2 17" xfId="3213" xr:uid="{60A9724C-2F51-4CD4-B968-9F447522CDC1}"/>
    <cellStyle name="Total 3 2 2 17 2" xfId="11376" xr:uid="{04648E66-4747-486F-BED6-CAB386570C7D}"/>
    <cellStyle name="Total 3 2 2 17 2 2" xfId="43125" xr:uid="{DC4119C5-786C-4BC4-B860-68966D5BDED5}"/>
    <cellStyle name="Total 3 2 2 17 2 3" xfId="43126" xr:uid="{7D2E5639-105D-479F-A447-15753CD0176E}"/>
    <cellStyle name="Total 3 2 2 17 2 4" xfId="43127" xr:uid="{BE4DBF3C-7378-459E-A337-55EA3F71D612}"/>
    <cellStyle name="Total 3 2 2 17 2 5" xfId="43128" xr:uid="{35B07E19-52F8-43E7-A53B-8D58E515B0D9}"/>
    <cellStyle name="Total 3 2 2 17 2 6" xfId="43129" xr:uid="{A7276A86-60C6-44B4-9DE8-AA6051B057BD}"/>
    <cellStyle name="Total 3 2 2 17 3" xfId="43130" xr:uid="{22F3E5CF-6FA1-4749-BDF3-285B41CF5C8C}"/>
    <cellStyle name="Total 3 2 2 17 4" xfId="43131" xr:uid="{E1ACDF7C-E9EC-4EA6-84DF-E959EBEA6FDE}"/>
    <cellStyle name="Total 3 2 2 17 5" xfId="43132" xr:uid="{15DBFC5D-74E9-4B4C-A8CD-D0423A045E72}"/>
    <cellStyle name="Total 3 2 2 17 6" xfId="43133" xr:uid="{6C6E0A9C-5EB3-44A2-9F4D-A2FE72840DEA}"/>
    <cellStyle name="Total 3 2 2 17 7" xfId="43134" xr:uid="{5E3CEE4A-0010-4A6B-A572-8D360C143CE9}"/>
    <cellStyle name="Total 3 2 2 18" xfId="3214" xr:uid="{B4A1DDEA-D282-4628-8E99-DEE89BECD609}"/>
    <cellStyle name="Total 3 2 2 18 2" xfId="11463" xr:uid="{E408097F-26AE-415F-89D0-CD4E94DE76C0}"/>
    <cellStyle name="Total 3 2 2 18 2 2" xfId="43135" xr:uid="{13D20A7F-9AD7-4A87-965C-CF04CBC01144}"/>
    <cellStyle name="Total 3 2 2 18 2 3" xfId="43136" xr:uid="{C43DFE7E-9D55-4BFF-AB0F-5892A14F41B0}"/>
    <cellStyle name="Total 3 2 2 18 2 4" xfId="43137" xr:uid="{71ABDE9E-4356-4F8D-94C1-7DF0F8482577}"/>
    <cellStyle name="Total 3 2 2 18 2 5" xfId="43138" xr:uid="{24B540AE-8B0F-47AD-8E98-3E7F5409742A}"/>
    <cellStyle name="Total 3 2 2 18 2 6" xfId="43139" xr:uid="{06C39F4E-21D2-430E-91A0-47C7C7628388}"/>
    <cellStyle name="Total 3 2 2 18 3" xfId="43140" xr:uid="{D15A09A6-4ED0-452C-9240-C229638F361D}"/>
    <cellStyle name="Total 3 2 2 18 4" xfId="43141" xr:uid="{339A09FB-816E-4D2A-A113-DF6EF1AB5B05}"/>
    <cellStyle name="Total 3 2 2 18 5" xfId="43142" xr:uid="{02C140B9-5316-42CE-ACF6-63AE81F1E6E9}"/>
    <cellStyle name="Total 3 2 2 18 6" xfId="43143" xr:uid="{7DEE6F93-995A-49FC-B8C7-5B08571CA34C}"/>
    <cellStyle name="Total 3 2 2 18 7" xfId="43144" xr:uid="{47EE07BA-1D73-4E11-B5AC-FDD9FFEC5084}"/>
    <cellStyle name="Total 3 2 2 19" xfId="3215" xr:uid="{98A7D347-463E-40F7-9E61-BF768E8A3CEF}"/>
    <cellStyle name="Total 3 2 2 19 2" xfId="11550" xr:uid="{FF1B617E-BF3B-4F1F-AEE5-700CDDADCBE7}"/>
    <cellStyle name="Total 3 2 2 19 2 2" xfId="43145" xr:uid="{C9C15415-3A2A-49BF-BC9C-18B50C546A6E}"/>
    <cellStyle name="Total 3 2 2 19 2 3" xfId="43146" xr:uid="{4D220A5E-8EBD-4B7C-AFF5-A2FB450549A4}"/>
    <cellStyle name="Total 3 2 2 19 2 4" xfId="43147" xr:uid="{416F462A-7917-4B42-AF95-34498F9DAB25}"/>
    <cellStyle name="Total 3 2 2 19 2 5" xfId="43148" xr:uid="{B61966A9-3EC4-4AC0-B899-93F1B58EA6C2}"/>
    <cellStyle name="Total 3 2 2 19 2 6" xfId="43149" xr:uid="{5C90B1D3-8E40-48CF-940B-9C2AEDDBA11E}"/>
    <cellStyle name="Total 3 2 2 19 3" xfId="43150" xr:uid="{B6BF3C67-660B-4A71-B445-01A1759CAB5A}"/>
    <cellStyle name="Total 3 2 2 19 4" xfId="43151" xr:uid="{B8B1CBBD-BF06-486C-B4F9-DFD201E1B01E}"/>
    <cellStyle name="Total 3 2 2 19 5" xfId="43152" xr:uid="{36B8F63C-3FEC-47CE-AAA4-56BD3344D971}"/>
    <cellStyle name="Total 3 2 2 19 6" xfId="43153" xr:uid="{F8E6E48C-89A5-4F6A-A30E-EB3066D0325F}"/>
    <cellStyle name="Total 3 2 2 19 7" xfId="43154" xr:uid="{5330AB46-6EBB-4FAD-B97D-D68D063680AE}"/>
    <cellStyle name="Total 3 2 2 2" xfId="3216" xr:uid="{0E7107AC-D243-4665-8921-9FE952B174D5}"/>
    <cellStyle name="Total 3 2 2 2 2" xfId="10057" xr:uid="{F7C309E4-62B1-49BF-93F8-2B1570868C91}"/>
    <cellStyle name="Total 3 2 2 2 2 2" xfId="43155" xr:uid="{EE98DC01-9B5F-4145-98CD-B518DFB2906D}"/>
    <cellStyle name="Total 3 2 2 2 2 3" xfId="43156" xr:uid="{45CE8E94-7118-49C8-9244-80B38E4205FD}"/>
    <cellStyle name="Total 3 2 2 2 2 4" xfId="43157" xr:uid="{E1C85BB0-D8F3-4F5C-9A3F-086D526C8D8A}"/>
    <cellStyle name="Total 3 2 2 2 2 5" xfId="43158" xr:uid="{164604DD-1DBD-4896-A5B2-BC6A57ECD5F5}"/>
    <cellStyle name="Total 3 2 2 2 2 6" xfId="43159" xr:uid="{58C6468A-674D-449F-AF3F-E04EEA02BE9E}"/>
    <cellStyle name="Total 3 2 2 2 3" xfId="43160" xr:uid="{FA248163-7840-408E-A0D2-9227391F5F14}"/>
    <cellStyle name="Total 3 2 2 2 4" xfId="43161" xr:uid="{5815A872-F1CB-4BC8-BB2D-5D7F3128260C}"/>
    <cellStyle name="Total 3 2 2 2 5" xfId="43162" xr:uid="{4EFA0348-A0D6-4A1F-AABC-241E71DB9C7C}"/>
    <cellStyle name="Total 3 2 2 2 6" xfId="43163" xr:uid="{74DB2A07-EE70-44B3-AB48-19973B78F637}"/>
    <cellStyle name="Total 3 2 2 2 7" xfId="43164" xr:uid="{F1F74B63-3699-4C3C-B2D5-B4CFABD8C0A7}"/>
    <cellStyle name="Total 3 2 2 20" xfId="3217" xr:uid="{A5067232-3179-4003-9441-0C9E89991110}"/>
    <cellStyle name="Total 3 2 2 20 2" xfId="11638" xr:uid="{6E6C11B8-C4F4-4990-B5D4-04E61430CD52}"/>
    <cellStyle name="Total 3 2 2 20 2 2" xfId="43165" xr:uid="{A9427F12-F333-40F9-8486-C6DDA121D609}"/>
    <cellStyle name="Total 3 2 2 20 2 3" xfId="43166" xr:uid="{F77C5DAC-431B-4BFE-8B79-76A0A4371F47}"/>
    <cellStyle name="Total 3 2 2 20 2 4" xfId="43167" xr:uid="{8CE80C74-C93D-4282-8A77-C6166354E24D}"/>
    <cellStyle name="Total 3 2 2 20 2 5" xfId="43168" xr:uid="{B9BD6C7D-CD64-44A1-96C5-E09ACCD4CFC2}"/>
    <cellStyle name="Total 3 2 2 20 2 6" xfId="43169" xr:uid="{E284E947-D962-441D-80F0-7AA6ED65C512}"/>
    <cellStyle name="Total 3 2 2 20 3" xfId="43170" xr:uid="{B8924BB9-D022-4336-BF26-3B19DC388904}"/>
    <cellStyle name="Total 3 2 2 20 4" xfId="43171" xr:uid="{B69DF956-F1B4-46F0-BBB4-80516E33F6D0}"/>
    <cellStyle name="Total 3 2 2 20 5" xfId="43172" xr:uid="{C74BDA70-74E5-4F6B-A34B-300B4C79A994}"/>
    <cellStyle name="Total 3 2 2 20 6" xfId="43173" xr:uid="{D00E14AE-BBC1-469A-A8BE-0B39737755D3}"/>
    <cellStyle name="Total 3 2 2 20 7" xfId="43174" xr:uid="{DAEA15D5-81AA-438D-AA7F-72B5DDCBF61F}"/>
    <cellStyle name="Total 3 2 2 21" xfId="3218" xr:uid="{5FF03C11-1DD3-4B79-AA95-8CCE86A6A74D}"/>
    <cellStyle name="Total 3 2 2 21 2" xfId="11722" xr:uid="{0E3D611E-786B-496A-864F-BC4930CCF9BE}"/>
    <cellStyle name="Total 3 2 2 21 2 2" xfId="43175" xr:uid="{0D8BD27F-9AB1-48ED-8994-B9637636539D}"/>
    <cellStyle name="Total 3 2 2 21 2 3" xfId="43176" xr:uid="{D1254896-B757-40A2-A6F8-5D8EC2C8D56B}"/>
    <cellStyle name="Total 3 2 2 21 2 4" xfId="43177" xr:uid="{3BF89BBC-CD08-45E4-8127-FA99CB109E37}"/>
    <cellStyle name="Total 3 2 2 21 2 5" xfId="43178" xr:uid="{DFC2D0B7-AB77-4FD3-9704-E331DBFDEA24}"/>
    <cellStyle name="Total 3 2 2 21 2 6" xfId="43179" xr:uid="{95EECCA3-4048-46F0-BC20-A8CF6C3F1706}"/>
    <cellStyle name="Total 3 2 2 21 3" xfId="43180" xr:uid="{C7B46214-F8D9-410E-8E03-ECC67EB36428}"/>
    <cellStyle name="Total 3 2 2 21 4" xfId="43181" xr:uid="{EC654C5E-CE26-465D-9600-F76283115D8A}"/>
    <cellStyle name="Total 3 2 2 21 5" xfId="43182" xr:uid="{FEDEB6BB-CC1B-425D-B649-998D27AF177E}"/>
    <cellStyle name="Total 3 2 2 21 6" xfId="43183" xr:uid="{C2131BC4-3EBA-49E2-89C7-E97AB1019C3F}"/>
    <cellStyle name="Total 3 2 2 21 7" xfId="43184" xr:uid="{25162955-4618-41E6-B28C-ED7509704327}"/>
    <cellStyle name="Total 3 2 2 22" xfId="3219" xr:uid="{266DFF9B-4636-47DC-AD1F-1CBF7F683341}"/>
    <cellStyle name="Total 3 2 2 22 2" xfId="11805" xr:uid="{FEA0FBCE-7E85-4A52-8DA6-C2AA4EEEE5C0}"/>
    <cellStyle name="Total 3 2 2 22 2 2" xfId="43185" xr:uid="{E04F2838-7CC6-4871-8BB6-4F7B50300B04}"/>
    <cellStyle name="Total 3 2 2 22 2 3" xfId="43186" xr:uid="{E2AEF5BB-DE9B-4924-859F-23887BC2AF16}"/>
    <cellStyle name="Total 3 2 2 22 2 4" xfId="43187" xr:uid="{126EEAFE-995F-481C-9652-A07CE882F75F}"/>
    <cellStyle name="Total 3 2 2 22 2 5" xfId="43188" xr:uid="{1086EC2A-0DE7-4F15-AE7D-5CD1C27A30E3}"/>
    <cellStyle name="Total 3 2 2 22 2 6" xfId="43189" xr:uid="{19D04E95-3D01-47E9-AF84-FC2C60696626}"/>
    <cellStyle name="Total 3 2 2 22 3" xfId="43190" xr:uid="{F1B78C1F-802A-44D8-BB6D-08C0DB56CCF7}"/>
    <cellStyle name="Total 3 2 2 22 4" xfId="43191" xr:uid="{99F37344-2952-4B1C-8BB1-A5562DF1A905}"/>
    <cellStyle name="Total 3 2 2 22 5" xfId="43192" xr:uid="{09B73B70-4605-4BE3-B357-2DBA3CDFA40C}"/>
    <cellStyle name="Total 3 2 2 22 6" xfId="43193" xr:uid="{F864BF3E-C177-4CA7-BB6F-27A11F17AE94}"/>
    <cellStyle name="Total 3 2 2 22 7" xfId="43194" xr:uid="{7F968E16-3981-4951-9871-BC7202B71FD2}"/>
    <cellStyle name="Total 3 2 2 23" xfId="3220" xr:uid="{23B81091-ABF7-4C9C-BE92-82898640CCC8}"/>
    <cellStyle name="Total 3 2 2 23 2" xfId="11888" xr:uid="{EF4FD080-00C3-4583-B44E-79ACC0DE05D6}"/>
    <cellStyle name="Total 3 2 2 23 2 2" xfId="43195" xr:uid="{71325F8D-D023-444A-973E-13B0B67E3033}"/>
    <cellStyle name="Total 3 2 2 23 2 3" xfId="43196" xr:uid="{897578A5-921B-4496-8007-2B51D9ED71B0}"/>
    <cellStyle name="Total 3 2 2 23 2 4" xfId="43197" xr:uid="{FA9FA9B7-92CE-4183-93B2-EA2D4DB19AA7}"/>
    <cellStyle name="Total 3 2 2 23 2 5" xfId="43198" xr:uid="{CC827FD6-66A3-4217-B80E-96C189BAD937}"/>
    <cellStyle name="Total 3 2 2 23 2 6" xfId="43199" xr:uid="{DBDE753E-9799-4A09-A153-8D432AC257C5}"/>
    <cellStyle name="Total 3 2 2 23 3" xfId="43200" xr:uid="{C69A18F1-6E4D-4B32-81E5-392215E95E3A}"/>
    <cellStyle name="Total 3 2 2 23 4" xfId="43201" xr:uid="{C084F49F-B2B0-4706-9BEB-0748F9C3EB4B}"/>
    <cellStyle name="Total 3 2 2 23 5" xfId="43202" xr:uid="{CDCF11BD-39BC-4DFC-8D30-0DDB831F83B8}"/>
    <cellStyle name="Total 3 2 2 23 6" xfId="43203" xr:uid="{5B69E072-B22A-425B-828C-264C59F8817C}"/>
    <cellStyle name="Total 3 2 2 23 7" xfId="43204" xr:uid="{B1DC4CE6-06E5-479F-A7AC-6234A2448491}"/>
    <cellStyle name="Total 3 2 2 24" xfId="3221" xr:uid="{882F58D5-85AE-4DBF-96F9-F676065872E1}"/>
    <cellStyle name="Total 3 2 2 24 2" xfId="11972" xr:uid="{ED70B7B8-5363-41C8-9335-B592B9112E84}"/>
    <cellStyle name="Total 3 2 2 24 2 2" xfId="43205" xr:uid="{5B025C44-53EC-4F73-91B8-0CAB3AEE9729}"/>
    <cellStyle name="Total 3 2 2 24 2 3" xfId="43206" xr:uid="{DDA9C3E8-A122-4896-8430-9F7B7E6A4493}"/>
    <cellStyle name="Total 3 2 2 24 2 4" xfId="43207" xr:uid="{9501EAB1-4A1E-42BE-AF97-0E0FF4CEBA88}"/>
    <cellStyle name="Total 3 2 2 24 2 5" xfId="43208" xr:uid="{89F41B46-3C25-4A9C-84FB-24D86C00B656}"/>
    <cellStyle name="Total 3 2 2 24 2 6" xfId="43209" xr:uid="{CE4AC494-49A9-44D2-90E2-B47A0CBA9118}"/>
    <cellStyle name="Total 3 2 2 24 3" xfId="43210" xr:uid="{1472324B-091F-44A0-BD7F-56E3490226C8}"/>
    <cellStyle name="Total 3 2 2 24 4" xfId="43211" xr:uid="{09071B6C-BD8C-494A-B703-49FDF0E086DE}"/>
    <cellStyle name="Total 3 2 2 24 5" xfId="43212" xr:uid="{98CD4C69-0920-463F-81BA-E7EC4CEA4389}"/>
    <cellStyle name="Total 3 2 2 24 6" xfId="43213" xr:uid="{AE001FF8-22CF-480F-8BD0-0D49E73A4268}"/>
    <cellStyle name="Total 3 2 2 24 7" xfId="43214" xr:uid="{6B153160-42CA-43B5-A925-8D33D5E86D4C}"/>
    <cellStyle name="Total 3 2 2 25" xfId="3222" xr:uid="{6498F136-C09F-42A6-9850-5E763ACEF04C}"/>
    <cellStyle name="Total 3 2 2 25 2" xfId="12055" xr:uid="{EE85C7CB-B81C-42BE-9772-AA245D062C22}"/>
    <cellStyle name="Total 3 2 2 25 2 2" xfId="43215" xr:uid="{8719C427-337C-4ECB-9011-B0BA0B784E98}"/>
    <cellStyle name="Total 3 2 2 25 2 3" xfId="43216" xr:uid="{3B811B24-2DD4-4F9F-9EB0-A611EC4AAE73}"/>
    <cellStyle name="Total 3 2 2 25 2 4" xfId="43217" xr:uid="{363552F8-D6CA-4158-95E6-BFC917889464}"/>
    <cellStyle name="Total 3 2 2 25 2 5" xfId="43218" xr:uid="{32D17433-1FB9-46EC-AB75-84FF3EEE3D70}"/>
    <cellStyle name="Total 3 2 2 25 2 6" xfId="43219" xr:uid="{9787F80B-D869-42F6-87C8-D39BF4E6645C}"/>
    <cellStyle name="Total 3 2 2 25 3" xfId="43220" xr:uid="{F4B42CEC-9333-44F3-8A43-EA9CA8ED857D}"/>
    <cellStyle name="Total 3 2 2 25 4" xfId="43221" xr:uid="{D50D7B0B-4997-41B1-A359-F6F9D9CD3A1B}"/>
    <cellStyle name="Total 3 2 2 25 5" xfId="43222" xr:uid="{5429C5B6-F90B-4A7F-89BE-7405190EFA6E}"/>
    <cellStyle name="Total 3 2 2 25 6" xfId="43223" xr:uid="{55817FF4-8FA7-4BBC-8933-DB3E158E62F2}"/>
    <cellStyle name="Total 3 2 2 25 7" xfId="43224" xr:uid="{650DF490-3EC1-4527-848F-C66FA998E9DE}"/>
    <cellStyle name="Total 3 2 2 26" xfId="3223" xr:uid="{B514AF90-BCB6-4B22-9F87-2FCF56A8FEB2}"/>
    <cellStyle name="Total 3 2 2 26 2" xfId="12138" xr:uid="{300FDC6E-5EB8-402D-8D3A-455B571859CD}"/>
    <cellStyle name="Total 3 2 2 26 2 2" xfId="43225" xr:uid="{0FB9524C-0CD8-4FF6-9253-B4C8D4282B11}"/>
    <cellStyle name="Total 3 2 2 26 2 3" xfId="43226" xr:uid="{B049B930-306C-4DA9-AD06-4DED76D7978F}"/>
    <cellStyle name="Total 3 2 2 26 2 4" xfId="43227" xr:uid="{F1879C9C-C685-43B6-9146-7B47F1502176}"/>
    <cellStyle name="Total 3 2 2 26 2 5" xfId="43228" xr:uid="{198DC9DA-51DF-49CC-8CA9-3669822D2889}"/>
    <cellStyle name="Total 3 2 2 26 2 6" xfId="43229" xr:uid="{F2C57F7D-063B-4C97-A9B3-D348D246B530}"/>
    <cellStyle name="Total 3 2 2 26 3" xfId="43230" xr:uid="{40821F3B-BA9D-4746-BADD-104A382CBE5E}"/>
    <cellStyle name="Total 3 2 2 26 4" xfId="43231" xr:uid="{41EB2433-08DB-416B-8409-05ADA87D0BB8}"/>
    <cellStyle name="Total 3 2 2 26 5" xfId="43232" xr:uid="{CFE840E3-7159-4D19-8E56-371EFA30949A}"/>
    <cellStyle name="Total 3 2 2 26 6" xfId="43233" xr:uid="{F13AB29B-4FDE-49B2-AF3C-C16DC3B1055D}"/>
    <cellStyle name="Total 3 2 2 26 7" xfId="43234" xr:uid="{C1B97664-A55B-4C47-9CAF-7B0A1BF767DC}"/>
    <cellStyle name="Total 3 2 2 27" xfId="3224" xr:uid="{BEDC04A6-0532-4132-8B86-A7C2F88DCD81}"/>
    <cellStyle name="Total 3 2 2 27 2" xfId="12220" xr:uid="{E2E0E19F-7F18-4264-9A6F-496EE6CC1357}"/>
    <cellStyle name="Total 3 2 2 27 2 2" xfId="43235" xr:uid="{15351D97-7107-4018-A948-B5242EF85F90}"/>
    <cellStyle name="Total 3 2 2 27 2 3" xfId="43236" xr:uid="{9387C82D-398C-4907-8643-A9FD9C682F3A}"/>
    <cellStyle name="Total 3 2 2 27 2 4" xfId="43237" xr:uid="{E26A1B0A-91AB-477C-972E-5E923C86262B}"/>
    <cellStyle name="Total 3 2 2 27 2 5" xfId="43238" xr:uid="{770503B2-3DAB-4605-AFF5-E3B6001DBB45}"/>
    <cellStyle name="Total 3 2 2 27 2 6" xfId="43239" xr:uid="{018F6345-237A-4BC3-B899-E86B98C1F6E3}"/>
    <cellStyle name="Total 3 2 2 27 3" xfId="43240" xr:uid="{B05C9313-5964-4AEB-81CE-9240381C3508}"/>
    <cellStyle name="Total 3 2 2 27 4" xfId="43241" xr:uid="{C08CA3BF-C013-4746-8F09-B8A10681850A}"/>
    <cellStyle name="Total 3 2 2 27 5" xfId="43242" xr:uid="{696B4A2C-1CDF-4F78-8AFE-229DB7EB1451}"/>
    <cellStyle name="Total 3 2 2 27 6" xfId="43243" xr:uid="{EBFF48F1-0041-4C59-AF4B-95057E23E3DF}"/>
    <cellStyle name="Total 3 2 2 27 7" xfId="43244" xr:uid="{88BA6EB6-4B10-4D0D-9B87-DE3F77F5391D}"/>
    <cellStyle name="Total 3 2 2 28" xfId="3225" xr:uid="{977E4510-28D3-42AD-BCF4-8B2C34C6ADC4}"/>
    <cellStyle name="Total 3 2 2 28 2" xfId="12300" xr:uid="{996F131E-55CD-4A27-8897-796C75AEE2B7}"/>
    <cellStyle name="Total 3 2 2 28 2 2" xfId="43245" xr:uid="{57CAB080-0F40-4F75-82C3-7FF636BF9F8B}"/>
    <cellStyle name="Total 3 2 2 28 2 3" xfId="43246" xr:uid="{BB9C1CC3-58AD-43BF-BB6C-AA84913CE4FD}"/>
    <cellStyle name="Total 3 2 2 28 2 4" xfId="43247" xr:uid="{992DEE83-EE8A-4BF3-ABCA-A0810F87D4E3}"/>
    <cellStyle name="Total 3 2 2 28 2 5" xfId="43248" xr:uid="{9C179477-E98E-4219-9C3C-6EC8C1B24D70}"/>
    <cellStyle name="Total 3 2 2 28 2 6" xfId="43249" xr:uid="{FBD45923-31B0-40B6-A319-822EF6210121}"/>
    <cellStyle name="Total 3 2 2 28 3" xfId="43250" xr:uid="{DFB992A9-5373-46F6-BAC8-2EF86F121E8C}"/>
    <cellStyle name="Total 3 2 2 28 4" xfId="43251" xr:uid="{AEA23189-40A1-4003-9720-12EE6A38EE84}"/>
    <cellStyle name="Total 3 2 2 28 5" xfId="43252" xr:uid="{5BE759B8-620B-4C68-A775-51829FF97FA1}"/>
    <cellStyle name="Total 3 2 2 28 6" xfId="43253" xr:uid="{69DC2CCE-507C-4681-BA93-CAB5159ABC30}"/>
    <cellStyle name="Total 3 2 2 28 7" xfId="43254" xr:uid="{7268615A-C412-46B5-8939-297AEBEC98A4}"/>
    <cellStyle name="Total 3 2 2 29" xfId="3226" xr:uid="{3F673EB7-AFFC-45A9-82A8-D1EBB0DF0F9F}"/>
    <cellStyle name="Total 3 2 2 29 2" xfId="12378" xr:uid="{E0F7F6F0-D0BB-4F27-A994-C4D734BC7398}"/>
    <cellStyle name="Total 3 2 2 29 2 2" xfId="43255" xr:uid="{D004192C-B6BC-4687-8BCF-AF5B21EAE8FD}"/>
    <cellStyle name="Total 3 2 2 29 2 3" xfId="43256" xr:uid="{FA9D6A4B-68CD-47B1-BE17-8B980F60D267}"/>
    <cellStyle name="Total 3 2 2 29 2 4" xfId="43257" xr:uid="{EE188278-2DBB-4D8E-BEBC-C2A9C72D7ACB}"/>
    <cellStyle name="Total 3 2 2 29 2 5" xfId="43258" xr:uid="{8F15A269-650A-45AC-82D3-90EB8946EE34}"/>
    <cellStyle name="Total 3 2 2 29 2 6" xfId="43259" xr:uid="{E19BA98C-4191-4DB2-8E5A-083936AD1160}"/>
    <cellStyle name="Total 3 2 2 29 3" xfId="43260" xr:uid="{32217847-4905-4E76-AB83-F05A1CE9D710}"/>
    <cellStyle name="Total 3 2 2 29 4" xfId="43261" xr:uid="{52554E64-1630-4623-B6CF-DF2E2B10ACE9}"/>
    <cellStyle name="Total 3 2 2 29 5" xfId="43262" xr:uid="{C0899EBB-CF1C-42BE-B1F9-E4C223C8CBA3}"/>
    <cellStyle name="Total 3 2 2 29 6" xfId="43263" xr:uid="{03FBB351-98B5-46B3-B9FB-B3C2474FAF6C}"/>
    <cellStyle name="Total 3 2 2 29 7" xfId="43264" xr:uid="{F63E123E-20A3-42DA-AB21-C2DB233F5AC6}"/>
    <cellStyle name="Total 3 2 2 3" xfId="3227" xr:uid="{22634DDE-085A-48EC-9058-C475D30506A2}"/>
    <cellStyle name="Total 3 2 2 3 2" xfId="10148" xr:uid="{8A05D38E-E35E-4029-B718-594E8EBCDB33}"/>
    <cellStyle name="Total 3 2 2 3 2 2" xfId="43265" xr:uid="{4DDE9936-6141-4012-BB96-1546854F84C2}"/>
    <cellStyle name="Total 3 2 2 3 2 3" xfId="43266" xr:uid="{C1EB91B7-62D3-4808-B31E-C433FB9B87B0}"/>
    <cellStyle name="Total 3 2 2 3 2 4" xfId="43267" xr:uid="{105C41CE-1F39-44B7-84B9-5D0A89C7C53B}"/>
    <cellStyle name="Total 3 2 2 3 2 5" xfId="43268" xr:uid="{D59EF668-937F-4479-B4F5-A3F5DC0996F2}"/>
    <cellStyle name="Total 3 2 2 3 2 6" xfId="43269" xr:uid="{9E63E31A-0A93-4461-BF35-39FD51707A7C}"/>
    <cellStyle name="Total 3 2 2 3 3" xfId="43270" xr:uid="{2BAA0600-95BF-4F39-8752-1E37E11DAB6C}"/>
    <cellStyle name="Total 3 2 2 3 4" xfId="43271" xr:uid="{FBD2C09F-E219-4A8B-AE38-3E95B100BE2E}"/>
    <cellStyle name="Total 3 2 2 3 5" xfId="43272" xr:uid="{48169C65-E2C5-4C8B-9C3B-22AE5EE77B3D}"/>
    <cellStyle name="Total 3 2 2 3 6" xfId="43273" xr:uid="{A2D95D6A-F3BC-41BA-A531-22AF6224270B}"/>
    <cellStyle name="Total 3 2 2 3 7" xfId="43274" xr:uid="{AA5F35DF-8568-4A32-B937-7E0EDF1D69A3}"/>
    <cellStyle name="Total 3 2 2 30" xfId="3228" xr:uid="{1DAEC94E-7938-463F-B2C9-A65C133B3440}"/>
    <cellStyle name="Total 3 2 2 30 2" xfId="12457" xr:uid="{A66232EF-C4E5-403A-BC9E-2824CDC67B1A}"/>
    <cellStyle name="Total 3 2 2 30 2 2" xfId="43275" xr:uid="{F800C300-EB9C-4648-BFBD-9503629BEEF6}"/>
    <cellStyle name="Total 3 2 2 30 2 3" xfId="43276" xr:uid="{0F6F2A3F-4CEA-4078-8846-301769E59E02}"/>
    <cellStyle name="Total 3 2 2 30 2 4" xfId="43277" xr:uid="{911CE2E7-5677-4247-9DF8-BA4FB369FC68}"/>
    <cellStyle name="Total 3 2 2 30 2 5" xfId="43278" xr:uid="{48BD9B41-76A8-41ED-BD0F-2F65347AC834}"/>
    <cellStyle name="Total 3 2 2 30 2 6" xfId="43279" xr:uid="{D698464C-373C-4D51-84C1-E2838B45DD70}"/>
    <cellStyle name="Total 3 2 2 30 3" xfId="43280" xr:uid="{97EF6B4E-0B23-442C-9AB4-E4C3E78BDB22}"/>
    <cellStyle name="Total 3 2 2 30 4" xfId="43281" xr:uid="{8C5A2E42-B282-4FEF-A721-2BCCEFFF4E24}"/>
    <cellStyle name="Total 3 2 2 30 5" xfId="43282" xr:uid="{071F6C8D-59F8-4A7F-8787-74AFF7C857C9}"/>
    <cellStyle name="Total 3 2 2 30 6" xfId="43283" xr:uid="{7E046A2C-0A60-4304-8FC2-0DB497906EEC}"/>
    <cellStyle name="Total 3 2 2 30 7" xfId="43284" xr:uid="{E145AE39-F44B-40A8-9AE6-A4EDE4F3D5ED}"/>
    <cellStyle name="Total 3 2 2 31" xfId="3229" xr:uid="{57048273-BA8F-40B4-B4BB-ACD255057ED5}"/>
    <cellStyle name="Total 3 2 2 31 2" xfId="12536" xr:uid="{DDBD2EC5-1F63-4EEE-BB7F-1195EFAEDA46}"/>
    <cellStyle name="Total 3 2 2 31 2 2" xfId="43285" xr:uid="{F51A31B6-CB1F-442B-8C97-3D3F2173CC14}"/>
    <cellStyle name="Total 3 2 2 31 2 3" xfId="43286" xr:uid="{D02F88A1-CBCF-4EFC-9190-9D3568813518}"/>
    <cellStyle name="Total 3 2 2 31 2 4" xfId="43287" xr:uid="{0C737E73-A0B9-4DAB-B896-E145425A5A14}"/>
    <cellStyle name="Total 3 2 2 31 2 5" xfId="43288" xr:uid="{0855447E-1E76-4912-8832-0D2965B67ABC}"/>
    <cellStyle name="Total 3 2 2 31 2 6" xfId="43289" xr:uid="{027A019A-2D8F-4609-90D9-087253B96C28}"/>
    <cellStyle name="Total 3 2 2 31 3" xfId="43290" xr:uid="{C503F113-8560-487A-969A-813B12534847}"/>
    <cellStyle name="Total 3 2 2 31 4" xfId="43291" xr:uid="{26FF73C4-34F7-4EDC-BDF6-83435596339F}"/>
    <cellStyle name="Total 3 2 2 31 5" xfId="43292" xr:uid="{790D6C9E-1E6F-4CAC-B6A6-39B70A3DDCF6}"/>
    <cellStyle name="Total 3 2 2 31 6" xfId="43293" xr:uid="{A94773A5-2DB7-4F18-B868-DF39EFAFB36A}"/>
    <cellStyle name="Total 3 2 2 31 7" xfId="43294" xr:uid="{2CDC70D8-8A05-4C5A-BE98-4AABDCA4C7CB}"/>
    <cellStyle name="Total 3 2 2 32" xfId="3230" xr:uid="{1CE03190-F093-4F24-A04B-026AEA0ED6B7}"/>
    <cellStyle name="Total 3 2 2 32 2" xfId="12615" xr:uid="{F6A7EA3E-3B15-47F6-8B7F-DB8F6B210C71}"/>
    <cellStyle name="Total 3 2 2 32 2 2" xfId="43295" xr:uid="{6C10E34C-5116-4F91-AFB3-3B1CC5057445}"/>
    <cellStyle name="Total 3 2 2 32 2 3" xfId="43296" xr:uid="{A83C97A6-FB97-4FDE-AD94-3468B77EA6A2}"/>
    <cellStyle name="Total 3 2 2 32 2 4" xfId="43297" xr:uid="{BC74D6EF-3AEE-48A2-B396-E01507E10935}"/>
    <cellStyle name="Total 3 2 2 32 2 5" xfId="43298" xr:uid="{887FB347-5069-4D7D-B95C-D519C210FC97}"/>
    <cellStyle name="Total 3 2 2 32 2 6" xfId="43299" xr:uid="{31936A73-25D8-41DB-BA13-7BFF3F0FAA4A}"/>
    <cellStyle name="Total 3 2 2 32 3" xfId="43300" xr:uid="{F56DC48F-5F06-488B-84A6-2227548CC47C}"/>
    <cellStyle name="Total 3 2 2 32 4" xfId="43301" xr:uid="{2A7FD865-FCAC-4264-94E4-BAB9C8162112}"/>
    <cellStyle name="Total 3 2 2 32 5" xfId="43302" xr:uid="{5434B1F9-C2EF-43B1-84EC-9D71C38308B6}"/>
    <cellStyle name="Total 3 2 2 32 6" xfId="43303" xr:uid="{A7160BA9-6F85-4523-B11F-CAE3F9835241}"/>
    <cellStyle name="Total 3 2 2 32 7" xfId="43304" xr:uid="{311B0721-67EF-4137-972E-F0A269FACDBE}"/>
    <cellStyle name="Total 3 2 2 33" xfId="3231" xr:uid="{9372E551-ED12-47E6-8F02-F48549F67756}"/>
    <cellStyle name="Total 3 2 2 33 2" xfId="12694" xr:uid="{B271C248-51AE-4832-AD51-E03AEC5646B5}"/>
    <cellStyle name="Total 3 2 2 33 2 2" xfId="43305" xr:uid="{EDE64CDF-13BE-4397-9539-1E135BF89327}"/>
    <cellStyle name="Total 3 2 2 33 2 3" xfId="43306" xr:uid="{9F220DD0-5827-448C-B1B1-BB70370B48CF}"/>
    <cellStyle name="Total 3 2 2 33 2 4" xfId="43307" xr:uid="{619E2602-494D-4BB5-8650-05082D386C59}"/>
    <cellStyle name="Total 3 2 2 33 2 5" xfId="43308" xr:uid="{33C727B2-B258-4C62-AC46-3C999A6E100A}"/>
    <cellStyle name="Total 3 2 2 33 2 6" xfId="43309" xr:uid="{28D94549-4DB6-496D-88AD-459A93CCE174}"/>
    <cellStyle name="Total 3 2 2 33 3" xfId="43310" xr:uid="{9D903E68-04AB-404D-BF6C-5614158AA26B}"/>
    <cellStyle name="Total 3 2 2 33 4" xfId="43311" xr:uid="{63D75257-268F-4E8D-BD02-2BD25D234ED9}"/>
    <cellStyle name="Total 3 2 2 33 5" xfId="43312" xr:uid="{D992C417-BC03-4D7E-82EC-2D17E65F45D9}"/>
    <cellStyle name="Total 3 2 2 33 6" xfId="43313" xr:uid="{BA668139-DFE7-4DBA-95E5-5A1CFC23BF08}"/>
    <cellStyle name="Total 3 2 2 33 7" xfId="43314" xr:uid="{2B41846B-7238-42CF-981C-F26DF6D7C125}"/>
    <cellStyle name="Total 3 2 2 34" xfId="3232" xr:uid="{F4322B3F-0BF1-481B-80C2-6310CCAF5D0A}"/>
    <cellStyle name="Total 3 2 2 34 2" xfId="12778" xr:uid="{EBF65B58-B3CE-40AF-BD85-075B7BB7444F}"/>
    <cellStyle name="Total 3 2 2 34 2 2" xfId="43315" xr:uid="{098D503C-306F-4A38-91CB-50D2D92ADDDC}"/>
    <cellStyle name="Total 3 2 2 34 2 3" xfId="43316" xr:uid="{611FE168-F271-4D24-8DA8-CD82B0563F2B}"/>
    <cellStyle name="Total 3 2 2 34 2 4" xfId="43317" xr:uid="{F1FC062B-9466-4391-8AD8-A1B791779763}"/>
    <cellStyle name="Total 3 2 2 34 2 5" xfId="43318" xr:uid="{83A15BED-4FEF-4B02-9582-A525E6CCAC3B}"/>
    <cellStyle name="Total 3 2 2 34 2 6" xfId="43319" xr:uid="{8EB984C9-176D-474B-BDDB-C56F67D38A6A}"/>
    <cellStyle name="Total 3 2 2 34 3" xfId="43320" xr:uid="{0B559E96-0CE7-4365-8818-E1A74D8F5B71}"/>
    <cellStyle name="Total 3 2 2 34 4" xfId="43321" xr:uid="{D22ED206-67CB-439D-AAD5-5A0871F19C51}"/>
    <cellStyle name="Total 3 2 2 34 5" xfId="43322" xr:uid="{C6073320-F0F9-4DC9-9404-6D819CF36CBB}"/>
    <cellStyle name="Total 3 2 2 35" xfId="9690" xr:uid="{7AE81A5C-BB67-4167-850A-330C1BA46177}"/>
    <cellStyle name="Total 3 2 2 36" xfId="9844" xr:uid="{1B8B6242-02F4-4B4C-B228-214C7F808C49}"/>
    <cellStyle name="Total 3 2 2 36 2" xfId="43323" xr:uid="{BEA012E7-E5CA-45FA-B615-52277206B7AC}"/>
    <cellStyle name="Total 3 2 2 36 3" xfId="43324" xr:uid="{DE66BC1C-AA08-48C1-8039-2FD279847BE0}"/>
    <cellStyle name="Total 3 2 2 36 4" xfId="43325" xr:uid="{5748BD79-9063-4ACD-9502-51402314EB3A}"/>
    <cellStyle name="Total 3 2 2 36 5" xfId="43326" xr:uid="{F012348B-232E-4A6F-9949-4B06498A161F}"/>
    <cellStyle name="Total 3 2 2 36 6" xfId="43327" xr:uid="{55530C99-2052-42F4-8B95-DCC4B931C225}"/>
    <cellStyle name="Total 3 2 2 37" xfId="43328" xr:uid="{736A03DA-DB0D-4438-94F0-F1332BF38AEB}"/>
    <cellStyle name="Total 3 2 2 38" xfId="43329" xr:uid="{63B9083E-F437-43DC-845F-157DFC865272}"/>
    <cellStyle name="Total 3 2 2 39" xfId="43330" xr:uid="{8A8E0110-35E9-41C1-941C-B83738517742}"/>
    <cellStyle name="Total 3 2 2 4" xfId="3233" xr:uid="{3A6973B7-5BE1-4A6E-B49F-5B80D652CB7F}"/>
    <cellStyle name="Total 3 2 2 4 2" xfId="10238" xr:uid="{04B1858F-5B12-4DF5-AC0C-518E7FF3374F}"/>
    <cellStyle name="Total 3 2 2 4 2 2" xfId="43331" xr:uid="{03BC14F4-6ECE-46CF-98F0-C4199AB6ECF6}"/>
    <cellStyle name="Total 3 2 2 4 2 3" xfId="43332" xr:uid="{EAA94F4B-A03E-4F6B-AB7B-0141EE97243A}"/>
    <cellStyle name="Total 3 2 2 4 2 4" xfId="43333" xr:uid="{025C36E4-1CB0-4120-B4A0-57923F8DE64C}"/>
    <cellStyle name="Total 3 2 2 4 2 5" xfId="43334" xr:uid="{A3A05408-3EE4-42E1-B4AF-A40184965EC2}"/>
    <cellStyle name="Total 3 2 2 4 2 6" xfId="43335" xr:uid="{EFE16C82-19A8-426D-B72B-4D1E6C155813}"/>
    <cellStyle name="Total 3 2 2 4 3" xfId="43336" xr:uid="{9355648F-8223-4205-A51E-054EF637DCF5}"/>
    <cellStyle name="Total 3 2 2 4 4" xfId="43337" xr:uid="{7D38B28A-CCCE-4DDF-A8A5-9649B7F5799F}"/>
    <cellStyle name="Total 3 2 2 4 5" xfId="43338" xr:uid="{002E62B8-5225-42BB-AF67-BB7BAB583B18}"/>
    <cellStyle name="Total 3 2 2 4 6" xfId="43339" xr:uid="{AE170E8C-1AD1-415D-BD55-73DF9EE8694E}"/>
    <cellStyle name="Total 3 2 2 4 7" xfId="43340" xr:uid="{0F04F543-2F8B-4D03-8723-E4D01F382C8D}"/>
    <cellStyle name="Total 3 2 2 5" xfId="3234" xr:uid="{C5D6EC4D-4DD5-4603-97BD-8D3245002CFB}"/>
    <cellStyle name="Total 3 2 2 5 2" xfId="10324" xr:uid="{03BCC578-37A1-4C22-98EE-E39768EB1D71}"/>
    <cellStyle name="Total 3 2 2 5 2 2" xfId="43341" xr:uid="{1B101E3D-4050-432D-BE55-0A376F18514F}"/>
    <cellStyle name="Total 3 2 2 5 2 3" xfId="43342" xr:uid="{3FE449F1-E1DE-4CCF-A511-E477E93577D9}"/>
    <cellStyle name="Total 3 2 2 5 2 4" xfId="43343" xr:uid="{F2295229-2AB9-447B-A4DB-E3A340E251E5}"/>
    <cellStyle name="Total 3 2 2 5 2 5" xfId="43344" xr:uid="{6E71AF2C-BE67-454D-B2A6-CC5CFF7C29FE}"/>
    <cellStyle name="Total 3 2 2 5 2 6" xfId="43345" xr:uid="{BFF3255B-CF25-43A4-A1A4-EE177CD75FAD}"/>
    <cellStyle name="Total 3 2 2 5 3" xfId="43346" xr:uid="{3D754A66-9469-4AF8-8D3A-28B90780FA55}"/>
    <cellStyle name="Total 3 2 2 5 4" xfId="43347" xr:uid="{0D86DCC5-07A1-485F-8B0B-08A7F12C1B72}"/>
    <cellStyle name="Total 3 2 2 5 5" xfId="43348" xr:uid="{0AA2840D-5EFE-4DDB-A2D9-C8337BC4BEC5}"/>
    <cellStyle name="Total 3 2 2 5 6" xfId="43349" xr:uid="{9E454ADC-2101-4ECC-B011-94EA9DF89BDA}"/>
    <cellStyle name="Total 3 2 2 5 7" xfId="43350" xr:uid="{D734D757-6B1C-4E5B-9B4F-862547F92C15}"/>
    <cellStyle name="Total 3 2 2 6" xfId="3235" xr:uid="{6264CDB9-4C2D-43E5-BFE8-EEB9406B2B8A}"/>
    <cellStyle name="Total 3 2 2 6 2" xfId="10412" xr:uid="{FD12BD56-E58C-48F8-9BFD-7BF6E61E439E}"/>
    <cellStyle name="Total 3 2 2 6 2 2" xfId="43351" xr:uid="{33993A6F-7FDB-41D8-878C-474A408D9EB8}"/>
    <cellStyle name="Total 3 2 2 6 2 3" xfId="43352" xr:uid="{709C3C85-A6B2-426A-AE8C-C846784D94E1}"/>
    <cellStyle name="Total 3 2 2 6 2 4" xfId="43353" xr:uid="{CBA353D5-C898-445F-A405-3FB99CE00F1E}"/>
    <cellStyle name="Total 3 2 2 6 2 5" xfId="43354" xr:uid="{50367A68-E3C9-41EC-B591-28966BCEF033}"/>
    <cellStyle name="Total 3 2 2 6 2 6" xfId="43355" xr:uid="{02A11F31-E719-45D0-AF32-65D6112CEF66}"/>
    <cellStyle name="Total 3 2 2 6 3" xfId="43356" xr:uid="{68A82383-40F2-48C7-AD2B-75C2A4EDF0DF}"/>
    <cellStyle name="Total 3 2 2 6 4" xfId="43357" xr:uid="{194D299A-B0E2-411B-8A75-FC0CD1DBF978}"/>
    <cellStyle name="Total 3 2 2 6 5" xfId="43358" xr:uid="{1B4A43DA-80A7-493B-936B-41AA3026C5D2}"/>
    <cellStyle name="Total 3 2 2 6 6" xfId="43359" xr:uid="{32252BB7-B966-4358-9667-53BC0A07D434}"/>
    <cellStyle name="Total 3 2 2 6 7" xfId="43360" xr:uid="{0512141C-66C6-45A8-BC76-AE5DB2FE5E48}"/>
    <cellStyle name="Total 3 2 2 7" xfId="3236" xr:uid="{EC33A66B-ACC1-4DAC-8E9D-FF4166000B3C}"/>
    <cellStyle name="Total 3 2 2 7 2" xfId="10499" xr:uid="{2EA6F366-5445-4FF5-B3BB-D4095B949B95}"/>
    <cellStyle name="Total 3 2 2 7 2 2" xfId="43361" xr:uid="{ED68AEBE-A454-4F0F-A877-768488B741B6}"/>
    <cellStyle name="Total 3 2 2 7 2 3" xfId="43362" xr:uid="{B333A319-E613-41C1-8705-F1B380416E2E}"/>
    <cellStyle name="Total 3 2 2 7 2 4" xfId="43363" xr:uid="{48F37DD0-EC87-49CB-BA4E-8DA2FC693E62}"/>
    <cellStyle name="Total 3 2 2 7 2 5" xfId="43364" xr:uid="{442AEB61-64A5-4E95-97E5-B31AC64A25B6}"/>
    <cellStyle name="Total 3 2 2 7 2 6" xfId="43365" xr:uid="{50962917-6ED9-409F-B4F5-B73A16ACA5FF}"/>
    <cellStyle name="Total 3 2 2 7 3" xfId="43366" xr:uid="{991E4E59-D4E3-4A70-BFC7-0BFB67EFDE2D}"/>
    <cellStyle name="Total 3 2 2 7 4" xfId="43367" xr:uid="{CD9AFB3D-72E4-4127-8746-277FA30D3FDC}"/>
    <cellStyle name="Total 3 2 2 7 5" xfId="43368" xr:uid="{6272C5F1-8FFB-4440-AA06-A5119BA21C87}"/>
    <cellStyle name="Total 3 2 2 7 6" xfId="43369" xr:uid="{FCB8A7A7-6047-43A7-BEB4-B2805C237EE0}"/>
    <cellStyle name="Total 3 2 2 7 7" xfId="43370" xr:uid="{BAA4D01A-00D5-4003-938E-8B9315D6A9BC}"/>
    <cellStyle name="Total 3 2 2 8" xfId="3237" xr:uid="{C33FF9BE-7EEF-4297-AE7B-7349DB9C7370}"/>
    <cellStyle name="Total 3 2 2 8 2" xfId="10587" xr:uid="{FE42D7BF-0433-46D8-9768-8D741AC3289F}"/>
    <cellStyle name="Total 3 2 2 8 2 2" xfId="43371" xr:uid="{78953676-E14E-432F-A6D4-CDCB95416125}"/>
    <cellStyle name="Total 3 2 2 8 2 3" xfId="43372" xr:uid="{EEFD5986-4B32-47EE-9447-16D000FB3E05}"/>
    <cellStyle name="Total 3 2 2 8 2 4" xfId="43373" xr:uid="{2FAA7BDA-30CE-4EDF-B0AB-FCB200F6CE37}"/>
    <cellStyle name="Total 3 2 2 8 2 5" xfId="43374" xr:uid="{36C48469-C6E3-4FF9-9779-AE3BF375124A}"/>
    <cellStyle name="Total 3 2 2 8 2 6" xfId="43375" xr:uid="{792488EE-CA33-4171-A739-2A1B815B23A1}"/>
    <cellStyle name="Total 3 2 2 8 3" xfId="43376" xr:uid="{3B5253F4-1237-4322-B8D6-9A0630E106AE}"/>
    <cellStyle name="Total 3 2 2 8 4" xfId="43377" xr:uid="{9B659C70-FACF-49AE-8868-9BC74472487B}"/>
    <cellStyle name="Total 3 2 2 8 5" xfId="43378" xr:uid="{1539ADD9-8308-4905-B7B2-FC4A94BDB7D0}"/>
    <cellStyle name="Total 3 2 2 8 6" xfId="43379" xr:uid="{2FAF7E71-355C-47C8-91E9-715E300F6564}"/>
    <cellStyle name="Total 3 2 2 8 7" xfId="43380" xr:uid="{BB3E4537-E2EC-4489-A0EB-9D8DCDDEA2E6}"/>
    <cellStyle name="Total 3 2 2 9" xfId="3238" xr:uid="{BDABCE40-3064-407A-9FB6-4C883172C607}"/>
    <cellStyle name="Total 3 2 2 9 2" xfId="10669" xr:uid="{79D15631-E35F-4BE8-8AC6-13EA666B2D85}"/>
    <cellStyle name="Total 3 2 2 9 2 2" xfId="43381" xr:uid="{D2A6A6ED-0F14-42A7-B62B-9B4AF7DEA300}"/>
    <cellStyle name="Total 3 2 2 9 2 3" xfId="43382" xr:uid="{20E65CF3-5948-437B-8692-7769BA173A57}"/>
    <cellStyle name="Total 3 2 2 9 2 4" xfId="43383" xr:uid="{0250D177-3AF5-41F9-9040-21EACE4D55E5}"/>
    <cellStyle name="Total 3 2 2 9 2 5" xfId="43384" xr:uid="{CBDFD292-80EE-4903-9DFE-F92F9BFF74DC}"/>
    <cellStyle name="Total 3 2 2 9 2 6" xfId="43385" xr:uid="{E261A8B8-1395-45D4-9A55-DA81801CDC76}"/>
    <cellStyle name="Total 3 2 2 9 3" xfId="43386" xr:uid="{D808F885-A2BB-4BB0-9EE0-31A0DCE1D4B0}"/>
    <cellStyle name="Total 3 2 2 9 4" xfId="43387" xr:uid="{A9F5F293-C131-4FA4-BADF-982DADE651E9}"/>
    <cellStyle name="Total 3 2 2 9 5" xfId="43388" xr:uid="{B919F36A-CA45-41BD-8E5F-032C325D361D}"/>
    <cellStyle name="Total 3 2 2 9 6" xfId="43389" xr:uid="{C117375A-47FA-416D-86CC-53530175AF04}"/>
    <cellStyle name="Total 3 2 2 9 7" xfId="43390" xr:uid="{B39AED76-4CFD-4B8D-96C1-4FDD7D636064}"/>
    <cellStyle name="Total 3 2 20" xfId="3239" xr:uid="{29DBD711-D474-4DC4-9547-B7D317ECCCB6}"/>
    <cellStyle name="Total 3 2 20 2" xfId="11516" xr:uid="{88100F87-EE55-4C22-A01F-388F7027E0D3}"/>
    <cellStyle name="Total 3 2 20 2 2" xfId="43391" xr:uid="{A28EB252-7BCE-49B6-981F-41AC15C227BE}"/>
    <cellStyle name="Total 3 2 20 2 3" xfId="43392" xr:uid="{C4DBE615-13F4-462E-B2E4-1337758ABB6A}"/>
    <cellStyle name="Total 3 2 20 2 4" xfId="43393" xr:uid="{82BC36B6-6428-43F3-B7CD-3B37FE2DC6BE}"/>
    <cellStyle name="Total 3 2 20 2 5" xfId="43394" xr:uid="{EA48D5E1-8FCE-4436-9356-33A62CBF308E}"/>
    <cellStyle name="Total 3 2 20 2 6" xfId="43395" xr:uid="{C03589F6-42B3-4006-8CF0-758BAFFC11A4}"/>
    <cellStyle name="Total 3 2 20 3" xfId="43396" xr:uid="{A8617FC5-386C-49C3-B1CC-8B6F120B91E9}"/>
    <cellStyle name="Total 3 2 20 4" xfId="43397" xr:uid="{9D58FE07-E199-4E1A-BC74-B9CB87CCD662}"/>
    <cellStyle name="Total 3 2 20 5" xfId="43398" xr:uid="{4554D2C5-C082-4A5F-AB88-C357B13A6382}"/>
    <cellStyle name="Total 3 2 20 6" xfId="43399" xr:uid="{1B5D2ABE-9C8D-427C-9622-C41ACAA9B010}"/>
    <cellStyle name="Total 3 2 20 7" xfId="43400" xr:uid="{82022DED-BABD-4117-9D08-BEFC16F53DC3}"/>
    <cellStyle name="Total 3 2 21" xfId="3240" xr:uid="{F00C137A-BD7A-4816-B5C7-49E3B3E7BD0A}"/>
    <cellStyle name="Total 3 2 21 2" xfId="11604" xr:uid="{DD4B8047-42B7-4C95-8ECA-3574A428C909}"/>
    <cellStyle name="Total 3 2 21 2 2" xfId="43401" xr:uid="{2CDBD894-A17F-4AFC-8003-B47CDF3F4E64}"/>
    <cellStyle name="Total 3 2 21 2 3" xfId="43402" xr:uid="{33387292-8CDA-470B-B7D4-1AF6038D844A}"/>
    <cellStyle name="Total 3 2 21 2 4" xfId="43403" xr:uid="{2BB169CF-B5B8-4470-816F-9B89C1B200A5}"/>
    <cellStyle name="Total 3 2 21 2 5" xfId="43404" xr:uid="{0811ABC6-9957-4DD5-B385-51D7C090D61B}"/>
    <cellStyle name="Total 3 2 21 2 6" xfId="43405" xr:uid="{8824B25A-5A30-45B0-B2ED-E3FA8A0C103C}"/>
    <cellStyle name="Total 3 2 21 3" xfId="43406" xr:uid="{4DCF86BC-D5C4-4041-B680-D83D6098BB31}"/>
    <cellStyle name="Total 3 2 21 4" xfId="43407" xr:uid="{AB8C5FD1-DAC7-4C93-A4BD-2CBBB4F0B24D}"/>
    <cellStyle name="Total 3 2 21 5" xfId="43408" xr:uid="{CA9B0133-835B-4505-81A6-5E750781AE01}"/>
    <cellStyle name="Total 3 2 21 6" xfId="43409" xr:uid="{2CC0C2ED-D12C-4500-B97E-2A4CFCD94C2F}"/>
    <cellStyle name="Total 3 2 21 7" xfId="43410" xr:uid="{A7741820-AD55-4368-BB31-5BA6D3FBBF38}"/>
    <cellStyle name="Total 3 2 22" xfId="3241" xr:uid="{D66A228E-8689-42E8-92E3-D06FDEF79AF9}"/>
    <cellStyle name="Total 3 2 22 2" xfId="11689" xr:uid="{F597EDEC-0BC0-427F-B244-0E0AE0B65849}"/>
    <cellStyle name="Total 3 2 22 2 2" xfId="43411" xr:uid="{BC89A45A-4233-42E2-9898-872AB0619432}"/>
    <cellStyle name="Total 3 2 22 2 3" xfId="43412" xr:uid="{CE1D9440-654D-490F-9F7C-A481F887BB70}"/>
    <cellStyle name="Total 3 2 22 2 4" xfId="43413" xr:uid="{CBD8D140-A612-49B2-A030-A104896A1ACF}"/>
    <cellStyle name="Total 3 2 22 2 5" xfId="43414" xr:uid="{2FB2A6F9-9C80-4764-B10E-34D4C08784E2}"/>
    <cellStyle name="Total 3 2 22 2 6" xfId="43415" xr:uid="{81BAFF05-D039-46C0-8FA4-2F7441FD3272}"/>
    <cellStyle name="Total 3 2 22 3" xfId="43416" xr:uid="{8DA9D4AC-B214-4B7A-B462-7F03687A97C3}"/>
    <cellStyle name="Total 3 2 22 4" xfId="43417" xr:uid="{FFDEEDEA-D790-4A39-998F-1D9E739E3C20}"/>
    <cellStyle name="Total 3 2 22 5" xfId="43418" xr:uid="{DA3CD7A5-E6AA-4DF9-80FD-E73443E13764}"/>
    <cellStyle name="Total 3 2 22 6" xfId="43419" xr:uid="{5752ABDB-E903-4E0E-BC53-455E84506EC1}"/>
    <cellStyle name="Total 3 2 22 7" xfId="43420" xr:uid="{FF0DDC73-6355-475F-814B-45D4FEDC671D}"/>
    <cellStyle name="Total 3 2 23" xfId="3242" xr:uid="{7D259F51-A36F-42AF-B7D5-13184EF9D2DC}"/>
    <cellStyle name="Total 3 2 23 2" xfId="11772" xr:uid="{5BD3190E-A735-41CE-9136-A7D60FC885CE}"/>
    <cellStyle name="Total 3 2 23 2 2" xfId="43421" xr:uid="{03224629-BC70-4AE3-9FD6-C1859B09F7E0}"/>
    <cellStyle name="Total 3 2 23 2 3" xfId="43422" xr:uid="{581AD4FA-C0D2-4EF4-842A-CAA888F983FF}"/>
    <cellStyle name="Total 3 2 23 2 4" xfId="43423" xr:uid="{794A2E12-4235-4AE8-BD98-F22D181AAF93}"/>
    <cellStyle name="Total 3 2 23 2 5" xfId="43424" xr:uid="{9F22BEA8-9C6E-467B-A200-63512C65E7F7}"/>
    <cellStyle name="Total 3 2 23 2 6" xfId="43425" xr:uid="{8711F253-C067-427E-94CC-26932A4940AB}"/>
    <cellStyle name="Total 3 2 23 3" xfId="43426" xr:uid="{0D7D105B-BE1D-44E7-9B00-092182CAF401}"/>
    <cellStyle name="Total 3 2 23 4" xfId="43427" xr:uid="{A46D38E6-8507-4D41-AE59-9A7C73C44190}"/>
    <cellStyle name="Total 3 2 23 5" xfId="43428" xr:uid="{E0DA21C8-3276-404C-A9A5-275D74EECB3E}"/>
    <cellStyle name="Total 3 2 23 6" xfId="43429" xr:uid="{FA32C647-5AD7-48C2-982B-38A94B7D8397}"/>
    <cellStyle name="Total 3 2 23 7" xfId="43430" xr:uid="{B3345F77-6F56-490B-A64C-D7FC0F70A5EA}"/>
    <cellStyle name="Total 3 2 24" xfId="3243" xr:uid="{6E2FECCA-0AEC-41CD-8185-6071E5D74942}"/>
    <cellStyle name="Total 3 2 24 2" xfId="11854" xr:uid="{F1948F7D-EFE2-4C0A-BCA5-140DC76E7089}"/>
    <cellStyle name="Total 3 2 24 2 2" xfId="43431" xr:uid="{C14798E3-7F39-4ED9-8491-5E2B587D86A3}"/>
    <cellStyle name="Total 3 2 24 2 3" xfId="43432" xr:uid="{1D2B9B0D-53DB-4BC0-B62E-FDAE5B8DE586}"/>
    <cellStyle name="Total 3 2 24 2 4" xfId="43433" xr:uid="{B39E0224-2AFC-428D-A788-C1F543F62063}"/>
    <cellStyle name="Total 3 2 24 2 5" xfId="43434" xr:uid="{141B1E18-1236-4E82-882A-34366869B641}"/>
    <cellStyle name="Total 3 2 24 2 6" xfId="43435" xr:uid="{10984717-FE83-4582-A1E8-ABB524EA1B48}"/>
    <cellStyle name="Total 3 2 24 3" xfId="43436" xr:uid="{441C2B56-65C1-42AD-B23A-4C52A9A789D7}"/>
    <cellStyle name="Total 3 2 24 4" xfId="43437" xr:uid="{3AA8E27A-6BA5-462F-91D5-4F28BD4E5ED1}"/>
    <cellStyle name="Total 3 2 24 5" xfId="43438" xr:uid="{562C48A5-F481-44ED-9E73-1FB1AF62AA0B}"/>
    <cellStyle name="Total 3 2 24 6" xfId="43439" xr:uid="{BDD75C64-DA4F-4C39-A876-2205BD2593AA}"/>
    <cellStyle name="Total 3 2 24 7" xfId="43440" xr:uid="{8D7631A5-30A7-417B-B1F6-A8367DE31C58}"/>
    <cellStyle name="Total 3 2 25" xfId="3244" xr:uid="{37DA5E59-C493-453C-B9AB-91B5F619FF67}"/>
    <cellStyle name="Total 3 2 25 2" xfId="11938" xr:uid="{64A6979A-B7FF-4879-A723-AC28E4A76E2B}"/>
    <cellStyle name="Total 3 2 25 2 2" xfId="43441" xr:uid="{C1573A1E-8992-4C17-A00F-5E503EEE0D79}"/>
    <cellStyle name="Total 3 2 25 2 3" xfId="43442" xr:uid="{0A5302CA-9677-4BBC-83A8-ADD2E75FD967}"/>
    <cellStyle name="Total 3 2 25 2 4" xfId="43443" xr:uid="{13CC497B-4DF0-4BC5-BF43-25FDF8FC7E61}"/>
    <cellStyle name="Total 3 2 25 2 5" xfId="43444" xr:uid="{23211FF1-6787-48B5-8049-D7529EC27C39}"/>
    <cellStyle name="Total 3 2 25 2 6" xfId="43445" xr:uid="{E4D6F2E5-49AB-49EE-AB05-AE4B712E5282}"/>
    <cellStyle name="Total 3 2 25 3" xfId="43446" xr:uid="{F3BFB802-1317-4E84-8A50-CD3816F67C2F}"/>
    <cellStyle name="Total 3 2 25 4" xfId="43447" xr:uid="{1BBCB43D-D234-46AF-BBE7-A0DCAD69BB9F}"/>
    <cellStyle name="Total 3 2 25 5" xfId="43448" xr:uid="{C1D03600-C764-47CA-82F0-978D96496E95}"/>
    <cellStyle name="Total 3 2 25 6" xfId="43449" xr:uid="{E9B47B0B-3211-47E2-B90B-C8678EC11E3D}"/>
    <cellStyle name="Total 3 2 25 7" xfId="43450" xr:uid="{E495170F-1779-4E1B-8B8D-D24393309D93}"/>
    <cellStyle name="Total 3 2 26" xfId="3245" xr:uid="{26BB7312-76E1-4AF0-B7F5-8FA86C3C3C3C}"/>
    <cellStyle name="Total 3 2 26 2" xfId="12022" xr:uid="{4519CC7C-471C-4707-94DD-627E6FE7CD8E}"/>
    <cellStyle name="Total 3 2 26 2 2" xfId="43451" xr:uid="{71562082-A0BF-48A2-9017-6BFA77308DCB}"/>
    <cellStyle name="Total 3 2 26 2 3" xfId="43452" xr:uid="{4627BF1F-20F1-4CEA-B18A-97D5E5062090}"/>
    <cellStyle name="Total 3 2 26 2 4" xfId="43453" xr:uid="{E78D5802-DF7D-4CA2-9FE6-B1C3ACD514B3}"/>
    <cellStyle name="Total 3 2 26 2 5" xfId="43454" xr:uid="{87F8CB60-D94D-4835-897B-760E3352167B}"/>
    <cellStyle name="Total 3 2 26 2 6" xfId="43455" xr:uid="{92F7A3ED-5E93-45D9-8D7B-2F2BDC0683ED}"/>
    <cellStyle name="Total 3 2 26 3" xfId="43456" xr:uid="{C1959AB5-1B50-4991-B3BB-A0A94CAE67A2}"/>
    <cellStyle name="Total 3 2 26 4" xfId="43457" xr:uid="{D2852DDF-185B-417D-A982-B3E1F9E79163}"/>
    <cellStyle name="Total 3 2 26 5" xfId="43458" xr:uid="{42ABBAD5-7FDE-4197-85B5-79113EFF85D6}"/>
    <cellStyle name="Total 3 2 26 6" xfId="43459" xr:uid="{5CF931E9-4F28-4D06-8429-7EA75EB9B61F}"/>
    <cellStyle name="Total 3 2 26 7" xfId="43460" xr:uid="{1F29D125-A9A2-41C4-8774-1C507FACBA76}"/>
    <cellStyle name="Total 3 2 27" xfId="3246" xr:uid="{F692E4A0-F3DF-47DC-82D0-5E04D7062995}"/>
    <cellStyle name="Total 3 2 27 2" xfId="12105" xr:uid="{D9B05E61-8529-49BF-B25C-2F976C88C238}"/>
    <cellStyle name="Total 3 2 27 2 2" xfId="43461" xr:uid="{B46BE177-ED50-4091-9FEF-2135FEA982F5}"/>
    <cellStyle name="Total 3 2 27 2 3" xfId="43462" xr:uid="{BD4909E4-8F0A-40E4-AF22-5C37B1982F6D}"/>
    <cellStyle name="Total 3 2 27 2 4" xfId="43463" xr:uid="{79404FEF-2511-4188-85DB-B250C7DDA192}"/>
    <cellStyle name="Total 3 2 27 2 5" xfId="43464" xr:uid="{60F529FE-3C74-41FA-B015-CCFF4C27ECAB}"/>
    <cellStyle name="Total 3 2 27 2 6" xfId="43465" xr:uid="{E93723EF-2626-4E1D-8781-70FCEDF83CEB}"/>
    <cellStyle name="Total 3 2 27 3" xfId="43466" xr:uid="{A094B3B6-1A8A-4D9A-AAA4-3B129FEC54F3}"/>
    <cellStyle name="Total 3 2 27 4" xfId="43467" xr:uid="{F06A1D07-5790-42B2-9AFE-CBEB36B806A1}"/>
    <cellStyle name="Total 3 2 27 5" xfId="43468" xr:uid="{578FEC2A-2182-4350-9D4F-994764F2308E}"/>
    <cellStyle name="Total 3 2 27 6" xfId="43469" xr:uid="{5130B166-914E-4150-9C5D-53EA339D85CB}"/>
    <cellStyle name="Total 3 2 27 7" xfId="43470" xr:uid="{DFD19738-986E-47B9-9E52-AFD61DF0FF0E}"/>
    <cellStyle name="Total 3 2 28" xfId="3247" xr:uid="{6B6AB260-2045-48B2-9D35-945F45A5EA56}"/>
    <cellStyle name="Total 3 2 28 2" xfId="12187" xr:uid="{09F8277E-D65F-40E7-ADEB-9CDF2C3D199B}"/>
    <cellStyle name="Total 3 2 28 2 2" xfId="43471" xr:uid="{61151734-426A-462F-AF48-420DDF0EBC88}"/>
    <cellStyle name="Total 3 2 28 2 3" xfId="43472" xr:uid="{9069D477-2B7A-4D7E-AA36-77644132F329}"/>
    <cellStyle name="Total 3 2 28 2 4" xfId="43473" xr:uid="{913C9D14-3CC5-4D0D-B26F-E4636C310E53}"/>
    <cellStyle name="Total 3 2 28 2 5" xfId="43474" xr:uid="{7714677E-9273-47B0-ACDD-3F26C739C0B9}"/>
    <cellStyle name="Total 3 2 28 2 6" xfId="43475" xr:uid="{CAFD9F16-CE92-462F-91B5-153FB6E32771}"/>
    <cellStyle name="Total 3 2 28 3" xfId="43476" xr:uid="{8212B713-1A5B-4947-86F4-E1ECFD3BC8FA}"/>
    <cellStyle name="Total 3 2 28 4" xfId="43477" xr:uid="{A75B8202-660D-485C-A1E9-1215A1401785}"/>
    <cellStyle name="Total 3 2 28 5" xfId="43478" xr:uid="{016BECEE-362C-425E-ABC9-F99B73C0FB48}"/>
    <cellStyle name="Total 3 2 28 6" xfId="43479" xr:uid="{01029608-D3CA-472D-8910-E070CEB099FD}"/>
    <cellStyle name="Total 3 2 28 7" xfId="43480" xr:uid="{045F99EC-E4B4-482F-BA3D-283A579B13C0}"/>
    <cellStyle name="Total 3 2 29" xfId="3248" xr:uid="{397A4621-DE41-46F8-9BF5-317E9E1781D0}"/>
    <cellStyle name="Total 3 2 29 2" xfId="12267" xr:uid="{102FCD7D-D97C-4614-881F-FC4CB5543D89}"/>
    <cellStyle name="Total 3 2 29 2 2" xfId="43481" xr:uid="{968B5A7B-BC4E-4DE0-92D0-19040BA6D16D}"/>
    <cellStyle name="Total 3 2 29 2 3" xfId="43482" xr:uid="{A3A20DF0-035C-4C83-800A-019ED0665646}"/>
    <cellStyle name="Total 3 2 29 2 4" xfId="43483" xr:uid="{AA78C5A2-C9F0-4499-AA02-3A025B2C49ED}"/>
    <cellStyle name="Total 3 2 29 2 5" xfId="43484" xr:uid="{4B28AB70-9291-49AF-BAE0-19EAB54DAA7C}"/>
    <cellStyle name="Total 3 2 29 2 6" xfId="43485" xr:uid="{FCEFA42D-57E8-4D36-A4BE-181C14AA46B9}"/>
    <cellStyle name="Total 3 2 29 3" xfId="43486" xr:uid="{5CD48A81-29D2-476D-A9EF-894E81870DA9}"/>
    <cellStyle name="Total 3 2 29 4" xfId="43487" xr:uid="{D327E701-3901-4D33-8F39-411A47FCF328}"/>
    <cellStyle name="Total 3 2 29 5" xfId="43488" xr:uid="{CDE81A0E-EB7F-42DF-9DAB-6BB882822CA2}"/>
    <cellStyle name="Total 3 2 29 6" xfId="43489" xr:uid="{C0A80CAD-E580-4EFF-9260-9D8D04FEF443}"/>
    <cellStyle name="Total 3 2 29 7" xfId="43490" xr:uid="{1D66AF3E-558A-463A-9AED-3953F0F14EBF}"/>
    <cellStyle name="Total 3 2 3" xfId="3249" xr:uid="{D6C3A128-F8A9-4EF4-A7B0-ECE6049EA0CE}"/>
    <cellStyle name="Total 3 2 3 2" xfId="10023" xr:uid="{EB5C19C5-D204-469E-B347-39EFC5C4FBF5}"/>
    <cellStyle name="Total 3 2 3 2 2" xfId="43491" xr:uid="{B6B6E07B-3F39-4196-843E-550674130580}"/>
    <cellStyle name="Total 3 2 3 2 3" xfId="43492" xr:uid="{1E15A8EE-31C7-4D79-9F9B-578EC8552B44}"/>
    <cellStyle name="Total 3 2 3 2 4" xfId="43493" xr:uid="{CC724B04-4875-42E1-B95B-1BDEDE3891FF}"/>
    <cellStyle name="Total 3 2 3 2 5" xfId="43494" xr:uid="{511D845E-E613-4143-8559-49FAF5518177}"/>
    <cellStyle name="Total 3 2 3 2 6" xfId="43495" xr:uid="{FCE39C00-331A-4705-8370-FCE6D1DCD250}"/>
    <cellStyle name="Total 3 2 3 3" xfId="43496" xr:uid="{86FD84C9-FA68-43D3-BF41-6F4D16D89F87}"/>
    <cellStyle name="Total 3 2 3 4" xfId="43497" xr:uid="{A5AF160C-8D26-4155-9353-126C59747A9E}"/>
    <cellStyle name="Total 3 2 3 5" xfId="43498" xr:uid="{B273A1B0-7384-4CB7-89C2-F56A4C338E1C}"/>
    <cellStyle name="Total 3 2 3 6" xfId="43499" xr:uid="{9EA08B06-6EFD-4593-B891-C9AB1DE86DAF}"/>
    <cellStyle name="Total 3 2 3 7" xfId="43500" xr:uid="{25C1B49E-310E-44C7-BFE7-E99694E420AA}"/>
    <cellStyle name="Total 3 2 30" xfId="3250" xr:uid="{525D36DE-971D-44AB-8523-64FB1BAA6349}"/>
    <cellStyle name="Total 3 2 30 2" xfId="12345" xr:uid="{7ECC4B35-F006-4631-AE37-DDD9831FA95D}"/>
    <cellStyle name="Total 3 2 30 2 2" xfId="43501" xr:uid="{5A1235E9-C380-4087-9BE1-8C42DBB0D0D2}"/>
    <cellStyle name="Total 3 2 30 2 3" xfId="43502" xr:uid="{95F44F55-DF83-4B16-94B9-306F8E86FCD7}"/>
    <cellStyle name="Total 3 2 30 2 4" xfId="43503" xr:uid="{F99E5531-DC87-47E2-B531-7C4501F39C87}"/>
    <cellStyle name="Total 3 2 30 2 5" xfId="43504" xr:uid="{52DCD39E-E43A-4AE6-B9AB-2C15752C7725}"/>
    <cellStyle name="Total 3 2 30 2 6" xfId="43505" xr:uid="{F494BFED-BF3B-4FCF-AFC6-EF579EC31ED9}"/>
    <cellStyle name="Total 3 2 30 3" xfId="43506" xr:uid="{530F73BF-2ABA-43A7-B562-521479D35F87}"/>
    <cellStyle name="Total 3 2 30 4" xfId="43507" xr:uid="{2D5D9312-194D-4F15-A222-64BFAF8D52FA}"/>
    <cellStyle name="Total 3 2 30 5" xfId="43508" xr:uid="{283DE4FE-60EF-4AFB-BD32-99F40079E07F}"/>
    <cellStyle name="Total 3 2 30 6" xfId="43509" xr:uid="{392DE996-7C71-48C4-80DD-73B496C2477D}"/>
    <cellStyle name="Total 3 2 30 7" xfId="43510" xr:uid="{142B965A-5CD8-4809-BF7B-DEA161CA90DE}"/>
    <cellStyle name="Total 3 2 31" xfId="3251" xr:uid="{11B08DAE-3441-4A65-98D2-36ECEA06DC99}"/>
    <cellStyle name="Total 3 2 31 2" xfId="12424" xr:uid="{93E0F1FF-73FD-42C9-915F-F70AF37B6515}"/>
    <cellStyle name="Total 3 2 31 2 2" xfId="43511" xr:uid="{890B19ED-9197-47FD-A45F-147CB22A8644}"/>
    <cellStyle name="Total 3 2 31 2 3" xfId="43512" xr:uid="{DC92A011-F12E-470C-A255-849EBC8CE70F}"/>
    <cellStyle name="Total 3 2 31 2 4" xfId="43513" xr:uid="{B9EE178C-E441-453C-8394-05B912EBD81C}"/>
    <cellStyle name="Total 3 2 31 2 5" xfId="43514" xr:uid="{267645A3-B371-49B2-9CD4-68C0A352297F}"/>
    <cellStyle name="Total 3 2 31 2 6" xfId="43515" xr:uid="{8A37E845-06C0-4302-9F2F-B76E36EB24A4}"/>
    <cellStyle name="Total 3 2 31 3" xfId="43516" xr:uid="{D2D69ECA-970D-49DE-B58A-0563097775C7}"/>
    <cellStyle name="Total 3 2 31 4" xfId="43517" xr:uid="{D1A86D82-3571-4E5B-A489-D9277CC4234F}"/>
    <cellStyle name="Total 3 2 31 5" xfId="43518" xr:uid="{802259A9-FE48-4D85-9116-FA6E27DF17E0}"/>
    <cellStyle name="Total 3 2 31 6" xfId="43519" xr:uid="{0489315E-34C8-4F41-A2EE-31AD355EDA66}"/>
    <cellStyle name="Total 3 2 31 7" xfId="43520" xr:uid="{6CA3B7D3-8C12-4A71-92B1-0ED53DD6CCE0}"/>
    <cellStyle name="Total 3 2 32" xfId="3252" xr:uid="{898A463B-4019-4008-89D6-DF9459576D4E}"/>
    <cellStyle name="Total 3 2 32 2" xfId="12503" xr:uid="{BBC9BCBD-ABED-4FDE-89A6-82D7EAC15BD6}"/>
    <cellStyle name="Total 3 2 32 2 2" xfId="43521" xr:uid="{2794FF62-6828-4930-A114-9D3CEEF4B381}"/>
    <cellStyle name="Total 3 2 32 2 3" xfId="43522" xr:uid="{CEDC1B0C-4D00-4110-BA02-56AF10CF4636}"/>
    <cellStyle name="Total 3 2 32 2 4" xfId="43523" xr:uid="{175AD1E7-5DD9-4BE4-84C1-B3CBC5633BBE}"/>
    <cellStyle name="Total 3 2 32 2 5" xfId="43524" xr:uid="{6DA7DEB4-15B4-4F0A-8D86-2E6EBDE1823A}"/>
    <cellStyle name="Total 3 2 32 2 6" xfId="43525" xr:uid="{B4FF931A-AFBA-4BF8-A510-0EDE0D24565F}"/>
    <cellStyle name="Total 3 2 32 3" xfId="43526" xr:uid="{ECCDBCC2-AEC1-44B4-A144-BD2FDF2BEB65}"/>
    <cellStyle name="Total 3 2 32 4" xfId="43527" xr:uid="{B1F49BFD-96F6-47B1-8640-5B39F0AE8465}"/>
    <cellStyle name="Total 3 2 32 5" xfId="43528" xr:uid="{8FB68168-11C6-42AB-A1CB-49DD08CFB803}"/>
    <cellStyle name="Total 3 2 32 6" xfId="43529" xr:uid="{D1554D94-153E-4EDA-A940-2BB04657002F}"/>
    <cellStyle name="Total 3 2 32 7" xfId="43530" xr:uid="{C1FB5325-CC56-426C-8EA2-4B6803018FE4}"/>
    <cellStyle name="Total 3 2 33" xfId="3253" xr:uid="{3E13615D-CA38-45B9-824B-37A74DC6C454}"/>
    <cellStyle name="Total 3 2 33 2" xfId="12582" xr:uid="{6C44AFD8-D669-4895-9D6C-888C8F759FE2}"/>
    <cellStyle name="Total 3 2 33 2 2" xfId="43531" xr:uid="{F96820EF-4114-45B7-8B2A-1F9E457C16F9}"/>
    <cellStyle name="Total 3 2 33 2 3" xfId="43532" xr:uid="{13044FA0-5FD9-4559-A67E-FCFB37459516}"/>
    <cellStyle name="Total 3 2 33 2 4" xfId="43533" xr:uid="{042ADD78-A342-48EE-83BB-29D50EB95803}"/>
    <cellStyle name="Total 3 2 33 2 5" xfId="43534" xr:uid="{D54BA698-5C21-4DA5-A45A-BA4A98DA00B2}"/>
    <cellStyle name="Total 3 2 33 2 6" xfId="43535" xr:uid="{C885E2ED-2748-492F-9CB4-3931BFF09765}"/>
    <cellStyle name="Total 3 2 33 3" xfId="43536" xr:uid="{6DB2B6A1-F9BE-418C-BBF7-B60E920CB2E8}"/>
    <cellStyle name="Total 3 2 33 4" xfId="43537" xr:uid="{61865688-1FD2-4073-9EDD-C4D10EB99777}"/>
    <cellStyle name="Total 3 2 33 5" xfId="43538" xr:uid="{3485A7D0-774A-4587-A231-1AA437CB6F13}"/>
    <cellStyle name="Total 3 2 33 6" xfId="43539" xr:uid="{3C70B480-0521-4260-BB87-1119C1EC4052}"/>
    <cellStyle name="Total 3 2 33 7" xfId="43540" xr:uid="{9622EC97-A51C-4C16-9AD0-B3A481F36461}"/>
    <cellStyle name="Total 3 2 34" xfId="3254" xr:uid="{9C8D1EDA-5D22-47DF-956F-E60C9E4718EC}"/>
    <cellStyle name="Total 3 2 34 2" xfId="12661" xr:uid="{A97AC46D-8AB1-4A89-A446-CE64CBEF7BB7}"/>
    <cellStyle name="Total 3 2 34 2 2" xfId="43541" xr:uid="{3CD2F347-A598-43AB-BF10-6F00D08D4561}"/>
    <cellStyle name="Total 3 2 34 2 3" xfId="43542" xr:uid="{C03672CC-8BDD-4049-B5EE-AD870A56878E}"/>
    <cellStyle name="Total 3 2 34 2 4" xfId="43543" xr:uid="{AA04E064-011B-419A-89BC-65B953B15B93}"/>
    <cellStyle name="Total 3 2 34 2 5" xfId="43544" xr:uid="{3DEB816C-F390-466A-B52F-453189FC9473}"/>
    <cellStyle name="Total 3 2 34 2 6" xfId="43545" xr:uid="{75952AAE-1E00-46C0-A051-6B613D1E74B5}"/>
    <cellStyle name="Total 3 2 34 3" xfId="43546" xr:uid="{441C469F-E350-42DC-8D4A-08A56534912B}"/>
    <cellStyle name="Total 3 2 34 4" xfId="43547" xr:uid="{87DCEC73-F55B-4B3D-9F08-990D36F18B0C}"/>
    <cellStyle name="Total 3 2 34 5" xfId="43548" xr:uid="{9C5A2C18-425E-4B44-9C97-B22E1844400A}"/>
    <cellStyle name="Total 3 2 34 6" xfId="43549" xr:uid="{14BE1EE5-5735-4414-883C-C78E62A48B28}"/>
    <cellStyle name="Total 3 2 34 7" xfId="43550" xr:uid="{CDC1D900-C035-4A2F-A902-578D254CF400}"/>
    <cellStyle name="Total 3 2 35" xfId="3255" xr:uid="{BC99A664-D5C7-49B6-997D-E650A3E7E2B1}"/>
    <cellStyle name="Total 3 2 35 2" xfId="12745" xr:uid="{916019CD-14EC-4245-852E-78B062CE6D16}"/>
    <cellStyle name="Total 3 2 35 2 2" xfId="43551" xr:uid="{355FE40E-F1BA-4E4F-90EB-638A6BA02728}"/>
    <cellStyle name="Total 3 2 35 2 3" xfId="43552" xr:uid="{A2DF6B91-00FB-407B-B042-2468729F9AA7}"/>
    <cellStyle name="Total 3 2 35 2 4" xfId="43553" xr:uid="{BB7534F3-B3A2-47F4-B31B-D449FC97A4C1}"/>
    <cellStyle name="Total 3 2 35 2 5" xfId="43554" xr:uid="{7C0CC423-1BE6-4265-AB5C-A4FAB58740D1}"/>
    <cellStyle name="Total 3 2 35 2 6" xfId="43555" xr:uid="{E47D8AC8-429D-463C-8CA2-546F45AFF9E7}"/>
    <cellStyle name="Total 3 2 35 3" xfId="43556" xr:uid="{F83D8142-C41A-4FF2-939B-6E948B1666A0}"/>
    <cellStyle name="Total 3 2 35 4" xfId="43557" xr:uid="{4027DB04-652E-42A0-9220-FAA33616C5AC}"/>
    <cellStyle name="Total 3 2 35 5" xfId="43558" xr:uid="{DC47A780-CD72-4A9D-9693-6E626F1F4071}"/>
    <cellStyle name="Total 3 2 35 6" xfId="43559" xr:uid="{3E94803F-DC20-4B3A-8C8B-AC3F927F15B3}"/>
    <cellStyle name="Total 3 2 36" xfId="9691" xr:uid="{8BF613A9-203A-4D79-B295-8F5C6E2E2E3B}"/>
    <cellStyle name="Total 3 2 37" xfId="9810" xr:uid="{0AEBCCC2-49AC-4E61-8CB8-4DAA78EF6D6D}"/>
    <cellStyle name="Total 3 2 37 2" xfId="43560" xr:uid="{7FD1055F-DA00-4C89-A082-2CA0996690F3}"/>
    <cellStyle name="Total 3 2 37 3" xfId="43561" xr:uid="{27B03099-1FCE-42B5-8D20-13BD79915C92}"/>
    <cellStyle name="Total 3 2 37 4" xfId="43562" xr:uid="{6343F6EC-018C-446B-80CB-F3D8D42CAF00}"/>
    <cellStyle name="Total 3 2 37 5" xfId="43563" xr:uid="{B3B570AE-23A8-42EA-9C03-ACE51739888E}"/>
    <cellStyle name="Total 3 2 37 6" xfId="43564" xr:uid="{F68C6D69-52D9-4B5A-8347-E103D3DADDC9}"/>
    <cellStyle name="Total 3 2 38" xfId="43565" xr:uid="{7E4BA7A6-1ECB-4873-AAC2-B9507DF22E10}"/>
    <cellStyle name="Total 3 2 39" xfId="43566" xr:uid="{2421B8FB-42AD-4746-8FB9-FE66EDBD3560}"/>
    <cellStyle name="Total 3 2 4" xfId="3256" xr:uid="{0EAB3994-D0C0-47DF-B2D5-8EE2F3A33AE8}"/>
    <cellStyle name="Total 3 2 4 2" xfId="10114" xr:uid="{2C6C55C0-4397-4AA5-BB1B-0E768802F28D}"/>
    <cellStyle name="Total 3 2 4 2 2" xfId="43567" xr:uid="{7D508611-BCBD-4145-9E6C-51E65A36C0E3}"/>
    <cellStyle name="Total 3 2 4 2 3" xfId="43568" xr:uid="{89284198-6E59-4182-82C4-05A186BA0816}"/>
    <cellStyle name="Total 3 2 4 2 4" xfId="43569" xr:uid="{579A1814-3FF1-4B08-942F-659E3667A02E}"/>
    <cellStyle name="Total 3 2 4 2 5" xfId="43570" xr:uid="{5E5F6889-28C9-4318-8E95-9D26A5905389}"/>
    <cellStyle name="Total 3 2 4 2 6" xfId="43571" xr:uid="{B88EA243-3A60-4617-9C9E-5A20100B2193}"/>
    <cellStyle name="Total 3 2 4 3" xfId="43572" xr:uid="{D7D8ACBF-33D4-4E54-8709-6E4F1EF989D2}"/>
    <cellStyle name="Total 3 2 4 4" xfId="43573" xr:uid="{27996BA9-58C5-406D-B960-A2CBE2085DED}"/>
    <cellStyle name="Total 3 2 4 5" xfId="43574" xr:uid="{471AD447-77AD-4CD0-9976-79315459FBF3}"/>
    <cellStyle name="Total 3 2 4 6" xfId="43575" xr:uid="{6EA05238-733B-4997-9804-112E2F3E6593}"/>
    <cellStyle name="Total 3 2 4 7" xfId="43576" xr:uid="{6F775E5C-3671-4CCB-AF44-40BAAAF5C4E6}"/>
    <cellStyle name="Total 3 2 5" xfId="3257" xr:uid="{C88DF474-8C6D-4EA8-93DF-D9F928B59888}"/>
    <cellStyle name="Total 3 2 5 2" xfId="10204" xr:uid="{1076F581-BA0D-4B53-92BF-A9FDE5386333}"/>
    <cellStyle name="Total 3 2 5 2 2" xfId="43577" xr:uid="{72A1B5E3-7F2B-4A1F-8525-8E50C767B468}"/>
    <cellStyle name="Total 3 2 5 2 3" xfId="43578" xr:uid="{6529E992-9FDD-4A20-8760-0E3DB7C1DC63}"/>
    <cellStyle name="Total 3 2 5 2 4" xfId="43579" xr:uid="{E24D58C7-D05C-4DC2-81CE-C78A5F7EB09E}"/>
    <cellStyle name="Total 3 2 5 2 5" xfId="43580" xr:uid="{3B9E56E4-729C-4E8E-83AA-2B95B43AC87D}"/>
    <cellStyle name="Total 3 2 5 2 6" xfId="43581" xr:uid="{B3A129F1-61E1-4FDE-A78A-A912EFFC719C}"/>
    <cellStyle name="Total 3 2 5 3" xfId="43582" xr:uid="{711CE569-8CEC-4C59-A734-2400A7AD4CB7}"/>
    <cellStyle name="Total 3 2 5 4" xfId="43583" xr:uid="{F923EF0F-8F3C-426E-BC19-44ED664A8889}"/>
    <cellStyle name="Total 3 2 5 5" xfId="43584" xr:uid="{4D4D1CF3-7FF3-4E87-A918-92071A5B3762}"/>
    <cellStyle name="Total 3 2 5 6" xfId="43585" xr:uid="{CC6638F5-A167-448D-8EDB-5E8794A9AB20}"/>
    <cellStyle name="Total 3 2 5 7" xfId="43586" xr:uid="{5E02B064-8E79-4328-9A25-F1CF73E4A349}"/>
    <cellStyle name="Total 3 2 6" xfId="3258" xr:uid="{2692A5C7-C98F-4B3C-8451-5E1122A5CC10}"/>
    <cellStyle name="Total 3 2 6 2" xfId="10290" xr:uid="{44EA69DF-6FE0-457F-9242-800D83E74F50}"/>
    <cellStyle name="Total 3 2 6 2 2" xfId="43587" xr:uid="{DF2152F0-6C11-4B91-B3EC-E64E7B2AAB91}"/>
    <cellStyle name="Total 3 2 6 2 3" xfId="43588" xr:uid="{CB6F3003-A906-4835-8799-9A48444B7ADC}"/>
    <cellStyle name="Total 3 2 6 2 4" xfId="43589" xr:uid="{42B540E6-8483-4E74-8569-349F6DDC1F2E}"/>
    <cellStyle name="Total 3 2 6 2 5" xfId="43590" xr:uid="{72217E0E-F9A5-479B-8B1C-73AD671DBC63}"/>
    <cellStyle name="Total 3 2 6 2 6" xfId="43591" xr:uid="{BE5BE5C4-18B7-4DE3-A095-4426F25A12A0}"/>
    <cellStyle name="Total 3 2 6 3" xfId="43592" xr:uid="{3C28DED5-3CC2-49FA-BA61-1C6606CA1333}"/>
    <cellStyle name="Total 3 2 6 4" xfId="43593" xr:uid="{BB77E5F8-0CB4-4699-AAAE-EB128775C4E4}"/>
    <cellStyle name="Total 3 2 6 5" xfId="43594" xr:uid="{98CA935A-F496-4420-9892-9066F8CB5F32}"/>
    <cellStyle name="Total 3 2 6 6" xfId="43595" xr:uid="{09ED2463-7A5D-4796-9B92-DBE4C4B3AD3D}"/>
    <cellStyle name="Total 3 2 6 7" xfId="43596" xr:uid="{D9E17A60-D2B7-495C-A360-895E13D098B2}"/>
    <cellStyle name="Total 3 2 7" xfId="3259" xr:uid="{6CF059C4-8939-42A0-8EB3-71ED35668C6A}"/>
    <cellStyle name="Total 3 2 7 2" xfId="10378" xr:uid="{C7862DFB-E0A4-4871-95A7-16440C29DEF7}"/>
    <cellStyle name="Total 3 2 7 2 2" xfId="43597" xr:uid="{B20B7BE9-B939-4849-9A81-55B72FF8EB51}"/>
    <cellStyle name="Total 3 2 7 2 3" xfId="43598" xr:uid="{175A7B01-8D12-4A78-AC59-DAFBC4745DBE}"/>
    <cellStyle name="Total 3 2 7 2 4" xfId="43599" xr:uid="{D545B41E-9324-4BAA-A26B-7F7703B958FC}"/>
    <cellStyle name="Total 3 2 7 2 5" xfId="43600" xr:uid="{8D52BCFC-93CD-48DC-A7EF-8E8E06E98C02}"/>
    <cellStyle name="Total 3 2 7 2 6" xfId="43601" xr:uid="{06E5FFDF-12AA-4B77-8605-CF5F63DEB372}"/>
    <cellStyle name="Total 3 2 7 3" xfId="43602" xr:uid="{E7ADC934-5035-48C7-BCFC-47EA889F0D16}"/>
    <cellStyle name="Total 3 2 7 4" xfId="43603" xr:uid="{A8581403-7CD9-445F-B6B2-F4F7A180A53E}"/>
    <cellStyle name="Total 3 2 7 5" xfId="43604" xr:uid="{E00CD8C7-CC49-43D9-A707-60FADFBB56FC}"/>
    <cellStyle name="Total 3 2 7 6" xfId="43605" xr:uid="{4CC285BB-B9CE-40CD-8D3D-11ED68AD37EB}"/>
    <cellStyle name="Total 3 2 7 7" xfId="43606" xr:uid="{6DC4184A-D22D-42A5-A755-581A912403A6}"/>
    <cellStyle name="Total 3 2 8" xfId="3260" xr:uid="{38F68C51-AFB9-4ACE-8FB9-427012D83CEE}"/>
    <cellStyle name="Total 3 2 8 2" xfId="10465" xr:uid="{010F2FF8-948C-4A08-9C08-29C226BF8062}"/>
    <cellStyle name="Total 3 2 8 2 2" xfId="43607" xr:uid="{C0EEB455-AF5B-4E84-9717-4132D6416F68}"/>
    <cellStyle name="Total 3 2 8 2 3" xfId="43608" xr:uid="{61066CEF-A21E-4DD7-BBDD-3009700EE1BF}"/>
    <cellStyle name="Total 3 2 8 2 4" xfId="43609" xr:uid="{CE44D425-1691-4563-AC1F-1DCEE81F58DC}"/>
    <cellStyle name="Total 3 2 8 2 5" xfId="43610" xr:uid="{822AAE41-4646-4F96-97F8-24D97410E98E}"/>
    <cellStyle name="Total 3 2 8 2 6" xfId="43611" xr:uid="{8030A342-D3A6-44FA-B904-E9D5636DF738}"/>
    <cellStyle name="Total 3 2 8 3" xfId="43612" xr:uid="{714CC611-FD7A-49E1-A530-CEEC032B3E72}"/>
    <cellStyle name="Total 3 2 8 4" xfId="43613" xr:uid="{47545F0B-8817-4384-B3C0-0B3DF7BE4313}"/>
    <cellStyle name="Total 3 2 8 5" xfId="43614" xr:uid="{DA45B340-4041-4C3B-A898-77E51CCED468}"/>
    <cellStyle name="Total 3 2 8 6" xfId="43615" xr:uid="{95F5CCEC-2965-4D9B-B253-CC374838E706}"/>
    <cellStyle name="Total 3 2 8 7" xfId="43616" xr:uid="{FABC6675-469D-4861-9A24-325496AC652C}"/>
    <cellStyle name="Total 3 2 9" xfId="3261" xr:uid="{9E2615DC-83F1-4A39-B0E3-0BEFF0E70AF6}"/>
    <cellStyle name="Total 3 2 9 2" xfId="10554" xr:uid="{2D08B371-D6C5-4C9E-BAC3-962E7F661E66}"/>
    <cellStyle name="Total 3 2 9 2 2" xfId="43617" xr:uid="{DB80DAD4-8C09-46E6-BED7-2EDCC4ACA180}"/>
    <cellStyle name="Total 3 2 9 2 3" xfId="43618" xr:uid="{7B4FABD6-530C-4AD2-BD4A-81A545237F70}"/>
    <cellStyle name="Total 3 2 9 2 4" xfId="43619" xr:uid="{3015610C-ED36-4ECD-94E8-EC5081603CDB}"/>
    <cellStyle name="Total 3 2 9 2 5" xfId="43620" xr:uid="{D20615E2-A8EA-42E6-8AC4-BAD36D351121}"/>
    <cellStyle name="Total 3 2 9 2 6" xfId="43621" xr:uid="{C6EBC937-90A3-44C2-8AE4-E427BD8992BD}"/>
    <cellStyle name="Total 3 2 9 3" xfId="43622" xr:uid="{21A8D108-F1D2-4F23-8A70-FD4774F770C1}"/>
    <cellStyle name="Total 3 2 9 4" xfId="43623" xr:uid="{4884B945-C29E-4858-9659-63DD935DFFB7}"/>
    <cellStyle name="Total 3 2 9 5" xfId="43624" xr:uid="{265E3D5F-3F22-4DA5-BCBD-2BDDA5CE2F38}"/>
    <cellStyle name="Total 3 2 9 6" xfId="43625" xr:uid="{FE7622CE-80ED-4206-BA2D-3DF2353C8F48}"/>
    <cellStyle name="Total 3 2 9 7" xfId="43626" xr:uid="{4BE2184D-BFAB-492B-B616-F65A0ED3BE0E}"/>
    <cellStyle name="Total 3 20" xfId="3262" xr:uid="{D79DAFB3-ED86-4403-A231-DE91428F5AC7}"/>
    <cellStyle name="Total 3 20 2" xfId="11565" xr:uid="{E60B3A52-DB02-4E64-9311-86C86692B986}"/>
    <cellStyle name="Total 3 20 2 2" xfId="43627" xr:uid="{BCCC8CDA-E758-4B66-8C38-69B2429DE6B3}"/>
    <cellStyle name="Total 3 20 2 3" xfId="43628" xr:uid="{89124240-DEFD-4211-9FB8-463DBFD5E386}"/>
    <cellStyle name="Total 3 20 2 4" xfId="43629" xr:uid="{1F4CE1CD-0014-4436-9C6A-15DD12EF16EA}"/>
    <cellStyle name="Total 3 20 2 5" xfId="43630" xr:uid="{84B7FB94-5B23-406D-BDD9-3B6DC3DCB956}"/>
    <cellStyle name="Total 3 20 2 6" xfId="43631" xr:uid="{0FD0BFD0-3CE5-4A60-9B76-E0FBD29C3DDD}"/>
    <cellStyle name="Total 3 20 3" xfId="43632" xr:uid="{CBFE7242-8FDD-48A5-8B5D-B2DE199427FA}"/>
    <cellStyle name="Total 3 20 4" xfId="43633" xr:uid="{85CBA4B6-AEDF-40E2-9942-228370524DF4}"/>
    <cellStyle name="Total 3 20 5" xfId="43634" xr:uid="{D963797A-E7F0-4D84-B1D9-000B6B6BA53A}"/>
    <cellStyle name="Total 3 20 6" xfId="43635" xr:uid="{C4DB4756-0A61-4E36-BF29-E8F19D372AC0}"/>
    <cellStyle name="Total 3 20 7" xfId="43636" xr:uid="{58E425DD-813B-49A5-8EA4-3DBECEF2DC73}"/>
    <cellStyle name="Total 3 21" xfId="3263" xr:uid="{E8CE866E-1294-465E-8E00-12E538DE3E28}"/>
    <cellStyle name="Total 3 21 2" xfId="11653" xr:uid="{96BD20E9-D603-4AB3-862D-4FA8FB99C59E}"/>
    <cellStyle name="Total 3 21 2 2" xfId="43637" xr:uid="{C4AD3903-C868-4746-8291-5CBD60B7C270}"/>
    <cellStyle name="Total 3 21 2 3" xfId="43638" xr:uid="{FFCAD1E5-90C8-4F70-B964-8056C9DB7767}"/>
    <cellStyle name="Total 3 21 2 4" xfId="43639" xr:uid="{44B211CB-8D6B-4616-89FD-13FA4002D76B}"/>
    <cellStyle name="Total 3 21 2 5" xfId="43640" xr:uid="{184B7B4B-9AC3-4311-B6AF-791D10466B88}"/>
    <cellStyle name="Total 3 21 2 6" xfId="43641" xr:uid="{94D4D8CC-2567-4D72-B0D0-616501EC2C78}"/>
    <cellStyle name="Total 3 21 3" xfId="43642" xr:uid="{DA4929F8-FCC9-48F9-AAAB-2E48B4643439}"/>
    <cellStyle name="Total 3 21 4" xfId="43643" xr:uid="{F30243BC-1A9D-45DD-8B56-530394E23FCB}"/>
    <cellStyle name="Total 3 21 5" xfId="43644" xr:uid="{4C46CA24-E807-4A5C-8FC6-B5B8D1811389}"/>
    <cellStyle name="Total 3 21 6" xfId="43645" xr:uid="{FAEF04A6-DAC3-494E-8E49-F666F48505EC}"/>
    <cellStyle name="Total 3 21 7" xfId="43646" xr:uid="{2485C1DB-BF48-46C6-9A23-817A9EBD0600}"/>
    <cellStyle name="Total 3 22" xfId="3264" xr:uid="{91F3D78A-3E61-4640-9035-B4CAE9CE861E}"/>
    <cellStyle name="Total 3 22 2" xfId="11047" xr:uid="{8B465D3B-33D5-49E3-B6C8-F0C65018E46A}"/>
    <cellStyle name="Total 3 22 2 2" xfId="43647" xr:uid="{BF55E337-447E-48BC-8571-456A9A238F34}"/>
    <cellStyle name="Total 3 22 2 3" xfId="43648" xr:uid="{11EB649A-7A77-4EBC-A69D-29C56AF4D18D}"/>
    <cellStyle name="Total 3 22 2 4" xfId="43649" xr:uid="{7C33DCCD-BC09-4021-9E91-3D30668601CD}"/>
    <cellStyle name="Total 3 22 2 5" xfId="43650" xr:uid="{76CD6717-7DAE-46EF-99BC-340242E32F2C}"/>
    <cellStyle name="Total 3 22 2 6" xfId="43651" xr:uid="{205DC8DC-5AA5-424F-BA38-0DC3529286AC}"/>
    <cellStyle name="Total 3 22 3" xfId="43652" xr:uid="{CF66AE6C-5756-4813-BB3F-D02249725278}"/>
    <cellStyle name="Total 3 22 4" xfId="43653" xr:uid="{815DD2B2-4D2A-48CC-B7E6-7787704B9C96}"/>
    <cellStyle name="Total 3 22 5" xfId="43654" xr:uid="{B4D9FEBA-CBA4-4E96-ABDB-0B58D02A6ECD}"/>
    <cellStyle name="Total 3 22 6" xfId="43655" xr:uid="{6B1C5E27-B4C9-4720-9D06-FF340659D9A9}"/>
    <cellStyle name="Total 3 22 7" xfId="43656" xr:uid="{80F5A2FE-B9BA-4BD2-B3D7-6B5BA4FD7343}"/>
    <cellStyle name="Total 3 23" xfId="3265" xr:uid="{346D4566-77B8-4A46-9804-B35560FEE879}"/>
    <cellStyle name="Total 3 23 2" xfId="11902" xr:uid="{34CD415F-E23A-49A4-B39B-102F9F0AC06C}"/>
    <cellStyle name="Total 3 23 2 2" xfId="43657" xr:uid="{AF14F1F8-5ECD-4C47-91A9-CB19F41D5800}"/>
    <cellStyle name="Total 3 23 2 3" xfId="43658" xr:uid="{6357F5E8-489E-4459-9B51-2AA7470DF713}"/>
    <cellStyle name="Total 3 23 2 4" xfId="43659" xr:uid="{934BABB9-EBBB-42A3-B3F5-002A7A7B8F2E}"/>
    <cellStyle name="Total 3 23 2 5" xfId="43660" xr:uid="{17E0ABE5-ED60-4159-A386-953A49C84DA8}"/>
    <cellStyle name="Total 3 23 2 6" xfId="43661" xr:uid="{A9E4728E-8677-4949-860C-E9A48D8152BC}"/>
    <cellStyle name="Total 3 23 3" xfId="43662" xr:uid="{6443BB74-19DE-441A-9180-04233EEB3BA8}"/>
    <cellStyle name="Total 3 23 4" xfId="43663" xr:uid="{543C5872-578E-43C2-BA17-DE984249DAF9}"/>
    <cellStyle name="Total 3 23 5" xfId="43664" xr:uid="{3FF8E15D-A7BE-434D-9527-182D4205B802}"/>
    <cellStyle name="Total 3 23 6" xfId="43665" xr:uid="{4C9C9D9B-E258-4976-B437-67C92E42A8B9}"/>
    <cellStyle name="Total 3 23 7" xfId="43666" xr:uid="{1D10B374-A8C7-4F06-84C5-E9E4D17340D5}"/>
    <cellStyle name="Total 3 24" xfId="3266" xr:uid="{2FBDEB34-625F-4F26-BD64-39C99DDF27E0}"/>
    <cellStyle name="Total 3 24 2" xfId="11986" xr:uid="{F7C6CFFE-DE91-464F-BCF9-04B5631B1AE7}"/>
    <cellStyle name="Total 3 24 2 2" xfId="43667" xr:uid="{860E6947-3036-4A79-B338-9CB9B3566C2A}"/>
    <cellStyle name="Total 3 24 2 3" xfId="43668" xr:uid="{491AC873-BDE8-4768-B84C-46D3577202DF}"/>
    <cellStyle name="Total 3 24 2 4" xfId="43669" xr:uid="{A096DB88-CDCF-4D2C-9CFC-CBD4419A092D}"/>
    <cellStyle name="Total 3 24 2 5" xfId="43670" xr:uid="{23F309D9-881B-4005-AB2F-5043BC30655E}"/>
    <cellStyle name="Total 3 24 2 6" xfId="43671" xr:uid="{E80DB7E6-DB7F-4EC1-AAC6-BE18C8D03DA7}"/>
    <cellStyle name="Total 3 24 3" xfId="43672" xr:uid="{9590716A-C6FC-4C03-848F-46E021772897}"/>
    <cellStyle name="Total 3 24 4" xfId="43673" xr:uid="{C2C1FA55-500D-4FE4-8570-E322BD6D30AC}"/>
    <cellStyle name="Total 3 24 5" xfId="43674" xr:uid="{77FB3376-49D7-408C-9E68-A9D198657F79}"/>
    <cellStyle name="Total 3 24 6" xfId="43675" xr:uid="{9C314BF7-D1E4-46D1-AB28-8CD848FA1EA7}"/>
    <cellStyle name="Total 3 24 7" xfId="43676" xr:uid="{96CE30A8-705C-46B8-A5F7-79334E8FFE3F}"/>
    <cellStyle name="Total 3 25" xfId="3267" xr:uid="{F550D68B-F41B-4799-AF21-89DB1EFD1A23}"/>
    <cellStyle name="Total 3 25 2" xfId="12068" xr:uid="{7AA7E1F4-6797-4142-99E8-1BEA310BF2E2}"/>
    <cellStyle name="Total 3 25 2 2" xfId="43677" xr:uid="{3FED145B-984D-40AA-BC26-CFC72DCA7AED}"/>
    <cellStyle name="Total 3 25 2 3" xfId="43678" xr:uid="{8B8AFE01-D8FD-4B23-BEC3-5816FF171FB5}"/>
    <cellStyle name="Total 3 25 2 4" xfId="43679" xr:uid="{86DD91D7-1D62-4A17-A63A-BAD9A81B6FCE}"/>
    <cellStyle name="Total 3 25 2 5" xfId="43680" xr:uid="{342491B5-34F8-45FB-BFE1-52C78951EB00}"/>
    <cellStyle name="Total 3 25 2 6" xfId="43681" xr:uid="{B6F5DFEA-70B5-4A57-A81F-475D3D4DD588}"/>
    <cellStyle name="Total 3 25 3" xfId="43682" xr:uid="{8EA3A484-7381-4BBB-91A3-C21446AAA4E4}"/>
    <cellStyle name="Total 3 25 4" xfId="43683" xr:uid="{1FCD41ED-7C34-4EFE-B3BB-485CD32DC946}"/>
    <cellStyle name="Total 3 25 5" xfId="43684" xr:uid="{079FF6BD-A4E9-405A-A5E2-951B7FF01014}"/>
    <cellStyle name="Total 3 25 6" xfId="43685" xr:uid="{61CA81F1-FC65-436E-BAE2-BC5A40AB0C8E}"/>
    <cellStyle name="Total 3 25 7" xfId="43686" xr:uid="{EFC26F2E-888B-4DF7-ADA7-5735F53D59FA}"/>
    <cellStyle name="Total 3 26" xfId="3268" xr:uid="{77A984A1-43B0-4F41-9A54-3C037F131F83}"/>
    <cellStyle name="Total 3 26 2" xfId="12152" xr:uid="{ED417329-7E3F-4E1D-BE3E-05877EC1B5D0}"/>
    <cellStyle name="Total 3 26 2 2" xfId="43687" xr:uid="{479A885B-C079-47A7-88C5-BF5FFC4039B7}"/>
    <cellStyle name="Total 3 26 2 3" xfId="43688" xr:uid="{A1FFD62A-CBC4-40C3-80D4-EFC2900FB125}"/>
    <cellStyle name="Total 3 26 2 4" xfId="43689" xr:uid="{C1039C01-8322-42E8-BEFB-19B39CA9C6A0}"/>
    <cellStyle name="Total 3 26 2 5" xfId="43690" xr:uid="{77B04413-3762-4458-9FB7-7BBD395B2E76}"/>
    <cellStyle name="Total 3 26 2 6" xfId="43691" xr:uid="{E2C1EB4D-1199-4F11-B4C0-64E7D2AF0DD1}"/>
    <cellStyle name="Total 3 26 3" xfId="43692" xr:uid="{986EC0B5-2076-4D9C-B7F0-F936899632E5}"/>
    <cellStyle name="Total 3 26 4" xfId="43693" xr:uid="{8C6079C2-5200-4F22-9CF2-8785CA4F9C4C}"/>
    <cellStyle name="Total 3 26 5" xfId="43694" xr:uid="{DF691E5F-5D0A-4EEA-A6A8-2A6BEBE55008}"/>
    <cellStyle name="Total 3 26 6" xfId="43695" xr:uid="{B864F29E-3B52-45F3-A99A-01B57A63B8AC}"/>
    <cellStyle name="Total 3 26 7" xfId="43696" xr:uid="{8142865E-1FF3-4A75-8747-4A2B059F3E2D}"/>
    <cellStyle name="Total 3 27" xfId="3269" xr:uid="{2BD67529-FCD0-410C-B40A-D2268B95330F}"/>
    <cellStyle name="Total 3 27 2" xfId="11307" xr:uid="{5D325E62-EE0C-40C8-9ABE-BB8CBF24292D}"/>
    <cellStyle name="Total 3 27 2 2" xfId="43697" xr:uid="{357F2D2F-94DA-4BC5-BC5F-A1B38C95FFA6}"/>
    <cellStyle name="Total 3 27 2 3" xfId="43698" xr:uid="{FC79E120-0618-4D1F-92A4-75AC075697C5}"/>
    <cellStyle name="Total 3 27 2 4" xfId="43699" xr:uid="{7BBD78D7-CF18-415C-9D31-305F6C0A4D53}"/>
    <cellStyle name="Total 3 27 2 5" xfId="43700" xr:uid="{88FED456-FE63-4AFE-8B08-8ACDD1F2F3FF}"/>
    <cellStyle name="Total 3 27 2 6" xfId="43701" xr:uid="{DFC81EC5-5E28-421C-B3F7-D9084DE76DD1}"/>
    <cellStyle name="Total 3 27 3" xfId="43702" xr:uid="{48B51FD0-7CEF-4545-92D9-CC2368E11735}"/>
    <cellStyle name="Total 3 27 4" xfId="43703" xr:uid="{C3889741-29C9-4A35-BAA5-383FDF885360}"/>
    <cellStyle name="Total 3 27 5" xfId="43704" xr:uid="{3A790810-76BC-4C59-B7B2-B469363E36C5}"/>
    <cellStyle name="Total 3 27 6" xfId="43705" xr:uid="{33375AC6-1865-48F8-A433-93CEAEEEF89E}"/>
    <cellStyle name="Total 3 27 7" xfId="43706" xr:uid="{7D8104B0-CBF8-49D0-9886-9138C44F40B3}"/>
    <cellStyle name="Total 3 28" xfId="3270" xr:uid="{B7915E31-A99E-436C-8713-EB33A3332FC2}"/>
    <cellStyle name="Total 3 28 2" xfId="12391" xr:uid="{5F52DB41-626C-43D4-B9CB-6AC69F900833}"/>
    <cellStyle name="Total 3 28 2 2" xfId="43707" xr:uid="{A8A6A280-341A-4435-AED5-C3FCF36EB30F}"/>
    <cellStyle name="Total 3 28 2 3" xfId="43708" xr:uid="{6A84AF0F-C780-4F0E-BAE9-691B20160F78}"/>
    <cellStyle name="Total 3 28 2 4" xfId="43709" xr:uid="{1B29D2B1-B702-4C37-821C-C95B5B4D758F}"/>
    <cellStyle name="Total 3 28 2 5" xfId="43710" xr:uid="{D629CBBC-5FAF-4627-8E03-AE31960DD6AF}"/>
    <cellStyle name="Total 3 28 2 6" xfId="43711" xr:uid="{13AFDEF7-435B-4151-BE7B-C71E2F0C479E}"/>
    <cellStyle name="Total 3 28 3" xfId="43712" xr:uid="{CE67FC44-4B27-4B13-AC02-6F39B2D88264}"/>
    <cellStyle name="Total 3 28 4" xfId="43713" xr:uid="{A22762DF-5078-4941-B325-CFA59462EDF6}"/>
    <cellStyle name="Total 3 28 5" xfId="43714" xr:uid="{5BCFDBEB-8555-4646-B530-81BF3504C70E}"/>
    <cellStyle name="Total 3 28 6" xfId="43715" xr:uid="{84CBE2A1-8993-4C6D-8A90-805FAC0744A3}"/>
    <cellStyle name="Total 3 28 7" xfId="43716" xr:uid="{8CABF7E3-421A-43C3-93BD-9BB42D84B747}"/>
    <cellStyle name="Total 3 29" xfId="3271" xr:uid="{611A3CEF-9532-4987-88EF-602F2138F113}"/>
    <cellStyle name="Total 3 29 2" xfId="12470" xr:uid="{9FC3C0E2-63A8-4FEB-9D76-476FFDB5809E}"/>
    <cellStyle name="Total 3 29 2 2" xfId="43717" xr:uid="{DBFE5059-DDEF-4092-9E1E-3C0D703CB133}"/>
    <cellStyle name="Total 3 29 2 3" xfId="43718" xr:uid="{38753D4B-9AD1-4635-9333-07539A5A8D28}"/>
    <cellStyle name="Total 3 29 2 4" xfId="43719" xr:uid="{AB5B64B8-B91A-476A-8784-EFA184D696CB}"/>
    <cellStyle name="Total 3 29 2 5" xfId="43720" xr:uid="{81A942C2-B3DB-4A60-9FED-6D89AA880F71}"/>
    <cellStyle name="Total 3 29 2 6" xfId="43721" xr:uid="{FA428B57-97D4-4614-B261-3A528B2ECBBF}"/>
    <cellStyle name="Total 3 29 3" xfId="43722" xr:uid="{35D716B8-3C2B-4A2F-82C9-6DEFFD1973D6}"/>
    <cellStyle name="Total 3 29 4" xfId="43723" xr:uid="{55C44704-BDC1-4B80-93AF-D49901BF279B}"/>
    <cellStyle name="Total 3 29 5" xfId="43724" xr:uid="{06B63008-B678-4D28-B7BD-6558E59C8EAE}"/>
    <cellStyle name="Total 3 29 6" xfId="43725" xr:uid="{C1625729-CC32-4225-9B9D-91631CC44F35}"/>
    <cellStyle name="Total 3 29 7" xfId="43726" xr:uid="{020FE2B2-ED89-4A95-99E4-5423A0F806E9}"/>
    <cellStyle name="Total 3 3" xfId="3272" xr:uid="{1BA3ABD4-93F6-4444-AE5A-92129DC600EE}"/>
    <cellStyle name="Total 3 3 10" xfId="3273" xr:uid="{3DF181DF-4D00-4B12-8124-3FF4D6814493}"/>
    <cellStyle name="Total 3 3 10 2" xfId="10745" xr:uid="{42DA1EBA-E084-4F99-9989-20A7995768D1}"/>
    <cellStyle name="Total 3 3 10 2 2" xfId="43727" xr:uid="{59B3A5AE-7F4F-4CA0-8606-B39CEB448110}"/>
    <cellStyle name="Total 3 3 10 2 3" xfId="43728" xr:uid="{FA36CF0B-40C1-43D9-B65D-1A6ED36DBB40}"/>
    <cellStyle name="Total 3 3 10 2 4" xfId="43729" xr:uid="{AFC66C9F-48F3-4C52-BFA3-784561B447AD}"/>
    <cellStyle name="Total 3 3 10 2 5" xfId="43730" xr:uid="{FE179647-9B6C-401E-93DE-1396D226DD46}"/>
    <cellStyle name="Total 3 3 10 2 6" xfId="43731" xr:uid="{532265EB-E415-4ADD-8C5E-B95071AB93CC}"/>
    <cellStyle name="Total 3 3 10 3" xfId="43732" xr:uid="{76AF9B23-FCE4-40B3-98FB-4B9D5532EDD5}"/>
    <cellStyle name="Total 3 3 10 4" xfId="43733" xr:uid="{9DAF4770-8FFF-4119-A85C-A9701637DF48}"/>
    <cellStyle name="Total 3 3 10 5" xfId="43734" xr:uid="{2F249968-A478-4DB8-BB34-628C4148D5F8}"/>
    <cellStyle name="Total 3 3 10 6" xfId="43735" xr:uid="{71F40A1C-F2A6-4D3D-9AF8-9824E59C7AF5}"/>
    <cellStyle name="Total 3 3 10 7" xfId="43736" xr:uid="{30A28D7C-6848-41CE-AE64-E3AF30552BAC}"/>
    <cellStyle name="Total 3 3 11" xfId="3274" xr:uid="{0B31262C-36E1-4508-A48C-EF8BA88A50F8}"/>
    <cellStyle name="Total 3 3 11 2" xfId="10833" xr:uid="{62060892-7984-47EB-A486-34D59575A8DF}"/>
    <cellStyle name="Total 3 3 11 2 2" xfId="43737" xr:uid="{BECDB7A8-19F0-4E47-98FE-2C3168D54DF1}"/>
    <cellStyle name="Total 3 3 11 2 3" xfId="43738" xr:uid="{09158FA7-6732-4B22-B210-15C3810806DF}"/>
    <cellStyle name="Total 3 3 11 2 4" xfId="43739" xr:uid="{8D533C6D-E270-45BE-AF09-29812E676D21}"/>
    <cellStyle name="Total 3 3 11 2 5" xfId="43740" xr:uid="{83A8E3E8-1A80-4288-B75A-E0AAC769D69E}"/>
    <cellStyle name="Total 3 3 11 2 6" xfId="43741" xr:uid="{6E612451-54A8-4C4F-9904-4FCD557FFB90}"/>
    <cellStyle name="Total 3 3 11 3" xfId="43742" xr:uid="{B01ACADF-5A35-40F5-BEA0-EDCD634B7A99}"/>
    <cellStyle name="Total 3 3 11 4" xfId="43743" xr:uid="{BFEEC8D2-7AE4-4678-96CF-074C54C379DE}"/>
    <cellStyle name="Total 3 3 11 5" xfId="43744" xr:uid="{779A276A-EC64-4FA7-BD94-04C214059B36}"/>
    <cellStyle name="Total 3 3 11 6" xfId="43745" xr:uid="{59C13513-9A55-4534-8CE6-A5ED8F8F7383}"/>
    <cellStyle name="Total 3 3 11 7" xfId="43746" xr:uid="{F389F1EB-84FD-4F4A-8AF8-225497DA9CBF}"/>
    <cellStyle name="Total 3 3 12" xfId="3275" xr:uid="{AC46CB22-4549-4060-BBFE-2F73B02C7781}"/>
    <cellStyle name="Total 3 3 12 2" xfId="10922" xr:uid="{957E2249-D3DE-4743-8983-8F1B13019FEB}"/>
    <cellStyle name="Total 3 3 12 2 2" xfId="43747" xr:uid="{0E85AD5D-050A-44DE-AA2C-8416096F86B0}"/>
    <cellStyle name="Total 3 3 12 2 3" xfId="43748" xr:uid="{6CDF64F3-842D-402C-9FDA-C77BC4A4103C}"/>
    <cellStyle name="Total 3 3 12 2 4" xfId="43749" xr:uid="{3631A93C-CADC-4322-AF89-16C171561FD1}"/>
    <cellStyle name="Total 3 3 12 2 5" xfId="43750" xr:uid="{D2F317B8-300C-40E4-9B24-1B1359AF88BB}"/>
    <cellStyle name="Total 3 3 12 2 6" xfId="43751" xr:uid="{706F4D0A-3D01-44E1-BFF2-002506F72D68}"/>
    <cellStyle name="Total 3 3 12 3" xfId="43752" xr:uid="{0F76E3F8-CEAF-4D5B-AFC0-901CD92B0492}"/>
    <cellStyle name="Total 3 3 12 4" xfId="43753" xr:uid="{38AF4288-F44F-433D-A87B-CB4FB7F0FC69}"/>
    <cellStyle name="Total 3 3 12 5" xfId="43754" xr:uid="{3B1DE148-6ECF-4F09-BC3E-86AA436903E3}"/>
    <cellStyle name="Total 3 3 12 6" xfId="43755" xr:uid="{18B8277A-A92C-4838-9B7D-C0A7D69E7DDB}"/>
    <cellStyle name="Total 3 3 12 7" xfId="43756" xr:uid="{E23187D9-D6CD-4611-BA3C-C56B858C0681}"/>
    <cellStyle name="Total 3 3 13" xfId="3276" xr:uid="{64973D3F-23DD-4944-87E9-3F2F8AE6AE1A}"/>
    <cellStyle name="Total 3 3 13 2" xfId="11012" xr:uid="{928D9EB0-AA98-4CA1-9B26-5A7C0CB44C8B}"/>
    <cellStyle name="Total 3 3 13 2 2" xfId="43757" xr:uid="{B3856568-4D83-4531-8960-2A1724A6A719}"/>
    <cellStyle name="Total 3 3 13 2 3" xfId="43758" xr:uid="{58F707EF-CAD5-4B56-ACDC-94D6D9EFE154}"/>
    <cellStyle name="Total 3 3 13 2 4" xfId="43759" xr:uid="{59B5FD61-34DF-44EF-B307-4811E8F3C53A}"/>
    <cellStyle name="Total 3 3 13 2 5" xfId="43760" xr:uid="{C366CF4C-5371-4BA8-8B82-3AB3BEA5180D}"/>
    <cellStyle name="Total 3 3 13 2 6" xfId="43761" xr:uid="{022603A6-2699-42F2-AA04-A1ED9D1EAD31}"/>
    <cellStyle name="Total 3 3 13 3" xfId="43762" xr:uid="{0D130626-76BB-404D-9C5D-005542734E9A}"/>
    <cellStyle name="Total 3 3 13 4" xfId="43763" xr:uid="{D133829F-13BA-4407-AEE4-50418654F21C}"/>
    <cellStyle name="Total 3 3 13 5" xfId="43764" xr:uid="{DC5CBE0E-5F1E-478F-B764-CA031E1AC27D}"/>
    <cellStyle name="Total 3 3 13 6" xfId="43765" xr:uid="{052F4A09-9512-46C5-9093-699E5CFF3D57}"/>
    <cellStyle name="Total 3 3 13 7" xfId="43766" xr:uid="{3D3C31FB-5C7D-47E4-9641-EAFF776BEEBE}"/>
    <cellStyle name="Total 3 3 14" xfId="3277" xr:uid="{F3BB5437-E5F7-4CDB-BBA7-FD7157C52F07}"/>
    <cellStyle name="Total 3 3 14 2" xfId="11102" xr:uid="{D58C4BF1-2789-4F9A-AE78-8901681584E8}"/>
    <cellStyle name="Total 3 3 14 2 2" xfId="43767" xr:uid="{9FF131F2-6733-49C0-A8A8-79AB254D5C2C}"/>
    <cellStyle name="Total 3 3 14 2 3" xfId="43768" xr:uid="{88B28B0F-6313-49D1-898D-F6F3B5B346AD}"/>
    <cellStyle name="Total 3 3 14 2 4" xfId="43769" xr:uid="{AC7C708B-114C-4499-BF3B-092435E74E3B}"/>
    <cellStyle name="Total 3 3 14 2 5" xfId="43770" xr:uid="{C1093411-0507-499C-A5AD-F79011529EAF}"/>
    <cellStyle name="Total 3 3 14 2 6" xfId="43771" xr:uid="{A5813CD7-AEAD-47E3-99E0-30465E9B7C84}"/>
    <cellStyle name="Total 3 3 14 3" xfId="43772" xr:uid="{75481DCC-05A0-456C-A38C-923409E7424F}"/>
    <cellStyle name="Total 3 3 14 4" xfId="43773" xr:uid="{EFDA4D42-79FF-4D3C-9AE6-27AB7E11EE2B}"/>
    <cellStyle name="Total 3 3 14 5" xfId="43774" xr:uid="{534AB2B7-0DC4-4E22-B95C-F242826422C7}"/>
    <cellStyle name="Total 3 3 14 6" xfId="43775" xr:uid="{29313570-00BB-4C83-B313-548207182564}"/>
    <cellStyle name="Total 3 3 14 7" xfId="43776" xr:uid="{EB091D23-B500-4F03-8F6E-11FA9453A728}"/>
    <cellStyle name="Total 3 3 15" xfId="3278" xr:uid="{A89A0E1C-BB48-419A-8BC3-7CC15D561B7A}"/>
    <cellStyle name="Total 3 3 15 2" xfId="11185" xr:uid="{91C8054F-9EC9-4815-8B1D-883E677672FC}"/>
    <cellStyle name="Total 3 3 15 2 2" xfId="43777" xr:uid="{D8710144-3B7D-4FD7-9D8A-70B786D18910}"/>
    <cellStyle name="Total 3 3 15 2 3" xfId="43778" xr:uid="{F83F3607-BE4F-471C-BB7E-B8512ECE751E}"/>
    <cellStyle name="Total 3 3 15 2 4" xfId="43779" xr:uid="{771D25D8-3006-45E5-8DEA-8134F66B041B}"/>
    <cellStyle name="Total 3 3 15 2 5" xfId="43780" xr:uid="{2BB722E1-C1AD-41DB-875B-B61C6E154B06}"/>
    <cellStyle name="Total 3 3 15 2 6" xfId="43781" xr:uid="{71CB29F0-949E-49D6-9274-99F8C1D34532}"/>
    <cellStyle name="Total 3 3 15 3" xfId="43782" xr:uid="{86915B42-3C09-46E7-8531-303A40D7B108}"/>
    <cellStyle name="Total 3 3 15 4" xfId="43783" xr:uid="{2181582B-07A5-4548-9C09-4EF6DD8ACDC4}"/>
    <cellStyle name="Total 3 3 15 5" xfId="43784" xr:uid="{7C2369AC-D4C1-411C-8F00-DAAC8DB288F2}"/>
    <cellStyle name="Total 3 3 15 6" xfId="43785" xr:uid="{DD1379A4-083A-4287-BA23-F17CBA381D51}"/>
    <cellStyle name="Total 3 3 15 7" xfId="43786" xr:uid="{F203B888-4EB9-42C2-A05E-BC496429C371}"/>
    <cellStyle name="Total 3 3 16" xfId="3279" xr:uid="{9C22D8D2-BB74-40C5-8558-B38ADD588285}"/>
    <cellStyle name="Total 3 3 16 2" xfId="11275" xr:uid="{1E7FFB6D-81BE-40C1-BE7F-448BEBBCEA77}"/>
    <cellStyle name="Total 3 3 16 2 2" xfId="43787" xr:uid="{8FDA1C1C-DBA3-4685-889A-8C3B18302E26}"/>
    <cellStyle name="Total 3 3 16 2 3" xfId="43788" xr:uid="{6546E93E-12EE-48BB-8786-0710D6735A7E}"/>
    <cellStyle name="Total 3 3 16 2 4" xfId="43789" xr:uid="{2BBF4464-A3D0-49A8-9297-5F4E1C50D27A}"/>
    <cellStyle name="Total 3 3 16 2 5" xfId="43790" xr:uid="{2521C156-7D33-4172-BB31-23C19BF4A322}"/>
    <cellStyle name="Total 3 3 16 2 6" xfId="43791" xr:uid="{8F201DEF-4EF3-43F3-98FE-9417B4F91C9F}"/>
    <cellStyle name="Total 3 3 16 3" xfId="43792" xr:uid="{012B0E2B-2144-456D-B8BD-FAE2D347B0DB}"/>
    <cellStyle name="Total 3 3 16 4" xfId="43793" xr:uid="{20256CF9-12C0-461E-9DBF-4B0E1F4D59E7}"/>
    <cellStyle name="Total 3 3 16 5" xfId="43794" xr:uid="{AAED24B5-ADA0-4353-A11D-41B68108B083}"/>
    <cellStyle name="Total 3 3 16 6" xfId="43795" xr:uid="{8A450FE6-C9A1-44AC-842E-A0C31DFF9641}"/>
    <cellStyle name="Total 3 3 16 7" xfId="43796" xr:uid="{41C5D2E6-A2F2-4D6A-A3C9-913C3EEC51BA}"/>
    <cellStyle name="Total 3 3 17" xfId="3280" xr:uid="{AA8B2AC8-FBCD-49D5-A8BA-90559E913C1C}"/>
    <cellStyle name="Total 3 3 17 2" xfId="11361" xr:uid="{63EEC65E-1D45-48B5-AF6C-BCFBCB6F801E}"/>
    <cellStyle name="Total 3 3 17 2 2" xfId="43797" xr:uid="{8C65090F-AB6F-41BA-84D6-781BE361D1BB}"/>
    <cellStyle name="Total 3 3 17 2 3" xfId="43798" xr:uid="{4522873D-3087-4BB9-BF42-B2055EE1179A}"/>
    <cellStyle name="Total 3 3 17 2 4" xfId="43799" xr:uid="{B00FCB3A-1220-44F9-81D4-C556367DCA49}"/>
    <cellStyle name="Total 3 3 17 2 5" xfId="43800" xr:uid="{845965FB-FE15-4001-ABCF-C85CB1838706}"/>
    <cellStyle name="Total 3 3 17 2 6" xfId="43801" xr:uid="{95ECBC0B-CAE6-44BD-8AB5-549DD52A33D9}"/>
    <cellStyle name="Total 3 3 17 3" xfId="43802" xr:uid="{FC66D084-AAFF-4229-B9EC-3B1488EE370E}"/>
    <cellStyle name="Total 3 3 17 4" xfId="43803" xr:uid="{76D4CA5D-839C-4E01-92A0-9FE962C312C8}"/>
    <cellStyle name="Total 3 3 17 5" xfId="43804" xr:uid="{810514BB-19F6-4C16-8AF2-7B944AA73B38}"/>
    <cellStyle name="Total 3 3 17 6" xfId="43805" xr:uid="{D7DE951B-BCE4-46F5-B376-86BC4420B039}"/>
    <cellStyle name="Total 3 3 17 7" xfId="43806" xr:uid="{846DB39C-E2B2-41DE-B0E3-522D9F48F264}"/>
    <cellStyle name="Total 3 3 18" xfId="3281" xr:uid="{B963DE66-8B30-4418-9D88-0F34B644C13F}"/>
    <cellStyle name="Total 3 3 18 2" xfId="11448" xr:uid="{F5B36E01-B2C1-4B42-9565-04749826B988}"/>
    <cellStyle name="Total 3 3 18 2 2" xfId="43807" xr:uid="{6501F242-41DD-4311-AB69-BF79747014F6}"/>
    <cellStyle name="Total 3 3 18 2 3" xfId="43808" xr:uid="{72CDD797-FF5C-4235-B2DF-51EEFBF3E7E2}"/>
    <cellStyle name="Total 3 3 18 2 4" xfId="43809" xr:uid="{24A5CC52-58C4-4DBC-A5B7-4C67B1E1965B}"/>
    <cellStyle name="Total 3 3 18 2 5" xfId="43810" xr:uid="{23A91F18-8459-4161-ADFC-CAC3531EB794}"/>
    <cellStyle name="Total 3 3 18 2 6" xfId="43811" xr:uid="{9F6888CC-AC4A-43E6-8CDF-C56CABBD2478}"/>
    <cellStyle name="Total 3 3 18 3" xfId="43812" xr:uid="{5A854C81-6CE6-4AFE-BD9C-A918A29D374B}"/>
    <cellStyle name="Total 3 3 18 4" xfId="43813" xr:uid="{EEDD6F34-17B7-4BDE-94C3-52FD5A9D1E89}"/>
    <cellStyle name="Total 3 3 18 5" xfId="43814" xr:uid="{1ED694AB-F18D-42ED-9924-98BBE7D5BA98}"/>
    <cellStyle name="Total 3 3 18 6" xfId="43815" xr:uid="{AC478F11-40B0-4AA6-A880-EC6C19FA2C7A}"/>
    <cellStyle name="Total 3 3 18 7" xfId="43816" xr:uid="{1E1E7D88-5F20-4151-9B86-F9B2630E2735}"/>
    <cellStyle name="Total 3 3 19" xfId="3282" xr:uid="{6DE389B8-E742-4545-ADC8-01165400DD8D}"/>
    <cellStyle name="Total 3 3 19 2" xfId="11535" xr:uid="{7BD18F04-897A-4DFE-B9B5-04603D2E70E1}"/>
    <cellStyle name="Total 3 3 19 2 2" xfId="43817" xr:uid="{FA7E63D4-BCF7-4337-9963-CB68182A2526}"/>
    <cellStyle name="Total 3 3 19 2 3" xfId="43818" xr:uid="{0511E05D-782D-4B4B-9529-E979408B1511}"/>
    <cellStyle name="Total 3 3 19 2 4" xfId="43819" xr:uid="{B5BA33EA-794D-4325-BE8C-3BE073732F66}"/>
    <cellStyle name="Total 3 3 19 2 5" xfId="43820" xr:uid="{0D7B1D46-A961-469F-B782-A0F269AEA7D4}"/>
    <cellStyle name="Total 3 3 19 2 6" xfId="43821" xr:uid="{6EF06A58-F51D-481F-A9EE-5DCC7F2C2FC6}"/>
    <cellStyle name="Total 3 3 19 3" xfId="43822" xr:uid="{E1E1C1C9-EA4E-46F9-9562-B0EE5EE548FF}"/>
    <cellStyle name="Total 3 3 19 4" xfId="43823" xr:uid="{3E78FF7E-9245-4593-94A5-33002626B893}"/>
    <cellStyle name="Total 3 3 19 5" xfId="43824" xr:uid="{A468A2D8-DC52-4BD4-996A-7D217B5A0EC1}"/>
    <cellStyle name="Total 3 3 19 6" xfId="43825" xr:uid="{06922194-222E-40DB-8B4B-B86F9687129E}"/>
    <cellStyle name="Total 3 3 19 7" xfId="43826" xr:uid="{D86E4630-DFAB-4777-8EAB-CA33CCB103F4}"/>
    <cellStyle name="Total 3 3 2" xfId="3283" xr:uid="{412211E9-8B1D-476F-9103-43945EAFDE96}"/>
    <cellStyle name="Total 3 3 2 2" xfId="10042" xr:uid="{8395A349-F8E2-4C3E-91EB-F5FBA66549EB}"/>
    <cellStyle name="Total 3 3 2 2 2" xfId="43827" xr:uid="{3907A5E4-B4DF-463B-ABCD-AF338F43E61D}"/>
    <cellStyle name="Total 3 3 2 2 3" xfId="43828" xr:uid="{36307E9B-62DA-4F25-B941-127251D0E840}"/>
    <cellStyle name="Total 3 3 2 2 4" xfId="43829" xr:uid="{B2AD3464-5D06-4426-8E8C-BE96EC86E41A}"/>
    <cellStyle name="Total 3 3 2 2 5" xfId="43830" xr:uid="{D183B5D9-8B30-4890-8270-650724BBE580}"/>
    <cellStyle name="Total 3 3 2 2 6" xfId="43831" xr:uid="{9AF35C2B-11DC-4820-96DB-C7AF6D8CBC1D}"/>
    <cellStyle name="Total 3 3 2 3" xfId="43832" xr:uid="{08992B17-2B7A-47B6-8F83-346028AB2215}"/>
    <cellStyle name="Total 3 3 2 4" xfId="43833" xr:uid="{04318F05-214D-44C1-AAE1-559BDD391BEF}"/>
    <cellStyle name="Total 3 3 2 5" xfId="43834" xr:uid="{795A4B6E-4837-4FE6-A07B-E1F2B572C71F}"/>
    <cellStyle name="Total 3 3 2 6" xfId="43835" xr:uid="{BFACA5E6-7B77-4222-B136-6A3930B87163}"/>
    <cellStyle name="Total 3 3 2 7" xfId="43836" xr:uid="{48AA35EA-B281-4839-ABE1-BA568B61BF94}"/>
    <cellStyle name="Total 3 3 20" xfId="3284" xr:uid="{28D2CCE8-71D5-4DC2-911B-7AF52476B068}"/>
    <cellStyle name="Total 3 3 20 2" xfId="11623" xr:uid="{5A5FE8F1-AB5F-47EC-8C1E-2276243F213E}"/>
    <cellStyle name="Total 3 3 20 2 2" xfId="43837" xr:uid="{88ACC312-0725-47D5-A754-FD1CA46AADCA}"/>
    <cellStyle name="Total 3 3 20 2 3" xfId="43838" xr:uid="{F787DC3E-9ECC-491A-A436-60C7BC4D764C}"/>
    <cellStyle name="Total 3 3 20 2 4" xfId="43839" xr:uid="{993C30DF-E8D3-4BE7-91FD-E5245FA8DD6A}"/>
    <cellStyle name="Total 3 3 20 2 5" xfId="43840" xr:uid="{00C4703D-72C8-4C04-951D-648C5FE265B8}"/>
    <cellStyle name="Total 3 3 20 2 6" xfId="43841" xr:uid="{83631818-352D-4450-BEAE-90E7EF33C1E6}"/>
    <cellStyle name="Total 3 3 20 3" xfId="43842" xr:uid="{5A40E84D-F786-4BE3-976F-4E9CA4E67EA5}"/>
    <cellStyle name="Total 3 3 20 4" xfId="43843" xr:uid="{1761EDA1-61F4-4740-AF1B-BCACC0DD40B7}"/>
    <cellStyle name="Total 3 3 20 5" xfId="43844" xr:uid="{A59C4F7B-7336-4D41-B623-7846F19A1BF1}"/>
    <cellStyle name="Total 3 3 20 6" xfId="43845" xr:uid="{8322B6EB-C575-40FE-B65B-81187AF6F769}"/>
    <cellStyle name="Total 3 3 20 7" xfId="43846" xr:uid="{E0468B8C-B746-4085-9D93-EEABC111EB9A}"/>
    <cellStyle name="Total 3 3 21" xfId="3285" xr:uid="{DDA9D3A1-EA29-4C44-8536-4F5F2C28353D}"/>
    <cellStyle name="Total 3 3 21 2" xfId="11707" xr:uid="{1BF5D68D-3C7B-4332-AF87-E2A809C60E1D}"/>
    <cellStyle name="Total 3 3 21 2 2" xfId="43847" xr:uid="{CB93E22A-25B6-4974-A294-2542E1F9F413}"/>
    <cellStyle name="Total 3 3 21 2 3" xfId="43848" xr:uid="{6BEADCA9-8E96-4F9A-8CCE-0EB7E263605E}"/>
    <cellStyle name="Total 3 3 21 2 4" xfId="43849" xr:uid="{8D2841D0-A20C-4B2C-B7FE-9119586D02E1}"/>
    <cellStyle name="Total 3 3 21 2 5" xfId="43850" xr:uid="{6FD4E5C3-DE5E-4D5B-A17C-03FD38F2149A}"/>
    <cellStyle name="Total 3 3 21 2 6" xfId="43851" xr:uid="{FAB5E4E9-9D07-41E2-A7FC-30F85FCD936F}"/>
    <cellStyle name="Total 3 3 21 3" xfId="43852" xr:uid="{F9A02096-1F2D-45BC-85A7-AB42F2EA90DC}"/>
    <cellStyle name="Total 3 3 21 4" xfId="43853" xr:uid="{215A082F-E818-41A3-AF9C-CB47247D1F8B}"/>
    <cellStyle name="Total 3 3 21 5" xfId="43854" xr:uid="{564C864C-6934-4EF1-855E-41A5C7E5941D}"/>
    <cellStyle name="Total 3 3 21 6" xfId="43855" xr:uid="{70BC288D-F594-4C32-AA35-99B2A65861FF}"/>
    <cellStyle name="Total 3 3 21 7" xfId="43856" xr:uid="{2D59C040-320E-426D-836A-EED57C7FF926}"/>
    <cellStyle name="Total 3 3 22" xfId="3286" xr:uid="{16ED0BEC-F559-4B62-8FC5-7A8C0068B6A5}"/>
    <cellStyle name="Total 3 3 22 2" xfId="11790" xr:uid="{D53AABEF-0220-4B71-A593-889F4B0FED18}"/>
    <cellStyle name="Total 3 3 22 2 2" xfId="43857" xr:uid="{65654AC8-17F4-448A-9294-9E8FDB029C22}"/>
    <cellStyle name="Total 3 3 22 2 3" xfId="43858" xr:uid="{13371269-A315-43E6-BAC2-39158949C374}"/>
    <cellStyle name="Total 3 3 22 2 4" xfId="43859" xr:uid="{D6190E1D-C17C-48B9-91E8-F325F401B0C9}"/>
    <cellStyle name="Total 3 3 22 2 5" xfId="43860" xr:uid="{C40EE668-A92B-459C-8E83-25EC5FDDD266}"/>
    <cellStyle name="Total 3 3 22 2 6" xfId="43861" xr:uid="{E7C95309-F407-45C0-9BF2-1014042AA060}"/>
    <cellStyle name="Total 3 3 22 3" xfId="43862" xr:uid="{F2A57652-6CA0-4F00-9A8E-2EC979A70F73}"/>
    <cellStyle name="Total 3 3 22 4" xfId="43863" xr:uid="{E98150BB-1E5B-4E37-9F00-DA4052BE2CD1}"/>
    <cellStyle name="Total 3 3 22 5" xfId="43864" xr:uid="{4F9CF1D4-7554-4E21-9A22-9F8161C1DCD8}"/>
    <cellStyle name="Total 3 3 22 6" xfId="43865" xr:uid="{D149D3D2-65D4-42F9-B55B-0C231022026D}"/>
    <cellStyle name="Total 3 3 22 7" xfId="43866" xr:uid="{41D94D7F-1220-4A8E-8559-6612D3AA429B}"/>
    <cellStyle name="Total 3 3 23" xfId="3287" xr:uid="{5F0F8686-B0F9-444D-862E-138869143DDF}"/>
    <cellStyle name="Total 3 3 23 2" xfId="11873" xr:uid="{F16B189F-88E6-43EE-86DE-8E13428575AC}"/>
    <cellStyle name="Total 3 3 23 2 2" xfId="43867" xr:uid="{F2737C95-7523-48F1-9A5C-7AEBB63329E7}"/>
    <cellStyle name="Total 3 3 23 2 3" xfId="43868" xr:uid="{6E939436-4221-48EF-B94B-AAAE9FDA044D}"/>
    <cellStyle name="Total 3 3 23 2 4" xfId="43869" xr:uid="{CD808D48-2D79-4AF4-8101-82B784FDC109}"/>
    <cellStyle name="Total 3 3 23 2 5" xfId="43870" xr:uid="{6ADDC6DA-A8AE-46FD-88AA-2DA7C9F3A844}"/>
    <cellStyle name="Total 3 3 23 2 6" xfId="43871" xr:uid="{68D30681-C1A5-4B23-AB6B-026818EFC3A5}"/>
    <cellStyle name="Total 3 3 23 3" xfId="43872" xr:uid="{B1075091-BF42-4434-8563-EFBBA5594F2D}"/>
    <cellStyle name="Total 3 3 23 4" xfId="43873" xr:uid="{F7958470-66DB-4D0E-8913-FEEFCCED9E76}"/>
    <cellStyle name="Total 3 3 23 5" xfId="43874" xr:uid="{15306355-62D6-4BE1-A60A-D07245CC8BB6}"/>
    <cellStyle name="Total 3 3 23 6" xfId="43875" xr:uid="{4BBAD4FF-AB80-4803-9E7B-AAC3490C23DE}"/>
    <cellStyle name="Total 3 3 23 7" xfId="43876" xr:uid="{BBDF4764-0A20-44E1-9209-56C3F9B9C12B}"/>
    <cellStyle name="Total 3 3 24" xfId="3288" xr:uid="{09B27F3B-17E3-490A-A58C-9D332663ACAE}"/>
    <cellStyle name="Total 3 3 24 2" xfId="11957" xr:uid="{26DF5AA0-DDAD-44AD-87DE-6CE62F94BB63}"/>
    <cellStyle name="Total 3 3 24 2 2" xfId="43877" xr:uid="{744886E3-79BE-49DE-A83B-A99F1412089A}"/>
    <cellStyle name="Total 3 3 24 2 3" xfId="43878" xr:uid="{1A1E0371-65D5-49EA-8EC4-9B1105B735B1}"/>
    <cellStyle name="Total 3 3 24 2 4" xfId="43879" xr:uid="{32BE883B-BC37-4967-9A8E-82554BAE2840}"/>
    <cellStyle name="Total 3 3 24 2 5" xfId="43880" xr:uid="{BA1D978E-0263-4B6F-93CE-6D7B52FAAC56}"/>
    <cellStyle name="Total 3 3 24 2 6" xfId="43881" xr:uid="{69139119-AB9B-48CD-A13C-458B0CA8895F}"/>
    <cellStyle name="Total 3 3 24 3" xfId="43882" xr:uid="{C6432FCD-3C00-491C-B02C-029D4700FE09}"/>
    <cellStyle name="Total 3 3 24 4" xfId="43883" xr:uid="{491EDC39-2F0C-4042-86D4-FD9CF5AF1FA5}"/>
    <cellStyle name="Total 3 3 24 5" xfId="43884" xr:uid="{CE9A730E-8778-46D2-BA66-CFAA01A3FC34}"/>
    <cellStyle name="Total 3 3 24 6" xfId="43885" xr:uid="{2AB8184B-FAB0-4D7E-B2CF-2231A6058B37}"/>
    <cellStyle name="Total 3 3 24 7" xfId="43886" xr:uid="{51BE8A02-41FA-4F94-A1F8-1CBBE84EA78F}"/>
    <cellStyle name="Total 3 3 25" xfId="3289" xr:uid="{012A983A-0409-4E29-802D-DBF2E571379C}"/>
    <cellStyle name="Total 3 3 25 2" xfId="12040" xr:uid="{58352106-75D3-405F-AFE8-C160FA0E042E}"/>
    <cellStyle name="Total 3 3 25 2 2" xfId="43887" xr:uid="{58161B8D-C522-4813-A0CF-139C461A8A62}"/>
    <cellStyle name="Total 3 3 25 2 3" xfId="43888" xr:uid="{78E1B462-1585-4145-A541-9D51DCF6C39C}"/>
    <cellStyle name="Total 3 3 25 2 4" xfId="43889" xr:uid="{0A829A0E-0744-4B7F-A2D1-DC5986EE086C}"/>
    <cellStyle name="Total 3 3 25 2 5" xfId="43890" xr:uid="{788DBB16-B40B-4E28-A5A9-4D87C871808F}"/>
    <cellStyle name="Total 3 3 25 2 6" xfId="43891" xr:uid="{93B657B7-DE5A-47D0-8828-206BBC903D87}"/>
    <cellStyle name="Total 3 3 25 3" xfId="43892" xr:uid="{1D714EF1-F382-463F-9428-6FA413F3362C}"/>
    <cellStyle name="Total 3 3 25 4" xfId="43893" xr:uid="{7BB963B7-23AC-42F8-93E7-17430A9896EA}"/>
    <cellStyle name="Total 3 3 25 5" xfId="43894" xr:uid="{131ECFB3-4AA0-4197-ABFD-4D162B89BF4D}"/>
    <cellStyle name="Total 3 3 25 6" xfId="43895" xr:uid="{0D989A37-9D93-4C43-BF83-810ABF8E8424}"/>
    <cellStyle name="Total 3 3 25 7" xfId="43896" xr:uid="{EAFC34B4-1B31-4320-A7DC-394A40C3EE1C}"/>
    <cellStyle name="Total 3 3 26" xfId="3290" xr:uid="{7C7A21C2-CAF7-4AAF-BD19-D853C01F4332}"/>
    <cellStyle name="Total 3 3 26 2" xfId="12123" xr:uid="{93DFDF06-605C-4DAC-88D1-5E8588FB750A}"/>
    <cellStyle name="Total 3 3 26 2 2" xfId="43897" xr:uid="{BC36F5D3-E67D-46C3-90A8-9873CFC9E383}"/>
    <cellStyle name="Total 3 3 26 2 3" xfId="43898" xr:uid="{71811879-FEAC-454F-9D74-AE9076E9C24D}"/>
    <cellStyle name="Total 3 3 26 2 4" xfId="43899" xr:uid="{AA702A34-A0AB-41DD-8F37-813551E41FA4}"/>
    <cellStyle name="Total 3 3 26 2 5" xfId="43900" xr:uid="{A8AD9357-2000-42E2-A9CE-59FF6248A08D}"/>
    <cellStyle name="Total 3 3 26 2 6" xfId="43901" xr:uid="{9E27B6AE-F334-4B02-AB97-B8BAE5621F23}"/>
    <cellStyle name="Total 3 3 26 3" xfId="43902" xr:uid="{A1DD0398-7518-44C9-879B-7FA5DC413C80}"/>
    <cellStyle name="Total 3 3 26 4" xfId="43903" xr:uid="{AE2A5068-B21A-4DEC-BB28-AC02E3D5747B}"/>
    <cellStyle name="Total 3 3 26 5" xfId="43904" xr:uid="{7729CD1C-D12F-4660-8B8D-A1CCD09F0847}"/>
    <cellStyle name="Total 3 3 26 6" xfId="43905" xr:uid="{C7068F08-C968-45CA-B991-3703169C4A74}"/>
    <cellStyle name="Total 3 3 26 7" xfId="43906" xr:uid="{9CFCF0E4-DDD1-4FDC-9F56-0D2FF5FD2488}"/>
    <cellStyle name="Total 3 3 27" xfId="3291" xr:uid="{EB4BF426-99B5-4919-88A2-62FAB0F49F07}"/>
    <cellStyle name="Total 3 3 27 2" xfId="12205" xr:uid="{664EC9B6-A8B5-4FEF-B474-F025B7CD2895}"/>
    <cellStyle name="Total 3 3 27 2 2" xfId="43907" xr:uid="{91ECE480-38CE-42BE-8F0A-F1FC6719D635}"/>
    <cellStyle name="Total 3 3 27 2 3" xfId="43908" xr:uid="{F0A94FCF-9824-484C-BE39-A2975945903D}"/>
    <cellStyle name="Total 3 3 27 2 4" xfId="43909" xr:uid="{AA02B348-701A-4CAF-926F-84FA5840D907}"/>
    <cellStyle name="Total 3 3 27 2 5" xfId="43910" xr:uid="{FBFB5B05-A8D1-4656-96B9-CEDC2AFE8AAD}"/>
    <cellStyle name="Total 3 3 27 2 6" xfId="43911" xr:uid="{2276E6F1-18AC-46A9-B691-97B94ADE9857}"/>
    <cellStyle name="Total 3 3 27 3" xfId="43912" xr:uid="{85F5F014-0F64-434E-B049-A7A6180E2B94}"/>
    <cellStyle name="Total 3 3 27 4" xfId="43913" xr:uid="{4C4EB72B-3A35-4FE9-9B19-569201418053}"/>
    <cellStyle name="Total 3 3 27 5" xfId="43914" xr:uid="{20D44EAA-1783-4A90-ABF1-1682CF9FD3F8}"/>
    <cellStyle name="Total 3 3 27 6" xfId="43915" xr:uid="{B5A4374E-9862-4E2C-B426-12FAAA3040A2}"/>
    <cellStyle name="Total 3 3 27 7" xfId="43916" xr:uid="{4DBAFA50-8D1E-4304-A4EF-0293B670297D}"/>
    <cellStyle name="Total 3 3 28" xfId="3292" xr:uid="{476167B9-C89A-40BB-91A2-38FECE709580}"/>
    <cellStyle name="Total 3 3 28 2" xfId="12285" xr:uid="{67471913-F684-4A99-8E67-B2995B38AE88}"/>
    <cellStyle name="Total 3 3 28 2 2" xfId="43917" xr:uid="{ABE14990-D32D-4A3A-814F-4ED8C527D50F}"/>
    <cellStyle name="Total 3 3 28 2 3" xfId="43918" xr:uid="{89BD4AE6-31DA-4392-8487-784E42FBA954}"/>
    <cellStyle name="Total 3 3 28 2 4" xfId="43919" xr:uid="{7C6216BE-4032-4D6D-B944-BAC09093B07B}"/>
    <cellStyle name="Total 3 3 28 2 5" xfId="43920" xr:uid="{314C1E3B-425C-420F-870B-705F1375803D}"/>
    <cellStyle name="Total 3 3 28 2 6" xfId="43921" xr:uid="{59208A44-3567-45D7-9AAB-47D90D369508}"/>
    <cellStyle name="Total 3 3 28 3" xfId="43922" xr:uid="{E01213AA-29DA-452A-96CE-F4575439236C}"/>
    <cellStyle name="Total 3 3 28 4" xfId="43923" xr:uid="{8D3E85FA-8A48-4C73-AD37-27A1C36DBEFF}"/>
    <cellStyle name="Total 3 3 28 5" xfId="43924" xr:uid="{EC671838-1FB7-4411-ABE9-8D9DFE120426}"/>
    <cellStyle name="Total 3 3 28 6" xfId="43925" xr:uid="{231B4027-6B8A-4935-B181-D672DD01B3F3}"/>
    <cellStyle name="Total 3 3 28 7" xfId="43926" xr:uid="{FD4D648C-D59C-431B-B115-39EA7402AC46}"/>
    <cellStyle name="Total 3 3 29" xfId="3293" xr:uid="{E4DAFCBD-057E-45E5-B986-02E0C0786F60}"/>
    <cellStyle name="Total 3 3 29 2" xfId="12363" xr:uid="{043FFFA5-7414-4351-90AC-15CA8DE488BA}"/>
    <cellStyle name="Total 3 3 29 2 2" xfId="43927" xr:uid="{174BCD3F-6067-411A-824A-F048B400A0F8}"/>
    <cellStyle name="Total 3 3 29 2 3" xfId="43928" xr:uid="{93DE8B55-DAE2-4752-830B-ACAD41679204}"/>
    <cellStyle name="Total 3 3 29 2 4" xfId="43929" xr:uid="{1727CEED-CCFA-44D7-AAA1-541394111DDA}"/>
    <cellStyle name="Total 3 3 29 2 5" xfId="43930" xr:uid="{8B066192-9C31-4E42-9A3F-6F737B3FF8A9}"/>
    <cellStyle name="Total 3 3 29 2 6" xfId="43931" xr:uid="{E8C2E537-AD6F-4643-A9FD-0B964A07A418}"/>
    <cellStyle name="Total 3 3 29 3" xfId="43932" xr:uid="{E3813BAE-EDBC-4AEF-9560-B1381105483D}"/>
    <cellStyle name="Total 3 3 29 4" xfId="43933" xr:uid="{7E993B3B-70B0-415A-9DB5-2D5B3DD5F70D}"/>
    <cellStyle name="Total 3 3 29 5" xfId="43934" xr:uid="{7BB820FB-EBC5-4969-B262-61112D983082}"/>
    <cellStyle name="Total 3 3 29 6" xfId="43935" xr:uid="{1C626F8B-1941-4B94-A319-646A9A5EFE91}"/>
    <cellStyle name="Total 3 3 29 7" xfId="43936" xr:uid="{E3992DB4-FEA0-42C7-9E38-58094F92DD46}"/>
    <cellStyle name="Total 3 3 3" xfId="3294" xr:uid="{007ACD19-2E09-40E0-91AA-AD270D52480C}"/>
    <cellStyle name="Total 3 3 3 2" xfId="10133" xr:uid="{66361669-F55C-4D1B-A850-16A88D00D5D4}"/>
    <cellStyle name="Total 3 3 3 2 2" xfId="43937" xr:uid="{95A2AEFE-4A14-4624-A525-C7BE461FDC47}"/>
    <cellStyle name="Total 3 3 3 2 3" xfId="43938" xr:uid="{22B37439-86C3-4970-A13F-891EBAFB1E6D}"/>
    <cellStyle name="Total 3 3 3 2 4" xfId="43939" xr:uid="{4173174D-F2F6-4541-A142-9D96AB788DC5}"/>
    <cellStyle name="Total 3 3 3 2 5" xfId="43940" xr:uid="{C6DF6EDA-CE88-4D0E-800C-4ADEA2262AC3}"/>
    <cellStyle name="Total 3 3 3 2 6" xfId="43941" xr:uid="{838C9C3F-C070-4F71-AB23-D9AC5BCEED2A}"/>
    <cellStyle name="Total 3 3 3 3" xfId="43942" xr:uid="{9D0B1455-7FAF-48D3-A47B-FCD84A45EB96}"/>
    <cellStyle name="Total 3 3 3 4" xfId="43943" xr:uid="{7FCAA97C-EFDD-4878-919C-3B2EB1E26BC8}"/>
    <cellStyle name="Total 3 3 3 5" xfId="43944" xr:uid="{81EFAD51-CB9A-4D70-88B8-C5B2A920353D}"/>
    <cellStyle name="Total 3 3 3 6" xfId="43945" xr:uid="{9903E1A3-5256-472F-B3FA-CD2DB934CF63}"/>
    <cellStyle name="Total 3 3 3 7" xfId="43946" xr:uid="{31365CEF-C2A6-4859-A743-33EBEAC3C64E}"/>
    <cellStyle name="Total 3 3 30" xfId="3295" xr:uid="{C7007023-2025-4732-8A79-E4AE8B5BFFCB}"/>
    <cellStyle name="Total 3 3 30 2" xfId="12442" xr:uid="{EC143B56-F6D2-4815-A631-588ADC2FFC09}"/>
    <cellStyle name="Total 3 3 30 2 2" xfId="43947" xr:uid="{5D0EB5DE-4621-4458-BEDC-9D635BD22913}"/>
    <cellStyle name="Total 3 3 30 2 3" xfId="43948" xr:uid="{B2F80E40-86D3-4878-B59A-1257C56D69B0}"/>
    <cellStyle name="Total 3 3 30 2 4" xfId="43949" xr:uid="{A5D7643D-909F-46FB-9646-F4C6A0BCB5A3}"/>
    <cellStyle name="Total 3 3 30 2 5" xfId="43950" xr:uid="{39C61AC7-CAD7-4CC9-9A3C-CF2297AEBEED}"/>
    <cellStyle name="Total 3 3 30 2 6" xfId="43951" xr:uid="{15918FC6-363B-457A-96A0-1F746A265529}"/>
    <cellStyle name="Total 3 3 30 3" xfId="43952" xr:uid="{EAD82AFB-1235-4F90-AD73-90BCDBC25141}"/>
    <cellStyle name="Total 3 3 30 4" xfId="43953" xr:uid="{B57000B7-A009-405F-BFED-1DA8A7C252F1}"/>
    <cellStyle name="Total 3 3 30 5" xfId="43954" xr:uid="{FFF80286-4127-423F-A58E-AE2D99E3365D}"/>
    <cellStyle name="Total 3 3 30 6" xfId="43955" xr:uid="{2DDB8960-4664-4137-AB0E-3B6BFBCD5F5F}"/>
    <cellStyle name="Total 3 3 30 7" xfId="43956" xr:uid="{911636FA-2B96-4D4B-B755-41375C085F12}"/>
    <cellStyle name="Total 3 3 31" xfId="3296" xr:uid="{43112FC5-0AF3-4B94-8B81-B65CF6F4EA12}"/>
    <cellStyle name="Total 3 3 31 2" xfId="12521" xr:uid="{5C421FF7-1DE9-4A64-AD83-9CDA9B2923C1}"/>
    <cellStyle name="Total 3 3 31 2 2" xfId="43957" xr:uid="{438C118E-377D-445C-9AA0-33373EC8F343}"/>
    <cellStyle name="Total 3 3 31 2 3" xfId="43958" xr:uid="{CE840954-9769-4C38-953B-731A067BA1A3}"/>
    <cellStyle name="Total 3 3 31 2 4" xfId="43959" xr:uid="{6E2E8EEA-B286-4E79-A282-E5C507822A57}"/>
    <cellStyle name="Total 3 3 31 2 5" xfId="43960" xr:uid="{A067D066-70C1-42F9-97B8-3B63E46DFD8C}"/>
    <cellStyle name="Total 3 3 31 2 6" xfId="43961" xr:uid="{6ACE633A-0766-4F85-BE17-75A17B59E950}"/>
    <cellStyle name="Total 3 3 31 3" xfId="43962" xr:uid="{8FFAB138-8CD8-48D7-B315-600A99C529E1}"/>
    <cellStyle name="Total 3 3 31 4" xfId="43963" xr:uid="{CB567651-66BC-4707-BEE0-5587792DC994}"/>
    <cellStyle name="Total 3 3 31 5" xfId="43964" xr:uid="{B8DECD7B-43F4-49BB-87C8-6BD346F670A2}"/>
    <cellStyle name="Total 3 3 31 6" xfId="43965" xr:uid="{8EDE61E9-7884-434C-B65F-0B4035A97633}"/>
    <cellStyle name="Total 3 3 31 7" xfId="43966" xr:uid="{362DDBDD-75B4-4EE9-B819-6EDE4D39C952}"/>
    <cellStyle name="Total 3 3 32" xfId="3297" xr:uid="{6529C35C-309C-43DC-B646-569BD16B99D9}"/>
    <cellStyle name="Total 3 3 32 2" xfId="12600" xr:uid="{EE8C42C8-91BF-4AF9-A7F9-73082DD5A15D}"/>
    <cellStyle name="Total 3 3 32 2 2" xfId="43967" xr:uid="{9F7B86F1-35B2-4EBF-B034-9A9BEFA6E49D}"/>
    <cellStyle name="Total 3 3 32 2 3" xfId="43968" xr:uid="{E7186A6D-63C9-44FA-9911-0D0BAD85EBD0}"/>
    <cellStyle name="Total 3 3 32 2 4" xfId="43969" xr:uid="{0D823B44-1A76-48D2-B56B-4EAD151E395E}"/>
    <cellStyle name="Total 3 3 32 2 5" xfId="43970" xr:uid="{617C5BE7-47BA-4126-B67C-9CE16F0E0EAB}"/>
    <cellStyle name="Total 3 3 32 2 6" xfId="43971" xr:uid="{0E39E8FD-FEC7-4339-8DDE-E7D951D5ABE4}"/>
    <cellStyle name="Total 3 3 32 3" xfId="43972" xr:uid="{D1F06144-48A4-427C-A1A5-593F967FC5BF}"/>
    <cellStyle name="Total 3 3 32 4" xfId="43973" xr:uid="{E07DEC39-2BC4-4E8E-B4C5-260DBD3FB42E}"/>
    <cellStyle name="Total 3 3 32 5" xfId="43974" xr:uid="{5F45B97C-B04B-4F06-A548-6D42FCA8AD05}"/>
    <cellStyle name="Total 3 3 32 6" xfId="43975" xr:uid="{2D14AFD5-D6F4-4494-993D-A48F0AC7D694}"/>
    <cellStyle name="Total 3 3 32 7" xfId="43976" xr:uid="{9AE37299-4191-49DB-B726-9D4191F25F63}"/>
    <cellStyle name="Total 3 3 33" xfId="3298" xr:uid="{5CE7A996-6D27-4E29-AA6E-C9010133BB1C}"/>
    <cellStyle name="Total 3 3 33 2" xfId="12679" xr:uid="{1E975D6E-5980-4C6A-8603-E6745D82D017}"/>
    <cellStyle name="Total 3 3 33 2 2" xfId="43977" xr:uid="{F5A5664F-95E7-4A69-92E2-0BE86AF59E06}"/>
    <cellStyle name="Total 3 3 33 2 3" xfId="43978" xr:uid="{79A9420C-149C-4928-BA1F-E5CE01504D17}"/>
    <cellStyle name="Total 3 3 33 2 4" xfId="43979" xr:uid="{07B2E2F9-895E-4338-BCF6-CA9B7296ABD4}"/>
    <cellStyle name="Total 3 3 33 2 5" xfId="43980" xr:uid="{4D8EF6E6-02CD-469B-AABE-332A5E8836AB}"/>
    <cellStyle name="Total 3 3 33 2 6" xfId="43981" xr:uid="{EF0942F8-009E-4806-BB5D-73E4016506A2}"/>
    <cellStyle name="Total 3 3 33 3" xfId="43982" xr:uid="{FFA0CD08-156A-4B00-95DE-424DF6FC6145}"/>
    <cellStyle name="Total 3 3 33 4" xfId="43983" xr:uid="{D88B1690-1025-47BD-8027-59A463D59243}"/>
    <cellStyle name="Total 3 3 33 5" xfId="43984" xr:uid="{0BE6F9E0-8151-4FFB-8139-A1F72E61E5A7}"/>
    <cellStyle name="Total 3 3 33 6" xfId="43985" xr:uid="{54C7C6B3-EAD4-4444-9631-42CBFC5CCF38}"/>
    <cellStyle name="Total 3 3 33 7" xfId="43986" xr:uid="{3C39666B-922C-49D1-B892-9C5653A1A277}"/>
    <cellStyle name="Total 3 3 34" xfId="3299" xr:uid="{17AFDF10-E8C4-4011-B404-068AB9F9E403}"/>
    <cellStyle name="Total 3 3 34 2" xfId="12763" xr:uid="{7CF463FA-9E4A-442A-A477-480B80F8B5D2}"/>
    <cellStyle name="Total 3 3 34 2 2" xfId="43987" xr:uid="{ADD1EAB4-BA96-4D60-9593-67D3DD954875}"/>
    <cellStyle name="Total 3 3 34 2 3" xfId="43988" xr:uid="{026F2348-72FD-4A63-9E11-EBBA1F53CF38}"/>
    <cellStyle name="Total 3 3 34 2 4" xfId="43989" xr:uid="{6DE36412-55FD-4DDF-BB01-E76570C0267A}"/>
    <cellStyle name="Total 3 3 34 2 5" xfId="43990" xr:uid="{85589EF5-8F4C-495A-8F88-CA7C4F5B8E1A}"/>
    <cellStyle name="Total 3 3 34 2 6" xfId="43991" xr:uid="{CEB1DD2E-ACE4-4C3B-8F87-FAD9281D65F6}"/>
    <cellStyle name="Total 3 3 34 3" xfId="43992" xr:uid="{4DA5922A-7E14-42FD-9D3F-3A52CDD182A5}"/>
    <cellStyle name="Total 3 3 34 4" xfId="43993" xr:uid="{8CE7BE0F-FE32-458C-8E72-19B6D0624A00}"/>
    <cellStyle name="Total 3 3 34 5" xfId="43994" xr:uid="{CFBBE61B-C1AC-4E6D-9CC9-CFFB3168760C}"/>
    <cellStyle name="Total 3 3 34 6" xfId="43995" xr:uid="{B774103D-CACC-4F46-B07E-320AF562154F}"/>
    <cellStyle name="Total 3 3 35" xfId="9692" xr:uid="{7EB01702-B506-49A8-889E-933F6D36C1B0}"/>
    <cellStyle name="Total 3 3 36" xfId="9829" xr:uid="{C0B48CF8-862E-40B8-AE82-8B01881FB337}"/>
    <cellStyle name="Total 3 3 36 2" xfId="43996" xr:uid="{B559336F-6A43-4846-97CF-A516C058C762}"/>
    <cellStyle name="Total 3 3 36 3" xfId="43997" xr:uid="{A39AEB23-4605-475C-90BC-45AEBEDCF9DD}"/>
    <cellStyle name="Total 3 3 36 4" xfId="43998" xr:uid="{B6140AAC-D9F7-4498-AE94-05D8171B12B8}"/>
    <cellStyle name="Total 3 3 36 5" xfId="43999" xr:uid="{E389A655-BC9E-4FC0-B499-127C8676EE44}"/>
    <cellStyle name="Total 3 3 36 6" xfId="44000" xr:uid="{F0EC9A2C-B663-4541-84BF-4D7261689E8D}"/>
    <cellStyle name="Total 3 3 37" xfId="44001" xr:uid="{D1419E9E-41B6-425B-B601-77BE6BAA0C03}"/>
    <cellStyle name="Total 3 3 38" xfId="44002" xr:uid="{657FB04B-3503-4DC2-BF76-26D311FF13BC}"/>
    <cellStyle name="Total 3 3 39" xfId="44003" xr:uid="{58155ED1-CD13-4D41-9324-48794AD1C850}"/>
    <cellStyle name="Total 3 3 4" xfId="3300" xr:uid="{963119BB-61C3-45DA-8A37-545FEF19A8B6}"/>
    <cellStyle name="Total 3 3 4 2" xfId="10223" xr:uid="{152EB7CE-8995-47B2-B7F5-A741E0C81061}"/>
    <cellStyle name="Total 3 3 4 2 2" xfId="44004" xr:uid="{BF852624-A499-4919-9DB3-83FFEFA7E8A0}"/>
    <cellStyle name="Total 3 3 4 2 3" xfId="44005" xr:uid="{DC66B1C1-99A3-41D1-82EE-D2D8EF4976B7}"/>
    <cellStyle name="Total 3 3 4 2 4" xfId="44006" xr:uid="{A2351496-A11D-434A-AE32-675B77FCB31A}"/>
    <cellStyle name="Total 3 3 4 2 5" xfId="44007" xr:uid="{9CD5BC5E-3564-438A-8444-5F469399B701}"/>
    <cellStyle name="Total 3 3 4 2 6" xfId="44008" xr:uid="{60A51485-2764-4546-9BEE-D64B5B47C66C}"/>
    <cellStyle name="Total 3 3 4 3" xfId="44009" xr:uid="{4781EEE1-7A1B-420A-A5D3-557A0BCCE870}"/>
    <cellStyle name="Total 3 3 4 4" xfId="44010" xr:uid="{4BEE3FF0-FCFC-4A4E-80AD-2B81EBF9356F}"/>
    <cellStyle name="Total 3 3 4 5" xfId="44011" xr:uid="{6D451933-9F56-4F58-ACC2-E64E2FE5772D}"/>
    <cellStyle name="Total 3 3 4 6" xfId="44012" xr:uid="{0D2771BA-35C8-4E08-A9C2-725567A8D786}"/>
    <cellStyle name="Total 3 3 4 7" xfId="44013" xr:uid="{706A4E0B-FE64-444A-B093-FA6A6191E1AB}"/>
    <cellStyle name="Total 3 3 40" xfId="44014" xr:uid="{34EC6D9F-4570-4737-B2B5-9964F322F9DE}"/>
    <cellStyle name="Total 3 3 5" xfId="3301" xr:uid="{626F17F6-E726-4934-B1F7-85DB1FD11756}"/>
    <cellStyle name="Total 3 3 5 2" xfId="10309" xr:uid="{E1A036E6-49D7-4143-B2C8-D316317CF533}"/>
    <cellStyle name="Total 3 3 5 2 2" xfId="44015" xr:uid="{9B744B07-79A3-4627-9594-5B2B94C37CFD}"/>
    <cellStyle name="Total 3 3 5 2 3" xfId="44016" xr:uid="{504F0A14-4F6A-45A7-8D8F-34CE180CD509}"/>
    <cellStyle name="Total 3 3 5 2 4" xfId="44017" xr:uid="{4701891A-84EB-4FF7-BB5A-054EEDF66B6F}"/>
    <cellStyle name="Total 3 3 5 2 5" xfId="44018" xr:uid="{3E048801-E446-4EAA-88CE-19256E7B1538}"/>
    <cellStyle name="Total 3 3 5 2 6" xfId="44019" xr:uid="{D036648C-7E24-4771-81E5-2C3D09294B11}"/>
    <cellStyle name="Total 3 3 5 3" xfId="44020" xr:uid="{73F591D0-1F3A-4D5F-8ACD-A1C669DA50FB}"/>
    <cellStyle name="Total 3 3 5 4" xfId="44021" xr:uid="{AC551511-0D8D-49BA-A0D1-583B4FA0922D}"/>
    <cellStyle name="Total 3 3 5 5" xfId="44022" xr:uid="{CC45D9AE-F2BF-4C15-B5D6-214184F94E4F}"/>
    <cellStyle name="Total 3 3 5 6" xfId="44023" xr:uid="{B118CF1D-373A-4F8B-90D9-5E20A9FB9DB8}"/>
    <cellStyle name="Total 3 3 5 7" xfId="44024" xr:uid="{08991262-252A-46C6-B258-81B23F8B0981}"/>
    <cellStyle name="Total 3 3 6" xfId="3302" xr:uid="{73891E28-0ECE-4AB6-B220-2EC195113F9D}"/>
    <cellStyle name="Total 3 3 6 2" xfId="10397" xr:uid="{4F3572E3-EF4E-4E78-AF4A-26C9C8737AC3}"/>
    <cellStyle name="Total 3 3 6 2 2" xfId="44025" xr:uid="{AEA9C15D-0D8C-4C27-9A3B-08EE3AC22A81}"/>
    <cellStyle name="Total 3 3 6 2 3" xfId="44026" xr:uid="{16688370-116E-49B8-89A8-A69F43F2C28D}"/>
    <cellStyle name="Total 3 3 6 2 4" xfId="44027" xr:uid="{E032F029-C14C-470D-ADCF-A99A5C8742FE}"/>
    <cellStyle name="Total 3 3 6 2 5" xfId="44028" xr:uid="{9878AA01-FF96-4EFF-A70A-E0F8EA912401}"/>
    <cellStyle name="Total 3 3 6 2 6" xfId="44029" xr:uid="{7839046D-EC4D-4B3E-A78D-FB2C435801B7}"/>
    <cellStyle name="Total 3 3 6 3" xfId="44030" xr:uid="{107CB445-C107-4987-B141-9882A8A33BB5}"/>
    <cellStyle name="Total 3 3 6 4" xfId="44031" xr:uid="{86A2422E-2358-4D63-A14C-0016A10F0329}"/>
    <cellStyle name="Total 3 3 6 5" xfId="44032" xr:uid="{028615A0-2041-4FD8-98B7-789833424384}"/>
    <cellStyle name="Total 3 3 6 6" xfId="44033" xr:uid="{929676E6-3CCC-40A6-BAAD-CA32DB2A2E28}"/>
    <cellStyle name="Total 3 3 6 7" xfId="44034" xr:uid="{C1B1AE3F-65D4-4F7C-BC3C-DE5FCD9CECF8}"/>
    <cellStyle name="Total 3 3 7" xfId="3303" xr:uid="{4632798C-5D1A-4605-8B54-AD215C18A872}"/>
    <cellStyle name="Total 3 3 7 2" xfId="10484" xr:uid="{AE815770-1C71-46BA-825A-A001A55A0116}"/>
    <cellStyle name="Total 3 3 7 2 2" xfId="44035" xr:uid="{6EFF8BC0-2A09-45E2-A683-242CDA18F0AF}"/>
    <cellStyle name="Total 3 3 7 2 3" xfId="44036" xr:uid="{0619DC7F-87C7-4D59-8D64-9760A67B84D4}"/>
    <cellStyle name="Total 3 3 7 2 4" xfId="44037" xr:uid="{0158E851-3B77-4B26-A196-B9837F9095A4}"/>
    <cellStyle name="Total 3 3 7 2 5" xfId="44038" xr:uid="{0922AD44-A058-45F1-AA60-6CA3A29F23BA}"/>
    <cellStyle name="Total 3 3 7 2 6" xfId="44039" xr:uid="{D96B11DC-6166-4E9C-8CB0-FB8ACEBF42AF}"/>
    <cellStyle name="Total 3 3 7 3" xfId="44040" xr:uid="{20130BCC-83CB-4F38-BE40-1E4CFCD41EB3}"/>
    <cellStyle name="Total 3 3 7 4" xfId="44041" xr:uid="{B0F34A85-0E6C-486C-ACBF-C00CC90ACCC1}"/>
    <cellStyle name="Total 3 3 7 5" xfId="44042" xr:uid="{CA2E9826-810A-4518-A756-8504FABFBA42}"/>
    <cellStyle name="Total 3 3 7 6" xfId="44043" xr:uid="{186C2EB6-4037-49E9-B4B0-80C6B61A23FB}"/>
    <cellStyle name="Total 3 3 7 7" xfId="44044" xr:uid="{1BB1458E-2C37-4BD0-A163-9696AB3AE5F2}"/>
    <cellStyle name="Total 3 3 8" xfId="3304" xr:uid="{EFF314AA-6A48-48C5-B6D6-CAF0DCA88B19}"/>
    <cellStyle name="Total 3 3 8 2" xfId="10572" xr:uid="{78F98976-2188-42A3-856D-9EB7F47EA7B0}"/>
    <cellStyle name="Total 3 3 8 2 2" xfId="44045" xr:uid="{80BA31CF-0ED6-49AF-8769-50FD6B54F0E2}"/>
    <cellStyle name="Total 3 3 8 2 3" xfId="44046" xr:uid="{889BD0E2-C5D7-4EC2-B411-0BB94B194BF0}"/>
    <cellStyle name="Total 3 3 8 2 4" xfId="44047" xr:uid="{890CAF00-3238-4095-8E5C-FB602AD74F81}"/>
    <cellStyle name="Total 3 3 8 2 5" xfId="44048" xr:uid="{64FAF15A-CAD9-4803-B304-80A4E21CA33B}"/>
    <cellStyle name="Total 3 3 8 2 6" xfId="44049" xr:uid="{D5E0DD29-B588-4BB4-9339-3268304BAEBC}"/>
    <cellStyle name="Total 3 3 8 3" xfId="44050" xr:uid="{6760E771-C93E-4AD2-9EBB-D4A152ECBB91}"/>
    <cellStyle name="Total 3 3 8 4" xfId="44051" xr:uid="{D7E28E60-E703-432C-A658-FD8AC95588AD}"/>
    <cellStyle name="Total 3 3 8 5" xfId="44052" xr:uid="{75F55868-75C3-4EC1-849E-1DABDB1BC594}"/>
    <cellStyle name="Total 3 3 8 6" xfId="44053" xr:uid="{724AD642-68C7-4F06-BBC2-20E254BD2FCF}"/>
    <cellStyle name="Total 3 3 8 7" xfId="44054" xr:uid="{683A50F4-80E4-4C23-879E-100F35ADAA73}"/>
    <cellStyle name="Total 3 3 9" xfId="3305" xr:uid="{AA7F4A5E-B82A-44CF-A304-C789C09F25E6}"/>
    <cellStyle name="Total 3 3 9 2" xfId="10654" xr:uid="{A9811B67-BBCD-4077-A949-99204BB832A4}"/>
    <cellStyle name="Total 3 3 9 2 2" xfId="44055" xr:uid="{AA43D739-956F-4270-8DE8-D4D883EEDCD3}"/>
    <cellStyle name="Total 3 3 9 2 3" xfId="44056" xr:uid="{19617106-7639-4F8A-A268-06FC2BA452B3}"/>
    <cellStyle name="Total 3 3 9 2 4" xfId="44057" xr:uid="{8F9558B0-3F68-40E4-9E22-E81F1E885425}"/>
    <cellStyle name="Total 3 3 9 2 5" xfId="44058" xr:uid="{A7BF7712-8D08-476F-ACD9-30A5E943DC74}"/>
    <cellStyle name="Total 3 3 9 2 6" xfId="44059" xr:uid="{AAAB4F7F-CBAA-4CD8-A33E-61A90A721EC0}"/>
    <cellStyle name="Total 3 3 9 3" xfId="44060" xr:uid="{673CC869-F17E-4E98-A3EA-DBF3642C0E6C}"/>
    <cellStyle name="Total 3 3 9 4" xfId="44061" xr:uid="{2CAB5FEF-F922-4098-98B1-E4DC739B023F}"/>
    <cellStyle name="Total 3 3 9 5" xfId="44062" xr:uid="{941F1C5D-6035-45F0-9A48-C668129686AA}"/>
    <cellStyle name="Total 3 3 9 6" xfId="44063" xr:uid="{C33CB35A-B4B9-4803-A413-496BD63D60E5}"/>
    <cellStyle name="Total 3 3 9 7" xfId="44064" xr:uid="{8482566F-D046-4E29-BF4F-64455FC23598}"/>
    <cellStyle name="Total 3 30" xfId="3306" xr:uid="{164877AD-5E63-4B34-9A0D-EA21BE3475EF}"/>
    <cellStyle name="Total 3 30 2" xfId="12549" xr:uid="{5936D0B3-0869-47A7-9E73-CE3221989842}"/>
    <cellStyle name="Total 3 30 2 2" xfId="44065" xr:uid="{14BCA556-500F-4795-ABD5-EDF380E23300}"/>
    <cellStyle name="Total 3 30 2 3" xfId="44066" xr:uid="{972E5FAA-2FB6-46C1-9120-0E8970D1BD7E}"/>
    <cellStyle name="Total 3 30 2 4" xfId="44067" xr:uid="{AB43717B-072B-45CC-A439-56B6D356BDA5}"/>
    <cellStyle name="Total 3 30 2 5" xfId="44068" xr:uid="{0C933E67-C92B-4618-AEA0-394606BF15FF}"/>
    <cellStyle name="Total 3 30 2 6" xfId="44069" xr:uid="{9EDD4F9C-9830-43AE-8781-B03CA1B9AF35}"/>
    <cellStyle name="Total 3 30 3" xfId="44070" xr:uid="{957F555A-CED8-400C-8646-CB3A0CF4EAEF}"/>
    <cellStyle name="Total 3 30 4" xfId="44071" xr:uid="{34842FAA-EB9A-4982-8E53-67A05924DD4C}"/>
    <cellStyle name="Total 3 30 5" xfId="44072" xr:uid="{7BE3529D-E35A-45FA-A31B-53C441A48302}"/>
    <cellStyle name="Total 3 30 6" xfId="44073" xr:uid="{A534A03C-B13E-43E1-9BC6-5E375A7761AD}"/>
    <cellStyle name="Total 3 30 7" xfId="44074" xr:uid="{6AC13F17-5B12-4EB8-8BF5-060730DEA9D4}"/>
    <cellStyle name="Total 3 31" xfId="3307" xr:uid="{D1D6C9AD-1416-49FC-9C5C-3FDF311E343E}"/>
    <cellStyle name="Total 3 31 2" xfId="12628" xr:uid="{53F061C5-EF6C-41EA-8F3A-A84F187C5E9B}"/>
    <cellStyle name="Total 3 31 2 2" xfId="44075" xr:uid="{8FF288DD-2E40-405B-9555-376407A66C8A}"/>
    <cellStyle name="Total 3 31 2 3" xfId="44076" xr:uid="{C4A63282-7FC0-4BE3-921B-9ED9A9305662}"/>
    <cellStyle name="Total 3 31 2 4" xfId="44077" xr:uid="{FB487993-5C50-4263-8C7C-5DA9C3BA3853}"/>
    <cellStyle name="Total 3 31 2 5" xfId="44078" xr:uid="{94115827-1516-405E-97A4-C8F9EA379146}"/>
    <cellStyle name="Total 3 31 2 6" xfId="44079" xr:uid="{8F0EC77D-A92F-496F-870B-660D1D922583}"/>
    <cellStyle name="Total 3 31 3" xfId="44080" xr:uid="{719914A6-FEDB-48E1-A0D4-840F88A7BCD9}"/>
    <cellStyle name="Total 3 31 4" xfId="44081" xr:uid="{E32046B4-BD73-4E50-9E99-0CAC87E9721B}"/>
    <cellStyle name="Total 3 31 5" xfId="44082" xr:uid="{877AACCD-2E3C-4F04-BB48-C975A6830DAC}"/>
    <cellStyle name="Total 3 31 6" xfId="44083" xr:uid="{AC80FCA3-2505-4A1E-84B4-7D353A3AB13A}"/>
    <cellStyle name="Total 3 31 7" xfId="44084" xr:uid="{8DFABC5C-077B-4285-B204-902C43F8E621}"/>
    <cellStyle name="Total 3 32" xfId="3308" xr:uid="{0601874A-C009-4863-ADD5-A10463E97F89}"/>
    <cellStyle name="Total 3 32 2" xfId="12712" xr:uid="{A50C7472-090B-4455-8C57-955D38D646C1}"/>
    <cellStyle name="Total 3 32 2 2" xfId="44085" xr:uid="{DBB4E3BE-50A0-4099-A398-B402116A8519}"/>
    <cellStyle name="Total 3 32 2 3" xfId="44086" xr:uid="{CD9F37B1-903A-4D31-9D6C-6713EAB262B7}"/>
    <cellStyle name="Total 3 32 2 4" xfId="44087" xr:uid="{448571BD-7E09-4A93-89C3-6395E806231A}"/>
    <cellStyle name="Total 3 32 2 5" xfId="44088" xr:uid="{7098B354-687F-4BF1-8179-82B2A5596DF3}"/>
    <cellStyle name="Total 3 32 2 6" xfId="44089" xr:uid="{43B91B41-49BD-4468-920B-0D161ACBD28F}"/>
    <cellStyle name="Total 3 32 3" xfId="44090" xr:uid="{F81991AB-BB24-4D84-9426-C0BE1ADD5551}"/>
    <cellStyle name="Total 3 32 4" xfId="44091" xr:uid="{1A3ECA3B-A94B-494E-B059-3B406551D25D}"/>
    <cellStyle name="Total 3 32 5" xfId="44092" xr:uid="{84183824-CF06-434B-8AC9-EABDDB36FB33}"/>
    <cellStyle name="Total 3 32 6" xfId="44093" xr:uid="{9B475359-13FD-4AF9-80C9-1DEADEE11B2E}"/>
    <cellStyle name="Total 3 33" xfId="3309" xr:uid="{C662212B-ED05-4E47-B911-3F59650AAE4B}"/>
    <cellStyle name="Total 3 33 2" xfId="44094" xr:uid="{8AD8662C-CB02-4ACD-B4C5-EAB0C45B09BB}"/>
    <cellStyle name="Total 3 33 3" xfId="44095" xr:uid="{8E8A2D9F-4C50-4AA2-920C-2F2CE73F9111}"/>
    <cellStyle name="Total 3 33 4" xfId="44096" xr:uid="{772D6A5A-CE5F-44CA-B72C-43A4B29DC9E8}"/>
    <cellStyle name="Total 3 33 5" xfId="44097" xr:uid="{B2CC3D3F-FACC-4DB6-99EB-135252C0AF3D}"/>
    <cellStyle name="Total 3 33 6" xfId="44098" xr:uid="{11966085-7CA2-49E5-906A-C866DEA5372F}"/>
    <cellStyle name="Total 3 34" xfId="9693" xr:uid="{AE10A2F6-B600-4190-891D-8FBF1DE6A69A}"/>
    <cellStyle name="Total 3 35" xfId="9775" xr:uid="{89FC0BA8-24FB-4E26-93EE-01D723A0E255}"/>
    <cellStyle name="Total 3 35 2" xfId="44099" xr:uid="{C072FE95-5C68-4CFD-AF3A-EB4A444FE3ED}"/>
    <cellStyle name="Total 3 35 3" xfId="44100" xr:uid="{91D9BE4B-EF75-4AE2-966C-3733A0E8DFC4}"/>
    <cellStyle name="Total 3 35 4" xfId="44101" xr:uid="{BBE2A6E7-6596-4E81-8E9F-2C4FF49AC6D6}"/>
    <cellStyle name="Total 3 35 5" xfId="44102" xr:uid="{0BF79444-5811-494D-B8CD-5719EC16A20B}"/>
    <cellStyle name="Total 3 35 6" xfId="44103" xr:uid="{2D1A8831-3F2F-4E07-BD27-22F951BCDACF}"/>
    <cellStyle name="Total 3 36" xfId="44104" xr:uid="{B57BE2A0-D688-40AE-B661-A02CA7E05244}"/>
    <cellStyle name="Total 3 4" xfId="3310" xr:uid="{07A107D1-C9B7-4B77-987D-976B3BF3498B}"/>
    <cellStyle name="Total 3 4 2" xfId="9694" xr:uid="{684E436E-D991-48C8-8FAE-4377B2D20B9F}"/>
    <cellStyle name="Total 3 4 3" xfId="9982" xr:uid="{2FF3BF14-8B92-48B3-9EDE-CF2D37D8C16B}"/>
    <cellStyle name="Total 3 4 3 2" xfId="44105" xr:uid="{83273C19-3886-4286-A7D8-69A44E6F8A88}"/>
    <cellStyle name="Total 3 4 3 3" xfId="44106" xr:uid="{D5971970-393A-44F8-83C1-E27396B0BB27}"/>
    <cellStyle name="Total 3 4 3 4" xfId="44107" xr:uid="{4F248B21-DEFE-44C5-BE26-7A1D1ECA53A7}"/>
    <cellStyle name="Total 3 4 3 5" xfId="44108" xr:uid="{3B9F39CE-64F3-4E39-A92D-784FB840E678}"/>
    <cellStyle name="Total 3 4 3 6" xfId="44109" xr:uid="{F83A5037-12E4-4048-A6C1-CC2DD0033A0D}"/>
    <cellStyle name="Total 3 4 4" xfId="44110" xr:uid="{7C158A46-FB44-4DEC-9FF9-143DE1C7CE3A}"/>
    <cellStyle name="Total 3 4 5" xfId="44111" xr:uid="{6DC5496A-075C-4A00-A411-E442E131B161}"/>
    <cellStyle name="Total 3 4 6" xfId="44112" xr:uid="{1BBC00B7-B34B-4A76-A110-9DED2C824E13}"/>
    <cellStyle name="Total 3 4 7" xfId="44113" xr:uid="{6C4C81A9-B2AA-4766-B300-E386A3C387E8}"/>
    <cellStyle name="Total 3 4 8" xfId="44114" xr:uid="{F6316E4F-EEF7-464C-81F1-B251ED6548EA}"/>
    <cellStyle name="Total 3 5" xfId="3311" xr:uid="{BCA76CB2-5D54-43C8-ABD9-60FAD63757B6}"/>
    <cellStyle name="Total 3 5 2" xfId="9695" xr:uid="{9BF78AF9-F85B-428C-8B83-F49C9779A7E9}"/>
    <cellStyle name="Total 3 5 3" xfId="10072" xr:uid="{D86199A8-500A-4CA6-B457-8D5C39917B23}"/>
    <cellStyle name="Total 3 5 3 2" xfId="44115" xr:uid="{4A9D597D-695B-4FB0-8A71-F91833C42FB3}"/>
    <cellStyle name="Total 3 5 3 3" xfId="44116" xr:uid="{8E574A36-C359-4B64-A3B9-2B52969AB1FA}"/>
    <cellStyle name="Total 3 5 3 4" xfId="44117" xr:uid="{395AD4A4-EBA2-446F-AD77-F4B992805F79}"/>
    <cellStyle name="Total 3 5 3 5" xfId="44118" xr:uid="{0341B017-1EEF-4C3F-B6C9-5CFBC1CC6BCD}"/>
    <cellStyle name="Total 3 5 3 6" xfId="44119" xr:uid="{645E3E00-1F5D-40AF-9190-271C357ABDFA}"/>
    <cellStyle name="Total 3 5 4" xfId="44120" xr:uid="{DC0AC3CF-A686-43CC-9E8D-30F65399C147}"/>
    <cellStyle name="Total 3 5 5" xfId="44121" xr:uid="{F8E903D7-10ED-49FB-9321-836ED117CDA4}"/>
    <cellStyle name="Total 3 5 6" xfId="44122" xr:uid="{019A339E-C0F5-4DF3-B35C-56A5E7F3DB61}"/>
    <cellStyle name="Total 3 5 7" xfId="44123" xr:uid="{B3E0D8F6-3821-46EE-BEE9-1099AEAD4D4C}"/>
    <cellStyle name="Total 3 5 8" xfId="44124" xr:uid="{60253068-7048-4F00-94A9-485BF5E3DB98}"/>
    <cellStyle name="Total 3 6" xfId="3312" xr:uid="{42F87880-78B4-4A9A-B5BB-407156814868}"/>
    <cellStyle name="Total 3 6 2" xfId="9696" xr:uid="{B6B9790D-BE20-4FE1-AB60-25585B8E6777}"/>
    <cellStyle name="Total 3 6 3" xfId="10163" xr:uid="{52827A3E-E887-4F65-BCE3-B157EBD9A7C2}"/>
    <cellStyle name="Total 3 6 3 2" xfId="44125" xr:uid="{262B122C-8F22-4C3E-97D5-F63A14F61E33}"/>
    <cellStyle name="Total 3 6 3 3" xfId="44126" xr:uid="{5237108C-D1E5-48F5-ADBD-7ECDEEDCE84C}"/>
    <cellStyle name="Total 3 6 3 4" xfId="44127" xr:uid="{B47085A6-8762-48C9-8D77-11FD30865296}"/>
    <cellStyle name="Total 3 6 3 5" xfId="44128" xr:uid="{2915E902-2DD3-4C3B-9D40-B9F7E029F3A3}"/>
    <cellStyle name="Total 3 6 3 6" xfId="44129" xr:uid="{52E1A1BA-1E17-487E-ACE2-0EEA0D12928C}"/>
    <cellStyle name="Total 3 6 4" xfId="44130" xr:uid="{DD5BFC23-F4D2-4609-B5F8-7ABFDD7F99BE}"/>
    <cellStyle name="Total 3 6 5" xfId="44131" xr:uid="{33731569-8537-4263-9F40-2193E9247932}"/>
    <cellStyle name="Total 3 6 6" xfId="44132" xr:uid="{62D9EBAC-01F9-48E7-A628-E9A2A3FFFDDF}"/>
    <cellStyle name="Total 3 6 7" xfId="44133" xr:uid="{5D7242BC-EC1A-4217-A077-BA659891F40B}"/>
    <cellStyle name="Total 3 6 8" xfId="44134" xr:uid="{85D3496A-7C7F-4E0B-BC1F-0B53DDA7B30A}"/>
    <cellStyle name="Total 3 7" xfId="3313" xr:uid="{6423C472-FB86-4232-8995-56F232998E0A}"/>
    <cellStyle name="Total 3 7 2" xfId="10252" xr:uid="{D3CC3837-83D4-489B-BB5C-4AEB783961D6}"/>
    <cellStyle name="Total 3 7 2 2" xfId="44135" xr:uid="{2F5F880E-1D30-4C71-BAB5-61F162185203}"/>
    <cellStyle name="Total 3 7 2 3" xfId="44136" xr:uid="{30FC718E-881D-4080-AC48-6407731E4725}"/>
    <cellStyle name="Total 3 7 2 4" xfId="44137" xr:uid="{EA8FFDF3-53D1-4A14-9F13-41753F361450}"/>
    <cellStyle name="Total 3 7 2 5" xfId="44138" xr:uid="{9B1F5C40-5786-44C0-8573-2ADB55F506A1}"/>
    <cellStyle name="Total 3 7 2 6" xfId="44139" xr:uid="{673487F8-483C-448C-BA07-541E218A1C44}"/>
    <cellStyle name="Total 3 7 3" xfId="44140" xr:uid="{B938645C-E3C9-4824-A3C3-6162C38D35F7}"/>
    <cellStyle name="Total 3 7 4" xfId="44141" xr:uid="{6ABAA3CE-E45A-406E-91CC-F9BE044BDA5B}"/>
    <cellStyle name="Total 3 7 5" xfId="44142" xr:uid="{63ADDE10-6D3C-4A5B-954C-0057F107C5F8}"/>
    <cellStyle name="Total 3 7 6" xfId="44143" xr:uid="{CC36212C-C18F-440E-995A-78D2A7EA64A2}"/>
    <cellStyle name="Total 3 7 7" xfId="44144" xr:uid="{4E01BA4E-A549-478F-87B7-031B0AB30004}"/>
    <cellStyle name="Total 3 8" xfId="3314" xr:uid="{159DCC52-F784-44EF-B504-A003B5A1E1B0}"/>
    <cellStyle name="Total 3 8 2" xfId="10337" xr:uid="{884E8F2E-CAEC-44F3-9222-2B51E7C4B694}"/>
    <cellStyle name="Total 3 8 2 2" xfId="44145" xr:uid="{80314EF9-A417-462A-9717-8989D7252BF4}"/>
    <cellStyle name="Total 3 8 2 3" xfId="44146" xr:uid="{4F7C3CAF-A0E5-45E2-9812-65C1A8C39AF0}"/>
    <cellStyle name="Total 3 8 2 4" xfId="44147" xr:uid="{2BD42C85-9D89-4F3D-B04D-03F410E8B9B2}"/>
    <cellStyle name="Total 3 8 2 5" xfId="44148" xr:uid="{7BA12774-7557-4517-98DE-43115D1C56D7}"/>
    <cellStyle name="Total 3 8 2 6" xfId="44149" xr:uid="{6AF5A2D1-C5E8-404D-8F62-7D7037EA6ADB}"/>
    <cellStyle name="Total 3 8 3" xfId="44150" xr:uid="{3ECE7F81-4E09-4713-82A7-EC55DB723C96}"/>
    <cellStyle name="Total 3 8 4" xfId="44151" xr:uid="{BBA8946B-A832-4F5F-8DC0-9E12D73E75EC}"/>
    <cellStyle name="Total 3 8 5" xfId="44152" xr:uid="{117CBC76-8E66-4C3A-8E9C-9BBBFEEE0B6E}"/>
    <cellStyle name="Total 3 8 6" xfId="44153" xr:uid="{136EA259-E0C8-45F7-870E-D05889E6BD72}"/>
    <cellStyle name="Total 3 8 7" xfId="44154" xr:uid="{CF4B6E3B-5F50-4132-9833-279A04A28BBD}"/>
    <cellStyle name="Total 3 9" xfId="3315" xr:uid="{128363A2-FCD2-4E44-9FF2-D7DAB55E892C}"/>
    <cellStyle name="Total 3 9 2" xfId="10426" xr:uid="{4DEB3E13-EB3B-4197-B49C-EF0C7EF1A3F1}"/>
    <cellStyle name="Total 3 9 2 2" xfId="44155" xr:uid="{935783D0-9EC4-440A-AB9C-83FAD66317CD}"/>
    <cellStyle name="Total 3 9 2 3" xfId="44156" xr:uid="{725BAD67-3D7E-44E7-B048-99EEAE100A2A}"/>
    <cellStyle name="Total 3 9 2 4" xfId="44157" xr:uid="{DC435B24-B706-40C8-9C67-54A585D6072C}"/>
    <cellStyle name="Total 3 9 2 5" xfId="44158" xr:uid="{3368647C-7974-42D1-9265-9F16229C2733}"/>
    <cellStyle name="Total 3 9 2 6" xfId="44159" xr:uid="{A95822F0-D2F3-46E0-BA72-458D7AA81D2B}"/>
    <cellStyle name="Total 3 9 3" xfId="44160" xr:uid="{697DEE11-0E82-45BF-ABF0-8C354F03E52F}"/>
    <cellStyle name="Total 3 9 4" xfId="44161" xr:uid="{5054093D-2B35-4443-9E81-0719221EC0C7}"/>
    <cellStyle name="Total 3 9 5" xfId="44162" xr:uid="{573D04CB-5F0B-4D63-8927-3E5308FC2A3C}"/>
    <cellStyle name="Total 3 9 6" xfId="44163" xr:uid="{2528260D-FBE2-4F66-AFF6-2FD97ECDE5A1}"/>
    <cellStyle name="Total 3 9 7" xfId="44164" xr:uid="{97E639D2-01AD-4E6A-9811-66CB7A2D454E}"/>
    <cellStyle name="Total 4" xfId="44165" xr:uid="{7AF93081-E3B7-4D17-A41D-4F1A7B835387}"/>
    <cellStyle name="Total 5" xfId="44214" xr:uid="{128E39B3-2000-466D-919A-EF908790080F}"/>
    <cellStyle name="Warning Text 2" xfId="3316" xr:uid="{CB4B882F-4404-4FC6-B8DB-6846E3B2D0F0}"/>
    <cellStyle name="Warning Text 2 2" xfId="9697" xr:uid="{7BCAA23B-AEA6-47FB-B72E-ED6A4684273B}"/>
    <cellStyle name="Warning Text 2 3" xfId="9698" xr:uid="{2FCA28DD-593E-4A2C-862C-02F5709F728D}"/>
    <cellStyle name="Warning Text 2 4" xfId="9699" xr:uid="{2CC4E490-C7D4-4FF9-8BFA-11CC1BFF3095}"/>
    <cellStyle name="Warning Text 3" xfId="9700" xr:uid="{7D060151-9671-4FB6-B3BF-15850EDEAB93}"/>
    <cellStyle name="Warning Text 3 2" xfId="9701" xr:uid="{68DE3CC6-8B21-44F3-90FF-57382AAAAB64}"/>
    <cellStyle name="Warning Text 3 3" xfId="9702" xr:uid="{38A9F3AE-9B36-4AF7-B044-489AF5EF905C}"/>
    <cellStyle name="Warning Text 3 4" xfId="9703" xr:uid="{52FC53E7-20EF-4A87-94B5-773B3A69E6BF}"/>
    <cellStyle name="Warning Text 4" xfId="44212" xr:uid="{E8CCFAB1-29DB-4621-9F35-B08B64B8377A}"/>
  </cellStyles>
  <dxfs count="11">
    <dxf>
      <fill>
        <patternFill>
          <bgColor rgb="FFFFFF00"/>
        </patternFill>
      </fill>
    </dxf>
    <dxf>
      <fill>
        <patternFill>
          <bgColor theme="6" tint="0.79998168889431442"/>
        </patternFill>
      </fill>
    </dxf>
    <dxf>
      <numFmt numFmtId="35" formatCode="_(* #,##0.00_);_(* \(#,##0.00\);_(* &quot;-&quot;??_);_(@_)"/>
    </dxf>
    <dxf>
      <numFmt numFmtId="2" formatCode="0.00"/>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s>
  <tableStyles count="1" defaultTableStyle="TableStyleMedium2" defaultPivotStyle="PivotStyleLight16">
    <tableStyle name="TableStyleMedium2 2" pivot="0" count="7" xr9:uid="{F5C4321D-8F1C-4925-A414-213566FBF972}">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pivotCacheDefinition" Target="pivotCache/pivotCacheDefinition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5.12%20-%2008-01-804%20-%205-15-2008.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txhhs.sharepoint.com/sites/hhsc/fs/ra/hs/DSHUC_UCPayments/2021%20DY%2010%20Final%20UC%20Calculation/Support/Users/rcantu05/Desktop/DSH%20Audits/2011/Amended%20March%202015/Master/1310%20Final%20Revised%2003112015%20Statewide%20DSH%20Master.xlsm?A5E52E60" TargetMode="External"/><Relationship Id="rId1" Type="http://schemas.openxmlformats.org/officeDocument/2006/relationships/externalLinkPath" Target="file:///\\A5E52E60\1310%20Final%20Revised%2003112015%20Statewide%20DSH%20Master.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xhhs.sharepoint.com/Users/sgovind01/Documents/El%20Paso%20Managed%20Care%20Rates%20UMC%20Proposal/URI%20Applications/MRSA%20West%20SDA/MRSA%20West%20Application%20-%2095%25%20Compliance%20with%20Actuarial%20Adjust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xhhs.sharepoint.com/sites/hhsc/fs/ra/hs/DSHUC_UCPayments/2022%20DY11%20Final%20UC%20Payment/CHIRP_SFY2023_Calculation%20DO%20NOT%20POS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xhhs.sharepoint.com/Documents%20and%20Settings/xding/Desktop/Report%20Docs/TylerFiles/Model%20Template_Draft_Compar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00R1004VFSRV01.txhhsc.txnet.state.tx.us\MyDocs1$\AC%20&amp;%20Hosp\UHRIP\PGY3\Actuarial\SFY20%20UHRIP%20Workbook%20-%2020190424%20PRELIM.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xhhs.sharepoint.com/sites/hhsc/fs/ra/hs/DSHUC_UCPayments/2022%20DY11%20Final%20UC%20Payment/2022%20Final%20DSH%20Payment%20Calculatio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harepoint.txhhsc.txnet.state.tx.us/sites/fs/ra/hs/DSHUC_Applications/8_MasterApplications/DY%206-B%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hhsc-sp.hhsea.txnet.state.tx.us/Documents%20and%20Settings/bcastillo1/Local%20Settings/Temporary%20Internet%20Files/Content.IE5/LFJB5X0E/255296_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hhsc-sp.hhsea.txnet.state.tx.us/AC%20&amp;%20Hosp/DSH/2008%20DSH/DSH2008ADJUS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xhhs.sharepoint.com/sites/hhsc/fs/ra/hs/DSHUC_UCPayments/2021%20DY%2010%20Final%20UC%20Calculation/Support/AC%20&amp;%20Hosp/DRM/Modeling%20Requests%20FY%202021/NAIP%20Reduction/NAIP%20UPL%20Reduction%20Calculation_Revised_December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xhhs.sharepoint.com/Users/sgovind01/Documents/El%20Paso%20Managed%20Care%20Rates%20UMC%20Proposal/URI%20Applications/Bexar%20SDA/Bexar%20SDA%20Application%20-%2095%25%20Compliance%20Version%20with%20Actuarial%20Adjustme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xhhs.sharepoint.com/Users/dheinemann01/Desktop/2021%20Qualifications/DY10%20DSH_UC%20Application%20Master%20WIP_m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hhsc-sp.hhsea.txnet.state.tx.us/Users/iblaine/Documents/Medicaid/2014/Texas/Review%20Models/5-4-2014/2013%20UC%20RW%20-%20Master%20-%205.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hhsc-sp.hhsea.txnet.state.tx.us/Users/iblaine/Documents/Medicaid/2014/Texas/Review%20Models/4-30-2014/UC%20Check%20Tool%20Mar.%2018.xlsm"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txhhs.sharepoint.com/sites/hhsc/fs/ra/hs/DSHUC_UCPayments/2021%20DY%2010%20Final%20UC%20Calculation/Support/Users/mfine01/AppData/Local/Microsoft/Windows/INetCache/Content.Outlook/FBN3LC0B/UC_DY1_FinalRecon_EY2016%20(3).xlsx?D17DEDA7" TargetMode="External"/><Relationship Id="rId1" Type="http://schemas.openxmlformats.org/officeDocument/2006/relationships/externalLinkPath" Target="file:///\\D17DEDA7\UC_DY1_FinalRecon_EY2016%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SFY 2008 DSH TZF"/>
      <sheetName val="SFY 2008 DSH Urban TZG"/>
      <sheetName val="SFY 2008 DSH Rural TZH"/>
      <sheetName val="SFY 2008 DSH TZI"/>
      <sheetName val="Email"/>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S"/>
      <sheetName val="DSH Year Data"/>
      <sheetName val="CR Year Data"/>
      <sheetName val="CR Year RHC Data"/>
      <sheetName val="CR Year Alloc to DSH Year"/>
      <sheetName val="DSH Year Totals"/>
      <sheetName val="Notes"/>
      <sheetName val="Estimated HSL FFY 2011"/>
      <sheetName val="Report on Verifications"/>
      <sheetName val="Annual Reporting Requirements"/>
      <sheetName val="CR Year RHC Alloc to DSH Year"/>
      <sheetName val="DSH Year RHC Totals"/>
      <sheetName val="DSH Year Combined Totals"/>
      <sheetName val="Annual Reporting Requirements 2"/>
      <sheetName val="Report on Verifications 2"/>
      <sheetName val="Expanded Data Summary"/>
      <sheetName val="TPL Analysi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SA West"/>
      <sheetName val="Participants"/>
      <sheetName val="Sheet3"/>
      <sheetName val="95% Class Test"/>
      <sheetName val="IGT Sufficiency"/>
      <sheetName val="Hospital Classes"/>
      <sheetName val="MRSA West Actuarial Adjustment"/>
      <sheetName val="Budget Neutrality Adjustment"/>
      <sheetName val="MRSA West Application - 95% Com"/>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IGT Commitment Suggestions"/>
      <sheetName val="Summary"/>
      <sheetName val="90% of ACR"/>
      <sheetName val="CHIRP Payment Calc"/>
      <sheetName val="FeeCalc"/>
      <sheetName val="Actuarial Report"/>
      <sheetName val="FY 2022 SDA Rate File"/>
      <sheetName val="2022 IP UPL Data"/>
      <sheetName val="2022 OP UPL Data"/>
      <sheetName val="2022 IMD UPL Data"/>
      <sheetName val="2022 IMD Medicaid Data"/>
      <sheetName val="2022 Master TPI List 4.14.22"/>
      <sheetName val="ACR Model"/>
      <sheetName val="Scenario Summary"/>
      <sheetName val="UHRIP Individual Payment Levels"/>
      <sheetName val="IP UHRIP-only"/>
      <sheetName val="OP UHRIP-only"/>
      <sheetName val="Total Dollars"/>
      <sheetName val="Avg Increase by SDA and Class"/>
      <sheetName val="IP UHRIP Payment Levels"/>
      <sheetName val="OP UHRIP Payment Levels"/>
      <sheetName val="IP ACIA Payment Levels"/>
      <sheetName val="OP ACIA Payment Levels"/>
      <sheetName val="IP CHIRP Payment Levels - All"/>
      <sheetName val="OP CHIRP Payment Levels - All"/>
      <sheetName val="Revised Question 19b"/>
      <sheetName val="Revised Q21 Hospital Rates"/>
      <sheetName val="Actuarial Forecast"/>
      <sheetName val="Final PGY4 AA Payment Summary"/>
      <sheetName val="MCO IMD Query from 2021 U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 val="dis00"/>
      <sheetName val="Checks"/>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tals"/>
      <sheetName val="assumptions"/>
      <sheetName val="Bexar"/>
      <sheetName val="Dallas"/>
      <sheetName val="El Paso"/>
      <sheetName val="Harris"/>
      <sheetName val="Hidalgo"/>
      <sheetName val="Jefferson"/>
      <sheetName val="Lubbock"/>
      <sheetName val="MRSA Central"/>
      <sheetName val="MRSA Northeast"/>
      <sheetName val="MRSA West"/>
      <sheetName val="Nueces"/>
      <sheetName val="Tarrant"/>
      <sheetName val="Trav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 and IGT Summary"/>
      <sheetName val="DSH Assumptions"/>
      <sheetName val="State"/>
      <sheetName val="Non-State"/>
      <sheetName val="Recoupments"/>
      <sheetName val="Removed - Negative SPC"/>
    </sheetNames>
    <sheetDataSet>
      <sheetData sheetId="0"/>
      <sheetData sheetId="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Cost Summary"/>
      <sheetName val="Adjustments Summary"/>
      <sheetName val="Schedule 1"/>
      <sheetName val="Schedule 2 "/>
      <sheetName val="Schedule 3"/>
      <sheetName val="Hospital Data"/>
      <sheetName val="Hospital Data 2"/>
      <sheetName val="Sched3-Cost Rept Collection"/>
      <sheetName val="Sched3-Cost Rept Hospital Costs"/>
      <sheetName val="Sched3-Cost Rept Uninsured Cost"/>
      <sheetName val="Sched3-CostReptUninsured(IMDEx)"/>
      <sheetName val="Sched 3-HSL"/>
      <sheetName val="Sched 3-HSL No Other Insurance"/>
      <sheetName val="Sched 3-HSL(IMD Exclusion)"/>
      <sheetName val="Sched 3-HSL(IMD Exclusion)No OI"/>
      <sheetName val="Sched3HSL prepopdata"/>
      <sheetName val="2018 Medicaid Claims Data"/>
      <sheetName val="C Part I B Part I G-2"/>
      <sheetName val="S-3 Part I D-1 D-4"/>
      <sheetName val="PrePop"/>
      <sheetName val="Sched 3 HSL DSH Report"/>
      <sheetName val="UC Report"/>
      <sheetName val="2018 Master Contact List"/>
      <sheetName val="Data All Providers 2018"/>
      <sheetName val="B Part I Col 24"/>
      <sheetName val="C Part I 4"/>
      <sheetName val="C Part I 6"/>
      <sheetName val="C Part I 7"/>
      <sheetName val="C Part I 8"/>
      <sheetName val="D-1 Col 1 Ln 26"/>
      <sheetName val="D-4 Col 1&amp;2 Ln61 66 62"/>
      <sheetName val="S-3 Part I Col 8"/>
      <sheetName val="G-2 Col 1&amp;3 Ln28"/>
      <sheetName val="GME Payments2016"/>
      <sheetName val="MCO Day Adjustment (subtract)"/>
      <sheetName val="FFS Day Adjustment (subtract)"/>
      <sheetName val="FFS PPE Adjustment (add)"/>
      <sheetName val="MCO PPE Adjustment (add)"/>
      <sheetName val="SDA Adjustment Percentages"/>
      <sheetName val="Cost Report Settlements"/>
      <sheetName val="Master TPI 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6"/>
      <sheetName val="A7I"/>
      <sheetName val="A7III"/>
      <sheetName val="A8"/>
      <sheetName val="A81"/>
      <sheetName val="A82"/>
      <sheetName val="A83I"/>
      <sheetName val="A83III"/>
      <sheetName val="A83V"/>
      <sheetName val="A8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UPL"/>
      <sheetName val="Henry3"/>
      <sheetName val="DIS00"/>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IP Wind-Down Revised Dec 2020"/>
      <sheetName val="Base Payment Calculation"/>
      <sheetName val="Original NAIP Wind-down"/>
      <sheetName val="NAIP 2017-2021"/>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ar"/>
      <sheetName val="Analysis"/>
      <sheetName val="Hospital Classes"/>
      <sheetName val="IGT Sufficiency"/>
      <sheetName val="Bexar Actuarial Adjustment"/>
      <sheetName val="Budget Neutrality Adjustment"/>
      <sheetName val="Data Validation"/>
    </sheetNames>
    <sheetDataSet>
      <sheetData sheetId="0"/>
      <sheetData sheetId="1"/>
      <sheetData sheetId="2"/>
      <sheetData sheetId="3"/>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Cost Summary"/>
      <sheetName val="Adjustments Summary"/>
      <sheetName val="Schedule 1"/>
      <sheetName val="Schedule 2 "/>
      <sheetName val="Hospital Data"/>
      <sheetName val="Hospital Data 2"/>
      <sheetName val="Medicare Cost Report"/>
      <sheetName val="Sched 3-Charity Costs"/>
      <sheetName val="Sched 3-CostReptCharity"/>
      <sheetName val="Sched 4-DSH State Pmt Cap"/>
      <sheetName val="Sched 4 Cost Rept Cost Calc"/>
      <sheetName val="Sched 4 Cost Rept UninsuredCost"/>
      <sheetName val="404 Report Medicaid Claims Data"/>
      <sheetName val="Medicaid Claims Data"/>
      <sheetName val="C Part I B Part I G-2"/>
      <sheetName val="S-3 Part I D-1 D-4"/>
      <sheetName val="Prepop"/>
      <sheetName val="Master TPI"/>
      <sheetName val="Master Contact List"/>
      <sheetName val="Data All Providers"/>
      <sheetName val="B Part I Col 24"/>
      <sheetName val="C Part I Col 4"/>
      <sheetName val="C Part I Col 6"/>
      <sheetName val="C Part I Col 7"/>
      <sheetName val="C Part I Col 8"/>
      <sheetName val="D-1 Col 1 Ln 26"/>
      <sheetName val="D-4 Col 1&amp;2 Ln61 66 62"/>
      <sheetName val="S-3 Part I Col 8"/>
      <sheetName val="WS_S10"/>
      <sheetName val="G-2 Col 1&amp;3 Ln28"/>
      <sheetName val="GME Payments"/>
      <sheetName val="MCO Day Adjustment (subtract)"/>
      <sheetName val="FFS Day Adjustment (subtract)"/>
      <sheetName val="FFS PPE Adjustment (add)"/>
      <sheetName val="MCO PPE Adjustment (add)"/>
      <sheetName val="FFS IP Xover Day Adj (subtract)"/>
      <sheetName val="MCO IP Xover Day Adj (subtract)"/>
      <sheetName val="UHRIP Adj"/>
      <sheetName val="Cost Report Settlements"/>
      <sheetName val="FFS Rural Pymts SDA Adj"/>
      <sheetName val="MCORural SDA Adjust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Progress Summary"/>
      <sheetName val="Macros"/>
      <sheetName val="1 - Imported Files"/>
      <sheetName val="0 - Template Checks"/>
      <sheetName val="Checks"/>
      <sheetName val="2 - Report Card"/>
      <sheetName val="Application Tracker"/>
      <sheetName val="UC Summary"/>
      <sheetName val="3 - Review Tracker"/>
      <sheetName val="HSL Info"/>
      <sheetName val="DSH QUAL."/>
      <sheetName val="Contact Info"/>
      <sheetName val="SCH 2 SUM"/>
      <sheetName val="Certification"/>
      <sheetName val="Cost Summary"/>
      <sheetName val="Adjustments Summary"/>
      <sheetName val="Schedule 1"/>
      <sheetName val="Schedule 2 "/>
      <sheetName val="Schedule 3"/>
      <sheetName val="Sched3-DSH2013Application"/>
      <sheetName val="HHSC Requested info."/>
      <sheetName val="HHSC Requested info. 2"/>
      <sheetName val="Sched3-Cost Rept Collection"/>
      <sheetName val="Sched3-Cost Rept Hospital Costs"/>
      <sheetName val="Sched3-Cost Rept Uninsured Cost"/>
      <sheetName val="Sched 3-HSL"/>
      <sheetName val="Sched 3-HSL (UC)"/>
      <sheetName val="DSH"/>
      <sheetName val="Pharmacies"/>
      <sheetName val="NonDSH "/>
      <sheetName val="Dsh Data for UC Payment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0 - List of Template Checks"/>
      <sheetName val="STEP 1 - Module"/>
      <sheetName val="1 - List of Imported Files"/>
      <sheetName val="2 - Report Card"/>
      <sheetName val="3 - Review Tracker"/>
      <sheetName val="UC Payments"/>
      <sheetName val="Checks"/>
      <sheetName val="Certification Check"/>
      <sheetName val="Data -&gt;"/>
      <sheetName val="Certification"/>
      <sheetName val="Cost Summary"/>
      <sheetName val="Sched1-Instructions"/>
      <sheetName val="Cost Center Crosswalk"/>
      <sheetName val="Schedule 1"/>
      <sheetName val="Schedule 2"/>
      <sheetName val="Schedule 3"/>
      <sheetName val="Sched3-Instructions"/>
      <sheetName val="Sched3-Cost Rept Collection"/>
      <sheetName val="Sched3-DSH2012Application"/>
      <sheetName val="Sched3-Cost Rept Hospital Costs"/>
      <sheetName val="Sched3-Cost Rept Uninsured Cost"/>
      <sheetName val="Sched3-DSH HSL"/>
      <sheetName val="DSH2012 HOSPITAL COSTRPTPERIOD"/>
      <sheetName val="Non-DSH"/>
      <sheetName val="DSH"/>
      <sheetName val="Pharmacies"/>
      <sheetName val="Dsh Data for UC Pay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C Final Reconciliation"/>
      <sheetName val="UC Final Reconciliation wo OI"/>
      <sheetName val="UC Final Recon wo OI and MCR"/>
      <sheetName val="IMD"/>
      <sheetName val="Other Payments"/>
      <sheetName val="Provider List"/>
      <sheetName val="DSH Results w Addendum"/>
      <sheetName val="TPL Analysis"/>
      <sheetName val="Austin Summary"/>
      <sheetName val="Big Spring Summary"/>
      <sheetName val="El Paso Summary"/>
      <sheetName val="North Texas Summary"/>
      <sheetName val="Rio Grande Summary"/>
      <sheetName val="Rusk Summary"/>
      <sheetName val="San Antonio Summary"/>
      <sheetName val="Terrell Summary"/>
    </sheetNames>
    <sheetDataSet>
      <sheetData sheetId="0" refreshError="1"/>
      <sheetData sheetId="1" refreshError="1"/>
      <sheetData sheetId="2"/>
      <sheetData sheetId="3"/>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pencer,Kevin (HHSC)" refreshedDate="44813.600021759259" createdVersion="7" refreshedVersion="7" minRefreshableVersion="3" recordCount="386" xr:uid="{1FC57F65-8818-439E-B44F-DC35A8DF01C6}">
  <cacheSource type="worksheet">
    <worksheetSource ref="K3:BO389" sheet="3.  UC Calculations by Hospital"/>
  </cacheSource>
  <cacheFields count="57">
    <cacheField name="SDA" numFmtId="0">
      <sharedItems count="13">
        <s v="MRSA Central"/>
        <s v="Nueces"/>
        <s v="Harris"/>
        <s v="Bexar"/>
        <s v="Dallas"/>
        <s v="Hidalgo"/>
        <s v="Tarrant"/>
        <s v="Travis"/>
        <s v="MRSA Northeast"/>
        <s v="MRSA West"/>
        <s v="Jefferson"/>
        <s v="El Paso"/>
        <s v="Lubbock"/>
      </sharedItems>
    </cacheField>
    <cacheField name="County" numFmtId="0">
      <sharedItems/>
    </cacheField>
    <cacheField name="Medicaid Shortfall with OI and Medicare Payments (Inflated)" numFmtId="165">
      <sharedItems containsSemiMixedTypes="0" containsString="0" containsNumber="1" minValue="-229986384.23997438" maxValue="86580212.771718711"/>
    </cacheField>
    <cacheField name="Total DSH Uninsured Shortfall (Inflated)" numFmtId="165">
      <sharedItems containsSemiMixedTypes="0" containsString="0" containsNumber="1" minValue="-21134.190855680001" maxValue="573662038.13214755"/>
    </cacheField>
    <cacheField name="UC Uninsured Charity Duplicated in DSH Uninsured Shortfall (Inflated)" numFmtId="44">
      <sharedItems containsSemiMixedTypes="0" containsString="0" containsNumber="1" minValue="-12811.419457715207" maxValue="411895734.98911452"/>
    </cacheField>
    <cacheField name="DSH-Only Uninsured Shortfall (Inflated)" numFmtId="44">
      <sharedItems containsSemiMixedTypes="0" containsString="0" containsNumber="1" minValue="0" maxValue="271164108.72733593"/>
    </cacheField>
    <cacheField name="UC Schedule 3 Total Charity Costs + Non-Covered Services (Inflated)" numFmtId="44">
      <sharedItems containsSemiMixedTypes="0" containsString="0" containsNumber="1" minValue="0" maxValue="668947291.41779292"/>
    </cacheField>
    <cacheField name="2022 DSH Payment (Assumes Full Funding for Pass 3)" numFmtId="44">
      <sharedItems containsSemiMixedTypes="0" containsString="0" containsNumber="1" minValue="0" maxValue="219274678.44999999"/>
    </cacheField>
    <cacheField name="DSH Payment Attributable to Charity Care" numFmtId="44">
      <sharedItems containsSemiMixedTypes="0" containsString="0" containsNumber="1" minValue="0" maxValue="39541782.387877852"/>
    </cacheField>
    <cacheField name="Remaining UC Schedule 3 Charity Costs after DSH Payment Attributable to Charity Care is Offset" numFmtId="44">
      <sharedItems containsSemiMixedTypes="0" containsString="0" containsNumber="1" minValue="0" maxValue="668947291.41779292"/>
    </cacheField>
    <cacheField name="Total Schedule 1: Uninsured Charity Physician &amp; Mid-Level Costs" numFmtId="44">
      <sharedItems containsSemiMixedTypes="0" containsString="0" containsNumber="1" minValue="0" maxValue="194131970"/>
    </cacheField>
    <cacheField name="Total Schedule 2: Uninsured Charity Pharmacy Costs" numFmtId="44">
      <sharedItems containsSemiMixedTypes="0" containsString="0" containsNumber="1" minValue="0" maxValue="37658710.859999999"/>
    </cacheField>
    <cacheField name="Schedule 1 Adjustments" numFmtId="44">
      <sharedItems containsSemiMixedTypes="0" containsString="0" containsNumber="1" minValue="0" maxValue="12216652.044924099"/>
    </cacheField>
    <cacheField name="Schedule 2 Adjustments" numFmtId="44">
      <sharedItems containsSemiMixedTypes="0" containsString="0" containsNumber="1" containsInteger="1" minValue="0" maxValue="0"/>
    </cacheField>
    <cacheField name="Schedule 3 Adjustments" numFmtId="44">
      <sharedItems containsSemiMixedTypes="0" containsString="0" containsNumber="1" minValue="0" maxValue="51617388.739571616"/>
    </cacheField>
    <cacheField name="Estimated Total Non-S-10 UC Costs (Schedule 1 and 2 and Schedules 1 to 3 Adjustments)" numFmtId="44">
      <sharedItems containsSemiMixedTypes="0" containsString="0" containsNumber="1" minValue="0" maxValue="194131970"/>
    </cacheField>
    <cacheField name="§355.8212(2)(a)(iv) adjustment for Urban Public Class One Hospitals (Large Public IGT in DSH)" numFmtId="44">
      <sharedItems containsSemiMixedTypes="0" containsString="0" containsNumber="1" minValue="0" maxValue="140673696.30999202"/>
    </cacheField>
    <cacheField name="Total Eligible UC Costs (excludes State Schedule 3 Cost &amp; Sched 3 Adj)" numFmtId="166">
      <sharedItems containsSemiMixedTypes="0" containsString="0" containsNumber="1" minValue="0" maxValue="971069526.02047968"/>
    </cacheField>
    <cacheField name="Hospital and Physician Payment Allocation (First Pass)" numFmtId="166">
      <sharedItems containsSemiMixedTypes="0" containsString="0" containsNumber="1" minValue="0" maxValue="456544071.47218925"/>
    </cacheField>
    <cacheField name="Initial Allocation Reduction for Large Public (if Payment Exceeds UC Cost w/o DSH IGT)" numFmtId="166">
      <sharedItems containsSemiMixedTypes="0" containsString="0" containsNumber="1" containsInteger="1" minValue="0" maxValue="0"/>
    </cacheField>
    <cacheField name="Total UC Costs Remaining After First Pass Allocation" numFmtId="166">
      <sharedItems containsSemiMixedTypes="0" containsString="0" containsNumber="1" minValue="0" maxValue="406535189.94560367"/>
    </cacheField>
    <cacheField name="Initial Allocation Overage Redistribution (Second Pass)" numFmtId="166">
      <sharedItems containsSemiMixedTypes="0" containsString="0" containsNumber="1" containsInteger="1" minValue="0" maxValue="0"/>
    </cacheField>
    <cacheField name="Total UC Costs Remaining After Second Pass Allocation and Redistribution" numFmtId="166">
      <sharedItems containsSemiMixedTypes="0" containsString="0" containsNumber="1" minValue="0" maxValue="406535189.94560367"/>
    </cacheField>
    <cacheField name="Hospital and Physician Payment Allocation (after Second Pass)" numFmtId="166">
      <sharedItems containsSemiMixedTypes="0" containsString="0" containsNumber="1" minValue="0" maxValue="456544071.47218925"/>
    </cacheField>
    <cacheField name="Total IGT Required if IGT is Fully Funded in all SDAs" numFmtId="44">
      <sharedItems containsSemiMixedTypes="0" containsString="0" containsNumber="1" minValue="0" maxValue="150659543.58582243"/>
    </cacheField>
    <cacheField name="YTD UC Payments" numFmtId="44">
      <sharedItems containsSemiMixedTypes="0" containsString="0" containsNumber="1" minValue="0" maxValue="365468874.38"/>
    </cacheField>
    <cacheField name="YTD UC IGT" numFmtId="44">
      <sharedItems containsSemiMixedTypes="0" containsString="0" containsNumber="1" minValue="0" maxValue="120604728.54539998"/>
    </cacheField>
    <cacheField name="State Hospitals: YTD UC Payments Remaining after Sched 3" numFmtId="44">
      <sharedItems containsNonDate="0" containsString="0" containsBlank="1"/>
    </cacheField>
    <cacheField name="State Hospitals: YTD UC IGT Remaining after Sched 3" numFmtId="44">
      <sharedItems containsSemiMixedTypes="0" containsString="0" containsNumber="1" containsInteger="1" minValue="0" maxValue="0"/>
    </cacheField>
    <cacheField name="Maximum Total Payment (State Hospitals - Non-S-10 Only)" numFmtId="166">
      <sharedItems containsSemiMixedTypes="0" containsString="0" containsNumber="1" minValue="0" maxValue="863079261.41779292"/>
    </cacheField>
    <cacheField name="Maximum Total IGT Commitment Amount (State Hospitals - Non-S-10 Only)" numFmtId="165">
      <sharedItems containsSemiMixedTypes="0" containsString="0" containsNumber="1" minValue="0" maxValue="284816156.26787162"/>
    </cacheField>
    <cacheField name="Maximum Final Payment (if IGT is not funded in another SDA)" numFmtId="165">
      <sharedItems containsSemiMixedTypes="0" containsString="0" containsNumber="1" minValue="-102199.17000000001" maxValue="497610387.03779292"/>
    </cacheField>
    <cacheField name="Maximum Final IGT Commitment" numFmtId="165">
      <sharedItems containsSemiMixedTypes="0" containsString="0" containsNumber="1" minValue="-33725.7261" maxValue="164211427.72247165"/>
    </cacheField>
    <cacheField name="Final UC IGT Commitment" numFmtId="165">
      <sharedItems containsSemiMixedTypes="0" containsString="0" containsNumber="1" minValue="-33725.7261" maxValue="164211427.72247165"/>
    </cacheField>
    <cacheField name="Total  UC IGT for Year by Provider" numFmtId="165">
      <sharedItems containsSemiMixedTypes="0" containsString="0" containsNumber="1" minValue="0" maxValue="284816156.26787162"/>
    </cacheField>
    <cacheField name="Bexar Pool Reallocation or (Reduction) Based on IGT Survey as Described in 1 TAC 355.8212 (f)(3)" numFmtId="165">
      <sharedItems containsSemiMixedTypes="0" containsString="0" containsNumber="1" containsInteger="1" minValue="0" maxValue="0"/>
    </cacheField>
    <cacheField name="Dallas Pool Reallocation or (Reduction) Based on IGT Survey as Described in 1 TAC 355.8212 (f)(3)" numFmtId="165">
      <sharedItems containsSemiMixedTypes="0" containsString="0" containsNumber="1" containsInteger="1" minValue="0" maxValue="0"/>
    </cacheField>
    <cacheField name="El Paso Pool Reallocation or (Reduction) Based on IGT Survey as Described in 1 TAC 355.8212 (f)(3)" numFmtId="165">
      <sharedItems containsSemiMixedTypes="0" containsString="0" containsNumber="1" containsInteger="1" minValue="0" maxValue="0"/>
    </cacheField>
    <cacheField name="Harris Pool Reallocation or (Reduction) Based on IGT Survey as Described in 1 TAC 355.8212 (f)(3)" numFmtId="165">
      <sharedItems containsSemiMixedTypes="0" containsString="0" containsNumber="1" containsInteger="1" minValue="0" maxValue="0"/>
    </cacheField>
    <cacheField name="Hidalgo Pool Reallocation or (Reduction) Based on IGT Survey as Described in 1 TAC 355.8212 (f)(3)" numFmtId="165">
      <sharedItems containsSemiMixedTypes="0" containsString="0" containsNumber="1" containsInteger="1" minValue="0" maxValue="0"/>
    </cacheField>
    <cacheField name="Jefferson Pool Reallocation or (Reduction) Based on IGT Survey as Described in 1 TAC 355.8212 (f)(3)" numFmtId="165">
      <sharedItems containsSemiMixedTypes="0" containsString="0" containsNumber="1" containsInteger="1" minValue="0" maxValue="0"/>
    </cacheField>
    <cacheField name="Lubbock Pool Reallocation or (Reduction) Based on IGT Survey as Described in 1 TAC 355.8212 (f)(3)" numFmtId="165">
      <sharedItems containsSemiMixedTypes="0" containsString="0" containsNumber="1" containsInteger="1" minValue="0" maxValue="0"/>
    </cacheField>
    <cacheField name="MRSA Central Pool Reallocation or (Reduction) Based on IGT Survey as Described in 1 TAC 355.8212 (f)(3)" numFmtId="165">
      <sharedItems containsSemiMixedTypes="0" containsString="0" containsNumber="1" containsInteger="1" minValue="0" maxValue="0"/>
    </cacheField>
    <cacheField name="MRSA Northeast Pool Reallocation or (Reduction) Based on IGT Survey as Described in 1 TAC 355.8212 (f)(3)" numFmtId="165">
      <sharedItems containsSemiMixedTypes="0" containsString="0" containsNumber="1" containsInteger="1" minValue="0" maxValue="0"/>
    </cacheField>
    <cacheField name="MRSA West Pool Reallocation or (Reduction) Based on IGT Survey as Described in 1 TAC 355.8212 (f)(3)" numFmtId="165">
      <sharedItems containsSemiMixedTypes="0" containsString="0" containsNumber="1" containsInteger="1" minValue="0" maxValue="0"/>
    </cacheField>
    <cacheField name="Nueces Pool Reallocation or (Reduction) Based on IGT Survey as Described in 1 TAC 355.8212 (f)(3)" numFmtId="165">
      <sharedItems containsSemiMixedTypes="0" containsString="0" containsNumber="1" containsInteger="1" minValue="0" maxValue="0"/>
    </cacheField>
    <cacheField name="Tarrant Pool Reallocation or (Reduction) Based on IGT Survey as Described in 1 TAC 355.8212 (f)(3)" numFmtId="165">
      <sharedItems containsSemiMixedTypes="0" containsString="0" containsNumber="1" containsInteger="1" minValue="0" maxValue="0"/>
    </cacheField>
    <cacheField name="Travis Pool Reallocation or (Reduction) Based on IGT Survey as Described in 1 TAC 355.8212 (f)(3)" numFmtId="165">
      <sharedItems containsSemiMixedTypes="0" containsString="0" containsNumber="1" containsInteger="1" minValue="0" maxValue="0"/>
    </cacheField>
    <cacheField name="Total Additional Payment or (Payment Reduction)" numFmtId="165">
      <sharedItems containsSemiMixedTypes="0" containsString="0" containsNumber="1" containsInteger="1" minValue="0" maxValue="0"/>
    </cacheField>
    <cacheField name="Total DY 11 Payment (State Hospitals - Non-S-10 Only" numFmtId="165">
      <sharedItems containsSemiMixedTypes="0" containsString="0" containsNumber="1" minValue="0" maxValue="456544071.47218925"/>
    </cacheField>
    <cacheField name="Total DY 11 IGT" numFmtId="165">
      <sharedItems containsSemiMixedTypes="0" containsString="0" containsNumber="1" minValue="0" maxValue="150659543.58000001"/>
    </cacheField>
    <cacheField name="  Final Payment or Recoupment" numFmtId="8">
      <sharedItems containsSemiMixedTypes="0" containsString="0" containsNumber="1" minValue="-6168716.1807528362" maxValue="111827162.65651143"/>
    </cacheField>
    <cacheField name="Final IGT Required" numFmtId="8">
      <sharedItems containsSemiMixedTypes="0" containsString="0" containsNumber="1" minValue="-2035676.3424999984" maxValue="36902963.668899998"/>
    </cacheField>
    <cacheField name="  Final Payment After Accounting for Recoupments" numFmtId="8">
      <sharedItems containsSemiMixedTypes="0" containsString="0" containsNumber="1" minValue="0" maxValue="103241082.70999999"/>
    </cacheField>
    <cacheField name="Final IGT Required After Accounting for Recoupments" numFmtId="8">
      <sharedItems containsSemiMixedTypes="0" containsString="0" containsNumber="1" minValue="0" maxValue="34069557.229999997"/>
    </cacheField>
    <cacheField name="Notes" numFmtId="0">
      <sharedItems containsNonDate="0" containsString="0" containsBlank="1"/>
    </cacheField>
    <cacheField name="IGT Needed from Advance Payment" numFmtId="8">
      <sharedItems containsSemiMixedTypes="0" containsString="0" containsNumber="1" minValue="-4.3000000296160579E-3" maxValue="6.4300000667572021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6">
  <r>
    <x v="0"/>
    <s v="Hamilton"/>
    <n v="685576.73952087038"/>
    <n v="0"/>
    <n v="0"/>
    <n v="0"/>
    <n v="1836218.7488952833"/>
    <n v="0"/>
    <n v="0"/>
    <n v="1836218.7488952833"/>
    <n v="0"/>
    <n v="0"/>
    <n v="0"/>
    <n v="0"/>
    <n v="0"/>
    <n v="0"/>
    <n v="0"/>
    <n v="1836218.7488952833"/>
    <n v="1713991.8116454"/>
    <n v="0"/>
    <n v="122226.93724988331"/>
    <n v="0"/>
    <n v="122226.93724988331"/>
    <n v="1713991.8116454"/>
    <n v="565617.29784298199"/>
    <n v="631789.34"/>
    <n v="208490.48219999997"/>
    <m/>
    <n v="0"/>
    <n v="1836218.7488952833"/>
    <n v="605952.18713544344"/>
    <n v="1204429.4088952835"/>
    <n v="397461.70493544347"/>
    <n v="397461.70493544347"/>
    <n v="605952.18713544344"/>
    <n v="0"/>
    <n v="0"/>
    <n v="0"/>
    <n v="0"/>
    <n v="0"/>
    <n v="0"/>
    <n v="0"/>
    <n v="0"/>
    <n v="0"/>
    <n v="0"/>
    <n v="0"/>
    <n v="0"/>
    <n v="0"/>
    <n v="0"/>
    <n v="1713991.8116454"/>
    <n v="565617.29"/>
    <n v="1082202.4716453999"/>
    <n v="357126.80780000007"/>
    <n v="999111.06"/>
    <n v="329706.64"/>
    <m/>
    <n v="9.7999999416060746E-3"/>
  </r>
  <r>
    <x v="1"/>
    <s v="Bee"/>
    <n v="647732.58045368316"/>
    <n v="6633803.4087572256"/>
    <n v="3797763.4602430207"/>
    <n v="2836039.9485142049"/>
    <n v="5708114.5734287351"/>
    <n v="992503.57000000007"/>
    <n v="0"/>
    <n v="5708114.5734287351"/>
    <n v="158962"/>
    <n v="0"/>
    <n v="9378"/>
    <n v="0"/>
    <n v="633725.1571797838"/>
    <n v="802065.1571797838"/>
    <n v="0"/>
    <n v="6510179.7306085192"/>
    <n v="6076833.0338180223"/>
    <n v="0"/>
    <n v="433346.69679049682"/>
    <n v="0"/>
    <n v="433346.69679049682"/>
    <n v="6076833.0338180223"/>
    <n v="2005354.901159947"/>
    <n v="2442315.65"/>
    <n v="805964.16449999984"/>
    <m/>
    <n v="0"/>
    <n v="6510179.7306085192"/>
    <n v="2148359.3111008112"/>
    <n v="4067864.0806085193"/>
    <n v="1342395.1466008113"/>
    <n v="1342395.1466008113"/>
    <n v="2148359.3111008112"/>
    <n v="0"/>
    <n v="0"/>
    <n v="0"/>
    <n v="0"/>
    <n v="0"/>
    <n v="0"/>
    <n v="0"/>
    <n v="0"/>
    <n v="0"/>
    <n v="0"/>
    <n v="0"/>
    <n v="0"/>
    <n v="0"/>
    <n v="0"/>
    <n v="6076833.0338180223"/>
    <n v="2005354.9"/>
    <n v="3634517.3838180224"/>
    <n v="1199390.7355"/>
    <n v="3355459.45"/>
    <n v="1107301.6200000001"/>
    <m/>
    <n v="-1.5000002458691597E-3"/>
  </r>
  <r>
    <x v="2"/>
    <s v="Harris"/>
    <n v="-24251745.458040982"/>
    <n v="38538566.3962273"/>
    <n v="32085923.332604397"/>
    <n v="6452643.0636229031"/>
    <n v="37208627.861244731"/>
    <n v="9247067.1499999985"/>
    <n v="9247067.1499999985"/>
    <n v="27961560.711244732"/>
    <n v="1316054"/>
    <n v="0"/>
    <n v="165691"/>
    <n v="0"/>
    <n v="6611514.0739929769"/>
    <n v="8093259.0739929769"/>
    <n v="0"/>
    <n v="36054819.785237707"/>
    <n v="16951015.122887623"/>
    <n v="0"/>
    <n v="19103804.662350085"/>
    <n v="0"/>
    <n v="19103804.662350085"/>
    <n v="16951015.122887623"/>
    <n v="5593834.9905529143"/>
    <n v="14785701.85"/>
    <n v="4879281.6104999995"/>
    <m/>
    <n v="0"/>
    <n v="36054819.785237707"/>
    <n v="11898090.529128442"/>
    <n v="21269117.935237706"/>
    <n v="7018808.9186284421"/>
    <n v="7018808.9186284421"/>
    <n v="11898090.529128442"/>
    <n v="0"/>
    <n v="0"/>
    <n v="0"/>
    <n v="0"/>
    <n v="0"/>
    <n v="0"/>
    <n v="0"/>
    <n v="0"/>
    <n v="0"/>
    <n v="0"/>
    <n v="0"/>
    <n v="0"/>
    <n v="0"/>
    <n v="0"/>
    <n v="16951015.122887623"/>
    <n v="5593834.9900000002"/>
    <n v="2165313.2728876229"/>
    <n v="714553.37950000074"/>
    <n v="1999060.71"/>
    <n v="659690.03"/>
    <m/>
    <n v="4.299999913200736E-3"/>
  </r>
  <r>
    <x v="2"/>
    <s v="Harris"/>
    <n v="-15348333.760399152"/>
    <n v="197075255.26753595"/>
    <n v="80852505.242364511"/>
    <n v="116222750.02517144"/>
    <n v="154772986.96542254"/>
    <n v="31140316.949999999"/>
    <n v="0"/>
    <n v="154772986.96542254"/>
    <n v="3252418"/>
    <n v="0"/>
    <n v="0"/>
    <n v="0"/>
    <n v="0"/>
    <n v="3252418"/>
    <n v="0"/>
    <n v="158025404.96542254"/>
    <n v="74294949.893663928"/>
    <n v="0"/>
    <n v="83730455.071758613"/>
    <n v="0"/>
    <n v="83730455.071758613"/>
    <n v="74294949.893663928"/>
    <n v="24517333.464909092"/>
    <n v="49212836.369999997"/>
    <n v="16240236.002099996"/>
    <m/>
    <n v="0"/>
    <n v="158025404.96542254"/>
    <n v="52148383.638589434"/>
    <n v="108812568.59542254"/>
    <n v="35908147.636489436"/>
    <n v="35908147.636489436"/>
    <n v="52148383.638589434"/>
    <n v="0"/>
    <n v="0"/>
    <n v="0"/>
    <n v="0"/>
    <n v="0"/>
    <n v="0"/>
    <n v="0"/>
    <n v="0"/>
    <n v="0"/>
    <n v="0"/>
    <n v="0"/>
    <n v="0"/>
    <n v="0"/>
    <n v="0"/>
    <n v="74294949.893663928"/>
    <n v="24517333.460000001"/>
    <n v="25082113.523663931"/>
    <n v="8277097.4579000045"/>
    <n v="23156311"/>
    <n v="7641582.6100000003"/>
    <m/>
    <n v="1.999999862164259E-2"/>
  </r>
  <r>
    <x v="2"/>
    <s v="Montgomery"/>
    <n v="-14913334.656385003"/>
    <n v="30254349.894613285"/>
    <n v="26361963.867218561"/>
    <n v="3892386.0273947231"/>
    <n v="32476990.155478939"/>
    <n v="6995208.4399999995"/>
    <n v="6995208.4399999995"/>
    <n v="25481781.715478942"/>
    <n v="1235660"/>
    <n v="0"/>
    <n v="0"/>
    <n v="0"/>
    <n v="2915607.5485633686"/>
    <n v="4151267.5485633686"/>
    <n v="0"/>
    <n v="29633049.26404231"/>
    <n v="13931847.92502336"/>
    <n v="0"/>
    <n v="15701201.33901895"/>
    <n v="0"/>
    <n v="15701201.33901895"/>
    <n v="13931847.92502336"/>
    <n v="4597509.8152577085"/>
    <n v="12597268.949999999"/>
    <n v="4157098.7534999992"/>
    <m/>
    <n v="0"/>
    <n v="29633049.26404231"/>
    <n v="9778906.2571339607"/>
    <n v="17035780.314042311"/>
    <n v="5621807.5036339611"/>
    <n v="5621807.5036339611"/>
    <n v="9778906.2571339607"/>
    <n v="0"/>
    <n v="0"/>
    <n v="0"/>
    <n v="0"/>
    <n v="0"/>
    <n v="0"/>
    <n v="0"/>
    <n v="0"/>
    <n v="0"/>
    <n v="0"/>
    <n v="0"/>
    <n v="0"/>
    <n v="0"/>
    <n v="0"/>
    <n v="13931847.92502336"/>
    <n v="4597509.8099999996"/>
    <n v="1334578.9750233609"/>
    <n v="440411.05650000041"/>
    <n v="1232110.1200000001"/>
    <n v="406596.33"/>
    <m/>
    <n v="9.5999999903142452E-3"/>
  </r>
  <r>
    <x v="3"/>
    <s v="Bexar"/>
    <n v="16558520.11422063"/>
    <n v="0"/>
    <n v="0"/>
    <n v="0"/>
    <n v="37812453.382651769"/>
    <n v="0"/>
    <n v="0"/>
    <n v="37812453.382651769"/>
    <n v="541711"/>
    <n v="0"/>
    <n v="0"/>
    <n v="0"/>
    <n v="7297317.4807484187"/>
    <n v="7839028.4807484187"/>
    <n v="0"/>
    <n v="45651481.863400191"/>
    <n v="21462843.638052728"/>
    <n v="0"/>
    <n v="24188638.225347463"/>
    <n v="0"/>
    <n v="24188638.225347463"/>
    <n v="21462843.638052728"/>
    <n v="7082738.4005573997"/>
    <n v="17096727.050000001"/>
    <n v="5641919.9264999991"/>
    <m/>
    <n v="0"/>
    <n v="45651481.863400191"/>
    <n v="15064989.014922062"/>
    <n v="28554754.81340019"/>
    <n v="9423069.0884220637"/>
    <n v="9423069.0884220637"/>
    <n v="15064989.014922064"/>
    <n v="0"/>
    <n v="0"/>
    <n v="0"/>
    <n v="0"/>
    <n v="0"/>
    <n v="0"/>
    <n v="0"/>
    <n v="0"/>
    <n v="0"/>
    <n v="0"/>
    <n v="0"/>
    <n v="0"/>
    <n v="0"/>
    <n v="0"/>
    <n v="21462843.638052728"/>
    <n v="7082738.4000000004"/>
    <n v="4366116.5880527273"/>
    <n v="1440818.4735000012"/>
    <n v="4030886.53"/>
    <n v="1330192.55"/>
    <m/>
    <n v="4.899999825283885E-3"/>
  </r>
  <r>
    <x v="3"/>
    <s v="Bexar"/>
    <n v="15427312.972588018"/>
    <n v="8386909.0230675088"/>
    <n v="3764508.6500748978"/>
    <n v="4622400.3729926106"/>
    <n v="7795824.8110010866"/>
    <n v="10864321.129999999"/>
    <n v="0"/>
    <n v="7795824.8110010866"/>
    <n v="1020017"/>
    <n v="0"/>
    <n v="0"/>
    <n v="0"/>
    <n v="379588.25386368891"/>
    <n v="1399605.253863689"/>
    <n v="0"/>
    <n v="9195430.0648647752"/>
    <n v="4323191.0468402486"/>
    <n v="0"/>
    <n v="4872239.0180245265"/>
    <n v="0"/>
    <n v="4872239.0180245265"/>
    <n v="4323191.0468402486"/>
    <n v="1426653.0454572819"/>
    <n v="3653086.39"/>
    <n v="1205518.5086999999"/>
    <m/>
    <n v="0"/>
    <n v="9195430.0648647752"/>
    <n v="3034491.9214053755"/>
    <n v="5542343.6748647746"/>
    <n v="1828973.4127053756"/>
    <n v="1828973.4127053756"/>
    <n v="3034491.9214053755"/>
    <n v="0"/>
    <n v="0"/>
    <n v="0"/>
    <n v="0"/>
    <n v="0"/>
    <n v="0"/>
    <n v="0"/>
    <n v="0"/>
    <n v="0"/>
    <n v="0"/>
    <n v="0"/>
    <n v="0"/>
    <n v="0"/>
    <n v="0"/>
    <n v="4323191.0468402486"/>
    <n v="1426653.04"/>
    <n v="670104.6568402485"/>
    <n v="221134.53130000015"/>
    <n v="618654.07999999996"/>
    <n v="204155.84"/>
    <m/>
    <n v="6.3999999547377229E-3"/>
  </r>
  <r>
    <x v="4"/>
    <s v="Dallas"/>
    <n v="1220754.7685020997"/>
    <n v="59185871.429657325"/>
    <n v="44659825.936029218"/>
    <n v="14526045.493628107"/>
    <n v="58611465.671709932"/>
    <n v="6401261.2200000007"/>
    <n v="0"/>
    <n v="58611465.671709932"/>
    <n v="0"/>
    <n v="0"/>
    <n v="0"/>
    <n v="0"/>
    <n v="0"/>
    <n v="0"/>
    <n v="0"/>
    <n v="58611465.671709932"/>
    <n v="27555923.088611647"/>
    <n v="0"/>
    <n v="31055542.583098285"/>
    <n v="0"/>
    <n v="31055542.583098285"/>
    <n v="27555923.088611647"/>
    <n v="9093454.619241843"/>
    <n v="25220796.420000002"/>
    <n v="8322862.8185999999"/>
    <m/>
    <n v="0"/>
    <n v="58611465.671709932"/>
    <n v="19341783.671664275"/>
    <n v="33390669.251709931"/>
    <n v="11018920.853064276"/>
    <n v="11018920.853064276"/>
    <n v="19341783.671664275"/>
    <n v="0"/>
    <n v="0"/>
    <n v="0"/>
    <n v="0"/>
    <n v="0"/>
    <n v="0"/>
    <n v="0"/>
    <n v="0"/>
    <n v="0"/>
    <n v="0"/>
    <n v="0"/>
    <n v="0"/>
    <n v="0"/>
    <n v="0"/>
    <n v="27555923.088611647"/>
    <n v="9093454.6099999994"/>
    <n v="2335126.6686116457"/>
    <n v="770591.79139999952"/>
    <n v="2155835.84"/>
    <n v="711425.82"/>
    <m/>
    <n v="7.1999998763203621E-3"/>
  </r>
  <r>
    <x v="2"/>
    <s v="Harris"/>
    <n v="21893700.833493967"/>
    <n v="50099407.914228991"/>
    <n v="0"/>
    <n v="50099407.914228991"/>
    <n v="36998275.700301029"/>
    <n v="0"/>
    <n v="0"/>
    <n v="36998275.700301029"/>
    <n v="355545"/>
    <n v="0"/>
    <n v="0"/>
    <n v="0"/>
    <n v="0"/>
    <n v="355545"/>
    <n v="0"/>
    <n v="37353820.700301029"/>
    <n v="17561734.696221862"/>
    <n v="0"/>
    <n v="19792086.004079167"/>
    <n v="0"/>
    <n v="19792086.004079167"/>
    <n v="17561734.696221862"/>
    <n v="5795372.4497532137"/>
    <n v="13896604.130000001"/>
    <n v="4585879.3629000001"/>
    <m/>
    <n v="0"/>
    <n v="37353820.700301029"/>
    <n v="12326760.831099339"/>
    <n v="23457216.570301026"/>
    <n v="7740881.4681993388"/>
    <n v="7740881.4681993388"/>
    <n v="12326760.831099339"/>
    <n v="0"/>
    <n v="0"/>
    <n v="0"/>
    <n v="0"/>
    <n v="0"/>
    <n v="0"/>
    <n v="0"/>
    <n v="0"/>
    <n v="0"/>
    <n v="0"/>
    <n v="0"/>
    <n v="0"/>
    <n v="0"/>
    <n v="0"/>
    <n v="17561734.696221862"/>
    <n v="5795372.4400000004"/>
    <n v="3665130.5662218612"/>
    <n v="1209493.0771000003"/>
    <n v="3383722.16"/>
    <n v="1116628.3"/>
    <m/>
    <n v="1.2799999909475446E-2"/>
  </r>
  <r>
    <x v="4"/>
    <s v="Dallas"/>
    <n v="-61103858.043250933"/>
    <n v="41336088.754372671"/>
    <n v="19381708.242222592"/>
    <n v="21954380.512150079"/>
    <n v="47455730.139187098"/>
    <n v="0"/>
    <n v="0"/>
    <n v="47455730.139187098"/>
    <n v="1185591"/>
    <n v="0"/>
    <n v="99690"/>
    <n v="0"/>
    <n v="6224540.1918641813"/>
    <n v="7509821.1918641813"/>
    <n v="0"/>
    <n v="54965551.331051275"/>
    <n v="25841812.478896108"/>
    <n v="0"/>
    <n v="29123738.852155168"/>
    <n v="0"/>
    <n v="29123738.852155168"/>
    <n v="25841812.478896108"/>
    <n v="8527798.1180357151"/>
    <n v="22124159.48"/>
    <n v="7300972.6283999989"/>
    <m/>
    <n v="0"/>
    <n v="54965551.331051275"/>
    <n v="18138631.939246919"/>
    <n v="32841391.851051275"/>
    <n v="10837659.310846921"/>
    <n v="10837659.310846921"/>
    <n v="18138631.939246919"/>
    <n v="0"/>
    <n v="0"/>
    <n v="0"/>
    <n v="0"/>
    <n v="0"/>
    <n v="0"/>
    <n v="0"/>
    <n v="0"/>
    <n v="0"/>
    <n v="0"/>
    <n v="0"/>
    <n v="0"/>
    <n v="0"/>
    <n v="0"/>
    <n v="25841812.478896108"/>
    <n v="8527798.1099999994"/>
    <n v="3717652.9988961071"/>
    <n v="1226825.4816000005"/>
    <n v="3432211.92"/>
    <n v="1132629.92"/>
    <m/>
    <n v="1.3599999947473407E-2"/>
  </r>
  <r>
    <x v="5"/>
    <s v="Cameron"/>
    <n v="-8517102.4921721723"/>
    <n v="13011471.971331468"/>
    <n v="7094202.3679357534"/>
    <n v="5917269.6033957144"/>
    <n v="13023403.669719415"/>
    <n v="4474968.75"/>
    <n v="4474968.75"/>
    <n v="8548434.9197194148"/>
    <n v="784055"/>
    <n v="0"/>
    <n v="0"/>
    <n v="0"/>
    <n v="1765478.2604670858"/>
    <n v="2549533.260467086"/>
    <n v="0"/>
    <n v="11097968.180186501"/>
    <n v="5217660.9833643278"/>
    <n v="0"/>
    <n v="5880307.196822173"/>
    <n v="0"/>
    <n v="5880307.196822173"/>
    <n v="5217660.9833643278"/>
    <n v="1721828.1245102279"/>
    <n v="6109563.0599999996"/>
    <n v="2016155.8097999997"/>
    <m/>
    <n v="0"/>
    <n v="11097968.180186501"/>
    <n v="3662329.4994615447"/>
    <n v="4988405.1201865012"/>
    <n v="1646173.689661545"/>
    <n v="1646173.689661545"/>
    <n v="3662329.4994615447"/>
    <n v="0"/>
    <n v="0"/>
    <n v="0"/>
    <n v="0"/>
    <n v="0"/>
    <n v="0"/>
    <n v="0"/>
    <n v="0"/>
    <n v="0"/>
    <n v="0"/>
    <n v="0"/>
    <n v="0"/>
    <n v="0"/>
    <n v="0"/>
    <n v="5217660.9833643278"/>
    <n v="1721828.12"/>
    <n v="-891902.07663567178"/>
    <n v="-294327.68979999959"/>
    <n v="0"/>
    <n v="0"/>
    <m/>
    <n v="0"/>
  </r>
  <r>
    <x v="6"/>
    <s v="Tarrant"/>
    <n v="-14368558.897940638"/>
    <n v="34929059.26575838"/>
    <n v="16728147.466349157"/>
    <n v="18200911.799409226"/>
    <n v="35463715.416847751"/>
    <n v="11469321.66"/>
    <n v="7636968.758531414"/>
    <n v="27826746.658316337"/>
    <n v="1513418"/>
    <n v="0"/>
    <n v="135464"/>
    <n v="0"/>
    <n v="8233656.0071590338"/>
    <n v="9882538.0071590338"/>
    <n v="0"/>
    <n v="37709284.665475368"/>
    <n v="17728854.517793648"/>
    <n v="0"/>
    <n v="19980430.147681721"/>
    <n v="0"/>
    <n v="19980430.147681721"/>
    <n v="17728854.517793648"/>
    <n v="5850521.9908719035"/>
    <n v="16827712.989999998"/>
    <n v="5553145.2866999991"/>
    <m/>
    <n v="0"/>
    <n v="37709284.665475368"/>
    <n v="12444063.93960687"/>
    <n v="20881571.67547537"/>
    <n v="6890918.6529068705"/>
    <n v="6890918.6529068705"/>
    <n v="12444063.93960687"/>
    <n v="0"/>
    <n v="0"/>
    <n v="0"/>
    <n v="0"/>
    <n v="0"/>
    <n v="0"/>
    <n v="0"/>
    <n v="0"/>
    <n v="0"/>
    <n v="0"/>
    <n v="0"/>
    <n v="0"/>
    <n v="0"/>
    <n v="0"/>
    <n v="17728854.517793648"/>
    <n v="5850521.9900000002"/>
    <n v="901141.52779364958"/>
    <n v="297376.7033000011"/>
    <n v="831951.96"/>
    <n v="274544.15000000002"/>
    <m/>
    <n v="-3.2000000937841833E-3"/>
  </r>
  <r>
    <x v="7"/>
    <s v="Williamson"/>
    <n v="-1063067.7982819672"/>
    <n v="0"/>
    <n v="0"/>
    <n v="0"/>
    <n v="15968103.067617889"/>
    <n v="0"/>
    <n v="0"/>
    <n v="15968103.067617889"/>
    <n v="1037157"/>
    <n v="0"/>
    <n v="0"/>
    <n v="0"/>
    <n v="2970597.3122089733"/>
    <n v="4007754.3122089733"/>
    <n v="0"/>
    <n v="19975857.379826862"/>
    <n v="9391561.587467216"/>
    <n v="0"/>
    <n v="10584295.792359646"/>
    <n v="0"/>
    <n v="10584295.792359646"/>
    <n v="9391561.587467216"/>
    <n v="3099215.3238641811"/>
    <n v="7690000.3799999999"/>
    <n v="2537700.1253999998"/>
    <m/>
    <n v="0"/>
    <n v="19975857.379826862"/>
    <n v="6592032.9353428641"/>
    <n v="12285856.999826863"/>
    <n v="4054332.8099428643"/>
    <n v="4054332.8099428643"/>
    <n v="6592032.9353428641"/>
    <n v="0"/>
    <n v="0"/>
    <n v="0"/>
    <n v="0"/>
    <n v="0"/>
    <n v="0"/>
    <n v="0"/>
    <n v="0"/>
    <n v="0"/>
    <n v="0"/>
    <n v="0"/>
    <n v="0"/>
    <n v="0"/>
    <n v="0"/>
    <n v="9391561.587467216"/>
    <n v="3099215.32"/>
    <n v="1701561.2074672161"/>
    <n v="561515.19460000005"/>
    <n v="1570915.48"/>
    <n v="518402.11"/>
    <m/>
    <n v="-1.6000000759959221E-3"/>
  </r>
  <r>
    <x v="4"/>
    <s v="Rockwall"/>
    <n v="-4759485.0804295456"/>
    <n v="10454979.702420449"/>
    <n v="4368866.0960256252"/>
    <n v="6086113.6063948236"/>
    <n v="8455667.0939336959"/>
    <n v="2039237.96"/>
    <n v="712609.43403472193"/>
    <n v="7743057.659898974"/>
    <n v="0"/>
    <n v="0"/>
    <n v="0"/>
    <n v="0"/>
    <n v="0"/>
    <n v="0"/>
    <n v="0"/>
    <n v="7743057.659898974"/>
    <n v="3640364.5413332083"/>
    <n v="0"/>
    <n v="4102693.1185657657"/>
    <n v="0"/>
    <n v="4102693.1185657657"/>
    <n v="3640364.5413332083"/>
    <n v="1201320.2986399585"/>
    <n v="3212679.57"/>
    <n v="1060184.2580999997"/>
    <m/>
    <n v="0"/>
    <n v="7743057.659898974"/>
    <n v="2555209.0277666613"/>
    <n v="4530378.0898989737"/>
    <n v="1495024.7696666615"/>
    <n v="1495024.7696666615"/>
    <n v="2555209.0277666613"/>
    <n v="0"/>
    <n v="0"/>
    <n v="0"/>
    <n v="0"/>
    <n v="0"/>
    <n v="0"/>
    <n v="0"/>
    <n v="0"/>
    <n v="0"/>
    <n v="0"/>
    <n v="0"/>
    <n v="0"/>
    <n v="0"/>
    <n v="0"/>
    <n v="3640364.5413332083"/>
    <n v="1201320.29"/>
    <n v="427684.97133320849"/>
    <n v="141136.03190000029"/>
    <n v="394847.36"/>
    <n v="130299.62"/>
    <m/>
    <n v="8.7999999814201146E-3"/>
  </r>
  <r>
    <x v="6"/>
    <s v="Denton"/>
    <n v="-4465118.5412133923"/>
    <n v="0"/>
    <n v="0"/>
    <n v="0"/>
    <n v="20178198.936584014"/>
    <n v="0"/>
    <n v="0"/>
    <n v="20178198.936584014"/>
    <n v="0"/>
    <n v="0"/>
    <n v="0"/>
    <n v="0"/>
    <n v="0"/>
    <n v="0"/>
    <n v="0"/>
    <n v="20178198.936584014"/>
    <n v="9486691.5814322252"/>
    <n v="0"/>
    <n v="10691507.355151789"/>
    <n v="0"/>
    <n v="10691507.355151789"/>
    <n v="9486691.5814322252"/>
    <n v="3130608.2218726338"/>
    <n v="7638773.0700000003"/>
    <n v="2520795.1130999997"/>
    <m/>
    <n v="0"/>
    <n v="20178198.936584014"/>
    <n v="6658805.6490727244"/>
    <n v="12539425.866584014"/>
    <n v="4138010.5359727247"/>
    <n v="4138010.5359727247"/>
    <n v="6658805.6490727244"/>
    <n v="0"/>
    <n v="0"/>
    <n v="0"/>
    <n v="0"/>
    <n v="0"/>
    <n v="0"/>
    <n v="0"/>
    <n v="0"/>
    <n v="0"/>
    <n v="0"/>
    <n v="0"/>
    <n v="0"/>
    <n v="0"/>
    <n v="0"/>
    <n v="9486691.5814322252"/>
    <n v="3130608.22"/>
    <n v="1847918.5114322249"/>
    <n v="609813.10690000048"/>
    <n v="1706035.49"/>
    <n v="562991.71"/>
    <m/>
    <n v="1.7000000225380063E-3"/>
  </r>
  <r>
    <x v="1"/>
    <s v="Nueces"/>
    <n v="-9659574.9224196151"/>
    <n v="35367805.348754771"/>
    <n v="29685452.488693658"/>
    <n v="5682352.8600611128"/>
    <n v="31847409.393728588"/>
    <n v="14061863.310000002"/>
    <n v="14061863.310000002"/>
    <n v="17785546.083728585"/>
    <n v="2222798"/>
    <n v="0"/>
    <n v="87998"/>
    <n v="0"/>
    <n v="8703973.1150911637"/>
    <n v="11014769.115091164"/>
    <n v="0"/>
    <n v="28800315.198819749"/>
    <n v="13540341.662698044"/>
    <n v="0"/>
    <n v="15259973.536121706"/>
    <n v="0"/>
    <n v="15259973.536121706"/>
    <n v="13540341.662698044"/>
    <n v="4468312.7486903537"/>
    <n v="16960140.91"/>
    <n v="5596846.5002999995"/>
    <m/>
    <n v="0"/>
    <n v="28800315.198819749"/>
    <n v="9504104.0156105161"/>
    <n v="11840174.288819749"/>
    <n v="3907257.5153105166"/>
    <n v="3907257.5153105166"/>
    <n v="9504104.0156105161"/>
    <n v="0"/>
    <n v="0"/>
    <n v="0"/>
    <n v="0"/>
    <n v="0"/>
    <n v="0"/>
    <n v="0"/>
    <n v="0"/>
    <n v="0"/>
    <n v="0"/>
    <n v="0"/>
    <n v="0"/>
    <n v="0"/>
    <n v="0"/>
    <n v="13540341.662698044"/>
    <n v="4468312.74"/>
    <n v="-3419799.2473019566"/>
    <n v="-1128533.7602999993"/>
    <n v="0"/>
    <n v="0"/>
    <m/>
    <n v="0"/>
  </r>
  <r>
    <x v="8"/>
    <s v="Bowie"/>
    <n v="19884179.700499147"/>
    <n v="18394464.969391596"/>
    <n v="10956999.486061798"/>
    <n v="7437465.4833297972"/>
    <n v="19135126.809024844"/>
    <n v="5661213.2000000002"/>
    <n v="0"/>
    <n v="19135126.809024844"/>
    <n v="2518215"/>
    <n v="0"/>
    <n v="1106657.1368995297"/>
    <n v="0"/>
    <n v="9234722.9249422103"/>
    <n v="12859595.061841741"/>
    <n v="0"/>
    <n v="31994721.870866586"/>
    <n v="15042177.92561814"/>
    <n v="0"/>
    <n v="16952543.945248447"/>
    <n v="0"/>
    <n v="16952543.945248447"/>
    <n v="15042177.92561814"/>
    <n v="4963918.7154539851"/>
    <n v="10963366.73"/>
    <n v="3617911.0208999999"/>
    <m/>
    <n v="0"/>
    <n v="31994721.870866586"/>
    <n v="10558258.217385972"/>
    <n v="21031355.140866585"/>
    <n v="6940347.196485972"/>
    <n v="6940347.196485972"/>
    <n v="10558258.217385972"/>
    <n v="0"/>
    <n v="0"/>
    <n v="0"/>
    <n v="0"/>
    <n v="0"/>
    <n v="0"/>
    <n v="0"/>
    <n v="0"/>
    <n v="0"/>
    <n v="0"/>
    <n v="0"/>
    <n v="0"/>
    <n v="0"/>
    <n v="0"/>
    <n v="15042177.92561814"/>
    <n v="4963918.71"/>
    <n v="4078811.1956181396"/>
    <n v="1346007.6891000001"/>
    <n v="3765640.42"/>
    <n v="1242661.33"/>
    <m/>
    <n v="8.5999998264014721E-3"/>
  </r>
  <r>
    <x v="2"/>
    <s v="Harris"/>
    <n v="-2062038.6389865032"/>
    <n v="0"/>
    <n v="0"/>
    <n v="0"/>
    <n v="512828.05560562102"/>
    <n v="0"/>
    <n v="0"/>
    <n v="512828.05560562102"/>
    <n v="0"/>
    <n v="0"/>
    <n v="0"/>
    <n v="0"/>
    <n v="32780.085457246591"/>
    <n v="32780.085457246591"/>
    <n v="0"/>
    <n v="545608.14106286759"/>
    <n v="256515.27050799533"/>
    <n v="0"/>
    <n v="289092.87055487226"/>
    <n v="0"/>
    <n v="289092.87055487226"/>
    <n v="256515.27050799533"/>
    <n v="84650.039267638451"/>
    <n v="164686.46"/>
    <n v="54346.53179999999"/>
    <m/>
    <n v="0"/>
    <n v="545608.14106286759"/>
    <n v="180050.68655074629"/>
    <n v="380921.68106286763"/>
    <n v="125704.1547507463"/>
    <n v="125704.1547507463"/>
    <n v="180050.68655074629"/>
    <n v="0"/>
    <n v="0"/>
    <n v="0"/>
    <n v="0"/>
    <n v="0"/>
    <n v="0"/>
    <n v="0"/>
    <n v="0"/>
    <n v="0"/>
    <n v="0"/>
    <n v="0"/>
    <n v="0"/>
    <n v="0"/>
    <n v="0"/>
    <n v="256515.27050799533"/>
    <n v="84650.03"/>
    <n v="91828.810507995338"/>
    <n v="30303.498200000009"/>
    <n v="84778.2"/>
    <n v="27976.799999999999"/>
    <m/>
    <n v="5.9999999975843821E-3"/>
  </r>
  <r>
    <x v="4"/>
    <s v="Dallas"/>
    <n v="974738.66163770866"/>
    <n v="0"/>
    <n v="0"/>
    <n v="0"/>
    <n v="9114831.4882487282"/>
    <n v="0"/>
    <n v="0"/>
    <n v="9114831.4882487282"/>
    <n v="0"/>
    <n v="0"/>
    <n v="0"/>
    <n v="0"/>
    <n v="2444248"/>
    <n v="2444248"/>
    <n v="0"/>
    <n v="11559079.488248728"/>
    <n v="5434450.4390558423"/>
    <n v="0"/>
    <n v="6124629.0491928859"/>
    <n v="0"/>
    <n v="6124629.0491928859"/>
    <n v="5434450.4390558423"/>
    <n v="1793368.6448884278"/>
    <n v="4405819.04"/>
    <n v="1453920.2831999999"/>
    <m/>
    <n v="0"/>
    <n v="11559079.488248728"/>
    <n v="3814496.2311220798"/>
    <n v="7153260.4482487282"/>
    <n v="2360575.9479220798"/>
    <n v="2360575.9479220798"/>
    <n v="3814496.2311220798"/>
    <n v="0"/>
    <n v="0"/>
    <n v="0"/>
    <n v="0"/>
    <n v="0"/>
    <n v="0"/>
    <n v="0"/>
    <n v="0"/>
    <n v="0"/>
    <n v="0"/>
    <n v="0"/>
    <n v="0"/>
    <n v="0"/>
    <n v="0"/>
    <n v="5434450.4390558423"/>
    <n v="1793368.64"/>
    <n v="1028631.3990558423"/>
    <n v="339448.35679999995"/>
    <n v="949653.17"/>
    <n v="313385.53999999998"/>
    <m/>
    <n v="6.0999999986961484E-3"/>
  </r>
  <r>
    <x v="4"/>
    <s v="Collin"/>
    <n v="1296967.0863084546"/>
    <n v="0"/>
    <n v="0"/>
    <n v="0"/>
    <n v="5950097.9196200203"/>
    <n v="0"/>
    <n v="0"/>
    <n v="5950097.9196200203"/>
    <n v="0"/>
    <n v="0"/>
    <n v="0"/>
    <n v="0"/>
    <n v="0"/>
    <n v="0"/>
    <n v="0"/>
    <n v="5950097.9196200203"/>
    <n v="2797412.3964263266"/>
    <n v="0"/>
    <n v="3152685.5231936937"/>
    <n v="0"/>
    <n v="3152685.5231936937"/>
    <n v="2797412.3964263266"/>
    <n v="923146.09082068771"/>
    <n v="3224578.32"/>
    <n v="1064110.8455999999"/>
    <m/>
    <n v="0"/>
    <n v="5950097.9196200203"/>
    <n v="1963532.3134746065"/>
    <n v="2725519.5996200205"/>
    <n v="899421.46787460661"/>
    <n v="899421.46787460661"/>
    <n v="1963532.3134746065"/>
    <n v="0"/>
    <n v="0"/>
    <n v="0"/>
    <n v="0"/>
    <n v="0"/>
    <n v="0"/>
    <n v="0"/>
    <n v="0"/>
    <n v="0"/>
    <n v="0"/>
    <n v="0"/>
    <n v="0"/>
    <n v="0"/>
    <n v="0"/>
    <n v="2797412.3964263266"/>
    <n v="923146.09"/>
    <n v="-427165.92357367324"/>
    <n v="-140964.75559999992"/>
    <n v="0"/>
    <n v="0"/>
    <m/>
    <n v="0"/>
  </r>
  <r>
    <x v="2"/>
    <s v="Brazoria"/>
    <n v="228822.41148031995"/>
    <n v="0"/>
    <n v="0"/>
    <n v="0"/>
    <n v="2237691.4038465279"/>
    <n v="0"/>
    <n v="0"/>
    <n v="2237691.4038465279"/>
    <n v="5996"/>
    <n v="0"/>
    <n v="0"/>
    <n v="0"/>
    <n v="0"/>
    <n v="5996"/>
    <n v="0"/>
    <n v="2243687.4038465279"/>
    <n v="2094337.5294466"/>
    <n v="0"/>
    <n v="149349.87439992791"/>
    <n v="0"/>
    <n v="149349.87439992791"/>
    <n v="2094337.5294466"/>
    <n v="691131.38471737795"/>
    <n v="992155.75"/>
    <n v="327411.39749999996"/>
    <m/>
    <n v="0"/>
    <n v="2243687.4038465279"/>
    <n v="740416.84326935408"/>
    <n v="1251531.6538465279"/>
    <n v="413005.44576935412"/>
    <n v="413005.44576935412"/>
    <n v="740416.84326935408"/>
    <n v="0"/>
    <n v="0"/>
    <n v="0"/>
    <n v="0"/>
    <n v="0"/>
    <n v="0"/>
    <n v="0"/>
    <n v="0"/>
    <n v="0"/>
    <n v="0"/>
    <n v="0"/>
    <n v="0"/>
    <n v="0"/>
    <n v="0"/>
    <n v="2094337.5294466"/>
    <n v="691131.38"/>
    <n v="1102181.7794466"/>
    <n v="363719.98250000004"/>
    <n v="1017556.36"/>
    <n v="335793.59"/>
    <m/>
    <n v="8.7999999523162842E-3"/>
  </r>
  <r>
    <x v="9"/>
    <s v="Runnels"/>
    <n v="200230.11499061756"/>
    <n v="0"/>
    <n v="0"/>
    <n v="0"/>
    <n v="140745.1891627264"/>
    <n v="0"/>
    <n v="0"/>
    <n v="140745.1891627264"/>
    <n v="0"/>
    <n v="0"/>
    <n v="0"/>
    <n v="0"/>
    <n v="0"/>
    <n v="0"/>
    <n v="0"/>
    <n v="140745.1891627264"/>
    <n v="131376.55951859211"/>
    <n v="0"/>
    <n v="9368.6296441342856"/>
    <n v="0"/>
    <n v="9368.6296441342856"/>
    <n v="131376.55951859211"/>
    <n v="43354.264641135393"/>
    <n v="34679.32"/>
    <n v="11444.175599999999"/>
    <m/>
    <n v="0"/>
    <n v="140745.1891627264"/>
    <n v="46445.912423699709"/>
    <n v="106065.86916272639"/>
    <n v="35001.736823699714"/>
    <n v="35001.736823699714"/>
    <n v="46445.912423699716"/>
    <n v="0"/>
    <n v="0"/>
    <n v="0"/>
    <n v="0"/>
    <n v="0"/>
    <n v="0"/>
    <n v="0"/>
    <n v="0"/>
    <n v="0"/>
    <n v="0"/>
    <n v="0"/>
    <n v="0"/>
    <n v="0"/>
    <n v="0"/>
    <n v="131376.55951859211"/>
    <n v="43354.26"/>
    <n v="96697.239518592105"/>
    <n v="31910.084400000003"/>
    <n v="89272.83"/>
    <n v="29460.03"/>
    <m/>
    <n v="3.8999999997031409E-3"/>
  </r>
  <r>
    <x v="0"/>
    <s v="Madison"/>
    <n v="255878.45254451202"/>
    <n v="0"/>
    <n v="0"/>
    <n v="0"/>
    <n v="1505390.4266275838"/>
    <n v="0"/>
    <n v="0"/>
    <n v="1505390.4266275838"/>
    <n v="0"/>
    <n v="0"/>
    <n v="0"/>
    <n v="0"/>
    <n v="0"/>
    <n v="0"/>
    <n v="0"/>
    <n v="1505390.4266275838"/>
    <n v="1405184.903008634"/>
    <n v="0"/>
    <n v="100205.52361894981"/>
    <n v="0"/>
    <n v="100205.52361894981"/>
    <n v="1405184.903008634"/>
    <n v="463711.01799284917"/>
    <n v="590706.5"/>
    <n v="194933.14499999999"/>
    <m/>
    <n v="0"/>
    <n v="1505390.4266275838"/>
    <n v="496778.84078710258"/>
    <n v="914683.9266275838"/>
    <n v="301845.69578710257"/>
    <n v="301845.69578710257"/>
    <n v="496778.84078710258"/>
    <n v="0"/>
    <n v="0"/>
    <n v="0"/>
    <n v="0"/>
    <n v="0"/>
    <n v="0"/>
    <n v="0"/>
    <n v="0"/>
    <n v="0"/>
    <n v="0"/>
    <n v="0"/>
    <n v="0"/>
    <n v="0"/>
    <n v="0"/>
    <n v="1405184.903008634"/>
    <n v="463711.01"/>
    <n v="814478.40300863399"/>
    <n v="268777.86499999999"/>
    <n v="751942.82"/>
    <n v="248141.12"/>
    <m/>
    <n v="1.0599999950500205E-2"/>
  </r>
  <r>
    <x v="1"/>
    <s v="Refugio"/>
    <n v="796517.32621332491"/>
    <n v="950980.98490655108"/>
    <n v="406056.58225950721"/>
    <n v="544924.40264704381"/>
    <n v="1493208.0924900607"/>
    <n v="0"/>
    <n v="0"/>
    <n v="1493208.0924900607"/>
    <n v="0"/>
    <n v="0"/>
    <n v="0"/>
    <n v="0"/>
    <n v="0"/>
    <n v="0"/>
    <n v="0"/>
    <n v="1493208.0924900607"/>
    <n v="1393813.479548872"/>
    <n v="0"/>
    <n v="99394.612941188738"/>
    <n v="0"/>
    <n v="99394.612941188738"/>
    <n v="1393813.479548872"/>
    <n v="459958.44825112767"/>
    <n v="210314.58"/>
    <n v="69403.811399999991"/>
    <m/>
    <n v="0"/>
    <n v="1493208.0924900607"/>
    <n v="492758.67052171996"/>
    <n v="1282893.5124900606"/>
    <n v="423354.85912171996"/>
    <n v="423354.85912171996"/>
    <n v="492758.67052171996"/>
    <n v="0"/>
    <n v="0"/>
    <n v="0"/>
    <n v="0"/>
    <n v="0"/>
    <n v="0"/>
    <n v="0"/>
    <n v="0"/>
    <n v="0"/>
    <n v="0"/>
    <n v="0"/>
    <n v="0"/>
    <n v="0"/>
    <n v="0"/>
    <n v="1393813.479548872"/>
    <n v="459958.44"/>
    <n v="1183498.8995488719"/>
    <n v="390554.6286"/>
    <n v="1092629.96"/>
    <n v="360567.88"/>
    <m/>
    <n v="6.7999999155290425E-3"/>
  </r>
  <r>
    <x v="9"/>
    <s v="Stonewall"/>
    <n v="216662.535646592"/>
    <n v="271862.59541357215"/>
    <n v="0"/>
    <n v="271862.59541357215"/>
    <n v="275833.19269614079"/>
    <n v="134104.16999999998"/>
    <n v="0"/>
    <n v="275833.19269614079"/>
    <n v="0"/>
    <n v="0"/>
    <n v="0"/>
    <n v="0"/>
    <n v="0"/>
    <n v="0"/>
    <n v="0"/>
    <n v="275833.19269614079"/>
    <n v="257472.50100001824"/>
    <n v="0"/>
    <n v="18360.691696122551"/>
    <n v="0"/>
    <n v="18360.691696122551"/>
    <n v="257472.50100001824"/>
    <n v="84965.925330006008"/>
    <n v="108078.73"/>
    <n v="35665.980899999995"/>
    <m/>
    <n v="0"/>
    <n v="275833.19269614079"/>
    <n v="91024.953589726443"/>
    <n v="167754.46269614081"/>
    <n v="55358.972689726448"/>
    <n v="55358.972689726448"/>
    <n v="91024.953589726443"/>
    <n v="0"/>
    <n v="0"/>
    <n v="0"/>
    <n v="0"/>
    <n v="0"/>
    <n v="0"/>
    <n v="0"/>
    <n v="0"/>
    <n v="0"/>
    <n v="0"/>
    <n v="0"/>
    <n v="0"/>
    <n v="0"/>
    <n v="0"/>
    <n v="257472.50100001824"/>
    <n v="84965.92"/>
    <n v="149393.77100001823"/>
    <n v="49299.939100000003"/>
    <n v="137923.32999999999"/>
    <n v="45514.69"/>
    <m/>
    <n v="8.8999999861698598E-3"/>
  </r>
  <r>
    <x v="10"/>
    <s v="Chambers"/>
    <n v="229319.15924395519"/>
    <n v="0"/>
    <n v="0"/>
    <n v="0"/>
    <n v="198409.29642311682"/>
    <n v="0"/>
    <n v="0"/>
    <n v="198409.29642311682"/>
    <n v="0"/>
    <n v="0"/>
    <n v="0"/>
    <n v="0"/>
    <n v="0"/>
    <n v="0"/>
    <n v="0"/>
    <n v="198409.29642311682"/>
    <n v="185202.28574517238"/>
    <n v="0"/>
    <n v="13207.010677944432"/>
    <n v="0"/>
    <n v="13207.010677944432"/>
    <n v="185202.28574517238"/>
    <n v="61116.754295906881"/>
    <n v="265305.89"/>
    <n v="87550.943699999989"/>
    <m/>
    <n v="0"/>
    <n v="198409.29642311682"/>
    <n v="65475.067819628544"/>
    <n v="-66896.593576883199"/>
    <n v="-22075.875880371445"/>
    <n v="-22075.875880371445"/>
    <n v="65475.067819628544"/>
    <n v="0"/>
    <n v="0"/>
    <n v="0"/>
    <n v="0"/>
    <n v="0"/>
    <n v="0"/>
    <n v="0"/>
    <n v="0"/>
    <n v="0"/>
    <n v="0"/>
    <n v="0"/>
    <n v="0"/>
    <n v="0"/>
    <n v="0"/>
    <n v="185202.28574517238"/>
    <n v="61116.75"/>
    <n v="-80103.604254827631"/>
    <n v="-26434.193699999989"/>
    <n v="0"/>
    <n v="0"/>
    <m/>
    <n v="0"/>
  </r>
  <r>
    <x v="6"/>
    <s v="Tarrant"/>
    <n v="-152652721.91002291"/>
    <n v="20223323.261183664"/>
    <n v="9718808.2545386627"/>
    <n v="10504515.006645001"/>
    <n v="24881353.345307998"/>
    <n v="0"/>
    <n v="0"/>
    <n v="24881353.345307998"/>
    <n v="0"/>
    <n v="0"/>
    <n v="0"/>
    <n v="0"/>
    <n v="1193049"/>
    <n v="1193049"/>
    <n v="0"/>
    <n v="26074402.345307998"/>
    <n v="12258765.710334791"/>
    <n v="0"/>
    <n v="13815636.634973207"/>
    <n v="0"/>
    <n v="13815636.634973207"/>
    <n v="12258765.710334791"/>
    <n v="4045392.6844104803"/>
    <n v="8456320.8300000001"/>
    <n v="2790585.8738999995"/>
    <m/>
    <n v="0"/>
    <n v="26074402.345307998"/>
    <n v="8604552.7739516385"/>
    <n v="17618081.515308"/>
    <n v="5813966.9000516385"/>
    <n v="5813966.9000516385"/>
    <n v="8604552.7739516385"/>
    <n v="0"/>
    <n v="0"/>
    <n v="0"/>
    <n v="0"/>
    <n v="0"/>
    <n v="0"/>
    <n v="0"/>
    <n v="0"/>
    <n v="0"/>
    <n v="0"/>
    <n v="0"/>
    <n v="0"/>
    <n v="0"/>
    <n v="0"/>
    <n v="12258765.710334791"/>
    <n v="4045392.68"/>
    <n v="3802444.8803347908"/>
    <n v="1254806.8061000006"/>
    <n v="3510493.49"/>
    <n v="1158462.8500000001"/>
    <m/>
    <n v="1.6999999061226845E-3"/>
  </r>
  <r>
    <x v="2"/>
    <s v="Harris"/>
    <n v="253475.00321579515"/>
    <n v="32486188.493878856"/>
    <n v="2801900.6992388605"/>
    <n v="29684287.794639997"/>
    <n v="2812917.7507861252"/>
    <n v="28347959"/>
    <n v="0"/>
    <n v="2812917.7507861252"/>
    <n v="3137941.88"/>
    <n v="0"/>
    <n v="0"/>
    <n v="0"/>
    <n v="0"/>
    <n v="3137941.88"/>
    <n v="0"/>
    <n v="3137941.88"/>
    <n v="1475289.58900527"/>
    <n v="0"/>
    <n v="1662652.2909947298"/>
    <n v="0"/>
    <n v="1662652.2909947298"/>
    <n v="1475289.58900527"/>
    <n v="486845.56437173905"/>
    <n v="1277619.43"/>
    <n v="421614.41189999995"/>
    <m/>
    <n v="0"/>
    <n v="3137941.88"/>
    <n v="1035520.8203999999"/>
    <n v="3137941.88"/>
    <n v="1035520.8203999999"/>
    <n v="1035520.8203999999"/>
    <n v="1035520.8203999999"/>
    <n v="0"/>
    <n v="0"/>
    <n v="0"/>
    <n v="0"/>
    <n v="0"/>
    <n v="0"/>
    <n v="0"/>
    <n v="0"/>
    <n v="0"/>
    <n v="0"/>
    <n v="0"/>
    <n v="0"/>
    <n v="0"/>
    <n v="0"/>
    <n v="1475289.58900527"/>
    <n v="486845.56"/>
    <n v="1475289.58900527"/>
    <n v="486845.56"/>
    <n v="1362016.98"/>
    <n v="449465.59999999998"/>
    <m/>
    <n v="3.3999999868683517E-3"/>
  </r>
  <r>
    <x v="6"/>
    <s v="Tarrant"/>
    <n v="-1828756.630796242"/>
    <n v="2883519.8303305455"/>
    <n v="23829.991153300478"/>
    <n v="2859689.8391772453"/>
    <n v="24487.360868951757"/>
    <n v="2736862.05"/>
    <n v="1705928.8416189961"/>
    <n v="0"/>
    <n v="0"/>
    <n v="0"/>
    <n v="0"/>
    <n v="0"/>
    <n v="0"/>
    <n v="0"/>
    <n v="0"/>
    <n v="0"/>
    <n v="0"/>
    <n v="0"/>
    <n v="0"/>
    <n v="0"/>
    <n v="0"/>
    <n v="0"/>
    <n v="0"/>
    <n v="16454.810000000001"/>
    <n v="5430.0873000000001"/>
    <m/>
    <n v="0"/>
    <n v="0"/>
    <n v="0"/>
    <n v="-16454.810000000001"/>
    <n v="-5430.0873000000001"/>
    <n v="-5430.0873000000001"/>
    <n v="0"/>
    <n v="0"/>
    <n v="0"/>
    <n v="0"/>
    <n v="0"/>
    <n v="0"/>
    <n v="0"/>
    <n v="0"/>
    <n v="0"/>
    <n v="0"/>
    <n v="0"/>
    <n v="0"/>
    <n v="0"/>
    <n v="0"/>
    <n v="0"/>
    <n v="0"/>
    <n v="0"/>
    <n v="-16454.810000000001"/>
    <n v="-5430.0873000000001"/>
    <n v="0"/>
    <n v="0"/>
    <m/>
    <n v="0"/>
  </r>
  <r>
    <x v="7"/>
    <s v="Travis"/>
    <n v="8829662.9727776516"/>
    <n v="42476370.675217919"/>
    <n v="0"/>
    <n v="42476370.675217919"/>
    <n v="0"/>
    <n v="43950491"/>
    <n v="0"/>
    <n v="0"/>
    <n v="6494"/>
    <n v="0"/>
    <n v="0"/>
    <n v="0"/>
    <n v="156925"/>
    <n v="163419"/>
    <n v="0"/>
    <n v="6494"/>
    <n v="3053.1255699994749"/>
    <n v="0"/>
    <n v="3440.8744300005251"/>
    <n v="0"/>
    <n v="3440.8744300005251"/>
    <n v="3053.1255699994749"/>
    <n v="1007.5314380998266"/>
    <n v="710092.74"/>
    <n v="234330.60419999997"/>
    <m/>
    <n v="0"/>
    <n v="6494"/>
    <n v="2143.0199999999995"/>
    <n v="6494"/>
    <n v="2143.0199999999995"/>
    <n v="2143.0199999999995"/>
    <n v="2143.0199999999995"/>
    <n v="0"/>
    <n v="0"/>
    <n v="0"/>
    <n v="0"/>
    <n v="0"/>
    <n v="0"/>
    <n v="0"/>
    <n v="0"/>
    <n v="0"/>
    <n v="0"/>
    <n v="0"/>
    <n v="0"/>
    <n v="0"/>
    <n v="0"/>
    <n v="3053.1255699994749"/>
    <n v="1007.53"/>
    <n v="3053.1255699994749"/>
    <n v="1007.53"/>
    <n v="2818.71"/>
    <n v="930.17"/>
    <m/>
    <n v="4.2999999999437932E-3"/>
  </r>
  <r>
    <x v="9"/>
    <s v="Wichita"/>
    <n v="8240543.6894710269"/>
    <n v="46886640.09743616"/>
    <n v="0"/>
    <n v="46886640.09743616"/>
    <n v="0"/>
    <n v="47732414"/>
    <n v="0"/>
    <n v="0"/>
    <n v="0"/>
    <n v="0"/>
    <n v="0"/>
    <n v="0"/>
    <n v="1065749"/>
    <n v="1065749"/>
    <n v="0"/>
    <n v="0"/>
    <n v="0"/>
    <n v="0"/>
    <n v="0"/>
    <n v="0"/>
    <n v="0"/>
    <n v="0"/>
    <n v="0"/>
    <n v="752518.68"/>
    <n v="248331.16439999998"/>
    <m/>
    <n v="0"/>
    <n v="0"/>
    <n v="0"/>
    <n v="0"/>
    <n v="0"/>
    <n v="0"/>
    <n v="0"/>
    <n v="0"/>
    <n v="0"/>
    <n v="0"/>
    <n v="0"/>
    <n v="0"/>
    <n v="0"/>
    <n v="0"/>
    <n v="0"/>
    <n v="0"/>
    <n v="0"/>
    <n v="0"/>
    <n v="0"/>
    <n v="0"/>
    <n v="0"/>
    <n v="0"/>
    <n v="0"/>
    <n v="0"/>
    <n v="0"/>
    <n v="0"/>
    <n v="0"/>
    <m/>
    <n v="0"/>
  </r>
  <r>
    <x v="9"/>
    <s v="Wilbarger"/>
    <n v="2392828.3101852415"/>
    <n v="51042688.262397438"/>
    <n v="0"/>
    <n v="51042688.262397438"/>
    <n v="0"/>
    <n v="46253706"/>
    <n v="0"/>
    <n v="0"/>
    <n v="4081"/>
    <n v="0"/>
    <n v="0"/>
    <n v="0"/>
    <n v="407031"/>
    <n v="411112"/>
    <n v="0"/>
    <n v="4081"/>
    <n v="1918.6642209990541"/>
    <n v="0"/>
    <n v="2162.3357790009459"/>
    <n v="0"/>
    <n v="2162.3357790009459"/>
    <n v="1918.6642209990541"/>
    <n v="633.15919292968783"/>
    <n v="427236.16"/>
    <n v="140987.93279999998"/>
    <m/>
    <n v="0"/>
    <n v="4081"/>
    <n v="1346.7299999999998"/>
    <n v="4081"/>
    <n v="1346.7299999999998"/>
    <n v="1346.7299999999998"/>
    <n v="1346.7299999999998"/>
    <n v="0"/>
    <n v="0"/>
    <n v="0"/>
    <n v="0"/>
    <n v="0"/>
    <n v="0"/>
    <n v="0"/>
    <n v="0"/>
    <n v="0"/>
    <n v="0"/>
    <n v="0"/>
    <n v="0"/>
    <n v="0"/>
    <n v="0"/>
    <n v="1918.6642209990541"/>
    <n v="633.15"/>
    <n v="1918.6642209990541"/>
    <n v="633.15"/>
    <n v="1771.35"/>
    <n v="584.54"/>
    <m/>
    <n v="5.4999999999836291E-3"/>
  </r>
  <r>
    <x v="2"/>
    <s v="Harris"/>
    <n v="-1387929.6451229001"/>
    <n v="2645426.9318721304"/>
    <n v="17401.019810088455"/>
    <n v="2628025.9120620419"/>
    <n v="23845.850935306877"/>
    <n v="2522770.33"/>
    <n v="1282674.0630608583"/>
    <n v="0"/>
    <n v="0"/>
    <n v="0"/>
    <n v="0"/>
    <n v="0"/>
    <n v="0"/>
    <n v="0"/>
    <n v="0"/>
    <n v="0"/>
    <n v="0"/>
    <n v="0"/>
    <n v="0"/>
    <n v="0"/>
    <n v="0"/>
    <n v="0"/>
    <n v="0"/>
    <n v="5312.63"/>
    <n v="1753.1678999999999"/>
    <m/>
    <n v="0"/>
    <n v="0"/>
    <n v="0"/>
    <n v="-5312.63"/>
    <n v="-1753.1678999999999"/>
    <n v="-1753.1678999999999"/>
    <n v="0"/>
    <n v="0"/>
    <n v="0"/>
    <n v="0"/>
    <n v="0"/>
    <n v="0"/>
    <n v="0"/>
    <n v="0"/>
    <n v="0"/>
    <n v="0"/>
    <n v="0"/>
    <n v="0"/>
    <n v="0"/>
    <n v="0"/>
    <n v="0"/>
    <n v="0"/>
    <n v="0"/>
    <n v="-5312.63"/>
    <n v="-1753.1678999999999"/>
    <n v="0"/>
    <n v="0"/>
    <m/>
    <n v="0"/>
  </r>
  <r>
    <x v="5"/>
    <s v="Cameron"/>
    <n v="887424.93737784319"/>
    <n v="10285608.1886208"/>
    <n v="0"/>
    <n v="10285608.1886208"/>
    <n v="0"/>
    <n v="0"/>
    <n v="0"/>
    <n v="0"/>
    <n v="0"/>
    <n v="0"/>
    <n v="26746"/>
    <n v="0"/>
    <n v="345960"/>
    <n v="372706"/>
    <n v="0"/>
    <n v="26746"/>
    <n v="12574.514397167533"/>
    <n v="0"/>
    <n v="14171.485602832467"/>
    <n v="0"/>
    <n v="14171.485602832467"/>
    <n v="12574.514397167533"/>
    <n v="4149.5897510652858"/>
    <n v="216275.25"/>
    <n v="71370.83249999999"/>
    <m/>
    <n v="0"/>
    <n v="26746"/>
    <n v="8826.1799999999985"/>
    <n v="26746"/>
    <n v="8826.1799999999985"/>
    <n v="8826.1799999999985"/>
    <n v="8826.1799999999985"/>
    <n v="0"/>
    <n v="0"/>
    <n v="0"/>
    <n v="0"/>
    <n v="0"/>
    <n v="0"/>
    <n v="0"/>
    <n v="0"/>
    <n v="0"/>
    <n v="0"/>
    <n v="0"/>
    <n v="0"/>
    <n v="0"/>
    <n v="0"/>
    <n v="12574.514397167533"/>
    <n v="4149.58"/>
    <n v="12574.514397167533"/>
    <n v="4149.58"/>
    <n v="11609.04"/>
    <n v="3830.98"/>
    <m/>
    <n v="3.1999999996514816E-3"/>
  </r>
  <r>
    <x v="3"/>
    <s v="Bexar"/>
    <n v="-814777.44408238039"/>
    <n v="4705687.4308811165"/>
    <n v="10711.199365888"/>
    <n v="4694976.2315152287"/>
    <n v="337944.04410798085"/>
    <n v="0"/>
    <n v="0"/>
    <n v="337944.04410798085"/>
    <n v="0"/>
    <n v="0"/>
    <n v="0"/>
    <n v="0"/>
    <n v="0"/>
    <n v="0"/>
    <n v="0"/>
    <n v="337944.04410798085"/>
    <n v="158882.90765246484"/>
    <n v="0"/>
    <n v="179061.13645551601"/>
    <n v="0"/>
    <n v="179061.13645551601"/>
    <n v="158882.90765246484"/>
    <n v="52431.35952531339"/>
    <n v="11385.23"/>
    <n v="3757.1258999999995"/>
    <m/>
    <n v="0"/>
    <n v="337944.04410798085"/>
    <n v="111521.53455563367"/>
    <n v="326558.81410798087"/>
    <n v="107764.40865563367"/>
    <n v="107764.40865563367"/>
    <n v="111521.53455563367"/>
    <n v="0"/>
    <n v="0"/>
    <n v="0"/>
    <n v="0"/>
    <n v="0"/>
    <n v="0"/>
    <n v="0"/>
    <n v="0"/>
    <n v="0"/>
    <n v="0"/>
    <n v="0"/>
    <n v="0"/>
    <n v="0"/>
    <n v="0"/>
    <n v="158882.90765246484"/>
    <n v="52431.35"/>
    <n v="147497.67765246483"/>
    <n v="48674.224099999999"/>
    <n v="136172.82"/>
    <n v="44937.02"/>
    <m/>
    <n v="1.0600000001431908E-2"/>
  </r>
  <r>
    <x v="2"/>
    <s v="Austin"/>
    <n v="349408.77644933126"/>
    <n v="0"/>
    <n v="0"/>
    <n v="0"/>
    <n v="654007.87506521598"/>
    <n v="0"/>
    <n v="0"/>
    <n v="654007.87506521598"/>
    <n v="39353"/>
    <n v="0"/>
    <n v="0"/>
    <n v="0"/>
    <n v="0"/>
    <n v="39353"/>
    <n v="0"/>
    <n v="693360.87506521598"/>
    <n v="647207.672338631"/>
    <n v="0"/>
    <n v="46153.202726584976"/>
    <n v="0"/>
    <n v="46153.202726584976"/>
    <n v="647207.672338631"/>
    <n v="213578.53187174822"/>
    <n v="322487.21000000002"/>
    <n v="106420.77929999999"/>
    <m/>
    <n v="0"/>
    <n v="693360.87506521598"/>
    <n v="228809.08877152126"/>
    <n v="370873.66506521596"/>
    <n v="122388.30947152126"/>
    <n v="122388.30947152126"/>
    <n v="228809.08877152126"/>
    <n v="0"/>
    <n v="0"/>
    <n v="0"/>
    <n v="0"/>
    <n v="0"/>
    <n v="0"/>
    <n v="0"/>
    <n v="0"/>
    <n v="0"/>
    <n v="0"/>
    <n v="0"/>
    <n v="0"/>
    <n v="0"/>
    <n v="0"/>
    <n v="647207.672338631"/>
    <n v="213578.53"/>
    <n v="324720.46233863098"/>
    <n v="107157.7507"/>
    <n v="299788.45"/>
    <n v="98930.19"/>
    <m/>
    <n v="-1.500000013038516E-3"/>
  </r>
  <r>
    <x v="9"/>
    <s v="Throckmorton"/>
    <n v="58810.671086182396"/>
    <n v="-21134.190855680001"/>
    <n v="0"/>
    <n v="0"/>
    <n v="711220.83587394562"/>
    <n v="0"/>
    <n v="0"/>
    <n v="711220.83587394562"/>
    <n v="2150"/>
    <n v="0"/>
    <n v="0"/>
    <n v="0"/>
    <n v="0"/>
    <n v="2150"/>
    <n v="0"/>
    <n v="713370.83587394562"/>
    <n v="665885.68060869246"/>
    <n v="0"/>
    <n v="47485.155265253154"/>
    <n v="0"/>
    <n v="47485.155265253154"/>
    <n v="665885.68060869246"/>
    <n v="219742.27460086849"/>
    <n v="455855.18"/>
    <n v="150432.20939999999"/>
    <m/>
    <n v="0"/>
    <n v="713370.83587394562"/>
    <n v="235412.37583840202"/>
    <n v="257515.65587394562"/>
    <n v="84980.166438402026"/>
    <n v="84980.166438402026"/>
    <n v="235412.37583840202"/>
    <n v="0"/>
    <n v="0"/>
    <n v="0"/>
    <n v="0"/>
    <n v="0"/>
    <n v="0"/>
    <n v="0"/>
    <n v="0"/>
    <n v="0"/>
    <n v="0"/>
    <n v="0"/>
    <n v="0"/>
    <n v="0"/>
    <n v="0"/>
    <n v="665885.68060869246"/>
    <n v="219742.27"/>
    <n v="210030.50060869247"/>
    <n v="69310.060599999997"/>
    <n v="193904.38"/>
    <n v="63988.44"/>
    <m/>
    <n v="5.3999999945517629E-3"/>
  </r>
  <r>
    <x v="9"/>
    <s v="Concho"/>
    <n v="840578.72749419534"/>
    <n v="669518.63947625237"/>
    <n v="237514.048930816"/>
    <n v="432004.59054543637"/>
    <n v="273493.91596907523"/>
    <n v="319372.81"/>
    <n v="0"/>
    <n v="273493.91596907523"/>
    <n v="0"/>
    <n v="0"/>
    <n v="0"/>
    <n v="0"/>
    <n v="274082"/>
    <n v="274082"/>
    <n v="0"/>
    <n v="547575.91596907517"/>
    <n v="511126.81252703402"/>
    <n v="0"/>
    <n v="36449.103442041145"/>
    <n v="0"/>
    <n v="36449.103442041145"/>
    <n v="511126.81252703402"/>
    <n v="168671.84813392122"/>
    <n v="131637.78"/>
    <n v="43440.467399999994"/>
    <m/>
    <n v="0"/>
    <n v="547575.91596907517"/>
    <n v="180700.05226979477"/>
    <n v="415938.13596907514"/>
    <n v="137259.58486979478"/>
    <n v="137259.58486979478"/>
    <n v="180700.05226979477"/>
    <n v="0"/>
    <n v="0"/>
    <n v="0"/>
    <n v="0"/>
    <n v="0"/>
    <n v="0"/>
    <n v="0"/>
    <n v="0"/>
    <n v="0"/>
    <n v="0"/>
    <n v="0"/>
    <n v="0"/>
    <n v="0"/>
    <n v="0"/>
    <n v="511126.81252703402"/>
    <n v="168671.84"/>
    <n v="379489.03252703405"/>
    <n v="125231.3726"/>
    <n v="350351.9"/>
    <n v="115616.12"/>
    <m/>
    <n v="6.9999999977881089E-3"/>
  </r>
  <r>
    <x v="2"/>
    <s v="Galveston"/>
    <n v="-21970369.068172812"/>
    <n v="73261691.586565301"/>
    <n v="34178828.537554719"/>
    <n v="39082863.049010582"/>
    <n v="57504073.601111241"/>
    <n v="0"/>
    <n v="0"/>
    <n v="57504073.601111241"/>
    <n v="0"/>
    <n v="0"/>
    <n v="0"/>
    <n v="0"/>
    <n v="0"/>
    <n v="0"/>
    <n v="0"/>
    <n v="0"/>
    <n v="0"/>
    <n v="0"/>
    <n v="0"/>
    <n v="0"/>
    <n v="0"/>
    <n v="0"/>
    <n v="0"/>
    <n v="7741924.9100000001"/>
    <n v="2554835.2202999997"/>
    <m/>
    <n v="0"/>
    <n v="0"/>
    <n v="0"/>
    <n v="0"/>
    <n v="0"/>
    <n v="0"/>
    <n v="0"/>
    <n v="0"/>
    <n v="0"/>
    <n v="0"/>
    <n v="0"/>
    <n v="0"/>
    <n v="0"/>
    <n v="0"/>
    <n v="0"/>
    <n v="0"/>
    <n v="0"/>
    <n v="0"/>
    <n v="0"/>
    <n v="0"/>
    <n v="0"/>
    <n v="0"/>
    <n v="0"/>
    <n v="0"/>
    <n v="0"/>
    <n v="0"/>
    <n v="0"/>
    <m/>
    <n v="0"/>
  </r>
  <r>
    <x v="6"/>
    <s v="Tarrant"/>
    <n v="-954544.8033521293"/>
    <n v="0"/>
    <n v="0"/>
    <n v="0"/>
    <n v="13148063.13892729"/>
    <n v="0"/>
    <n v="0"/>
    <n v="13148063.13892729"/>
    <n v="336637"/>
    <n v="0"/>
    <n v="0"/>
    <n v="0"/>
    <n v="555512.29403500981"/>
    <n v="892149.29403500981"/>
    <n v="0"/>
    <n v="14040212.4329623"/>
    <n v="6600944.1926858239"/>
    <n v="0"/>
    <n v="7439268.2402764764"/>
    <n v="0"/>
    <n v="7439268.2402764764"/>
    <n v="6600944.1926858239"/>
    <n v="2178311.5835863217"/>
    <n v="5975480.5300000003"/>
    <n v="1971908.5748999999"/>
    <m/>
    <n v="0"/>
    <n v="14040212.4329623"/>
    <n v="4633270.1028775582"/>
    <n v="8064731.9029623"/>
    <n v="2661361.5279775583"/>
    <n v="2661361.5279775583"/>
    <n v="4633270.1028775582"/>
    <n v="0"/>
    <n v="0"/>
    <n v="0"/>
    <n v="0"/>
    <n v="0"/>
    <n v="0"/>
    <n v="0"/>
    <n v="0"/>
    <n v="0"/>
    <n v="0"/>
    <n v="0"/>
    <n v="0"/>
    <n v="0"/>
    <n v="0"/>
    <n v="6600944.1926858239"/>
    <n v="2178311.58"/>
    <n v="625463.66268582363"/>
    <n v="206403.00510000018"/>
    <n v="577440.62"/>
    <n v="190555.4"/>
    <m/>
    <n v="4.5999999856576324E-3"/>
  </r>
  <r>
    <x v="8"/>
    <s v="Smith"/>
    <n v="22089588.25504053"/>
    <n v="47743036.431493416"/>
    <n v="24803881.636717398"/>
    <n v="22939154.794776019"/>
    <n v="42381195.331067778"/>
    <n v="8599276.709999999"/>
    <n v="0"/>
    <n v="42381195.331067778"/>
    <n v="5346576"/>
    <n v="0"/>
    <n v="12216652.044924099"/>
    <n v="0"/>
    <n v="10595379.626061324"/>
    <n v="28158607.670985423"/>
    <n v="0"/>
    <n v="70539803.002053201"/>
    <n v="33163978.479872856"/>
    <n v="0"/>
    <n v="37375824.522180349"/>
    <n v="0"/>
    <n v="37375824.522180349"/>
    <n v="33163978.479872856"/>
    <n v="10944112.898358041"/>
    <n v="28652137.260000002"/>
    <n v="9455205.2957999986"/>
    <m/>
    <n v="0"/>
    <n v="70539803.002053201"/>
    <n v="23278134.990677554"/>
    <n v="41887665.742053196"/>
    <n v="13822929.694877556"/>
    <n v="13822929.694877556"/>
    <n v="23278134.990677554"/>
    <n v="0"/>
    <n v="0"/>
    <n v="0"/>
    <n v="0"/>
    <n v="0"/>
    <n v="0"/>
    <n v="0"/>
    <n v="0"/>
    <n v="0"/>
    <n v="0"/>
    <n v="0"/>
    <n v="0"/>
    <n v="0"/>
    <n v="0"/>
    <n v="33163978.479872856"/>
    <n v="10944112.890000001"/>
    <n v="4511841.2198728547"/>
    <n v="1488907.594200002"/>
    <n v="4165422.44"/>
    <n v="1374589.39"/>
    <m/>
    <n v="1.5200000023469329E-2"/>
  </r>
  <r>
    <x v="11"/>
    <s v="El Paso"/>
    <n v="-28076311.391423743"/>
    <n v="35902738.719801337"/>
    <n v="24778671.91667546"/>
    <n v="11124066.803125877"/>
    <n v="35502918.666070484"/>
    <n v="7826427.330000001"/>
    <n v="7826427.330000001"/>
    <n v="27676491.336070482"/>
    <n v="2764412"/>
    <n v="0"/>
    <n v="0"/>
    <n v="0"/>
    <n v="6044348.6812474187"/>
    <n v="8808760.6812474187"/>
    <n v="0"/>
    <n v="36485252.017317899"/>
    <n v="17153380.945788145"/>
    <n v="0"/>
    <n v="19331871.071529754"/>
    <n v="0"/>
    <n v="19331871.071529754"/>
    <n v="17153380.945788145"/>
    <n v="5660615.7121100873"/>
    <n v="15564929.1"/>
    <n v="5136426.6029999992"/>
    <m/>
    <n v="0"/>
    <n v="36485252.017317899"/>
    <n v="12040133.165714905"/>
    <n v="20920322.917317897"/>
    <n v="6903706.5627149055"/>
    <n v="6903706.5627149055"/>
    <n v="12040133.165714905"/>
    <n v="0"/>
    <n v="0"/>
    <n v="0"/>
    <n v="0"/>
    <n v="0"/>
    <n v="0"/>
    <n v="0"/>
    <n v="0"/>
    <n v="0"/>
    <n v="0"/>
    <n v="0"/>
    <n v="0"/>
    <n v="0"/>
    <n v="0"/>
    <n v="17153380.945788145"/>
    <n v="5660615.71"/>
    <n v="1588451.8457881454"/>
    <n v="524189.10700000077"/>
    <n v="1466490.65"/>
    <n v="483941.91"/>
    <m/>
    <n v="4.4999999227002263E-3"/>
  </r>
  <r>
    <x v="5"/>
    <s v="Hidalgo"/>
    <n v="-24909270.992075332"/>
    <n v="60322753.21926"/>
    <n v="30282169.903272837"/>
    <n v="30040583.315987162"/>
    <n v="40329106.835944138"/>
    <n v="15791076.65"/>
    <n v="10659764.326088168"/>
    <n v="29669342.509855971"/>
    <n v="5835044"/>
    <n v="0"/>
    <n v="0"/>
    <n v="0"/>
    <n v="6720111.4458438102"/>
    <n v="12555155.44584381"/>
    <n v="0"/>
    <n v="42224497.955699779"/>
    <n v="19851662.209568456"/>
    <n v="0"/>
    <n v="22372835.746131323"/>
    <n v="0"/>
    <n v="22372835.746131323"/>
    <n v="19851662.209568456"/>
    <n v="6551048.5291575892"/>
    <n v="24723049.469999999"/>
    <n v="8158606.3250999982"/>
    <m/>
    <n v="0"/>
    <n v="42224497.955699779"/>
    <n v="13934084.325380925"/>
    <n v="17501448.48569978"/>
    <n v="5775478.0002809269"/>
    <n v="5775478.0002809269"/>
    <n v="13934084.325380925"/>
    <n v="0"/>
    <n v="0"/>
    <n v="0"/>
    <n v="0"/>
    <n v="0"/>
    <n v="0"/>
    <n v="0"/>
    <n v="0"/>
    <n v="0"/>
    <n v="0"/>
    <n v="0"/>
    <n v="0"/>
    <n v="0"/>
    <n v="0"/>
    <n v="19851662.209568456"/>
    <n v="6551048.5199999996"/>
    <n v="-4871387.260431543"/>
    <n v="-1607557.8050999986"/>
    <n v="0"/>
    <n v="0"/>
    <m/>
    <n v="0"/>
  </r>
  <r>
    <x v="9"/>
    <s v="Hansford"/>
    <n v="482239.8889939455"/>
    <n v="0"/>
    <n v="0"/>
    <n v="0"/>
    <n v="499004.8231666176"/>
    <n v="0"/>
    <n v="0"/>
    <n v="499004.8231666176"/>
    <n v="0"/>
    <n v="0"/>
    <n v="0"/>
    <n v="0"/>
    <n v="0"/>
    <n v="0"/>
    <n v="0"/>
    <n v="499004.8231666176"/>
    <n v="465788.8290236161"/>
    <n v="0"/>
    <n v="33215.994143001502"/>
    <n v="0"/>
    <n v="33215.994143001502"/>
    <n v="465788.8290236161"/>
    <n v="153710.31357779331"/>
    <n v="187458.82"/>
    <n v="61861.410599999996"/>
    <m/>
    <n v="0"/>
    <n v="499004.8231666176"/>
    <n v="164671.5916449838"/>
    <n v="311546.00316661759"/>
    <n v="102810.18104498379"/>
    <n v="102810.18104498379"/>
    <n v="164671.5916449838"/>
    <n v="0"/>
    <n v="0"/>
    <n v="0"/>
    <n v="0"/>
    <n v="0"/>
    <n v="0"/>
    <n v="0"/>
    <n v="0"/>
    <n v="0"/>
    <n v="0"/>
    <n v="0"/>
    <n v="0"/>
    <n v="0"/>
    <n v="0"/>
    <n v="465788.8290236161"/>
    <n v="153710.31"/>
    <n v="278330.00902361609"/>
    <n v="91848.899399999995"/>
    <n v="256959.85"/>
    <n v="84796.75"/>
    <m/>
    <n v="4.999999946448952E-4"/>
  </r>
  <r>
    <x v="1"/>
    <s v="Victoria"/>
    <n v="-817671.27869091951"/>
    <n v="8628950.0030393675"/>
    <n v="5519183.6397933308"/>
    <n v="3109766.3632460367"/>
    <n v="6179219.5047804937"/>
    <n v="2603939.62"/>
    <n v="311844.5354448827"/>
    <n v="5867374.969335611"/>
    <n v="911926.70884530665"/>
    <n v="0"/>
    <n v="489594"/>
    <n v="0"/>
    <n v="3274143.3808659106"/>
    <n v="4675664.0897112172"/>
    <n v="0"/>
    <n v="10543039.059046827"/>
    <n v="4956763.4950229554"/>
    <n v="0"/>
    <n v="5586275.5640238719"/>
    <n v="0"/>
    <n v="5586275.5640238719"/>
    <n v="4956763.4950229554"/>
    <n v="1635731.953357575"/>
    <n v="3841667.58"/>
    <n v="1267750.3013999998"/>
    <m/>
    <n v="0"/>
    <n v="10543039.059046827"/>
    <n v="3479202.8894854528"/>
    <n v="6701371.4790468272"/>
    <n v="2211452.588085453"/>
    <n v="2211452.588085453"/>
    <n v="3479202.8894854528"/>
    <n v="0"/>
    <n v="0"/>
    <n v="0"/>
    <n v="0"/>
    <n v="0"/>
    <n v="0"/>
    <n v="0"/>
    <n v="0"/>
    <n v="0"/>
    <n v="0"/>
    <n v="0"/>
    <n v="0"/>
    <n v="0"/>
    <n v="0"/>
    <n v="4956763.4950229554"/>
    <n v="1635731.95"/>
    <n v="1115095.9150229553"/>
    <n v="367981.64860000019"/>
    <n v="1029478.95"/>
    <n v="339728.05"/>
    <m/>
    <n v="3.4999999334104359E-3"/>
  </r>
  <r>
    <x v="0"/>
    <s v="Bell"/>
    <n v="-563692.52179380611"/>
    <n v="11149174.706168313"/>
    <n v="7373731.0371313477"/>
    <n v="3775443.6690369649"/>
    <n v="8223778.3705860069"/>
    <n v="3242200.13"/>
    <n v="30448.982756840996"/>
    <n v="8193329.3878291659"/>
    <n v="168698"/>
    <n v="0"/>
    <n v="0"/>
    <n v="0"/>
    <n v="0"/>
    <n v="168698"/>
    <n v="0"/>
    <n v="8362027.3878291659"/>
    <n v="3931370.43960843"/>
    <n v="0"/>
    <n v="4430656.9482207354"/>
    <n v="0"/>
    <n v="4430656.9482207354"/>
    <n v="3931370.43960843"/>
    <n v="1297352.2450707818"/>
    <n v="4979052.22"/>
    <n v="1643087.2325999998"/>
    <m/>
    <n v="0"/>
    <n v="8362027.3878291659"/>
    <n v="2759469.0379836243"/>
    <n v="3382975.1678291662"/>
    <n v="1116381.8053836245"/>
    <n v="1116381.8053836245"/>
    <n v="2759469.0379836243"/>
    <n v="0"/>
    <n v="0"/>
    <n v="0"/>
    <n v="0"/>
    <n v="0"/>
    <n v="0"/>
    <n v="0"/>
    <n v="0"/>
    <n v="0"/>
    <n v="0"/>
    <n v="0"/>
    <n v="0"/>
    <n v="0"/>
    <n v="0"/>
    <n v="3931370.43960843"/>
    <n v="1297352.24"/>
    <n v="-1047681.7803915697"/>
    <n v="-345734.99259999976"/>
    <n v="0"/>
    <n v="0"/>
    <m/>
    <n v="0"/>
  </r>
  <r>
    <x v="9"/>
    <s v="Gaines"/>
    <n v="876529.2681169922"/>
    <n v="3072105.5562240705"/>
    <n v="1094169.9197769982"/>
    <n v="1977935.6364470723"/>
    <n v="1218926.2292497919"/>
    <n v="1253498.83"/>
    <n v="0"/>
    <n v="1218926.2292497919"/>
    <n v="0"/>
    <n v="0"/>
    <n v="0"/>
    <n v="0"/>
    <n v="0"/>
    <n v="0"/>
    <n v="0"/>
    <n v="1218926.2292497919"/>
    <n v="1137789.0445737368"/>
    <n v="0"/>
    <n v="81137.184676055098"/>
    <n v="0"/>
    <n v="81137.184676055098"/>
    <n v="1137789.0445737368"/>
    <n v="375470.38470933313"/>
    <n v="201354.5"/>
    <n v="66446.984999999986"/>
    <m/>
    <n v="0"/>
    <n v="1218926.2292497919"/>
    <n v="402245.65565243131"/>
    <n v="1017571.7292497919"/>
    <n v="335798.67065243132"/>
    <n v="335798.67065243132"/>
    <n v="402245.65565243131"/>
    <n v="0"/>
    <n v="0"/>
    <n v="0"/>
    <n v="0"/>
    <n v="0"/>
    <n v="0"/>
    <n v="0"/>
    <n v="0"/>
    <n v="0"/>
    <n v="0"/>
    <n v="0"/>
    <n v="0"/>
    <n v="0"/>
    <n v="0"/>
    <n v="1137789.0445737368"/>
    <n v="375470.38"/>
    <n v="936434.54457373684"/>
    <n v="309023.39500000002"/>
    <n v="864535.18"/>
    <n v="285296.59999999998"/>
    <m/>
    <n v="9.399999980814755E-3"/>
  </r>
  <r>
    <x v="9"/>
    <s v="Moore"/>
    <n v="281004.89131545596"/>
    <n v="1777094.7799778571"/>
    <n v="813681.06382097921"/>
    <n v="963413.71615687793"/>
    <n v="1863859.7487155967"/>
    <n v="1175781.3799999999"/>
    <n v="0"/>
    <n v="1863859.7487155967"/>
    <n v="0"/>
    <n v="0"/>
    <n v="0"/>
    <n v="0"/>
    <n v="0"/>
    <n v="0"/>
    <n v="0"/>
    <n v="1863859.7487155967"/>
    <n v="1739792.9028205185"/>
    <n v="0"/>
    <n v="124066.84589507827"/>
    <n v="0"/>
    <n v="124066.84589507827"/>
    <n v="1739792.9028205185"/>
    <n v="574131.65793077101"/>
    <n v="857261.35"/>
    <n v="282896.24549999996"/>
    <m/>
    <n v="0"/>
    <n v="1863859.7487155967"/>
    <n v="615073.71707614686"/>
    <n v="1006598.3987155968"/>
    <n v="332177.4715761469"/>
    <n v="332177.4715761469"/>
    <n v="615073.71707614686"/>
    <n v="0"/>
    <n v="0"/>
    <n v="0"/>
    <n v="0"/>
    <n v="0"/>
    <n v="0"/>
    <n v="0"/>
    <n v="0"/>
    <n v="0"/>
    <n v="0"/>
    <n v="0"/>
    <n v="0"/>
    <n v="0"/>
    <n v="0"/>
    <n v="1739792.9028205185"/>
    <n v="574131.65"/>
    <n v="882531.5528205185"/>
    <n v="291235.40450000006"/>
    <n v="814770.86"/>
    <n v="268874.37"/>
    <m/>
    <n v="1.3799999956972897E-2"/>
  </r>
  <r>
    <x v="9"/>
    <s v="Clay"/>
    <n v="297104.96699735045"/>
    <n v="0"/>
    <n v="0"/>
    <n v="0"/>
    <n v="408818.61654108157"/>
    <n v="0"/>
    <n v="0"/>
    <n v="408818.61654108157"/>
    <n v="0"/>
    <n v="0"/>
    <n v="0"/>
    <n v="0"/>
    <n v="232722"/>
    <n v="232722"/>
    <n v="0"/>
    <n v="641540.61654108157"/>
    <n v="598836.8021244203"/>
    <n v="0"/>
    <n v="42703.814416661276"/>
    <n v="0"/>
    <n v="42703.814416661276"/>
    <n v="598836.8021244203"/>
    <n v="197616.14470105869"/>
    <n v="319136.89"/>
    <n v="105315.17369999998"/>
    <m/>
    <n v="0"/>
    <n v="641540.61654108157"/>
    <n v="211708.40345855689"/>
    <n v="322403.72654108156"/>
    <n v="106393.2297585569"/>
    <n v="106393.2297585569"/>
    <n v="211708.40345855689"/>
    <n v="0"/>
    <n v="0"/>
    <n v="0"/>
    <n v="0"/>
    <n v="0"/>
    <n v="0"/>
    <n v="0"/>
    <n v="0"/>
    <n v="0"/>
    <n v="0"/>
    <n v="0"/>
    <n v="0"/>
    <n v="0"/>
    <n v="0"/>
    <n v="598836.8021244203"/>
    <n v="197616.14"/>
    <n v="279699.91212442028"/>
    <n v="92300.966300000029"/>
    <n v="258224.58"/>
    <n v="85214.11"/>
    <m/>
    <n v="1.3999999791849405E-3"/>
  </r>
  <r>
    <x v="4"/>
    <s v="Kaufman"/>
    <n v="263667.92349864985"/>
    <n v="4772843.6164979683"/>
    <n v="4016423.2996455678"/>
    <n v="756420.31685240055"/>
    <n v="5430158.7234047996"/>
    <n v="0"/>
    <n v="0"/>
    <n v="5430158.7234047996"/>
    <n v="0"/>
    <n v="0"/>
    <n v="0"/>
    <n v="0"/>
    <n v="0"/>
    <n v="0"/>
    <n v="0"/>
    <n v="5430158.7234047996"/>
    <n v="2552965.2675674316"/>
    <n v="0"/>
    <n v="2877193.455837368"/>
    <n v="0"/>
    <n v="2877193.455837368"/>
    <n v="2552965.2675674316"/>
    <n v="842478.53829725226"/>
    <n v="2611382.69"/>
    <n v="861756.28769999987"/>
    <m/>
    <n v="0"/>
    <n v="5430158.7234047996"/>
    <n v="1791952.3787235836"/>
    <n v="2818776.0334047996"/>
    <n v="930196.09102358378"/>
    <n v="930196.09102358378"/>
    <n v="1791952.3787235836"/>
    <n v="0"/>
    <n v="0"/>
    <n v="0"/>
    <n v="0"/>
    <n v="0"/>
    <n v="0"/>
    <n v="0"/>
    <n v="0"/>
    <n v="0"/>
    <n v="0"/>
    <n v="0"/>
    <n v="0"/>
    <n v="0"/>
    <n v="0"/>
    <n v="2552965.2675674316"/>
    <n v="842478.53"/>
    <n v="-58417.42243256839"/>
    <n v="-19277.757699999842"/>
    <n v="0"/>
    <n v="0"/>
    <m/>
    <n v="0"/>
  </r>
  <r>
    <x v="12"/>
    <s v="Crosby"/>
    <n v="872733.82530951663"/>
    <n v="0"/>
    <n v="0"/>
    <n v="0"/>
    <n v="508090.19723965437"/>
    <n v="0"/>
    <n v="0"/>
    <n v="508090.19723965437"/>
    <n v="0"/>
    <n v="0"/>
    <n v="0"/>
    <n v="0"/>
    <n v="0"/>
    <n v="0"/>
    <n v="0"/>
    <n v="508090.19723965437"/>
    <n v="474269.43994009279"/>
    <n v="0"/>
    <n v="33820.757299561577"/>
    <n v="0"/>
    <n v="33820.757299561577"/>
    <n v="474269.43994009279"/>
    <n v="156508.9151802306"/>
    <n v="113886.76"/>
    <n v="37582.630799999992"/>
    <m/>
    <n v="0"/>
    <n v="508090.19723965437"/>
    <n v="167669.76508908594"/>
    <n v="394203.43723965436"/>
    <n v="130087.13428908595"/>
    <n v="130087.13428908595"/>
    <n v="167669.76508908594"/>
    <n v="0"/>
    <n v="0"/>
    <n v="0"/>
    <n v="0"/>
    <n v="0"/>
    <n v="0"/>
    <n v="0"/>
    <n v="0"/>
    <n v="0"/>
    <n v="0"/>
    <n v="0"/>
    <n v="0"/>
    <n v="0"/>
    <n v="0"/>
    <n v="474269.43994009279"/>
    <n v="156508.91"/>
    <n v="360382.67994009278"/>
    <n v="118926.27920000002"/>
    <n v="332712.53000000003"/>
    <n v="109795.13"/>
    <m/>
    <n v="4.8999999853549525E-3"/>
  </r>
  <r>
    <x v="10"/>
    <s v="Jefferson"/>
    <n v="3417036.9369813995"/>
    <n v="27591987.456804808"/>
    <n v="21071592.261157587"/>
    <n v="6520395.1956472211"/>
    <n v="30147737.261680096"/>
    <n v="7995960.6500000004"/>
    <n v="0"/>
    <n v="30147737.261680096"/>
    <n v="1618437"/>
    <n v="0"/>
    <n v="0"/>
    <n v="0"/>
    <n v="13301321.26944848"/>
    <n v="14919758.26944848"/>
    <n v="0"/>
    <n v="45067495.531128578"/>
    <n v="21188285.029554319"/>
    <n v="0"/>
    <n v="23879210.501574259"/>
    <n v="0"/>
    <n v="23879210.501574259"/>
    <n v="21188285.029554319"/>
    <n v="6992134.0597529244"/>
    <n v="18502892.280000001"/>
    <n v="6105954.4523999998"/>
    <m/>
    <n v="0"/>
    <n v="45067495.531128578"/>
    <n v="14872273.525272429"/>
    <n v="26564603.251128577"/>
    <n v="8766319.0728724301"/>
    <n v="8766319.0728724301"/>
    <n v="14872273.525272429"/>
    <n v="0"/>
    <n v="0"/>
    <n v="0"/>
    <n v="0"/>
    <n v="0"/>
    <n v="0"/>
    <n v="0"/>
    <n v="0"/>
    <n v="0"/>
    <n v="0"/>
    <n v="0"/>
    <n v="0"/>
    <n v="0"/>
    <n v="0"/>
    <n v="21188285.029554319"/>
    <n v="6992134.0499999998"/>
    <n v="2685392.7495543174"/>
    <n v="886179.59759999998"/>
    <n v="2479208.52"/>
    <n v="818138.8"/>
    <m/>
    <n v="1.1599999852478504E-2"/>
  </r>
  <r>
    <x v="7"/>
    <s v="Burnet"/>
    <n v="899418.00868971529"/>
    <n v="6245121.8808004772"/>
    <n v="4374451.2402198268"/>
    <n v="1870670.6405806504"/>
    <n v="5068347.1696080389"/>
    <n v="0"/>
    <n v="0"/>
    <n v="5068347.1696080389"/>
    <n v="62707"/>
    <n v="0"/>
    <n v="0"/>
    <n v="0"/>
    <n v="1571080"/>
    <n v="1633787"/>
    <n v="0"/>
    <n v="6702134.1696080389"/>
    <n v="6256010.1263360595"/>
    <n v="0"/>
    <n v="446124.04327197932"/>
    <n v="0"/>
    <n v="446124.04327197932"/>
    <n v="6256010.1263360595"/>
    <n v="2064483.3416908993"/>
    <n v="2366487.5099999998"/>
    <n v="780940.87829999987"/>
    <m/>
    <n v="0"/>
    <n v="6702134.1696080389"/>
    <n v="2211704.2759706527"/>
    <n v="4335646.6596080391"/>
    <n v="1430763.3976706527"/>
    <n v="1430763.3976706527"/>
    <n v="2211704.2759706527"/>
    <n v="0"/>
    <n v="0"/>
    <n v="0"/>
    <n v="0"/>
    <n v="0"/>
    <n v="0"/>
    <n v="0"/>
    <n v="0"/>
    <n v="0"/>
    <n v="0"/>
    <n v="0"/>
    <n v="0"/>
    <n v="0"/>
    <n v="0"/>
    <n v="6256010.1263360595"/>
    <n v="2064483.34"/>
    <n v="3889522.6163360598"/>
    <n v="1283542.4617000003"/>
    <n v="3590885.4"/>
    <n v="1184992.18"/>
    <m/>
    <n v="1.999999862164259E-3"/>
  </r>
  <r>
    <x v="9"/>
    <s v="Cochran"/>
    <n v="456703.88112832"/>
    <n v="0"/>
    <n v="0"/>
    <n v="0"/>
    <n v="0"/>
    <n v="0"/>
    <n v="0"/>
    <n v="0"/>
    <n v="0"/>
    <n v="0"/>
    <n v="0"/>
    <n v="0"/>
    <n v="59306"/>
    <n v="59306"/>
    <n v="0"/>
    <n v="59306"/>
    <n v="55358.327237752783"/>
    <n v="0"/>
    <n v="3947.6727622472172"/>
    <n v="0"/>
    <n v="3947.6727622472172"/>
    <n v="55358.327237752783"/>
    <n v="18268.247988458417"/>
    <n v="161505.17000000001"/>
    <n v="53296.706099999996"/>
    <m/>
    <n v="0"/>
    <n v="59306"/>
    <n v="19570.979999999996"/>
    <n v="-102199.17000000001"/>
    <n v="-33725.7261"/>
    <n v="-33725.7261"/>
    <n v="19570.979999999996"/>
    <n v="0"/>
    <n v="0"/>
    <n v="0"/>
    <n v="0"/>
    <n v="0"/>
    <n v="0"/>
    <n v="0"/>
    <n v="0"/>
    <n v="0"/>
    <n v="0"/>
    <n v="0"/>
    <n v="0"/>
    <n v="0"/>
    <n v="0"/>
    <n v="55358.327237752783"/>
    <n v="18268.240000000002"/>
    <n v="-106146.84276224722"/>
    <n v="-35028.466099999991"/>
    <n v="0"/>
    <n v="0"/>
    <m/>
    <n v="0"/>
  </r>
  <r>
    <x v="7"/>
    <s v="Caldwell"/>
    <n v="1898290.9197763838"/>
    <n v="4219077.1617358606"/>
    <n v="3380401.4289497091"/>
    <n v="838675.73278615158"/>
    <n v="4139698.3617896703"/>
    <n v="0"/>
    <n v="0"/>
    <n v="4139698.3617896703"/>
    <n v="16881"/>
    <n v="0"/>
    <n v="0"/>
    <n v="0"/>
    <n v="629808"/>
    <n v="646689"/>
    <n v="0"/>
    <n v="4786387.3617896698"/>
    <n v="4467783.9992681472"/>
    <n v="0"/>
    <n v="318603.36252152268"/>
    <n v="0"/>
    <n v="318603.36252152268"/>
    <n v="4467783.9992681472"/>
    <n v="1474368.7197584885"/>
    <n v="1828313.81"/>
    <n v="603343.55729999999"/>
    <m/>
    <n v="0"/>
    <n v="4786387.3617896698"/>
    <n v="1579507.8293905908"/>
    <n v="2958073.5517896698"/>
    <n v="976164.27209059079"/>
    <n v="976164.27209059079"/>
    <n v="1579507.8293905908"/>
    <n v="0"/>
    <n v="0"/>
    <n v="0"/>
    <n v="0"/>
    <n v="0"/>
    <n v="0"/>
    <n v="0"/>
    <n v="0"/>
    <n v="0"/>
    <n v="0"/>
    <n v="0"/>
    <n v="0"/>
    <n v="0"/>
    <n v="0"/>
    <n v="4467783.9992681472"/>
    <n v="1474368.71"/>
    <n v="2639470.1892681471"/>
    <n v="871025.15269999998"/>
    <n v="2436811.89"/>
    <n v="804147.91"/>
    <m/>
    <n v="1.3699999894015491E-2"/>
  </r>
  <r>
    <x v="3"/>
    <s v="Bexar"/>
    <n v="-40350097.033482544"/>
    <n v="118237480.00115646"/>
    <n v="72724632.945551768"/>
    <n v="45512847.055604696"/>
    <n v="145217826.19331637"/>
    <n v="44704532.409999996"/>
    <n v="39541782.387877852"/>
    <n v="105676043.80543852"/>
    <n v="2664708"/>
    <n v="0"/>
    <n v="0"/>
    <n v="0"/>
    <n v="26769608.227870271"/>
    <n v="29434316.227870271"/>
    <n v="0"/>
    <n v="135110360.0333088"/>
    <n v="63521542.191181131"/>
    <n v="0"/>
    <n v="71588817.842127681"/>
    <n v="0"/>
    <n v="71588817.842127681"/>
    <n v="63521542.191181131"/>
    <n v="20962108.923089769"/>
    <n v="56345972.350000001"/>
    <n v="18594170.875499997"/>
    <m/>
    <n v="0"/>
    <n v="135110360.0333088"/>
    <n v="44586418.810991898"/>
    <n v="78764387.68330881"/>
    <n v="25992247.935491901"/>
    <n v="25992247.935491901"/>
    <n v="44586418.810991898"/>
    <n v="0"/>
    <n v="0"/>
    <n v="0"/>
    <n v="0"/>
    <n v="0"/>
    <n v="0"/>
    <n v="0"/>
    <n v="0"/>
    <n v="0"/>
    <n v="0"/>
    <n v="0"/>
    <n v="0"/>
    <n v="0"/>
    <n v="0"/>
    <n v="63521542.191181131"/>
    <n v="20962108.920000002"/>
    <n v="7175569.8411811292"/>
    <n v="2367938.0445000045"/>
    <n v="6624630.2000000002"/>
    <n v="2186127.96"/>
    <m/>
    <n v="6.0000000521540642E-3"/>
  </r>
  <r>
    <x v="7"/>
    <s v="Travis"/>
    <n v="-7172959.2371133193"/>
    <n v="30100598.007549204"/>
    <n v="25478451.128753431"/>
    <n v="4622146.8787957728"/>
    <n v="32008078.387545537"/>
    <n v="13850742.32"/>
    <n v="13850742.32"/>
    <n v="18157336.067545537"/>
    <n v="681087"/>
    <n v="0"/>
    <n v="0"/>
    <n v="0"/>
    <n v="8820453.2541296612"/>
    <n v="9501540.2541296612"/>
    <n v="0"/>
    <n v="27658876.321675196"/>
    <n v="13003699.189276189"/>
    <n v="0"/>
    <n v="14655177.132399008"/>
    <n v="0"/>
    <n v="14655177.132399008"/>
    <n v="13003699.189276189"/>
    <n v="4291220.7324611414"/>
    <n v="14657198.960000001"/>
    <n v="4836875.6568"/>
    <m/>
    <n v="0"/>
    <n v="27658876.321675196"/>
    <n v="9127429.186152814"/>
    <n v="13001677.361675195"/>
    <n v="4290553.529352814"/>
    <n v="4290553.529352814"/>
    <n v="9127429.186152814"/>
    <n v="0"/>
    <n v="0"/>
    <n v="0"/>
    <n v="0"/>
    <n v="0"/>
    <n v="0"/>
    <n v="0"/>
    <n v="0"/>
    <n v="0"/>
    <n v="0"/>
    <n v="0"/>
    <n v="0"/>
    <n v="0"/>
    <n v="0"/>
    <n v="13003699.189276189"/>
    <n v="4291220.7300000004"/>
    <n v="-1653499.7707238123"/>
    <n v="-545654.92679999955"/>
    <n v="0"/>
    <n v="0"/>
    <m/>
    <n v="0"/>
  </r>
  <r>
    <x v="8"/>
    <s v="Angelina"/>
    <n v="-5501631.748537343"/>
    <n v="4944521.3494662847"/>
    <n v="2957176.7901779711"/>
    <n v="1987344.5592883136"/>
    <n v="4059665.3204570622"/>
    <n v="0"/>
    <n v="0"/>
    <n v="4059665.3204570622"/>
    <n v="522687"/>
    <n v="0"/>
    <n v="136637"/>
    <n v="0"/>
    <n v="1024936.8410294619"/>
    <n v="1684260.8410294619"/>
    <n v="0"/>
    <n v="5743926.1614865242"/>
    <n v="5361584.7313435441"/>
    <n v="0"/>
    <n v="382341.43014298007"/>
    <n v="0"/>
    <n v="382341.43014298007"/>
    <n v="5361584.7313435441"/>
    <n v="1769322.9613433694"/>
    <n v="1240938.3799999999"/>
    <n v="409509.66539999994"/>
    <m/>
    <n v="0"/>
    <n v="5743926.1614865242"/>
    <n v="1895495.6332905528"/>
    <n v="4502987.7814865243"/>
    <n v="1485985.9678905527"/>
    <n v="1485985.9678905527"/>
    <n v="1895495.6332905525"/>
    <n v="0"/>
    <n v="0"/>
    <n v="0"/>
    <n v="0"/>
    <n v="0"/>
    <n v="0"/>
    <n v="0"/>
    <n v="0"/>
    <n v="0"/>
    <n v="0"/>
    <n v="0"/>
    <n v="0"/>
    <n v="0"/>
    <n v="0"/>
    <n v="5361584.7313435441"/>
    <n v="1769322.96"/>
    <n v="4120646.3513435442"/>
    <n v="1359813.2946000001"/>
    <n v="3804263.48"/>
    <n v="1255406.94"/>
    <m/>
    <n v="8.3999999333173037E-3"/>
  </r>
  <r>
    <x v="9"/>
    <s v="Upton"/>
    <n v="396502.43849735678"/>
    <n v="0"/>
    <n v="0"/>
    <n v="0"/>
    <n v="1224072.2883234047"/>
    <n v="0"/>
    <n v="0"/>
    <n v="1224072.2883234047"/>
    <n v="0"/>
    <n v="0"/>
    <n v="0"/>
    <n v="0"/>
    <n v="0"/>
    <n v="0"/>
    <n v="0"/>
    <n v="1224072.2883234047"/>
    <n v="1142592.5589261106"/>
    <n v="0"/>
    <n v="81479.729397294112"/>
    <n v="0"/>
    <n v="81479.729397294112"/>
    <n v="1142592.5589261106"/>
    <n v="377055.54444561648"/>
    <n v="571150.93000000005"/>
    <n v="188479.8069"/>
    <m/>
    <n v="0"/>
    <n v="1224072.2883234047"/>
    <n v="403943.85514672351"/>
    <n v="652921.35832340468"/>
    <n v="215464.04824672351"/>
    <n v="215464.04824672351"/>
    <n v="403943.85514672351"/>
    <n v="0"/>
    <n v="0"/>
    <n v="0"/>
    <n v="0"/>
    <n v="0"/>
    <n v="0"/>
    <n v="0"/>
    <n v="0"/>
    <n v="0"/>
    <n v="0"/>
    <n v="0"/>
    <n v="0"/>
    <n v="0"/>
    <n v="0"/>
    <n v="1142592.5589261106"/>
    <n v="377055.54"/>
    <n v="571441.62892611057"/>
    <n v="188575.73309999998"/>
    <n v="527566.39"/>
    <n v="174096.9"/>
    <m/>
    <n v="8.6999999766703695E-3"/>
  </r>
  <r>
    <x v="6"/>
    <s v="Hood"/>
    <n v="-7173732.7450455306"/>
    <n v="6699453.1172150746"/>
    <n v="4395050.0027811332"/>
    <n v="2304403.1144339414"/>
    <n v="5107787.7854169598"/>
    <n v="0"/>
    <n v="0"/>
    <n v="5107787.7854169598"/>
    <n v="2108786"/>
    <n v="0"/>
    <n v="707075"/>
    <n v="0"/>
    <n v="2343590.8958777934"/>
    <n v="5159451.8958777934"/>
    <n v="0"/>
    <n v="10267239.681294754"/>
    <n v="9583806.2608430106"/>
    <n v="0"/>
    <n v="683433.42045174353"/>
    <n v="0"/>
    <n v="683433.42045174353"/>
    <n v="9583806.2608430106"/>
    <n v="3162656.066078193"/>
    <n v="3359413.56"/>
    <n v="1108606.4748"/>
    <m/>
    <n v="0"/>
    <n v="10267239.681294754"/>
    <n v="3388189.0948272683"/>
    <n v="6907826.1212947536"/>
    <n v="2279582.6200272683"/>
    <n v="2279582.6200272683"/>
    <n v="3388189.0948272683"/>
    <n v="0"/>
    <n v="0"/>
    <n v="0"/>
    <n v="0"/>
    <n v="0"/>
    <n v="0"/>
    <n v="0"/>
    <n v="0"/>
    <n v="0"/>
    <n v="0"/>
    <n v="0"/>
    <n v="0"/>
    <n v="0"/>
    <n v="0"/>
    <n v="9583806.2608430106"/>
    <n v="3162656.06"/>
    <n v="6224392.7008430101"/>
    <n v="2054049.5852000001"/>
    <n v="5746484.3600000003"/>
    <n v="1896339.83"/>
    <m/>
    <n v="8.7999997194856405E-3"/>
  </r>
  <r>
    <x v="12"/>
    <s v="Lynn"/>
    <n v="327238.12223280646"/>
    <n v="0"/>
    <n v="0"/>
    <n v="0"/>
    <n v="575619.64113776642"/>
    <n v="0"/>
    <n v="0"/>
    <n v="575619.64113776642"/>
    <n v="0"/>
    <n v="0"/>
    <n v="0"/>
    <n v="0"/>
    <n v="0"/>
    <n v="0"/>
    <n v="0"/>
    <n v="575619.64113776642"/>
    <n v="537303.82184909272"/>
    <n v="0"/>
    <n v="38315.819288673694"/>
    <n v="0"/>
    <n v="38315.819288673694"/>
    <n v="537303.82184909272"/>
    <n v="177310.26121020058"/>
    <n v="158640.29999999999"/>
    <n v="52351.298999999992"/>
    <m/>
    <n v="0"/>
    <n v="575619.64113776642"/>
    <n v="189954.48157546291"/>
    <n v="416979.34113776643"/>
    <n v="137603.18257546291"/>
    <n v="137603.18257546291"/>
    <n v="189954.48157546291"/>
    <n v="0"/>
    <n v="0"/>
    <n v="0"/>
    <n v="0"/>
    <n v="0"/>
    <n v="0"/>
    <n v="0"/>
    <n v="0"/>
    <n v="0"/>
    <n v="0"/>
    <n v="0"/>
    <n v="0"/>
    <n v="0"/>
    <n v="0"/>
    <n v="537303.82184909272"/>
    <n v="177310.26"/>
    <n v="378663.52184909274"/>
    <n v="124958.96100000001"/>
    <n v="349589.77"/>
    <n v="115364.62"/>
    <m/>
    <n v="4.0999999910127372E-3"/>
  </r>
  <r>
    <x v="5"/>
    <s v="Webb"/>
    <n v="358337.89332143479"/>
    <n v="14208557.065558534"/>
    <n v="6986220.8177904738"/>
    <n v="7222336.2477680603"/>
    <n v="9369683.6952667851"/>
    <n v="5007663.3599999994"/>
    <n v="0"/>
    <n v="9369683.6952667851"/>
    <n v="8086"/>
    <n v="0"/>
    <n v="0"/>
    <n v="0"/>
    <n v="754758.60491996468"/>
    <n v="762844.60491996468"/>
    <n v="0"/>
    <n v="10132528.30018675"/>
    <n v="4763763.6652361378"/>
    <n v="0"/>
    <n v="5368764.6349506117"/>
    <n v="0"/>
    <n v="5368764.6349506117"/>
    <n v="4763763.6652361378"/>
    <n v="1572042.0095279254"/>
    <n v="4756777.3099999996"/>
    <n v="1569736.5122999996"/>
    <m/>
    <n v="0"/>
    <n v="10132528.30018675"/>
    <n v="3343734.3390616272"/>
    <n v="5375750.99018675"/>
    <n v="1773997.8267616276"/>
    <n v="1773997.8267616276"/>
    <n v="3343734.3390616272"/>
    <n v="0"/>
    <n v="0"/>
    <n v="0"/>
    <n v="0"/>
    <n v="0"/>
    <n v="0"/>
    <n v="0"/>
    <n v="0"/>
    <n v="0"/>
    <n v="0"/>
    <n v="0"/>
    <n v="0"/>
    <n v="0"/>
    <n v="0"/>
    <n v="4763763.6652361378"/>
    <n v="1572042"/>
    <n v="6986.3552361382172"/>
    <n v="2305.4877000004053"/>
    <n v="6449.94"/>
    <n v="2128.4699999999998"/>
    <m/>
    <n v="1.0199999999713327E-2"/>
  </r>
  <r>
    <x v="2"/>
    <s v="Harris"/>
    <n v="-6817213.4754722444"/>
    <n v="22109293.047157876"/>
    <n v="18725442.166211031"/>
    <n v="3383850.8809468448"/>
    <n v="22148501.139335196"/>
    <n v="6879848.4099999992"/>
    <n v="6879848.4099999992"/>
    <n v="15268652.729335196"/>
    <n v="826699"/>
    <n v="0"/>
    <n v="0"/>
    <n v="0"/>
    <n v="1276058.9645193857"/>
    <n v="2102757.9645193857"/>
    <n v="0"/>
    <n v="17371410.693854582"/>
    <n v="8167092.4201370096"/>
    <n v="0"/>
    <n v="9204318.273717571"/>
    <n v="0"/>
    <n v="9204318.273717571"/>
    <n v="8167092.4201370096"/>
    <n v="2695140.498645213"/>
    <n v="8320974.4900000002"/>
    <n v="2745921.5816999995"/>
    <m/>
    <n v="0"/>
    <n v="17371410.693854582"/>
    <n v="5732565.5289720111"/>
    <n v="9050436.2038545813"/>
    <n v="2986643.9472720115"/>
    <n v="2986643.9472720115"/>
    <n v="5732565.5289720111"/>
    <n v="0"/>
    <n v="0"/>
    <n v="0"/>
    <n v="0"/>
    <n v="0"/>
    <n v="0"/>
    <n v="0"/>
    <n v="0"/>
    <n v="0"/>
    <n v="0"/>
    <n v="0"/>
    <n v="0"/>
    <n v="0"/>
    <n v="0"/>
    <n v="8167092.4201370096"/>
    <n v="2695140.49"/>
    <n v="-153882.06986299064"/>
    <n v="-50781.091699999291"/>
    <n v="0"/>
    <n v="0"/>
    <m/>
    <n v="0"/>
  </r>
  <r>
    <x v="6"/>
    <s v="Denton"/>
    <n v="-1935501.7694240264"/>
    <n v="0"/>
    <n v="0"/>
    <n v="0"/>
    <n v="14466673.102710707"/>
    <n v="0"/>
    <n v="0"/>
    <n v="14466673.102710707"/>
    <n v="257684"/>
    <n v="0"/>
    <n v="16539"/>
    <n v="0"/>
    <n v="1930906"/>
    <n v="2205129"/>
    <n v="0"/>
    <n v="16671802.102710707"/>
    <n v="7838174.5145914806"/>
    <n v="0"/>
    <n v="8833627.5881192274"/>
    <n v="0"/>
    <n v="8833627.5881192274"/>
    <n v="7838174.5145914806"/>
    <n v="2586597.5898151882"/>
    <n v="6927836.2300000004"/>
    <n v="2286185.9558999999"/>
    <m/>
    <n v="0"/>
    <n v="16671802.102710707"/>
    <n v="5501694.6938945325"/>
    <n v="9743965.8727107067"/>
    <n v="3215508.7379945326"/>
    <n v="3215508.7379945326"/>
    <n v="5501694.6938945325"/>
    <n v="0"/>
    <n v="0"/>
    <n v="0"/>
    <n v="0"/>
    <n v="0"/>
    <n v="0"/>
    <n v="0"/>
    <n v="0"/>
    <n v="0"/>
    <n v="0"/>
    <n v="0"/>
    <n v="0"/>
    <n v="0"/>
    <n v="0"/>
    <n v="7838174.5145914806"/>
    <n v="2586597.58"/>
    <n v="910338.28459148016"/>
    <n v="300411.62410000013"/>
    <n v="840442.59"/>
    <n v="277346.03999999998"/>
    <m/>
    <n v="1.4699999999720603E-2"/>
  </r>
  <r>
    <x v="6"/>
    <s v="Tarrant"/>
    <n v="-2323781.8528356226"/>
    <n v="0"/>
    <n v="0"/>
    <n v="0"/>
    <n v="14084700.241335841"/>
    <n v="0"/>
    <n v="0"/>
    <n v="14084700.241335841"/>
    <n v="211563"/>
    <n v="0"/>
    <n v="65926"/>
    <n v="0"/>
    <n v="1624102.2623106048"/>
    <n v="1901591.2623106048"/>
    <n v="0"/>
    <n v="15986291.503646446"/>
    <n v="7515884.7180856671"/>
    <n v="0"/>
    <n v="8470406.7855607793"/>
    <n v="0"/>
    <n v="8470406.7855607793"/>
    <n v="7515884.7180856671"/>
    <n v="2480241.9569682698"/>
    <n v="8572844"/>
    <n v="2829038.5199999996"/>
    <m/>
    <n v="0"/>
    <n v="15986291.503646446"/>
    <n v="5275476.1962033268"/>
    <n v="7413447.5036464464"/>
    <n v="2446437.6762033273"/>
    <n v="2446437.6762033273"/>
    <n v="5275476.1962033268"/>
    <n v="0"/>
    <n v="0"/>
    <n v="0"/>
    <n v="0"/>
    <n v="0"/>
    <n v="0"/>
    <n v="0"/>
    <n v="0"/>
    <n v="0"/>
    <n v="0"/>
    <n v="0"/>
    <n v="0"/>
    <n v="0"/>
    <n v="0"/>
    <n v="7515884.7180856671"/>
    <n v="2480241.9500000002"/>
    <n v="-1056959.2819143329"/>
    <n v="-348796.56999999937"/>
    <n v="0"/>
    <n v="0"/>
    <m/>
    <n v="0"/>
  </r>
  <r>
    <x v="4"/>
    <s v="Collin"/>
    <n v="-854809.21258862037"/>
    <n v="23538231.710062791"/>
    <n v="16491702.930372454"/>
    <n v="7046528.7796903364"/>
    <n v="21760942.039694771"/>
    <n v="0"/>
    <n v="0"/>
    <n v="21760942.039694771"/>
    <n v="0"/>
    <n v="0"/>
    <n v="0"/>
    <n v="0"/>
    <n v="0"/>
    <n v="0"/>
    <n v="0"/>
    <n v="21760942.039694771"/>
    <n v="10230811.297916329"/>
    <n v="0"/>
    <n v="11530130.741778443"/>
    <n v="0"/>
    <n v="11530130.741778443"/>
    <n v="10230811.297916329"/>
    <n v="3376167.7283123881"/>
    <n v="10603085.210000001"/>
    <n v="3499018.1192999999"/>
    <m/>
    <n v="0"/>
    <n v="21760942.039694771"/>
    <n v="7181110.873099274"/>
    <n v="11157856.82969477"/>
    <n v="3682092.7537992741"/>
    <n v="3682092.7537992741"/>
    <n v="7181110.873099274"/>
    <n v="0"/>
    <n v="0"/>
    <n v="0"/>
    <n v="0"/>
    <n v="0"/>
    <n v="0"/>
    <n v="0"/>
    <n v="0"/>
    <n v="0"/>
    <n v="0"/>
    <n v="0"/>
    <n v="0"/>
    <n v="0"/>
    <n v="0"/>
    <n v="10230811.297916329"/>
    <n v="3376167.72"/>
    <n v="-372273.91208367236"/>
    <n v="-122850.3992999997"/>
    <n v="0"/>
    <n v="0"/>
    <m/>
    <n v="0"/>
  </r>
  <r>
    <x v="7"/>
    <s v="Travis"/>
    <n v="-15315238.900403155"/>
    <n v="24635701.881288044"/>
    <n v="19025837.666412886"/>
    <n v="5609864.2148751579"/>
    <n v="28121809.630385801"/>
    <n v="9119496.0500000007"/>
    <n v="9119496.0500000007"/>
    <n v="19002313.5803858"/>
    <n v="1013870"/>
    <n v="0"/>
    <n v="0"/>
    <n v="0"/>
    <n v="5284734.1691463506"/>
    <n v="6298604.1691463506"/>
    <n v="0"/>
    <n v="25300917.749532152"/>
    <n v="11895115.32576997"/>
    <n v="0"/>
    <n v="13405802.423762182"/>
    <n v="0"/>
    <n v="13405802.423762182"/>
    <n v="11895115.32576997"/>
    <n v="3925388.0575040895"/>
    <n v="9920678.2400000002"/>
    <n v="3273823.8191999998"/>
    <m/>
    <n v="0"/>
    <n v="25300917.749532152"/>
    <n v="8349302.857345609"/>
    <n v="15380239.509532152"/>
    <n v="5075479.0381456092"/>
    <n v="5075479.0381456092"/>
    <n v="8349302.857345609"/>
    <n v="0"/>
    <n v="0"/>
    <n v="0"/>
    <n v="0"/>
    <n v="0"/>
    <n v="0"/>
    <n v="0"/>
    <n v="0"/>
    <n v="0"/>
    <n v="0"/>
    <n v="0"/>
    <n v="0"/>
    <n v="0"/>
    <n v="0"/>
    <n v="11895115.32576997"/>
    <n v="3925388.05"/>
    <n v="1974437.08576997"/>
    <n v="651564.23080000002"/>
    <n v="1822839.98"/>
    <n v="601537.18000000005"/>
    <m/>
    <n v="1.3399999821558595E-2"/>
  </r>
  <r>
    <x v="2"/>
    <s v="Fort Bend"/>
    <n v="14995724.734622996"/>
    <n v="0"/>
    <n v="0"/>
    <n v="0"/>
    <n v="20772783.719894167"/>
    <n v="0"/>
    <n v="0"/>
    <n v="20772783.719894167"/>
    <n v="0"/>
    <n v="0"/>
    <n v="0"/>
    <n v="0"/>
    <n v="3068085.0912141092"/>
    <n v="3068085.0912141092"/>
    <n v="0"/>
    <n v="23840868.811108276"/>
    <n v="11208679.731782826"/>
    <n v="0"/>
    <n v="12632189.079325451"/>
    <n v="0"/>
    <n v="12632189.079325451"/>
    <n v="11208679.731782826"/>
    <n v="3698864.3114883322"/>
    <n v="9117069.2699999996"/>
    <n v="3008632.8590999995"/>
    <m/>
    <n v="0"/>
    <n v="23840868.811108276"/>
    <n v="7867486.7076657303"/>
    <n v="14723799.541108277"/>
    <n v="4858853.8485657312"/>
    <n v="4858853.8485657312"/>
    <n v="7867486.7076657303"/>
    <n v="0"/>
    <n v="0"/>
    <n v="0"/>
    <n v="0"/>
    <n v="0"/>
    <n v="0"/>
    <n v="0"/>
    <n v="0"/>
    <n v="0"/>
    <n v="0"/>
    <n v="0"/>
    <n v="0"/>
    <n v="0"/>
    <n v="0"/>
    <n v="11208679.731782826"/>
    <n v="3698864.31"/>
    <n v="2091610.4617828261"/>
    <n v="690231.45090000052"/>
    <n v="1931016.79"/>
    <n v="637235.54"/>
    <m/>
    <n v="6.9999985862523317E-4"/>
  </r>
  <r>
    <x v="1"/>
    <s v="Jim Wells"/>
    <n v="1170014.9930796544"/>
    <n v="8927833.7682614904"/>
    <n v="5123593.8279685378"/>
    <n v="3804239.9402929526"/>
    <n v="8130401.9737181701"/>
    <n v="1080453.47"/>
    <n v="0"/>
    <n v="8130401.9737181701"/>
    <n v="175455"/>
    <n v="0"/>
    <n v="4214"/>
    <n v="0"/>
    <n v="1098500.6189323624"/>
    <n v="1278169.6189323624"/>
    <n v="0"/>
    <n v="9408571.5926505327"/>
    <n v="8782294.9628329854"/>
    <n v="0"/>
    <n v="626276.62981754728"/>
    <n v="0"/>
    <n v="626276.62981754728"/>
    <n v="8782294.9628329854"/>
    <n v="2898157.337734885"/>
    <n v="4117729.14"/>
    <n v="1358850.6161999998"/>
    <m/>
    <n v="0"/>
    <n v="9408571.5926505327"/>
    <n v="3104828.6255746754"/>
    <n v="5290842.4526505321"/>
    <n v="1745978.0093746756"/>
    <n v="1745978.0093746756"/>
    <n v="3104828.6255746754"/>
    <n v="0"/>
    <n v="0"/>
    <n v="0"/>
    <n v="0"/>
    <n v="0"/>
    <n v="0"/>
    <n v="0"/>
    <n v="0"/>
    <n v="0"/>
    <n v="0"/>
    <n v="0"/>
    <n v="0"/>
    <n v="0"/>
    <n v="0"/>
    <n v="8782294.9628329854"/>
    <n v="2898157.33"/>
    <n v="4664565.8228329848"/>
    <n v="1539306.7138000003"/>
    <n v="4306420.8600000003"/>
    <n v="1421118.87"/>
    <m/>
    <n v="1.3799999840557575E-2"/>
  </r>
  <r>
    <x v="9"/>
    <s v="Brewster"/>
    <n v="512903.1318295807"/>
    <n v="2145499.4465063522"/>
    <n v="954717.50516083196"/>
    <n v="1190781.9413455203"/>
    <n v="2059947.2757760512"/>
    <n v="240219.78999999998"/>
    <n v="0"/>
    <n v="2059947.2757760512"/>
    <n v="0"/>
    <n v="0"/>
    <n v="0"/>
    <n v="0"/>
    <n v="0"/>
    <n v="0"/>
    <n v="0"/>
    <n v="2059947.2757760512"/>
    <n v="1922827.9665620343"/>
    <n v="0"/>
    <n v="137119.30921401689"/>
    <n v="0"/>
    <n v="137119.30921401689"/>
    <n v="1922827.9665620343"/>
    <n v="634533.22896547127"/>
    <n v="715712.78"/>
    <n v="236185.21739999999"/>
    <m/>
    <n v="0"/>
    <n v="2059947.2757760512"/>
    <n v="679782.60100609681"/>
    <n v="1344234.4957760512"/>
    <n v="443597.38360609685"/>
    <n v="443597.38360609685"/>
    <n v="679782.60100609681"/>
    <n v="0"/>
    <n v="0"/>
    <n v="0"/>
    <n v="0"/>
    <n v="0"/>
    <n v="0"/>
    <n v="0"/>
    <n v="0"/>
    <n v="0"/>
    <n v="0"/>
    <n v="0"/>
    <n v="0"/>
    <n v="0"/>
    <n v="0"/>
    <n v="1922827.9665620343"/>
    <n v="634533.22"/>
    <n v="1207115.1865620343"/>
    <n v="398348.00260000001"/>
    <n v="1114432.99"/>
    <n v="367762.88"/>
    <m/>
    <n v="6.6999999689869583E-3"/>
  </r>
  <r>
    <x v="8"/>
    <s v="Bowie"/>
    <n v="78572.440474572795"/>
    <n v="0"/>
    <n v="0"/>
    <n v="0"/>
    <n v="997817.75002918404"/>
    <n v="0"/>
    <n v="0"/>
    <n v="997817.75002918404"/>
    <n v="0"/>
    <n v="0"/>
    <n v="0"/>
    <n v="0"/>
    <n v="0"/>
    <n v="0"/>
    <n v="0"/>
    <n v="997817.75002918404"/>
    <n v="469119.63147727848"/>
    <n v="0"/>
    <n v="528698.1185519055"/>
    <n v="0"/>
    <n v="528698.1185519055"/>
    <n v="469119.63147727848"/>
    <n v="154809.47838750188"/>
    <n v="0"/>
    <n v="0"/>
    <m/>
    <n v="0"/>
    <n v="997817.75002918404"/>
    <n v="329279.85750963067"/>
    <n v="997817.75002918404"/>
    <n v="329279.85750963067"/>
    <n v="329279.85750963067"/>
    <n v="329279.85750963067"/>
    <n v="0"/>
    <n v="0"/>
    <n v="0"/>
    <n v="0"/>
    <n v="0"/>
    <n v="0"/>
    <n v="0"/>
    <n v="0"/>
    <n v="0"/>
    <n v="0"/>
    <n v="0"/>
    <n v="0"/>
    <n v="0"/>
    <n v="0"/>
    <n v="469119.63147727848"/>
    <n v="154809.47"/>
    <n v="469119.63147727848"/>
    <n v="154809.47"/>
    <n v="433100.67"/>
    <n v="142923.21"/>
    <m/>
    <n v="1.1099999974248931E-2"/>
  </r>
  <r>
    <x v="7"/>
    <s v="Travis"/>
    <n v="74925.893444005356"/>
    <n v="669859.53667268879"/>
    <n v="67158.501163324676"/>
    <n v="602701.0355093641"/>
    <n v="90051.435402905612"/>
    <n v="0"/>
    <n v="0"/>
    <n v="90051.435402905612"/>
    <n v="0"/>
    <n v="0"/>
    <n v="0"/>
    <n v="0"/>
    <n v="9331"/>
    <n v="9331"/>
    <n v="0"/>
    <n v="99382.435402905612"/>
    <n v="46724.215389194978"/>
    <n v="0"/>
    <n v="52658.220013710634"/>
    <n v="0"/>
    <n v="52658.220013710634"/>
    <n v="46724.215389194978"/>
    <n v="15418.991078434341"/>
    <n v="31312.17"/>
    <n v="10333.016099999999"/>
    <m/>
    <n v="0"/>
    <n v="99382.435402905612"/>
    <n v="32796.203682958847"/>
    <n v="68070.265402905614"/>
    <n v="22463.187582958846"/>
    <n v="22463.187582958846"/>
    <n v="32796.203682958847"/>
    <n v="0"/>
    <n v="0"/>
    <n v="0"/>
    <n v="0"/>
    <n v="0"/>
    <n v="0"/>
    <n v="0"/>
    <n v="0"/>
    <n v="0"/>
    <n v="0"/>
    <n v="0"/>
    <n v="0"/>
    <n v="0"/>
    <n v="0"/>
    <n v="46724.215389194978"/>
    <n v="15418.99"/>
    <n v="15412.04538919498"/>
    <n v="5085.9739000000009"/>
    <n v="14228.71"/>
    <n v="4695.47"/>
    <m/>
    <n v="4.299999998693238E-3"/>
  </r>
  <r>
    <x v="9"/>
    <s v="Hemphill"/>
    <n v="82467.470901222463"/>
    <n v="0"/>
    <n v="0"/>
    <n v="0"/>
    <n v="181340.35350394878"/>
    <n v="0"/>
    <n v="0"/>
    <n v="181340.35350394878"/>
    <n v="0"/>
    <n v="0"/>
    <n v="0"/>
    <n v="0"/>
    <n v="0"/>
    <n v="0"/>
    <n v="0"/>
    <n v="181340.35350394878"/>
    <n v="169269.52805249664"/>
    <n v="0"/>
    <n v="12070.82545145214"/>
    <n v="0"/>
    <n v="12070.82545145214"/>
    <n v="169269.52805249664"/>
    <n v="55858.944257323885"/>
    <n v="53020.59"/>
    <n v="17496.794699999995"/>
    <m/>
    <n v="0"/>
    <n v="181340.35350394878"/>
    <n v="59842.31665630309"/>
    <n v="128319.76350394878"/>
    <n v="42345.521956303099"/>
    <n v="42345.521956303099"/>
    <n v="59842.316656303097"/>
    <n v="0"/>
    <n v="0"/>
    <n v="0"/>
    <n v="0"/>
    <n v="0"/>
    <n v="0"/>
    <n v="0"/>
    <n v="0"/>
    <n v="0"/>
    <n v="0"/>
    <n v="0"/>
    <n v="0"/>
    <n v="0"/>
    <n v="0"/>
    <n v="169269.52805249664"/>
    <n v="55858.94"/>
    <n v="116248.93805249664"/>
    <n v="38362.145300000004"/>
    <n v="107323.35"/>
    <n v="35416.699999999997"/>
    <m/>
    <n v="5.4999999993015081E-3"/>
  </r>
  <r>
    <x v="0"/>
    <s v="McLennan"/>
    <n v="12557586.743861375"/>
    <n v="2302338.5056358399"/>
    <n v="0"/>
    <n v="2302338.5056358399"/>
    <n v="10479.13724928"/>
    <n v="0"/>
    <n v="0"/>
    <n v="10479.13724928"/>
    <n v="151"/>
    <n v="0"/>
    <n v="18809"/>
    <n v="0"/>
    <n v="1101400"/>
    <n v="1120360"/>
    <n v="0"/>
    <n v="18960"/>
    <n v="8913.9607032938166"/>
    <n v="0"/>
    <n v="10046.039296706183"/>
    <n v="0"/>
    <n v="10046.039296706183"/>
    <n v="8913.9607032938166"/>
    <n v="2941.607032086959"/>
    <n v="1158572.68"/>
    <n v="382328.98439999996"/>
    <m/>
    <n v="0"/>
    <n v="18960"/>
    <n v="6256.7999999999993"/>
    <n v="18960"/>
    <n v="6256.7999999999993"/>
    <n v="6256.7999999999993"/>
    <n v="6256.7999999999993"/>
    <n v="0"/>
    <n v="0"/>
    <n v="0"/>
    <n v="0"/>
    <n v="0"/>
    <n v="0"/>
    <n v="0"/>
    <n v="0"/>
    <n v="0"/>
    <n v="0"/>
    <n v="0"/>
    <n v="0"/>
    <n v="0"/>
    <n v="0"/>
    <n v="8913.9607032938166"/>
    <n v="2941.6"/>
    <n v="8913.9607032938166"/>
    <n v="2941.6"/>
    <n v="8229.5499999999993"/>
    <n v="2715.74"/>
    <m/>
    <n v="1.1499999999614374E-2"/>
  </r>
  <r>
    <x v="5"/>
    <s v="Maverick"/>
    <n v="-7650156.5337895937"/>
    <n v="4950798.295566964"/>
    <n v="2854683.8438952961"/>
    <n v="2096114.4516716679"/>
    <n v="4140690.4668403454"/>
    <n v="0"/>
    <n v="0"/>
    <n v="4140690.4668403454"/>
    <n v="230595"/>
    <n v="0"/>
    <n v="0"/>
    <n v="0"/>
    <n v="148279.9969236019"/>
    <n v="378874.9969236019"/>
    <n v="0"/>
    <n v="4519565.4637639476"/>
    <n v="4218722.9608385414"/>
    <n v="0"/>
    <n v="300842.50292540621"/>
    <n v="0"/>
    <n v="300842.50292540621"/>
    <n v="4218722.9608385414"/>
    <n v="1392178.5770767184"/>
    <n v="2197330.52"/>
    <n v="725119.07159999991"/>
    <m/>
    <n v="0"/>
    <n v="4519565.4637639476"/>
    <n v="1491456.6030421024"/>
    <n v="2322234.9437639476"/>
    <n v="766337.53144210251"/>
    <n v="766337.53144210251"/>
    <n v="1491456.6030421024"/>
    <n v="0"/>
    <n v="0"/>
    <n v="0"/>
    <n v="0"/>
    <n v="0"/>
    <n v="0"/>
    <n v="0"/>
    <n v="0"/>
    <n v="0"/>
    <n v="0"/>
    <n v="0"/>
    <n v="0"/>
    <n v="0"/>
    <n v="0"/>
    <n v="4218722.9608385414"/>
    <n v="1392178.57"/>
    <n v="2021392.4408385414"/>
    <n v="667059.49840000016"/>
    <n v="1866190.1"/>
    <n v="615842.73"/>
    <m/>
    <n v="3.0000000260770321E-3"/>
  </r>
  <r>
    <x v="8"/>
    <s v="Gregg"/>
    <n v="-1760935.006780541"/>
    <n v="7803169.7792462483"/>
    <n v="5515377.4945296384"/>
    <n v="2287792.2847166099"/>
    <n v="5949566.4204754177"/>
    <n v="4582308.6300000008"/>
    <n v="4055451.3520639315"/>
    <n v="1894115.0684114862"/>
    <n v="1256362"/>
    <n v="0"/>
    <n v="402117"/>
    <n v="0"/>
    <n v="2165279.0770846624"/>
    <n v="3823758.0770846624"/>
    <n v="0"/>
    <n v="5717873.1454961486"/>
    <n v="2688232.9391018818"/>
    <n v="0"/>
    <n v="3029640.2063942668"/>
    <n v="0"/>
    <n v="3029640.2063942668"/>
    <n v="2688232.9391018818"/>
    <n v="887116.86990362091"/>
    <n v="3679191.99"/>
    <n v="1214133.3566999999"/>
    <m/>
    <n v="0"/>
    <n v="5717873.1454961486"/>
    <n v="1886898.1380137289"/>
    <n v="2038681.1554961484"/>
    <n v="672764.78131372901"/>
    <n v="672764.78131372901"/>
    <n v="1886898.1380137289"/>
    <n v="0"/>
    <n v="0"/>
    <n v="0"/>
    <n v="0"/>
    <n v="0"/>
    <n v="0"/>
    <n v="0"/>
    <n v="0"/>
    <n v="0"/>
    <n v="0"/>
    <n v="0"/>
    <n v="0"/>
    <n v="0"/>
    <n v="0"/>
    <n v="2688232.9391018818"/>
    <n v="887116.86"/>
    <n v="-990959.05089811841"/>
    <n v="-327016.4966999999"/>
    <n v="0"/>
    <n v="0"/>
    <m/>
    <n v="0"/>
  </r>
  <r>
    <x v="9"/>
    <s v="Young"/>
    <n v="405188.45083799039"/>
    <n v="358131.41160548234"/>
    <n v="127716.117982208"/>
    <n v="230415.29362327434"/>
    <n v="1020585.7192824832"/>
    <n v="0"/>
    <n v="0"/>
    <n v="1020585.7192824832"/>
    <n v="0"/>
    <n v="0"/>
    <n v="0"/>
    <n v="0"/>
    <n v="0"/>
    <n v="0"/>
    <n v="0"/>
    <n v="1020585.7192824832"/>
    <n v="952650.96655004553"/>
    <n v="0"/>
    <n v="67934.752732437686"/>
    <n v="0"/>
    <n v="67934.752732437686"/>
    <n v="952650.96655004553"/>
    <n v="314374.81896151497"/>
    <n v="456790.12"/>
    <n v="150740.73959999997"/>
    <m/>
    <n v="0"/>
    <n v="1020585.7192824832"/>
    <n v="336793.28736321942"/>
    <n v="563795.59928248322"/>
    <n v="186052.54776321945"/>
    <n v="186052.54776321945"/>
    <n v="336793.28736321942"/>
    <n v="0"/>
    <n v="0"/>
    <n v="0"/>
    <n v="0"/>
    <n v="0"/>
    <n v="0"/>
    <n v="0"/>
    <n v="0"/>
    <n v="0"/>
    <n v="0"/>
    <n v="0"/>
    <n v="0"/>
    <n v="0"/>
    <n v="0"/>
    <n v="952650.96655004553"/>
    <n v="314374.81"/>
    <n v="495860.84655004553"/>
    <n v="163634.07040000003"/>
    <n v="457788.69"/>
    <n v="151070.26"/>
    <m/>
    <n v="7.6999999873805791E-3"/>
  </r>
  <r>
    <x v="0"/>
    <s v="McLennan"/>
    <n v="-985657.07059233752"/>
    <n v="26419111.969179161"/>
    <n v="20756900.616501331"/>
    <n v="5662211.3526778296"/>
    <n v="25108075.392374214"/>
    <n v="3338071.05"/>
    <n v="0"/>
    <n v="25108075.392374214"/>
    <n v="125869"/>
    <n v="0"/>
    <n v="0"/>
    <n v="0"/>
    <n v="2528910"/>
    <n v="2654779"/>
    <n v="0"/>
    <n v="27762854.392374214"/>
    <n v="13052584.02240991"/>
    <n v="0"/>
    <n v="14710270.369964303"/>
    <n v="0"/>
    <n v="14710270.369964303"/>
    <n v="13052584.02240991"/>
    <n v="4307352.72739527"/>
    <n v="10836580.779999999"/>
    <n v="3576071.6573999994"/>
    <m/>
    <n v="0"/>
    <n v="27762854.392374214"/>
    <n v="9161741.9494834896"/>
    <n v="16926273.612374216"/>
    <n v="5585670.2920834906"/>
    <n v="5585670.2920834906"/>
    <n v="9161741.9494834896"/>
    <n v="0"/>
    <n v="0"/>
    <n v="0"/>
    <n v="0"/>
    <n v="0"/>
    <n v="0"/>
    <n v="0"/>
    <n v="0"/>
    <n v="0"/>
    <n v="0"/>
    <n v="0"/>
    <n v="0"/>
    <n v="0"/>
    <n v="0"/>
    <n v="13052584.02240991"/>
    <n v="4307352.72"/>
    <n v="2216003.242409911"/>
    <n v="731281.0626000003"/>
    <n v="2045858.7"/>
    <n v="675133.36"/>
    <m/>
    <n v="1.0999999940395355E-2"/>
  </r>
  <r>
    <x v="6"/>
    <s v="Denton"/>
    <n v="-3162817.6604231447"/>
    <n v="0"/>
    <n v="0"/>
    <n v="0"/>
    <n v="18922603.564193457"/>
    <n v="0"/>
    <n v="0"/>
    <n v="18922603.564193457"/>
    <n v="803439"/>
    <n v="0"/>
    <n v="0"/>
    <n v="0"/>
    <n v="0"/>
    <n v="803439"/>
    <n v="0"/>
    <n v="19726042.564193457"/>
    <n v="9274112.2494051512"/>
    <n v="0"/>
    <n v="10451930.314788306"/>
    <n v="0"/>
    <n v="10451930.314788306"/>
    <n v="9274112.2494051512"/>
    <n v="3060457.0423036995"/>
    <n v="9688084.1400000006"/>
    <n v="3197067.7662"/>
    <m/>
    <n v="0"/>
    <n v="19726042.564193457"/>
    <n v="6509594.0461838404"/>
    <n v="10037958.424193457"/>
    <n v="3312526.2799838404"/>
    <n v="3312526.2799838404"/>
    <n v="6509594.0461838404"/>
    <n v="0"/>
    <n v="0"/>
    <n v="0"/>
    <n v="0"/>
    <n v="0"/>
    <n v="0"/>
    <n v="0"/>
    <n v="0"/>
    <n v="0"/>
    <n v="0"/>
    <n v="0"/>
    <n v="0"/>
    <n v="0"/>
    <n v="0"/>
    <n v="9274112.2494051512"/>
    <n v="3060457.04"/>
    <n v="-413971.89059484936"/>
    <n v="-136610.72619999992"/>
    <n v="0"/>
    <n v="0"/>
    <m/>
    <n v="0"/>
  </r>
  <r>
    <x v="0"/>
    <s v="Limestone"/>
    <n v="606576.27453498868"/>
    <n v="358407.26943354652"/>
    <n v="71602.033972403195"/>
    <n v="286805.23546114331"/>
    <n v="730194.88973724167"/>
    <n v="49926.11"/>
    <n v="0"/>
    <n v="730194.88973724167"/>
    <n v="79220"/>
    <n v="0"/>
    <n v="79220"/>
    <n v="0"/>
    <n v="693184.80520747579"/>
    <n v="851624.80520747579"/>
    <n v="0"/>
    <n v="1581819.6949447175"/>
    <n v="1476526.6971954263"/>
    <n v="0"/>
    <n v="105292.99774929113"/>
    <n v="0"/>
    <n v="105292.99774929113"/>
    <n v="1476526.6971954263"/>
    <n v="487253.81007449061"/>
    <n v="511650.78"/>
    <n v="168844.7574"/>
    <m/>
    <n v="0"/>
    <n v="1581819.6949447175"/>
    <n v="522000.49933175667"/>
    <n v="1070168.9149447174"/>
    <n v="353155.74193175667"/>
    <n v="353155.74193175667"/>
    <n v="522000.49933175667"/>
    <n v="0"/>
    <n v="0"/>
    <n v="0"/>
    <n v="0"/>
    <n v="0"/>
    <n v="0"/>
    <n v="0"/>
    <n v="0"/>
    <n v="0"/>
    <n v="0"/>
    <n v="0"/>
    <n v="0"/>
    <n v="0"/>
    <n v="0"/>
    <n v="1476526.6971954263"/>
    <n v="487253.81"/>
    <n v="964875.9171954263"/>
    <n v="318409.0526"/>
    <n v="890792.83"/>
    <n v="293961.63"/>
    <m/>
    <n v="3.8999999524094164E-3"/>
  </r>
  <r>
    <x v="8"/>
    <s v="Gregg"/>
    <n v="-5951818.4796880409"/>
    <n v="45917066.447626412"/>
    <n v="27867365.446155302"/>
    <n v="18049701.00147111"/>
    <n v="45634213.807111487"/>
    <n v="17803519.43"/>
    <n v="5705636.9082169309"/>
    <n v="39928576.898894556"/>
    <n v="2948886"/>
    <n v="0"/>
    <n v="9933750.873561997"/>
    <n v="0"/>
    <n v="13726950.280764006"/>
    <n v="26609587.154326003"/>
    <n v="0"/>
    <n v="66538164.053220555"/>
    <n v="31282625.508424331"/>
    <n v="0"/>
    <n v="35255538.544796228"/>
    <n v="0"/>
    <n v="35255538.544796228"/>
    <n v="31282625.508424331"/>
    <n v="10323266.417780029"/>
    <n v="32481273.289999999"/>
    <n v="10718820.185699999"/>
    <m/>
    <n v="0"/>
    <n v="66538164.053220555"/>
    <n v="21957594.137562782"/>
    <n v="34056890.763220556"/>
    <n v="11238773.951862782"/>
    <n v="11238773.951862782"/>
    <n v="21957594.137562782"/>
    <n v="0"/>
    <n v="0"/>
    <n v="0"/>
    <n v="0"/>
    <n v="0"/>
    <n v="0"/>
    <n v="0"/>
    <n v="0"/>
    <n v="0"/>
    <n v="0"/>
    <n v="0"/>
    <n v="0"/>
    <n v="0"/>
    <n v="0"/>
    <n v="31282625.508424331"/>
    <n v="10323266.41"/>
    <n v="-1198647.7815756686"/>
    <n v="-395553.77569999918"/>
    <n v="0"/>
    <n v="0"/>
    <m/>
    <n v="0"/>
  </r>
  <r>
    <x v="2"/>
    <s v="Brazoria"/>
    <n v="519361.49664191745"/>
    <n v="8612751.2020184975"/>
    <n v="0"/>
    <n v="8612751.2020184975"/>
    <n v="6344833.5287588062"/>
    <n v="0"/>
    <n v="0"/>
    <n v="6344833.5287588062"/>
    <n v="0"/>
    <n v="0"/>
    <n v="0"/>
    <n v="0"/>
    <n v="0"/>
    <n v="0"/>
    <n v="0"/>
    <n v="6344833.5287588062"/>
    <n v="2982995.6088764262"/>
    <n v="0"/>
    <n v="3361837.9198823799"/>
    <n v="0"/>
    <n v="3361837.9198823799"/>
    <n v="2982995.6088764262"/>
    <n v="984388.55092922051"/>
    <n v="3036554.25"/>
    <n v="1002062.9024999999"/>
    <m/>
    <n v="0"/>
    <n v="6344833.5287588062"/>
    <n v="2093795.0644904058"/>
    <n v="3308279.2787588062"/>
    <n v="1091732.161990406"/>
    <n v="1091732.161990406"/>
    <n v="2093795.0644904058"/>
    <n v="0"/>
    <n v="0"/>
    <n v="0"/>
    <n v="0"/>
    <n v="0"/>
    <n v="0"/>
    <n v="0"/>
    <n v="0"/>
    <n v="0"/>
    <n v="0"/>
    <n v="0"/>
    <n v="0"/>
    <n v="0"/>
    <n v="0"/>
    <n v="2982995.6088764262"/>
    <n v="984388.55"/>
    <n v="-53558.641123573761"/>
    <n v="-17674.352499999804"/>
    <n v="0"/>
    <n v="0"/>
    <m/>
    <n v="0"/>
  </r>
  <r>
    <x v="2"/>
    <s v="Harris"/>
    <n v="28739606.803575449"/>
    <n v="36149333.144411787"/>
    <n v="47890725.199506015"/>
    <n v="0"/>
    <n v="53226974.831074685"/>
    <n v="56852145"/>
    <n v="28112538.196424551"/>
    <n v="25114436.634650134"/>
    <n v="7952625"/>
    <n v="1372897"/>
    <n v="0"/>
    <n v="0"/>
    <n v="0"/>
    <n v="9325522"/>
    <n v="0"/>
    <n v="9325522"/>
    <n v="4384353.1986129722"/>
    <n v="0"/>
    <n v="4941168.8013870278"/>
    <n v="0"/>
    <n v="4941168.8013870278"/>
    <n v="4384353.1986129722"/>
    <n v="1446836.5555422807"/>
    <n v="16361543.689999999"/>
    <n v="5399309.4176999992"/>
    <m/>
    <n v="0"/>
    <n v="9325522"/>
    <n v="3077422.26"/>
    <n v="9325522"/>
    <n v="3077422.26"/>
    <n v="3077422.26"/>
    <n v="3077422.26"/>
    <n v="0"/>
    <n v="0"/>
    <n v="0"/>
    <n v="0"/>
    <n v="0"/>
    <n v="0"/>
    <n v="0"/>
    <n v="0"/>
    <n v="0"/>
    <n v="0"/>
    <n v="0"/>
    <n v="0"/>
    <n v="0"/>
    <n v="0"/>
    <n v="4384353.1986129722"/>
    <n v="1446836.55"/>
    <n v="4384353.1986129722"/>
    <n v="1446836.55"/>
    <n v="4047722.94"/>
    <n v="1335748.56"/>
    <m/>
    <n v="1.0199999669566751E-2"/>
  </r>
  <r>
    <x v="0"/>
    <s v="Lavaca"/>
    <n v="895200.5983712509"/>
    <n v="2020660.1314377056"/>
    <n v="1562115.9516523008"/>
    <n v="458544.17978540482"/>
    <n v="1328621.5704138498"/>
    <n v="0"/>
    <n v="0"/>
    <n v="1328621.5704138498"/>
    <n v="6410"/>
    <n v="0"/>
    <n v="0"/>
    <n v="0"/>
    <n v="1315.749095045599"/>
    <n v="7725.7490950455995"/>
    <n v="0"/>
    <n v="1336347.3195088953"/>
    <n v="1247394.0615901796"/>
    <n v="0"/>
    <n v="88953.25791871571"/>
    <n v="0"/>
    <n v="88953.25791871571"/>
    <n v="1247394.0615901796"/>
    <n v="411640.0403247592"/>
    <n v="794303.56"/>
    <n v="262120.17479999998"/>
    <m/>
    <n v="0"/>
    <n v="1336347.3195088953"/>
    <n v="440994.6154379354"/>
    <n v="542043.75950889522"/>
    <n v="178874.44063793542"/>
    <n v="178874.44063793542"/>
    <n v="440994.6154379354"/>
    <n v="0"/>
    <n v="0"/>
    <n v="0"/>
    <n v="0"/>
    <n v="0"/>
    <n v="0"/>
    <n v="0"/>
    <n v="0"/>
    <n v="0"/>
    <n v="0"/>
    <n v="0"/>
    <n v="0"/>
    <n v="0"/>
    <n v="0"/>
    <n v="1247394.0615901796"/>
    <n v="411640.04"/>
    <n v="453090.50159017951"/>
    <n v="149519.8652"/>
    <n v="418302.25"/>
    <n v="138039.74"/>
    <m/>
    <n v="2.5000000023283064E-3"/>
  </r>
  <r>
    <x v="6"/>
    <s v="Tarrant"/>
    <n v="-18073585.851785466"/>
    <n v="63250878.294489376"/>
    <n v="47313756.655599475"/>
    <n v="15937121.638889901"/>
    <n v="61875390.10437458"/>
    <n v="12333122.379999999"/>
    <n v="12333122.379999999"/>
    <n v="49542267.724374577"/>
    <n v="2152741"/>
    <n v="0"/>
    <n v="0"/>
    <n v="0"/>
    <n v="0"/>
    <n v="2152741"/>
    <n v="0"/>
    <n v="51695008.724374577"/>
    <n v="24304181.24079673"/>
    <n v="0"/>
    <n v="27390827.483577847"/>
    <n v="0"/>
    <n v="27390827.483577847"/>
    <n v="24304181.24079673"/>
    <n v="8020379.8094629198"/>
    <n v="29762729.82"/>
    <n v="9821700.8405999988"/>
    <m/>
    <n v="0"/>
    <n v="51695008.724374577"/>
    <n v="17059352.879043609"/>
    <n v="21932278.904374577"/>
    <n v="7237652.0384436101"/>
    <n v="7237652.0384436101"/>
    <n v="17059352.879043609"/>
    <n v="0"/>
    <n v="0"/>
    <n v="0"/>
    <n v="0"/>
    <n v="0"/>
    <n v="0"/>
    <n v="0"/>
    <n v="0"/>
    <n v="0"/>
    <n v="0"/>
    <n v="0"/>
    <n v="0"/>
    <n v="0"/>
    <n v="0"/>
    <n v="24304181.24079673"/>
    <n v="8020379.7999999998"/>
    <n v="-5458548.5792032704"/>
    <n v="-1801321.040599999"/>
    <n v="0"/>
    <n v="0"/>
    <m/>
    <n v="0"/>
  </r>
  <r>
    <x v="5"/>
    <s v="Hidalgo"/>
    <n v="-3716384.1430160408"/>
    <n v="13348183.477785049"/>
    <n v="4929277.3718726533"/>
    <n v="8418906.1059123948"/>
    <n v="8135658.7592475889"/>
    <n v="4689347.71"/>
    <n v="0"/>
    <n v="8135658.7592475889"/>
    <n v="473156"/>
    <n v="0"/>
    <n v="0"/>
    <n v="0"/>
    <n v="0"/>
    <n v="473156"/>
    <n v="0"/>
    <n v="8608814.7592475899"/>
    <n v="4047396.4380732505"/>
    <n v="0"/>
    <n v="4561418.3211743394"/>
    <n v="0"/>
    <n v="4561418.3211743394"/>
    <n v="4047396.4380732505"/>
    <n v="1335640.8245641724"/>
    <n v="1065988.6599999999"/>
    <n v="351776.2577999999"/>
    <m/>
    <n v="0"/>
    <n v="8608814.7592475899"/>
    <n v="2840908.8705517044"/>
    <n v="7542826.0992475897"/>
    <n v="2489132.6127517046"/>
    <n v="2489132.6127517046"/>
    <n v="2840908.8705517044"/>
    <n v="0"/>
    <n v="0"/>
    <n v="0"/>
    <n v="0"/>
    <n v="0"/>
    <n v="0"/>
    <n v="0"/>
    <n v="0"/>
    <n v="0"/>
    <n v="0"/>
    <n v="0"/>
    <n v="0"/>
    <n v="0"/>
    <n v="0"/>
    <n v="4047396.4380732505"/>
    <n v="1335640.82"/>
    <n v="2981407.7780732503"/>
    <n v="983864.56220000016"/>
    <n v="2752495.54"/>
    <n v="908323.52"/>
    <m/>
    <n v="8.1999999238178134E-3"/>
  </r>
  <r>
    <x v="9"/>
    <s v="Reeves"/>
    <n v="1608724.5269790469"/>
    <n v="3172071.2251685574"/>
    <n v="389807.49383582722"/>
    <n v="2782263.73133273"/>
    <n v="963425.6703217664"/>
    <n v="1955171.72"/>
    <n v="0"/>
    <n v="963425.6703217664"/>
    <n v="0"/>
    <n v="0"/>
    <n v="0"/>
    <n v="0"/>
    <n v="0"/>
    <n v="0"/>
    <n v="0"/>
    <n v="963425.6703217664"/>
    <n v="899295.74624698458"/>
    <n v="0"/>
    <n v="64129.924074781826"/>
    <n v="0"/>
    <n v="64129.924074781826"/>
    <n v="899295.74624698458"/>
    <n v="296767.59626150486"/>
    <n v="506152.34"/>
    <n v="167030.27219999998"/>
    <m/>
    <n v="0"/>
    <n v="963425.6703217664"/>
    <n v="317930.47120618285"/>
    <n v="457273.33032176638"/>
    <n v="150900.19900618287"/>
    <n v="150900.19900618287"/>
    <n v="317930.47120618285"/>
    <n v="0"/>
    <n v="0"/>
    <n v="0"/>
    <n v="0"/>
    <n v="0"/>
    <n v="0"/>
    <n v="0"/>
    <n v="0"/>
    <n v="0"/>
    <n v="0"/>
    <n v="0"/>
    <n v="0"/>
    <n v="0"/>
    <n v="0"/>
    <n v="899295.74624698458"/>
    <n v="296767.59000000003"/>
    <n v="393143.40624698455"/>
    <n v="129737.31780000005"/>
    <n v="362957.89"/>
    <n v="119776.1"/>
    <m/>
    <n v="3.6999999865656719E-3"/>
  </r>
  <r>
    <x v="9"/>
    <s v="Frio"/>
    <n v="1078751.4936441605"/>
    <n v="2576511.6043415493"/>
    <n v="751945.72536115197"/>
    <n v="1824565.8789803972"/>
    <n v="1679492.506740429"/>
    <n v="240734"/>
    <n v="0"/>
    <n v="1679492.506740429"/>
    <n v="21785"/>
    <n v="0"/>
    <n v="0"/>
    <n v="0"/>
    <n v="0"/>
    <n v="21785"/>
    <n v="0"/>
    <n v="1701277.506740429"/>
    <n v="1588032.8624484001"/>
    <n v="0"/>
    <n v="113244.64429202885"/>
    <n v="0"/>
    <n v="113244.64429202885"/>
    <n v="1588032.8624484001"/>
    <n v="524050.84460797196"/>
    <n v="679845.38"/>
    <n v="224348.97539999997"/>
    <m/>
    <n v="0"/>
    <n v="1701277.506740429"/>
    <n v="561421.57722434145"/>
    <n v="1021432.126740429"/>
    <n v="337072.60182434146"/>
    <n v="337072.60182434146"/>
    <n v="561421.57722434145"/>
    <n v="0"/>
    <n v="0"/>
    <n v="0"/>
    <n v="0"/>
    <n v="0"/>
    <n v="0"/>
    <n v="0"/>
    <n v="0"/>
    <n v="0"/>
    <n v="0"/>
    <n v="0"/>
    <n v="0"/>
    <n v="0"/>
    <n v="0"/>
    <n v="1588032.8624484001"/>
    <n v="524050.84"/>
    <n v="908187.48244840011"/>
    <n v="299701.86460000009"/>
    <n v="838456.93"/>
    <n v="276690.78000000003"/>
    <m/>
    <n v="6.8999999784864485E-3"/>
  </r>
  <r>
    <x v="9"/>
    <s v="Fisher"/>
    <n v="184403.38383272963"/>
    <n v="496484.90528452606"/>
    <n v="5013.4265674751996"/>
    <n v="491471.47871705086"/>
    <n v="575229.65458846721"/>
    <n v="0"/>
    <n v="0"/>
    <n v="575229.65458846721"/>
    <n v="0"/>
    <n v="0"/>
    <n v="0"/>
    <n v="0"/>
    <n v="0"/>
    <n v="0"/>
    <n v="0"/>
    <n v="575229.65458846721"/>
    <n v="536939.79454975668"/>
    <n v="0"/>
    <n v="38289.860038710525"/>
    <n v="0"/>
    <n v="38289.860038710525"/>
    <n v="536939.79454975668"/>
    <n v="177190.13220141968"/>
    <n v="403304.79"/>
    <n v="133090.58069999999"/>
    <m/>
    <n v="0"/>
    <n v="575229.65458846721"/>
    <n v="189825.78601419416"/>
    <n v="171924.86458846723"/>
    <n v="56735.205314194172"/>
    <n v="56735.205314194172"/>
    <n v="189825.78601419416"/>
    <n v="0"/>
    <n v="0"/>
    <n v="0"/>
    <n v="0"/>
    <n v="0"/>
    <n v="0"/>
    <n v="0"/>
    <n v="0"/>
    <n v="0"/>
    <n v="0"/>
    <n v="0"/>
    <n v="0"/>
    <n v="0"/>
    <n v="0"/>
    <n v="536939.79454975668"/>
    <n v="177190.13"/>
    <n v="133635.0045497567"/>
    <n v="44099.549300000013"/>
    <n v="123374.52"/>
    <n v="40713.589999999997"/>
    <m/>
    <n v="1.6000000032363459E-3"/>
  </r>
  <r>
    <x v="10"/>
    <s v="Polk"/>
    <n v="-2167928.8650704389"/>
    <n v="5452057.5332666812"/>
    <n v="3656710.7124049151"/>
    <n v="1795346.8208617661"/>
    <n v="4780311.5862028804"/>
    <n v="1685206.9900000002"/>
    <n v="1685206.9900000002"/>
    <n v="3095104.5962028801"/>
    <n v="0"/>
    <n v="0"/>
    <n v="0"/>
    <n v="0"/>
    <n v="0"/>
    <n v="0"/>
    <n v="0"/>
    <n v="3095104.5962028801"/>
    <n v="2889080.5832744022"/>
    <n v="0"/>
    <n v="206024.01292847795"/>
    <n v="0"/>
    <n v="206024.01292847795"/>
    <n v="2889080.5832744022"/>
    <n v="953396.59248055262"/>
    <n v="1672163.62"/>
    <n v="551813.99459999998"/>
    <m/>
    <n v="0"/>
    <n v="3095104.5962028801"/>
    <n v="1021384.5167469503"/>
    <n v="1422940.97620288"/>
    <n v="469570.52214695036"/>
    <n v="469570.52214695036"/>
    <n v="1021384.5167469503"/>
    <n v="0"/>
    <n v="0"/>
    <n v="0"/>
    <n v="0"/>
    <n v="0"/>
    <n v="0"/>
    <n v="0"/>
    <n v="0"/>
    <n v="0"/>
    <n v="0"/>
    <n v="0"/>
    <n v="0"/>
    <n v="0"/>
    <n v="0"/>
    <n v="2889080.5832744022"/>
    <n v="953396.59"/>
    <n v="1216916.9632744021"/>
    <n v="401582.59539999999"/>
    <n v="1123482.18"/>
    <n v="370749.12"/>
    <m/>
    <n v="-6.000000867061317E-4"/>
  </r>
  <r>
    <x v="4"/>
    <s v="Collin"/>
    <n v="-2003825.5020093215"/>
    <n v="0"/>
    <n v="0"/>
    <n v="0"/>
    <n v="19310639.738321792"/>
    <n v="0"/>
    <n v="0"/>
    <n v="19310639.738321792"/>
    <n v="1090571"/>
    <n v="0"/>
    <n v="0"/>
    <n v="0"/>
    <n v="646913.33250148129"/>
    <n v="1737484.3325014813"/>
    <n v="0"/>
    <n v="21048124.070823275"/>
    <n v="9895683.0614647344"/>
    <n v="0"/>
    <n v="11152441.00935854"/>
    <n v="0"/>
    <n v="11152441.00935854"/>
    <n v="9895683.0614647344"/>
    <n v="3265575.410283362"/>
    <n v="9918503.0299999993"/>
    <n v="3273105.9998999992"/>
    <m/>
    <n v="0"/>
    <n v="21048124.070823275"/>
    <n v="6945880.9433716796"/>
    <n v="11129621.040823275"/>
    <n v="3672774.9434716804"/>
    <n v="3672774.9434716804"/>
    <n v="6945880.9433716796"/>
    <n v="0"/>
    <n v="0"/>
    <n v="0"/>
    <n v="0"/>
    <n v="0"/>
    <n v="0"/>
    <n v="0"/>
    <n v="0"/>
    <n v="0"/>
    <n v="0"/>
    <n v="0"/>
    <n v="0"/>
    <n v="0"/>
    <n v="0"/>
    <n v="9895683.0614647344"/>
    <n v="3265575.41"/>
    <n v="-22819.968535264954"/>
    <n v="-7530.5898999990895"/>
    <n v="0"/>
    <n v="0"/>
    <m/>
    <n v="0"/>
  </r>
  <r>
    <x v="4"/>
    <s v="Navarro"/>
    <n v="-6804175.1410864899"/>
    <n v="4157268.6818892453"/>
    <n v="2537465.6434822911"/>
    <n v="1619803.0384069541"/>
    <n v="3365898.4209765377"/>
    <n v="0"/>
    <n v="0"/>
    <n v="3365898.4209765377"/>
    <n v="1380112"/>
    <n v="0"/>
    <n v="437755"/>
    <n v="0"/>
    <n v="1121214.7924388491"/>
    <n v="2939081.7924388489"/>
    <n v="0"/>
    <n v="6304980.2134153862"/>
    <n v="5885292.5147844274"/>
    <n v="0"/>
    <n v="419687.6986309588"/>
    <n v="0"/>
    <n v="419687.6986309588"/>
    <n v="5885292.5147844274"/>
    <n v="1942146.5298788608"/>
    <n v="1814735.28"/>
    <n v="598862.6423999999"/>
    <m/>
    <n v="0"/>
    <n v="6304980.2134153862"/>
    <n v="2080643.4704270773"/>
    <n v="4490244.9334153859"/>
    <n v="1481780.8280270775"/>
    <n v="1481780.8280270775"/>
    <n v="2080643.4704270773"/>
    <n v="0"/>
    <n v="0"/>
    <n v="0"/>
    <n v="0"/>
    <n v="0"/>
    <n v="0"/>
    <n v="0"/>
    <n v="0"/>
    <n v="0"/>
    <n v="0"/>
    <n v="0"/>
    <n v="0"/>
    <n v="0"/>
    <n v="0"/>
    <n v="5885292.5147844274"/>
    <n v="1942146.52"/>
    <n v="4070557.2347844271"/>
    <n v="1343283.8776000002"/>
    <n v="3758020.2"/>
    <n v="1240146.6499999999"/>
    <m/>
    <n v="1.600000006146729E-2"/>
  </r>
  <r>
    <x v="9"/>
    <s v="Haskell"/>
    <n v="295057.0583204609"/>
    <n v="0"/>
    <n v="0"/>
    <n v="0"/>
    <n v="510026.04614366719"/>
    <n v="0"/>
    <n v="0"/>
    <n v="510026.04614366719"/>
    <n v="0"/>
    <n v="0"/>
    <n v="0"/>
    <n v="0"/>
    <n v="0"/>
    <n v="0"/>
    <n v="0"/>
    <n v="510026.04614366719"/>
    <n v="476076.43007787288"/>
    <n v="0"/>
    <n v="33949.616065794311"/>
    <n v="0"/>
    <n v="33949.616065794311"/>
    <n v="476076.43007787288"/>
    <n v="157105.22192569802"/>
    <n v="259119.32"/>
    <n v="85509.375599999985"/>
    <m/>
    <n v="0"/>
    <n v="510026.04614366719"/>
    <n v="168308.59522741014"/>
    <n v="250906.72614366718"/>
    <n v="82799.219627410159"/>
    <n v="82799.219627410159"/>
    <n v="168308.59522741014"/>
    <n v="0"/>
    <n v="0"/>
    <n v="0"/>
    <n v="0"/>
    <n v="0"/>
    <n v="0"/>
    <n v="0"/>
    <n v="0"/>
    <n v="0"/>
    <n v="0"/>
    <n v="0"/>
    <n v="0"/>
    <n v="0"/>
    <n v="0"/>
    <n v="476076.43007787288"/>
    <n v="157105.22"/>
    <n v="216957.11007787287"/>
    <n v="71595.844400000016"/>
    <n v="200299.16"/>
    <n v="66098.720000000001"/>
    <m/>
    <n v="2.7999999874737114E-3"/>
  </r>
  <r>
    <x v="9"/>
    <s v="Ochiltree"/>
    <n v="550929.03250810876"/>
    <n v="992523.24444619962"/>
    <n v="352789.02505226241"/>
    <n v="639734.21939393715"/>
    <n v="444807.63755025918"/>
    <n v="791423"/>
    <n v="0"/>
    <n v="444807.63755025918"/>
    <n v="0"/>
    <n v="0"/>
    <n v="0"/>
    <n v="0"/>
    <n v="0"/>
    <n v="0"/>
    <n v="0"/>
    <n v="444807.63755025918"/>
    <n v="415199.25062150502"/>
    <n v="0"/>
    <n v="29608.38692875416"/>
    <n v="0"/>
    <n v="29608.38692875416"/>
    <n v="415199.25062150502"/>
    <n v="137015.75270509665"/>
    <n v="397161.91"/>
    <n v="131063.43029999998"/>
    <m/>
    <n v="0"/>
    <n v="444807.63755025918"/>
    <n v="146786.52039158551"/>
    <n v="47645.727550259209"/>
    <n v="15723.090091585531"/>
    <n v="15723.090091585531"/>
    <n v="146786.52039158551"/>
    <n v="0"/>
    <n v="0"/>
    <n v="0"/>
    <n v="0"/>
    <n v="0"/>
    <n v="0"/>
    <n v="0"/>
    <n v="0"/>
    <n v="0"/>
    <n v="0"/>
    <n v="0"/>
    <n v="0"/>
    <n v="0"/>
    <n v="0"/>
    <n v="415199.25062150502"/>
    <n v="137015.75"/>
    <n v="18037.340621505049"/>
    <n v="5952.3197000000218"/>
    <n v="16652.439999999999"/>
    <n v="5495.3"/>
    <m/>
    <n v="5.1999999986946932E-3"/>
  </r>
  <r>
    <x v="10"/>
    <s v="Jasper"/>
    <n v="701398.77255329315"/>
    <n v="0"/>
    <n v="0"/>
    <n v="0"/>
    <n v="3990434.4072325379"/>
    <n v="0"/>
    <n v="0"/>
    <n v="3990434.4072325379"/>
    <n v="0"/>
    <n v="0"/>
    <n v="0"/>
    <n v="0"/>
    <n v="552358.71462493064"/>
    <n v="552358.71462493064"/>
    <n v="0"/>
    <n v="4542793.121857468"/>
    <n v="4240404.4820624935"/>
    <n v="0"/>
    <n v="302388.63979497459"/>
    <n v="0"/>
    <n v="302388.63979497459"/>
    <n v="4240404.4820624935"/>
    <n v="1399333.4790806228"/>
    <n v="2703762.29"/>
    <n v="892241.55569999991"/>
    <m/>
    <n v="0"/>
    <n v="4542793.121857468"/>
    <n v="1499121.7302129644"/>
    <n v="1839030.831857468"/>
    <n v="606880.17451296444"/>
    <n v="606880.17451296444"/>
    <n v="1499121.7302129644"/>
    <n v="0"/>
    <n v="0"/>
    <n v="0"/>
    <n v="0"/>
    <n v="0"/>
    <n v="0"/>
    <n v="0"/>
    <n v="0"/>
    <n v="0"/>
    <n v="0"/>
    <n v="0"/>
    <n v="0"/>
    <n v="0"/>
    <n v="0"/>
    <n v="4240404.4820624935"/>
    <n v="1399333.47"/>
    <n v="1536642.1920624934"/>
    <n v="507091.91430000006"/>
    <n v="1418658.94"/>
    <n v="468157.44"/>
    <m/>
    <n v="1.0199999902397394E-2"/>
  </r>
  <r>
    <x v="9"/>
    <s v="Wilbarger"/>
    <n v="7018.9573099519894"/>
    <n v="0"/>
    <n v="0"/>
    <n v="0"/>
    <n v="392330.10279518721"/>
    <n v="0"/>
    <n v="0"/>
    <n v="392330.10279518721"/>
    <n v="1859.1399999999994"/>
    <n v="0"/>
    <n v="0"/>
    <n v="0"/>
    <n v="989281"/>
    <n v="991140.14"/>
    <n v="0"/>
    <n v="1383470.2427951873"/>
    <n v="1291380.2722211794"/>
    <n v="0"/>
    <n v="92089.970574007835"/>
    <n v="0"/>
    <n v="92089.970574007835"/>
    <n v="1291380.2722211794"/>
    <n v="426155.48983298917"/>
    <n v="335464.09000000003"/>
    <n v="110703.14969999999"/>
    <m/>
    <n v="0"/>
    <n v="1383470.2427951873"/>
    <n v="456545.18012241175"/>
    <n v="1048006.1527951872"/>
    <n v="345842.03042241174"/>
    <n v="345842.03042241174"/>
    <n v="456545.18012241175"/>
    <n v="0"/>
    <n v="0"/>
    <n v="0"/>
    <n v="0"/>
    <n v="0"/>
    <n v="0"/>
    <n v="0"/>
    <n v="0"/>
    <n v="0"/>
    <n v="0"/>
    <n v="0"/>
    <n v="0"/>
    <n v="0"/>
    <n v="0"/>
    <n v="1291380.2722211794"/>
    <n v="426155.48"/>
    <n v="955916.18222117936"/>
    <n v="315452.33029999997"/>
    <n v="882521.02"/>
    <n v="291231.93"/>
    <m/>
    <n v="6.5999999642372131E-3"/>
  </r>
  <r>
    <x v="9"/>
    <s v="Ector"/>
    <n v="-10346595.00824804"/>
    <n v="7497493.4948564246"/>
    <n v="5304758.4020562433"/>
    <n v="2192735.0928001814"/>
    <n v="6604999.0494906874"/>
    <n v="0"/>
    <n v="0"/>
    <n v="6604999.0494906874"/>
    <n v="1589680"/>
    <n v="0"/>
    <n v="1103737.3600000001"/>
    <n v="0"/>
    <n v="4191322.3586954493"/>
    <n v="6884739.7186954496"/>
    <n v="0"/>
    <n v="13489738.768186137"/>
    <n v="6342141.4175796602"/>
    <n v="0"/>
    <n v="7147597.3506064769"/>
    <n v="0"/>
    <n v="7147597.3506064769"/>
    <n v="6342141.4175796602"/>
    <n v="2092906.6678012877"/>
    <n v="6149043.1699999999"/>
    <n v="2029184.2460999996"/>
    <m/>
    <n v="0"/>
    <n v="13489738.768186137"/>
    <n v="4451613.7935014246"/>
    <n v="7340695.5981861372"/>
    <n v="2422429.547401425"/>
    <n v="2422429.547401425"/>
    <n v="4451613.7935014246"/>
    <n v="0"/>
    <n v="0"/>
    <n v="0"/>
    <n v="0"/>
    <n v="0"/>
    <n v="0"/>
    <n v="0"/>
    <n v="0"/>
    <n v="0"/>
    <n v="0"/>
    <n v="0"/>
    <n v="0"/>
    <n v="0"/>
    <n v="0"/>
    <n v="6342141.4175796602"/>
    <n v="2092906.66"/>
    <n v="193098.24757966027"/>
    <n v="63722.413900000276"/>
    <n v="178272.18"/>
    <n v="58829.81"/>
    <m/>
    <n v="9.3999999953666702E-3"/>
  </r>
  <r>
    <x v="2"/>
    <s v="Harris"/>
    <n v="-40022191.816785887"/>
    <n v="3736695.9793118355"/>
    <n v="1574828.8231507966"/>
    <n v="2161867.1561610391"/>
    <n v="5145026.991090388"/>
    <n v="0"/>
    <n v="0"/>
    <n v="5145026.991090388"/>
    <n v="68411"/>
    <n v="0"/>
    <n v="0"/>
    <n v="0"/>
    <n v="547807"/>
    <n v="616218"/>
    <n v="0"/>
    <n v="5761244.991090388"/>
    <n v="2708624.0217630831"/>
    <n v="0"/>
    <n v="3052620.969327305"/>
    <n v="0"/>
    <n v="3052620.969327305"/>
    <n v="2708624.0217630831"/>
    <n v="893845.92718181736"/>
    <n v="2353570.64"/>
    <n v="776678.3112"/>
    <m/>
    <n v="0"/>
    <n v="5761244.991090388"/>
    <n v="1901210.8470598278"/>
    <n v="3407674.3510903879"/>
    <n v="1124532.5358598279"/>
    <n v="1124532.5358598279"/>
    <n v="1901210.8470598278"/>
    <n v="0"/>
    <n v="0"/>
    <n v="0"/>
    <n v="0"/>
    <n v="0"/>
    <n v="0"/>
    <n v="0"/>
    <n v="0"/>
    <n v="0"/>
    <n v="0"/>
    <n v="0"/>
    <n v="0"/>
    <n v="0"/>
    <n v="0"/>
    <n v="2708624.0217630831"/>
    <n v="893845.92"/>
    <n v="355053.38176308293"/>
    <n v="117167.60880000005"/>
    <n v="327792.40999999997"/>
    <n v="108171.49"/>
    <m/>
    <n v="5.2999999752501026E-3"/>
  </r>
  <r>
    <x v="5"/>
    <s v="Hidalgo"/>
    <n v="-8852319.1743401755"/>
    <n v="26290017.489859562"/>
    <n v="12046301.997409979"/>
    <n v="14243715.492449583"/>
    <n v="25920470.876862645"/>
    <n v="9841357.0399999991"/>
    <n v="4449960.7218905892"/>
    <n v="21470510.154972054"/>
    <n v="2098553"/>
    <n v="0"/>
    <n v="0"/>
    <n v="0"/>
    <n v="1949839.2209421543"/>
    <n v="4048392.2209421545"/>
    <n v="0"/>
    <n v="25518902.375914209"/>
    <n v="11997599.840194644"/>
    <n v="0"/>
    <n v="13521302.535719564"/>
    <n v="0"/>
    <n v="13521302.535719564"/>
    <n v="11997599.840194644"/>
    <n v="3959207.9472642322"/>
    <n v="12208746.59"/>
    <n v="4028886.3746999996"/>
    <m/>
    <n v="0"/>
    <n v="25518902.375914209"/>
    <n v="8421237.7840516884"/>
    <n v="13310155.785914209"/>
    <n v="4392351.4093516888"/>
    <n v="4392351.4093516888"/>
    <n v="8421237.7840516884"/>
    <n v="0"/>
    <n v="0"/>
    <n v="0"/>
    <n v="0"/>
    <n v="0"/>
    <n v="0"/>
    <n v="0"/>
    <n v="0"/>
    <n v="0"/>
    <n v="0"/>
    <n v="0"/>
    <n v="0"/>
    <n v="0"/>
    <n v="0"/>
    <n v="11997599.840194644"/>
    <n v="3959207.94"/>
    <n v="-211146.74980535544"/>
    <n v="-69678.434699999634"/>
    <n v="0"/>
    <n v="0"/>
    <m/>
    <n v="0"/>
  </r>
  <r>
    <x v="7"/>
    <s v="Travis"/>
    <n v="-6840256.6828794703"/>
    <n v="0"/>
    <n v="0"/>
    <n v="0"/>
    <n v="44036838.649453349"/>
    <n v="0"/>
    <n v="0"/>
    <n v="44036838.649453349"/>
    <n v="2226927"/>
    <n v="0"/>
    <n v="0"/>
    <n v="0"/>
    <n v="7595477.7045074953"/>
    <n v="9822404.7045074962"/>
    <n v="0"/>
    <n v="53859243.353960842"/>
    <n v="25321686.6437946"/>
    <n v="0"/>
    <n v="28537556.710166242"/>
    <n v="0"/>
    <n v="28537556.710166242"/>
    <n v="25321686.6437946"/>
    <n v="8356156.5924522169"/>
    <n v="19108654.25"/>
    <n v="6305855.9024999989"/>
    <m/>
    <n v="0"/>
    <n v="53859243.353960842"/>
    <n v="17773550.306807075"/>
    <n v="34750589.103960842"/>
    <n v="11467694.404307075"/>
    <n v="11467694.404307075"/>
    <n v="17773550.306807075"/>
    <n v="0"/>
    <n v="0"/>
    <n v="0"/>
    <n v="0"/>
    <n v="0"/>
    <n v="0"/>
    <n v="0"/>
    <n v="0"/>
    <n v="0"/>
    <n v="0"/>
    <n v="0"/>
    <n v="0"/>
    <n v="0"/>
    <n v="0"/>
    <n v="25321686.6437946"/>
    <n v="8356156.5899999999"/>
    <n v="6213032.3937945999"/>
    <n v="2050300.6875000009"/>
    <n v="5735996.2999999998"/>
    <n v="1892878.77"/>
    <m/>
    <n v="8.999999612569809E-3"/>
  </r>
  <r>
    <x v="2"/>
    <s v="Harris"/>
    <n v="-13573771.032863051"/>
    <n v="49816888.165555611"/>
    <n v="47160377.831027053"/>
    <n v="2656510.334528558"/>
    <n v="47806779.789493077"/>
    <n v="11300158.6"/>
    <n v="11300158.6"/>
    <n v="36506621.189493075"/>
    <n v="1455452"/>
    <n v="0"/>
    <n v="0"/>
    <n v="0"/>
    <n v="9173902.2554768715"/>
    <n v="10629354.255476872"/>
    <n v="0"/>
    <n v="47135975.444969945"/>
    <n v="22160771.773622591"/>
    <n v="0"/>
    <n v="24975203.671347354"/>
    <n v="0"/>
    <n v="24975203.671347354"/>
    <n v="22160771.773622591"/>
    <n v="7313054.6852954542"/>
    <n v="16847535.050000001"/>
    <n v="5559686.5664999997"/>
    <m/>
    <n v="0"/>
    <n v="47135975.444969945"/>
    <n v="15554871.896840081"/>
    <n v="30288440.394969944"/>
    <n v="9995185.33034008"/>
    <n v="9995185.33034008"/>
    <n v="15554871.896840081"/>
    <n v="0"/>
    <n v="0"/>
    <n v="0"/>
    <n v="0"/>
    <n v="0"/>
    <n v="0"/>
    <n v="0"/>
    <n v="0"/>
    <n v="0"/>
    <n v="0"/>
    <n v="0"/>
    <n v="0"/>
    <n v="0"/>
    <n v="0"/>
    <n v="22160771.773622591"/>
    <n v="7313054.6799999997"/>
    <n v="5313236.7236225903"/>
    <n v="1753368.1135"/>
    <n v="4905286.8600000003"/>
    <n v="1618744.66"/>
    <m/>
    <n v="3.8000000640749931E-3"/>
  </r>
  <r>
    <x v="0"/>
    <s v="Burleson"/>
    <n v="398653.35831534083"/>
    <n v="0"/>
    <n v="0"/>
    <n v="0"/>
    <n v="1070137.2172551423"/>
    <n v="0"/>
    <n v="0"/>
    <n v="1070137.2172551423"/>
    <n v="0"/>
    <n v="0"/>
    <n v="0"/>
    <n v="0"/>
    <n v="0"/>
    <n v="0"/>
    <n v="0"/>
    <n v="1070137.2172551423"/>
    <n v="998904.09506809281"/>
    <n v="0"/>
    <n v="71233.122187049477"/>
    <n v="0"/>
    <n v="71233.122187049477"/>
    <n v="998904.09506809281"/>
    <n v="329638.35137247061"/>
    <n v="477181.4"/>
    <n v="157469.86199999999"/>
    <m/>
    <n v="0"/>
    <n v="1070137.2172551423"/>
    <n v="353145.28169419692"/>
    <n v="592955.81725514226"/>
    <n v="195675.41969419693"/>
    <n v="195675.41969419693"/>
    <n v="353145.28169419692"/>
    <n v="0"/>
    <n v="0"/>
    <n v="0"/>
    <n v="0"/>
    <n v="0"/>
    <n v="0"/>
    <n v="0"/>
    <n v="0"/>
    <n v="0"/>
    <n v="0"/>
    <n v="0"/>
    <n v="0"/>
    <n v="0"/>
    <n v="0"/>
    <n v="998904.09506809281"/>
    <n v="329638.34999999998"/>
    <n v="521722.69506809278"/>
    <n v="172168.48799999998"/>
    <n v="481664.87"/>
    <n v="158949.41"/>
    <m/>
    <n v="-2.900000021327287E-3"/>
  </r>
  <r>
    <x v="9"/>
    <s v="Pecos"/>
    <n v="133937.80550743043"/>
    <n v="584684.65915672318"/>
    <n v="319848.98213112319"/>
    <n v="264835.67702559999"/>
    <n v="866638.3130013952"/>
    <n v="0"/>
    <n v="0"/>
    <n v="866638.3130013952"/>
    <n v="0"/>
    <n v="0"/>
    <n v="0"/>
    <n v="0"/>
    <n v="0"/>
    <n v="0"/>
    <n v="0"/>
    <n v="866638.3130013952"/>
    <n v="808950.98856616963"/>
    <n v="0"/>
    <n v="57687.324435225572"/>
    <n v="0"/>
    <n v="57687.324435225572"/>
    <n v="808950.98856616963"/>
    <n v="266953.82622683595"/>
    <n v="504928.11"/>
    <n v="166626.27629999997"/>
    <m/>
    <n v="0"/>
    <n v="866638.3130013952"/>
    <n v="285990.6432904604"/>
    <n v="361710.20300139522"/>
    <n v="119364.36699046043"/>
    <n v="119364.36699046043"/>
    <n v="285990.6432904604"/>
    <n v="0"/>
    <n v="0"/>
    <n v="0"/>
    <n v="0"/>
    <n v="0"/>
    <n v="0"/>
    <n v="0"/>
    <n v="0"/>
    <n v="0"/>
    <n v="0"/>
    <n v="0"/>
    <n v="0"/>
    <n v="0"/>
    <n v="0"/>
    <n v="808950.98856616963"/>
    <n v="266953.82"/>
    <n v="304022.87856616965"/>
    <n v="100327.54370000004"/>
    <n v="280680.03000000003"/>
    <n v="92624.4"/>
    <m/>
    <n v="9.9000000045634806E-3"/>
  </r>
  <r>
    <x v="3"/>
    <s v="Bexar"/>
    <n v="3105533.4482228234"/>
    <n v="1571579.2183379002"/>
    <n v="71133.338020684794"/>
    <n v="1500445.8803172153"/>
    <n v="1927739.8341200384"/>
    <n v="4417545.62"/>
    <n v="0"/>
    <n v="1927739.8341200384"/>
    <n v="26223"/>
    <n v="0"/>
    <n v="0"/>
    <n v="0"/>
    <n v="0"/>
    <n v="26223"/>
    <n v="0"/>
    <n v="1953962.8341200384"/>
    <n v="918647.04214359901"/>
    <n v="0"/>
    <n v="1035315.7919764394"/>
    <n v="0"/>
    <n v="1035315.7919764394"/>
    <n v="918647.04214359901"/>
    <n v="303153.52390738763"/>
    <n v="956240.32"/>
    <n v="315559.30559999996"/>
    <m/>
    <n v="0"/>
    <n v="1953962.8341200384"/>
    <n v="644807.73525961256"/>
    <n v="997722.51412003848"/>
    <n v="329248.42965961259"/>
    <n v="329248.42965961259"/>
    <n v="644807.73525961256"/>
    <n v="0"/>
    <n v="0"/>
    <n v="0"/>
    <n v="0"/>
    <n v="0"/>
    <n v="0"/>
    <n v="0"/>
    <n v="0"/>
    <n v="0"/>
    <n v="0"/>
    <n v="0"/>
    <n v="0"/>
    <n v="0"/>
    <n v="0"/>
    <n v="918647.04214359901"/>
    <n v="303153.52"/>
    <n v="-37593.277856400935"/>
    <n v="-12405.785599999945"/>
    <n v="0"/>
    <n v="0"/>
    <m/>
    <n v="0"/>
  </r>
  <r>
    <x v="9"/>
    <s v="Tom Green"/>
    <n v="-265383.75227981218"/>
    <n v="4071552.2783617871"/>
    <n v="40229.788126183943"/>
    <n v="4031322.4902356029"/>
    <n v="48548.722117632518"/>
    <n v="2498983.65"/>
    <n v="0"/>
    <n v="48548.722117632518"/>
    <n v="0"/>
    <n v="0"/>
    <n v="0"/>
    <n v="0"/>
    <n v="0"/>
    <n v="0"/>
    <n v="0"/>
    <n v="48548.722117632518"/>
    <n v="22824.968415174455"/>
    <n v="0"/>
    <n v="25723.753702458063"/>
    <n v="0"/>
    <n v="25723.753702458063"/>
    <n v="22824.968415174455"/>
    <n v="7532.2395770075691"/>
    <n v="5458.12"/>
    <n v="1801.1795999999997"/>
    <m/>
    <n v="0"/>
    <n v="48548.722117632518"/>
    <n v="16021.078298818729"/>
    <n v="43090.602117632516"/>
    <n v="14219.89869881873"/>
    <n v="14219.89869881873"/>
    <n v="16021.078298818729"/>
    <n v="0"/>
    <n v="0"/>
    <n v="0"/>
    <n v="0"/>
    <n v="0"/>
    <n v="0"/>
    <n v="0"/>
    <n v="0"/>
    <n v="0"/>
    <n v="0"/>
    <n v="0"/>
    <n v="0"/>
    <n v="0"/>
    <n v="0"/>
    <n v="22824.968415174455"/>
    <n v="7532.23"/>
    <n v="17366.848415174456"/>
    <n v="5731.0504000000001"/>
    <n v="16033.42"/>
    <n v="5291.02"/>
    <m/>
    <n v="8.5999999992054654E-3"/>
  </r>
  <r>
    <x v="4"/>
    <s v="Hunt"/>
    <n v="-96209.098133299165"/>
    <n v="3029655.5689255092"/>
    <n v="637.30177279999998"/>
    <n v="3029018.2671527094"/>
    <n v="637.30177279999998"/>
    <n v="0"/>
    <n v="0"/>
    <n v="637.30177279999998"/>
    <n v="0"/>
    <n v="0"/>
    <n v="0"/>
    <n v="0"/>
    <n v="0"/>
    <n v="0"/>
    <n v="0"/>
    <n v="637.30177279999998"/>
    <n v="299.62462863284196"/>
    <n v="0"/>
    <n v="337.67714416715802"/>
    <n v="0"/>
    <n v="337.67714416715802"/>
    <n v="299.62462863284196"/>
    <n v="98.876127448837835"/>
    <n v="2238.06"/>
    <n v="738.55979999999988"/>
    <m/>
    <n v="0"/>
    <n v="637.30177279999998"/>
    <n v="210.30958502399997"/>
    <n v="-1600.7582272"/>
    <n v="-528.25021497599994"/>
    <n v="-528.25021497599994"/>
    <n v="210.30958502399994"/>
    <n v="0"/>
    <n v="0"/>
    <n v="0"/>
    <n v="0"/>
    <n v="0"/>
    <n v="0"/>
    <n v="0"/>
    <n v="0"/>
    <n v="0"/>
    <n v="0"/>
    <n v="0"/>
    <n v="0"/>
    <n v="0"/>
    <n v="0"/>
    <n v="299.62462863284196"/>
    <n v="98.87"/>
    <n v="-1938.435371367158"/>
    <n v="-639.68979999999988"/>
    <n v="0"/>
    <n v="0"/>
    <m/>
    <n v="0"/>
  </r>
  <r>
    <x v="11"/>
    <s v="El Paso"/>
    <n v="3482217.518614016"/>
    <n v="11690986.057999359"/>
    <n v="0"/>
    <n v="11690986.057999359"/>
    <n v="0"/>
    <n v="13137867"/>
    <n v="0"/>
    <n v="0"/>
    <n v="0"/>
    <n v="0"/>
    <n v="6840"/>
    <n v="0"/>
    <n v="299577"/>
    <n v="306417"/>
    <n v="0"/>
    <n v="6840"/>
    <n v="3215.795949922453"/>
    <n v="0"/>
    <n v="3624.204050077547"/>
    <n v="0"/>
    <n v="3624.204050077547"/>
    <n v="3215.795949922453"/>
    <n v="1061.2126634744093"/>
    <n v="275273.83"/>
    <n v="90840.363899999997"/>
    <m/>
    <n v="0"/>
    <n v="6840"/>
    <n v="2257.1999999999998"/>
    <n v="6840"/>
    <n v="2257.1999999999998"/>
    <n v="2257.1999999999998"/>
    <n v="2257.1999999999998"/>
    <n v="0"/>
    <n v="0"/>
    <n v="0"/>
    <n v="0"/>
    <n v="0"/>
    <n v="0"/>
    <n v="0"/>
    <n v="0"/>
    <n v="0"/>
    <n v="0"/>
    <n v="0"/>
    <n v="0"/>
    <n v="0"/>
    <n v="0"/>
    <n v="3215.795949922453"/>
    <n v="1061.21"/>
    <n v="3215.795949922453"/>
    <n v="1061.21"/>
    <n v="2968.89"/>
    <n v="979.73"/>
    <m/>
    <n v="3.6999999998670319E-3"/>
  </r>
  <r>
    <x v="9"/>
    <s v="Jack"/>
    <n v="965052.66487902717"/>
    <n v="1533439.3672679083"/>
    <n v="601652.83919139835"/>
    <n v="931786.52807650995"/>
    <n v="1564026.6455706367"/>
    <n v="848646.62999999989"/>
    <n v="0"/>
    <n v="1564026.6455706367"/>
    <n v="0"/>
    <n v="0"/>
    <n v="0"/>
    <n v="0"/>
    <n v="0"/>
    <n v="0"/>
    <n v="0"/>
    <n v="1564026.6455706367"/>
    <n v="1459918.0328139497"/>
    <n v="0"/>
    <n v="104108.61275668698"/>
    <n v="0"/>
    <n v="104108.61275668698"/>
    <n v="1459918.0328139497"/>
    <n v="481772.95082860335"/>
    <n v="380406.22"/>
    <n v="125534.05259999998"/>
    <m/>
    <n v="0"/>
    <n v="1564026.6455706367"/>
    <n v="516128.79303831008"/>
    <n v="1183620.4255706368"/>
    <n v="390594.74043831008"/>
    <n v="390594.74043831008"/>
    <n v="516128.79303831008"/>
    <n v="0"/>
    <n v="0"/>
    <n v="0"/>
    <n v="0"/>
    <n v="0"/>
    <n v="0"/>
    <n v="0"/>
    <n v="0"/>
    <n v="0"/>
    <n v="0"/>
    <n v="0"/>
    <n v="0"/>
    <n v="0"/>
    <n v="0"/>
    <n v="1459918.0328139497"/>
    <n v="481772.95"/>
    <n v="1079511.8128139498"/>
    <n v="356238.89740000002"/>
    <n v="996626.99"/>
    <n v="328886.90000000002"/>
    <m/>
    <n v="6.6999999107792974E-3"/>
  </r>
  <r>
    <x v="9"/>
    <s v="Val Verde"/>
    <n v="882564.06294712273"/>
    <n v="5648616.9661143068"/>
    <n v="352502.74488235521"/>
    <n v="5296114.2212319514"/>
    <n v="7526856.7274824446"/>
    <n v="2939805.74"/>
    <n v="0"/>
    <n v="7526856.7274824446"/>
    <n v="466884"/>
    <n v="0"/>
    <n v="0"/>
    <n v="0"/>
    <n v="0"/>
    <n v="466884"/>
    <n v="0"/>
    <n v="7993740.7274824446"/>
    <n v="7461641.5716070067"/>
    <n v="0"/>
    <n v="532099.15587543789"/>
    <n v="0"/>
    <n v="532099.15587543789"/>
    <n v="7461641.5716070067"/>
    <n v="2462341.718630312"/>
    <n v="2099453.2799999998"/>
    <n v="692819.58239999984"/>
    <m/>
    <n v="0"/>
    <n v="7993740.7274824446"/>
    <n v="2637934.4400692065"/>
    <n v="5894287.4474824443"/>
    <n v="1945114.8576692068"/>
    <n v="1945114.8576692068"/>
    <n v="2637934.4400692065"/>
    <n v="0"/>
    <n v="0"/>
    <n v="0"/>
    <n v="0"/>
    <n v="0"/>
    <n v="0"/>
    <n v="0"/>
    <n v="0"/>
    <n v="0"/>
    <n v="0"/>
    <n v="0"/>
    <n v="0"/>
    <n v="0"/>
    <n v="0"/>
    <n v="7461641.5716070067"/>
    <n v="2462341.71"/>
    <n v="5362188.2916070074"/>
    <n v="1769522.1276000002"/>
    <n v="4950479.93"/>
    <n v="1633658.37"/>
    <m/>
    <n v="6.899999687448144E-3"/>
  </r>
  <r>
    <x v="6"/>
    <s v="Tarrant"/>
    <n v="-7030239.1748027746"/>
    <n v="45182.31781487487"/>
    <n v="0"/>
    <n v="45182.31781487487"/>
    <n v="13449277.76755265"/>
    <n v="0"/>
    <n v="0"/>
    <n v="13449277.76755265"/>
    <n v="0"/>
    <n v="0"/>
    <n v="0"/>
    <n v="0"/>
    <n v="0"/>
    <n v="0"/>
    <n v="0"/>
    <n v="13449277.76755265"/>
    <n v="6323118.8558885818"/>
    <n v="0"/>
    <n v="7126158.9116640678"/>
    <n v="0"/>
    <n v="7126158.9116640678"/>
    <n v="6323118.8558885818"/>
    <n v="2086629.2224432318"/>
    <n v="6912798.25"/>
    <n v="2281223.4224999999"/>
    <m/>
    <n v="0"/>
    <n v="13449277.76755265"/>
    <n v="4438261.6632923735"/>
    <n v="6536479.5175526496"/>
    <n v="2157038.2407923737"/>
    <n v="2157038.2407923737"/>
    <n v="4438261.6632923735"/>
    <n v="0"/>
    <n v="0"/>
    <n v="0"/>
    <n v="0"/>
    <n v="0"/>
    <n v="0"/>
    <n v="0"/>
    <n v="0"/>
    <n v="0"/>
    <n v="0"/>
    <n v="0"/>
    <n v="0"/>
    <n v="0"/>
    <n v="0"/>
    <n v="6323118.8558885818"/>
    <n v="2086629.22"/>
    <n v="-589679.39411141817"/>
    <n v="-194594.2024999999"/>
    <n v="0"/>
    <n v="0"/>
    <m/>
    <n v="0"/>
  </r>
  <r>
    <x v="8"/>
    <s v="Cooke"/>
    <n v="34182.918318976001"/>
    <n v="0"/>
    <n v="0"/>
    <n v="0"/>
    <n v="263801.43031961599"/>
    <n v="0"/>
    <n v="0"/>
    <n v="263801.43031961599"/>
    <n v="0"/>
    <n v="0"/>
    <n v="0"/>
    <n v="0"/>
    <n v="0"/>
    <n v="0"/>
    <n v="0"/>
    <n v="263801.43031961599"/>
    <n v="246241.62657101371"/>
    <n v="0"/>
    <n v="17559.80374860228"/>
    <n v="0"/>
    <n v="17559.80374860228"/>
    <n v="246241.62657101371"/>
    <n v="81259.736768434508"/>
    <n v="77839.62"/>
    <n v="25687.074599999996"/>
    <m/>
    <n v="0"/>
    <n v="263801.43031961599"/>
    <n v="87054.472005473261"/>
    <n v="185961.81031961599"/>
    <n v="61367.397405473268"/>
    <n v="61367.397405473268"/>
    <n v="87054.472005473261"/>
    <n v="0"/>
    <n v="0"/>
    <n v="0"/>
    <n v="0"/>
    <n v="0"/>
    <n v="0"/>
    <n v="0"/>
    <n v="0"/>
    <n v="0"/>
    <n v="0"/>
    <n v="0"/>
    <n v="0"/>
    <n v="0"/>
    <n v="0"/>
    <n v="246241.62657101371"/>
    <n v="81259.73"/>
    <n v="168402.00657101371"/>
    <n v="55572.655400000003"/>
    <n v="155472.10999999999"/>
    <n v="51305.79"/>
    <m/>
    <n v="6.2999999863677658E-3"/>
  </r>
  <r>
    <x v="9"/>
    <s v="Knox"/>
    <n v="353998.55007964146"/>
    <n v="460674.7798034391"/>
    <n v="388584.0219068416"/>
    <n v="72090.757896597497"/>
    <n v="720643.83241177595"/>
    <n v="189990.08000000002"/>
    <n v="0"/>
    <n v="720643.83241177595"/>
    <n v="0"/>
    <n v="0"/>
    <n v="0"/>
    <n v="0"/>
    <n v="0"/>
    <n v="0"/>
    <n v="0"/>
    <n v="720643.83241177595"/>
    <n v="672674.55394933687"/>
    <n v="0"/>
    <n v="47969.278462439077"/>
    <n v="0"/>
    <n v="47969.278462439077"/>
    <n v="672674.55394933687"/>
    <n v="221982.60280328113"/>
    <n v="89693.27"/>
    <n v="29598.779099999996"/>
    <m/>
    <n v="0"/>
    <n v="720643.83241177595"/>
    <n v="237812.46469588604"/>
    <n v="630950.56241177593"/>
    <n v="208213.68559588605"/>
    <n v="208213.68559588605"/>
    <n v="237812.46469588604"/>
    <n v="0"/>
    <n v="0"/>
    <n v="0"/>
    <n v="0"/>
    <n v="0"/>
    <n v="0"/>
    <n v="0"/>
    <n v="0"/>
    <n v="0"/>
    <n v="0"/>
    <n v="0"/>
    <n v="0"/>
    <n v="0"/>
    <n v="0"/>
    <n v="672674.55394933687"/>
    <n v="221982.6"/>
    <n v="582981.28394933685"/>
    <n v="192383.82090000002"/>
    <n v="538220.03"/>
    <n v="177612.61"/>
    <m/>
    <n v="-1.0000000474974513E-4"/>
  </r>
  <r>
    <x v="9"/>
    <s v="Hardeman"/>
    <n v="664396.14677578246"/>
    <n v="420822.3262247832"/>
    <n v="359409.5686820352"/>
    <n v="61412.757542748004"/>
    <n v="589456.21053311997"/>
    <n v="274426.25"/>
    <n v="0"/>
    <n v="589456.21053311997"/>
    <n v="0"/>
    <n v="0"/>
    <n v="0"/>
    <n v="0"/>
    <n v="0"/>
    <n v="0"/>
    <n v="0"/>
    <n v="589456.21053311997"/>
    <n v="550219.36726500106"/>
    <n v="0"/>
    <n v="39236.843268118915"/>
    <n v="0"/>
    <n v="39236.843268118915"/>
    <n v="550219.36726500106"/>
    <n v="181572.39119745031"/>
    <n v="114119.17"/>
    <n v="37659.326099999998"/>
    <m/>
    <n v="0"/>
    <n v="589456.21053311997"/>
    <n v="194520.54947592955"/>
    <n v="475337.04053311999"/>
    <n v="156861.22337592955"/>
    <n v="156861.22337592955"/>
    <n v="194520.54947592955"/>
    <n v="0"/>
    <n v="0"/>
    <n v="0"/>
    <n v="0"/>
    <n v="0"/>
    <n v="0"/>
    <n v="0"/>
    <n v="0"/>
    <n v="0"/>
    <n v="0"/>
    <n v="0"/>
    <n v="0"/>
    <n v="0"/>
    <n v="0"/>
    <n v="550219.36726500106"/>
    <n v="181572.39"/>
    <n v="436100.19726500107"/>
    <n v="143913.06390000001"/>
    <n v="402616.46"/>
    <n v="132863.43"/>
    <m/>
    <n v="1.799999998183921E-3"/>
  </r>
  <r>
    <x v="1"/>
    <s v="Nueces"/>
    <n v="26066255.855173275"/>
    <n v="91982878.35251455"/>
    <n v="54740464.488919735"/>
    <n v="37242413.863594815"/>
    <n v="85709652.099031463"/>
    <n v="35605255.509999998"/>
    <n v="0"/>
    <n v="85709652.099031463"/>
    <n v="592378"/>
    <n v="0"/>
    <n v="5424240.7488688184"/>
    <n v="0"/>
    <n v="13554631.759670392"/>
    <n v="19571250.508539211"/>
    <n v="0"/>
    <n v="105280902.60757068"/>
    <n v="49497353.831813745"/>
    <n v="0"/>
    <n v="55783548.775756933"/>
    <n v="0"/>
    <n v="55783548.775756933"/>
    <n v="49497353.831813745"/>
    <n v="16334126.764498534"/>
    <n v="47405870.060000002"/>
    <n v="15643937.1198"/>
    <m/>
    <n v="0"/>
    <n v="105280902.60757068"/>
    <n v="34742697.860498317"/>
    <n v="57875032.547570676"/>
    <n v="19098760.740698315"/>
    <n v="19098760.740698315"/>
    <n v="34742697.860498317"/>
    <n v="0"/>
    <n v="0"/>
    <n v="0"/>
    <n v="0"/>
    <n v="0"/>
    <n v="0"/>
    <n v="0"/>
    <n v="0"/>
    <n v="0"/>
    <n v="0"/>
    <n v="0"/>
    <n v="0"/>
    <n v="0"/>
    <n v="0"/>
    <n v="49497353.831813745"/>
    <n v="16334126.76"/>
    <n v="2091483.7718137428"/>
    <n v="690189.64020000026"/>
    <n v="1930899.83"/>
    <n v="637196.93999999994"/>
    <m/>
    <n v="3.9000000106170774E-3"/>
  </r>
  <r>
    <x v="4"/>
    <s v="Dallas"/>
    <n v="2597072.465707087"/>
    <n v="0"/>
    <n v="0"/>
    <n v="0"/>
    <n v="23369052.362785101"/>
    <n v="0"/>
    <n v="0"/>
    <n v="23369052.362785101"/>
    <n v="0"/>
    <n v="0"/>
    <n v="0"/>
    <n v="0"/>
    <n v="0"/>
    <n v="0"/>
    <n v="0"/>
    <n v="23369052.362785101"/>
    <n v="10986857.30142837"/>
    <n v="0"/>
    <n v="12382195.061356731"/>
    <n v="0"/>
    <n v="12382195.061356731"/>
    <n v="10986857.30142837"/>
    <n v="3625662.9094713619"/>
    <n v="8644909.3100000005"/>
    <n v="2852820.0722999997"/>
    <m/>
    <n v="0"/>
    <n v="23369052.362785101"/>
    <n v="7711787.2797190826"/>
    <n v="14724143.0527851"/>
    <n v="4858967.2074190825"/>
    <n v="4858967.2074190825"/>
    <n v="7711787.2797190826"/>
    <n v="0"/>
    <n v="0"/>
    <n v="0"/>
    <n v="0"/>
    <n v="0"/>
    <n v="0"/>
    <n v="0"/>
    <n v="0"/>
    <n v="0"/>
    <n v="0"/>
    <n v="0"/>
    <n v="0"/>
    <n v="0"/>
    <n v="0"/>
    <n v="10986857.30142837"/>
    <n v="3625662.9"/>
    <n v="2341947.9914283697"/>
    <n v="772842.82770000026"/>
    <n v="2162133.4300000002"/>
    <n v="713504.02"/>
    <m/>
    <n v="1.18999999249354E-2"/>
  </r>
  <r>
    <x v="9"/>
    <s v="Sutton"/>
    <n v="205306.83984491523"/>
    <n v="700081.84322014253"/>
    <n v="732831.02268346888"/>
    <n v="0"/>
    <n v="825468.35513067513"/>
    <n v="158491.09000000003"/>
    <n v="0"/>
    <n v="825468.35513067513"/>
    <n v="32392.1"/>
    <n v="0"/>
    <n v="0"/>
    <n v="0"/>
    <n v="0"/>
    <n v="32392.1"/>
    <n v="0"/>
    <n v="857860.45513067511"/>
    <n v="800757.42419740744"/>
    <n v="0"/>
    <n v="57103.03093326767"/>
    <n v="0"/>
    <n v="57103.03093326767"/>
    <n v="800757.42419740744"/>
    <n v="264249.94998514443"/>
    <n v="326694.92"/>
    <n v="107809.32359999999"/>
    <m/>
    <n v="0"/>
    <n v="857860.45513067511"/>
    <n v="283093.95019312273"/>
    <n v="531165.53513067518"/>
    <n v="175284.62659312272"/>
    <n v="175284.62659312272"/>
    <n v="283093.95019312273"/>
    <n v="0"/>
    <n v="0"/>
    <n v="0"/>
    <n v="0"/>
    <n v="0"/>
    <n v="0"/>
    <n v="0"/>
    <n v="0"/>
    <n v="0"/>
    <n v="0"/>
    <n v="0"/>
    <n v="0"/>
    <n v="0"/>
    <n v="0"/>
    <n v="800757.42419740744"/>
    <n v="264249.94"/>
    <n v="474062.50419740746"/>
    <n v="156440.6164"/>
    <n v="437664.03"/>
    <n v="144429.12"/>
    <m/>
    <n v="9.9000000045634806E-3"/>
  </r>
  <r>
    <x v="9"/>
    <s v="Uvalde"/>
    <n v="-2989397.430003711"/>
    <n v="5291141.8054470727"/>
    <n v="2317302.6251429375"/>
    <n v="2973839.1803041352"/>
    <n v="5969130.7527212035"/>
    <n v="2231841.91"/>
    <n v="2231841.91"/>
    <n v="3737288.8427212033"/>
    <n v="289526"/>
    <n v="0"/>
    <n v="0"/>
    <n v="0"/>
    <n v="0"/>
    <n v="289526"/>
    <n v="0"/>
    <n v="4026814.8427212033"/>
    <n v="3758772.026257046"/>
    <n v="0"/>
    <n v="268042.81646415731"/>
    <n v="0"/>
    <n v="268042.81646415731"/>
    <n v="3758772.026257046"/>
    <n v="1240394.768664825"/>
    <n v="2456082.35"/>
    <n v="810507.1754999999"/>
    <m/>
    <n v="0"/>
    <n v="4026814.8427212033"/>
    <n v="1328848.8980979968"/>
    <n v="1570732.4927212032"/>
    <n v="518341.72259799694"/>
    <n v="518341.72259799694"/>
    <n v="1328848.8980979968"/>
    <n v="0"/>
    <n v="0"/>
    <n v="0"/>
    <n v="0"/>
    <n v="0"/>
    <n v="0"/>
    <n v="0"/>
    <n v="0"/>
    <n v="0"/>
    <n v="0"/>
    <n v="0"/>
    <n v="0"/>
    <n v="0"/>
    <n v="0"/>
    <n v="3758772.026257046"/>
    <n v="1240394.76"/>
    <n v="1302689.6762570459"/>
    <n v="429887.58450000011"/>
    <n v="1202669.27"/>
    <n v="396880.85"/>
    <m/>
    <n v="9.0999999665655196E-3"/>
  </r>
  <r>
    <x v="0"/>
    <s v="Gonzales"/>
    <n v="1152688.3906338303"/>
    <n v="2088464.9822849778"/>
    <n v="1206404.7346960898"/>
    <n v="882060.24758888804"/>
    <n v="1850970.3256276737"/>
    <n v="1521509.6400000001"/>
    <n v="0"/>
    <n v="1850970.3256276737"/>
    <n v="0"/>
    <n v="0"/>
    <n v="0"/>
    <n v="0"/>
    <n v="0"/>
    <n v="0"/>
    <n v="0"/>
    <n v="1850970.3256276737"/>
    <n v="1727761.4574152122"/>
    <n v="0"/>
    <n v="123208.86821246147"/>
    <n v="0"/>
    <n v="123208.86821246147"/>
    <n v="1727761.4574152122"/>
    <n v="570161.28094701993"/>
    <n v="650421.37"/>
    <n v="214639.05209999997"/>
    <m/>
    <n v="0"/>
    <n v="1850970.3256276737"/>
    <n v="610820.20745713229"/>
    <n v="1200548.9556276738"/>
    <n v="396181.15535713232"/>
    <n v="396181.15535713232"/>
    <n v="610820.20745713229"/>
    <n v="0"/>
    <n v="0"/>
    <n v="0"/>
    <n v="0"/>
    <n v="0"/>
    <n v="0"/>
    <n v="0"/>
    <n v="0"/>
    <n v="0"/>
    <n v="0"/>
    <n v="0"/>
    <n v="0"/>
    <n v="0"/>
    <n v="0"/>
    <n v="1727761.4574152122"/>
    <n v="570161.28"/>
    <n v="1077340.0874152123"/>
    <n v="355522.22790000006"/>
    <n v="994622.01"/>
    <n v="328225.26"/>
    <m/>
    <n v="3.2999999821186066E-3"/>
  </r>
  <r>
    <x v="9"/>
    <s v="Wheeler"/>
    <n v="156388.66182571521"/>
    <n v="280509.8583850612"/>
    <n v="118033.80809328641"/>
    <n v="162476.05029177479"/>
    <n v="661696.70500881912"/>
    <n v="142103.81"/>
    <n v="0"/>
    <n v="661696.70500881912"/>
    <n v="7573"/>
    <n v="0"/>
    <n v="0"/>
    <n v="0"/>
    <n v="0"/>
    <n v="7573"/>
    <n v="0"/>
    <n v="669269.70500881912"/>
    <n v="624720.1183723819"/>
    <n v="0"/>
    <n v="44549.58663643722"/>
    <n v="0"/>
    <n v="44549.58663643722"/>
    <n v="624720.1183723819"/>
    <n v="206157.63906288601"/>
    <n v="296952.51"/>
    <n v="97994.328299999994"/>
    <m/>
    <n v="0"/>
    <n v="669269.70500881912"/>
    <n v="220859.00265291028"/>
    <n v="372317.19500881911"/>
    <n v="122864.67435291028"/>
    <n v="122864.67435291028"/>
    <n v="220859.00265291028"/>
    <n v="0"/>
    <n v="0"/>
    <n v="0"/>
    <n v="0"/>
    <n v="0"/>
    <n v="0"/>
    <n v="0"/>
    <n v="0"/>
    <n v="0"/>
    <n v="0"/>
    <n v="0"/>
    <n v="0"/>
    <n v="0"/>
    <n v="0"/>
    <n v="624720.1183723819"/>
    <n v="206157.63"/>
    <n v="327767.60837238189"/>
    <n v="108163.30170000001"/>
    <n v="302601.64"/>
    <n v="99858.53"/>
    <m/>
    <n v="1.1199999993550591E-2"/>
  </r>
  <r>
    <x v="0"/>
    <s v="Erath"/>
    <n v="-2322.5349468868935"/>
    <n v="4312111.0670278156"/>
    <n v="3276569.2354518087"/>
    <n v="1035541.831576007"/>
    <n v="3909506.4178712885"/>
    <n v="0"/>
    <n v="0"/>
    <n v="3909506.4178712885"/>
    <n v="0"/>
    <n v="0"/>
    <n v="0"/>
    <n v="0"/>
    <n v="0"/>
    <n v="0"/>
    <n v="0"/>
    <n v="3909506.4178712885"/>
    <n v="3649272.1751359636"/>
    <n v="0"/>
    <n v="260234.24273532489"/>
    <n v="0"/>
    <n v="260234.24273532489"/>
    <n v="3649272.1751359636"/>
    <n v="1204259.8177948678"/>
    <n v="1963947.74"/>
    <n v="648102.75419999997"/>
    <m/>
    <n v="0"/>
    <n v="3909506.4178712885"/>
    <n v="1290137.117897525"/>
    <n v="1945558.6778712885"/>
    <n v="642034.363697525"/>
    <n v="642034.363697525"/>
    <n v="1290137.117897525"/>
    <n v="0"/>
    <n v="0"/>
    <n v="0"/>
    <n v="0"/>
    <n v="0"/>
    <n v="0"/>
    <n v="0"/>
    <n v="0"/>
    <n v="0"/>
    <n v="0"/>
    <n v="0"/>
    <n v="0"/>
    <n v="0"/>
    <n v="0"/>
    <n v="3649272.1751359636"/>
    <n v="1204259.81"/>
    <n v="1685324.4351359636"/>
    <n v="556157.05580000009"/>
    <n v="1555925.37"/>
    <n v="513455.35999999999"/>
    <m/>
    <n v="1.2099999992642552E-2"/>
  </r>
  <r>
    <x v="9"/>
    <s v="Upton"/>
    <n v="185089.11000634878"/>
    <n v="0"/>
    <n v="0"/>
    <n v="0"/>
    <n v="1152043.2410953983"/>
    <n v="0"/>
    <n v="0"/>
    <n v="1152043.2410953983"/>
    <n v="0"/>
    <n v="0"/>
    <n v="0"/>
    <n v="0"/>
    <n v="0"/>
    <n v="0"/>
    <n v="0"/>
    <n v="1152043.2410953983"/>
    <n v="1075358.0874211779"/>
    <n v="0"/>
    <n v="76685.153674220433"/>
    <n v="0"/>
    <n v="76685.153674220433"/>
    <n v="1075358.0874211779"/>
    <n v="354868.16884898866"/>
    <n v="190393.44"/>
    <n v="62829.835199999994"/>
    <m/>
    <n v="0"/>
    <n v="1152043.2410953983"/>
    <n v="380174.26956148137"/>
    <n v="961649.80109539838"/>
    <n v="317344.4343614814"/>
    <n v="317344.4343614814"/>
    <n v="380174.26956148137"/>
    <n v="0"/>
    <n v="0"/>
    <n v="0"/>
    <n v="0"/>
    <n v="0"/>
    <n v="0"/>
    <n v="0"/>
    <n v="0"/>
    <n v="0"/>
    <n v="0"/>
    <n v="0"/>
    <n v="0"/>
    <n v="0"/>
    <n v="0"/>
    <n v="1075358.0874211779"/>
    <n v="354868.16"/>
    <n v="884964.64742117794"/>
    <n v="292038.3248"/>
    <n v="817017.14"/>
    <n v="269615.65000000002"/>
    <m/>
    <n v="6.1999999452382326E-3"/>
  </r>
  <r>
    <x v="9"/>
    <s v="Reagan"/>
    <n v="230436.41772211198"/>
    <n v="0"/>
    <n v="0"/>
    <n v="0"/>
    <n v="778455.61460692482"/>
    <n v="0"/>
    <n v="0"/>
    <n v="778455.61460692482"/>
    <n v="0"/>
    <n v="0"/>
    <n v="0"/>
    <n v="0"/>
    <n v="0"/>
    <n v="0"/>
    <n v="0"/>
    <n v="778455.61460692482"/>
    <n v="726638.12520615291"/>
    <n v="0"/>
    <n v="51817.489400771912"/>
    <n v="0"/>
    <n v="51817.489400771912"/>
    <n v="726638.12520615291"/>
    <n v="239790.58131803042"/>
    <n v="244753.57"/>
    <n v="80768.67809999999"/>
    <m/>
    <n v="0"/>
    <n v="778455.61460692482"/>
    <n v="256890.35282028516"/>
    <n v="533702.04460692476"/>
    <n v="176121.67472028517"/>
    <n v="176121.67472028517"/>
    <n v="256890.35282028516"/>
    <n v="0"/>
    <n v="0"/>
    <n v="0"/>
    <n v="0"/>
    <n v="0"/>
    <n v="0"/>
    <n v="0"/>
    <n v="0"/>
    <n v="0"/>
    <n v="0"/>
    <n v="0"/>
    <n v="0"/>
    <n v="0"/>
    <n v="0"/>
    <n v="726638.12520615291"/>
    <n v="239790.58"/>
    <n v="481884.5552061529"/>
    <n v="159021.9019"/>
    <n v="444885.5"/>
    <n v="146812.21"/>
    <m/>
    <n v="5.0000000046566129E-3"/>
  </r>
  <r>
    <x v="2"/>
    <s v="Harris"/>
    <n v="-22428134.639778994"/>
    <n v="41282094.522734188"/>
    <n v="33497802.223406121"/>
    <n v="7784292.2993280664"/>
    <n v="41845101.705029562"/>
    <n v="13909533.569999998"/>
    <n v="13909533.569999998"/>
    <n v="27935568.135029562"/>
    <n v="1330032"/>
    <n v="0"/>
    <n v="0"/>
    <n v="0"/>
    <n v="5244623.4115972705"/>
    <n v="6574655.4115972705"/>
    <n v="0"/>
    <n v="34510223.546626836"/>
    <n v="16224829.987158047"/>
    <n v="0"/>
    <n v="18285393.559468791"/>
    <n v="0"/>
    <n v="18285393.559468791"/>
    <n v="16224829.987158047"/>
    <n v="5354193.8957621548"/>
    <n v="15909551.970000001"/>
    <n v="5250152.1500999993"/>
    <m/>
    <n v="0"/>
    <n v="34510223.546626836"/>
    <n v="11388373.770386854"/>
    <n v="18600671.576626837"/>
    <n v="6138221.6202868549"/>
    <n v="6138221.6202868549"/>
    <n v="11388373.770386854"/>
    <n v="0"/>
    <n v="0"/>
    <n v="0"/>
    <n v="0"/>
    <n v="0"/>
    <n v="0"/>
    <n v="0"/>
    <n v="0"/>
    <n v="0"/>
    <n v="0"/>
    <n v="0"/>
    <n v="0"/>
    <n v="0"/>
    <n v="0"/>
    <n v="16224829.987158047"/>
    <n v="5354193.8899999997"/>
    <n v="315278.01715804636"/>
    <n v="104041.73990000039"/>
    <n v="291071"/>
    <n v="96053.42"/>
    <m/>
    <n v="9.9999999947613105E-3"/>
  </r>
  <r>
    <x v="0"/>
    <s v="Jackson"/>
    <n v="384073.11568765459"/>
    <n v="1588948.7341524728"/>
    <n v="771349.41542453761"/>
    <n v="817599.3187279352"/>
    <n v="1290015.0088159489"/>
    <n v="500796.14"/>
    <n v="0"/>
    <n v="1290015.0088159489"/>
    <n v="0"/>
    <n v="0"/>
    <n v="0"/>
    <n v="0"/>
    <n v="0"/>
    <n v="0"/>
    <n v="0"/>
    <n v="1290015.0088159489"/>
    <n v="1204145.8368402156"/>
    <n v="0"/>
    <n v="85869.171975733247"/>
    <n v="0"/>
    <n v="85869.171975733247"/>
    <n v="1204145.8368402156"/>
    <n v="397368.12615727109"/>
    <n v="547356.73"/>
    <n v="180627.72089999999"/>
    <m/>
    <n v="0"/>
    <n v="1290015.0088159489"/>
    <n v="425704.95290926308"/>
    <n v="742658.27881594887"/>
    <n v="245077.2320092631"/>
    <n v="245077.2320092631"/>
    <n v="425704.95290926308"/>
    <n v="0"/>
    <n v="0"/>
    <n v="0"/>
    <n v="0"/>
    <n v="0"/>
    <n v="0"/>
    <n v="0"/>
    <n v="0"/>
    <n v="0"/>
    <n v="0"/>
    <n v="0"/>
    <n v="0"/>
    <n v="0"/>
    <n v="0"/>
    <n v="1204145.8368402156"/>
    <n v="397368.12"/>
    <n v="656789.10684021562"/>
    <n v="216740.39910000001"/>
    <n v="606360.9"/>
    <n v="200099.09"/>
    <m/>
    <n v="6.9999999832361937E-3"/>
  </r>
  <r>
    <x v="8"/>
    <s v="Anderson"/>
    <n v="-3861542.3568734201"/>
    <n v="11648617.456969345"/>
    <n v="2082357.6713321984"/>
    <n v="9566259.7856371459"/>
    <n v="2108372.9406648832"/>
    <n v="2845592.07"/>
    <n v="0"/>
    <n v="2108372.9406648832"/>
    <n v="1042613"/>
    <n v="0"/>
    <n v="0"/>
    <n v="0"/>
    <n v="0"/>
    <n v="1042613"/>
    <n v="0"/>
    <n v="3150985.9406648832"/>
    <n v="2941242.2153725568"/>
    <n v="0"/>
    <n v="209743.72529232642"/>
    <n v="0"/>
    <n v="209743.72529232642"/>
    <n v="2941242.2153725568"/>
    <n v="970609.93107294361"/>
    <n v="1496770.33"/>
    <n v="493934.20889999997"/>
    <m/>
    <n v="0"/>
    <n v="3150985.9406648832"/>
    <n v="1039825.3604194113"/>
    <n v="1654215.6106648832"/>
    <n v="545891.15151941136"/>
    <n v="545891.15151941136"/>
    <n v="1039825.3604194113"/>
    <n v="0"/>
    <n v="0"/>
    <n v="0"/>
    <n v="0"/>
    <n v="0"/>
    <n v="0"/>
    <n v="0"/>
    <n v="0"/>
    <n v="0"/>
    <n v="0"/>
    <n v="0"/>
    <n v="0"/>
    <n v="0"/>
    <n v="0"/>
    <n v="2941242.2153725568"/>
    <n v="970609.93"/>
    <n v="1444471.8853725567"/>
    <n v="476675.72110000008"/>
    <n v="1333565.46"/>
    <n v="440076.6"/>
    <m/>
    <n v="1.7999999690800905E-3"/>
  </r>
  <r>
    <x v="4"/>
    <s v="Ellis"/>
    <n v="694122.35586104332"/>
    <n v="0"/>
    <n v="0"/>
    <n v="0"/>
    <n v="999879.7004129024"/>
    <n v="0"/>
    <n v="0"/>
    <n v="999879.7004129024"/>
    <n v="173045"/>
    <n v="0"/>
    <n v="123604"/>
    <n v="0"/>
    <n v="792348.01751970476"/>
    <n v="1088997.0175197048"/>
    <n v="0"/>
    <n v="2088876.717932607"/>
    <n v="982076.21190277534"/>
    <n v="0"/>
    <n v="1106800.5060298317"/>
    <n v="0"/>
    <n v="1106800.5060298317"/>
    <n v="982076.21190277534"/>
    <n v="324085.14992791583"/>
    <n v="901424.05"/>
    <n v="297469.93649999995"/>
    <m/>
    <n v="0"/>
    <n v="2088876.717932607"/>
    <n v="689329.3169177603"/>
    <n v="1187452.667932607"/>
    <n v="391859.38041776035"/>
    <n v="391859.38041776035"/>
    <n v="689329.3169177603"/>
    <n v="0"/>
    <n v="0"/>
    <n v="0"/>
    <n v="0"/>
    <n v="0"/>
    <n v="0"/>
    <n v="0"/>
    <n v="0"/>
    <n v="0"/>
    <n v="0"/>
    <n v="0"/>
    <n v="0"/>
    <n v="0"/>
    <n v="0"/>
    <n v="982076.21190277534"/>
    <n v="324085.14"/>
    <n v="80652.161902775289"/>
    <n v="26615.203500000061"/>
    <n v="74459.7"/>
    <n v="24571.69"/>
    <m/>
    <n v="1.0999999998603016E-2"/>
  </r>
  <r>
    <x v="2"/>
    <s v="Harris"/>
    <n v="-1032119.8096962507"/>
    <n v="2060135.929383819"/>
    <n v="115662.9826649647"/>
    <n v="1944472.9467188544"/>
    <n v="118739.61547983586"/>
    <n v="943202.78"/>
    <n v="30849.642977396492"/>
    <n v="87889.97250243937"/>
    <n v="0"/>
    <n v="0"/>
    <n v="0"/>
    <n v="0"/>
    <n v="0"/>
    <n v="0"/>
    <n v="0"/>
    <n v="87889.97250243937"/>
    <n v="41321.084446219342"/>
    <n v="0"/>
    <n v="46568.888056220028"/>
    <n v="0"/>
    <n v="46568.888056220028"/>
    <n v="41321.084446219342"/>
    <n v="13635.95786725238"/>
    <n v="0"/>
    <n v="0"/>
    <m/>
    <n v="0"/>
    <n v="87889.97250243937"/>
    <n v="29003.690925804989"/>
    <n v="87889.97250243937"/>
    <n v="29003.690925804989"/>
    <n v="29003.690925804989"/>
    <n v="29003.690925804989"/>
    <n v="0"/>
    <n v="0"/>
    <n v="0"/>
    <n v="0"/>
    <n v="0"/>
    <n v="0"/>
    <n v="0"/>
    <n v="0"/>
    <n v="0"/>
    <n v="0"/>
    <n v="0"/>
    <n v="0"/>
    <n v="0"/>
    <n v="0"/>
    <n v="41321.084446219342"/>
    <n v="13635.95"/>
    <n v="41321.084446219342"/>
    <n v="13635.95"/>
    <n v="38148.46"/>
    <n v="12588.98"/>
    <m/>
    <n v="1.17999999984022E-2"/>
  </r>
  <r>
    <x v="12"/>
    <s v="Floyd"/>
    <n v="243438.36407511035"/>
    <n v="0"/>
    <n v="0"/>
    <n v="0"/>
    <n v="331950.08926087676"/>
    <n v="0"/>
    <n v="0"/>
    <n v="331950.08926087676"/>
    <n v="0"/>
    <n v="0"/>
    <n v="0"/>
    <n v="0"/>
    <n v="0"/>
    <n v="0"/>
    <n v="0"/>
    <n v="331950.08926087676"/>
    <n v="309854.0057988207"/>
    <n v="0"/>
    <n v="22096.083462056064"/>
    <n v="0"/>
    <n v="22096.083462056064"/>
    <n v="309854.0057988207"/>
    <n v="102251.82191361082"/>
    <n v="118153.3"/>
    <n v="38990.588999999993"/>
    <m/>
    <n v="0"/>
    <n v="331950.08926087676"/>
    <n v="109543.52945608932"/>
    <n v="213796.78926087677"/>
    <n v="70552.940456089331"/>
    <n v="70552.940456089331"/>
    <n v="109543.52945608932"/>
    <n v="0"/>
    <n v="0"/>
    <n v="0"/>
    <n v="0"/>
    <n v="0"/>
    <n v="0"/>
    <n v="0"/>
    <n v="0"/>
    <n v="0"/>
    <n v="0"/>
    <n v="0"/>
    <n v="0"/>
    <n v="0"/>
    <n v="0"/>
    <n v="309854.0057988207"/>
    <n v="102251.82"/>
    <n v="191700.70579882071"/>
    <n v="63261.231000000014"/>
    <n v="176981.94"/>
    <n v="58404.04"/>
    <m/>
    <n v="1.9999999494757503E-4"/>
  </r>
  <r>
    <x v="6"/>
    <s v="Tarrant"/>
    <n v="43917165.363418907"/>
    <n v="327075348.36981493"/>
    <n v="260261977.6557712"/>
    <n v="66813370.714043736"/>
    <n v="288897118.90080148"/>
    <n v="122419747.52"/>
    <n v="11689211.442537352"/>
    <n v="277207907.45826411"/>
    <n v="57800101"/>
    <n v="2940953"/>
    <n v="0"/>
    <n v="0"/>
    <n v="0"/>
    <n v="60741054"/>
    <n v="79519814.782457203"/>
    <n v="417468776.24072134"/>
    <n v="196271111.08976528"/>
    <n v="0"/>
    <n v="141677850.36849883"/>
    <n v="0"/>
    <n v="141677850.36849883"/>
    <n v="196271111.08976528"/>
    <n v="64769466.659622535"/>
    <n v="159312733.88999999"/>
    <n v="52573202.183699988"/>
    <m/>
    <n v="0"/>
    <n v="337948961.45826411"/>
    <n v="111523157.28122714"/>
    <n v="178636227.56826413"/>
    <n v="58949955.097527154"/>
    <n v="58949955.097527154"/>
    <n v="111523157.28122714"/>
    <n v="0"/>
    <n v="0"/>
    <n v="0"/>
    <n v="0"/>
    <n v="0"/>
    <n v="0"/>
    <n v="0"/>
    <n v="0"/>
    <n v="0"/>
    <n v="0"/>
    <n v="0"/>
    <n v="0"/>
    <n v="0"/>
    <n v="0"/>
    <n v="196271111.08976528"/>
    <n v="64769466.649999999"/>
    <n v="36958377.199765295"/>
    <n v="12196264.466300011"/>
    <n v="34120716.170000002"/>
    <n v="11259836.310000001"/>
    <m/>
    <n v="2.6099998503923416E-2"/>
  </r>
  <r>
    <x v="4"/>
    <s v="Dallas"/>
    <n v="818142.24805719091"/>
    <n v="29217956.069285478"/>
    <n v="0"/>
    <n v="29217956.069285478"/>
    <n v="21625105.026616961"/>
    <n v="0"/>
    <n v="0"/>
    <n v="21625105.026616961"/>
    <n v="0"/>
    <n v="0"/>
    <n v="0"/>
    <n v="0"/>
    <n v="2429234"/>
    <n v="2429234"/>
    <n v="0"/>
    <n v="24054339.026616961"/>
    <n v="11309041.815768482"/>
    <n v="0"/>
    <n v="12745297.210848479"/>
    <n v="0"/>
    <n v="12745297.210848479"/>
    <n v="11309041.815768482"/>
    <n v="3731983.7992035989"/>
    <n v="11302966.119999999"/>
    <n v="3729978.8195999991"/>
    <m/>
    <n v="0"/>
    <n v="24054339.026616961"/>
    <n v="7937931.8787835957"/>
    <n v="12751372.906616962"/>
    <n v="4207953.0591835966"/>
    <n v="4207953.0591835966"/>
    <n v="7937931.8787835957"/>
    <n v="0"/>
    <n v="0"/>
    <n v="0"/>
    <n v="0"/>
    <n v="0"/>
    <n v="0"/>
    <n v="0"/>
    <n v="0"/>
    <n v="0"/>
    <n v="0"/>
    <n v="0"/>
    <n v="0"/>
    <n v="0"/>
    <n v="0"/>
    <n v="11309041.815768482"/>
    <n v="3731983.79"/>
    <n v="6075.6957684829831"/>
    <n v="2004.9704000009224"/>
    <n v="5609.2"/>
    <n v="1851.03"/>
    <m/>
    <n v="5.9999999996307452E-3"/>
  </r>
  <r>
    <x v="9"/>
    <s v="Collingsworth"/>
    <n v="447137.54962813429"/>
    <n v="0"/>
    <n v="0"/>
    <n v="0"/>
    <n v="591470.65296650236"/>
    <n v="0"/>
    <n v="0"/>
    <n v="591470.65296650236"/>
    <n v="0"/>
    <n v="0"/>
    <n v="0"/>
    <n v="0"/>
    <n v="0"/>
    <n v="0"/>
    <n v="0"/>
    <n v="591470.65296650236"/>
    <n v="552099.71939511935"/>
    <n v="0"/>
    <n v="39370.933571383008"/>
    <n v="0"/>
    <n v="39370.933571383008"/>
    <n v="552099.71939511935"/>
    <n v="182192.90740038938"/>
    <n v="242997.91"/>
    <n v="80189.310299999997"/>
    <m/>
    <n v="0"/>
    <n v="591470.65296650236"/>
    <n v="195185.31547894576"/>
    <n v="348472.74296650232"/>
    <n v="114996.00517894576"/>
    <n v="114996.00517894576"/>
    <n v="195185.31547894576"/>
    <n v="0"/>
    <n v="0"/>
    <n v="0"/>
    <n v="0"/>
    <n v="0"/>
    <n v="0"/>
    <n v="0"/>
    <n v="0"/>
    <n v="0"/>
    <n v="0"/>
    <n v="0"/>
    <n v="0"/>
    <n v="0"/>
    <n v="0"/>
    <n v="552099.71939511935"/>
    <n v="182192.9"/>
    <n v="309101.80939511932"/>
    <n v="102003.5897"/>
    <n v="285369"/>
    <n v="94171.76"/>
    <m/>
    <n v="9.9999999947613105E-3"/>
  </r>
  <r>
    <x v="6"/>
    <s v="Tarrant"/>
    <n v="4473584.7401631353"/>
    <n v="0"/>
    <n v="0"/>
    <n v="0"/>
    <n v="10853103.29251693"/>
    <n v="0"/>
    <n v="0"/>
    <n v="10853103.29251693"/>
    <n v="0"/>
    <n v="0"/>
    <n v="0"/>
    <n v="0"/>
    <n v="0"/>
    <n v="0"/>
    <n v="0"/>
    <n v="10853103.29251693"/>
    <n v="5102538.8321880093"/>
    <n v="0"/>
    <n v="5750564.4603289207"/>
    <n v="0"/>
    <n v="5750564.4603289207"/>
    <n v="5102538.8321880093"/>
    <n v="1683837.8146220429"/>
    <n v="4194587.5"/>
    <n v="1384213.8749999998"/>
    <m/>
    <n v="0"/>
    <n v="10853103.29251693"/>
    <n v="3581524.0865305867"/>
    <n v="6658515.79251693"/>
    <n v="2197310.2115305867"/>
    <n v="2197310.2115305867"/>
    <n v="3581524.0865305867"/>
    <n v="0"/>
    <n v="0"/>
    <n v="0"/>
    <n v="0"/>
    <n v="0"/>
    <n v="0"/>
    <n v="0"/>
    <n v="0"/>
    <n v="0"/>
    <n v="0"/>
    <n v="0"/>
    <n v="0"/>
    <n v="0"/>
    <n v="0"/>
    <n v="5102538.8321880093"/>
    <n v="1683837.81"/>
    <n v="907951.33218800928"/>
    <n v="299623.93500000029"/>
    <n v="838238.91"/>
    <n v="276618.83"/>
    <m/>
    <n v="1.02999999653548E-2"/>
  </r>
  <r>
    <x v="12"/>
    <s v="Hale"/>
    <n v="-5406126.6213160185"/>
    <n v="4534950.9850132242"/>
    <n v="2598302.0809589759"/>
    <n v="1936648.9040542482"/>
    <n v="3967117.5684111109"/>
    <n v="0"/>
    <n v="0"/>
    <n v="3967117.5684111109"/>
    <n v="0"/>
    <n v="0"/>
    <n v="0"/>
    <n v="0"/>
    <n v="0"/>
    <n v="0"/>
    <n v="0"/>
    <n v="3967117.5684111109"/>
    <n v="3703048.4696782851"/>
    <n v="0"/>
    <n v="264069.09873282583"/>
    <n v="0"/>
    <n v="264069.09873282583"/>
    <n v="3703048.4696782851"/>
    <n v="1222005.9949938338"/>
    <n v="0"/>
    <n v="0"/>
    <m/>
    <n v="0"/>
    <n v="3967117.5684111109"/>
    <n v="1309148.7975756663"/>
    <n v="3967117.5684111109"/>
    <n v="1309148.7975756663"/>
    <n v="1309148.7975756663"/>
    <n v="1309148.7975756663"/>
    <n v="0"/>
    <n v="0"/>
    <n v="0"/>
    <n v="0"/>
    <n v="0"/>
    <n v="0"/>
    <n v="0"/>
    <n v="0"/>
    <n v="0"/>
    <n v="0"/>
    <n v="0"/>
    <n v="0"/>
    <n v="0"/>
    <n v="0"/>
    <n v="3703048.4696782851"/>
    <n v="1222005.99"/>
    <n v="3703048.4696782851"/>
    <n v="1222005.99"/>
    <n v="3418728.73"/>
    <n v="1128180.47"/>
    <m/>
    <n v="1.0899999877437949E-2"/>
  </r>
  <r>
    <x v="0"/>
    <s v="Brazos"/>
    <n v="6323639.3409280544"/>
    <n v="29854790.002391197"/>
    <n v="14075236.270501664"/>
    <n v="15779553.731889533"/>
    <n v="23147860.525204957"/>
    <n v="5169952.45"/>
    <n v="0"/>
    <n v="23147860.525204957"/>
    <n v="776576"/>
    <n v="0"/>
    <n v="0"/>
    <n v="0"/>
    <n v="0"/>
    <n v="776576"/>
    <n v="0"/>
    <n v="23924436.525204957"/>
    <n v="11247968.725428494"/>
    <n v="0"/>
    <n v="12676467.799776463"/>
    <n v="0"/>
    <n v="12676467.799776463"/>
    <n v="11247968.725428494"/>
    <n v="3711829.6793914023"/>
    <n v="11870804.73"/>
    <n v="3917365.5608999995"/>
    <m/>
    <n v="0"/>
    <n v="23924436.525204957"/>
    <n v="7895064.0533176344"/>
    <n v="12053631.795204956"/>
    <n v="3977698.4924176349"/>
    <n v="3977698.4924176349"/>
    <n v="7895064.0533176344"/>
    <n v="0"/>
    <n v="0"/>
    <n v="0"/>
    <n v="0"/>
    <n v="0"/>
    <n v="0"/>
    <n v="0"/>
    <n v="0"/>
    <n v="0"/>
    <n v="0"/>
    <n v="0"/>
    <n v="0"/>
    <n v="0"/>
    <n v="0"/>
    <n v="11247968.725428494"/>
    <n v="3711829.67"/>
    <n v="-622836.00457150675"/>
    <n v="-205535.89089999953"/>
    <n v="0"/>
    <n v="0"/>
    <m/>
    <n v="0"/>
  </r>
  <r>
    <x v="8"/>
    <s v="Smith"/>
    <n v="7025713.9833472259"/>
    <n v="6568811.8672992643"/>
    <n v="3720764.0806880766"/>
    <n v="2848047.7866111877"/>
    <n v="3960339.8166547711"/>
    <n v="12235072.999999998"/>
    <n v="2361311.2300415845"/>
    <n v="1599028.5866131866"/>
    <n v="2260785.9699999997"/>
    <n v="0"/>
    <n v="0"/>
    <n v="0"/>
    <n v="0"/>
    <n v="2260785.9699999997"/>
    <n v="0"/>
    <n v="2260785.9699999997"/>
    <n v="1062898.5915157169"/>
    <n v="0"/>
    <n v="1197887.3784842829"/>
    <n v="0"/>
    <n v="1197887.3784842829"/>
    <n v="1062898.5915157169"/>
    <n v="350756.53520018654"/>
    <n v="1806107.63"/>
    <n v="596015.51789999986"/>
    <m/>
    <n v="0"/>
    <n v="2260785.9699999997"/>
    <n v="746059.37009999983"/>
    <n v="2260785.9699999997"/>
    <n v="746059.37009999983"/>
    <n v="746059.37009999983"/>
    <n v="746059.37009999983"/>
    <n v="0"/>
    <n v="0"/>
    <n v="0"/>
    <n v="0"/>
    <n v="0"/>
    <n v="0"/>
    <n v="0"/>
    <n v="0"/>
    <n v="0"/>
    <n v="0"/>
    <n v="0"/>
    <n v="0"/>
    <n v="0"/>
    <n v="0"/>
    <n v="1062898.5915157169"/>
    <n v="350756.53"/>
    <n v="1062898.5915157169"/>
    <n v="350756.53"/>
    <n v="981289.33"/>
    <n v="323825.46999999997"/>
    <m/>
    <n v="8.8999999570660293E-3"/>
  </r>
  <r>
    <x v="9"/>
    <s v="Kerr"/>
    <n v="788018.88073825324"/>
    <n v="8773103.0456319228"/>
    <n v="4130639.1960936706"/>
    <n v="4642463.8495382518"/>
    <n v="4587313.0134325754"/>
    <n v="0"/>
    <n v="0"/>
    <n v="4587313.0134325754"/>
    <n v="0"/>
    <n v="0"/>
    <n v="0"/>
    <n v="0"/>
    <n v="0"/>
    <n v="0"/>
    <n v="0"/>
    <n v="4587313.0134325754"/>
    <n v="4281960.9304219186"/>
    <n v="0"/>
    <n v="305352.08301065676"/>
    <n v="0"/>
    <n v="305352.08301065676"/>
    <n v="4281960.9304219186"/>
    <n v="1413047.107039233"/>
    <n v="1582302.01"/>
    <n v="522159.66329999996"/>
    <m/>
    <n v="0"/>
    <n v="4587313.0134325754"/>
    <n v="1513813.2944327497"/>
    <n v="3005011.0034325756"/>
    <n v="991653.63113274984"/>
    <n v="991653.63113274984"/>
    <n v="1513813.2944327497"/>
    <n v="0"/>
    <n v="0"/>
    <n v="0"/>
    <n v="0"/>
    <n v="0"/>
    <n v="0"/>
    <n v="0"/>
    <n v="0"/>
    <n v="0"/>
    <n v="0"/>
    <n v="0"/>
    <n v="0"/>
    <n v="0"/>
    <n v="0"/>
    <n v="4281960.9304219186"/>
    <n v="1413047.1"/>
    <n v="2699658.9204219189"/>
    <n v="890887.43670000019"/>
    <n v="2492379.34"/>
    <n v="822485.17"/>
    <m/>
    <n v="1.2199999764561653E-2"/>
  </r>
  <r>
    <x v="4"/>
    <s v="Dallas"/>
    <n v="73620008.60348396"/>
    <n v="573662038.13214755"/>
    <n v="411895734.98911452"/>
    <n v="161766303.14303303"/>
    <n v="530700319.64253604"/>
    <n v="219274678.44999999"/>
    <n v="0"/>
    <n v="530700319.64253604"/>
    <n v="153401988.16999999"/>
    <n v="37658710.859999999"/>
    <n v="0"/>
    <n v="0"/>
    <n v="0"/>
    <n v="191060699.02999997"/>
    <n v="140673696.30999202"/>
    <n v="862434714.98252797"/>
    <n v="405469892.32651144"/>
    <n v="0"/>
    <n v="316291126.34602445"/>
    <n v="0"/>
    <n v="316291126.34602445"/>
    <n v="405469892.32651144"/>
    <n v="133805064.46774876"/>
    <n v="293642729.67000002"/>
    <n v="96902100.791099995"/>
    <m/>
    <n v="0"/>
    <n v="721761018.6725359"/>
    <n v="238181136.16193682"/>
    <n v="428118289.00253588"/>
    <n v="141279035.37083682"/>
    <n v="141279035.37083682"/>
    <n v="238181136.16193682"/>
    <n v="0"/>
    <n v="0"/>
    <n v="0"/>
    <n v="0"/>
    <n v="0"/>
    <n v="0"/>
    <n v="0"/>
    <n v="0"/>
    <n v="0"/>
    <n v="0"/>
    <n v="0"/>
    <n v="0"/>
    <n v="0"/>
    <n v="0"/>
    <n v="405469892.32651144"/>
    <n v="133805064.45999999"/>
    <n v="111827162.65651143"/>
    <n v="36902963.668899998"/>
    <n v="103241082.70999999"/>
    <n v="34069557.229999997"/>
    <m/>
    <n v="6.4300000667572021E-2"/>
  </r>
  <r>
    <x v="9"/>
    <s v="Andrews"/>
    <n v="1668848.2187937286"/>
    <n v="2976010.8671427881"/>
    <n v="1788424.0864989182"/>
    <n v="1187586.7806438699"/>
    <n v="2898127.7682287619"/>
    <n v="1618939.9100000001"/>
    <n v="0"/>
    <n v="2898127.7682287619"/>
    <n v="226985"/>
    <n v="0"/>
    <n v="0"/>
    <n v="0"/>
    <n v="0"/>
    <n v="226985"/>
    <n v="0"/>
    <n v="3125112.7682287619"/>
    <n v="2917091.2770796758"/>
    <n v="0"/>
    <n v="208021.49114908604"/>
    <n v="0"/>
    <n v="208021.49114908604"/>
    <n v="2917091.2770796758"/>
    <n v="962640.12143629289"/>
    <n v="1187742.1100000001"/>
    <n v="391954.89629999996"/>
    <m/>
    <n v="0"/>
    <n v="3125112.7682287619"/>
    <n v="1031287.2135154913"/>
    <n v="1937370.6582287617"/>
    <n v="639332.31721549132"/>
    <n v="639332.31721549132"/>
    <n v="1031287.2135154912"/>
    <n v="0"/>
    <n v="0"/>
    <n v="0"/>
    <n v="0"/>
    <n v="0"/>
    <n v="0"/>
    <n v="0"/>
    <n v="0"/>
    <n v="0"/>
    <n v="0"/>
    <n v="0"/>
    <n v="0"/>
    <n v="0"/>
    <n v="0"/>
    <n v="2917091.2770796758"/>
    <n v="962640.12"/>
    <n v="1729349.1670796757"/>
    <n v="570685.22369999997"/>
    <n v="1596569.89"/>
    <n v="526868.06000000006"/>
    <m/>
    <n v="3.6999998847022653E-3"/>
  </r>
  <r>
    <x v="2"/>
    <s v="Harris"/>
    <n v="39624967.563131705"/>
    <n v="0"/>
    <n v="0"/>
    <n v="0"/>
    <n v="39321724.27512043"/>
    <n v="0"/>
    <n v="0"/>
    <n v="39321724.27512043"/>
    <n v="0"/>
    <n v="0"/>
    <n v="0"/>
    <n v="0"/>
    <n v="0"/>
    <n v="0"/>
    <n v="0"/>
    <n v="39321724.27512043"/>
    <n v="18486935.9163596"/>
    <n v="0"/>
    <n v="20834788.35876083"/>
    <n v="0"/>
    <n v="20834788.35876083"/>
    <n v="18486935.9163596"/>
    <n v="6100688.8523986675"/>
    <n v="16504473.49"/>
    <n v="5446476.251699999"/>
    <m/>
    <n v="0"/>
    <n v="39321724.27512043"/>
    <n v="12976169.010789741"/>
    <n v="22817250.785120428"/>
    <n v="7529692.7590897419"/>
    <n v="7529692.7590897419"/>
    <n v="12976169.010789741"/>
    <n v="0"/>
    <n v="0"/>
    <n v="0"/>
    <n v="0"/>
    <n v="0"/>
    <n v="0"/>
    <n v="0"/>
    <n v="0"/>
    <n v="0"/>
    <n v="0"/>
    <n v="0"/>
    <n v="0"/>
    <n v="0"/>
    <n v="0"/>
    <n v="18486935.9163596"/>
    <n v="6100688.8499999996"/>
    <n v="1982462.4263595995"/>
    <n v="654212.59830000065"/>
    <n v="1830249.13"/>
    <n v="603982.21"/>
    <m/>
    <n v="2.899999963119626E-3"/>
  </r>
  <r>
    <x v="8"/>
    <s v="Wood"/>
    <n v="669076.51206305262"/>
    <n v="0"/>
    <n v="0"/>
    <n v="0"/>
    <n v="2502453.0951960068"/>
    <n v="0"/>
    <n v="0"/>
    <n v="2502453.0951960068"/>
    <n v="151969"/>
    <n v="0"/>
    <n v="7378"/>
    <n v="0"/>
    <n v="154525"/>
    <n v="313872"/>
    <n v="0"/>
    <n v="2816325.0951960068"/>
    <n v="2628857.8934299359"/>
    <n v="0"/>
    <n v="187467.20176607091"/>
    <n v="0"/>
    <n v="187467.20176607091"/>
    <n v="2628857.8934299359"/>
    <n v="867523.10483187879"/>
    <n v="1670591.01"/>
    <n v="551295.03329999989"/>
    <m/>
    <n v="0"/>
    <n v="2816325.0951960068"/>
    <n v="929387.28141468216"/>
    <n v="1145734.0851960068"/>
    <n v="378092.24811468227"/>
    <n v="378092.24811468227"/>
    <n v="929387.28141468216"/>
    <n v="0"/>
    <n v="0"/>
    <n v="0"/>
    <n v="0"/>
    <n v="0"/>
    <n v="0"/>
    <n v="0"/>
    <n v="0"/>
    <n v="0"/>
    <n v="0"/>
    <n v="0"/>
    <n v="0"/>
    <n v="0"/>
    <n v="0"/>
    <n v="2628857.8934299359"/>
    <n v="867523.1"/>
    <n v="958266.8834299359"/>
    <n v="316228.06670000008"/>
    <n v="884691.23"/>
    <n v="291948.09999999998"/>
    <m/>
    <n v="5.8999999891966581E-3"/>
  </r>
  <r>
    <x v="2"/>
    <s v="Fort Bend"/>
    <n v="2412384.3627749342"/>
    <n v="15655346.581744734"/>
    <n v="6895061.842432512"/>
    <n v="8760284.7393122222"/>
    <n v="8895766.7673430536"/>
    <n v="5482586.1299999999"/>
    <n v="0"/>
    <n v="8895766.7673430536"/>
    <n v="1195836"/>
    <n v="0"/>
    <n v="1465783.5435263999"/>
    <n v="0"/>
    <n v="10625912.389045004"/>
    <n v="13287531.932571404"/>
    <n v="0"/>
    <n v="22183298.699914455"/>
    <n v="10429380.42618493"/>
    <n v="0"/>
    <n v="11753918.273729526"/>
    <n v="0"/>
    <n v="11753918.273729526"/>
    <n v="10429380.42618493"/>
    <n v="3441695.5406410266"/>
    <n v="9989526.9100000001"/>
    <n v="3296543.8802999998"/>
    <m/>
    <n v="0"/>
    <n v="22183298.699914455"/>
    <n v="7320488.5709717693"/>
    <n v="12193771.789914455"/>
    <n v="4023944.6906717694"/>
    <n v="4023944.6906717694"/>
    <n v="7320488.5709717693"/>
    <n v="0"/>
    <n v="0"/>
    <n v="0"/>
    <n v="0"/>
    <n v="0"/>
    <n v="0"/>
    <n v="0"/>
    <n v="0"/>
    <n v="0"/>
    <n v="0"/>
    <n v="0"/>
    <n v="0"/>
    <n v="0"/>
    <n v="0"/>
    <n v="10429380.42618493"/>
    <n v="3441695.54"/>
    <n v="439853.51618492976"/>
    <n v="145151.65970000019"/>
    <n v="406081.6"/>
    <n v="134006.93"/>
    <m/>
    <n v="-2.0000000076834112E-3"/>
  </r>
  <r>
    <x v="6"/>
    <s v="Tarrant"/>
    <n v="-213083.7863235469"/>
    <n v="0"/>
    <n v="0"/>
    <n v="0"/>
    <n v="4440232.089600116"/>
    <n v="0"/>
    <n v="0"/>
    <n v="4440232.089600116"/>
    <n v="0"/>
    <n v="0"/>
    <n v="0"/>
    <n v="0"/>
    <n v="0"/>
    <n v="0"/>
    <n v="0"/>
    <n v="4440232.089600116"/>
    <n v="2087555.60971517"/>
    <n v="0"/>
    <n v="2352676.4798849458"/>
    <n v="0"/>
    <n v="2352676.4798849458"/>
    <n v="2087555.60971517"/>
    <n v="688893.35120600602"/>
    <n v="2802964.56"/>
    <n v="924978.30479999993"/>
    <m/>
    <n v="0"/>
    <n v="4440232.089600116"/>
    <n v="1465276.589568038"/>
    <n v="1637267.529600116"/>
    <n v="540298.28476803808"/>
    <n v="540298.28476803808"/>
    <n v="1465276.589568038"/>
    <n v="0"/>
    <n v="0"/>
    <n v="0"/>
    <n v="0"/>
    <n v="0"/>
    <n v="0"/>
    <n v="0"/>
    <n v="0"/>
    <n v="0"/>
    <n v="0"/>
    <n v="0"/>
    <n v="0"/>
    <n v="0"/>
    <n v="0"/>
    <n v="2087555.60971517"/>
    <n v="688893.35"/>
    <n v="-715408.95028483006"/>
    <n v="-236084.95479999995"/>
    <n v="0"/>
    <n v="0"/>
    <m/>
    <n v="0"/>
  </r>
  <r>
    <x v="8"/>
    <s v="Montague"/>
    <n v="165695.73264437757"/>
    <n v="579285.12761638733"/>
    <n v="235259.4332673536"/>
    <n v="344025.69434903376"/>
    <n v="480092.99313095678"/>
    <n v="0"/>
    <n v="0"/>
    <n v="480092.99313095678"/>
    <n v="0"/>
    <n v="0"/>
    <n v="0"/>
    <n v="0"/>
    <n v="0"/>
    <n v="0"/>
    <n v="0"/>
    <n v="480092.99313095678"/>
    <n v="448135.85502808657"/>
    <n v="0"/>
    <n v="31957.138102870202"/>
    <n v="0"/>
    <n v="31957.138102870202"/>
    <n v="448135.85502808657"/>
    <n v="147884.83215926855"/>
    <n v="198053.83"/>
    <n v="65357.763899999991"/>
    <m/>
    <n v="0"/>
    <n v="480092.99313095678"/>
    <n v="158430.68773321572"/>
    <n v="282039.16313095682"/>
    <n v="93072.923833215726"/>
    <n v="93072.923833215726"/>
    <n v="158430.68773321572"/>
    <n v="0"/>
    <n v="0"/>
    <n v="0"/>
    <n v="0"/>
    <n v="0"/>
    <n v="0"/>
    <n v="0"/>
    <n v="0"/>
    <n v="0"/>
    <n v="0"/>
    <n v="0"/>
    <n v="0"/>
    <n v="0"/>
    <n v="0"/>
    <n v="448135.85502808657"/>
    <n v="147884.82999999999"/>
    <n v="250082.02502808659"/>
    <n v="82527.066099999996"/>
    <n v="230880.75"/>
    <n v="76190.64"/>
    <m/>
    <n v="7.4999999924330041E-3"/>
  </r>
  <r>
    <x v="4"/>
    <s v="Collin"/>
    <n v="-3100239.4403326977"/>
    <n v="0"/>
    <n v="0"/>
    <n v="0"/>
    <n v="43440084.195262723"/>
    <n v="0"/>
    <n v="0"/>
    <n v="43440084.195262723"/>
    <n v="830481"/>
    <n v="0"/>
    <n v="69371"/>
    <n v="0"/>
    <n v="10287427"/>
    <n v="11187279"/>
    <n v="0"/>
    <n v="54627363.195262723"/>
    <n v="25682814.812612385"/>
    <n v="0"/>
    <n v="28944548.382650338"/>
    <n v="0"/>
    <n v="28944548.382650338"/>
    <n v="25682814.812612385"/>
    <n v="8475328.8881620858"/>
    <n v="21254079.489999998"/>
    <n v="7013846.2316999985"/>
    <m/>
    <n v="0"/>
    <n v="54627363.195262723"/>
    <n v="18027029.854436696"/>
    <n v="33373283.705262724"/>
    <n v="11013183.622736696"/>
    <n v="11013183.622736696"/>
    <n v="18027029.854436696"/>
    <n v="0"/>
    <n v="0"/>
    <n v="0"/>
    <n v="0"/>
    <n v="0"/>
    <n v="0"/>
    <n v="0"/>
    <n v="0"/>
    <n v="0"/>
    <n v="0"/>
    <n v="0"/>
    <n v="0"/>
    <n v="0"/>
    <n v="0"/>
    <n v="25682814.812612385"/>
    <n v="8475328.8800000008"/>
    <n v="4428735.3226123862"/>
    <n v="1461482.6483000023"/>
    <n v="4088697.4"/>
    <n v="1349270.13"/>
    <m/>
    <n v="1.1999999871477485E-2"/>
  </r>
  <r>
    <x v="12"/>
    <s v="Lamb"/>
    <n v="430074.27395448287"/>
    <n v="1158758.0858081125"/>
    <n v="632539.67487710726"/>
    <n v="526218.41093100526"/>
    <n v="823878.56635624962"/>
    <n v="679595.98"/>
    <n v="0"/>
    <n v="823878.56635624962"/>
    <n v="0"/>
    <n v="0"/>
    <n v="0"/>
    <n v="0"/>
    <n v="28946"/>
    <n v="28946"/>
    <n v="0"/>
    <n v="852824.56635624962"/>
    <n v="796056.7467160807"/>
    <n v="0"/>
    <n v="56767.81964016892"/>
    <n v="0"/>
    <n v="56767.81964016892"/>
    <n v="796056.7467160807"/>
    <n v="262698.72641630657"/>
    <n v="328478.18"/>
    <n v="108397.79939999999"/>
    <m/>
    <n v="0"/>
    <n v="852824.56635624962"/>
    <n v="281432.10689756233"/>
    <n v="524346.38635624968"/>
    <n v="173034.30749756235"/>
    <n v="173034.30749756235"/>
    <n v="281432.10689756233"/>
    <n v="0"/>
    <n v="0"/>
    <n v="0"/>
    <n v="0"/>
    <n v="0"/>
    <n v="0"/>
    <n v="0"/>
    <n v="0"/>
    <n v="0"/>
    <n v="0"/>
    <n v="0"/>
    <n v="0"/>
    <n v="0"/>
    <n v="0"/>
    <n v="796056.7467160807"/>
    <n v="262698.71999999997"/>
    <n v="467578.56671608071"/>
    <n v="154300.92059999998"/>
    <n v="431677.92"/>
    <n v="142453.71"/>
    <m/>
    <n v="3.599999996367842E-3"/>
  </r>
  <r>
    <x v="12"/>
    <s v="Lubbock"/>
    <n v="8364194.0960245272"/>
    <n v="8320749.5329323476"/>
    <n v="4476168.0793501958"/>
    <n v="3844581.4535821518"/>
    <n v="7148730.6380568063"/>
    <n v="8715243.9499999993"/>
    <n v="0"/>
    <n v="7148730.6380568063"/>
    <n v="0"/>
    <n v="0"/>
    <n v="0"/>
    <n v="0"/>
    <n v="0"/>
    <n v="0"/>
    <n v="0"/>
    <n v="7148730.6380568063"/>
    <n v="3360944.303062811"/>
    <n v="0"/>
    <n v="3787786.3349939953"/>
    <n v="0"/>
    <n v="3787786.3349939953"/>
    <n v="3360944.303062811"/>
    <n v="1109111.6200107276"/>
    <n v="0"/>
    <n v="0"/>
    <m/>
    <n v="0"/>
    <n v="7148730.6380568063"/>
    <n v="2359081.1105587459"/>
    <n v="7148730.6380568063"/>
    <n v="2359081.1105587459"/>
    <n v="2359081.1105587459"/>
    <n v="2359081.1105587459"/>
    <n v="0"/>
    <n v="0"/>
    <n v="0"/>
    <n v="0"/>
    <n v="0"/>
    <n v="0"/>
    <n v="0"/>
    <n v="0"/>
    <n v="0"/>
    <n v="0"/>
    <n v="0"/>
    <n v="0"/>
    <n v="0"/>
    <n v="0"/>
    <n v="3360944.303062811"/>
    <n v="1109111.6200000001"/>
    <n v="3360944.303062811"/>
    <n v="1109111.6200000001"/>
    <n v="3102891.29"/>
    <n v="1023954.12"/>
    <m/>
    <n v="5.699999863281846E-3"/>
  </r>
  <r>
    <x v="9"/>
    <s v="Kerr"/>
    <n v="217096.58555647999"/>
    <n v="42047549.80004096"/>
    <n v="0"/>
    <n v="42047549.80004096"/>
    <n v="0"/>
    <n v="0"/>
    <n v="0"/>
    <n v="0"/>
    <n v="10950"/>
    <n v="0"/>
    <n v="0"/>
    <n v="0"/>
    <n v="165447"/>
    <n v="176397"/>
    <n v="0"/>
    <n v="10950"/>
    <n v="5148.0943935162077"/>
    <n v="0"/>
    <n v="5801.9056064837923"/>
    <n v="0"/>
    <n v="5801.9056064837923"/>
    <n v="5148.0943935162077"/>
    <n v="1698.8711498603484"/>
    <n v="25335.46"/>
    <n v="8360.7017999999989"/>
    <m/>
    <n v="0"/>
    <n v="10950"/>
    <n v="3613.4999999999995"/>
    <n v="10950"/>
    <n v="3613.4999999999995"/>
    <n v="3613.4999999999995"/>
    <n v="3613.4999999999995"/>
    <n v="0"/>
    <n v="0"/>
    <n v="0"/>
    <n v="0"/>
    <n v="0"/>
    <n v="0"/>
    <n v="0"/>
    <n v="0"/>
    <n v="0"/>
    <n v="0"/>
    <n v="0"/>
    <n v="0"/>
    <n v="0"/>
    <n v="0"/>
    <n v="5148.0943935162077"/>
    <n v="1698.87"/>
    <n v="5148.0943935162077"/>
    <n v="1698.87"/>
    <n v="4752.82"/>
    <n v="1568.43"/>
    <m/>
    <n v="5.99999999622014E-4"/>
  </r>
  <r>
    <x v="9"/>
    <s v="Runnels"/>
    <n v="124196.35822755848"/>
    <n v="0"/>
    <n v="0"/>
    <n v="0"/>
    <n v="343317.31969794561"/>
    <n v="0"/>
    <n v="0"/>
    <n v="343317.31969794561"/>
    <n v="0"/>
    <n v="0"/>
    <n v="0"/>
    <n v="0"/>
    <n v="0"/>
    <n v="0"/>
    <n v="0"/>
    <n v="343317.31969794561"/>
    <n v="320464.58250812837"/>
    <n v="0"/>
    <n v="22852.737189817242"/>
    <n v="0"/>
    <n v="22852.737189817242"/>
    <n v="320464.58250812837"/>
    <n v="105753.31222768236"/>
    <n v="136900.78"/>
    <n v="45177.257399999995"/>
    <m/>
    <n v="0"/>
    <n v="343317.31969794561"/>
    <n v="113294.71550032204"/>
    <n v="206416.53969794561"/>
    <n v="68117.458100322052"/>
    <n v="68117.458100322052"/>
    <n v="113294.71550032205"/>
    <n v="0"/>
    <n v="0"/>
    <n v="0"/>
    <n v="0"/>
    <n v="0"/>
    <n v="0"/>
    <n v="0"/>
    <n v="0"/>
    <n v="0"/>
    <n v="0"/>
    <n v="0"/>
    <n v="0"/>
    <n v="0"/>
    <n v="0"/>
    <n v="320464.58250812837"/>
    <n v="105753.31"/>
    <n v="183563.80250812837"/>
    <n v="60576.052600000003"/>
    <n v="169469.79"/>
    <n v="55925.03"/>
    <m/>
    <n v="6.9999999686842784E-4"/>
  </r>
  <r>
    <x v="11"/>
    <s v="El Paso"/>
    <n v="-20828307.033802167"/>
    <n v="8106525.7309775641"/>
    <n v="6304434.8395890668"/>
    <n v="1802090.8913884973"/>
    <n v="7934550.7521941587"/>
    <n v="0"/>
    <n v="0"/>
    <n v="7934550.7521941587"/>
    <n v="434411"/>
    <n v="0"/>
    <n v="0"/>
    <n v="0"/>
    <n v="239036.52469943845"/>
    <n v="673447.52469943848"/>
    <n v="0"/>
    <n v="8607998.2768935971"/>
    <n v="4047012.5724815619"/>
    <n v="0"/>
    <n v="4560985.7044120356"/>
    <n v="0"/>
    <n v="4560985.7044120356"/>
    <n v="4047012.5724815619"/>
    <n v="1335514.1489189153"/>
    <n v="3681791.32"/>
    <n v="1214991.1355999997"/>
    <m/>
    <n v="0"/>
    <n v="8607998.2768935971"/>
    <n v="2840639.4313748865"/>
    <n v="4926206.9568935968"/>
    <n v="1625648.2957748869"/>
    <n v="1625648.2957748869"/>
    <n v="2840639.4313748865"/>
    <n v="0"/>
    <n v="0"/>
    <n v="0"/>
    <n v="0"/>
    <n v="0"/>
    <n v="0"/>
    <n v="0"/>
    <n v="0"/>
    <n v="0"/>
    <n v="0"/>
    <n v="0"/>
    <n v="0"/>
    <n v="0"/>
    <n v="0"/>
    <n v="4047012.5724815619"/>
    <n v="1335514.1399999999"/>
    <n v="365221.25248156209"/>
    <n v="120523.00440000021"/>
    <n v="337179.6"/>
    <n v="111269.26"/>
    <m/>
    <n v="7.9999999870778993E-3"/>
  </r>
  <r>
    <x v="8"/>
    <s v="Nacogdoches"/>
    <n v="-3345888.7569993981"/>
    <n v="3752641.6958103799"/>
    <n v="2517671.2189617404"/>
    <n v="1234970.4768486395"/>
    <n v="3491265.5710311681"/>
    <n v="406752.94"/>
    <n v="406752.94"/>
    <n v="3084512.6310311682"/>
    <n v="324623"/>
    <n v="0"/>
    <n v="0"/>
    <n v="0"/>
    <n v="0"/>
    <n v="324623"/>
    <n v="0"/>
    <n v="3409135.6310311682"/>
    <n v="3182208.3070938224"/>
    <n v="0"/>
    <n v="226927.32393734576"/>
    <n v="0"/>
    <n v="226927.32393734576"/>
    <n v="3182208.3070938224"/>
    <n v="1050128.7413409613"/>
    <n v="0"/>
    <n v="0"/>
    <m/>
    <n v="0"/>
    <n v="3409135.6310311682"/>
    <n v="1125014.7582402853"/>
    <n v="3409135.6310311682"/>
    <n v="1125014.7582402853"/>
    <n v="1125014.7582402853"/>
    <n v="1125014.7582402853"/>
    <n v="0"/>
    <n v="0"/>
    <n v="0"/>
    <n v="0"/>
    <n v="0"/>
    <n v="0"/>
    <n v="0"/>
    <n v="0"/>
    <n v="0"/>
    <n v="0"/>
    <n v="0"/>
    <n v="0"/>
    <n v="0"/>
    <n v="0"/>
    <n v="3182208.3070938224"/>
    <n v="1050128.74"/>
    <n v="3182208.3070938224"/>
    <n v="1050128.74"/>
    <n v="2937878.63"/>
    <n v="969499.94"/>
    <m/>
    <n v="7.8999998513609171E-3"/>
  </r>
  <r>
    <x v="6"/>
    <s v="Wise"/>
    <n v="774140.01767979446"/>
    <n v="12328084.976102779"/>
    <n v="3649989.3170863362"/>
    <n v="8678095.6590164416"/>
    <n v="13836740.339703502"/>
    <n v="0"/>
    <n v="0"/>
    <n v="13836740.339703502"/>
    <n v="566766"/>
    <n v="0"/>
    <n v="0"/>
    <n v="0"/>
    <n v="0"/>
    <n v="566766"/>
    <n v="0"/>
    <n v="14403506.339703502"/>
    <n v="13444744.500123989"/>
    <n v="0"/>
    <n v="958761.8395795133"/>
    <n v="0"/>
    <n v="958761.8395795133"/>
    <n v="13444744.500123989"/>
    <n v="4436765.6850409154"/>
    <n v="3989584.48"/>
    <n v="1316562.8783999998"/>
    <m/>
    <n v="0"/>
    <n v="14403506.339703502"/>
    <n v="4753157.0921021551"/>
    <n v="10413921.859703502"/>
    <n v="3436594.2137021553"/>
    <n v="3436594.2137021553"/>
    <n v="4753157.0921021551"/>
    <n v="0"/>
    <n v="0"/>
    <n v="0"/>
    <n v="0"/>
    <n v="0"/>
    <n v="0"/>
    <n v="0"/>
    <n v="0"/>
    <n v="0"/>
    <n v="0"/>
    <n v="0"/>
    <n v="0"/>
    <n v="0"/>
    <n v="0"/>
    <n v="13444744.500123989"/>
    <n v="4436765.68"/>
    <n v="9455160.0201239884"/>
    <n v="3120202.8015999999"/>
    <n v="8729193.6500000004"/>
    <n v="2880633.89"/>
    <m/>
    <n v="1.4499999582767487E-2"/>
  </r>
  <r>
    <x v="6"/>
    <s v="Tarrant"/>
    <n v="505871.92068365135"/>
    <n v="0"/>
    <n v="0"/>
    <n v="0"/>
    <n v="25157029.92668305"/>
    <n v="0"/>
    <n v="0"/>
    <n v="25157029.92668305"/>
    <n v="0"/>
    <n v="0"/>
    <n v="0"/>
    <n v="0"/>
    <n v="0"/>
    <n v="0"/>
    <n v="0"/>
    <n v="25157029.92668305"/>
    <n v="11827467.09799785"/>
    <n v="0"/>
    <n v="13329562.8286852"/>
    <n v="0"/>
    <n v="13329562.8286852"/>
    <n v="11827467.09799785"/>
    <n v="3903064.1423392901"/>
    <n v="13774933.720000001"/>
    <n v="4545728.1275999993"/>
    <m/>
    <n v="0"/>
    <n v="25157029.92668305"/>
    <n v="8301819.875805405"/>
    <n v="11382096.206683049"/>
    <n v="3756091.7482054057"/>
    <n v="3756091.7482054057"/>
    <n v="8301819.875805405"/>
    <n v="0"/>
    <n v="0"/>
    <n v="0"/>
    <n v="0"/>
    <n v="0"/>
    <n v="0"/>
    <n v="0"/>
    <n v="0"/>
    <n v="0"/>
    <n v="0"/>
    <n v="0"/>
    <n v="0"/>
    <n v="0"/>
    <n v="0"/>
    <n v="11827467.09799785"/>
    <n v="3903064.14"/>
    <n v="-1947466.6220021509"/>
    <n v="-642663.98759999918"/>
    <n v="0"/>
    <n v="0"/>
    <m/>
    <n v="0"/>
  </r>
  <r>
    <x v="9"/>
    <s v="Pecos"/>
    <n v="599522.55531015689"/>
    <n v="2255828.3806313137"/>
    <n v="1631626.2031976704"/>
    <n v="624202.17743364326"/>
    <n v="1990397.9539451394"/>
    <n v="925221.39"/>
    <n v="0"/>
    <n v="1990397.9539451394"/>
    <n v="0"/>
    <n v="0"/>
    <n v="0"/>
    <n v="0"/>
    <n v="0"/>
    <n v="0"/>
    <n v="0"/>
    <n v="1990397.9539451394"/>
    <n v="1857908.1588346646"/>
    <n v="0"/>
    <n v="132489.79511047481"/>
    <n v="0"/>
    <n v="132489.79511047481"/>
    <n v="1857908.1588346646"/>
    <n v="613109.69241543929"/>
    <n v="894384.25"/>
    <n v="295146.80249999999"/>
    <m/>
    <n v="0"/>
    <n v="1990397.9539451394"/>
    <n v="656831.32480189588"/>
    <n v="1096013.7039451394"/>
    <n v="361684.52230189589"/>
    <n v="361684.52230189589"/>
    <n v="656831.32480189588"/>
    <n v="0"/>
    <n v="0"/>
    <n v="0"/>
    <n v="0"/>
    <n v="0"/>
    <n v="0"/>
    <n v="0"/>
    <n v="0"/>
    <n v="0"/>
    <n v="0"/>
    <n v="0"/>
    <n v="0"/>
    <n v="0"/>
    <n v="0"/>
    <n v="1857908.1588346646"/>
    <n v="613109.68999999994"/>
    <n v="963523.90883466462"/>
    <n v="317962.88749999995"/>
    <n v="889544.63"/>
    <n v="293549.71999999997"/>
    <m/>
    <n v="7.8999999677762389E-3"/>
  </r>
  <r>
    <x v="12"/>
    <s v="Terry"/>
    <n v="1141301.1878965755"/>
    <n v="1994367.8403451387"/>
    <n v="1010181.9627189247"/>
    <n v="984185.87762621394"/>
    <n v="2139976.9989258749"/>
    <n v="793193.92999999993"/>
    <n v="0"/>
    <n v="2139976.9989258749"/>
    <n v="4465"/>
    <n v="0"/>
    <n v="0"/>
    <n v="0"/>
    <n v="0"/>
    <n v="4465"/>
    <n v="0"/>
    <n v="2144441.9989258749"/>
    <n v="2001698.3428138683"/>
    <n v="0"/>
    <n v="142743.65611200663"/>
    <n v="0"/>
    <n v="142743.65611200663"/>
    <n v="2001698.3428138683"/>
    <n v="660560.45312857651"/>
    <n v="1075161.43"/>
    <n v="354803.27189999993"/>
    <m/>
    <n v="0"/>
    <n v="2144441.9989258749"/>
    <n v="707665.85964553861"/>
    <n v="1069280.568925875"/>
    <n v="352862.58774553868"/>
    <n v="352862.58774553868"/>
    <n v="707665.85964553861"/>
    <n v="0"/>
    <n v="0"/>
    <n v="0"/>
    <n v="0"/>
    <n v="0"/>
    <n v="0"/>
    <n v="0"/>
    <n v="0"/>
    <n v="0"/>
    <n v="0"/>
    <n v="0"/>
    <n v="0"/>
    <n v="0"/>
    <n v="0"/>
    <n v="2001698.3428138683"/>
    <n v="660560.44999999995"/>
    <n v="926536.91281386837"/>
    <n v="305757.17810000002"/>
    <n v="855397.49"/>
    <n v="282281.17"/>
    <m/>
    <n v="1.6999999643303454E-3"/>
  </r>
  <r>
    <x v="8"/>
    <s v="San Augustine"/>
    <n v="598978.43920614431"/>
    <n v="866339.37725934479"/>
    <n v="375686.83126101835"/>
    <n v="490652.54599832644"/>
    <n v="886367.57927605207"/>
    <n v="0"/>
    <n v="0"/>
    <n v="886367.57927605207"/>
    <n v="0"/>
    <n v="0"/>
    <n v="0"/>
    <n v="0"/>
    <n v="0"/>
    <n v="0"/>
    <n v="0"/>
    <n v="886367.57927605207"/>
    <n v="827366.98658649158"/>
    <n v="0"/>
    <n v="59000.592689560493"/>
    <n v="0"/>
    <n v="59000.592689560493"/>
    <n v="827366.98658649158"/>
    <n v="273031.10557354218"/>
    <n v="340661.12"/>
    <n v="112418.16959999998"/>
    <m/>
    <n v="0"/>
    <n v="886367.57927605207"/>
    <n v="292501.30116109713"/>
    <n v="545706.45927605208"/>
    <n v="180083.13156109717"/>
    <n v="180083.13156109717"/>
    <n v="292501.30116109713"/>
    <n v="0"/>
    <n v="0"/>
    <n v="0"/>
    <n v="0"/>
    <n v="0"/>
    <n v="0"/>
    <n v="0"/>
    <n v="0"/>
    <n v="0"/>
    <n v="0"/>
    <n v="0"/>
    <n v="0"/>
    <n v="0"/>
    <n v="0"/>
    <n v="827366.98658649158"/>
    <n v="273031.09999999998"/>
    <n v="486705.86658649158"/>
    <n v="160612.93040000001"/>
    <n v="449336.63"/>
    <n v="148281.07999999999"/>
    <m/>
    <n v="7.8999999968800694E-3"/>
  </r>
  <r>
    <x v="9"/>
    <s v="Dallam"/>
    <n v="-107040.62639423989"/>
    <n v="1889053.2585853308"/>
    <n v="859311.57580387837"/>
    <n v="1029741.6827814524"/>
    <n v="1173167.277258368"/>
    <n v="792555.05"/>
    <n v="0"/>
    <n v="1173167.277258368"/>
    <n v="3700.9500000000007"/>
    <n v="0"/>
    <n v="0"/>
    <n v="0"/>
    <n v="0"/>
    <n v="3700.9500000000007"/>
    <n v="0"/>
    <n v="1176868.2272583679"/>
    <n v="1098530.6114100215"/>
    <n v="0"/>
    <n v="78337.615848346381"/>
    <n v="0"/>
    <n v="78337.615848346381"/>
    <n v="1098530.6114100215"/>
    <n v="362515.10176530707"/>
    <n v="376551.77"/>
    <n v="124262.08409999999"/>
    <m/>
    <n v="0"/>
    <n v="1176868.2272583679"/>
    <n v="388366.51499526139"/>
    <n v="800316.45725836791"/>
    <n v="264104.43089526141"/>
    <n v="264104.43089526141"/>
    <n v="388366.51499526139"/>
    <n v="0"/>
    <n v="0"/>
    <n v="0"/>
    <n v="0"/>
    <n v="0"/>
    <n v="0"/>
    <n v="0"/>
    <n v="0"/>
    <n v="0"/>
    <n v="0"/>
    <n v="0"/>
    <n v="0"/>
    <n v="0"/>
    <n v="0"/>
    <n v="1098530.6114100215"/>
    <n v="362515.1"/>
    <n v="721978.84141002153"/>
    <n v="238253.0159"/>
    <n v="666545.37"/>
    <n v="219959.97"/>
    <m/>
    <n v="2.0999999833293259E-3"/>
  </r>
  <r>
    <x v="2"/>
    <s v="Matagorda"/>
    <n v="432022.27899478999"/>
    <n v="5269089.3364134002"/>
    <n v="2421479.1225649915"/>
    <n v="2847610.2138484088"/>
    <n v="4407906.6864655875"/>
    <n v="4137634.3599999994"/>
    <n v="858001.86715680081"/>
    <n v="3549904.8193087867"/>
    <n v="0"/>
    <n v="0"/>
    <n v="0"/>
    <n v="0"/>
    <n v="0"/>
    <n v="0"/>
    <n v="0"/>
    <n v="3549904.8193087867"/>
    <n v="3313607.2682388201"/>
    <n v="0"/>
    <n v="236297.55106996652"/>
    <n v="0"/>
    <n v="236297.55106996652"/>
    <n v="3313607.2682388201"/>
    <n v="1093490.3985188105"/>
    <n v="1665246.95"/>
    <n v="549531.49349999987"/>
    <m/>
    <n v="0"/>
    <n v="3549904.8193087867"/>
    <n v="1171468.5903718995"/>
    <n v="1884657.8693087867"/>
    <n v="621937.09687189967"/>
    <n v="621937.09687189967"/>
    <n v="1171468.5903718995"/>
    <n v="0"/>
    <n v="0"/>
    <n v="0"/>
    <n v="0"/>
    <n v="0"/>
    <n v="0"/>
    <n v="0"/>
    <n v="0"/>
    <n v="0"/>
    <n v="0"/>
    <n v="0"/>
    <n v="0"/>
    <n v="0"/>
    <n v="0"/>
    <n v="3313607.2682388201"/>
    <n v="1093490.3899999999"/>
    <n v="1648360.3182388202"/>
    <n v="543958.89650000003"/>
    <n v="1521799.35"/>
    <n v="502193.78"/>
    <m/>
    <n v="5.4999999701976776E-3"/>
  </r>
  <r>
    <x v="8"/>
    <s v="Nacogdoches"/>
    <n v="414332.68842022301"/>
    <n v="7935024.1177871088"/>
    <n v="4208142.7287535109"/>
    <n v="3726881.3890335979"/>
    <n v="8505832.792806631"/>
    <n v="4649704.4799999995"/>
    <n v="508490.40254617855"/>
    <n v="7997342.3902604524"/>
    <n v="0"/>
    <n v="0"/>
    <n v="0"/>
    <n v="0"/>
    <n v="0"/>
    <n v="0"/>
    <n v="0"/>
    <n v="7997342.3902604524"/>
    <n v="7465003.4915925898"/>
    <n v="0"/>
    <n v="532338.89866786264"/>
    <n v="0"/>
    <n v="532338.89866786264"/>
    <n v="7465003.4915925898"/>
    <n v="2463451.1522255545"/>
    <n v="2497413.16"/>
    <n v="824146.34279999998"/>
    <m/>
    <n v="0"/>
    <n v="7997342.3902604524"/>
    <n v="2639122.9887859491"/>
    <n v="5499929.2302604523"/>
    <n v="1814976.6459859491"/>
    <n v="1814976.6459859491"/>
    <n v="2639122.9887859491"/>
    <n v="0"/>
    <n v="0"/>
    <n v="0"/>
    <n v="0"/>
    <n v="0"/>
    <n v="0"/>
    <n v="0"/>
    <n v="0"/>
    <n v="0"/>
    <n v="0"/>
    <n v="0"/>
    <n v="0"/>
    <n v="0"/>
    <n v="0"/>
    <n v="7465003.4915925898"/>
    <n v="2463451.15"/>
    <n v="4967590.3315925896"/>
    <n v="1639304.8071999999"/>
    <n v="4586179.17"/>
    <n v="1513439.12"/>
    <m/>
    <n v="6.0999996494501829E-3"/>
  </r>
  <r>
    <x v="6"/>
    <s v="Johnson"/>
    <n v="-599653.96971115237"/>
    <n v="0"/>
    <n v="0"/>
    <n v="0"/>
    <n v="7640976.421883882"/>
    <n v="0"/>
    <n v="0"/>
    <n v="7640976.421883882"/>
    <n v="0"/>
    <n v="0"/>
    <n v="0"/>
    <n v="0"/>
    <n v="0"/>
    <n v="0"/>
    <n v="0"/>
    <n v="7640976.421883882"/>
    <n v="3592371.495752506"/>
    <n v="0"/>
    <n v="4048604.9261313761"/>
    <n v="0"/>
    <n v="4048604.9261313761"/>
    <n v="3592371.495752506"/>
    <n v="1185482.5935983269"/>
    <n v="3576371.86"/>
    <n v="1180202.7137999998"/>
    <m/>
    <n v="0"/>
    <n v="7640976.421883882"/>
    <n v="2521522.2192216809"/>
    <n v="4064604.5618838822"/>
    <n v="1341319.5054216811"/>
    <n v="1341319.5054216811"/>
    <n v="2521522.2192216809"/>
    <n v="0"/>
    <n v="0"/>
    <n v="0"/>
    <n v="0"/>
    <n v="0"/>
    <n v="0"/>
    <n v="0"/>
    <n v="0"/>
    <n v="0"/>
    <n v="0"/>
    <n v="0"/>
    <n v="0"/>
    <n v="0"/>
    <n v="0"/>
    <n v="3592371.495752506"/>
    <n v="1185482.5900000001"/>
    <n v="15999.635752506088"/>
    <n v="5279.8762000002898"/>
    <n v="14771.19"/>
    <n v="4874.49"/>
    <m/>
    <n v="2.7000000000043656E-3"/>
  </r>
  <r>
    <x v="4"/>
    <s v="Hunt"/>
    <n v="4654934.5026677251"/>
    <n v="14857527.71478045"/>
    <n v="7636841.4457870079"/>
    <n v="7220686.2689934419"/>
    <n v="7865375.7125947131"/>
    <n v="10266961.690000001"/>
    <n v="0"/>
    <n v="7865375.7125947131"/>
    <n v="0"/>
    <n v="0"/>
    <n v="0"/>
    <n v="0"/>
    <n v="0"/>
    <n v="0"/>
    <n v="0"/>
    <n v="7865375.7125947131"/>
    <n v="3697871.8364298986"/>
    <n v="0"/>
    <n v="4167503.8761648145"/>
    <n v="0"/>
    <n v="4167503.8761648145"/>
    <n v="3697871.8364298986"/>
    <n v="1220297.7060218663"/>
    <n v="4892465.24"/>
    <n v="1614513.5292"/>
    <m/>
    <n v="0"/>
    <n v="7865375.7125947131"/>
    <n v="2595573.9851562548"/>
    <n v="2972910.4725947129"/>
    <n v="981060.45595625485"/>
    <n v="981060.45595625485"/>
    <n v="2595573.9851562548"/>
    <n v="0"/>
    <n v="0"/>
    <n v="0"/>
    <n v="0"/>
    <n v="0"/>
    <n v="0"/>
    <n v="0"/>
    <n v="0"/>
    <n v="0"/>
    <n v="0"/>
    <n v="0"/>
    <n v="0"/>
    <n v="0"/>
    <n v="0"/>
    <n v="3697871.8364298986"/>
    <n v="1220297.7"/>
    <n v="-1194593.4035701016"/>
    <n v="-394215.82920000004"/>
    <n v="0"/>
    <n v="0"/>
    <m/>
    <n v="0"/>
  </r>
  <r>
    <x v="1"/>
    <s v="Nueces"/>
    <n v="-82002997.279160142"/>
    <n v="5915817.4610465933"/>
    <n v="2664840.3994603776"/>
    <n v="3250977.0615862156"/>
    <n v="3979513.9938086402"/>
    <n v="0"/>
    <n v="0"/>
    <n v="3979513.9938086402"/>
    <n v="633060"/>
    <n v="0"/>
    <n v="0"/>
    <n v="0"/>
    <n v="0"/>
    <n v="633060"/>
    <n v="0"/>
    <n v="4612573.9938086402"/>
    <n v="2168581.3988314997"/>
    <n v="0"/>
    <n v="2443992.5949771404"/>
    <n v="0"/>
    <n v="2443992.5949771404"/>
    <n v="2168581.3988314997"/>
    <n v="715631.86161439482"/>
    <n v="1878548.79"/>
    <n v="619921.10069999995"/>
    <m/>
    <n v="0"/>
    <n v="4612573.9938086402"/>
    <n v="1522149.417956851"/>
    <n v="2734025.2038086401"/>
    <n v="902228.31725685101"/>
    <n v="902228.31725685101"/>
    <n v="1522149.417956851"/>
    <n v="0"/>
    <n v="0"/>
    <n v="0"/>
    <n v="0"/>
    <n v="0"/>
    <n v="0"/>
    <n v="0"/>
    <n v="0"/>
    <n v="0"/>
    <n v="0"/>
    <n v="0"/>
    <n v="0"/>
    <n v="0"/>
    <n v="0"/>
    <n v="2168581.3988314997"/>
    <n v="715631.86"/>
    <n v="290032.6088314997"/>
    <n v="95710.759300000034"/>
    <n v="267763.93"/>
    <n v="88362.1"/>
    <m/>
    <n v="-3.100000016274862E-3"/>
  </r>
  <r>
    <x v="9"/>
    <s v="Nolan"/>
    <n v="1733617.3981077508"/>
    <n v="3617466.3950179107"/>
    <n v="2145149.3401139202"/>
    <n v="1472317.0549039906"/>
    <n v="2156809.5713577727"/>
    <n v="1871025.88"/>
    <n v="0"/>
    <n v="2156809.5713577727"/>
    <n v="0"/>
    <n v="0"/>
    <n v="0"/>
    <n v="0"/>
    <n v="0"/>
    <n v="0"/>
    <n v="0"/>
    <n v="2156809.5713577727"/>
    <n v="2013242.6742781654"/>
    <n v="0"/>
    <n v="143566.89707960724"/>
    <n v="0"/>
    <n v="143566.89707960724"/>
    <n v="2013242.6742781654"/>
    <n v="664370.08251179452"/>
    <n v="877627.18"/>
    <n v="289616.9694"/>
    <m/>
    <n v="0"/>
    <n v="2156809.5713577727"/>
    <n v="711747.15854806488"/>
    <n v="1279182.3913577725"/>
    <n v="422130.18914806488"/>
    <n v="422130.18914806488"/>
    <n v="711747.15854806488"/>
    <n v="0"/>
    <n v="0"/>
    <n v="0"/>
    <n v="0"/>
    <n v="0"/>
    <n v="0"/>
    <n v="0"/>
    <n v="0"/>
    <n v="0"/>
    <n v="0"/>
    <n v="0"/>
    <n v="0"/>
    <n v="0"/>
    <n v="0"/>
    <n v="2013242.6742781654"/>
    <n v="664370.07999999996"/>
    <n v="1135615.4942781655"/>
    <n v="374753.11059999996"/>
    <n v="1048423.03"/>
    <n v="345979.6"/>
    <m/>
    <n v="-1.0000000474974513E-4"/>
  </r>
  <r>
    <x v="11"/>
    <s v="El Paso"/>
    <n v="-775138.83921369968"/>
    <n v="6324965.6870057657"/>
    <n v="3792279.5998088699"/>
    <n v="2532686.0871968959"/>
    <n v="6588604.3957101787"/>
    <n v="0"/>
    <n v="0"/>
    <n v="6588604.3957101787"/>
    <n v="215175"/>
    <n v="0"/>
    <n v="0"/>
    <n v="0"/>
    <n v="179170.0689421338"/>
    <n v="394345.0689421338"/>
    <n v="0"/>
    <n v="6982949.4646523129"/>
    <n v="3283003.0127108283"/>
    <n v="0"/>
    <n v="3699946.4519414846"/>
    <n v="0"/>
    <n v="3699946.4519414846"/>
    <n v="3283003.0127108283"/>
    <n v="1083390.9941945733"/>
    <n v="3078606.86"/>
    <n v="1015940.2637999998"/>
    <m/>
    <n v="0"/>
    <n v="6982949.4646523129"/>
    <n v="2304373.3233352629"/>
    <n v="3904342.604652313"/>
    <n v="1288433.0595352631"/>
    <n v="1288433.0595352631"/>
    <n v="2304373.3233352629"/>
    <n v="0"/>
    <n v="0"/>
    <n v="0"/>
    <n v="0"/>
    <n v="0"/>
    <n v="0"/>
    <n v="0"/>
    <n v="0"/>
    <n v="0"/>
    <n v="0"/>
    <n v="0"/>
    <n v="0"/>
    <n v="0"/>
    <n v="0"/>
    <n v="3283003.0127108283"/>
    <n v="1083390.99"/>
    <n v="204396.15271082846"/>
    <n v="67450.72620000015"/>
    <n v="188702.63"/>
    <n v="62271.87"/>
    <m/>
    <n v="-2.1000000051571988E-3"/>
  </r>
  <r>
    <x v="9"/>
    <s v="Childress"/>
    <n v="-299978.78717004793"/>
    <n v="890305.86259186605"/>
    <n v="577836.6401957632"/>
    <n v="312469.22239610285"/>
    <n v="1055528.8280103169"/>
    <n v="557407.6"/>
    <n v="544917.16477394511"/>
    <n v="510611.66323637182"/>
    <n v="0"/>
    <n v="0"/>
    <n v="0"/>
    <n v="0"/>
    <n v="0"/>
    <n v="0"/>
    <n v="0"/>
    <n v="510611.66323637182"/>
    <n v="476623.06587617256"/>
    <n v="0"/>
    <n v="33988.597360199259"/>
    <n v="0"/>
    <n v="33988.597360199259"/>
    <n v="476623.06587617256"/>
    <n v="157285.61173913692"/>
    <n v="404125.38"/>
    <n v="133361.37539999999"/>
    <m/>
    <n v="0"/>
    <n v="510611.66323637182"/>
    <n v="168501.84886800268"/>
    <n v="106486.28323637182"/>
    <n v="35140.473468002689"/>
    <n v="35140.473468002689"/>
    <n v="168501.84886800268"/>
    <n v="0"/>
    <n v="0"/>
    <n v="0"/>
    <n v="0"/>
    <n v="0"/>
    <n v="0"/>
    <n v="0"/>
    <n v="0"/>
    <n v="0"/>
    <n v="0"/>
    <n v="0"/>
    <n v="0"/>
    <n v="0"/>
    <n v="0"/>
    <n v="476623.06587617256"/>
    <n v="157285.60999999999"/>
    <n v="72497.68587617256"/>
    <n v="23924.234599999996"/>
    <n v="66931.320000000007"/>
    <n v="22087.33"/>
    <m/>
    <n v="5.5999999967752956E-3"/>
  </r>
  <r>
    <x v="0"/>
    <s v="Hill"/>
    <n v="45088.900281241411"/>
    <n v="959779.44113573525"/>
    <n v="403810.06717560318"/>
    <n v="555969.37396013201"/>
    <n v="1222169.4000350465"/>
    <n v="322534.41000000003"/>
    <n v="0"/>
    <n v="1222169.4000350465"/>
    <n v="0"/>
    <n v="0"/>
    <n v="0"/>
    <n v="0"/>
    <n v="396963"/>
    <n v="396963"/>
    <n v="0"/>
    <n v="1619132.4000350465"/>
    <n v="1511355.7016556191"/>
    <n v="0"/>
    <n v="107776.69837942743"/>
    <n v="0"/>
    <n v="107776.69837942743"/>
    <n v="1511355.7016556191"/>
    <n v="498747.38154635421"/>
    <n v="721993.93"/>
    <n v="238257.9969"/>
    <m/>
    <n v="0"/>
    <n v="1619132.4000350465"/>
    <n v="534313.69201156532"/>
    <n v="897138.47003504646"/>
    <n v="296055.69511156529"/>
    <n v="296055.69511156529"/>
    <n v="534313.69201156532"/>
    <n v="0"/>
    <n v="0"/>
    <n v="0"/>
    <n v="0"/>
    <n v="0"/>
    <n v="0"/>
    <n v="0"/>
    <n v="0"/>
    <n v="0"/>
    <n v="0"/>
    <n v="0"/>
    <n v="0"/>
    <n v="0"/>
    <n v="0"/>
    <n v="1511355.7016556191"/>
    <n v="498747.38"/>
    <n v="789361.77165561903"/>
    <n v="260489.38310000001"/>
    <n v="728754.64"/>
    <n v="240489.03"/>
    <m/>
    <n v="1.1999999696854502E-3"/>
  </r>
  <r>
    <x v="3"/>
    <s v="Bexar"/>
    <n v="2646247.0939041534"/>
    <n v="13844956.497361921"/>
    <n v="0"/>
    <n v="13844956.497361921"/>
    <n v="0"/>
    <n v="14842083"/>
    <n v="0"/>
    <n v="0"/>
    <n v="0"/>
    <n v="0"/>
    <n v="2216"/>
    <n v="0"/>
    <n v="531920"/>
    <n v="534136"/>
    <n v="0"/>
    <n v="2216"/>
    <n v="1041.8426644778006"/>
    <n v="0"/>
    <n v="1174.1573355221994"/>
    <n v="0"/>
    <n v="1174.1573355221994"/>
    <n v="1041.8426644778006"/>
    <n v="343.80807927767415"/>
    <n v="132322.29"/>
    <n v="43666.3557"/>
    <m/>
    <n v="0"/>
    <n v="2216"/>
    <n v="731.27999999999986"/>
    <n v="2216"/>
    <n v="731.27999999999986"/>
    <n v="731.27999999999986"/>
    <n v="731.27999999999986"/>
    <n v="0"/>
    <n v="0"/>
    <n v="0"/>
    <n v="0"/>
    <n v="0"/>
    <n v="0"/>
    <n v="0"/>
    <n v="0"/>
    <n v="0"/>
    <n v="0"/>
    <n v="0"/>
    <n v="0"/>
    <n v="0"/>
    <n v="0"/>
    <n v="1041.8426644778006"/>
    <n v="343.8"/>
    <n v="1041.8426644778006"/>
    <n v="343.8"/>
    <n v="961.85"/>
    <n v="317.39999999999998"/>
    <m/>
    <n v="1.0499999999979082E-2"/>
  </r>
  <r>
    <x v="12"/>
    <s v="Hockley"/>
    <n v="-1106533.1422788599"/>
    <n v="1538091.7512871446"/>
    <n v="908610.83921538561"/>
    <n v="629480.912071759"/>
    <n v="1624216.3850235904"/>
    <n v="416183.65"/>
    <n v="416183.65"/>
    <n v="1208032.7350235903"/>
    <n v="0"/>
    <n v="0"/>
    <n v="0"/>
    <n v="0"/>
    <n v="0"/>
    <n v="0"/>
    <n v="0"/>
    <n v="1208032.7350235903"/>
    <n v="1127620.6700730685"/>
    <n v="0"/>
    <n v="80412.064950521803"/>
    <n v="0"/>
    <n v="80412.064950521803"/>
    <n v="1127620.6700730685"/>
    <n v="372114.82112411252"/>
    <n v="631958.23"/>
    <n v="208546.21589999998"/>
    <m/>
    <n v="0"/>
    <n v="1208032.7350235903"/>
    <n v="398650.80255778471"/>
    <n v="576074.50502359029"/>
    <n v="190104.58665778473"/>
    <n v="190104.58665778473"/>
    <n v="398650.80255778471"/>
    <n v="0"/>
    <n v="0"/>
    <n v="0"/>
    <n v="0"/>
    <n v="0"/>
    <n v="0"/>
    <n v="0"/>
    <n v="0"/>
    <n v="0"/>
    <n v="0"/>
    <n v="0"/>
    <n v="0"/>
    <n v="0"/>
    <n v="0"/>
    <n v="1127620.6700730685"/>
    <n v="372114.82"/>
    <n v="495662.44007306849"/>
    <n v="163568.60410000003"/>
    <n v="457605.52"/>
    <n v="151009.82"/>
    <m/>
    <n v="1.5999999886844307E-3"/>
  </r>
  <r>
    <x v="8"/>
    <s v="Cherokee"/>
    <n v="1401390.1194444031"/>
    <n v="51735709.171184637"/>
    <n v="0"/>
    <n v="51735709.171184637"/>
    <n v="0"/>
    <n v="0"/>
    <n v="0"/>
    <n v="0"/>
    <n v="0"/>
    <n v="0"/>
    <n v="5239"/>
    <n v="0"/>
    <n v="127491"/>
    <n v="132730"/>
    <n v="0"/>
    <n v="5239"/>
    <n v="2463.0928335736448"/>
    <n v="0"/>
    <n v="2775.9071664263552"/>
    <n v="0"/>
    <n v="2775.9071664263552"/>
    <n v="2463.0928335736448"/>
    <n v="812.82063507930275"/>
    <n v="191071.47"/>
    <n v="63053.585099999989"/>
    <m/>
    <n v="0"/>
    <n v="5239"/>
    <n v="1728.87"/>
    <n v="5239"/>
    <n v="1728.87"/>
    <n v="1728.87"/>
    <n v="1728.87"/>
    <n v="0"/>
    <n v="0"/>
    <n v="0"/>
    <n v="0"/>
    <n v="0"/>
    <n v="0"/>
    <n v="0"/>
    <n v="0"/>
    <n v="0"/>
    <n v="0"/>
    <n v="0"/>
    <n v="0"/>
    <n v="0"/>
    <n v="0"/>
    <n v="2463.0928335736448"/>
    <n v="812.82"/>
    <n v="2463.0928335736448"/>
    <n v="812.82"/>
    <n v="2273.98"/>
    <n v="750.41"/>
    <m/>
    <n v="3.399999999942338E-3"/>
  </r>
  <r>
    <x v="2"/>
    <s v="Harris"/>
    <n v="29895333.64891763"/>
    <n v="490456576.1632275"/>
    <n v="219292467.4358916"/>
    <n v="271164108.72733593"/>
    <n v="668947291.41779292"/>
    <n v="162723799.84"/>
    <n v="0"/>
    <n v="668947291.41779292"/>
    <n v="194131970"/>
    <n v="0"/>
    <n v="0"/>
    <n v="0"/>
    <n v="0"/>
    <n v="194131970"/>
    <n v="107990264.60268676"/>
    <n v="971069526.02047968"/>
    <n v="456544071.47218925"/>
    <n v="0"/>
    <n v="406535189.94560367"/>
    <n v="0"/>
    <n v="406535189.94560367"/>
    <n v="456544071.47218925"/>
    <n v="150659543.58582243"/>
    <n v="365468874.38"/>
    <n v="120604728.54539998"/>
    <m/>
    <n v="0"/>
    <n v="863079261.41779292"/>
    <n v="284816156.26787162"/>
    <n v="497610387.03779292"/>
    <n v="164211427.72247165"/>
    <n v="164211427.72247165"/>
    <n v="284816156.26787162"/>
    <n v="0"/>
    <n v="0"/>
    <n v="0"/>
    <n v="0"/>
    <n v="0"/>
    <n v="0"/>
    <n v="0"/>
    <n v="0"/>
    <n v="0"/>
    <n v="0"/>
    <n v="0"/>
    <n v="0"/>
    <n v="0"/>
    <n v="0"/>
    <n v="456544071.47218925"/>
    <n v="150659543.58000001"/>
    <n v="91075197.092189252"/>
    <n v="30054815.034600034"/>
    <n v="84082451.280000001"/>
    <n v="27747208.870000001"/>
    <m/>
    <n v="5.2399996668100357E-2"/>
  </r>
  <r>
    <x v="0"/>
    <s v="Falls"/>
    <n v="551606.08927083516"/>
    <n v="0"/>
    <n v="0"/>
    <n v="0"/>
    <n v="817109.9159012608"/>
    <n v="0"/>
    <n v="0"/>
    <n v="817109.9159012608"/>
    <n v="0"/>
    <n v="0"/>
    <n v="0"/>
    <n v="0"/>
    <n v="0"/>
    <n v="0"/>
    <n v="0"/>
    <n v="817109.9159012608"/>
    <n v="762719.42322319245"/>
    <n v="0"/>
    <n v="54390.492678068345"/>
    <n v="0"/>
    <n v="54390.492678068345"/>
    <n v="762719.42322319245"/>
    <n v="251697.40966365347"/>
    <n v="393294.02"/>
    <n v="129787.0266"/>
    <m/>
    <n v="0"/>
    <n v="817109.9159012608"/>
    <n v="269646.27224741603"/>
    <n v="423815.89590126078"/>
    <n v="139859.24564741604"/>
    <n v="139859.24564741604"/>
    <n v="269646.27224741603"/>
    <n v="0"/>
    <n v="0"/>
    <n v="0"/>
    <n v="0"/>
    <n v="0"/>
    <n v="0"/>
    <n v="0"/>
    <n v="0"/>
    <n v="0"/>
    <n v="0"/>
    <n v="0"/>
    <n v="0"/>
    <n v="0"/>
    <n v="0"/>
    <n v="762719.42322319245"/>
    <n v="251697.4"/>
    <n v="369425.40322319244"/>
    <n v="121910.3734"/>
    <n v="341060.95"/>
    <n v="112550.11"/>
    <m/>
    <n v="3.4999999916180968E-3"/>
  </r>
  <r>
    <x v="12"/>
    <s v="Deaf Smith"/>
    <n v="-1027023.8049947906"/>
    <n v="1729335.0458632957"/>
    <n v="364236.11308833276"/>
    <n v="1365098.9327749629"/>
    <n v="1882094.3639798271"/>
    <n v="812697.29"/>
    <n v="474622.16221982776"/>
    <n v="1407472.2017599994"/>
    <n v="75380"/>
    <n v="0"/>
    <n v="0"/>
    <n v="0"/>
    <n v="0"/>
    <n v="75380"/>
    <n v="0"/>
    <n v="1482852.2017599994"/>
    <n v="1384146.9232497935"/>
    <n v="0"/>
    <n v="98705.278510205913"/>
    <n v="0"/>
    <n v="98705.278510205913"/>
    <n v="1384146.9232497935"/>
    <n v="456768.48467243178"/>
    <n v="614888.75"/>
    <n v="202913.28749999998"/>
    <m/>
    <n v="0"/>
    <n v="1482852.2017599994"/>
    <n v="489341.22658079973"/>
    <n v="867963.45175999939"/>
    <n v="286427.93908079976"/>
    <n v="286427.93908079976"/>
    <n v="489341.22658079973"/>
    <n v="0"/>
    <n v="0"/>
    <n v="0"/>
    <n v="0"/>
    <n v="0"/>
    <n v="0"/>
    <n v="0"/>
    <n v="0"/>
    <n v="0"/>
    <n v="0"/>
    <n v="0"/>
    <n v="0"/>
    <n v="0"/>
    <n v="0"/>
    <n v="1384146.9232497935"/>
    <n v="456768.48"/>
    <n v="769258.17324979347"/>
    <n v="253855.1925"/>
    <n v="710194.6"/>
    <n v="234364.21"/>
    <m/>
    <n v="7.999999972525984E-3"/>
  </r>
  <r>
    <x v="0"/>
    <s v="Coryell"/>
    <n v="1245026.9496895999"/>
    <n v="0"/>
    <n v="0"/>
    <n v="0"/>
    <n v="1507940.9504579839"/>
    <n v="0"/>
    <n v="0"/>
    <n v="1507940.9504579839"/>
    <n v="0"/>
    <n v="0"/>
    <n v="0"/>
    <n v="0"/>
    <n v="0"/>
    <n v="0"/>
    <n v="0"/>
    <n v="1507940.9504579839"/>
    <n v="1407565.6525589488"/>
    <n v="0"/>
    <n v="100375.29789903504"/>
    <n v="0"/>
    <n v="100375.29789903504"/>
    <n v="1407565.6525589488"/>
    <n v="464496.66534445307"/>
    <n v="692245.68"/>
    <n v="228441.07439999998"/>
    <m/>
    <n v="0"/>
    <n v="1507940.9504579839"/>
    <n v="497620.51365113462"/>
    <n v="815695.27045798383"/>
    <n v="269179.43925113464"/>
    <n v="269179.43925113464"/>
    <n v="497620.51365113462"/>
    <n v="0"/>
    <n v="0"/>
    <n v="0"/>
    <n v="0"/>
    <n v="0"/>
    <n v="0"/>
    <n v="0"/>
    <n v="0"/>
    <n v="0"/>
    <n v="0"/>
    <n v="0"/>
    <n v="0"/>
    <n v="0"/>
    <n v="0"/>
    <n v="1407565.6525589488"/>
    <n v="464496.66"/>
    <n v="715319.97255894879"/>
    <n v="236055.58559999999"/>
    <n v="660397.77"/>
    <n v="217931.26"/>
    <m/>
    <n v="4.0999999619089067E-3"/>
  </r>
  <r>
    <x v="4"/>
    <s v="Dallas"/>
    <n v="3650641.2746779355"/>
    <n v="54311821.397900172"/>
    <n v="24485075.939479601"/>
    <n v="29826745.458420571"/>
    <n v="42745316.43453908"/>
    <n v="9030460.5999999996"/>
    <n v="0"/>
    <n v="42745316.43453908"/>
    <n v="0"/>
    <n v="0"/>
    <n v="0"/>
    <n v="0"/>
    <n v="3412739"/>
    <n v="3412739"/>
    <n v="0"/>
    <n v="46158055.43453908"/>
    <n v="21701006.977001"/>
    <n v="0"/>
    <n v="24457048.457538079"/>
    <n v="0"/>
    <n v="24457048.457538079"/>
    <n v="21701006.977001"/>
    <n v="7161332.3024103288"/>
    <n v="16442742.77"/>
    <n v="5426105.114099999"/>
    <m/>
    <n v="0"/>
    <n v="46158055.43453908"/>
    <n v="15232158.293397894"/>
    <n v="29715312.66453908"/>
    <n v="9806053.1792978942"/>
    <n v="9806053.1792978942"/>
    <n v="15232158.293397892"/>
    <n v="0"/>
    <n v="0"/>
    <n v="0"/>
    <n v="0"/>
    <n v="0"/>
    <n v="0"/>
    <n v="0"/>
    <n v="0"/>
    <n v="0"/>
    <n v="0"/>
    <n v="0"/>
    <n v="0"/>
    <n v="0"/>
    <n v="0"/>
    <n v="21701006.977001"/>
    <n v="7161332.2999999998"/>
    <n v="5258264.2070010006"/>
    <n v="1735227.1859000009"/>
    <n v="4854535.13"/>
    <n v="1601996.59"/>
    <m/>
    <n v="2.8999997302889824E-3"/>
  </r>
  <r>
    <x v="0"/>
    <s v="Colorado"/>
    <n v="86327.992226918213"/>
    <n v="951560.18606058578"/>
    <n v="118542.75412887039"/>
    <n v="833017.43193171534"/>
    <n v="590549.2726117376"/>
    <n v="685268.53"/>
    <n v="0"/>
    <n v="590549.2726117376"/>
    <n v="0"/>
    <n v="0"/>
    <n v="0"/>
    <n v="0"/>
    <n v="0"/>
    <n v="0"/>
    <n v="0"/>
    <n v="590549.2726117376"/>
    <n v="551239.67024006753"/>
    <n v="0"/>
    <n v="39309.602371670073"/>
    <n v="0"/>
    <n v="39309.602371670073"/>
    <n v="551239.67024006753"/>
    <n v="181909.09117922228"/>
    <n v="177417.1"/>
    <n v="58547.642999999996"/>
    <m/>
    <n v="0"/>
    <n v="590549.2726117376"/>
    <n v="194881.25996187338"/>
    <n v="413132.17261173762"/>
    <n v="136333.61696187337"/>
    <n v="136333.61696187337"/>
    <n v="194881.25996187335"/>
    <n v="0"/>
    <n v="0"/>
    <n v="0"/>
    <n v="0"/>
    <n v="0"/>
    <n v="0"/>
    <n v="0"/>
    <n v="0"/>
    <n v="0"/>
    <n v="0"/>
    <n v="0"/>
    <n v="0"/>
    <n v="0"/>
    <n v="0"/>
    <n v="551239.67024006753"/>
    <n v="181909.09"/>
    <n v="373822.57024006755"/>
    <n v="123361.447"/>
    <n v="345120.51"/>
    <n v="113889.77"/>
    <m/>
    <n v="-1.7000000079860911E-3"/>
  </r>
  <r>
    <x v="9"/>
    <s v="Wichita"/>
    <n v="93715.510105907102"/>
    <n v="532866.21208237065"/>
    <n v="367772.07400209917"/>
    <n v="165094.13808027148"/>
    <n v="848417.19168048643"/>
    <n v="0"/>
    <n v="0"/>
    <n v="848417.19168048643"/>
    <n v="0"/>
    <n v="0"/>
    <n v="0"/>
    <n v="0"/>
    <n v="0"/>
    <n v="0"/>
    <n v="0"/>
    <n v="848417.19168048643"/>
    <n v="791942.7466223248"/>
    <n v="0"/>
    <n v="56474.445058161626"/>
    <n v="0"/>
    <n v="56474.445058161626"/>
    <n v="791942.7466223248"/>
    <n v="261341.10638536717"/>
    <n v="183722.51"/>
    <n v="60628.428299999992"/>
    <m/>
    <n v="0"/>
    <n v="848417.19168048643"/>
    <n v="279977.6732545605"/>
    <n v="664694.68168048642"/>
    <n v="219349.2449545605"/>
    <n v="219349.2449545605"/>
    <n v="279977.6732545605"/>
    <n v="0"/>
    <n v="0"/>
    <n v="0"/>
    <n v="0"/>
    <n v="0"/>
    <n v="0"/>
    <n v="0"/>
    <n v="0"/>
    <n v="0"/>
    <n v="0"/>
    <n v="0"/>
    <n v="0"/>
    <n v="0"/>
    <n v="0"/>
    <n v="791942.7466223248"/>
    <n v="261341.1"/>
    <n v="608220.2366223248"/>
    <n v="200712.67170000001"/>
    <n v="561521.14"/>
    <n v="185301.97"/>
    <m/>
    <n v="6.1999999743420631E-3"/>
  </r>
  <r>
    <x v="5"/>
    <s v="Hidalgo"/>
    <n v="5392853.5673959628"/>
    <n v="11970597.12240308"/>
    <n v="2324146.2207593825"/>
    <n v="9646450.9016436972"/>
    <n v="6491699.7676690109"/>
    <n v="3275363.8"/>
    <n v="0"/>
    <n v="6491699.7676690109"/>
    <n v="39909"/>
    <n v="0"/>
    <n v="0"/>
    <n v="0"/>
    <n v="0"/>
    <n v="39909"/>
    <n v="0"/>
    <n v="6531608.7676690109"/>
    <n v="3070807.1668929807"/>
    <n v="0"/>
    <n v="3460801.6007760302"/>
    <n v="0"/>
    <n v="3460801.6007760302"/>
    <n v="3070807.1668929807"/>
    <n v="1013366.3650746836"/>
    <n v="1524084.51"/>
    <n v="502947.88829999993"/>
    <m/>
    <n v="0"/>
    <n v="6531608.7676690109"/>
    <n v="2155430.8933307733"/>
    <n v="5007524.2576690111"/>
    <n v="1652483.0050307733"/>
    <n v="1652483.0050307733"/>
    <n v="2155430.8933307733"/>
    <n v="0"/>
    <n v="0"/>
    <n v="0"/>
    <n v="0"/>
    <n v="0"/>
    <n v="0"/>
    <n v="0"/>
    <n v="0"/>
    <n v="0"/>
    <n v="0"/>
    <n v="0"/>
    <n v="0"/>
    <n v="0"/>
    <n v="0"/>
    <n v="3070807.1668929807"/>
    <n v="1013366.36"/>
    <n v="1546722.6568929807"/>
    <n v="510418.47170000005"/>
    <n v="1427965.42"/>
    <n v="471228.58"/>
    <m/>
    <n v="8.599999884609133E-3"/>
  </r>
  <r>
    <x v="6"/>
    <s v="Tarrant"/>
    <n v="-1690975.2346876469"/>
    <n v="23951150.529045049"/>
    <n v="11531738.480343582"/>
    <n v="12419412.048701467"/>
    <n v="15357090.50836288"/>
    <n v="7090815.9499999993"/>
    <n v="0"/>
    <n v="15357090.50836288"/>
    <n v="0"/>
    <n v="0"/>
    <n v="0"/>
    <n v="0"/>
    <n v="0"/>
    <n v="0"/>
    <n v="0"/>
    <n v="15357090.50836288"/>
    <n v="7220068.6344131418"/>
    <n v="0"/>
    <n v="8137021.8739497382"/>
    <n v="0"/>
    <n v="8137021.8739497382"/>
    <n v="7220068.6344131418"/>
    <n v="2382622.6493563363"/>
    <n v="6466786.8600000003"/>
    <n v="2134039.6637999997"/>
    <m/>
    <n v="0"/>
    <n v="15357090.50836288"/>
    <n v="5067839.8677597502"/>
    <n v="8890303.6483628787"/>
    <n v="2933800.2039597505"/>
    <n v="2933800.2039597505"/>
    <n v="5067839.8677597502"/>
    <n v="0"/>
    <n v="0"/>
    <n v="0"/>
    <n v="0"/>
    <n v="0"/>
    <n v="0"/>
    <n v="0"/>
    <n v="0"/>
    <n v="0"/>
    <n v="0"/>
    <n v="0"/>
    <n v="0"/>
    <n v="0"/>
    <n v="0"/>
    <n v="7220068.6344131418"/>
    <n v="2382622.64"/>
    <n v="753281.77441314142"/>
    <n v="248582.97620000038"/>
    <n v="695444.86"/>
    <n v="229496.8"/>
    <m/>
    <n v="3.7999999767635018E-3"/>
  </r>
  <r>
    <x v="3"/>
    <s v="Wilson"/>
    <n v="-310676.99822046736"/>
    <n v="1639555.6937758815"/>
    <n v="389220.96552657918"/>
    <n v="1250334.7282493024"/>
    <n v="733164.49478630407"/>
    <n v="829669.35"/>
    <n v="0"/>
    <n v="733164.49478630407"/>
    <n v="0"/>
    <n v="0"/>
    <n v="0"/>
    <n v="0"/>
    <n v="0"/>
    <n v="0"/>
    <n v="0"/>
    <n v="733164.49478630407"/>
    <n v="684361.78500458493"/>
    <n v="0"/>
    <n v="48802.709781719139"/>
    <n v="0"/>
    <n v="48802.709781719139"/>
    <n v="684361.78500458493"/>
    <n v="225839.38905151299"/>
    <n v="532842.49"/>
    <n v="175838.02169999998"/>
    <m/>
    <n v="0"/>
    <n v="733164.49478630407"/>
    <n v="241944.28327948033"/>
    <n v="200322.00478630408"/>
    <n v="66106.261579480342"/>
    <n v="66106.261579480342"/>
    <n v="241944.28327948033"/>
    <n v="0"/>
    <n v="0"/>
    <n v="0"/>
    <n v="0"/>
    <n v="0"/>
    <n v="0"/>
    <n v="0"/>
    <n v="0"/>
    <n v="0"/>
    <n v="0"/>
    <n v="0"/>
    <n v="0"/>
    <n v="0"/>
    <n v="0"/>
    <n v="684361.78500458493"/>
    <n v="225839.38"/>
    <n v="151519.29500458494"/>
    <n v="50001.358300000022"/>
    <n v="139885.66"/>
    <n v="46162.26"/>
    <m/>
    <n v="7.7999999921303242E-3"/>
  </r>
  <r>
    <x v="4"/>
    <s v="Ellis"/>
    <n v="2375917.4234247473"/>
    <n v="0"/>
    <n v="0"/>
    <n v="0"/>
    <n v="12678628.77450959"/>
    <n v="0"/>
    <n v="0"/>
    <n v="12678628.77450959"/>
    <n v="0"/>
    <n v="0"/>
    <n v="0"/>
    <n v="0"/>
    <n v="0"/>
    <n v="0"/>
    <n v="0"/>
    <n v="12678628.77450959"/>
    <n v="5960801.6174909659"/>
    <n v="0"/>
    <n v="6717827.1570186242"/>
    <n v="0"/>
    <n v="6717827.1570186242"/>
    <n v="5960801.6174909659"/>
    <n v="1967064.5337720185"/>
    <n v="5016581.6100000003"/>
    <n v="1655471.9312999998"/>
    <m/>
    <n v="0"/>
    <n v="12678628.77450959"/>
    <n v="4183947.4955881643"/>
    <n v="7662047.1645095898"/>
    <n v="2528475.5642881645"/>
    <n v="2528475.5642881645"/>
    <n v="4183947.4955881643"/>
    <n v="0"/>
    <n v="0"/>
    <n v="0"/>
    <n v="0"/>
    <n v="0"/>
    <n v="0"/>
    <n v="0"/>
    <n v="0"/>
    <n v="0"/>
    <n v="0"/>
    <n v="0"/>
    <n v="0"/>
    <n v="0"/>
    <n v="0"/>
    <n v="5960801.6174909659"/>
    <n v="1967064.53"/>
    <n v="944220.00749096554"/>
    <n v="311592.59870000021"/>
    <n v="871722.88"/>
    <n v="287668.55"/>
    <m/>
    <n v="3.9999996079131961E-4"/>
  </r>
  <r>
    <x v="7"/>
    <s v="Travis"/>
    <n v="-2350438.3545603361"/>
    <n v="35201458.692024171"/>
    <n v="30208749.761032313"/>
    <n v="4992708.9309918582"/>
    <n v="36277149.91460444"/>
    <n v="8079823.7699999996"/>
    <n v="5437553.1935684774"/>
    <n v="30839596.721035965"/>
    <n v="1143018"/>
    <n v="0"/>
    <n v="0"/>
    <n v="0"/>
    <n v="8352967"/>
    <n v="9495985"/>
    <n v="0"/>
    <n v="40335581.721035965"/>
    <n v="18963596.540390871"/>
    <n v="0"/>
    <n v="21371985.180645093"/>
    <n v="0"/>
    <n v="21371985.180645093"/>
    <n v="18963596.540390871"/>
    <n v="6257986.8583289869"/>
    <n v="17655949.030000001"/>
    <n v="5826463.1798999999"/>
    <m/>
    <n v="0"/>
    <n v="40335581.721035965"/>
    <n v="13310741.967941867"/>
    <n v="22679632.691035964"/>
    <n v="7484278.7880418673"/>
    <n v="7484278.7880418673"/>
    <n v="13310741.967941867"/>
    <n v="0"/>
    <n v="0"/>
    <n v="0"/>
    <n v="0"/>
    <n v="0"/>
    <n v="0"/>
    <n v="0"/>
    <n v="0"/>
    <n v="0"/>
    <n v="0"/>
    <n v="0"/>
    <n v="0"/>
    <n v="0"/>
    <n v="0"/>
    <n v="18963596.540390871"/>
    <n v="6257986.8499999996"/>
    <n v="1307647.5103908703"/>
    <n v="431523.67009999976"/>
    <n v="1207246.45"/>
    <n v="398391.32"/>
    <m/>
    <n v="8.4999999380670488E-3"/>
  </r>
  <r>
    <x v="0"/>
    <s v="Washington"/>
    <n v="-2632406.6374946823"/>
    <n v="1937725.4276370907"/>
    <n v="1529755.9902852864"/>
    <n v="407969.43735180423"/>
    <n v="2114358.1207619584"/>
    <n v="0"/>
    <n v="0"/>
    <n v="2114358.1207619584"/>
    <n v="0"/>
    <n v="0"/>
    <n v="0"/>
    <n v="0"/>
    <n v="0"/>
    <n v="0"/>
    <n v="0"/>
    <n v="2114358.1207619584"/>
    <n v="1973616.982209903"/>
    <n v="0"/>
    <n v="140741.13855205546"/>
    <n v="0"/>
    <n v="140741.13855205546"/>
    <n v="1973616.982209903"/>
    <n v="651293.60412926786"/>
    <n v="918117.49"/>
    <n v="302978.77169999998"/>
    <m/>
    <n v="0"/>
    <n v="2114358.1207619584"/>
    <n v="697738.17985144618"/>
    <n v="1196240.6307619584"/>
    <n v="394759.4081514462"/>
    <n v="394759.4081514462"/>
    <n v="697738.17985144618"/>
    <n v="0"/>
    <n v="0"/>
    <n v="0"/>
    <n v="0"/>
    <n v="0"/>
    <n v="0"/>
    <n v="0"/>
    <n v="0"/>
    <n v="0"/>
    <n v="0"/>
    <n v="0"/>
    <n v="0"/>
    <n v="0"/>
    <n v="0"/>
    <n v="1973616.982209903"/>
    <n v="651293.6"/>
    <n v="1055499.492209903"/>
    <n v="348314.82829999999"/>
    <n v="974458.33"/>
    <n v="321571.25"/>
    <m/>
    <n v="-1.1000000522471964E-3"/>
  </r>
  <r>
    <x v="0"/>
    <s v="Lavaca"/>
    <n v="251792.91629040634"/>
    <n v="0"/>
    <n v="0"/>
    <n v="0"/>
    <n v="641860.11323212809"/>
    <n v="0"/>
    <n v="0"/>
    <n v="641860.11323212809"/>
    <n v="0"/>
    <n v="0"/>
    <n v="0"/>
    <n v="0"/>
    <n v="0"/>
    <n v="0"/>
    <n v="0"/>
    <n v="641860.11323212809"/>
    <n v="599135.03168592043"/>
    <n v="0"/>
    <n v="42725.081546207657"/>
    <n v="0"/>
    <n v="42725.081546207657"/>
    <n v="599135.03168592043"/>
    <n v="197714.56045635371"/>
    <n v="338308.64"/>
    <n v="111641.85119999999"/>
    <m/>
    <n v="0"/>
    <n v="641860.11323212809"/>
    <n v="211813.83736660224"/>
    <n v="303551.47323212808"/>
    <n v="100171.98616660225"/>
    <n v="100171.98616660225"/>
    <n v="211813.83736660224"/>
    <n v="0"/>
    <n v="0"/>
    <n v="0"/>
    <n v="0"/>
    <n v="0"/>
    <n v="0"/>
    <n v="0"/>
    <n v="0"/>
    <n v="0"/>
    <n v="0"/>
    <n v="0"/>
    <n v="0"/>
    <n v="0"/>
    <n v="0"/>
    <n v="599135.03168592043"/>
    <n v="197714.56"/>
    <n v="260826.39168592042"/>
    <n v="86072.708800000008"/>
    <n v="240800.16"/>
    <n v="79464.05"/>
    <m/>
    <n v="2.7999999874737114E-3"/>
  </r>
  <r>
    <x v="9"/>
    <s v="Ector"/>
    <n v="7813970.6145154294"/>
    <n v="39277925.297854766"/>
    <n v="20026578.303274546"/>
    <n v="19251346.99458022"/>
    <n v="23300082.851615001"/>
    <n v="18646427.799999997"/>
    <n v="0"/>
    <n v="23300082.851615001"/>
    <n v="4802486"/>
    <n v="0"/>
    <n v="0"/>
    <n v="0"/>
    <n v="7938950.5640505683"/>
    <n v="12741436.564050568"/>
    <n v="0"/>
    <n v="36041519.415665567"/>
    <n v="16944762.012565609"/>
    <n v="0"/>
    <n v="19096757.403099958"/>
    <n v="0"/>
    <n v="19096757.403099958"/>
    <n v="16944762.012565609"/>
    <n v="5591771.4641466504"/>
    <n v="18699982.300000001"/>
    <n v="6170994.1589999991"/>
    <m/>
    <n v="0"/>
    <n v="36041519.415665567"/>
    <n v="11893701.407169636"/>
    <n v="17341537.115665566"/>
    <n v="5722707.2481696373"/>
    <n v="5722707.2481696373"/>
    <n v="11893701.407169636"/>
    <n v="0"/>
    <n v="0"/>
    <n v="0"/>
    <n v="0"/>
    <n v="0"/>
    <n v="0"/>
    <n v="0"/>
    <n v="0"/>
    <n v="0"/>
    <n v="0"/>
    <n v="0"/>
    <n v="0"/>
    <n v="0"/>
    <n v="0"/>
    <n v="16944762.012565609"/>
    <n v="5591771.46"/>
    <n v="-1755220.2874343917"/>
    <n v="-579222.69899999909"/>
    <n v="0"/>
    <n v="0"/>
    <m/>
    <n v="0"/>
  </r>
  <r>
    <x v="9"/>
    <s v="Wichita"/>
    <n v="-5699563.7705171034"/>
    <n v="31272366.012512714"/>
    <n v="18928907.441547051"/>
    <n v="12343458.570965663"/>
    <n v="24832678.01060541"/>
    <n v="4043757.27"/>
    <n v="0"/>
    <n v="24832678.01060541"/>
    <n v="0"/>
    <n v="0"/>
    <n v="0"/>
    <n v="0"/>
    <n v="0"/>
    <n v="0"/>
    <n v="0"/>
    <n v="24832678.01060541"/>
    <n v="23179703.832678683"/>
    <n v="0"/>
    <n v="1652974.1779267266"/>
    <n v="0"/>
    <n v="1652974.1779267266"/>
    <n v="23179703.832678683"/>
    <n v="7649302.2647839645"/>
    <n v="11856178.75"/>
    <n v="3912538.9874999993"/>
    <m/>
    <n v="0"/>
    <n v="24832678.01060541"/>
    <n v="8194783.7434997838"/>
    <n v="12976499.26060541"/>
    <n v="4282244.7559997849"/>
    <n v="4282244.7559997849"/>
    <n v="8194783.7434997838"/>
    <n v="0"/>
    <n v="0"/>
    <n v="0"/>
    <n v="0"/>
    <n v="0"/>
    <n v="0"/>
    <n v="0"/>
    <n v="0"/>
    <n v="0"/>
    <n v="0"/>
    <n v="0"/>
    <n v="0"/>
    <n v="0"/>
    <n v="0"/>
    <n v="23179703.832678683"/>
    <n v="7649302.2599999998"/>
    <n v="11323525.082678683"/>
    <n v="3736763.2725000004"/>
    <n v="10454105.800000001"/>
    <n v="3449854.9"/>
    <m/>
    <n v="1.3999999966472387E-2"/>
  </r>
  <r>
    <x v="3"/>
    <s v="Bexar"/>
    <n v="86580212.771718711"/>
    <n v="262084560.37626016"/>
    <n v="136100761.18548331"/>
    <n v="125983799.19077685"/>
    <n v="199621441.89844486"/>
    <n v="110400566.95"/>
    <n v="0"/>
    <n v="199621441.89844486"/>
    <n v="44911541"/>
    <n v="5658093.0999999996"/>
    <n v="0"/>
    <n v="0"/>
    <n v="0"/>
    <n v="50569634.100000001"/>
    <n v="73461519.876127154"/>
    <n v="323652595.87457204"/>
    <n v="152163846.05194989"/>
    <n v="0"/>
    <n v="98027229.946494997"/>
    <n v="0"/>
    <n v="98027229.946494997"/>
    <n v="152163846.05194989"/>
    <n v="50214069.197143458"/>
    <n v="120183620.14"/>
    <n v="39660594.646199994"/>
    <m/>
    <n v="0"/>
    <n v="250191075.99844489"/>
    <n v="82563055.079486802"/>
    <n v="130007455.85844488"/>
    <n v="42902460.433286808"/>
    <n v="42902460.433286808"/>
    <n v="82563055.079486802"/>
    <n v="0"/>
    <n v="0"/>
    <n v="0"/>
    <n v="0"/>
    <n v="0"/>
    <n v="0"/>
    <n v="0"/>
    <n v="0"/>
    <n v="0"/>
    <n v="0"/>
    <n v="0"/>
    <n v="0"/>
    <n v="0"/>
    <n v="0"/>
    <n v="152163846.05194989"/>
    <n v="50214069.189999998"/>
    <n v="31980225.911949888"/>
    <n v="10553474.543800004"/>
    <n v="29524786.91"/>
    <n v="9743179.6600000001"/>
    <m/>
    <n v="2.0299999043345451E-2"/>
  </r>
  <r>
    <x v="9"/>
    <s v="Castro"/>
    <n v="408489.99003850232"/>
    <n v="0"/>
    <n v="0"/>
    <n v="0"/>
    <n v="718961.98776639998"/>
    <n v="0"/>
    <n v="0"/>
    <n v="718961.98776639998"/>
    <n v="0"/>
    <n v="0"/>
    <n v="0"/>
    <n v="0"/>
    <n v="0"/>
    <n v="0"/>
    <n v="0"/>
    <n v="718961.98776639998"/>
    <n v="671104.66041003575"/>
    <n v="0"/>
    <n v="47857.327356364229"/>
    <n v="0"/>
    <n v="47857.327356364229"/>
    <n v="671104.66041003575"/>
    <n v="221464.53793531176"/>
    <n v="254819.53"/>
    <n v="84090.444899999988"/>
    <m/>
    <n v="0"/>
    <n v="718961.98776639998"/>
    <n v="237257.45596291198"/>
    <n v="464142.45776639995"/>
    <n v="153167.011062912"/>
    <n v="153167.011062912"/>
    <n v="237257.455962912"/>
    <n v="0"/>
    <n v="0"/>
    <n v="0"/>
    <n v="0"/>
    <n v="0"/>
    <n v="0"/>
    <n v="0"/>
    <n v="0"/>
    <n v="0"/>
    <n v="0"/>
    <n v="0"/>
    <n v="0"/>
    <n v="0"/>
    <n v="0"/>
    <n v="671104.66041003575"/>
    <n v="221464.53"/>
    <n v="416285.13041003572"/>
    <n v="137374.08510000003"/>
    <n v="384322.79"/>
    <n v="126826.51"/>
    <m/>
    <n v="1.0699999984353781E-2"/>
  </r>
  <r>
    <x v="9"/>
    <s v="Midland"/>
    <n v="11034837.96557238"/>
    <n v="25744428.330811508"/>
    <n v="14859162.383474305"/>
    <n v="10885265.947337203"/>
    <n v="16359818.384770021"/>
    <n v="15368275.699999999"/>
    <n v="0"/>
    <n v="16359818.384770021"/>
    <n v="1523018"/>
    <n v="0"/>
    <n v="0"/>
    <n v="0"/>
    <n v="8605351"/>
    <n v="10128369"/>
    <n v="0"/>
    <n v="26488187.384770021"/>
    <n v="12453304.92876176"/>
    <n v="0"/>
    <n v="14034882.456008261"/>
    <n v="0"/>
    <n v="14034882.456008261"/>
    <n v="12453304.92876176"/>
    <n v="4109590.6264913804"/>
    <n v="10426100.92"/>
    <n v="3440613.3035999998"/>
    <m/>
    <n v="0"/>
    <n v="26488187.384770021"/>
    <n v="8741101.8369741067"/>
    <n v="16062086.464770021"/>
    <n v="5300488.5333741065"/>
    <n v="5300488.5333741065"/>
    <n v="8741101.8369741067"/>
    <n v="0"/>
    <n v="0"/>
    <n v="0"/>
    <n v="0"/>
    <n v="0"/>
    <n v="0"/>
    <n v="0"/>
    <n v="0"/>
    <n v="0"/>
    <n v="0"/>
    <n v="0"/>
    <n v="0"/>
    <n v="0"/>
    <n v="0"/>
    <n v="12453304.92876176"/>
    <n v="4109590.62"/>
    <n v="2027204.0087617598"/>
    <n v="668977.31640000036"/>
    <n v="1871555.46"/>
    <n v="617613.29"/>
    <m/>
    <n v="1.1799999861977994E-2"/>
  </r>
  <r>
    <x v="9"/>
    <s v="Martin"/>
    <n v="540958.33566655999"/>
    <n v="0"/>
    <n v="0"/>
    <n v="0"/>
    <n v="1737782.7287573761"/>
    <n v="0"/>
    <n v="0"/>
    <n v="1737782.7287573761"/>
    <n v="0"/>
    <n v="0"/>
    <n v="0"/>
    <n v="0"/>
    <n v="0"/>
    <n v="0"/>
    <n v="0"/>
    <n v="1737782.7287573761"/>
    <n v="1622108.1335221697"/>
    <n v="0"/>
    <n v="115674.59523520642"/>
    <n v="0"/>
    <n v="115674.59523520642"/>
    <n v="1622108.1335221697"/>
    <n v="535295.68406231597"/>
    <n v="516967.88"/>
    <n v="170599.40039999998"/>
    <m/>
    <n v="0"/>
    <n v="1737782.7287573761"/>
    <n v="573468.30048993404"/>
    <n v="1220814.848757376"/>
    <n v="402868.90008993406"/>
    <n v="402868.90008993406"/>
    <n v="573468.30048993404"/>
    <n v="0"/>
    <n v="0"/>
    <n v="0"/>
    <n v="0"/>
    <n v="0"/>
    <n v="0"/>
    <n v="0"/>
    <n v="0"/>
    <n v="0"/>
    <n v="0"/>
    <n v="0"/>
    <n v="0"/>
    <n v="0"/>
    <n v="0"/>
    <n v="1622108.1335221697"/>
    <n v="535295.68000000005"/>
    <n v="1105140.2535221698"/>
    <n v="364696.27960000007"/>
    <n v="1020287.68"/>
    <n v="336694.93"/>
    <m/>
    <n v="4.3999999761581421E-3"/>
  </r>
  <r>
    <x v="9"/>
    <s v="Mitchell"/>
    <n v="622027.30313041934"/>
    <n v="0"/>
    <n v="0"/>
    <n v="0"/>
    <n v="1119711.457947264"/>
    <n v="0"/>
    <n v="0"/>
    <n v="1119711.457947264"/>
    <n v="0"/>
    <n v="0"/>
    <n v="0"/>
    <n v="0"/>
    <n v="0"/>
    <n v="0"/>
    <n v="0"/>
    <n v="1119711.457947264"/>
    <n v="1045178.4524484184"/>
    <n v="0"/>
    <n v="74533.005498845596"/>
    <n v="0"/>
    <n v="74533.005498845596"/>
    <n v="1045178.4524484184"/>
    <n v="344908.88930797804"/>
    <n v="157541.69"/>
    <n v="51988.757699999995"/>
    <m/>
    <n v="0"/>
    <n v="1119711.457947264"/>
    <n v="369504.78112259705"/>
    <n v="962169.76794726402"/>
    <n v="317516.02342259703"/>
    <n v="317516.02342259703"/>
    <n v="369504.78112259705"/>
    <n v="0"/>
    <n v="0"/>
    <n v="0"/>
    <n v="0"/>
    <n v="0"/>
    <n v="0"/>
    <n v="0"/>
    <n v="0"/>
    <n v="0"/>
    <n v="0"/>
    <n v="0"/>
    <n v="0"/>
    <n v="0"/>
    <n v="0"/>
    <n v="1045178.4524484184"/>
    <n v="344908.88"/>
    <n v="887636.76244841842"/>
    <n v="292920.12229999999"/>
    <n v="819484.09"/>
    <n v="270429.74"/>
    <m/>
    <n v="9.6999999368563294E-3"/>
  </r>
  <r>
    <x v="6"/>
    <s v="Tarrant"/>
    <n v="1166368.7589470923"/>
    <n v="19694887.588281129"/>
    <n v="13963689.438422002"/>
    <n v="5731198.1498591267"/>
    <n v="18396343.32085555"/>
    <n v="0"/>
    <n v="0"/>
    <n v="18396343.32085555"/>
    <n v="0"/>
    <n v="0"/>
    <n v="0"/>
    <n v="0"/>
    <n v="0"/>
    <n v="0"/>
    <n v="0"/>
    <n v="18396343.32085555"/>
    <n v="8648959.9918991588"/>
    <n v="0"/>
    <n v="9747383.3289563917"/>
    <n v="0"/>
    <n v="9747383.3289563917"/>
    <n v="8648959.9918991588"/>
    <n v="2854156.7973267222"/>
    <n v="4582055.96"/>
    <n v="1512078.4667999998"/>
    <m/>
    <n v="0"/>
    <n v="18396343.32085555"/>
    <n v="6070793.2958823312"/>
    <n v="13814287.36085555"/>
    <n v="4558714.8290823316"/>
    <n v="4558714.8290823316"/>
    <n v="6070793.2958823312"/>
    <n v="0"/>
    <n v="0"/>
    <n v="0"/>
    <n v="0"/>
    <n v="0"/>
    <n v="0"/>
    <n v="0"/>
    <n v="0"/>
    <n v="0"/>
    <n v="0"/>
    <n v="0"/>
    <n v="0"/>
    <n v="0"/>
    <n v="0"/>
    <n v="8648959.9918991588"/>
    <n v="2854156.79"/>
    <n v="4066904.0318991588"/>
    <n v="1342078.3232000002"/>
    <n v="3754647.49"/>
    <n v="1239033.6599999999"/>
    <m/>
    <n v="1.169999991543591E-2"/>
  </r>
  <r>
    <x v="7"/>
    <s v="Williamson"/>
    <n v="669619.85011535359"/>
    <n v="0"/>
    <n v="0"/>
    <n v="0"/>
    <n v="3136592.1449516583"/>
    <n v="0"/>
    <n v="0"/>
    <n v="3136592.1449516583"/>
    <n v="524509"/>
    <n v="0"/>
    <n v="0"/>
    <n v="0"/>
    <n v="0"/>
    <n v="524509"/>
    <n v="0"/>
    <n v="3661101.1449516583"/>
    <n v="3417401.8688285379"/>
    <n v="0"/>
    <n v="243699.27612312045"/>
    <n v="0"/>
    <n v="243699.27612312045"/>
    <n v="3417401.8688285379"/>
    <n v="1127742.6167134175"/>
    <n v="1277258.03"/>
    <n v="421495.14989999996"/>
    <m/>
    <n v="0"/>
    <n v="3661101.1449516583"/>
    <n v="1208163.3778340472"/>
    <n v="2383843.1149516581"/>
    <n v="786668.22793404723"/>
    <n v="786668.22793404723"/>
    <n v="1208163.3778340472"/>
    <n v="0"/>
    <n v="0"/>
    <n v="0"/>
    <n v="0"/>
    <n v="0"/>
    <n v="0"/>
    <n v="0"/>
    <n v="0"/>
    <n v="0"/>
    <n v="0"/>
    <n v="0"/>
    <n v="0"/>
    <n v="0"/>
    <n v="0"/>
    <n v="3417401.8688285379"/>
    <n v="1127742.6100000001"/>
    <n v="2140143.8388285376"/>
    <n v="706247.46010000014"/>
    <n v="1975823.78"/>
    <n v="652021.84"/>
    <m/>
    <n v="7.4000000022351742E-3"/>
  </r>
  <r>
    <x v="9"/>
    <s v="Scurry"/>
    <n v="954881.14950860816"/>
    <n v="3106031.9579367545"/>
    <n v="1376427.1354107903"/>
    <n v="1729604.8225259641"/>
    <n v="1733145.1838288896"/>
    <n v="1758333.53"/>
    <n v="0"/>
    <n v="1733145.1838288896"/>
    <n v="23683"/>
    <n v="0"/>
    <n v="0"/>
    <n v="0"/>
    <n v="0"/>
    <n v="23683"/>
    <n v="0"/>
    <n v="1756828.1838288896"/>
    <n v="1639885.837873176"/>
    <n v="0"/>
    <n v="116942.34595571365"/>
    <n v="0"/>
    <n v="116942.34595571365"/>
    <n v="1639885.837873176"/>
    <n v="541162.32649814803"/>
    <n v="1196901.79"/>
    <n v="394977.59069999994"/>
    <m/>
    <n v="0"/>
    <n v="1756828.1838288896"/>
    <n v="579753.3006635335"/>
    <n v="559926.39382888959"/>
    <n v="184775.70996353356"/>
    <n v="184775.70996353356"/>
    <n v="579753.3006635335"/>
    <n v="0"/>
    <n v="0"/>
    <n v="0"/>
    <n v="0"/>
    <n v="0"/>
    <n v="0"/>
    <n v="0"/>
    <n v="0"/>
    <n v="0"/>
    <n v="0"/>
    <n v="0"/>
    <n v="0"/>
    <n v="0"/>
    <n v="0"/>
    <n v="1639885.837873176"/>
    <n v="541162.31999999995"/>
    <n v="442984.04787317594"/>
    <n v="146184.72930000001"/>
    <n v="408971.77"/>
    <n v="134960.68"/>
    <m/>
    <n v="4.0999999910127372E-3"/>
  </r>
  <r>
    <x v="9"/>
    <s v="Ward"/>
    <n v="363778.47774589446"/>
    <n v="0"/>
    <n v="0"/>
    <n v="0"/>
    <n v="2755329.7931871489"/>
    <n v="0"/>
    <n v="0"/>
    <n v="2755329.7931871489"/>
    <n v="136525"/>
    <n v="0"/>
    <n v="0"/>
    <n v="0"/>
    <n v="0"/>
    <n v="136525"/>
    <n v="0"/>
    <n v="2891854.7931871489"/>
    <n v="2699359.9967173319"/>
    <n v="0"/>
    <n v="192494.79646981694"/>
    <n v="0"/>
    <n v="192494.79646981694"/>
    <n v="2699359.9967173319"/>
    <n v="890788.79891671939"/>
    <n v="578246.44999999995"/>
    <n v="190821.32849999997"/>
    <m/>
    <n v="0"/>
    <n v="2891854.7931871489"/>
    <n v="954312.08175175905"/>
    <n v="2313608.3431871487"/>
    <n v="763490.7532517591"/>
    <n v="763490.7532517591"/>
    <n v="954312.08175175905"/>
    <n v="0"/>
    <n v="0"/>
    <n v="0"/>
    <n v="0"/>
    <n v="0"/>
    <n v="0"/>
    <n v="0"/>
    <n v="0"/>
    <n v="0"/>
    <n v="0"/>
    <n v="0"/>
    <n v="0"/>
    <n v="0"/>
    <n v="0"/>
    <n v="2699359.9967173319"/>
    <n v="890788.79"/>
    <n v="2121113.5467173317"/>
    <n v="699967.46150000009"/>
    <n v="1958254.63"/>
    <n v="646224.02"/>
    <m/>
    <n v="7.8999998513609171E-3"/>
  </r>
  <r>
    <x v="5"/>
    <s v="Starr"/>
    <n v="2409314.5696736267"/>
    <n v="2987888.3160269298"/>
    <n v="249548.5606587904"/>
    <n v="2738339.7553681396"/>
    <n v="1753857.8074622976"/>
    <n v="1843520.25"/>
    <n v="0"/>
    <n v="1753857.8074622976"/>
    <n v="0"/>
    <n v="0"/>
    <n v="0"/>
    <n v="0"/>
    <n v="0"/>
    <n v="0"/>
    <n v="0"/>
    <n v="1753857.8074622976"/>
    <n v="1637113.183050374"/>
    <n v="0"/>
    <n v="116744.62441192358"/>
    <n v="0"/>
    <n v="116744.62441192358"/>
    <n v="1637113.183050374"/>
    <n v="540247.35040662333"/>
    <n v="420404.23"/>
    <n v="138733.39589999997"/>
    <m/>
    <n v="0"/>
    <n v="1753857.8074622976"/>
    <n v="578773.07646255812"/>
    <n v="1333453.5774622976"/>
    <n v="440039.68056255812"/>
    <n v="440039.68056255812"/>
    <n v="578773.07646255812"/>
    <n v="0"/>
    <n v="0"/>
    <n v="0"/>
    <n v="0"/>
    <n v="0"/>
    <n v="0"/>
    <n v="0"/>
    <n v="0"/>
    <n v="0"/>
    <n v="0"/>
    <n v="0"/>
    <n v="0"/>
    <n v="0"/>
    <n v="0"/>
    <n v="1637113.183050374"/>
    <n v="540247.35"/>
    <n v="1216708.9530503741"/>
    <n v="401513.95409999997"/>
    <n v="1123290.1399999999"/>
    <n v="370685.75"/>
    <m/>
    <n v="-3.8000000640749931E-3"/>
  </r>
  <r>
    <x v="10"/>
    <s v="Tyler"/>
    <n v="469624.02110830089"/>
    <n v="0"/>
    <n v="0"/>
    <n v="0"/>
    <n v="1163430.0856795902"/>
    <n v="0"/>
    <n v="0"/>
    <n v="1163430.0856795902"/>
    <n v="277522"/>
    <n v="0"/>
    <n v="0"/>
    <n v="0"/>
    <n v="0"/>
    <n v="277522"/>
    <n v="0"/>
    <n v="1440952.0856795902"/>
    <n v="1345035.8664042952"/>
    <n v="0"/>
    <n v="95916.219275295036"/>
    <n v="0"/>
    <n v="95916.219275295036"/>
    <n v="1345035.8664042952"/>
    <n v="443861.83591341734"/>
    <n v="432291.3"/>
    <n v="142656.12899999999"/>
    <m/>
    <n v="0"/>
    <n v="1440952.0856795902"/>
    <n v="475514.18827426474"/>
    <n v="1008660.7856795902"/>
    <n v="332858.05927426473"/>
    <n v="332858.05927426473"/>
    <n v="475514.18827426468"/>
    <n v="0"/>
    <n v="0"/>
    <n v="0"/>
    <n v="0"/>
    <n v="0"/>
    <n v="0"/>
    <n v="0"/>
    <n v="0"/>
    <n v="0"/>
    <n v="0"/>
    <n v="0"/>
    <n v="0"/>
    <n v="0"/>
    <n v="0"/>
    <n v="1345035.8664042952"/>
    <n v="443861.83"/>
    <n v="912744.56640429515"/>
    <n v="301205.701"/>
    <n v="842664.12"/>
    <n v="278079.15000000002"/>
    <m/>
    <n v="9.5999999321065843E-3"/>
  </r>
  <r>
    <x v="1"/>
    <s v="Karnes"/>
    <n v="942670.22632957425"/>
    <n v="0"/>
    <n v="0"/>
    <n v="0"/>
    <n v="3306756.6163163395"/>
    <n v="0"/>
    <n v="0"/>
    <n v="3306756.6163163395"/>
    <n v="184159.78"/>
    <n v="0"/>
    <n v="0"/>
    <n v="0"/>
    <n v="0"/>
    <n v="184159.78"/>
    <n v="0"/>
    <n v="3490916.3963163393"/>
    <n v="3258545.3786617974"/>
    <n v="0"/>
    <n v="232371.01765454188"/>
    <n v="0"/>
    <n v="232371.01765454188"/>
    <n v="3258545.3786617974"/>
    <n v="1075319.974958393"/>
    <n v="1084776.32"/>
    <n v="357976.18559999997"/>
    <m/>
    <n v="0"/>
    <n v="3490916.3963163393"/>
    <n v="1152002.4107843919"/>
    <n v="2406140.076316339"/>
    <n v="794026.22518439195"/>
    <n v="794026.22518439195"/>
    <n v="1152002.4107843919"/>
    <n v="0"/>
    <n v="0"/>
    <n v="0"/>
    <n v="0"/>
    <n v="0"/>
    <n v="0"/>
    <n v="0"/>
    <n v="0"/>
    <n v="0"/>
    <n v="0"/>
    <n v="0"/>
    <n v="0"/>
    <n v="0"/>
    <n v="0"/>
    <n v="3258545.3786617974"/>
    <n v="1075319.97"/>
    <n v="2173769.0586617971"/>
    <n v="717343.7844"/>
    <n v="2006867.26"/>
    <n v="662266.18999999994"/>
    <m/>
    <n v="5.7999999262392521E-3"/>
  </r>
  <r>
    <x v="0"/>
    <s v="Gillespie"/>
    <n v="137222.97500620774"/>
    <n v="0"/>
    <n v="0"/>
    <n v="0"/>
    <n v="3303526.4022448128"/>
    <n v="0"/>
    <n v="0"/>
    <n v="3303526.4022448128"/>
    <n v="568418.83000000007"/>
    <n v="0"/>
    <n v="0"/>
    <n v="0"/>
    <n v="0"/>
    <n v="568418.83000000007"/>
    <n v="0"/>
    <n v="3871945.2322448129"/>
    <n v="3614211.2301160931"/>
    <n v="0"/>
    <n v="257734.00212871982"/>
    <n v="0"/>
    <n v="257734.00212871982"/>
    <n v="3614211.2301160931"/>
    <n v="1192689.7059383106"/>
    <n v="1693963.16"/>
    <n v="559007.84279999987"/>
    <m/>
    <n v="0"/>
    <n v="3871945.2322448129"/>
    <n v="1277741.9266407881"/>
    <n v="2177982.0722448127"/>
    <n v="718734.08384078823"/>
    <n v="718734.08384078823"/>
    <n v="1277741.9266407881"/>
    <n v="0"/>
    <n v="0"/>
    <n v="0"/>
    <n v="0"/>
    <n v="0"/>
    <n v="0"/>
    <n v="0"/>
    <n v="0"/>
    <n v="0"/>
    <n v="0"/>
    <n v="0"/>
    <n v="0"/>
    <n v="0"/>
    <n v="0"/>
    <n v="3614211.2301160931"/>
    <n v="1192689.7"/>
    <n v="1920248.0701160931"/>
    <n v="633681.85720000009"/>
    <n v="1772811.59"/>
    <n v="585027.81999999995"/>
    <m/>
    <n v="4.7000000486150384E-3"/>
  </r>
  <r>
    <x v="1"/>
    <s v="Kleberg"/>
    <n v="119728.51464716817"/>
    <n v="5525595.846890389"/>
    <n v="3436663.7777934335"/>
    <n v="2088932.0690969555"/>
    <n v="5566235.3979330556"/>
    <n v="1242294.68"/>
    <n v="0"/>
    <n v="5566235.3979330556"/>
    <n v="18722"/>
    <n v="0"/>
    <n v="65508"/>
    <n v="0"/>
    <n v="901183.72346075927"/>
    <n v="985413.72346075927"/>
    <n v="0"/>
    <n v="6551649.1213938147"/>
    <n v="6115542.0363716036"/>
    <n v="0"/>
    <n v="436107.08502221107"/>
    <n v="0"/>
    <n v="436107.08502221107"/>
    <n v="6115542.0363716036"/>
    <n v="2018128.8720026289"/>
    <n v="2329708.35"/>
    <n v="768803.75549999997"/>
    <m/>
    <n v="0"/>
    <n v="6551649.1213938147"/>
    <n v="2162044.2100599585"/>
    <n v="4221940.7713938151"/>
    <n v="1393240.4545599585"/>
    <n v="1393240.4545599585"/>
    <n v="2162044.2100599585"/>
    <n v="0"/>
    <n v="0"/>
    <n v="0"/>
    <n v="0"/>
    <n v="0"/>
    <n v="0"/>
    <n v="0"/>
    <n v="0"/>
    <n v="0"/>
    <n v="0"/>
    <n v="0"/>
    <n v="0"/>
    <n v="0"/>
    <n v="0"/>
    <n v="6115542.0363716036"/>
    <n v="2018128.87"/>
    <n v="3785833.6863716035"/>
    <n v="1249325.1145000001"/>
    <n v="3495157.7"/>
    <n v="1153402.04"/>
    <m/>
    <n v="9.9999993108212948E-4"/>
  </r>
  <r>
    <x v="3"/>
    <s v="Bexar"/>
    <n v="-170915.2522572639"/>
    <n v="25670874.241032925"/>
    <n v="17558876.475520205"/>
    <n v="8111997.7655127198"/>
    <n v="14327830.845261298"/>
    <n v="5165099.0199999996"/>
    <n v="0"/>
    <n v="14327830.845261298"/>
    <n v="1075393"/>
    <n v="0"/>
    <n v="954731.2"/>
    <n v="0"/>
    <n v="8966970.3337556086"/>
    <n v="10997094.533755608"/>
    <n v="0"/>
    <n v="25324925.379016906"/>
    <n v="11906402.407299841"/>
    <n v="0"/>
    <n v="13418522.971717065"/>
    <n v="0"/>
    <n v="13418522.971717065"/>
    <n v="11906402.407299841"/>
    <n v="3929112.7944089468"/>
    <n v="9105944.0399999991"/>
    <n v="3004961.5331999995"/>
    <m/>
    <n v="0"/>
    <n v="25324925.379016906"/>
    <n v="8357225.3750755778"/>
    <n v="16218981.339016907"/>
    <n v="5352263.8418755783"/>
    <n v="5352263.8418755783"/>
    <n v="8357225.3750755778"/>
    <n v="0"/>
    <n v="0"/>
    <n v="0"/>
    <n v="0"/>
    <n v="0"/>
    <n v="0"/>
    <n v="0"/>
    <n v="0"/>
    <n v="0"/>
    <n v="0"/>
    <n v="0"/>
    <n v="0"/>
    <n v="0"/>
    <n v="0"/>
    <n v="11906402.407299841"/>
    <n v="3929112.79"/>
    <n v="2800458.3672998417"/>
    <n v="924151.25680000056"/>
    <n v="2585439.41"/>
    <n v="853195"/>
    <m/>
    <n v="5.2999999606981874E-3"/>
  </r>
  <r>
    <x v="12"/>
    <s v="Lubbock"/>
    <n v="18950.5105664"/>
    <n v="0"/>
    <n v="0"/>
    <n v="0"/>
    <n v="0"/>
    <n v="0"/>
    <n v="0"/>
    <n v="0"/>
    <n v="0"/>
    <n v="0"/>
    <n v="0"/>
    <n v="0"/>
    <n v="57104"/>
    <n v="57104"/>
    <n v="0"/>
    <n v="57104"/>
    <n v="26847.194725785343"/>
    <n v="0"/>
    <n v="30256.805274214657"/>
    <n v="0"/>
    <n v="30256.805274214657"/>
    <n v="26847.194725785343"/>
    <n v="8859.5742595091615"/>
    <n v="126038.92"/>
    <n v="41592.843599999993"/>
    <m/>
    <n v="0"/>
    <n v="57104"/>
    <n v="18844.319999999996"/>
    <n v="-68934.92"/>
    <n v="-22748.523599999997"/>
    <n v="-22748.523599999997"/>
    <n v="18844.319999999996"/>
    <n v="0"/>
    <n v="0"/>
    <n v="0"/>
    <n v="0"/>
    <n v="0"/>
    <n v="0"/>
    <n v="0"/>
    <n v="0"/>
    <n v="0"/>
    <n v="0"/>
    <n v="0"/>
    <n v="0"/>
    <n v="0"/>
    <n v="0"/>
    <n v="26847.194725785343"/>
    <n v="8859.57"/>
    <n v="-99191.725274214652"/>
    <n v="-32733.273599999993"/>
    <n v="0"/>
    <n v="0"/>
    <m/>
    <n v="0"/>
  </r>
  <r>
    <x v="9"/>
    <s v="Eastland"/>
    <n v="377324.64821112325"/>
    <n v="0"/>
    <n v="0"/>
    <n v="0"/>
    <n v="1445401.6005087232"/>
    <n v="0"/>
    <n v="0"/>
    <n v="1445401.6005087232"/>
    <n v="0"/>
    <n v="0"/>
    <n v="0"/>
    <n v="0"/>
    <n v="0"/>
    <n v="0"/>
    <n v="0"/>
    <n v="1445401.6005087232"/>
    <n v="1349189.2016142297"/>
    <n v="0"/>
    <n v="96212.398894493468"/>
    <n v="0"/>
    <n v="96212.398894493468"/>
    <n v="1349189.2016142297"/>
    <n v="445232.43653269578"/>
    <n v="658713.5"/>
    <n v="217375.45499999999"/>
    <m/>
    <n v="0"/>
    <n v="1445401.6005087232"/>
    <n v="476982.52816787857"/>
    <n v="786688.10050872318"/>
    <n v="259607.07316787858"/>
    <n v="259607.07316787858"/>
    <n v="476982.52816787857"/>
    <n v="0"/>
    <n v="0"/>
    <n v="0"/>
    <n v="0"/>
    <n v="0"/>
    <n v="0"/>
    <n v="0"/>
    <n v="0"/>
    <n v="0"/>
    <n v="0"/>
    <n v="0"/>
    <n v="0"/>
    <n v="0"/>
    <n v="0"/>
    <n v="1349189.2016142297"/>
    <n v="445232.43"/>
    <n v="690475.70161422971"/>
    <n v="227856.97500000001"/>
    <n v="637461.04"/>
    <n v="210362.14"/>
    <m/>
    <n v="3.1999999773688614E-3"/>
  </r>
  <r>
    <x v="9"/>
    <s v="Tom Green"/>
    <n v="-4177482.140467165"/>
    <n v="17144718.473052979"/>
    <n v="14808416.600162692"/>
    <n v="2336301.8728902861"/>
    <n v="16215814.863003096"/>
    <n v="4834404.4600000009"/>
    <n v="4834404.4600000009"/>
    <n v="11381410.403003095"/>
    <n v="671603"/>
    <n v="0"/>
    <n v="0"/>
    <n v="0"/>
    <n v="0"/>
    <n v="671603"/>
    <n v="0"/>
    <n v="12053013.403003095"/>
    <n v="11250710.892059246"/>
    <n v="0"/>
    <n v="802302.51094384864"/>
    <n v="0"/>
    <n v="802302.51094384864"/>
    <n v="11250710.892059246"/>
    <n v="3712734.5943795508"/>
    <n v="9042047.5600000005"/>
    <n v="2983875.6947999997"/>
    <m/>
    <n v="0"/>
    <n v="12053013.403003095"/>
    <n v="3977494.4229910206"/>
    <n v="3010965.8430030942"/>
    <n v="993618.7281910209"/>
    <n v="993618.7281910209"/>
    <n v="3977494.4229910206"/>
    <n v="0"/>
    <n v="0"/>
    <n v="0"/>
    <n v="0"/>
    <n v="0"/>
    <n v="0"/>
    <n v="0"/>
    <n v="0"/>
    <n v="0"/>
    <n v="0"/>
    <n v="0"/>
    <n v="0"/>
    <n v="0"/>
    <n v="0"/>
    <n v="11250710.892059246"/>
    <n v="3712734.59"/>
    <n v="2208663.3320592456"/>
    <n v="728858.89520000014"/>
    <n v="2039082.35"/>
    <n v="672897.17"/>
    <m/>
    <n v="5.4999998537823558E-3"/>
  </r>
  <r>
    <x v="9"/>
    <s v="Yoakum"/>
    <n v="1598079.9651505919"/>
    <n v="1630659.3356719825"/>
    <n v="1069563.3823117823"/>
    <n v="561095.95336020016"/>
    <n v="1494601.4869793281"/>
    <n v="909513.34000000008"/>
    <n v="0"/>
    <n v="1494601.4869793281"/>
    <n v="0"/>
    <n v="0"/>
    <n v="0"/>
    <n v="0"/>
    <n v="0"/>
    <n v="0"/>
    <n v="0"/>
    <n v="1494601.4869793281"/>
    <n v="1395114.1234653078"/>
    <n v="0"/>
    <n v="99487.363514020341"/>
    <n v="0"/>
    <n v="99487.363514020341"/>
    <n v="1395114.1234653078"/>
    <n v="460387.6607435515"/>
    <n v="746931.29"/>
    <n v="246487.32569999999"/>
    <m/>
    <n v="0"/>
    <n v="1494601.4869793281"/>
    <n v="493218.49070317822"/>
    <n v="747670.19697932806"/>
    <n v="246731.16500317823"/>
    <n v="246731.16500317823"/>
    <n v="493218.49070317822"/>
    <n v="0"/>
    <n v="0"/>
    <n v="0"/>
    <n v="0"/>
    <n v="0"/>
    <n v="0"/>
    <n v="0"/>
    <n v="0"/>
    <n v="0"/>
    <n v="0"/>
    <n v="0"/>
    <n v="0"/>
    <n v="0"/>
    <n v="0"/>
    <n v="1395114.1234653078"/>
    <n v="460387.66"/>
    <n v="648182.83346530772"/>
    <n v="213900.33429999999"/>
    <n v="598415.41"/>
    <n v="197477.08"/>
    <m/>
    <n v="5.2999999898020178E-3"/>
  </r>
  <r>
    <x v="12"/>
    <s v="Potter"/>
    <n v="70197.694269838277"/>
    <n v="35069036.829233125"/>
    <n v="23125125.173913907"/>
    <n v="11943911.655319218"/>
    <n v="29680414.820116114"/>
    <n v="13042489.970000001"/>
    <n v="1028380.6204109453"/>
    <n v="28652034.199705169"/>
    <n v="6971983"/>
    <n v="0"/>
    <n v="0"/>
    <n v="0"/>
    <n v="3878705"/>
    <n v="10850688"/>
    <n v="0"/>
    <n v="39502722.199705169"/>
    <n v="18572031.295427434"/>
    <n v="0"/>
    <n v="20930690.904277734"/>
    <n v="0"/>
    <n v="20930690.904277734"/>
    <n v="18572031.295427434"/>
    <n v="6128770.3274910524"/>
    <n v="18753958.460000001"/>
    <n v="6188806.2917999998"/>
    <m/>
    <n v="0"/>
    <n v="39502722.199705169"/>
    <n v="13035898.325902704"/>
    <n v="20748763.739705168"/>
    <n v="6847092.0341027044"/>
    <n v="6847092.0341027044"/>
    <n v="13035898.325902704"/>
    <n v="0"/>
    <n v="0"/>
    <n v="0"/>
    <n v="0"/>
    <n v="0"/>
    <n v="0"/>
    <n v="0"/>
    <n v="0"/>
    <n v="0"/>
    <n v="0"/>
    <n v="0"/>
    <n v="0"/>
    <n v="0"/>
    <n v="0"/>
    <n v="18572031.295427434"/>
    <n v="6128770.3200000003"/>
    <n v="-181927.16457256675"/>
    <n v="-60035.971799999475"/>
    <n v="0"/>
    <n v="0"/>
    <m/>
    <n v="0"/>
  </r>
  <r>
    <x v="0"/>
    <s v="Bell"/>
    <n v="-10603808.502567058"/>
    <n v="61968782.5382175"/>
    <n v="40963266.050804362"/>
    <n v="21005516.487413138"/>
    <n v="66819267.220830724"/>
    <n v="19096041.379999999"/>
    <n v="8694333.3951539174"/>
    <n v="58124933.825676806"/>
    <n v="10971617.74"/>
    <n v="0"/>
    <n v="0"/>
    <n v="0"/>
    <n v="0"/>
    <n v="10971617.74"/>
    <n v="0"/>
    <n v="69096551.565676808"/>
    <n v="32485440.157677107"/>
    <n v="0"/>
    <n v="36611111.407999702"/>
    <n v="0"/>
    <n v="36611111.407999702"/>
    <n v="32485440.157677107"/>
    <n v="10720195.252033444"/>
    <n v="22950489.66"/>
    <n v="7573661.5877999989"/>
    <m/>
    <n v="0"/>
    <n v="69096551.565676808"/>
    <n v="22801862.016673345"/>
    <n v="46146061.905676812"/>
    <n v="15228200.428873345"/>
    <n v="15228200.428873345"/>
    <n v="22801862.016673345"/>
    <n v="0"/>
    <n v="0"/>
    <n v="0"/>
    <n v="0"/>
    <n v="0"/>
    <n v="0"/>
    <n v="0"/>
    <n v="0"/>
    <n v="0"/>
    <n v="0"/>
    <n v="0"/>
    <n v="0"/>
    <n v="0"/>
    <n v="0"/>
    <n v="32485440.157677107"/>
    <n v="10720195.25"/>
    <n v="9534950.4976771064"/>
    <n v="3146533.6622000011"/>
    <n v="8802857.8200000003"/>
    <n v="2904943.07"/>
    <m/>
    <n v="1.0599999688565731E-2"/>
  </r>
  <r>
    <x v="7"/>
    <s v="Travis"/>
    <n v="-1029544.3608066724"/>
    <n v="118221959.20435363"/>
    <n v="114154658.78781426"/>
    <n v="4067300.416539371"/>
    <n v="124858063.03035462"/>
    <n v="0"/>
    <n v="0"/>
    <n v="124858063.03035462"/>
    <n v="4636480"/>
    <n v="0"/>
    <n v="0"/>
    <n v="0"/>
    <n v="6268499"/>
    <n v="10904979"/>
    <n v="0"/>
    <n v="135763042.03035462"/>
    <n v="63828397.764673404"/>
    <n v="0"/>
    <n v="71934644.265681207"/>
    <n v="0"/>
    <n v="71934644.265681207"/>
    <n v="63828397.764673404"/>
    <n v="21063371.262342222"/>
    <n v="57275185.090000004"/>
    <n v="18900811.079700001"/>
    <m/>
    <n v="0"/>
    <n v="135763042.03035462"/>
    <n v="44801803.870017022"/>
    <n v="78487856.940354615"/>
    <n v="25900992.790317021"/>
    <n v="25900992.790317021"/>
    <n v="44801803.870017022"/>
    <n v="0"/>
    <n v="0"/>
    <n v="0"/>
    <n v="0"/>
    <n v="0"/>
    <n v="0"/>
    <n v="0"/>
    <n v="0"/>
    <n v="0"/>
    <n v="0"/>
    <n v="0"/>
    <n v="0"/>
    <n v="0"/>
    <n v="0"/>
    <n v="63828397.764673404"/>
    <n v="21063371.260000002"/>
    <n v="6553212.6746734008"/>
    <n v="2162560.1803000011"/>
    <n v="6050057.5700000003"/>
    <n v="1996518.99"/>
    <m/>
    <n v="8.0999999772757292E-3"/>
  </r>
  <r>
    <x v="9"/>
    <s v="Parmer"/>
    <n v="241483.71213532161"/>
    <n v="0"/>
    <n v="0"/>
    <n v="0"/>
    <n v="678146.51715614717"/>
    <n v="0"/>
    <n v="0"/>
    <n v="678146.51715614717"/>
    <n v="0"/>
    <n v="0"/>
    <n v="0"/>
    <n v="0"/>
    <n v="0"/>
    <n v="0"/>
    <n v="0"/>
    <n v="678146.51715614717"/>
    <n v="633006.05017826741"/>
    <n v="0"/>
    <n v="45140.466977879754"/>
    <n v="0"/>
    <n v="45140.466977879754"/>
    <n v="633006.05017826741"/>
    <n v="208891.99655882822"/>
    <n v="349168.16"/>
    <n v="115225.49279999998"/>
    <m/>
    <n v="0"/>
    <n v="678146.51715614717"/>
    <n v="223788.35066152853"/>
    <n v="328978.35715614719"/>
    <n v="108562.85786152855"/>
    <n v="108562.85786152855"/>
    <n v="223788.35066152853"/>
    <n v="0"/>
    <n v="0"/>
    <n v="0"/>
    <n v="0"/>
    <n v="0"/>
    <n v="0"/>
    <n v="0"/>
    <n v="0"/>
    <n v="0"/>
    <n v="0"/>
    <n v="0"/>
    <n v="0"/>
    <n v="0"/>
    <n v="0"/>
    <n v="633006.05017826741"/>
    <n v="208891.99"/>
    <n v="283837.89017826744"/>
    <n v="93666.497200000013"/>
    <n v="262044.84"/>
    <n v="86474.79"/>
    <m/>
    <n v="7.1999999927356839E-3"/>
  </r>
  <r>
    <x v="2"/>
    <s v="Harris"/>
    <n v="-75425780.302413374"/>
    <n v="153685108.7982004"/>
    <n v="48099439.680415802"/>
    <n v="105585669.11778459"/>
    <n v="97693563.354321808"/>
    <n v="35110743.509999998"/>
    <n v="4950854.6946287751"/>
    <n v="92742708.659693033"/>
    <n v="6730345"/>
    <n v="0"/>
    <n v="0"/>
    <n v="0"/>
    <n v="0"/>
    <n v="6730345"/>
    <n v="0"/>
    <n v="99473053.659693033"/>
    <n v="46766819.164511651"/>
    <n v="0"/>
    <n v="52706234.495181382"/>
    <n v="0"/>
    <n v="52706234.495181382"/>
    <n v="46766819.164511651"/>
    <n v="15433050.324288843"/>
    <n v="42021637.890000001"/>
    <n v="13867140.503699999"/>
    <m/>
    <n v="0"/>
    <n v="99473053.659693033"/>
    <n v="32826107.707698695"/>
    <n v="57451415.769693032"/>
    <n v="18958967.203998696"/>
    <n v="18958967.203998696"/>
    <n v="32826107.707698695"/>
    <n v="0"/>
    <n v="0"/>
    <n v="0"/>
    <n v="0"/>
    <n v="0"/>
    <n v="0"/>
    <n v="0"/>
    <n v="0"/>
    <n v="0"/>
    <n v="0"/>
    <n v="0"/>
    <n v="0"/>
    <n v="0"/>
    <n v="0"/>
    <n v="46766819.164511651"/>
    <n v="15433050.32"/>
    <n v="4745181.2745116502"/>
    <n v="1565909.816300001"/>
    <n v="4380846.66"/>
    <n v="1445679.39"/>
    <m/>
    <n v="7.8000000212341547E-3"/>
  </r>
  <r>
    <x v="1"/>
    <s v="Victoria"/>
    <n v="590986.02973742038"/>
    <n v="8891471.6496325471"/>
    <n v="4729613.7034809599"/>
    <n v="4161857.9461515872"/>
    <n v="9101106.1780488212"/>
    <n v="0"/>
    <n v="0"/>
    <n v="9101106.1780488212"/>
    <n v="304271"/>
    <n v="0"/>
    <n v="0"/>
    <n v="0"/>
    <n v="0"/>
    <n v="304271"/>
    <n v="0"/>
    <n v="9405377.1780488212"/>
    <n v="4421896.759745975"/>
    <n v="0"/>
    <n v="4983480.4183028461"/>
    <n v="0"/>
    <n v="4983480.4183028461"/>
    <n v="4421896.759745975"/>
    <n v="1459225.9307161716"/>
    <n v="4568976.0599999996"/>
    <n v="1507762.0997999997"/>
    <m/>
    <n v="0"/>
    <n v="9405377.1780488212"/>
    <n v="3103774.4687561104"/>
    <n v="4836401.1180488216"/>
    <n v="1596012.3689561107"/>
    <n v="1596012.3689561107"/>
    <n v="3103774.4687561104"/>
    <n v="0"/>
    <n v="0"/>
    <n v="0"/>
    <n v="0"/>
    <n v="0"/>
    <n v="0"/>
    <n v="0"/>
    <n v="0"/>
    <n v="0"/>
    <n v="0"/>
    <n v="0"/>
    <n v="0"/>
    <n v="0"/>
    <n v="0"/>
    <n v="4421896.759745975"/>
    <n v="1459225.93"/>
    <n v="-147079.30025402457"/>
    <n v="-48536.1697999998"/>
    <n v="0"/>
    <n v="0"/>
    <m/>
    <n v="0"/>
  </r>
  <r>
    <x v="1"/>
    <s v="Calhoun"/>
    <n v="755045.0134205441"/>
    <n v="2735082.7726679049"/>
    <n v="2193731.454687539"/>
    <n v="541351.31798036583"/>
    <n v="2595906.0264376067"/>
    <n v="1111941.3"/>
    <n v="0"/>
    <n v="2595906.0264376067"/>
    <n v="78600.09"/>
    <n v="0"/>
    <n v="0"/>
    <n v="0"/>
    <n v="0"/>
    <n v="78600.09"/>
    <n v="0"/>
    <n v="2674506.1164376065"/>
    <n v="2496479.0205565095"/>
    <n v="0"/>
    <n v="178027.09588109702"/>
    <n v="0"/>
    <n v="178027.09588109702"/>
    <n v="2496479.0205565095"/>
    <n v="823838.07678364799"/>
    <n v="909055.62"/>
    <n v="299988.35459999996"/>
    <m/>
    <n v="0"/>
    <n v="2674506.1164376065"/>
    <n v="882587.01842441002"/>
    <n v="1765450.4964376064"/>
    <n v="582598.66382441006"/>
    <n v="582598.66382441006"/>
    <n v="882587.01842441002"/>
    <n v="0"/>
    <n v="0"/>
    <n v="0"/>
    <n v="0"/>
    <n v="0"/>
    <n v="0"/>
    <n v="0"/>
    <n v="0"/>
    <n v="0"/>
    <n v="0"/>
    <n v="0"/>
    <n v="0"/>
    <n v="0"/>
    <n v="0"/>
    <n v="2496479.0205565095"/>
    <n v="823838.07"/>
    <n v="1587423.4005565094"/>
    <n v="523849.71539999999"/>
    <n v="1465541.17"/>
    <n v="483628.58"/>
    <m/>
    <n v="6.0999998822808266E-3"/>
  </r>
  <r>
    <x v="9"/>
    <s v="Howard"/>
    <n v="2522988.2750548222"/>
    <n v="26232940.016532481"/>
    <n v="0"/>
    <n v="26232940.016532481"/>
    <n v="0"/>
    <n v="0"/>
    <n v="0"/>
    <n v="0"/>
    <n v="0"/>
    <n v="0"/>
    <n v="10734"/>
    <n v="0"/>
    <n v="272947"/>
    <n v="283681"/>
    <n v="0"/>
    <n v="10734"/>
    <n v="5046.5429424660251"/>
    <n v="0"/>
    <n v="5687.4570575339749"/>
    <n v="0"/>
    <n v="5687.4570575339749"/>
    <n v="5046.5429424660251"/>
    <n v="1665.359171013788"/>
    <n v="282719.03999999998"/>
    <n v="93297.283199999976"/>
    <m/>
    <n v="0"/>
    <n v="10734"/>
    <n v="3542.2199999999993"/>
    <n v="10734"/>
    <n v="3542.2199999999993"/>
    <n v="3542.2199999999993"/>
    <n v="3542.2199999999993"/>
    <n v="0"/>
    <n v="0"/>
    <n v="0"/>
    <n v="0"/>
    <n v="0"/>
    <n v="0"/>
    <n v="0"/>
    <n v="0"/>
    <n v="0"/>
    <n v="0"/>
    <n v="0"/>
    <n v="0"/>
    <n v="0"/>
    <n v="0"/>
    <n v="5046.5429424660251"/>
    <n v="1665.35"/>
    <n v="5046.5429424660251"/>
    <n v="1665.35"/>
    <n v="4659.07"/>
    <n v="1537.48"/>
    <m/>
    <n v="1.3099999999667489E-2"/>
  </r>
  <r>
    <x v="4"/>
    <s v="Kaufman"/>
    <n v="10763997.468701746"/>
    <n v="38500004.741488643"/>
    <n v="0"/>
    <n v="38500004.741488643"/>
    <n v="0"/>
    <n v="42488822"/>
    <n v="0"/>
    <n v="0"/>
    <n v="0"/>
    <n v="0"/>
    <n v="16804"/>
    <n v="0"/>
    <n v="310979"/>
    <n v="327783"/>
    <n v="0"/>
    <n v="16804"/>
    <n v="7900.326775218844"/>
    <n v="0"/>
    <n v="8903.673224781156"/>
    <n v="0"/>
    <n v="8903.673224781156"/>
    <n v="7900.326775218844"/>
    <n v="2607.107835822218"/>
    <n v="520537.88"/>
    <n v="171777.50039999999"/>
    <m/>
    <n v="0"/>
    <n v="16804"/>
    <n v="5545.32"/>
    <n v="16804"/>
    <n v="5545.32"/>
    <n v="5545.32"/>
    <n v="5545.32"/>
    <n v="0"/>
    <n v="0"/>
    <n v="0"/>
    <n v="0"/>
    <n v="0"/>
    <n v="0"/>
    <n v="0"/>
    <n v="0"/>
    <n v="0"/>
    <n v="0"/>
    <n v="0"/>
    <n v="0"/>
    <n v="0"/>
    <n v="0"/>
    <n v="7900.326775218844"/>
    <n v="2607.1"/>
    <n v="7900.326775218844"/>
    <n v="2607.1"/>
    <n v="7293.74"/>
    <n v="2406.9299999999998"/>
    <m/>
    <n v="4.1999999998552084E-3"/>
  </r>
  <r>
    <x v="2"/>
    <s v="Harris"/>
    <n v="38020085.240230858"/>
    <n v="0"/>
    <n v="0"/>
    <n v="0"/>
    <n v="60144449.07573624"/>
    <n v="0"/>
    <n v="0"/>
    <n v="60144449.07573624"/>
    <n v="0"/>
    <n v="0"/>
    <n v="0"/>
    <n v="0"/>
    <n v="5119398.8774892706"/>
    <n v="5119398.8774892706"/>
    <n v="0"/>
    <n v="65263847.953225508"/>
    <n v="30683511.39244698"/>
    <n v="0"/>
    <n v="34580336.560778528"/>
    <n v="0"/>
    <n v="34580336.560778528"/>
    <n v="30683511.39244698"/>
    <n v="10125558.759507501"/>
    <n v="28177499.84"/>
    <n v="9298574.9471999984"/>
    <m/>
    <n v="0"/>
    <n v="65263847.953225508"/>
    <n v="21537069.824564416"/>
    <n v="37086348.113225505"/>
    <n v="12238494.877364418"/>
    <n v="12238494.877364418"/>
    <n v="21537069.824564416"/>
    <n v="0"/>
    <n v="0"/>
    <n v="0"/>
    <n v="0"/>
    <n v="0"/>
    <n v="0"/>
    <n v="0"/>
    <n v="0"/>
    <n v="0"/>
    <n v="0"/>
    <n v="0"/>
    <n v="0"/>
    <n v="0"/>
    <n v="0"/>
    <n v="30683511.39244698"/>
    <n v="10125558.75"/>
    <n v="2506011.55244698"/>
    <n v="826983.80280000158"/>
    <n v="2313600.2000000002"/>
    <n v="763488.06"/>
    <m/>
    <n v="5.9999999357387424E-3"/>
  </r>
  <r>
    <x v="2"/>
    <s v="Harris"/>
    <n v="5760662.5787156615"/>
    <n v="0"/>
    <n v="0"/>
    <n v="0"/>
    <n v="42529065.065221347"/>
    <n v="0"/>
    <n v="0"/>
    <n v="42529065.065221347"/>
    <n v="0"/>
    <n v="0"/>
    <n v="0"/>
    <n v="0"/>
    <n v="2132162.511354214"/>
    <n v="2132162.511354214"/>
    <n v="0"/>
    <n v="44661227.576575562"/>
    <n v="20997279.935572613"/>
    <n v="0"/>
    <n v="23663947.641002949"/>
    <n v="0"/>
    <n v="23663947.641002949"/>
    <n v="20997279.935572613"/>
    <n v="6929102.3787389612"/>
    <n v="17118977.43"/>
    <n v="5649262.5518999994"/>
    <m/>
    <n v="0"/>
    <n v="44661227.576575562"/>
    <n v="14738205.100269934"/>
    <n v="27542250.146575563"/>
    <n v="9088942.5483699348"/>
    <n v="9088942.5483699348"/>
    <n v="14738205.100269934"/>
    <n v="0"/>
    <n v="0"/>
    <n v="0"/>
    <n v="0"/>
    <n v="0"/>
    <n v="0"/>
    <n v="0"/>
    <n v="0"/>
    <n v="0"/>
    <n v="0"/>
    <n v="0"/>
    <n v="0"/>
    <n v="0"/>
    <n v="0"/>
    <n v="20997279.935572613"/>
    <n v="6929102.3700000001"/>
    <n v="3878302.5055726133"/>
    <n v="1279839.8181000007"/>
    <n v="3580526.77"/>
    <n v="1181573.82"/>
    <m/>
    <n v="1.409999979659915E-2"/>
  </r>
  <r>
    <x v="12"/>
    <s v="Lubbock"/>
    <n v="24246521.132576678"/>
    <n v="74845584.857011288"/>
    <n v="0"/>
    <n v="74845584.857011288"/>
    <n v="98726992.355211839"/>
    <n v="38826135.440000005"/>
    <n v="0"/>
    <n v="98726992.355211839"/>
    <n v="25873545"/>
    <n v="821833"/>
    <n v="4657238.0999999996"/>
    <n v="0"/>
    <n v="17477279.221000232"/>
    <n v="48829895.321000233"/>
    <n v="0"/>
    <n v="147556887.67621207"/>
    <n v="69373222.481334075"/>
    <n v="0"/>
    <n v="78183665.194877997"/>
    <n v="0"/>
    <n v="78183665.194877997"/>
    <n v="69373222.481334075"/>
    <n v="22893163.418840241"/>
    <n v="53843628.609999999"/>
    <n v="17768397.441299997"/>
    <m/>
    <n v="0"/>
    <n v="147556887.67621207"/>
    <n v="48693772.933149979"/>
    <n v="93713259.066212073"/>
    <n v="30925375.491849981"/>
    <n v="30925375.491849981"/>
    <n v="48693772.933149979"/>
    <n v="0"/>
    <n v="0"/>
    <n v="0"/>
    <n v="0"/>
    <n v="0"/>
    <n v="0"/>
    <n v="0"/>
    <n v="0"/>
    <n v="0"/>
    <n v="0"/>
    <n v="0"/>
    <n v="0"/>
    <n v="0"/>
    <n v="0"/>
    <n v="69373222.481334075"/>
    <n v="22893163.41"/>
    <n v="15529593.871334076"/>
    <n v="5124765.9687000029"/>
    <n v="14337232.99"/>
    <n v="4731286.87"/>
    <m/>
    <n v="1.6699999570846558E-2"/>
  </r>
  <r>
    <x v="10"/>
    <s v="Jefferson"/>
    <n v="-4745542.3067677459"/>
    <n v="38333228.083745398"/>
    <n v="19830571.43851902"/>
    <n v="18502656.645226378"/>
    <n v="35919376.76293654"/>
    <n v="6544585.4000000004"/>
    <n v="0"/>
    <n v="35919376.76293654"/>
    <n v="1145868"/>
    <n v="0"/>
    <n v="57426"/>
    <n v="0"/>
    <n v="4354018.4051823793"/>
    <n v="5557312.4051823793"/>
    <n v="0"/>
    <n v="41476689.168118916"/>
    <n v="19500083.193425335"/>
    <n v="0"/>
    <n v="21976605.974693581"/>
    <n v="0"/>
    <n v="21976605.974693581"/>
    <n v="19500083.193425335"/>
    <n v="6435027.4538303595"/>
    <n v="16399835.789999999"/>
    <n v="5411945.8106999993"/>
    <m/>
    <n v="0"/>
    <n v="41476689.168118916"/>
    <n v="13687307.425479241"/>
    <n v="25076853.378118917"/>
    <n v="8275361.6147792414"/>
    <n v="8275361.6147792414"/>
    <n v="13687307.425479241"/>
    <n v="0"/>
    <n v="0"/>
    <n v="0"/>
    <n v="0"/>
    <n v="0"/>
    <n v="0"/>
    <n v="0"/>
    <n v="0"/>
    <n v="0"/>
    <n v="0"/>
    <n v="0"/>
    <n v="0"/>
    <n v="0"/>
    <n v="0"/>
    <n v="19500083.193425335"/>
    <n v="6435027.4500000002"/>
    <n v="3100247.4034253359"/>
    <n v="1023081.6393000009"/>
    <n v="2862210.67"/>
    <n v="944529.52"/>
    <m/>
    <n v="1.0999998776242137E-3"/>
  </r>
  <r>
    <x v="9"/>
    <s v="Baylor"/>
    <n v="621277.64663516148"/>
    <n v="507163.90049443056"/>
    <n v="302999.83985313278"/>
    <n v="204164.06064129778"/>
    <n v="478010.68069224956"/>
    <n v="338794.11"/>
    <n v="0"/>
    <n v="478010.68069224956"/>
    <n v="0"/>
    <n v="0"/>
    <n v="0"/>
    <n v="0"/>
    <n v="0"/>
    <n v="0"/>
    <n v="0"/>
    <n v="478010.68069224956"/>
    <n v="446192.15062392515"/>
    <n v="0"/>
    <n v="31818.530068324413"/>
    <n v="0"/>
    <n v="31818.530068324413"/>
    <n v="446192.15062392515"/>
    <n v="147243.40970589529"/>
    <n v="114431.6"/>
    <n v="37762.428"/>
    <m/>
    <n v="0"/>
    <n v="478010.68069224956"/>
    <n v="157743.52462844233"/>
    <n v="363579.08069224958"/>
    <n v="119981.09662844233"/>
    <n v="119981.09662844233"/>
    <n v="157743.52462844233"/>
    <n v="0"/>
    <n v="0"/>
    <n v="0"/>
    <n v="0"/>
    <n v="0"/>
    <n v="0"/>
    <n v="0"/>
    <n v="0"/>
    <n v="0"/>
    <n v="0"/>
    <n v="0"/>
    <n v="0"/>
    <n v="0"/>
    <n v="0"/>
    <n v="446192.15062392515"/>
    <n v="147243.4"/>
    <n v="331760.55062392517"/>
    <n v="109480.97199999999"/>
    <n v="306288"/>
    <n v="101075.03"/>
    <m/>
    <n v="9.9999999947613105E-3"/>
  </r>
  <r>
    <x v="3"/>
    <s v="Guadalupe"/>
    <n v="2350150.5805913866"/>
    <n v="8818315.5719347689"/>
    <n v="6288858.6791172354"/>
    <n v="2529456.8928175336"/>
    <n v="8376473.6476506619"/>
    <n v="0"/>
    <n v="0"/>
    <n v="8376473.6476506619"/>
    <n v="99364"/>
    <n v="0"/>
    <n v="0"/>
    <n v="0"/>
    <n v="0"/>
    <n v="99364"/>
    <n v="0"/>
    <n v="8475837.6476506628"/>
    <n v="3984877.8332624636"/>
    <n v="0"/>
    <n v="4490959.8143881988"/>
    <n v="0"/>
    <n v="4490959.8143881988"/>
    <n v="3984877.8332624636"/>
    <n v="1315009.6849766129"/>
    <n v="4352817.24"/>
    <n v="1436429.6891999999"/>
    <m/>
    <n v="0"/>
    <n v="8475837.6476506628"/>
    <n v="2797026.4237247184"/>
    <n v="4123020.4076506626"/>
    <n v="1360596.7345247185"/>
    <n v="1360596.7345247185"/>
    <n v="2797026.4237247184"/>
    <n v="0"/>
    <n v="0"/>
    <n v="0"/>
    <n v="0"/>
    <n v="0"/>
    <n v="0"/>
    <n v="0"/>
    <n v="0"/>
    <n v="0"/>
    <n v="0"/>
    <n v="0"/>
    <n v="0"/>
    <n v="0"/>
    <n v="0"/>
    <n v="3984877.8332624636"/>
    <n v="1315009.68"/>
    <n v="-367939.40673753666"/>
    <n v="-121420.00919999997"/>
    <n v="0"/>
    <n v="0"/>
    <m/>
    <n v="0"/>
  </r>
  <r>
    <x v="9"/>
    <s v="Taylor"/>
    <n v="-2958115.4669415466"/>
    <n v="41066121.725976631"/>
    <n v="1199311.2978482319"/>
    <n v="39866810.428128399"/>
    <n v="18688200.899574552"/>
    <n v="5455893.46"/>
    <n v="0"/>
    <n v="18688200.899574552"/>
    <n v="0"/>
    <n v="0"/>
    <n v="2782143"/>
    <n v="0"/>
    <n v="4766909.0470290575"/>
    <n v="7549052.0470290575"/>
    <n v="0"/>
    <n v="26237252.946603611"/>
    <n v="24490783.975276969"/>
    <n v="0"/>
    <n v="1746468.9713266417"/>
    <n v="0"/>
    <n v="1746468.9713266417"/>
    <n v="24490783.975276969"/>
    <n v="8081958.7118413989"/>
    <n v="13161564.42"/>
    <n v="4343316.2585999994"/>
    <m/>
    <n v="0"/>
    <n v="26237252.946603611"/>
    <n v="8658293.4723791908"/>
    <n v="13075688.526603611"/>
    <n v="4314977.2137791915"/>
    <n v="4314977.2137791915"/>
    <n v="8658293.4723791908"/>
    <n v="0"/>
    <n v="0"/>
    <n v="0"/>
    <n v="0"/>
    <n v="0"/>
    <n v="0"/>
    <n v="0"/>
    <n v="0"/>
    <n v="0"/>
    <n v="0"/>
    <n v="0"/>
    <n v="0"/>
    <n v="0"/>
    <n v="0"/>
    <n v="24490783.975276969"/>
    <n v="8081958.71"/>
    <n v="11329219.555276969"/>
    <n v="3738642.4514000006"/>
    <n v="10459363.050000001"/>
    <n v="3451589.8"/>
    <m/>
    <n v="6.5000001341104507E-3"/>
  </r>
  <r>
    <x v="3"/>
    <s v="Bexar"/>
    <n v="8822462.1263815667"/>
    <n v="49796753.8160512"/>
    <n v="0"/>
    <n v="49796753.8160512"/>
    <n v="0"/>
    <n v="50500298"/>
    <n v="0"/>
    <n v="0"/>
    <n v="0"/>
    <n v="0"/>
    <n v="7738"/>
    <n v="0"/>
    <n v="191578"/>
    <n v="199316"/>
    <n v="0"/>
    <n v="7738"/>
    <n v="3637.9867047514535"/>
    <n v="0"/>
    <n v="4100.0132952485465"/>
    <n v="0"/>
    <n v="4100.0132952485465"/>
    <n v="3637.9867047514535"/>
    <n v="1200.5356125679796"/>
    <n v="494659.5"/>
    <n v="163237.63499999998"/>
    <m/>
    <n v="0"/>
    <n v="7738"/>
    <n v="2553.5399999999995"/>
    <n v="7738"/>
    <n v="2553.5399999999995"/>
    <n v="2553.5399999999995"/>
    <n v="2553.5399999999995"/>
    <n v="0"/>
    <n v="0"/>
    <n v="0"/>
    <n v="0"/>
    <n v="0"/>
    <n v="0"/>
    <n v="0"/>
    <n v="0"/>
    <n v="0"/>
    <n v="0"/>
    <n v="0"/>
    <n v="0"/>
    <n v="0"/>
    <n v="0"/>
    <n v="3637.9867047514535"/>
    <n v="1200.53"/>
    <n v="3637.9867047514535"/>
    <n v="1200.53"/>
    <n v="3358.66"/>
    <n v="1108.3499999999999"/>
    <m/>
    <n v="7.7999999998610292E-3"/>
  </r>
  <r>
    <x v="4"/>
    <s v="Dallas"/>
    <n v="-62977031.45190572"/>
    <n v="16765080.491473297"/>
    <n v="6234931.3573500169"/>
    <n v="10530149.134123281"/>
    <n v="7069404.2360085417"/>
    <n v="0"/>
    <n v="0"/>
    <n v="7069404.2360085417"/>
    <n v="658528"/>
    <n v="0"/>
    <n v="1492299"/>
    <n v="0"/>
    <n v="13793126"/>
    <n v="15943953"/>
    <n v="0"/>
    <n v="23013357.23600854"/>
    <n v="10819628.800244858"/>
    <n v="0"/>
    <n v="12193728.435763681"/>
    <n v="0"/>
    <n v="12193728.435763681"/>
    <n v="10819628.800244858"/>
    <n v="3570477.5040808027"/>
    <n v="0"/>
    <n v="0"/>
    <m/>
    <n v="0"/>
    <n v="23013357.23600854"/>
    <n v="7594407.8878828175"/>
    <n v="23013357.23600854"/>
    <n v="7594407.8878828175"/>
    <n v="7594407.8878828175"/>
    <n v="7594407.8878828175"/>
    <n v="0"/>
    <n v="0"/>
    <n v="0"/>
    <n v="0"/>
    <n v="0"/>
    <n v="0"/>
    <n v="0"/>
    <n v="0"/>
    <n v="0"/>
    <n v="0"/>
    <n v="0"/>
    <n v="0"/>
    <n v="0"/>
    <n v="0"/>
    <n v="10819628.800244858"/>
    <n v="3570477.5"/>
    <n v="10819628.800244858"/>
    <n v="3570477.5"/>
    <n v="9988898.6300000008"/>
    <n v="3296336.54"/>
    <m/>
    <n v="7.8999996185302734E-3"/>
  </r>
  <r>
    <x v="0"/>
    <s v="DeWitt"/>
    <n v="195538.83656885754"/>
    <n v="2335289.4157028249"/>
    <n v="818789.69589957129"/>
    <n v="1516499.7198032537"/>
    <n v="1107502.3466013698"/>
    <n v="1310066.1399999999"/>
    <n v="0"/>
    <n v="1107502.3466013698"/>
    <n v="90159"/>
    <n v="0"/>
    <n v="0"/>
    <n v="0"/>
    <n v="0"/>
    <n v="90159"/>
    <n v="0"/>
    <n v="1197661.3466013698"/>
    <n v="1117939.6476775752"/>
    <n v="0"/>
    <n v="79721.698923794553"/>
    <n v="0"/>
    <n v="79721.698923794553"/>
    <n v="1117939.6476775752"/>
    <n v="368920.08373359981"/>
    <n v="870273.98"/>
    <n v="287190.41339999996"/>
    <m/>
    <n v="0"/>
    <n v="1197661.3466013698"/>
    <n v="395228.24437845196"/>
    <n v="327387.36660136981"/>
    <n v="108037.830978452"/>
    <n v="108037.830978452"/>
    <n v="395228.24437845196"/>
    <n v="0"/>
    <n v="0"/>
    <n v="0"/>
    <n v="0"/>
    <n v="0"/>
    <n v="0"/>
    <n v="0"/>
    <n v="0"/>
    <n v="0"/>
    <n v="0"/>
    <n v="0"/>
    <n v="0"/>
    <n v="0"/>
    <n v="0"/>
    <n v="1117939.6476775752"/>
    <n v="368920.08"/>
    <n v="247665.66767757526"/>
    <n v="81729.666600000055"/>
    <n v="228649.92"/>
    <n v="75454.47"/>
    <m/>
    <n v="3.599999996367842E-3"/>
  </r>
  <r>
    <x v="8"/>
    <s v="Titus"/>
    <n v="-2320521.473121691"/>
    <n v="4168110.3399747261"/>
    <n v="2837652.7914633472"/>
    <n v="1330457.5485113789"/>
    <n v="3072143.006757888"/>
    <n v="1847588.8700000003"/>
    <n v="1847588.8700000003"/>
    <n v="1224554.1367578877"/>
    <n v="2816191"/>
    <n v="0"/>
    <n v="0"/>
    <n v="0"/>
    <n v="0"/>
    <n v="2816191"/>
    <n v="0"/>
    <n v="4040745.1367578879"/>
    <n v="3771775.0575827281"/>
    <n v="0"/>
    <n v="268970.0791751598"/>
    <n v="0"/>
    <n v="268970.0791751598"/>
    <n v="3771775.0575827281"/>
    <n v="1244685.7690023002"/>
    <n v="2037504.8"/>
    <n v="672376.58399999992"/>
    <m/>
    <n v="0"/>
    <n v="4040745.1367578879"/>
    <n v="1333445.8951301028"/>
    <n v="2003240.3367578879"/>
    <n v="661069.31113010284"/>
    <n v="661069.31113010284"/>
    <n v="1333445.8951301028"/>
    <n v="0"/>
    <n v="0"/>
    <n v="0"/>
    <n v="0"/>
    <n v="0"/>
    <n v="0"/>
    <n v="0"/>
    <n v="0"/>
    <n v="0"/>
    <n v="0"/>
    <n v="0"/>
    <n v="0"/>
    <n v="0"/>
    <n v="0"/>
    <n v="3771775.0575827281"/>
    <n v="1244685.76"/>
    <n v="1734270.2575827281"/>
    <n v="572309.17600000009"/>
    <n v="1601113.14"/>
    <n v="528367.32999999996"/>
    <m/>
    <n v="6.1999999452382326E-3"/>
  </r>
  <r>
    <x v="9"/>
    <s v="Palo Pinto"/>
    <n v="1002207.9586663425"/>
    <n v="5220048.8355292957"/>
    <n v="4516317.9330278914"/>
    <n v="703730.90250140429"/>
    <n v="5404336.846191898"/>
    <n v="2144660.9400000004"/>
    <n v="438722.07883225358"/>
    <n v="4965614.7673596442"/>
    <n v="451427"/>
    <n v="0"/>
    <n v="0"/>
    <n v="0"/>
    <n v="0"/>
    <n v="451427"/>
    <n v="0"/>
    <n v="5417041.7673596442"/>
    <n v="5056459.225340941"/>
    <n v="0"/>
    <n v="360582.54201870319"/>
    <n v="0"/>
    <n v="360582.54201870319"/>
    <n v="5056459.225340941"/>
    <n v="1668631.5443625103"/>
    <n v="3225305.47"/>
    <n v="1064350.8051"/>
    <m/>
    <n v="0"/>
    <n v="5417041.7673596442"/>
    <n v="1787623.7832286824"/>
    <n v="2191736.297359644"/>
    <n v="723272.97812868236"/>
    <n v="723272.97812868236"/>
    <n v="1787623.7832286824"/>
    <n v="0"/>
    <n v="0"/>
    <n v="0"/>
    <n v="0"/>
    <n v="0"/>
    <n v="0"/>
    <n v="0"/>
    <n v="0"/>
    <n v="0"/>
    <n v="0"/>
    <n v="0"/>
    <n v="0"/>
    <n v="0"/>
    <n v="0"/>
    <n v="5056459.225340941"/>
    <n v="1668631.54"/>
    <n v="1831153.7553409408"/>
    <n v="604280.73490000004"/>
    <n v="1690557.93"/>
    <n v="557884.11"/>
    <m/>
    <n v="6.8999999202787876E-3"/>
  </r>
  <r>
    <x v="11"/>
    <s v="El Paso"/>
    <n v="26173011.138915915"/>
    <n v="129527220.70461848"/>
    <n v="72156506.00247936"/>
    <n v="57370714.702139124"/>
    <n v="72528547.61913833"/>
    <n v="42794971.369999997"/>
    <n v="0"/>
    <n v="72528547.61913833"/>
    <n v="13789744"/>
    <n v="0"/>
    <n v="8991021"/>
    <n v="0"/>
    <n v="51617388.739571616"/>
    <n v="74398153.739571616"/>
    <n v="30444137.279671658"/>
    <n v="177370838.6383816"/>
    <n v="83390120.544979021"/>
    <n v="0"/>
    <n v="63536580.81373091"/>
    <n v="0"/>
    <n v="63536580.81373091"/>
    <n v="83390120.544979021"/>
    <n v="27518739.779843073"/>
    <n v="40901827.950000003"/>
    <n v="13497603.223499998"/>
    <m/>
    <n v="0"/>
    <n v="146926701.35870993"/>
    <n v="48485811.448374271"/>
    <n v="106024873.40870993"/>
    <n v="34988208.224874273"/>
    <n v="34988208.224874273"/>
    <n v="48485811.448374271"/>
    <n v="0"/>
    <n v="0"/>
    <n v="0"/>
    <n v="0"/>
    <n v="0"/>
    <n v="0"/>
    <n v="0"/>
    <n v="0"/>
    <n v="0"/>
    <n v="0"/>
    <n v="0"/>
    <n v="0"/>
    <n v="0"/>
    <n v="0"/>
    <n v="83390120.544979021"/>
    <n v="27518739.77"/>
    <n v="42488292.594979018"/>
    <n v="14021136.546500001"/>
    <n v="39226045.140000001"/>
    <n v="12944594.859999999"/>
    <m/>
    <n v="3.619999997317791E-2"/>
  </r>
  <r>
    <x v="0"/>
    <s v="McLennan"/>
    <n v="-2329117.0355735249"/>
    <n v="19710530.913441885"/>
    <n v="12775714.818996212"/>
    <n v="6934816.0944456737"/>
    <n v="20485157.513075911"/>
    <n v="7440445.25"/>
    <n v="2834746.1911278516"/>
    <n v="17650411.321948059"/>
    <n v="1019821.0799999998"/>
    <n v="0"/>
    <n v="0"/>
    <n v="0"/>
    <n v="0"/>
    <n v="1019821.0799999998"/>
    <n v="0"/>
    <n v="18670232.401948057"/>
    <n v="8777727.7401016839"/>
    <n v="0"/>
    <n v="9892504.6618463732"/>
    <n v="0"/>
    <n v="9892504.6618463732"/>
    <n v="8777727.7401016839"/>
    <n v="2896650.1542335553"/>
    <n v="7104769.1500000004"/>
    <n v="2344573.8194999998"/>
    <m/>
    <n v="0"/>
    <n v="18670232.401948057"/>
    <n v="6161176.6926428583"/>
    <n v="11565463.251948057"/>
    <n v="3816602.8731428585"/>
    <n v="3816602.8731428585"/>
    <n v="6161176.6926428583"/>
    <n v="0"/>
    <n v="0"/>
    <n v="0"/>
    <n v="0"/>
    <n v="0"/>
    <n v="0"/>
    <n v="0"/>
    <n v="0"/>
    <n v="0"/>
    <n v="0"/>
    <n v="0"/>
    <n v="0"/>
    <n v="0"/>
    <n v="0"/>
    <n v="8777727.7401016839"/>
    <n v="2896650.15"/>
    <n v="1672958.5901016835"/>
    <n v="552076.33050000016"/>
    <n v="1544508.97"/>
    <n v="509687.96"/>
    <m/>
    <n v="9.9999888334423304E-5"/>
  </r>
  <r>
    <x v="2"/>
    <s v="Harris"/>
    <n v="-229986384.23997438"/>
    <n v="14280764.443116948"/>
    <n v="90839014.923608541"/>
    <n v="0"/>
    <n v="109746486.81965472"/>
    <n v="0"/>
    <n v="0"/>
    <n v="109746486.81965472"/>
    <n v="586949.61508907634"/>
    <n v="2061271"/>
    <n v="0"/>
    <n v="0"/>
    <n v="0"/>
    <n v="2648220.6150890766"/>
    <n v="0"/>
    <n v="112394707.43474379"/>
    <n v="52841877.918328665"/>
    <n v="0"/>
    <n v="59552829.516415127"/>
    <n v="0"/>
    <n v="59552829.516415127"/>
    <n v="52841877.918328665"/>
    <n v="17437819.713048458"/>
    <n v="35654562.880000003"/>
    <n v="11766005.750399999"/>
    <m/>
    <n v="0"/>
    <n v="112394707.43474379"/>
    <n v="37090253.453465447"/>
    <n v="76740144.554743797"/>
    <n v="25324247.703065448"/>
    <n v="25324247.703065448"/>
    <n v="37090253.453465447"/>
    <n v="0"/>
    <n v="0"/>
    <n v="0"/>
    <n v="0"/>
    <n v="0"/>
    <n v="0"/>
    <n v="0"/>
    <n v="0"/>
    <n v="0"/>
    <n v="0"/>
    <n v="0"/>
    <n v="0"/>
    <n v="0"/>
    <n v="0"/>
    <n v="52841877.918328665"/>
    <n v="17437819.710000001"/>
    <n v="17187315.038328663"/>
    <n v="5671813.9596000016"/>
    <n v="15867674.460000001"/>
    <n v="5236332.5599999996"/>
    <m/>
    <n v="1.1800000444054604E-2"/>
  </r>
  <r>
    <x v="8"/>
    <s v="Angelina"/>
    <n v="4316521.4369072281"/>
    <n v="14271419.008501142"/>
    <n v="8951824.267480297"/>
    <n v="5319594.7410208452"/>
    <n v="16330864.738184225"/>
    <n v="3020685.15"/>
    <n v="0"/>
    <n v="16330864.738184225"/>
    <n v="0"/>
    <n v="0"/>
    <n v="0"/>
    <n v="0"/>
    <n v="0"/>
    <n v="0"/>
    <n v="0"/>
    <n v="16330864.738184225"/>
    <n v="15243809.298416352"/>
    <n v="0"/>
    <n v="1087055.4397678729"/>
    <n v="0"/>
    <n v="1087055.4397678729"/>
    <n v="15243809.298416352"/>
    <n v="5030457.0684773959"/>
    <n v="7236228.2699999996"/>
    <n v="2387955.3290999997"/>
    <m/>
    <n v="0"/>
    <n v="16330864.738184225"/>
    <n v="5389185.3636007933"/>
    <n v="9094636.4681842253"/>
    <n v="3001230.0345007936"/>
    <n v="3001230.0345007936"/>
    <n v="5389185.3636007933"/>
    <n v="0"/>
    <n v="0"/>
    <n v="0"/>
    <n v="0"/>
    <n v="0"/>
    <n v="0"/>
    <n v="0"/>
    <n v="0"/>
    <n v="0"/>
    <n v="0"/>
    <n v="0"/>
    <n v="0"/>
    <n v="0"/>
    <n v="0"/>
    <n v="15243809.298416352"/>
    <n v="5030457.0599999996"/>
    <n v="8007581.0284163523"/>
    <n v="2642501.7308999998"/>
    <n v="7392759.6399999997"/>
    <n v="2439610.67"/>
    <m/>
    <n v="1.119999960064888E-2"/>
  </r>
  <r>
    <x v="4"/>
    <s v="Dallas"/>
    <n v="4042356.8961382899"/>
    <n v="100691058.65618208"/>
    <n v="22111258.483987235"/>
    <n v="78579800.172194839"/>
    <n v="77083620.312052414"/>
    <n v="11974829.710000001"/>
    <n v="0"/>
    <n v="77083620.312052414"/>
    <n v="0"/>
    <n v="0"/>
    <n v="0"/>
    <n v="0"/>
    <n v="0"/>
    <n v="0"/>
    <n v="0"/>
    <n v="77083620.312052414"/>
    <n v="36240525.439306766"/>
    <n v="0"/>
    <n v="40843094.872745648"/>
    <n v="0"/>
    <n v="40843094.872745648"/>
    <n v="36240525.439306766"/>
    <n v="11959373.394971231"/>
    <n v="32344147.460000001"/>
    <n v="10673568.661799999"/>
    <m/>
    <n v="0"/>
    <n v="77083620.312052414"/>
    <n v="25437594.702977292"/>
    <n v="44739472.852052413"/>
    <n v="14764026.041177293"/>
    <n v="14764026.041177293"/>
    <n v="25437594.702977292"/>
    <n v="0"/>
    <n v="0"/>
    <n v="0"/>
    <n v="0"/>
    <n v="0"/>
    <n v="0"/>
    <n v="0"/>
    <n v="0"/>
    <n v="0"/>
    <n v="0"/>
    <n v="0"/>
    <n v="0"/>
    <n v="0"/>
    <n v="0"/>
    <n v="36240525.439306766"/>
    <n v="11959373.390000001"/>
    <n v="3896377.9793067649"/>
    <n v="1285804.7282000016"/>
    <n v="3597214.41"/>
    <n v="1187080.75"/>
    <m/>
    <n v="5.2999998442828655E-3"/>
  </r>
  <r>
    <x v="2"/>
    <s v="Harris"/>
    <n v="14309017.936812194"/>
    <n v="0"/>
    <n v="0"/>
    <n v="0"/>
    <n v="36416183.440870002"/>
    <n v="0"/>
    <n v="0"/>
    <n v="36416183.440870002"/>
    <n v="0"/>
    <n v="0"/>
    <n v="0"/>
    <n v="0"/>
    <n v="2895933.1576904636"/>
    <n v="2895933.1576904636"/>
    <n v="0"/>
    <n v="39312116.598560467"/>
    <n v="18482418.909434207"/>
    <n v="0"/>
    <n v="20829697.689126261"/>
    <n v="0"/>
    <n v="20829697.689126261"/>
    <n v="18482418.909434207"/>
    <n v="6099198.2401132872"/>
    <n v="15016998.890000001"/>
    <n v="4955609.6336999992"/>
    <m/>
    <n v="0"/>
    <n v="39312116.598560467"/>
    <n v="12972998.477524953"/>
    <n v="24295117.708560467"/>
    <n v="8017388.8438249538"/>
    <n v="8017388.8438249538"/>
    <n v="12972998.477524953"/>
    <n v="0"/>
    <n v="0"/>
    <n v="0"/>
    <n v="0"/>
    <n v="0"/>
    <n v="0"/>
    <n v="0"/>
    <n v="0"/>
    <n v="0"/>
    <n v="0"/>
    <n v="0"/>
    <n v="0"/>
    <n v="0"/>
    <n v="0"/>
    <n v="18482418.909434207"/>
    <n v="6099198.2400000002"/>
    <n v="3465420.0194342062"/>
    <n v="1143588.606300001"/>
    <n v="3199345.37"/>
    <n v="1055783.97"/>
    <m/>
    <n v="2.099999925121665E-3"/>
  </r>
  <r>
    <x v="0"/>
    <s v="Limestone"/>
    <n v="-361168.44783756795"/>
    <n v="1057866.0529802814"/>
    <n v="711569.38200714253"/>
    <n v="346296.67097313888"/>
    <n v="1429451.1590695167"/>
    <n v="255447.83000000002"/>
    <n v="255447.83000000002"/>
    <n v="1174003.3290695166"/>
    <n v="26833"/>
    <n v="0"/>
    <n v="0"/>
    <n v="0"/>
    <n v="0"/>
    <n v="26833"/>
    <n v="0"/>
    <n v="1200836.3290695166"/>
    <n v="1120903.289104173"/>
    <n v="0"/>
    <n v="79933.039965343662"/>
    <n v="0"/>
    <n v="79933.039965343662"/>
    <n v="1120903.289104173"/>
    <n v="369898.08540437702"/>
    <n v="275501.78000000003"/>
    <n v="90915.587400000004"/>
    <m/>
    <n v="0"/>
    <n v="1200836.3290695166"/>
    <n v="396275.98859294044"/>
    <n v="925334.54906951659"/>
    <n v="305360.40119294042"/>
    <n v="305360.40119294042"/>
    <n v="396275.98859294044"/>
    <n v="0"/>
    <n v="0"/>
    <n v="0"/>
    <n v="0"/>
    <n v="0"/>
    <n v="0"/>
    <n v="0"/>
    <n v="0"/>
    <n v="0"/>
    <n v="0"/>
    <n v="0"/>
    <n v="0"/>
    <n v="0"/>
    <n v="0"/>
    <n v="1120903.289104173"/>
    <n v="369898.08"/>
    <n v="845401.50910417293"/>
    <n v="278982.4926"/>
    <n v="780491.65"/>
    <n v="257562.23999999999"/>
    <m/>
    <n v="4.4999999809078872E-3"/>
  </r>
  <r>
    <x v="8"/>
    <s v="Cherokee"/>
    <n v="1834429.1001781244"/>
    <n v="0"/>
    <n v="0"/>
    <n v="0"/>
    <n v="3532186.8126678783"/>
    <n v="0"/>
    <n v="0"/>
    <n v="3532186.8126678783"/>
    <n v="370939"/>
    <n v="0"/>
    <n v="45000"/>
    <n v="0"/>
    <n v="836173.95520463632"/>
    <n v="1252112.9552046363"/>
    <n v="0"/>
    <n v="4784299.7678725142"/>
    <n v="4465835.3649443779"/>
    <n v="0"/>
    <n v="318464.40292813629"/>
    <n v="0"/>
    <n v="318464.40292813629"/>
    <n v="4465835.3649443779"/>
    <n v="1473725.6704316444"/>
    <n v="2308398.69"/>
    <n v="761771.5676999999"/>
    <m/>
    <n v="0"/>
    <n v="4784299.7678725142"/>
    <n v="1578818.9233979294"/>
    <n v="2475901.0778725143"/>
    <n v="817047.35569792951"/>
    <n v="817047.35569792951"/>
    <n v="1578818.9233979294"/>
    <n v="0"/>
    <n v="0"/>
    <n v="0"/>
    <n v="0"/>
    <n v="0"/>
    <n v="0"/>
    <n v="0"/>
    <n v="0"/>
    <n v="0"/>
    <n v="0"/>
    <n v="0"/>
    <n v="0"/>
    <n v="0"/>
    <n v="0"/>
    <n v="4465835.3649443779"/>
    <n v="1473725.67"/>
    <n v="2157436.674944378"/>
    <n v="711954.10230000003"/>
    <n v="1991788.87"/>
    <n v="657290.32999999996"/>
    <m/>
    <n v="-2.899999963119626E-3"/>
  </r>
  <r>
    <x v="2"/>
    <s v="Fort Bend"/>
    <n v="774839.72235676425"/>
    <n v="16878259.169497613"/>
    <n v="0"/>
    <n v="16878259.169497613"/>
    <n v="10586013.367545549"/>
    <n v="0"/>
    <n v="0"/>
    <n v="10586013.367545549"/>
    <n v="137511"/>
    <n v="0"/>
    <n v="0"/>
    <n v="0"/>
    <n v="0"/>
    <n v="137511"/>
    <n v="0"/>
    <n v="10723524.367545549"/>
    <n v="5041617.8698900165"/>
    <n v="0"/>
    <n v="5681906.4976555323"/>
    <n v="0"/>
    <n v="5681906.4976555323"/>
    <n v="5041617.8698900165"/>
    <n v="1663733.8970637051"/>
    <n v="4281199.0199999996"/>
    <n v="1412795.6765999997"/>
    <m/>
    <n v="0"/>
    <n v="10723524.367545549"/>
    <n v="3538763.0412900308"/>
    <n v="6442325.3475455493"/>
    <n v="2125967.3646900309"/>
    <n v="2125967.3646900309"/>
    <n v="3538763.0412900308"/>
    <n v="0"/>
    <n v="0"/>
    <n v="0"/>
    <n v="0"/>
    <n v="0"/>
    <n v="0"/>
    <n v="0"/>
    <n v="0"/>
    <n v="0"/>
    <n v="0"/>
    <n v="0"/>
    <n v="0"/>
    <n v="0"/>
    <n v="0"/>
    <n v="5041617.8698900165"/>
    <n v="1663733.89"/>
    <n v="760418.84989001695"/>
    <n v="250938.21340000024"/>
    <n v="702033.96"/>
    <n v="231671.2"/>
    <m/>
    <n v="6.7999999446328729E-3"/>
  </r>
  <r>
    <x v="2"/>
    <s v="Fort Bend"/>
    <n v="2008976.3701233247"/>
    <n v="25259624.533168558"/>
    <n v="0"/>
    <n v="25259624.533168558"/>
    <n v="17442569.49690282"/>
    <n v="0"/>
    <n v="0"/>
    <n v="17442569.49690282"/>
    <n v="118884"/>
    <n v="0"/>
    <n v="0"/>
    <n v="0"/>
    <n v="0"/>
    <n v="118884"/>
    <n v="0"/>
    <n v="17561453.49690282"/>
    <n v="8256440.2090777177"/>
    <n v="0"/>
    <n v="9305013.287825102"/>
    <n v="0"/>
    <n v="9305013.287825102"/>
    <n v="8256440.2090777177"/>
    <n v="2724625.2689956464"/>
    <n v="7003462.04"/>
    <n v="2311142.4731999999"/>
    <m/>
    <n v="0"/>
    <n v="17561453.49690282"/>
    <n v="5795279.6539779296"/>
    <n v="10557991.456902821"/>
    <n v="3484137.1807779297"/>
    <n v="3484137.1807779297"/>
    <n v="5795279.6539779296"/>
    <n v="0"/>
    <n v="0"/>
    <n v="0"/>
    <n v="0"/>
    <n v="0"/>
    <n v="0"/>
    <n v="0"/>
    <n v="0"/>
    <n v="0"/>
    <n v="0"/>
    <n v="0"/>
    <n v="0"/>
    <n v="0"/>
    <n v="0"/>
    <n v="8256440.2090777177"/>
    <n v="2724625.26"/>
    <n v="1252978.1690777177"/>
    <n v="413482.78679999989"/>
    <n v="1156774.6100000001"/>
    <n v="381735.61"/>
    <m/>
    <n v="1.1300000012852252E-2"/>
  </r>
  <r>
    <x v="0"/>
    <s v="Grimes"/>
    <n v="383486.99820103677"/>
    <n v="0"/>
    <n v="0"/>
    <n v="0"/>
    <n v="1775484.2902361599"/>
    <n v="0"/>
    <n v="0"/>
    <n v="1775484.2902361599"/>
    <n v="0"/>
    <n v="0"/>
    <n v="0"/>
    <n v="0"/>
    <n v="0"/>
    <n v="0"/>
    <n v="0"/>
    <n v="1775484.2902361599"/>
    <n v="1657300.1103494177"/>
    <n v="0"/>
    <n v="118184.17988674226"/>
    <n v="0"/>
    <n v="118184.17988674226"/>
    <n v="1657300.1103494177"/>
    <n v="546909.03641530778"/>
    <n v="714463.37"/>
    <n v="235772.91209999996"/>
    <m/>
    <n v="0"/>
    <n v="1775484.2902361599"/>
    <n v="585909.81577793276"/>
    <n v="1061020.92023616"/>
    <n v="350136.9036779328"/>
    <n v="350136.9036779328"/>
    <n v="585909.81577793276"/>
    <n v="0"/>
    <n v="0"/>
    <n v="0"/>
    <n v="0"/>
    <n v="0"/>
    <n v="0"/>
    <n v="0"/>
    <n v="0"/>
    <n v="0"/>
    <n v="0"/>
    <n v="0"/>
    <n v="0"/>
    <n v="0"/>
    <n v="0"/>
    <n v="1657300.1103494177"/>
    <n v="546909.03"/>
    <n v="942836.74034941767"/>
    <n v="311136.11790000007"/>
    <n v="870445.82"/>
    <n v="287247.11"/>
    <m/>
    <n v="1.0599999979604036E-2"/>
  </r>
  <r>
    <x v="10"/>
    <s v="Chambers"/>
    <n v="694525.75208235509"/>
    <n v="0"/>
    <n v="0"/>
    <n v="0"/>
    <n v="259404.3957064448"/>
    <n v="0"/>
    <n v="0"/>
    <n v="259404.3957064448"/>
    <n v="0"/>
    <n v="0"/>
    <n v="0"/>
    <n v="0"/>
    <n v="0"/>
    <n v="0"/>
    <n v="0"/>
    <n v="259404.3957064448"/>
    <n v="242137.27825901064"/>
    <n v="0"/>
    <n v="17267.117447434168"/>
    <n v="0"/>
    <n v="17267.117447434168"/>
    <n v="242137.27825901064"/>
    <n v="79905.301825473507"/>
    <n v="97829.66"/>
    <n v="32283.787799999998"/>
    <m/>
    <n v="0"/>
    <n v="259404.3957064448"/>
    <n v="85603.450583126774"/>
    <n v="161574.7357064448"/>
    <n v="53319.662783126776"/>
    <n v="53319.662783126776"/>
    <n v="85603.450583126774"/>
    <n v="0"/>
    <n v="0"/>
    <n v="0"/>
    <n v="0"/>
    <n v="0"/>
    <n v="0"/>
    <n v="0"/>
    <n v="0"/>
    <n v="0"/>
    <n v="0"/>
    <n v="0"/>
    <n v="0"/>
    <n v="0"/>
    <n v="0"/>
    <n v="242137.27825901064"/>
    <n v="79905.3"/>
    <n v="144307.61825901063"/>
    <n v="47621.512200000005"/>
    <n v="133227.69"/>
    <n v="43965.14"/>
    <m/>
    <n v="-2.3000000073807314E-3"/>
  </r>
  <r>
    <x v="0"/>
    <s v="Lampasas"/>
    <n v="410565.41329771513"/>
    <n v="411202.56012396252"/>
    <n v="1066699.7905691904"/>
    <n v="0"/>
    <n v="1244821.485704832"/>
    <n v="0"/>
    <n v="0"/>
    <n v="1244821.485704832"/>
    <n v="11061"/>
    <n v="0"/>
    <n v="0"/>
    <n v="0"/>
    <n v="0"/>
    <n v="11061"/>
    <n v="0"/>
    <n v="1255882.485704832"/>
    <n v="1172285.3272149609"/>
    <n v="0"/>
    <n v="83597.158489871072"/>
    <n v="0"/>
    <n v="83597.158489871072"/>
    <n v="1172285.3272149609"/>
    <n v="386854.15798093705"/>
    <n v="803088.17"/>
    <n v="265019.09609999997"/>
    <m/>
    <n v="0"/>
    <n v="1255882.485704832"/>
    <n v="414441.2202825945"/>
    <n v="452794.31570483197"/>
    <n v="149422.12418259453"/>
    <n v="149422.12418259453"/>
    <n v="414441.2202825945"/>
    <n v="0"/>
    <n v="0"/>
    <n v="0"/>
    <n v="0"/>
    <n v="0"/>
    <n v="0"/>
    <n v="0"/>
    <n v="0"/>
    <n v="0"/>
    <n v="0"/>
    <n v="0"/>
    <n v="0"/>
    <n v="0"/>
    <n v="0"/>
    <n v="1172285.3272149609"/>
    <n v="386854.15"/>
    <n v="369197.1572149609"/>
    <n v="121835.05390000006"/>
    <n v="340850.23"/>
    <n v="112480.57"/>
    <m/>
    <n v="5.8999999746447429E-3"/>
  </r>
  <r>
    <x v="4"/>
    <s v="Dallas"/>
    <n v="615849.59893595544"/>
    <n v="0"/>
    <n v="0"/>
    <n v="0"/>
    <n v="3360440.2584493533"/>
    <n v="0"/>
    <n v="0"/>
    <n v="3360440.2584493533"/>
    <n v="0"/>
    <n v="0"/>
    <n v="0"/>
    <n v="0"/>
    <n v="0"/>
    <n v="0"/>
    <n v="0"/>
    <n v="3360440.2584493533"/>
    <n v="1579896.22413418"/>
    <n v="0"/>
    <n v="1780544.0343151733"/>
    <n v="0"/>
    <n v="1780544.0343151733"/>
    <n v="1579896.22413418"/>
    <n v="521365.75396427931"/>
    <n v="1372745.04"/>
    <n v="453005.86319999996"/>
    <m/>
    <n v="0"/>
    <n v="3360440.2584493533"/>
    <n v="1108945.2852882864"/>
    <n v="1987695.2184493532"/>
    <n v="655939.42208828637"/>
    <n v="655939.42208828637"/>
    <n v="1108945.2852882864"/>
    <n v="0"/>
    <n v="0"/>
    <n v="0"/>
    <n v="0"/>
    <n v="0"/>
    <n v="0"/>
    <n v="0"/>
    <n v="0"/>
    <n v="0"/>
    <n v="0"/>
    <n v="0"/>
    <n v="0"/>
    <n v="0"/>
    <n v="0"/>
    <n v="1579896.22413418"/>
    <n v="521365.75"/>
    <n v="207151.18413417996"/>
    <n v="68359.886800000037"/>
    <n v="191246.13"/>
    <n v="63111.22"/>
    <m/>
    <n v="2.8999999922234565E-3"/>
  </r>
  <r>
    <x v="2"/>
    <s v="Matagorda"/>
    <n v="575334.14047746558"/>
    <n v="0"/>
    <n v="0"/>
    <n v="0"/>
    <n v="80278.091764684796"/>
    <n v="0"/>
    <n v="0"/>
    <n v="80278.091764684796"/>
    <n v="870"/>
    <n v="0"/>
    <n v="0"/>
    <n v="0"/>
    <n v="615405"/>
    <n v="616275"/>
    <n v="0"/>
    <n v="696553.09176468477"/>
    <n v="650187.40080898826"/>
    <n v="0"/>
    <n v="46365.690955696511"/>
    <n v="0"/>
    <n v="46365.690955696511"/>
    <n v="650187.40080898826"/>
    <n v="214561.84226696609"/>
    <n v="167081.51"/>
    <n v="55136.898299999993"/>
    <m/>
    <n v="0"/>
    <n v="696553.09176468477"/>
    <n v="229862.52028234594"/>
    <n v="529471.58176468476"/>
    <n v="174725.62198234594"/>
    <n v="174725.62198234594"/>
    <n v="229862.52028234594"/>
    <n v="0"/>
    <n v="0"/>
    <n v="0"/>
    <n v="0"/>
    <n v="0"/>
    <n v="0"/>
    <n v="0"/>
    <n v="0"/>
    <n v="0"/>
    <n v="0"/>
    <n v="0"/>
    <n v="0"/>
    <n v="0"/>
    <n v="0"/>
    <n v="650187.40080898826"/>
    <n v="214561.84"/>
    <n v="483105.89080898825"/>
    <n v="159424.9417"/>
    <n v="446013.06"/>
    <n v="147184.31"/>
    <m/>
    <n v="-2.0000000949949026E-4"/>
  </r>
  <r>
    <x v="5"/>
    <s v="Cameron"/>
    <n v="1337582.7928925087"/>
    <n v="7471439.0783600481"/>
    <n v="2821381.6930029257"/>
    <n v="4650057.3853571229"/>
    <n v="3482465.2117900769"/>
    <n v="0"/>
    <n v="0"/>
    <n v="3482465.2117900769"/>
    <n v="165239"/>
    <n v="0"/>
    <n v="0"/>
    <n v="0"/>
    <n v="0"/>
    <n v="165239"/>
    <n v="0"/>
    <n v="3647704.2117900769"/>
    <n v="1714952.1097645618"/>
    <n v="0"/>
    <n v="1932752.1020255152"/>
    <n v="0"/>
    <n v="1932752.1020255152"/>
    <n v="1714952.1097645618"/>
    <n v="565934.1962223053"/>
    <n v="1084331.76"/>
    <n v="357829.48079999996"/>
    <m/>
    <n v="0"/>
    <n v="3647704.2117900769"/>
    <n v="1203742.3898907253"/>
    <n v="2563372.4517900767"/>
    <n v="845912.90909072524"/>
    <n v="845912.90909072524"/>
    <n v="1203742.3898907253"/>
    <n v="0"/>
    <n v="0"/>
    <n v="0"/>
    <n v="0"/>
    <n v="0"/>
    <n v="0"/>
    <n v="0"/>
    <n v="0"/>
    <n v="0"/>
    <n v="0"/>
    <n v="0"/>
    <n v="0"/>
    <n v="0"/>
    <n v="0"/>
    <n v="1714952.1097645618"/>
    <n v="565934.18999999994"/>
    <n v="630620.34976456175"/>
    <n v="208104.70919999998"/>
    <n v="582201.37"/>
    <n v="192126.45"/>
    <m/>
    <n v="2.0999999542254955E-3"/>
  </r>
  <r>
    <x v="7"/>
    <s v="Travis"/>
    <n v="280167.57070201053"/>
    <n v="3248640.3137070211"/>
    <n v="2806629.6629431858"/>
    <n v="442010.65076383529"/>
    <n v="3283892.5903432416"/>
    <n v="0"/>
    <n v="0"/>
    <n v="3283892.5903432416"/>
    <n v="89849"/>
    <n v="0"/>
    <n v="0"/>
    <n v="0"/>
    <n v="478589"/>
    <n v="568438"/>
    <n v="0"/>
    <n v="3852330.5903432416"/>
    <n v="1811156.302659089"/>
    <n v="0"/>
    <n v="2041174.2876841526"/>
    <n v="0"/>
    <n v="2041174.2876841526"/>
    <n v="1811156.302659089"/>
    <n v="597681.57987749926"/>
    <n v="1441559.36"/>
    <n v="475714.58879999997"/>
    <m/>
    <n v="0"/>
    <n v="3852330.5903432416"/>
    <n v="1271269.0948132696"/>
    <n v="2410771.2303432412"/>
    <n v="795554.50601326954"/>
    <n v="795554.50601326954"/>
    <n v="1271269.0948132696"/>
    <n v="0"/>
    <n v="0"/>
    <n v="0"/>
    <n v="0"/>
    <n v="0"/>
    <n v="0"/>
    <n v="0"/>
    <n v="0"/>
    <n v="0"/>
    <n v="0"/>
    <n v="0"/>
    <n v="0"/>
    <n v="0"/>
    <n v="0"/>
    <n v="1811156.302659089"/>
    <n v="597681.56999999995"/>
    <n v="369596.94265908888"/>
    <n v="121966.98119999998"/>
    <n v="341219.32"/>
    <n v="112602.37"/>
    <m/>
    <n v="5.599999989499338E-3"/>
  </r>
  <r>
    <x v="7"/>
    <s v="Travis"/>
    <n v="-1188976.2129379516"/>
    <n v="18887769.504157048"/>
    <n v="16072698.343847392"/>
    <n v="2815071.1603096556"/>
    <n v="17409165.790598866"/>
    <n v="0"/>
    <n v="0"/>
    <n v="17409165.790598866"/>
    <n v="738276"/>
    <n v="0"/>
    <n v="0"/>
    <n v="0"/>
    <n v="2109140"/>
    <n v="2847416"/>
    <n v="0"/>
    <n v="20256581.790598866"/>
    <n v="9523542.9358889963"/>
    <n v="0"/>
    <n v="10733038.854709869"/>
    <n v="0"/>
    <n v="10733038.854709869"/>
    <n v="9523542.9358889963"/>
    <n v="3142769.1688433685"/>
    <n v="8190405.54"/>
    <n v="2702833.8281999999"/>
    <m/>
    <n v="0"/>
    <n v="20256581.790598866"/>
    <n v="6684671.9908976248"/>
    <n v="12066176.250598866"/>
    <n v="3981838.1626976249"/>
    <n v="3981838.1626976249"/>
    <n v="6684671.9908976248"/>
    <n v="0"/>
    <n v="0"/>
    <n v="0"/>
    <n v="0"/>
    <n v="0"/>
    <n v="0"/>
    <n v="0"/>
    <n v="0"/>
    <n v="0"/>
    <n v="0"/>
    <n v="0"/>
    <n v="0"/>
    <n v="0"/>
    <n v="0"/>
    <n v="9523542.9358889963"/>
    <n v="3142769.16"/>
    <n v="1333137.3958889963"/>
    <n v="439935.33180000028"/>
    <n v="1230779.22"/>
    <n v="406157.13"/>
    <m/>
    <n v="1.2599999958183616E-2"/>
  </r>
  <r>
    <x v="3"/>
    <s v="Bexar"/>
    <n v="-31546637.008787539"/>
    <n v="70389175.193096608"/>
    <n v="38121961.44797954"/>
    <n v="32267213.745117068"/>
    <n v="61866729.115560062"/>
    <n v="21388285.939999998"/>
    <n v="20667709.203670472"/>
    <n v="41199019.91188959"/>
    <n v="1767525"/>
    <n v="0"/>
    <n v="0"/>
    <n v="0"/>
    <n v="2313657.1473119417"/>
    <n v="4081182.1473119417"/>
    <n v="0"/>
    <n v="45280202.059201531"/>
    <n v="21288288.069247164"/>
    <n v="0"/>
    <n v="23991913.989954367"/>
    <n v="0"/>
    <n v="23991913.989954367"/>
    <n v="21288288.069247164"/>
    <n v="7025135.0628515631"/>
    <n v="27457004.25"/>
    <n v="9060811.402499998"/>
    <m/>
    <n v="0"/>
    <n v="45280202.059201531"/>
    <n v="14942466.679536503"/>
    <n v="17823197.809201531"/>
    <n v="5881655.2770365048"/>
    <n v="5881655.2770365048"/>
    <n v="14942466.679536503"/>
    <n v="0"/>
    <n v="0"/>
    <n v="0"/>
    <n v="0"/>
    <n v="0"/>
    <n v="0"/>
    <n v="0"/>
    <n v="0"/>
    <n v="0"/>
    <n v="0"/>
    <n v="0"/>
    <n v="0"/>
    <n v="0"/>
    <n v="0"/>
    <n v="21288288.069247164"/>
    <n v="7025135.0599999996"/>
    <n v="-6168716.1807528362"/>
    <n v="-2035676.3424999984"/>
    <n v="0"/>
    <n v="0"/>
    <m/>
    <n v="0"/>
  </r>
  <r>
    <x v="2"/>
    <s v="Montgomery"/>
    <n v="2903277.5563077913"/>
    <n v="12956404.494180411"/>
    <n v="0"/>
    <n v="12956404.494180411"/>
    <n v="15167222.409937384"/>
    <n v="0"/>
    <n v="0"/>
    <n v="15167222.409937384"/>
    <n v="0"/>
    <n v="0"/>
    <n v="0"/>
    <n v="0"/>
    <n v="0"/>
    <n v="0"/>
    <n v="0"/>
    <n v="15167222.409937384"/>
    <n v="7130802.9820832899"/>
    <n v="0"/>
    <n v="8036419.4278540937"/>
    <n v="0"/>
    <n v="8036419.4278540937"/>
    <n v="7130802.9820832899"/>
    <n v="2353164.9840874854"/>
    <n v="6706821.79"/>
    <n v="2213251.1906999997"/>
    <m/>
    <n v="0"/>
    <n v="15167222.409937384"/>
    <n v="5005183.3952793358"/>
    <n v="8460400.6199373826"/>
    <n v="2791932.2045793361"/>
    <n v="2791932.2045793361"/>
    <n v="5005183.3952793358"/>
    <n v="0"/>
    <n v="0"/>
    <n v="0"/>
    <n v="0"/>
    <n v="0"/>
    <n v="0"/>
    <n v="0"/>
    <n v="0"/>
    <n v="0"/>
    <n v="0"/>
    <n v="0"/>
    <n v="0"/>
    <n v="0"/>
    <n v="0"/>
    <n v="7130802.9820832899"/>
    <n v="2353164.98"/>
    <n v="423981.19208328985"/>
    <n v="139913.7893000003"/>
    <n v="391427.95"/>
    <n v="129171.22"/>
    <m/>
    <n v="3.4999999916180968E-3"/>
  </r>
  <r>
    <x v="5"/>
    <s v="Hidalgo"/>
    <n v="33796406.99284362"/>
    <n v="29508219.59689182"/>
    <n v="11967121.451571105"/>
    <n v="17541098.145320714"/>
    <n v="19352279.791623283"/>
    <n v="24880821.549999997"/>
    <n v="0"/>
    <n v="19352279.791623283"/>
    <n v="0"/>
    <n v="0"/>
    <n v="0"/>
    <n v="0"/>
    <n v="0"/>
    <n v="0"/>
    <n v="0"/>
    <n v="19352279.791623283"/>
    <n v="9098389.3239281122"/>
    <n v="0"/>
    <n v="10253890.467695171"/>
    <n v="0"/>
    <n v="10253890.467695171"/>
    <n v="9098389.3239281122"/>
    <n v="3002468.4768962767"/>
    <n v="12080406.35"/>
    <n v="3986534.0954999994"/>
    <m/>
    <n v="0"/>
    <n v="19352279.791623283"/>
    <n v="6386252.3312356826"/>
    <n v="7271873.4416232836"/>
    <n v="2399718.2357356832"/>
    <n v="2399718.2357356832"/>
    <n v="6386252.3312356826"/>
    <n v="0"/>
    <n v="0"/>
    <n v="0"/>
    <n v="0"/>
    <n v="0"/>
    <n v="0"/>
    <n v="0"/>
    <n v="0"/>
    <n v="0"/>
    <n v="0"/>
    <n v="0"/>
    <n v="0"/>
    <n v="0"/>
    <n v="0"/>
    <n v="9098389.3239281122"/>
    <n v="3002468.47"/>
    <n v="-2982017.0260718875"/>
    <n v="-984065.62549999915"/>
    <n v="0"/>
    <n v="0"/>
    <m/>
    <n v="0"/>
  </r>
  <r>
    <x v="5"/>
    <s v="Webb"/>
    <n v="-9995423.3838168904"/>
    <n v="28353292.604359698"/>
    <n v="18567952.322293248"/>
    <n v="9785340.2820664495"/>
    <n v="21405462.168549046"/>
    <n v="8883499.4699999988"/>
    <n v="8883499.4699999988"/>
    <n v="12521962.698549047"/>
    <n v="2267886.1044216808"/>
    <n v="0"/>
    <n v="826005"/>
    <n v="0"/>
    <n v="7755214.0035465816"/>
    <n v="10849105.107968263"/>
    <n v="0"/>
    <n v="23371067.80651731"/>
    <n v="10987804.853444647"/>
    <n v="0"/>
    <n v="12383262.953072663"/>
    <n v="0"/>
    <n v="12383262.953072663"/>
    <n v="10987804.853444647"/>
    <n v="3625975.6016367329"/>
    <n v="12182324.869999999"/>
    <n v="4020167.2070999993"/>
    <m/>
    <n v="0"/>
    <n v="23371067.80651731"/>
    <n v="7712452.3761507114"/>
    <n v="11188742.936517311"/>
    <n v="3692285.1690507121"/>
    <n v="3692285.1690507121"/>
    <n v="7712452.3761507114"/>
    <n v="0"/>
    <n v="0"/>
    <n v="0"/>
    <n v="0"/>
    <n v="0"/>
    <n v="0"/>
    <n v="0"/>
    <n v="0"/>
    <n v="0"/>
    <n v="0"/>
    <n v="0"/>
    <n v="0"/>
    <n v="0"/>
    <n v="0"/>
    <n v="10987804.853444647"/>
    <n v="3625975.6"/>
    <n v="-1194520.0165553521"/>
    <n v="-394191.60709999921"/>
    <n v="0"/>
    <n v="0"/>
    <m/>
    <n v="0"/>
  </r>
  <r>
    <x v="8"/>
    <s v="Lamar"/>
    <n v="-3196168.0203468264"/>
    <n v="8235881.3467742559"/>
    <n v="3554666.4581720321"/>
    <n v="4681214.8886022232"/>
    <n v="4903366.7529005818"/>
    <n v="2513064.41"/>
    <n v="1028017.5417446028"/>
    <n v="3875349.211155979"/>
    <n v="286042"/>
    <n v="0"/>
    <n v="64142"/>
    <n v="0"/>
    <n v="900296"/>
    <n v="1250480"/>
    <n v="0"/>
    <n v="5125829.211155979"/>
    <n v="4784631.0800931584"/>
    <n v="0"/>
    <n v="341198.13106282055"/>
    <n v="0"/>
    <n v="341198.13106282055"/>
    <n v="4784631.0800931584"/>
    <n v="1578928.2564307421"/>
    <n v="2944713.77"/>
    <n v="971755.54409999994"/>
    <m/>
    <n v="0"/>
    <n v="5125829.211155979"/>
    <n v="1691523.6396814729"/>
    <n v="2181115.4411559789"/>
    <n v="719768.09558147297"/>
    <n v="719768.09558147297"/>
    <n v="1691523.6396814729"/>
    <n v="0"/>
    <n v="0"/>
    <n v="0"/>
    <n v="0"/>
    <n v="0"/>
    <n v="0"/>
    <n v="0"/>
    <n v="0"/>
    <n v="0"/>
    <n v="0"/>
    <n v="0"/>
    <n v="0"/>
    <n v="0"/>
    <n v="0"/>
    <n v="4784631.0800931584"/>
    <n v="1578928.25"/>
    <n v="1839917.3100931584"/>
    <n v="607172.70590000006"/>
    <n v="1698648.62"/>
    <n v="560554.04"/>
    <m/>
    <n v="4.5999999856576324E-3"/>
  </r>
  <r>
    <x v="12"/>
    <s v="Lubbock"/>
    <n v="672163.4220985024"/>
    <n v="0"/>
    <n v="0"/>
    <n v="0"/>
    <n v="501946.42120142962"/>
    <n v="0"/>
    <n v="0"/>
    <n v="501946.42120142962"/>
    <n v="0"/>
    <n v="0"/>
    <n v="0"/>
    <n v="0"/>
    <n v="0"/>
    <n v="0"/>
    <n v="0"/>
    <n v="501946.42120142962"/>
    <n v="235987.90473357122"/>
    <n v="0"/>
    <n v="265958.5164678584"/>
    <n v="0"/>
    <n v="265958.5164678584"/>
    <n v="235987.90473357122"/>
    <n v="77876.008562078496"/>
    <n v="0"/>
    <n v="0"/>
    <m/>
    <n v="0"/>
    <n v="501946.42120142962"/>
    <n v="165642.31899647176"/>
    <n v="501946.42120142962"/>
    <n v="165642.31899647176"/>
    <n v="165642.31899647176"/>
    <n v="165642.31899647176"/>
    <n v="0"/>
    <n v="0"/>
    <n v="0"/>
    <n v="0"/>
    <n v="0"/>
    <n v="0"/>
    <n v="0"/>
    <n v="0"/>
    <n v="0"/>
    <n v="0"/>
    <n v="0"/>
    <n v="0"/>
    <n v="0"/>
    <n v="0"/>
    <n v="235987.90473357122"/>
    <n v="77876"/>
    <n v="235987.90473357122"/>
    <n v="77876"/>
    <n v="217868.77"/>
    <n v="71896.69"/>
    <m/>
    <n v="4.0999999910127372E-3"/>
  </r>
  <r>
    <x v="10"/>
    <s v="Jefferson"/>
    <n v="1892237.0901643783"/>
    <n v="10065214.059650747"/>
    <n v="7534799.119260313"/>
    <n v="2530414.9403904341"/>
    <n v="9029318.7155953161"/>
    <n v="2884691.6199999996"/>
    <n v="0"/>
    <n v="9029318.7155953161"/>
    <n v="1059514"/>
    <n v="0"/>
    <n v="597330.00000000116"/>
    <n v="0"/>
    <n v="1221954.43353907"/>
    <n v="2878798.4335390711"/>
    <n v="0"/>
    <n v="11908117.149134386"/>
    <n v="5598548.9618988978"/>
    <n v="0"/>
    <n v="6309568.1872354886"/>
    <n v="0"/>
    <n v="6309568.1872354886"/>
    <n v="5598548.9618988978"/>
    <n v="1847521.157426636"/>
    <n v="6285041.8799999999"/>
    <n v="2074063.8203999996"/>
    <m/>
    <n v="0"/>
    <n v="11908117.149134386"/>
    <n v="3929678.6592143471"/>
    <n v="5623075.2691343864"/>
    <n v="1855614.8388143475"/>
    <n v="1855614.8388143475"/>
    <n v="3929678.6592143471"/>
    <n v="0"/>
    <n v="0"/>
    <n v="0"/>
    <n v="0"/>
    <n v="0"/>
    <n v="0"/>
    <n v="0"/>
    <n v="0"/>
    <n v="0"/>
    <n v="0"/>
    <n v="0"/>
    <n v="0"/>
    <n v="0"/>
    <n v="0"/>
    <n v="5598548.9618988978"/>
    <n v="1847521.15"/>
    <n v="-686492.91810110211"/>
    <n v="-226542.67039999971"/>
    <n v="0"/>
    <n v="0"/>
    <m/>
    <n v="0"/>
  </r>
  <r>
    <x v="4"/>
    <s v="Collin"/>
    <n v="2482511.0694780927"/>
    <n v="0"/>
    <n v="0"/>
    <n v="0"/>
    <n v="5192051.8890200574"/>
    <n v="0"/>
    <n v="0"/>
    <n v="5192051.8890200574"/>
    <n v="0"/>
    <n v="0"/>
    <n v="0"/>
    <n v="0"/>
    <n v="0"/>
    <n v="0"/>
    <n v="0"/>
    <n v="5192051.8890200574"/>
    <n v="2441020.3854529122"/>
    <n v="0"/>
    <n v="2751031.5035671452"/>
    <n v="0"/>
    <n v="2751031.5035671452"/>
    <n v="2441020.3854529122"/>
    <n v="805536.72719946096"/>
    <n v="2601511.1"/>
    <n v="858498.66299999994"/>
    <m/>
    <n v="0"/>
    <n v="5192051.8890200574"/>
    <n v="1713377.1233766188"/>
    <n v="2590540.7890200573"/>
    <n v="854878.4603766189"/>
    <n v="854878.4603766189"/>
    <n v="1713377.1233766188"/>
    <n v="0"/>
    <n v="0"/>
    <n v="0"/>
    <n v="0"/>
    <n v="0"/>
    <n v="0"/>
    <n v="0"/>
    <n v="0"/>
    <n v="0"/>
    <n v="0"/>
    <n v="0"/>
    <n v="0"/>
    <n v="0"/>
    <n v="0"/>
    <n v="2441020.3854529122"/>
    <n v="805536.72"/>
    <n v="-160490.7145470879"/>
    <n v="-52961.94299999997"/>
    <n v="0"/>
    <n v="0"/>
    <m/>
    <n v="0"/>
  </r>
  <r>
    <x v="4"/>
    <s v="Dallas"/>
    <n v="25873926.45540357"/>
    <n v="33283926.365564961"/>
    <n v="28461228.901769217"/>
    <n v="4822697.4637957439"/>
    <n v="33877173.920603953"/>
    <n v="53242068"/>
    <n v="22545444.080800686"/>
    <n v="11331729.839803267"/>
    <n v="0"/>
    <n v="0"/>
    <n v="0"/>
    <n v="0"/>
    <n v="0"/>
    <n v="0"/>
    <n v="0"/>
    <n v="0"/>
    <n v="0"/>
    <n v="0"/>
    <n v="0"/>
    <n v="0"/>
    <n v="0"/>
    <n v="0"/>
    <n v="0"/>
    <n v="4184938.68"/>
    <n v="1381029.7644"/>
    <m/>
    <n v="0"/>
    <n v="0"/>
    <n v="0"/>
    <n v="0"/>
    <n v="0"/>
    <n v="0"/>
    <n v="0"/>
    <n v="0"/>
    <n v="0"/>
    <n v="0"/>
    <n v="0"/>
    <n v="0"/>
    <n v="0"/>
    <n v="0"/>
    <n v="0"/>
    <n v="0"/>
    <n v="0"/>
    <n v="0"/>
    <n v="0"/>
    <n v="0"/>
    <n v="0"/>
    <n v="0"/>
    <n v="0"/>
    <n v="0"/>
    <n v="0"/>
    <n v="0"/>
    <n v="0"/>
    <m/>
    <n v="0"/>
  </r>
  <r>
    <x v="2"/>
    <s v="Harris"/>
    <n v="-592440.39692719514"/>
    <n v="1832332.9819828577"/>
    <n v="62896.222460827747"/>
    <n v="1769436.7595220299"/>
    <n v="85958.931037035567"/>
    <n v="2945277.71"/>
    <n v="1768281.3474051652"/>
    <n v="0"/>
    <n v="0"/>
    <n v="0"/>
    <n v="0"/>
    <n v="0"/>
    <n v="0"/>
    <n v="0"/>
    <n v="0"/>
    <n v="0"/>
    <n v="0"/>
    <n v="0"/>
    <n v="0"/>
    <n v="0"/>
    <n v="0"/>
    <n v="0"/>
    <n v="0"/>
    <n v="0"/>
    <n v="0"/>
    <m/>
    <n v="0"/>
    <n v="0"/>
    <n v="0"/>
    <n v="0"/>
    <n v="0"/>
    <n v="0"/>
    <n v="0"/>
    <n v="0"/>
    <n v="0"/>
    <n v="0"/>
    <n v="0"/>
    <n v="0"/>
    <n v="0"/>
    <n v="0"/>
    <n v="0"/>
    <n v="0"/>
    <n v="0"/>
    <n v="0"/>
    <n v="0"/>
    <n v="0"/>
    <n v="0"/>
    <n v="0"/>
    <n v="0"/>
    <n v="0"/>
    <n v="0"/>
    <n v="0"/>
    <n v="0"/>
    <m/>
    <n v="0"/>
  </r>
  <r>
    <x v="9"/>
    <s v="Culberson"/>
    <n v="123334.73676464635"/>
    <n v="0"/>
    <n v="0"/>
    <n v="0"/>
    <n v="594256.43068933126"/>
    <n v="0"/>
    <n v="0"/>
    <n v="594256.43068933126"/>
    <n v="0"/>
    <n v="0"/>
    <n v="0"/>
    <n v="0"/>
    <n v="0"/>
    <n v="0"/>
    <n v="0"/>
    <n v="594256.43068933126"/>
    <n v="554700.0632859905"/>
    <n v="0"/>
    <n v="39556.367403340759"/>
    <n v="0"/>
    <n v="39556.367403340759"/>
    <n v="554700.0632859905"/>
    <n v="183051.02088437683"/>
    <n v="247973.77"/>
    <n v="81831.344099999988"/>
    <m/>
    <n v="0"/>
    <n v="594256.43068933126"/>
    <n v="196104.62212747929"/>
    <n v="346282.66068933124"/>
    <n v="114273.2780274793"/>
    <n v="114273.2780274793"/>
    <n v="196104.62212747929"/>
    <n v="0"/>
    <n v="0"/>
    <n v="0"/>
    <n v="0"/>
    <n v="0"/>
    <n v="0"/>
    <n v="0"/>
    <n v="0"/>
    <n v="0"/>
    <n v="0"/>
    <n v="0"/>
    <n v="0"/>
    <n v="0"/>
    <n v="0"/>
    <n v="554700.0632859905"/>
    <n v="183051.02"/>
    <n v="306726.29328599048"/>
    <n v="101219.6759"/>
    <n v="283175.87"/>
    <n v="93448.04"/>
    <m/>
    <n v="-2.9000000067753717E-3"/>
  </r>
  <r>
    <x v="7"/>
    <s v="Fayette"/>
    <n v="-19974.543909196775"/>
    <n v="1260425.181413237"/>
    <n v="0"/>
    <n v="1260425.181413237"/>
    <n v="1210843.5573445118"/>
    <n v="0"/>
    <n v="0"/>
    <n v="1210843.5573445118"/>
    <n v="0"/>
    <n v="0"/>
    <n v="0"/>
    <n v="0"/>
    <n v="0"/>
    <n v="0"/>
    <n v="0"/>
    <n v="1210843.5573445118"/>
    <n v="1130244.3914815055"/>
    <n v="0"/>
    <n v="80599.165863006376"/>
    <n v="0"/>
    <n v="80599.165863006376"/>
    <n v="1130244.3914815055"/>
    <n v="372980.64918889676"/>
    <n v="510215.34"/>
    <n v="168371.06219999999"/>
    <m/>
    <n v="0"/>
    <n v="1210843.5573445118"/>
    <n v="399578.37392368884"/>
    <n v="700628.21734451177"/>
    <n v="231207.31172368885"/>
    <n v="231207.31172368885"/>
    <n v="399578.37392368884"/>
    <n v="0"/>
    <n v="0"/>
    <n v="0"/>
    <n v="0"/>
    <n v="0"/>
    <n v="0"/>
    <n v="0"/>
    <n v="0"/>
    <n v="0"/>
    <n v="0"/>
    <n v="0"/>
    <n v="0"/>
    <n v="0"/>
    <n v="0"/>
    <n v="1130244.3914815055"/>
    <n v="372980.64"/>
    <n v="620029.05148150539"/>
    <n v="204609.57780000003"/>
    <n v="572423.27"/>
    <n v="188899.67"/>
    <m/>
    <n v="9.0999999665655196E-3"/>
  </r>
  <r>
    <x v="6"/>
    <s v="Denton"/>
    <n v="-440252.0359356674"/>
    <n v="0"/>
    <n v="0"/>
    <n v="0"/>
    <n v="13284.571254886399"/>
    <n v="0"/>
    <n v="0"/>
    <n v="13284.571254886399"/>
    <n v="0"/>
    <n v="0"/>
    <n v="0"/>
    <n v="0"/>
    <n v="0"/>
    <n v="0"/>
    <n v="0"/>
    <n v="13284.571254886399"/>
    <n v="6245.682812561392"/>
    <n v="0"/>
    <n v="7038.8884423250074"/>
    <n v="0"/>
    <n v="7038.8884423250074"/>
    <n v="6245.682812561392"/>
    <n v="2061.0753281452589"/>
    <n v="5768.36"/>
    <n v="1903.5587999999996"/>
    <m/>
    <n v="0"/>
    <n v="13284.571254886399"/>
    <n v="4383.9085141125115"/>
    <n v="7516.2112548863997"/>
    <n v="2480.3497141125117"/>
    <n v="2480.3497141125117"/>
    <n v="4383.9085141125115"/>
    <n v="0"/>
    <n v="0"/>
    <n v="0"/>
    <n v="0"/>
    <n v="0"/>
    <n v="0"/>
    <n v="0"/>
    <n v="0"/>
    <n v="0"/>
    <n v="0"/>
    <n v="0"/>
    <n v="0"/>
    <n v="0"/>
    <n v="0"/>
    <n v="6245.682812561392"/>
    <n v="2061.0700000000002"/>
    <n v="477.32281256139231"/>
    <n v="157.5112000000006"/>
    <n v="440.67"/>
    <n v="145.41999999999999"/>
    <m/>
    <n v="1.1000000000080945E-3"/>
  </r>
  <r>
    <x v="9"/>
    <s v="Schleicher"/>
    <n v="166616.01747212795"/>
    <n v="220604.35035793792"/>
    <n v="158704.96408721921"/>
    <n v="61899.386270718707"/>
    <n v="256969.1234247424"/>
    <n v="0"/>
    <n v="0"/>
    <n v="256969.1234247424"/>
    <n v="0"/>
    <n v="0"/>
    <n v="0"/>
    <n v="0"/>
    <n v="0"/>
    <n v="0"/>
    <n v="0"/>
    <n v="256969.1234247424"/>
    <n v="239864.10859854604"/>
    <n v="0"/>
    <n v="17105.014826196362"/>
    <n v="0"/>
    <n v="17105.014826196362"/>
    <n v="239864.10859854604"/>
    <n v="79155.155837520186"/>
    <n v="119489.21"/>
    <n v="39431.439299999998"/>
    <m/>
    <n v="0"/>
    <n v="256969.1234247424"/>
    <n v="84799.810730164987"/>
    <n v="137479.91342474241"/>
    <n v="45368.371430164989"/>
    <n v="45368.371430164989"/>
    <n v="84799.810730164987"/>
    <n v="0"/>
    <n v="0"/>
    <n v="0"/>
    <n v="0"/>
    <n v="0"/>
    <n v="0"/>
    <n v="0"/>
    <n v="0"/>
    <n v="0"/>
    <n v="0"/>
    <n v="0"/>
    <n v="0"/>
    <n v="0"/>
    <n v="0"/>
    <n v="239864.10859854604"/>
    <n v="79155.149999999994"/>
    <n v="120374.89859854603"/>
    <n v="39723.710699999996"/>
    <n v="111132.52"/>
    <n v="36673.730000000003"/>
    <m/>
    <n v="1.5999999959603883E-3"/>
  </r>
  <r>
    <x v="2"/>
    <s v="Harris"/>
    <n v="-3328253.1463475004"/>
    <n v="29227127.60764917"/>
    <n v="18363361.806245204"/>
    <n v="10863765.801403966"/>
    <n v="24343821.932472061"/>
    <n v="10601298.469999999"/>
    <n v="3065785.8149435334"/>
    <n v="21278036.117528528"/>
    <n v="2584525"/>
    <n v="0"/>
    <n v="2663719.7312000012"/>
    <n v="0"/>
    <n v="12962337.680101259"/>
    <n v="18210582.411301259"/>
    <n v="0"/>
    <n v="39488618.528829783"/>
    <n v="18565400.516526833"/>
    <n v="0"/>
    <n v="20923218.01230295"/>
    <n v="0"/>
    <n v="20923218.01230295"/>
    <n v="18565400.516526833"/>
    <n v="6126582.1704538539"/>
    <n v="20548867.600000001"/>
    <n v="6781126.3079999993"/>
    <m/>
    <n v="0"/>
    <n v="39488618.528829783"/>
    <n v="13031244.114513827"/>
    <n v="18939750.928829782"/>
    <n v="6250117.8065138282"/>
    <n v="6250117.8065138282"/>
    <n v="13031244.114513827"/>
    <n v="0"/>
    <n v="0"/>
    <n v="0"/>
    <n v="0"/>
    <n v="0"/>
    <n v="0"/>
    <n v="0"/>
    <n v="0"/>
    <n v="0"/>
    <n v="0"/>
    <n v="0"/>
    <n v="0"/>
    <n v="0"/>
    <n v="0"/>
    <n v="18565400.516526833"/>
    <n v="6126582.1699999999"/>
    <n v="-1983467.0834731683"/>
    <n v="-654544.13799999934"/>
    <n v="0"/>
    <n v="0"/>
    <m/>
    <n v="0"/>
  </r>
  <r>
    <x v="4"/>
    <s v="Dallas"/>
    <n v="-1004887.8896981202"/>
    <n v="0"/>
    <n v="0"/>
    <n v="0"/>
    <n v="107448.51420971025"/>
    <n v="0"/>
    <n v="0"/>
    <n v="107448.51420971025"/>
    <n v="0"/>
    <n v="0"/>
    <n v="0"/>
    <n v="0"/>
    <n v="0"/>
    <n v="0"/>
    <n v="0"/>
    <n v="107448.51420971025"/>
    <n v="50516.446903621538"/>
    <n v="0"/>
    <n v="56932.067306088713"/>
    <n v="0"/>
    <n v="56932.067306088713"/>
    <n v="50516.446903621538"/>
    <n v="16670.427478195106"/>
    <n v="11842.84"/>
    <n v="3908.1371999999997"/>
    <m/>
    <n v="0"/>
    <n v="107448.51420971025"/>
    <n v="35458.00968920438"/>
    <n v="95605.674209710254"/>
    <n v="31549.872489204379"/>
    <n v="31549.872489204379"/>
    <n v="35458.00968920438"/>
    <n v="0"/>
    <n v="0"/>
    <n v="0"/>
    <n v="0"/>
    <n v="0"/>
    <n v="0"/>
    <n v="0"/>
    <n v="0"/>
    <n v="0"/>
    <n v="0"/>
    <n v="0"/>
    <n v="0"/>
    <n v="0"/>
    <n v="0"/>
    <n v="50516.446903621538"/>
    <n v="16670.419999999998"/>
    <n v="38673.606903621534"/>
    <n v="12762.282799999999"/>
    <n v="35704.25"/>
    <n v="11782.4"/>
    <m/>
    <n v="2.4999999986903276E-3"/>
  </r>
  <r>
    <x v="4"/>
    <s v="Collin"/>
    <n v="2465482.2713036551"/>
    <n v="0"/>
    <n v="0"/>
    <n v="0"/>
    <n v="7419533.6341950214"/>
    <n v="0"/>
    <n v="0"/>
    <n v="7419533.6341950214"/>
    <n v="0"/>
    <n v="0"/>
    <n v="0"/>
    <n v="0"/>
    <n v="0"/>
    <n v="0"/>
    <n v="0"/>
    <n v="7419533.6341950214"/>
    <n v="3488261.1419821293"/>
    <n v="0"/>
    <n v="3931272.492212892"/>
    <n v="0"/>
    <n v="3931272.492212892"/>
    <n v="3488261.1419821293"/>
    <n v="1151126.1768541026"/>
    <n v="3410840.22"/>
    <n v="1125577.2726"/>
    <m/>
    <n v="0"/>
    <n v="7419533.6341950214"/>
    <n v="2448446.0992843569"/>
    <n v="4008693.4141950211"/>
    <n v="1322868.8266843569"/>
    <n v="1322868.8266843569"/>
    <n v="2448446.0992843569"/>
    <n v="0"/>
    <n v="0"/>
    <n v="0"/>
    <n v="0"/>
    <n v="0"/>
    <n v="0"/>
    <n v="0"/>
    <n v="0"/>
    <n v="0"/>
    <n v="0"/>
    <n v="0"/>
    <n v="0"/>
    <n v="0"/>
    <n v="0"/>
    <n v="3488261.1419821293"/>
    <n v="1151126.17"/>
    <n v="77420.921982129104"/>
    <n v="25548.8973999999"/>
    <n v="71476.55"/>
    <n v="23587.26"/>
    <m/>
    <n v="1.4999999984866008E-3"/>
  </r>
  <r>
    <x v="6"/>
    <s v="Tarrant"/>
    <n v="1196631.9167848676"/>
    <n v="15901469.396073986"/>
    <n v="0"/>
    <n v="15901469.396073986"/>
    <n v="12873192.212219441"/>
    <n v="0"/>
    <n v="0"/>
    <n v="12873192.212219441"/>
    <n v="0"/>
    <n v="0"/>
    <n v="0"/>
    <n v="0"/>
    <n v="1620550"/>
    <n v="1620550"/>
    <n v="0"/>
    <n v="14493742.212219441"/>
    <n v="6814169.225917452"/>
    <n v="0"/>
    <n v="7679572.9863019893"/>
    <n v="0"/>
    <n v="7679572.9863019893"/>
    <n v="6814169.225917452"/>
    <n v="2248675.8445527591"/>
    <n v="6288418.4199999999"/>
    <n v="2075178.0785999997"/>
    <m/>
    <n v="0"/>
    <n v="14493742.212219441"/>
    <n v="4782934.9300324153"/>
    <n v="8205323.7922194414"/>
    <n v="2707756.8514324157"/>
    <n v="2707756.8514324157"/>
    <n v="4782934.9300324153"/>
    <n v="0"/>
    <n v="0"/>
    <n v="0"/>
    <n v="0"/>
    <n v="0"/>
    <n v="0"/>
    <n v="0"/>
    <n v="0"/>
    <n v="0"/>
    <n v="0"/>
    <n v="0"/>
    <n v="0"/>
    <n v="0"/>
    <n v="0"/>
    <n v="6814169.225917452"/>
    <n v="2248675.84"/>
    <n v="525750.80591745209"/>
    <n v="173497.76140000019"/>
    <n v="485383.7"/>
    <n v="160176.62"/>
    <m/>
    <n v="9.9999998928979039E-4"/>
  </r>
  <r>
    <x v="7"/>
    <s v="Travis"/>
    <n v="-87902903.701066911"/>
    <n v="11052605.685981192"/>
    <n v="6237565.5296312682"/>
    <n v="4815040.1563499235"/>
    <n v="10769577.762469267"/>
    <n v="0"/>
    <n v="0"/>
    <n v="10769577.762469267"/>
    <n v="525205"/>
    <n v="0"/>
    <n v="0"/>
    <n v="0"/>
    <n v="659824"/>
    <n v="1185029"/>
    <n v="0"/>
    <n v="11954606.762469267"/>
    <n v="5620405.8493661163"/>
    <n v="0"/>
    <n v="6334200.9131031511"/>
    <n v="0"/>
    <n v="6334200.9131031511"/>
    <n v="5620405.8493661163"/>
    <n v="1854733.9302908182"/>
    <n v="3487253.71"/>
    <n v="1150793.7242999999"/>
    <m/>
    <n v="0"/>
    <n v="11954606.762469267"/>
    <n v="3945020.2316148579"/>
    <n v="8467353.0524692684"/>
    <n v="2794226.507314858"/>
    <n v="2794226.507314858"/>
    <n v="3945020.2316148579"/>
    <n v="0"/>
    <n v="0"/>
    <n v="0"/>
    <n v="0"/>
    <n v="0"/>
    <n v="0"/>
    <n v="0"/>
    <n v="0"/>
    <n v="0"/>
    <n v="0"/>
    <n v="0"/>
    <n v="0"/>
    <n v="0"/>
    <n v="0"/>
    <n v="5620405.8493661163"/>
    <n v="1854733.93"/>
    <n v="2133152.1393661164"/>
    <n v="703940.20570000005"/>
    <n v="1969368.9"/>
    <n v="649891.74"/>
    <m/>
    <n v="-3.0000001424923539E-3"/>
  </r>
  <r>
    <x v="9"/>
    <s v="Dawson"/>
    <n v="-334401.72071039974"/>
    <n v="1207554.3386267254"/>
    <n v="304149.38477647363"/>
    <n v="903404.95385025174"/>
    <n v="609966.51982192637"/>
    <n v="640392.21"/>
    <n v="71388.976860148017"/>
    <n v="538577.54296177835"/>
    <n v="0"/>
    <n v="0"/>
    <n v="0"/>
    <n v="0"/>
    <n v="0"/>
    <n v="0"/>
    <n v="0"/>
    <n v="538577.54296177835"/>
    <n v="502727.41149602033"/>
    <n v="0"/>
    <n v="35850.131465758022"/>
    <n v="0"/>
    <n v="35850.131465758022"/>
    <n v="502727.41149602033"/>
    <n v="165900.0457936867"/>
    <n v="81644.67"/>
    <n v="26942.741099999996"/>
    <m/>
    <n v="0"/>
    <n v="538577.54296177835"/>
    <n v="177730.58917738684"/>
    <n v="456932.87296177837"/>
    <n v="150787.84807738685"/>
    <n v="150787.84807738685"/>
    <n v="177730.58917738684"/>
    <n v="0"/>
    <n v="0"/>
    <n v="0"/>
    <n v="0"/>
    <n v="0"/>
    <n v="0"/>
    <n v="0"/>
    <n v="0"/>
    <n v="0"/>
    <n v="0"/>
    <n v="0"/>
    <n v="0"/>
    <n v="0"/>
    <n v="0"/>
    <n v="502727.41149602033"/>
    <n v="165900.04"/>
    <n v="421082.74149602035"/>
    <n v="138957.29890000002"/>
    <n v="388752.04"/>
    <n v="128288.17"/>
    <m/>
    <n v="3.1999999773688614E-3"/>
  </r>
  <r>
    <x v="7"/>
    <s v="Williamson"/>
    <n v="-90192.883572650171"/>
    <n v="0"/>
    <n v="0"/>
    <n v="0"/>
    <n v="12448902.421680424"/>
    <n v="0"/>
    <n v="0"/>
    <n v="12448902.421680424"/>
    <n v="705808.19999999984"/>
    <n v="0"/>
    <n v="0"/>
    <n v="0"/>
    <n v="0"/>
    <n v="705808.19999999984"/>
    <n v="0"/>
    <n v="13154710.621680424"/>
    <n v="6184629.406374529"/>
    <n v="0"/>
    <n v="6970081.2153058946"/>
    <n v="0"/>
    <n v="6970081.2153058946"/>
    <n v="6184629.406374529"/>
    <n v="2040927.7041035944"/>
    <n v="8013107.8899999997"/>
    <n v="2644325.6036999994"/>
    <m/>
    <n v="0"/>
    <n v="13154710.621680424"/>
    <n v="4341054.5051545389"/>
    <n v="5141602.731680424"/>
    <n v="1696728.9014545395"/>
    <n v="1696728.9014545395"/>
    <n v="4341054.5051545389"/>
    <n v="0"/>
    <n v="0"/>
    <n v="0"/>
    <n v="0"/>
    <n v="0"/>
    <n v="0"/>
    <n v="0"/>
    <n v="0"/>
    <n v="0"/>
    <n v="0"/>
    <n v="0"/>
    <n v="0"/>
    <n v="0"/>
    <n v="0"/>
    <n v="6184629.406374529"/>
    <n v="2040927.7"/>
    <n v="-1828478.4836254707"/>
    <n v="-603397.90369999944"/>
    <n v="0"/>
    <n v="0"/>
    <m/>
    <n v="0"/>
  </r>
  <r>
    <x v="11"/>
    <s v="El Paso"/>
    <n v="-2783817.0737221343"/>
    <n v="0"/>
    <n v="0"/>
    <n v="0"/>
    <n v="26673.93383887424"/>
    <n v="0"/>
    <n v="0"/>
    <n v="26673.93383887424"/>
    <n v="0"/>
    <n v="0"/>
    <n v="0"/>
    <n v="0"/>
    <n v="0"/>
    <n v="0"/>
    <n v="0"/>
    <n v="26673.93383887424"/>
    <n v="12540.632808121527"/>
    <n v="0"/>
    <n v="14133.301030752713"/>
    <n v="0"/>
    <n v="14133.301030752713"/>
    <n v="12540.632808121527"/>
    <n v="4138.4088266801036"/>
    <n v="33748.61"/>
    <n v="11137.041299999999"/>
    <m/>
    <n v="0"/>
    <n v="26673.93383887424"/>
    <n v="8802.3981668284978"/>
    <n v="-7074.6761611257607"/>
    <n v="-2334.6431331715012"/>
    <n v="-2334.6431331715012"/>
    <n v="8802.3981668284978"/>
    <n v="0"/>
    <n v="0"/>
    <n v="0"/>
    <n v="0"/>
    <n v="0"/>
    <n v="0"/>
    <n v="0"/>
    <n v="0"/>
    <n v="0"/>
    <n v="0"/>
    <n v="0"/>
    <n v="0"/>
    <n v="0"/>
    <n v="0"/>
    <n v="12540.632808121527"/>
    <n v="4138.3999999999996"/>
    <n v="-21207.977191878475"/>
    <n v="-6998.6412999999993"/>
    <n v="0"/>
    <n v="0"/>
    <m/>
    <n v="0"/>
  </r>
  <r>
    <x v="7"/>
    <s v="Williamson"/>
    <n v="-1833578.5393244929"/>
    <n v="7402161.9734780649"/>
    <n v="4563426.2477497347"/>
    <n v="2838735.7257283302"/>
    <n v="5708944.1507264767"/>
    <n v="0"/>
    <n v="0"/>
    <n v="5708944.1507264767"/>
    <n v="1062151"/>
    <n v="0"/>
    <n v="56679"/>
    <n v="0"/>
    <n v="480241"/>
    <n v="1599071"/>
    <n v="0"/>
    <n v="7308015.1507264767"/>
    <n v="3435831.216912007"/>
    <n v="0"/>
    <n v="3872183.9338144697"/>
    <n v="0"/>
    <n v="3872183.9338144697"/>
    <n v="3435831.216912007"/>
    <n v="1133824.3015809623"/>
    <n v="2975257.3"/>
    <n v="981834.90899999987"/>
    <m/>
    <n v="0"/>
    <n v="7308015.1507264767"/>
    <n v="2411644.9997397368"/>
    <n v="4332757.8507264769"/>
    <n v="1429810.0907397368"/>
    <n v="1429810.0907397368"/>
    <n v="2411644.9997397368"/>
    <n v="0"/>
    <n v="0"/>
    <n v="0"/>
    <n v="0"/>
    <n v="0"/>
    <n v="0"/>
    <n v="0"/>
    <n v="0"/>
    <n v="0"/>
    <n v="0"/>
    <n v="0"/>
    <n v="0"/>
    <n v="0"/>
    <n v="0"/>
    <n v="3435831.216912007"/>
    <n v="1133824.3"/>
    <n v="460573.91691200715"/>
    <n v="151989.39100000018"/>
    <n v="425211.09"/>
    <n v="140319.66"/>
    <m/>
    <n v="-3.0000001424923539E-4"/>
  </r>
  <r>
    <x v="2"/>
    <s v="Harris"/>
    <n v="-1542466.3891430674"/>
    <n v="39780105.217591867"/>
    <n v="0"/>
    <n v="39780105.217591867"/>
    <n v="30966013.801293079"/>
    <n v="0"/>
    <n v="0"/>
    <n v="30966013.801293079"/>
    <n v="775862"/>
    <n v="0"/>
    <n v="0"/>
    <n v="0"/>
    <n v="0"/>
    <n v="775862"/>
    <n v="0"/>
    <n v="31741875.801293079"/>
    <n v="14923303.456833305"/>
    <n v="0"/>
    <n v="16818572.344459772"/>
    <n v="0"/>
    <n v="16818572.344459772"/>
    <n v="14923303.456833305"/>
    <n v="4924690.1407549903"/>
    <n v="12997993.67"/>
    <n v="4289337.9110999992"/>
    <m/>
    <n v="0"/>
    <n v="31741875.801293079"/>
    <n v="10474819.014426714"/>
    <n v="18743882.131293081"/>
    <n v="6185481.1033267146"/>
    <n v="6185481.1033267146"/>
    <n v="10474819.014426714"/>
    <n v="0"/>
    <n v="0"/>
    <n v="0"/>
    <n v="0"/>
    <n v="0"/>
    <n v="0"/>
    <n v="0"/>
    <n v="0"/>
    <n v="0"/>
    <n v="0"/>
    <n v="0"/>
    <n v="0"/>
    <n v="0"/>
    <n v="0"/>
    <n v="14923303.456833305"/>
    <n v="4924690.1399999997"/>
    <n v="1925309.7868333049"/>
    <n v="635352.22890000045"/>
    <n v="1777484.67"/>
    <n v="586569.93999999994"/>
    <m/>
    <n v="1.0999999940395355E-3"/>
  </r>
  <r>
    <x v="7"/>
    <s v="Travis"/>
    <n v="-79764.229483044794"/>
    <n v="0"/>
    <n v="0"/>
    <n v="0"/>
    <n v="13783.657656195946"/>
    <n v="0"/>
    <n v="0"/>
    <n v="13783.657656195946"/>
    <n v="0"/>
    <n v="0"/>
    <n v="0"/>
    <n v="0"/>
    <n v="0"/>
    <n v="0"/>
    <n v="0"/>
    <n v="13783.657656195946"/>
    <n v="6480.3260915076808"/>
    <n v="0"/>
    <n v="7303.3315646882656"/>
    <n v="0"/>
    <n v="7303.3315646882656"/>
    <n v="6480.3260915076808"/>
    <n v="2138.5076101975342"/>
    <n v="1523.85"/>
    <n v="502.87049999999994"/>
    <m/>
    <n v="0"/>
    <n v="13783.657656195946"/>
    <n v="4548.6070265446615"/>
    <n v="12259.807656195946"/>
    <n v="4045.7365265446615"/>
    <n v="4045.7365265446615"/>
    <n v="4548.6070265446615"/>
    <n v="0"/>
    <n v="0"/>
    <n v="0"/>
    <n v="0"/>
    <n v="0"/>
    <n v="0"/>
    <n v="0"/>
    <n v="0"/>
    <n v="0"/>
    <n v="0"/>
    <n v="0"/>
    <n v="0"/>
    <n v="0"/>
    <n v="0"/>
    <n v="6480.3260915076808"/>
    <n v="2138.5"/>
    <n v="4956.4760915076804"/>
    <n v="1635.6295"/>
    <n v="4575.92"/>
    <n v="1510.05"/>
    <m/>
    <n v="3.5999999997784471E-3"/>
  </r>
  <r>
    <x v="4"/>
    <s v="Rockwall"/>
    <n v="454969.92521236523"/>
    <n v="0"/>
    <n v="0"/>
    <n v="0"/>
    <n v="3001270.8044553474"/>
    <n v="0"/>
    <n v="0"/>
    <n v="3001270.8044553474"/>
    <n v="0"/>
    <n v="0"/>
    <n v="0"/>
    <n v="0"/>
    <n v="0"/>
    <n v="0"/>
    <n v="0"/>
    <n v="3001270.8044553474"/>
    <n v="1411034.2832731006"/>
    <n v="0"/>
    <n v="1590236.5211822467"/>
    <n v="0"/>
    <n v="1590236.5211822467"/>
    <n v="1411034.2832731006"/>
    <n v="465641.31348012312"/>
    <n v="1133853.6499999999"/>
    <n v="374171.70449999993"/>
    <m/>
    <n v="0"/>
    <n v="3001270.8044553474"/>
    <n v="990419.36547026446"/>
    <n v="1867417.1544553475"/>
    <n v="616247.66097026458"/>
    <n v="616247.66097026458"/>
    <n v="990419.36547026457"/>
    <n v="0"/>
    <n v="0"/>
    <n v="0"/>
    <n v="0"/>
    <n v="0"/>
    <n v="0"/>
    <n v="0"/>
    <n v="0"/>
    <n v="0"/>
    <n v="0"/>
    <n v="0"/>
    <n v="0"/>
    <n v="0"/>
    <n v="0"/>
    <n v="1411034.2832731006"/>
    <n v="465641.31"/>
    <n v="277180.63327310071"/>
    <n v="91469.605500000063"/>
    <n v="255898.73"/>
    <n v="84446.58"/>
    <m/>
    <n v="8.9999998454004526E-4"/>
  </r>
  <r>
    <x v="2"/>
    <s v="Harris"/>
    <n v="530582.2666930689"/>
    <n v="42851435.260616116"/>
    <n v="19646334.297722168"/>
    <n v="23205100.962893948"/>
    <n v="42088745.700674027"/>
    <n v="9964273.5099999998"/>
    <n v="0"/>
    <n v="42088745.700674027"/>
    <n v="2337211"/>
    <n v="0"/>
    <n v="0"/>
    <n v="0"/>
    <n v="9091738.9637949392"/>
    <n v="11428949.963794939"/>
    <n v="0"/>
    <n v="53517695.664468966"/>
    <n v="25161109.498096742"/>
    <n v="0"/>
    <n v="28356586.166372225"/>
    <n v="0"/>
    <n v="28356586.166372225"/>
    <n v="25161109.498096742"/>
    <n v="8303166.1343719242"/>
    <n v="21688668.350000001"/>
    <n v="7157260.5554999998"/>
    <m/>
    <n v="0"/>
    <n v="53517695.664468966"/>
    <n v="17660839.569274757"/>
    <n v="31829027.314468965"/>
    <n v="10503579.013774756"/>
    <n v="10503579.013774756"/>
    <n v="17660839.569274757"/>
    <n v="0"/>
    <n v="0"/>
    <n v="0"/>
    <n v="0"/>
    <n v="0"/>
    <n v="0"/>
    <n v="0"/>
    <n v="0"/>
    <n v="0"/>
    <n v="0"/>
    <n v="0"/>
    <n v="0"/>
    <n v="0"/>
    <n v="0"/>
    <n v="25161109.498096742"/>
    <n v="8303166.1299999999"/>
    <n v="3472441.1480967402"/>
    <n v="1145905.5745000001"/>
    <n v="3205827.41"/>
    <n v="1057923.04"/>
    <m/>
    <n v="5.2999998442828655E-3"/>
  </r>
  <r>
    <x v="7"/>
    <s v="Williamson"/>
    <n v="-1760124.4522891778"/>
    <n v="18749573.467780013"/>
    <n v="12390349.824597647"/>
    <n v="6359223.6431823652"/>
    <n v="16304340.895781511"/>
    <n v="0"/>
    <n v="0"/>
    <n v="16304340.895781511"/>
    <n v="749453"/>
    <n v="0"/>
    <n v="0"/>
    <n v="0"/>
    <n v="1103443"/>
    <n v="1852896"/>
    <n v="0"/>
    <n v="18157236.89578151"/>
    <n v="8536545.1566135529"/>
    <n v="0"/>
    <n v="9620691.7391679566"/>
    <n v="0"/>
    <n v="9620691.7391679566"/>
    <n v="8536545.1566135529"/>
    <n v="2817059.9016824723"/>
    <n v="7467920.8200000003"/>
    <n v="2464413.8706"/>
    <m/>
    <n v="0"/>
    <n v="18157236.89578151"/>
    <n v="5991888.1756078973"/>
    <n v="10689316.075781509"/>
    <n v="3527474.3050078973"/>
    <n v="3527474.3050078973"/>
    <n v="5991888.1756078973"/>
    <n v="0"/>
    <n v="0"/>
    <n v="0"/>
    <n v="0"/>
    <n v="0"/>
    <n v="0"/>
    <n v="0"/>
    <n v="0"/>
    <n v="0"/>
    <n v="0"/>
    <n v="0"/>
    <n v="0"/>
    <n v="0"/>
    <n v="0"/>
    <n v="8536545.1566135529"/>
    <n v="2817059.9"/>
    <n v="1068624.3366135526"/>
    <n v="352646.02939999988"/>
    <n v="986575.45"/>
    <n v="325569.90000000002"/>
    <m/>
    <n v="-1.500000071246177E-3"/>
  </r>
  <r>
    <x v="8"/>
    <s v="Grayson"/>
    <n v="2418024.7030110094"/>
    <n v="24492536.745496549"/>
    <n v="12020128.606476501"/>
    <n v="12472408.139020048"/>
    <n v="16063404.301694948"/>
    <n v="6550884.6500000004"/>
    <n v="0"/>
    <n v="16063404.301694948"/>
    <n v="2251"/>
    <n v="0"/>
    <n v="0"/>
    <n v="0"/>
    <n v="2717694"/>
    <n v="2719945"/>
    <n v="0"/>
    <n v="18783349.301694948"/>
    <n v="8830909.1535627693"/>
    <n v="0"/>
    <n v="9952440.1481321789"/>
    <n v="0"/>
    <n v="9952440.1481321789"/>
    <n v="8830909.1535627693"/>
    <n v="2914200.0206757137"/>
    <n v="8392649.3000000007"/>
    <n v="2769574.2689999999"/>
    <m/>
    <n v="0"/>
    <n v="18783349.301694948"/>
    <n v="6198505.2695593322"/>
    <n v="10390700.001694947"/>
    <n v="3428931.0005593323"/>
    <n v="3428931.0005593323"/>
    <n v="6198505.2695593322"/>
    <n v="0"/>
    <n v="0"/>
    <n v="0"/>
    <n v="0"/>
    <n v="0"/>
    <n v="0"/>
    <n v="0"/>
    <n v="0"/>
    <n v="0"/>
    <n v="0"/>
    <n v="0"/>
    <n v="0"/>
    <n v="0"/>
    <n v="0"/>
    <n v="8830909.1535627693"/>
    <n v="2914200.02"/>
    <n v="438259.85356276855"/>
    <n v="144625.75100000016"/>
    <n v="404610.3"/>
    <n v="133521.4"/>
    <m/>
    <n v="-1.0000000183936208E-3"/>
  </r>
  <r>
    <x v="11"/>
    <s v="El Paso"/>
    <n v="-17138602.647250079"/>
    <n v="12868400.898510071"/>
    <n v="10689264.097669778"/>
    <n v="2179136.8008402921"/>
    <n v="11958006.313266916"/>
    <n v="0"/>
    <n v="0"/>
    <n v="11958006.313266916"/>
    <n v="1065290"/>
    <n v="0"/>
    <n v="0"/>
    <n v="0"/>
    <n v="517814.78710849129"/>
    <n v="1583104.7871084912"/>
    <n v="0"/>
    <n v="13541111.100375406"/>
    <n v="6366293.8938650889"/>
    <n v="0"/>
    <n v="7174817.2065103175"/>
    <n v="0"/>
    <n v="7174817.2065103175"/>
    <n v="6366293.8938650889"/>
    <n v="2100876.9849754791"/>
    <n v="6963552.0999999996"/>
    <n v="2297972.1929999995"/>
    <m/>
    <n v="0"/>
    <n v="13541111.100375406"/>
    <n v="4468566.6631238833"/>
    <n v="6577559.0003754068"/>
    <n v="2170594.4701238838"/>
    <n v="2170594.4701238838"/>
    <n v="4468566.6631238833"/>
    <n v="0"/>
    <n v="0"/>
    <n v="0"/>
    <n v="0"/>
    <n v="0"/>
    <n v="0"/>
    <n v="0"/>
    <n v="0"/>
    <n v="0"/>
    <n v="0"/>
    <n v="0"/>
    <n v="0"/>
    <n v="0"/>
    <n v="0"/>
    <n v="6366293.8938650889"/>
    <n v="2100876.98"/>
    <n v="-597258.2061349107"/>
    <n v="-197095.21299999952"/>
    <n v="0"/>
    <n v="0"/>
    <m/>
    <n v="0"/>
  </r>
  <r>
    <x v="12"/>
    <s v="Hutchinson"/>
    <n v="-764687.56831953884"/>
    <n v="2331444.67133414"/>
    <n v="1541705.3458557182"/>
    <n v="789739.32547842176"/>
    <n v="3106143.2670150399"/>
    <n v="390519.73"/>
    <n v="365467.97284111707"/>
    <n v="2740675.2941739229"/>
    <n v="357408.55000000005"/>
    <n v="0"/>
    <n v="0"/>
    <n v="0"/>
    <n v="0"/>
    <n v="357408.55000000005"/>
    <n v="0"/>
    <n v="3098083.8441739231"/>
    <n v="2891861.5191679616"/>
    <n v="0"/>
    <n v="206222.32500596158"/>
    <n v="0"/>
    <n v="206222.32500596158"/>
    <n v="2891861.5191679616"/>
    <n v="954314.30132542725"/>
    <n v="1128251.73"/>
    <n v="372323.07089999993"/>
    <m/>
    <n v="0"/>
    <n v="3098083.8441739231"/>
    <n v="1022367.6685773946"/>
    <n v="1969832.1141739232"/>
    <n v="650044.59767739463"/>
    <n v="650044.59767739463"/>
    <n v="1022367.6685773946"/>
    <n v="0"/>
    <n v="0"/>
    <n v="0"/>
    <n v="0"/>
    <n v="0"/>
    <n v="0"/>
    <n v="0"/>
    <n v="0"/>
    <n v="0"/>
    <n v="0"/>
    <n v="0"/>
    <n v="0"/>
    <n v="0"/>
    <n v="0"/>
    <n v="2891861.5191679616"/>
    <n v="954314.3"/>
    <n v="1763609.7891679616"/>
    <n v="581991.22910000011"/>
    <n v="1628199.98"/>
    <n v="537305.99"/>
    <m/>
    <n v="3.3999999286606908E-3"/>
  </r>
  <r>
    <x v="9"/>
    <s v="Crane"/>
    <n v="85603.596056473572"/>
    <n v="0"/>
    <n v="0"/>
    <n v="0"/>
    <n v="552906.58517606405"/>
    <n v="0"/>
    <n v="0"/>
    <n v="552906.58517606405"/>
    <n v="0"/>
    <n v="0"/>
    <n v="0"/>
    <n v="0"/>
    <n v="0"/>
    <n v="0"/>
    <n v="0"/>
    <n v="552906.58517606405"/>
    <n v="516102.64853615122"/>
    <n v="0"/>
    <n v="36803.936639912834"/>
    <n v="0"/>
    <n v="36803.936639912834"/>
    <n v="516102.64853615122"/>
    <n v="170313.87401692988"/>
    <n v="182388.68"/>
    <n v="60188.264399999993"/>
    <m/>
    <n v="0"/>
    <n v="552906.58517606405"/>
    <n v="182459.17310810112"/>
    <n v="370517.90517606406"/>
    <n v="122270.90870810114"/>
    <n v="122270.90870810114"/>
    <n v="182459.17310810112"/>
    <n v="0"/>
    <n v="0"/>
    <n v="0"/>
    <n v="0"/>
    <n v="0"/>
    <n v="0"/>
    <n v="0"/>
    <n v="0"/>
    <n v="0"/>
    <n v="0"/>
    <n v="0"/>
    <n v="0"/>
    <n v="0"/>
    <n v="0"/>
    <n v="516102.64853615122"/>
    <n v="170313.87"/>
    <n v="333713.96853615122"/>
    <n v="110125.60560000001"/>
    <n v="308091.44"/>
    <n v="101670.17"/>
    <m/>
    <n v="5.1999999850522727E-3"/>
  </r>
  <r>
    <x v="8"/>
    <s v="Sabine"/>
    <n v="152516.57426288645"/>
    <n v="0"/>
    <n v="0"/>
    <n v="0"/>
    <n v="552598.04684672004"/>
    <n v="0"/>
    <n v="0"/>
    <n v="552598.04684672004"/>
    <n v="0"/>
    <n v="0"/>
    <n v="0"/>
    <n v="0"/>
    <n v="0"/>
    <n v="0"/>
    <n v="0"/>
    <n v="552598.04684672004"/>
    <n v="515814.64789875841"/>
    <n v="0"/>
    <n v="36783.398947961628"/>
    <n v="0"/>
    <n v="36783.398947961628"/>
    <n v="515814.64789875841"/>
    <n v="170218.83380659026"/>
    <n v="257290.48"/>
    <n v="84905.858399999997"/>
    <m/>
    <n v="0"/>
    <n v="552598.04684672004"/>
    <n v="182357.35545941759"/>
    <n v="295307.56684672006"/>
    <n v="97451.497059417597"/>
    <n v="97451.497059417597"/>
    <n v="182357.35545941759"/>
    <n v="0"/>
    <n v="0"/>
    <n v="0"/>
    <n v="0"/>
    <n v="0"/>
    <n v="0"/>
    <n v="0"/>
    <n v="0"/>
    <n v="0"/>
    <n v="0"/>
    <n v="0"/>
    <n v="0"/>
    <n v="0"/>
    <n v="0"/>
    <n v="515814.64789875841"/>
    <n v="170218.83"/>
    <n v="258524.1678987584"/>
    <n v="85312.97159999999"/>
    <n v="238674.7"/>
    <n v="78762.649999999994"/>
    <m/>
    <n v="1.0000000038417056E-3"/>
  </r>
  <r>
    <x v="3"/>
    <s v="Bexar"/>
    <n v="-2708977.0983485505"/>
    <n v="8868639.7985720504"/>
    <n v="2334160.7762721921"/>
    <n v="6534479.0222998578"/>
    <n v="11051972.52600069"/>
    <n v="0"/>
    <n v="0"/>
    <n v="11051972.52600069"/>
    <n v="190785"/>
    <n v="0"/>
    <n v="0"/>
    <n v="0"/>
    <n v="3337605.6995494501"/>
    <n v="3528390.6995494501"/>
    <n v="0"/>
    <n v="14580363.225550139"/>
    <n v="6854893.7147839777"/>
    <n v="0"/>
    <n v="7725469.5107661616"/>
    <n v="0"/>
    <n v="7725469.5107661616"/>
    <n v="6854893.7147839777"/>
    <n v="2262114.9258787124"/>
    <n v="4668823.75"/>
    <n v="1540711.8374999999"/>
    <m/>
    <n v="0"/>
    <n v="14580363.225550139"/>
    <n v="4811519.8644315451"/>
    <n v="9911539.4755501393"/>
    <n v="3270808.0269315452"/>
    <n v="3270808.0269315452"/>
    <n v="4811519.8644315451"/>
    <n v="0"/>
    <n v="0"/>
    <n v="0"/>
    <n v="0"/>
    <n v="0"/>
    <n v="0"/>
    <n v="0"/>
    <n v="0"/>
    <n v="0"/>
    <n v="0"/>
    <n v="0"/>
    <n v="0"/>
    <n v="0"/>
    <n v="0"/>
    <n v="6854893.7147839777"/>
    <n v="2262114.92"/>
    <n v="2186069.9647839777"/>
    <n v="721403.08250000002"/>
    <n v="2018223.7"/>
    <n v="666013.81000000006"/>
    <m/>
    <n v="1.0999999823980033E-2"/>
  </r>
  <r>
    <x v="9"/>
    <s v="Kimble"/>
    <n v="351934.26116710412"/>
    <n v="0"/>
    <n v="0"/>
    <n v="0"/>
    <n v="836964.69974673912"/>
    <n v="0"/>
    <n v="0"/>
    <n v="836964.69974673912"/>
    <n v="0"/>
    <n v="0"/>
    <n v="0"/>
    <n v="0"/>
    <n v="0"/>
    <n v="0"/>
    <n v="0"/>
    <n v="836964.69974673912"/>
    <n v="781252.58380311413"/>
    <n v="0"/>
    <n v="55712.115943624987"/>
    <n v="0"/>
    <n v="55712.115943624987"/>
    <n v="781252.58380311413"/>
    <n v="257813.35265502764"/>
    <n v="274413.19"/>
    <n v="90556.352699999989"/>
    <m/>
    <n v="0"/>
    <n v="836964.69974673912"/>
    <n v="276198.35091642389"/>
    <n v="562551.50974673918"/>
    <n v="185641.9982164239"/>
    <n v="185641.9982164239"/>
    <n v="276198.35091642389"/>
    <n v="0"/>
    <n v="0"/>
    <n v="0"/>
    <n v="0"/>
    <n v="0"/>
    <n v="0"/>
    <n v="0"/>
    <n v="0"/>
    <n v="0"/>
    <n v="0"/>
    <n v="0"/>
    <n v="0"/>
    <n v="0"/>
    <n v="0"/>
    <n v="781252.58380311413"/>
    <n v="257813.35"/>
    <n v="506839.39380311413"/>
    <n v="167256.99730000002"/>
    <n v="467924.31"/>
    <n v="154415.01999999999"/>
    <m/>
    <n v="2.2999999928288162E-3"/>
  </r>
  <r>
    <x v="8"/>
    <s v="Bowie"/>
    <n v="7350977.8816287704"/>
    <n v="5570811.2478595404"/>
    <n v="3250478.2137882882"/>
    <n v="2320333.0340712522"/>
    <n v="4019166.9417139967"/>
    <n v="2613149.65"/>
    <n v="0"/>
    <n v="4019166.9417139967"/>
    <n v="510424"/>
    <n v="0"/>
    <n v="294755.76000000007"/>
    <n v="0"/>
    <n v="1348999.578529601"/>
    <n v="2154179.3385296008"/>
    <n v="0"/>
    <n v="6173346.2802435979"/>
    <n v="2902371.6323795617"/>
    <n v="0"/>
    <n v="3270974.6478640363"/>
    <n v="0"/>
    <n v="3270974.6478640363"/>
    <n v="2902371.6323795617"/>
    <n v="957782.6386852552"/>
    <n v="3996955.54"/>
    <n v="1318995.3281999999"/>
    <m/>
    <n v="0"/>
    <n v="6173346.2802435979"/>
    <n v="2037204.272480387"/>
    <n v="2176390.7402435979"/>
    <n v="718208.94428038714"/>
    <n v="718208.94428038714"/>
    <n v="2037204.272480387"/>
    <n v="0"/>
    <n v="0"/>
    <n v="0"/>
    <n v="0"/>
    <n v="0"/>
    <n v="0"/>
    <n v="0"/>
    <n v="0"/>
    <n v="0"/>
    <n v="0"/>
    <n v="0"/>
    <n v="0"/>
    <n v="0"/>
    <n v="0"/>
    <n v="2902371.6323795617"/>
    <n v="957782.63"/>
    <n v="-1094583.9076204384"/>
    <n v="-361212.69819999987"/>
    <n v="0"/>
    <n v="0"/>
    <m/>
    <n v="0"/>
  </r>
  <r>
    <x v="7"/>
    <s v="Hays"/>
    <n v="-2240812.5413853745"/>
    <n v="19526924.407625094"/>
    <n v="14949532.150358619"/>
    <n v="4577392.2572664749"/>
    <n v="18469951.673811764"/>
    <n v="2585577.58"/>
    <n v="248997.86411890015"/>
    <n v="18220953.809692863"/>
    <n v="693396"/>
    <n v="0"/>
    <n v="0"/>
    <n v="0"/>
    <n v="2593621"/>
    <n v="3287017"/>
    <n v="0"/>
    <n v="21507970.809692863"/>
    <n v="10111877.985505942"/>
    <n v="0"/>
    <n v="11396092.824186921"/>
    <n v="0"/>
    <n v="11396092.824186921"/>
    <n v="10111877.985505942"/>
    <n v="3336919.7352169603"/>
    <n v="8457746.0199999996"/>
    <n v="2791056.1865999997"/>
    <m/>
    <n v="0"/>
    <n v="21507970.809692863"/>
    <n v="7097630.3671986442"/>
    <n v="13050224.789692864"/>
    <n v="4306574.1805986445"/>
    <n v="4306574.1805986445"/>
    <n v="7097630.3671986442"/>
    <n v="0"/>
    <n v="0"/>
    <n v="0"/>
    <n v="0"/>
    <n v="0"/>
    <n v="0"/>
    <n v="0"/>
    <n v="0"/>
    <n v="0"/>
    <n v="0"/>
    <n v="0"/>
    <n v="0"/>
    <n v="0"/>
    <n v="0"/>
    <n v="10111877.985505942"/>
    <n v="3336919.73"/>
    <n v="1654131.9655059427"/>
    <n v="545863.54340000032"/>
    <n v="1527127.86"/>
    <n v="503952.19"/>
    <m/>
    <n v="3.7999999476596713E-3"/>
  </r>
  <r>
    <x v="4"/>
    <s v="Dallas"/>
    <n v="635775.59193611355"/>
    <n v="17477283.533702794"/>
    <n v="0"/>
    <n v="17477283.533702794"/>
    <n v="13392707.51035711"/>
    <n v="0"/>
    <n v="0"/>
    <n v="13392707.51035711"/>
    <n v="0"/>
    <n v="0"/>
    <n v="0"/>
    <n v="0"/>
    <n v="1706591"/>
    <n v="1706591"/>
    <n v="0"/>
    <n v="15099298.51035711"/>
    <n v="7098868.8591047544"/>
    <n v="0"/>
    <n v="8000429.6512523554"/>
    <n v="0"/>
    <n v="8000429.6512523554"/>
    <n v="7098868.8591047544"/>
    <n v="2342626.7235045685"/>
    <n v="6351937.5599999996"/>
    <n v="2096139.3947999997"/>
    <m/>
    <n v="0"/>
    <n v="15099298.51035711"/>
    <n v="4982768.5084178457"/>
    <n v="8747360.9503571093"/>
    <n v="2886629.1136178458"/>
    <n v="2886629.1136178458"/>
    <n v="4982768.5084178457"/>
    <n v="0"/>
    <n v="0"/>
    <n v="0"/>
    <n v="0"/>
    <n v="0"/>
    <n v="0"/>
    <n v="0"/>
    <n v="0"/>
    <n v="0"/>
    <n v="0"/>
    <n v="0"/>
    <n v="0"/>
    <n v="0"/>
    <n v="0"/>
    <n v="7098868.8591047544"/>
    <n v="2342626.7200000002"/>
    <n v="746931.29910475481"/>
    <n v="246487.32520000055"/>
    <n v="689581.98"/>
    <n v="227562.05"/>
    <m/>
    <n v="3.3999999868683517E-3"/>
  </r>
  <r>
    <x v="4"/>
    <s v="Dallas"/>
    <n v="-6253807.1553506302"/>
    <n v="0"/>
    <n v="0"/>
    <n v="0"/>
    <n v="502197.92626053118"/>
    <n v="0"/>
    <n v="0"/>
    <n v="502197.92626053118"/>
    <n v="0"/>
    <n v="0"/>
    <n v="0"/>
    <n v="0"/>
    <n v="0"/>
    <n v="0"/>
    <n v="0"/>
    <n v="502197.92626053118"/>
    <n v="236106.14873217407"/>
    <n v="0"/>
    <n v="266091.77752835711"/>
    <n v="0"/>
    <n v="266091.77752835711"/>
    <n v="236106.14873217407"/>
    <n v="77915.029081617438"/>
    <n v="169907.55"/>
    <n v="56069.491499999989"/>
    <m/>
    <n v="0"/>
    <n v="502197.92626053118"/>
    <n v="165725.31566597527"/>
    <n v="332290.37626053119"/>
    <n v="109655.82416597528"/>
    <n v="109655.82416597528"/>
    <n v="165725.31566597527"/>
    <n v="0"/>
    <n v="0"/>
    <n v="0"/>
    <n v="0"/>
    <n v="0"/>
    <n v="0"/>
    <n v="0"/>
    <n v="0"/>
    <n v="0"/>
    <n v="0"/>
    <n v="0"/>
    <n v="0"/>
    <n v="0"/>
    <n v="0"/>
    <n v="236106.14873217407"/>
    <n v="77915.02"/>
    <n v="66198.598732174083"/>
    <n v="21845.528500000015"/>
    <n v="61115.88"/>
    <n v="20168.23"/>
    <m/>
    <n v="1.0399999995570397E-2"/>
  </r>
  <r>
    <x v="2"/>
    <s v="Montgomery"/>
    <n v="534839.38295148232"/>
    <n v="0"/>
    <n v="0"/>
    <n v="0"/>
    <n v="577378.55421520246"/>
    <n v="0"/>
    <n v="0"/>
    <n v="577378.55421520246"/>
    <n v="0"/>
    <n v="0"/>
    <n v="0"/>
    <n v="0"/>
    <n v="0"/>
    <n v="0"/>
    <n v="0"/>
    <n v="577378.55421520246"/>
    <n v="271451.99067504815"/>
    <n v="0"/>
    <n v="305926.56354015431"/>
    <n v="0"/>
    <n v="305926.56354015431"/>
    <n v="271451.99067504815"/>
    <n v="89579.156922765877"/>
    <n v="211090.89"/>
    <n v="69659.993699999992"/>
    <m/>
    <n v="0"/>
    <n v="577378.55421520246"/>
    <n v="190534.92289101679"/>
    <n v="366287.66421520244"/>
    <n v="120874.9291910168"/>
    <n v="120874.9291910168"/>
    <n v="190534.92289101679"/>
    <n v="0"/>
    <n v="0"/>
    <n v="0"/>
    <n v="0"/>
    <n v="0"/>
    <n v="0"/>
    <n v="0"/>
    <n v="0"/>
    <n v="0"/>
    <n v="0"/>
    <n v="0"/>
    <n v="0"/>
    <n v="0"/>
    <n v="0"/>
    <n v="271451.99067504815"/>
    <n v="89579.15"/>
    <n v="60361.100675048132"/>
    <n v="19919.156300000002"/>
    <n v="55726.58"/>
    <n v="18389.77"/>
    <m/>
    <n v="1.3999999973748345E-3"/>
  </r>
  <r>
    <x v="0"/>
    <s v="Colorado"/>
    <n v="592699.61306447384"/>
    <n v="1395845.2262847454"/>
    <n v="1034780.1573245695"/>
    <n v="361065.06896017585"/>
    <n v="1377731.4761944832"/>
    <n v="0"/>
    <n v="0"/>
    <n v="1377731.4761944832"/>
    <n v="0"/>
    <n v="0"/>
    <n v="0"/>
    <n v="0"/>
    <n v="0"/>
    <n v="0"/>
    <n v="0"/>
    <n v="1377731.4761944832"/>
    <n v="1286023.503607163"/>
    <n v="0"/>
    <n v="91707.972587320255"/>
    <n v="0"/>
    <n v="91707.972587320255"/>
    <n v="1286023.503607163"/>
    <n v="424387.75619036373"/>
    <n v="296132.64"/>
    <n v="97723.771199999988"/>
    <m/>
    <n v="0"/>
    <n v="1377731.4761944832"/>
    <n v="454651.38714417943"/>
    <n v="1081598.8361944831"/>
    <n v="356927.61594417947"/>
    <n v="356927.61594417947"/>
    <n v="454651.38714417943"/>
    <n v="0"/>
    <n v="0"/>
    <n v="0"/>
    <n v="0"/>
    <n v="0"/>
    <n v="0"/>
    <n v="0"/>
    <n v="0"/>
    <n v="0"/>
    <n v="0"/>
    <n v="0"/>
    <n v="0"/>
    <n v="0"/>
    <n v="0"/>
    <n v="1286023.503607163"/>
    <n v="424387.75"/>
    <n v="989890.86360716296"/>
    <n v="326663.97880000004"/>
    <n v="913887.13"/>
    <n v="301582.75"/>
    <m/>
    <n v="2.899999963119626E-3"/>
  </r>
  <r>
    <x v="3"/>
    <s v="Medina"/>
    <n v="192606.62691307531"/>
    <n v="2052242.4187817909"/>
    <n v="739466.14524966397"/>
    <n v="1312776.273532127"/>
    <n v="2385267.4251562241"/>
    <n v="832870.75"/>
    <n v="0"/>
    <n v="2385267.4251562241"/>
    <n v="47883.22"/>
    <n v="0"/>
    <n v="0"/>
    <n v="0"/>
    <n v="0"/>
    <n v="47883.22"/>
    <n v="0"/>
    <n v="2433150.6451562243"/>
    <n v="2271189.2495414889"/>
    <n v="0"/>
    <n v="161961.39561473532"/>
    <n v="0"/>
    <n v="161961.39561473532"/>
    <n v="2271189.2495414889"/>
    <n v="749492.45234869129"/>
    <n v="1005422.99"/>
    <n v="331789.58669999999"/>
    <m/>
    <n v="0"/>
    <n v="2433150.6451562243"/>
    <n v="802939.71290155395"/>
    <n v="1427727.6551562243"/>
    <n v="471150.12620155397"/>
    <n v="471150.12620155397"/>
    <n v="802939.71290155395"/>
    <n v="0"/>
    <n v="0"/>
    <n v="0"/>
    <n v="0"/>
    <n v="0"/>
    <n v="0"/>
    <n v="0"/>
    <n v="0"/>
    <n v="0"/>
    <n v="0"/>
    <n v="0"/>
    <n v="0"/>
    <n v="0"/>
    <n v="0"/>
    <n v="2271189.2495414889"/>
    <n v="749492.45"/>
    <n v="1265766.259541489"/>
    <n v="417702.86329999997"/>
    <n v="1168580.83"/>
    <n v="385631.67"/>
    <m/>
    <n v="3.9000000106170774E-3"/>
  </r>
  <r>
    <x v="0"/>
    <s v="Somervell"/>
    <n v="558133.26029045763"/>
    <n v="0"/>
    <n v="0"/>
    <n v="0"/>
    <n v="3025989.6229056255"/>
    <n v="0"/>
    <n v="0"/>
    <n v="3025989.6229056255"/>
    <n v="156459.27000000002"/>
    <n v="0"/>
    <n v="0"/>
    <n v="0"/>
    <n v="0"/>
    <n v="156459.27000000002"/>
    <n v="0"/>
    <n v="3182448.8929056255"/>
    <n v="2970610.8527112547"/>
    <n v="0"/>
    <n v="211838.04019437078"/>
    <n v="0"/>
    <n v="211838.04019437078"/>
    <n v="2970610.8527112547"/>
    <n v="980301.58139471395"/>
    <n v="643159.29"/>
    <n v="212242.56569999998"/>
    <m/>
    <n v="0"/>
    <n v="3182448.8929056255"/>
    <n v="1050208.1346588563"/>
    <n v="2539289.6029056255"/>
    <n v="837965.5689588564"/>
    <n v="837965.5689588564"/>
    <n v="1050208.1346588563"/>
    <n v="0"/>
    <n v="0"/>
    <n v="0"/>
    <n v="0"/>
    <n v="0"/>
    <n v="0"/>
    <n v="0"/>
    <n v="0"/>
    <n v="0"/>
    <n v="0"/>
    <n v="0"/>
    <n v="0"/>
    <n v="0"/>
    <n v="0"/>
    <n v="2970610.8527112547"/>
    <n v="980301.58"/>
    <n v="2327451.5627112547"/>
    <n v="768059.01429999992"/>
    <n v="2148750.0299999998"/>
    <n v="709087.51"/>
    <m/>
    <n v="-1.0000017937272787E-4"/>
  </r>
  <r>
    <x v="2"/>
    <s v="Harris"/>
    <n v="-982529.72321279999"/>
    <n v="0"/>
    <n v="0"/>
    <n v="0"/>
    <n v="25832.316321279999"/>
    <n v="0"/>
    <n v="0"/>
    <n v="25832.316321279999"/>
    <n v="0"/>
    <n v="0"/>
    <n v="0"/>
    <n v="0"/>
    <n v="0"/>
    <n v="0"/>
    <n v="0"/>
    <n v="25832.316321279999"/>
    <n v="12144.950029691214"/>
    <n v="0"/>
    <n v="13687.366291588785"/>
    <n v="0"/>
    <n v="13687.366291588785"/>
    <n v="12144.950029691214"/>
    <n v="4007.8335097980998"/>
    <n v="31987.29"/>
    <n v="10555.805699999999"/>
    <m/>
    <n v="0"/>
    <n v="25832.316321279999"/>
    <n v="8524.6643860223994"/>
    <n v="-6154.9736787200018"/>
    <n v="-2031.1413139775996"/>
    <n v="-2031.1413139775996"/>
    <n v="8524.6643860223994"/>
    <n v="0"/>
    <n v="0"/>
    <n v="0"/>
    <n v="0"/>
    <n v="0"/>
    <n v="0"/>
    <n v="0"/>
    <n v="0"/>
    <n v="0"/>
    <n v="0"/>
    <n v="0"/>
    <n v="0"/>
    <n v="0"/>
    <n v="0"/>
    <n v="12144.950029691214"/>
    <n v="4007.83"/>
    <n v="-19842.339970308785"/>
    <n v="-6547.9756999999991"/>
    <n v="0"/>
    <n v="0"/>
    <m/>
    <n v="0"/>
  </r>
  <r>
    <x v="6"/>
    <s v="Denton"/>
    <n v="2363606.4540563901"/>
    <n v="0"/>
    <n v="0"/>
    <n v="0"/>
    <n v="2675282.9849711764"/>
    <n v="0"/>
    <n v="0"/>
    <n v="2675282.9849711764"/>
    <n v="0"/>
    <n v="0"/>
    <n v="0"/>
    <n v="0"/>
    <n v="0"/>
    <n v="0"/>
    <n v="0"/>
    <n v="2675282.9849711764"/>
    <n v="1257772.5421004035"/>
    <n v="0"/>
    <n v="1417510.4428707729"/>
    <n v="0"/>
    <n v="1417510.4428707729"/>
    <n v="1257772.5421004035"/>
    <n v="415064.93889313308"/>
    <n v="655863.31999999995"/>
    <n v="216434.89559999996"/>
    <m/>
    <n v="0"/>
    <n v="2675282.9849711764"/>
    <n v="882843.38504048809"/>
    <n v="2019419.6649711765"/>
    <n v="666408.48944048816"/>
    <n v="666408.48944048816"/>
    <n v="882843.38504048809"/>
    <n v="0"/>
    <n v="0"/>
    <n v="0"/>
    <n v="0"/>
    <n v="0"/>
    <n v="0"/>
    <n v="0"/>
    <n v="0"/>
    <n v="0"/>
    <n v="0"/>
    <n v="0"/>
    <n v="0"/>
    <n v="0"/>
    <n v="0"/>
    <n v="1257772.5421004035"/>
    <n v="415064.93"/>
    <n v="601909.22210040351"/>
    <n v="198630.03440000003"/>
    <n v="555694.68000000005"/>
    <n v="183379.24"/>
    <m/>
    <n v="4.4000000052619725E-3"/>
  </r>
  <r>
    <x v="9"/>
    <s v="Dimmit"/>
    <n v="2314213.8499293183"/>
    <n v="2352176.8816343909"/>
    <n v="1771686.3824929025"/>
    <n v="580490.49914148846"/>
    <n v="2882314.6574211582"/>
    <n v="1504056.1400000001"/>
    <n v="0"/>
    <n v="2882314.6574211582"/>
    <n v="109994"/>
    <n v="0"/>
    <n v="0"/>
    <n v="0"/>
    <n v="0"/>
    <n v="109994"/>
    <n v="0"/>
    <n v="2992308.6574211582"/>
    <n v="2793127.2022035061"/>
    <n v="0"/>
    <n v="199181.45521765202"/>
    <n v="0"/>
    <n v="199181.45521765202"/>
    <n v="2793127.2022035061"/>
    <n v="921731.9767271569"/>
    <n v="786701.79"/>
    <n v="259611.59069999997"/>
    <m/>
    <n v="0"/>
    <n v="2992308.6574211582"/>
    <n v="987461.85694898211"/>
    <n v="2205606.8674211581"/>
    <n v="727850.26624898217"/>
    <n v="727850.26624898217"/>
    <n v="987461.85694898211"/>
    <n v="0"/>
    <n v="0"/>
    <n v="0"/>
    <n v="0"/>
    <n v="0"/>
    <n v="0"/>
    <n v="0"/>
    <n v="0"/>
    <n v="0"/>
    <n v="0"/>
    <n v="0"/>
    <n v="0"/>
    <n v="0"/>
    <n v="0"/>
    <n v="2793127.2022035061"/>
    <n v="921731.97"/>
    <n v="2006425.4122035061"/>
    <n v="662120.37930000003"/>
    <n v="1852372.24"/>
    <n v="611282.82999999996"/>
    <m/>
    <n v="9.1999999713152647E-3"/>
  </r>
  <r>
    <x v="4"/>
    <s v="Dallas"/>
    <n v="-1732694.9748955385"/>
    <n v="2629633.2962145642"/>
    <n v="-12811.419457715207"/>
    <n v="2642444.7156722792"/>
    <n v="188638.1961764608"/>
    <n v="0"/>
    <n v="0"/>
    <n v="188638.1961764608"/>
    <n v="0"/>
    <n v="0"/>
    <n v="0"/>
    <n v="0"/>
    <n v="2604796"/>
    <n v="2604796"/>
    <n v="0"/>
    <n v="2793434.1961764609"/>
    <n v="1313320.8149764834"/>
    <n v="0"/>
    <n v="1480113.3811999776"/>
    <n v="0"/>
    <n v="1480113.3811999776"/>
    <n v="1313320.8149764834"/>
    <n v="433395.86894223944"/>
    <n v="1504171.08"/>
    <n v="496376.45639999997"/>
    <m/>
    <n v="0"/>
    <n v="2793434.1961764609"/>
    <n v="921833.28473823203"/>
    <n v="1289263.1161764609"/>
    <n v="425456.82833823207"/>
    <n v="425456.82833823207"/>
    <n v="921833.28473823203"/>
    <n v="0"/>
    <n v="0"/>
    <n v="0"/>
    <n v="0"/>
    <n v="0"/>
    <n v="0"/>
    <n v="0"/>
    <n v="0"/>
    <n v="0"/>
    <n v="0"/>
    <n v="0"/>
    <n v="0"/>
    <n v="0"/>
    <n v="0"/>
    <n v="1313320.8149764834"/>
    <n v="433395.86"/>
    <n v="-190850.26502351672"/>
    <n v="-62980.59639999998"/>
    <n v="0"/>
    <n v="0"/>
    <m/>
    <n v="0"/>
  </r>
  <r>
    <x v="8"/>
    <s v="Grayson"/>
    <n v="-804543.25192604156"/>
    <n v="6115470.1959960395"/>
    <n v="387558.46114657278"/>
    <n v="5727911.7348494669"/>
    <n v="548252.02797711361"/>
    <n v="0"/>
    <n v="0"/>
    <n v="548252.02797711361"/>
    <n v="0"/>
    <n v="0"/>
    <n v="0"/>
    <n v="0"/>
    <n v="1540833"/>
    <n v="1540833"/>
    <n v="0"/>
    <n v="2089085.0279771136"/>
    <n v="982174.14795503451"/>
    <n v="0"/>
    <n v="1106910.8800220792"/>
    <n v="0"/>
    <n v="1106910.8800220792"/>
    <n v="982174.14795503451"/>
    <n v="324117.46882516134"/>
    <n v="178397.03"/>
    <n v="58871.019899999992"/>
    <m/>
    <n v="0"/>
    <n v="2089085.0279771136"/>
    <n v="689398.05923244741"/>
    <n v="1910687.9979771136"/>
    <n v="630527.03933244746"/>
    <n v="630527.03933244746"/>
    <n v="689398.05923244741"/>
    <n v="0"/>
    <n v="0"/>
    <n v="0"/>
    <n v="0"/>
    <n v="0"/>
    <n v="0"/>
    <n v="0"/>
    <n v="0"/>
    <n v="0"/>
    <n v="0"/>
    <n v="0"/>
    <n v="0"/>
    <n v="0"/>
    <n v="0"/>
    <n v="982174.14795503451"/>
    <n v="324117.46000000002"/>
    <n v="803777.11795503448"/>
    <n v="265246.44010000001"/>
    <n v="742063.18"/>
    <n v="244880.84"/>
    <m/>
    <n v="9.399999980814755E-3"/>
  </r>
  <r>
    <x v="0"/>
    <s v="Llano"/>
    <n v="262359.8431756288"/>
    <n v="843424.76533603668"/>
    <n v="577804.40642014716"/>
    <n v="265620.35891588952"/>
    <n v="892253.88351644168"/>
    <n v="0"/>
    <n v="0"/>
    <n v="892253.88351644168"/>
    <n v="0"/>
    <n v="0"/>
    <n v="0"/>
    <n v="0"/>
    <n v="0"/>
    <n v="0"/>
    <n v="0"/>
    <n v="892253.88351644168"/>
    <n v="832861.47207464545"/>
    <n v="0"/>
    <n v="59392.411441796226"/>
    <n v="0"/>
    <n v="59392.411441796226"/>
    <n v="832861.47207464545"/>
    <n v="274844.28578463296"/>
    <n v="896299.55"/>
    <n v="295778.85149999999"/>
    <m/>
    <n v="0"/>
    <n v="892253.88351644168"/>
    <n v="294443.7815604257"/>
    <n v="-4045.6664835583651"/>
    <n v="-1335.0699395742849"/>
    <n v="-1335.0699395742849"/>
    <n v="294443.7815604257"/>
    <n v="0"/>
    <n v="0"/>
    <n v="0"/>
    <n v="0"/>
    <n v="0"/>
    <n v="0"/>
    <n v="0"/>
    <n v="0"/>
    <n v="0"/>
    <n v="0"/>
    <n v="0"/>
    <n v="0"/>
    <n v="0"/>
    <n v="0"/>
    <n v="832861.47207464545"/>
    <n v="274844.28000000003"/>
    <n v="-63438.077925354592"/>
    <n v="-20934.571499999962"/>
    <n v="0"/>
    <n v="0"/>
    <m/>
    <n v="0"/>
  </r>
  <r>
    <x v="2"/>
    <s v="Harris"/>
    <n v="11844444.92598507"/>
    <n v="0"/>
    <n v="0"/>
    <n v="0"/>
    <n v="28009338.24051901"/>
    <n v="0"/>
    <n v="0"/>
    <n v="28009338.24051901"/>
    <n v="0"/>
    <n v="0"/>
    <n v="0"/>
    <n v="0"/>
    <n v="2719072.2593225525"/>
    <n v="2719072.2593225525"/>
    <n v="0"/>
    <n v="30728410.499841563"/>
    <n v="14446827.197798988"/>
    <n v="0"/>
    <n v="16281583.302042576"/>
    <n v="0"/>
    <n v="16281583.302042576"/>
    <n v="14446827.197798988"/>
    <n v="4767452.975273665"/>
    <n v="12092274.77"/>
    <n v="3990450.6740999995"/>
    <m/>
    <n v="0"/>
    <n v="30728410.499841563"/>
    <n v="10140375.464947715"/>
    <n v="18636135.729841564"/>
    <n v="6149924.7908477159"/>
    <n v="6149924.7908477159"/>
    <n v="10140375.464947715"/>
    <n v="0"/>
    <n v="0"/>
    <n v="0"/>
    <n v="0"/>
    <n v="0"/>
    <n v="0"/>
    <n v="0"/>
    <n v="0"/>
    <n v="0"/>
    <n v="0"/>
    <n v="0"/>
    <n v="0"/>
    <n v="0"/>
    <n v="0"/>
    <n v="14446827.197798988"/>
    <n v="4767452.97"/>
    <n v="2354552.4277989883"/>
    <n v="777002.29590000026"/>
    <n v="2173770.09"/>
    <n v="717344.13"/>
    <m/>
    <n v="-3.0000018887221813E-4"/>
  </r>
  <r>
    <x v="2"/>
    <s v="Harris"/>
    <n v="1115822.6990208991"/>
    <n v="0"/>
    <n v="0"/>
    <n v="0"/>
    <n v="2980631.4099509283"/>
    <n v="0"/>
    <n v="0"/>
    <n v="2980631.4099509283"/>
    <n v="0"/>
    <n v="0"/>
    <n v="0"/>
    <n v="0"/>
    <n v="0"/>
    <n v="0"/>
    <n v="0"/>
    <n v="2980631.4099509283"/>
    <n v="1401330.7626216148"/>
    <n v="0"/>
    <n v="1579300.6473293134"/>
    <n v="0"/>
    <n v="1579300.6473293134"/>
    <n v="1401330.7626216148"/>
    <n v="462439.15166513284"/>
    <n v="1227479.69"/>
    <n v="405068.29769999994"/>
    <m/>
    <n v="0"/>
    <n v="2980631.4099509283"/>
    <n v="983608.36528380623"/>
    <n v="1753151.7199509284"/>
    <n v="578540.06758380635"/>
    <n v="578540.06758380635"/>
    <n v="983608.36528380634"/>
    <n v="0"/>
    <n v="0"/>
    <n v="0"/>
    <n v="0"/>
    <n v="0"/>
    <n v="0"/>
    <n v="0"/>
    <n v="0"/>
    <n v="0"/>
    <n v="0"/>
    <n v="0"/>
    <n v="0"/>
    <n v="0"/>
    <n v="0"/>
    <n v="1401330.7626216148"/>
    <n v="462439.15"/>
    <n v="173851.07262161491"/>
    <n v="57370.852300000086"/>
    <n v="160502.79999999999"/>
    <n v="52965.919999999998"/>
    <m/>
    <n v="3.9999999935389496E-3"/>
  </r>
  <r>
    <x v="0"/>
    <s v="Comanche"/>
    <n v="232264.31507955206"/>
    <n v="1586574.1794111615"/>
    <n v="1119015.4296061439"/>
    <n v="467558.74980501761"/>
    <n v="1607092.9712371968"/>
    <n v="0"/>
    <n v="0"/>
    <n v="1607092.9712371968"/>
    <n v="0"/>
    <n v="0"/>
    <n v="0"/>
    <n v="0"/>
    <n v="0"/>
    <n v="0"/>
    <n v="0"/>
    <n v="1607092.9712371968"/>
    <n v="1500117.6711166012"/>
    <n v="0"/>
    <n v="106975.30012059561"/>
    <n v="0"/>
    <n v="106975.30012059561"/>
    <n v="1500117.6711166012"/>
    <n v="495038.83146847831"/>
    <n v="301470.17"/>
    <n v="99485.156099999978"/>
    <m/>
    <n v="0"/>
    <n v="1607092.9712371968"/>
    <n v="530340.68050827493"/>
    <n v="1305622.8012371969"/>
    <n v="430855.52440827497"/>
    <n v="430855.52440827497"/>
    <n v="530340.68050827493"/>
    <n v="0"/>
    <n v="0"/>
    <n v="0"/>
    <n v="0"/>
    <n v="0"/>
    <n v="0"/>
    <n v="0"/>
    <n v="0"/>
    <n v="0"/>
    <n v="0"/>
    <n v="0"/>
    <n v="0"/>
    <n v="0"/>
    <n v="0"/>
    <n v="1500117.6711166012"/>
    <n v="495038.83"/>
    <n v="1198647.5011166013"/>
    <n v="395553.67390000005"/>
    <n v="1106615.45"/>
    <n v="365183.1"/>
    <m/>
    <n v="-1.500000013038516E-3"/>
  </r>
  <r>
    <x v="12"/>
    <s v="Lubbock"/>
    <n v="1327774.2224038658"/>
    <n v="0"/>
    <n v="0"/>
    <n v="0"/>
    <n v="891970.21575710725"/>
    <n v="0"/>
    <n v="0"/>
    <n v="891970.21575710725"/>
    <n v="0"/>
    <n v="0"/>
    <n v="0"/>
    <n v="0"/>
    <n v="16015"/>
    <n v="16015"/>
    <n v="0"/>
    <n v="907985.21575710725"/>
    <n v="426885.26014929387"/>
    <n v="0"/>
    <n v="481099.95560781338"/>
    <n v="0"/>
    <n v="481099.95560781338"/>
    <n v="426885.26014929387"/>
    <n v="140872.13584926695"/>
    <n v="0"/>
    <n v="0"/>
    <m/>
    <n v="0"/>
    <n v="907985.21575710725"/>
    <n v="299635.12119984534"/>
    <n v="907985.21575710725"/>
    <n v="299635.12119984534"/>
    <n v="299635.12119984534"/>
    <n v="299635.12119984534"/>
    <n v="0"/>
    <n v="0"/>
    <n v="0"/>
    <n v="0"/>
    <n v="0"/>
    <n v="0"/>
    <n v="0"/>
    <n v="0"/>
    <n v="0"/>
    <n v="0"/>
    <n v="0"/>
    <n v="0"/>
    <n v="0"/>
    <n v="0"/>
    <n v="426885.26014929387"/>
    <n v="140872.13"/>
    <n v="426885.26014929387"/>
    <n v="140872.13"/>
    <n v="394109.05"/>
    <n v="130055.98"/>
    <m/>
    <n v="6.4999999885912985E-3"/>
  </r>
  <r>
    <x v="6"/>
    <s v="Denton"/>
    <n v="-6481.0956815360978"/>
    <n v="0"/>
    <n v="0"/>
    <n v="0"/>
    <n v="6220.4445234176001"/>
    <n v="0"/>
    <n v="0"/>
    <n v="6220.4445234176001"/>
    <n v="0"/>
    <n v="0"/>
    <n v="0"/>
    <n v="0"/>
    <n v="0"/>
    <n v="0"/>
    <n v="0"/>
    <n v="6220.4445234176001"/>
    <n v="2924.5146644917572"/>
    <n v="0"/>
    <n v="3295.9298589258428"/>
    <n v="0"/>
    <n v="3295.9298589258428"/>
    <n v="2924.5146644917572"/>
    <n v="965.08983928227974"/>
    <n v="0"/>
    <n v="0"/>
    <m/>
    <n v="0"/>
    <n v="6220.4445234176001"/>
    <n v="2052.7466927278078"/>
    <n v="6220.4445234176001"/>
    <n v="2052.7466927278078"/>
    <n v="2052.7466927278078"/>
    <n v="2052.7466927278078"/>
    <n v="0"/>
    <n v="0"/>
    <n v="0"/>
    <n v="0"/>
    <n v="0"/>
    <n v="0"/>
    <n v="0"/>
    <n v="0"/>
    <n v="0"/>
    <n v="0"/>
    <n v="0"/>
    <n v="0"/>
    <n v="0"/>
    <n v="0"/>
    <n v="2924.5146644917572"/>
    <n v="965.08"/>
    <n v="2924.5146644917572"/>
    <n v="965.08"/>
    <n v="2699.97"/>
    <n v="890.98"/>
    <m/>
    <n v="1.0099999999852116E-2"/>
  </r>
  <r>
    <x v="10"/>
    <s v="Liberty"/>
    <n v="523692.67191091203"/>
    <n v="0"/>
    <n v="0"/>
    <n v="0"/>
    <n v="1451432.0975021056"/>
    <n v="0"/>
    <n v="0"/>
    <n v="1451432.0975021056"/>
    <n v="0"/>
    <n v="0"/>
    <n v="0"/>
    <n v="0"/>
    <n v="0"/>
    <n v="0"/>
    <n v="0"/>
    <n v="1451432.0975021056"/>
    <n v="1354818.2817404559"/>
    <n v="0"/>
    <n v="96613.815761649748"/>
    <n v="0"/>
    <n v="96613.815761649748"/>
    <n v="1354818.2817404559"/>
    <n v="447090.03297435038"/>
    <n v="238585.33"/>
    <n v="78733.15889999998"/>
    <m/>
    <n v="0"/>
    <n v="1451432.0975021056"/>
    <n v="478972.59217569482"/>
    <n v="1212846.7675021056"/>
    <n v="400239.43327569484"/>
    <n v="400239.43327569484"/>
    <n v="478972.59217569482"/>
    <n v="0"/>
    <n v="0"/>
    <n v="0"/>
    <n v="0"/>
    <n v="0"/>
    <n v="0"/>
    <n v="0"/>
    <n v="0"/>
    <n v="0"/>
    <n v="0"/>
    <n v="0"/>
    <n v="0"/>
    <n v="0"/>
    <n v="0"/>
    <n v="1354818.2817404559"/>
    <n v="447090.03"/>
    <n v="1116232.9517404558"/>
    <n v="368356.87110000005"/>
    <n v="1030528.68"/>
    <n v="340074.46"/>
    <m/>
    <n v="4.3999999761581421E-3"/>
  </r>
  <r>
    <x v="7"/>
    <s v="Bastrop"/>
    <n v="231476.18873182722"/>
    <n v="3321428.6882129153"/>
    <n v="3085685.5324890111"/>
    <n v="235743.15572390426"/>
    <n v="1029495.7879653887"/>
    <n v="0"/>
    <n v="0"/>
    <n v="1029495.7879653887"/>
    <n v="8670"/>
    <n v="0"/>
    <n v="0"/>
    <n v="0"/>
    <n v="238798"/>
    <n v="247468"/>
    <n v="0"/>
    <n v="1276963.7879653887"/>
    <n v="600358.91484455124"/>
    <n v="0"/>
    <n v="676604.8731208375"/>
    <n v="0"/>
    <n v="676604.8731208375"/>
    <n v="600358.91484455124"/>
    <n v="198118.44189870189"/>
    <n v="466546.21"/>
    <n v="153960.2493"/>
    <m/>
    <n v="0"/>
    <n v="1276963.7879653887"/>
    <n v="421398.0500285782"/>
    <n v="810417.57796538877"/>
    <n v="267437.80072857824"/>
    <n v="267437.80072857824"/>
    <n v="421398.05002857826"/>
    <n v="0"/>
    <n v="0"/>
    <n v="0"/>
    <n v="0"/>
    <n v="0"/>
    <n v="0"/>
    <n v="0"/>
    <n v="0"/>
    <n v="0"/>
    <n v="0"/>
    <n v="0"/>
    <n v="0"/>
    <n v="0"/>
    <n v="0"/>
    <n v="600358.91484455124"/>
    <n v="198118.44"/>
    <n v="133812.70484455122"/>
    <n v="44158.190700000006"/>
    <n v="123538.58"/>
    <n v="40767.730000000003"/>
    <m/>
    <n v="1.3999999937368557E-3"/>
  </r>
  <r>
    <x v="11"/>
    <s v="El Paso"/>
    <n v="-22234197.209136192"/>
    <n v="4922197.3213027045"/>
    <n v="4005939.0959247947"/>
    <n v="916258.22537790984"/>
    <n v="4502733.2873384356"/>
    <n v="0"/>
    <n v="0"/>
    <n v="4502733.2873384356"/>
    <n v="236217"/>
    <n v="0"/>
    <n v="0"/>
    <n v="0"/>
    <n v="651184.55720601324"/>
    <n v="887401.55720601324"/>
    <n v="0"/>
    <n v="5390134.8445444489"/>
    <n v="2534148.2167575918"/>
    <n v="0"/>
    <n v="2855986.6277868571"/>
    <n v="0"/>
    <n v="2855986.6277868571"/>
    <n v="2534148.2167575918"/>
    <n v="836268.91153000516"/>
    <n v="2162592.87"/>
    <n v="713655.64709999994"/>
    <m/>
    <n v="0"/>
    <n v="5390134.8445444489"/>
    <n v="1778744.4986996679"/>
    <n v="3227541.9745444488"/>
    <n v="1065088.8515996679"/>
    <n v="1065088.8515996679"/>
    <n v="1778744.4986996679"/>
    <n v="0"/>
    <n v="0"/>
    <n v="0"/>
    <n v="0"/>
    <n v="0"/>
    <n v="0"/>
    <n v="0"/>
    <n v="0"/>
    <n v="0"/>
    <n v="0"/>
    <n v="0"/>
    <n v="0"/>
    <n v="0"/>
    <n v="0"/>
    <n v="2534148.2167575918"/>
    <n v="836268.91"/>
    <n v="371555.3467575917"/>
    <n v="122613.26290000009"/>
    <n v="343027.36"/>
    <n v="113199.03"/>
    <m/>
    <n v="-1.2000000133411959E-3"/>
  </r>
  <r>
    <x v="5"/>
    <s v="Cameron"/>
    <n v="-28568909.237365305"/>
    <n v="28448055.526189703"/>
    <n v="21394518.748861961"/>
    <n v="7053536.7773277424"/>
    <n v="24403183.534968406"/>
    <n v="0"/>
    <n v="0"/>
    <n v="24403183.534968406"/>
    <n v="1103243"/>
    <n v="0"/>
    <n v="0"/>
    <n v="0"/>
    <n v="0"/>
    <n v="1103243"/>
    <n v="0"/>
    <n v="25506426.534968406"/>
    <n v="11991734.378383916"/>
    <n v="0"/>
    <n v="13514692.15658449"/>
    <n v="0"/>
    <n v="13514692.15658449"/>
    <n v="11991734.378383916"/>
    <n v="3957272.3448666916"/>
    <n v="12483488.23"/>
    <n v="4119551.1158999996"/>
    <m/>
    <n v="0"/>
    <n v="25506426.534968406"/>
    <n v="8417120.756539572"/>
    <n v="13022938.304968406"/>
    <n v="4297569.6406395724"/>
    <n v="4297569.6406395724"/>
    <n v="8417120.756539572"/>
    <n v="0"/>
    <n v="0"/>
    <n v="0"/>
    <n v="0"/>
    <n v="0"/>
    <n v="0"/>
    <n v="0"/>
    <n v="0"/>
    <n v="0"/>
    <n v="0"/>
    <n v="0"/>
    <n v="0"/>
    <n v="0"/>
    <n v="0"/>
    <n v="11991734.378383916"/>
    <n v="3957272.34"/>
    <n v="-491753.85161608458"/>
    <n v="-162278.77589999977"/>
    <n v="0"/>
    <n v="0"/>
    <m/>
    <n v="0"/>
  </r>
  <r>
    <x v="5"/>
    <s v="Cameron"/>
    <n v="-11346707.060947821"/>
    <n v="14883653.455298161"/>
    <n v="8655691.39020909"/>
    <n v="6227962.0650890712"/>
    <n v="15941039.22227872"/>
    <n v="3524697.21"/>
    <n v="3524697.21"/>
    <n v="12416342.012278721"/>
    <n v="1220802"/>
    <n v="0"/>
    <n v="0"/>
    <n v="0"/>
    <n v="0"/>
    <n v="1220802"/>
    <n v="0"/>
    <n v="13637144.012278721"/>
    <n v="6411443.3454963649"/>
    <n v="0"/>
    <n v="7225700.6667823559"/>
    <n v="0"/>
    <n v="7225700.6667823559"/>
    <n v="6411443.3454963649"/>
    <n v="2115776.3040138003"/>
    <n v="7952247.8399999999"/>
    <n v="2624241.7871999997"/>
    <m/>
    <n v="0"/>
    <n v="13637144.012278721"/>
    <n v="4500257.5240519773"/>
    <n v="5684896.1722787209"/>
    <n v="1876015.7368519777"/>
    <n v="1876015.7368519777"/>
    <n v="4500257.5240519773"/>
    <n v="0"/>
    <n v="0"/>
    <n v="0"/>
    <n v="0"/>
    <n v="0"/>
    <n v="0"/>
    <n v="0"/>
    <n v="0"/>
    <n v="0"/>
    <n v="0"/>
    <n v="0"/>
    <n v="0"/>
    <n v="0"/>
    <n v="0"/>
    <n v="6411443.3454963649"/>
    <n v="2115776.2999999998"/>
    <n v="-1540804.494503635"/>
    <n v="-508465.48719999986"/>
    <n v="0"/>
    <n v="0"/>
    <m/>
    <n v="0"/>
  </r>
  <r>
    <x v="2"/>
    <s v="Fort Bend"/>
    <n v="5055237.9321281612"/>
    <n v="0"/>
    <n v="0"/>
    <n v="0"/>
    <n v="6011444.8451454537"/>
    <n v="0"/>
    <n v="0"/>
    <n v="6011444.8451454537"/>
    <n v="0"/>
    <n v="0"/>
    <n v="0"/>
    <n v="0"/>
    <n v="0"/>
    <n v="0"/>
    <n v="0"/>
    <n v="6011444.8451454537"/>
    <n v="2826254.3839475084"/>
    <n v="0"/>
    <n v="3185190.4611979453"/>
    <n v="0"/>
    <n v="3185190.4611979453"/>
    <n v="2826254.3839475084"/>
    <n v="932663.94670267764"/>
    <n v="2487053.29"/>
    <n v="820727.58569999994"/>
    <m/>
    <n v="0"/>
    <n v="6011444.8451454537"/>
    <n v="1983776.7988979996"/>
    <n v="3524391.5551454537"/>
    <n v="1163049.2131979996"/>
    <n v="1163049.2131979996"/>
    <n v="1983776.7988979996"/>
    <n v="0"/>
    <n v="0"/>
    <n v="0"/>
    <n v="0"/>
    <n v="0"/>
    <n v="0"/>
    <n v="0"/>
    <n v="0"/>
    <n v="0"/>
    <n v="0"/>
    <n v="0"/>
    <n v="0"/>
    <n v="0"/>
    <n v="0"/>
    <n v="2826254.3839475084"/>
    <n v="932663.94"/>
    <n v="339201.09394750837"/>
    <n v="111936.35430000001"/>
    <n v="313157.26"/>
    <n v="103341.89"/>
    <m/>
    <n v="5.799999984446913E-3"/>
  </r>
  <r>
    <x v="9"/>
    <s v="Gray"/>
    <n v="-1063843.2354808829"/>
    <n v="2244997.4637598214"/>
    <n v="400114.05397859839"/>
    <n v="1844883.4097812229"/>
    <n v="746608.1176026368"/>
    <n v="411184.6"/>
    <n v="0"/>
    <n v="746608.1176026368"/>
    <n v="0"/>
    <n v="0"/>
    <n v="0"/>
    <n v="0"/>
    <n v="0"/>
    <n v="0"/>
    <n v="0"/>
    <n v="746608.1176026368"/>
    <n v="696910.54012426024"/>
    <n v="0"/>
    <n v="49697.577478376566"/>
    <n v="0"/>
    <n v="49697.577478376566"/>
    <n v="696910.54012426024"/>
    <n v="229980.47824100585"/>
    <n v="563220.21"/>
    <n v="185862.66929999998"/>
    <m/>
    <n v="0"/>
    <n v="746608.1176026368"/>
    <n v="246380.67880887011"/>
    <n v="183387.90760263684"/>
    <n v="60518.009508870135"/>
    <n v="60518.009508870135"/>
    <n v="246380.67880887011"/>
    <n v="0"/>
    <n v="0"/>
    <n v="0"/>
    <n v="0"/>
    <n v="0"/>
    <n v="0"/>
    <n v="0"/>
    <n v="0"/>
    <n v="0"/>
    <n v="0"/>
    <n v="0"/>
    <n v="0"/>
    <n v="0"/>
    <n v="0"/>
    <n v="696910.54012426024"/>
    <n v="229980.47"/>
    <n v="133690.33012426028"/>
    <n v="44117.800700000022"/>
    <n v="123425.60000000001"/>
    <n v="40730.44"/>
    <m/>
    <n v="7.9999999943538569E-3"/>
  </r>
  <r>
    <x v="2"/>
    <s v="Wharton"/>
    <n v="-449477.11077086732"/>
    <n v="1694890.4522704857"/>
    <n v="295800.22592494084"/>
    <n v="1399090.2263455449"/>
    <n v="586277.10701038083"/>
    <n v="0"/>
    <n v="0"/>
    <n v="586277.10701038083"/>
    <n v="0"/>
    <n v="0"/>
    <n v="0"/>
    <n v="0"/>
    <n v="505593"/>
    <n v="505593"/>
    <n v="0"/>
    <n v="1091870.1070103808"/>
    <n v="1019190.346423647"/>
    <n v="0"/>
    <n v="72679.760586733813"/>
    <n v="0"/>
    <n v="72679.760586733813"/>
    <n v="1019190.346423647"/>
    <n v="336332.8143198035"/>
    <n v="508881.88"/>
    <n v="167931.02039999998"/>
    <m/>
    <n v="0"/>
    <n v="1091870.1070103808"/>
    <n v="360317.13531342562"/>
    <n v="582988.22701038083"/>
    <n v="192386.11491342564"/>
    <n v="192386.11491342564"/>
    <n v="360317.13531342562"/>
    <n v="0"/>
    <n v="0"/>
    <n v="0"/>
    <n v="0"/>
    <n v="0"/>
    <n v="0"/>
    <n v="0"/>
    <n v="0"/>
    <n v="0"/>
    <n v="0"/>
    <n v="0"/>
    <n v="0"/>
    <n v="0"/>
    <n v="0"/>
    <n v="1019190.346423647"/>
    <n v="336332.81"/>
    <n v="510308.46642364701"/>
    <n v="168401.78960000002"/>
    <n v="471127.03"/>
    <n v="155471.91"/>
    <m/>
    <n v="9.8999999754596502E-3"/>
  </r>
  <r>
    <x v="0"/>
    <s v="Bell"/>
    <n v="1116865.5864540227"/>
    <n v="0"/>
    <n v="0"/>
    <n v="0"/>
    <n v="7145585.9928918835"/>
    <n v="0"/>
    <n v="0"/>
    <n v="7145585.9928918835"/>
    <n v="1039630"/>
    <n v="0"/>
    <n v="0"/>
    <n v="0"/>
    <n v="832705.6477066949"/>
    <n v="1872335.6477066949"/>
    <n v="0"/>
    <n v="9017921.6405985784"/>
    <n v="4239736.2410168052"/>
    <n v="0"/>
    <n v="4778185.3995817732"/>
    <n v="0"/>
    <n v="4778185.3995817732"/>
    <n v="4239736.2410168052"/>
    <n v="1399112.9595355454"/>
    <n v="4212906.2300000004"/>
    <n v="1390259.0559"/>
    <m/>
    <n v="0"/>
    <n v="9017921.6405985784"/>
    <n v="2975914.1413975307"/>
    <n v="4805015.4105985779"/>
    <n v="1585655.0854975306"/>
    <n v="1585655.0854975306"/>
    <n v="2975914.1413975307"/>
    <n v="0"/>
    <n v="0"/>
    <n v="0"/>
    <n v="0"/>
    <n v="0"/>
    <n v="0"/>
    <n v="0"/>
    <n v="0"/>
    <n v="0"/>
    <n v="0"/>
    <n v="0"/>
    <n v="0"/>
    <n v="0"/>
    <n v="0"/>
    <n v="4239736.2410168052"/>
    <n v="1399112.95"/>
    <n v="26830.011016804725"/>
    <n v="8853.8940999999177"/>
    <n v="24770.01"/>
    <n v="8174.09"/>
    <m/>
    <n v="1.329999999870779E-2"/>
  </r>
  <r>
    <x v="6"/>
    <s v="Tarrant"/>
    <n v="-7490517.6645243382"/>
    <n v="17776525.222422052"/>
    <n v="9985524.3151286785"/>
    <n v="7791000.9072933737"/>
    <n v="11994428.237952385"/>
    <n v="0"/>
    <n v="0"/>
    <n v="11994428.237952385"/>
    <n v="50996"/>
    <n v="0"/>
    <n v="0"/>
    <n v="0"/>
    <n v="0"/>
    <n v="50996"/>
    <n v="0"/>
    <n v="12045424.237952385"/>
    <n v="5663103.2864773432"/>
    <n v="0"/>
    <n v="6382320.9514750419"/>
    <n v="0"/>
    <n v="6382320.9514750419"/>
    <n v="5663103.2864773432"/>
    <n v="1868824.0845375231"/>
    <n v="8346643.4299999997"/>
    <n v="2754392.3318999996"/>
    <m/>
    <n v="0"/>
    <n v="12045424.237952385"/>
    <n v="3974989.9985242868"/>
    <n v="3698780.8079523854"/>
    <n v="1220597.6666242871"/>
    <n v="1220597.6666242871"/>
    <n v="3974989.9985242868"/>
    <n v="0"/>
    <n v="0"/>
    <n v="0"/>
    <n v="0"/>
    <n v="0"/>
    <n v="0"/>
    <n v="0"/>
    <n v="0"/>
    <n v="0"/>
    <n v="0"/>
    <n v="0"/>
    <n v="0"/>
    <n v="0"/>
    <n v="0"/>
    <n v="5663103.2864773432"/>
    <n v="1868824.08"/>
    <n v="-2683540.1435226565"/>
    <n v="-885568.25189999957"/>
    <n v="0"/>
    <n v="0"/>
    <m/>
    <n v="0"/>
  </r>
  <r>
    <x v="4"/>
    <s v="Collin"/>
    <n v="1377905.4964471557"/>
    <n v="0"/>
    <n v="0"/>
    <n v="0"/>
    <n v="10329571.97212434"/>
    <n v="0"/>
    <n v="0"/>
    <n v="10329571.97212434"/>
    <n v="0"/>
    <n v="0"/>
    <n v="0"/>
    <n v="0"/>
    <n v="0"/>
    <n v="0"/>
    <n v="0"/>
    <n v="10329571.97212434"/>
    <n v="4856402.8819283526"/>
    <n v="0"/>
    <n v="5473169.0901959874"/>
    <n v="0"/>
    <n v="5473169.0901959874"/>
    <n v="4856402.8819283526"/>
    <n v="1602612.9510363562"/>
    <n v="3320836.77"/>
    <n v="1095876.1340999999"/>
    <m/>
    <n v="0"/>
    <n v="10329571.97212434"/>
    <n v="3408758.7508010319"/>
    <n v="7008735.2021243405"/>
    <n v="2312882.616701032"/>
    <n v="2312882.616701032"/>
    <n v="3408758.7508010319"/>
    <n v="0"/>
    <n v="0"/>
    <n v="0"/>
    <n v="0"/>
    <n v="0"/>
    <n v="0"/>
    <n v="0"/>
    <n v="0"/>
    <n v="0"/>
    <n v="0"/>
    <n v="0"/>
    <n v="0"/>
    <n v="0"/>
    <n v="0"/>
    <n v="4856402.8819283526"/>
    <n v="1602612.95"/>
    <n v="1535566.1119283526"/>
    <n v="506736.81590000005"/>
    <n v="1417665.48"/>
    <n v="467829.61"/>
    <m/>
    <n v="-1.6000000759959221E-3"/>
  </r>
  <r>
    <x v="4"/>
    <s v="Dallas"/>
    <n v="22977992.30890635"/>
    <n v="10781271.089252222"/>
    <n v="9269908.598077694"/>
    <n v="1511362.4911745284"/>
    <n v="9252089.4211488981"/>
    <n v="888023.38"/>
    <n v="0"/>
    <n v="9252089.4211488981"/>
    <n v="0"/>
    <n v="0"/>
    <n v="0"/>
    <n v="0"/>
    <n v="3682182"/>
    <n v="3682182"/>
    <n v="0"/>
    <n v="12934271.421148898"/>
    <n v="6080990.8846971281"/>
    <n v="0"/>
    <n v="6853280.53645177"/>
    <n v="0"/>
    <n v="6853280.53645177"/>
    <n v="6080990.8846971281"/>
    <n v="2006726.9919500521"/>
    <n v="5909509.3700000001"/>
    <n v="1950138.0920999998"/>
    <m/>
    <n v="0"/>
    <n v="12934271.421148898"/>
    <n v="4268309.5689791357"/>
    <n v="7024762.051148898"/>
    <n v="2318171.4768791357"/>
    <n v="2318171.4768791357"/>
    <n v="4268309.5689791357"/>
    <n v="0"/>
    <n v="0"/>
    <n v="0"/>
    <n v="0"/>
    <n v="0"/>
    <n v="0"/>
    <n v="0"/>
    <n v="0"/>
    <n v="0"/>
    <n v="0"/>
    <n v="0"/>
    <n v="0"/>
    <n v="0"/>
    <n v="0"/>
    <n v="6080990.8846971281"/>
    <n v="2006726.99"/>
    <n v="171481.51469712798"/>
    <n v="56588.897900000215"/>
    <n v="158315.18"/>
    <n v="52244.01"/>
    <m/>
    <n v="-6.0000001394655555E-4"/>
  </r>
  <r>
    <x v="12"/>
    <s v="Swisher"/>
    <n v="-14727.011645875207"/>
    <n v="0"/>
    <n v="0"/>
    <n v="0"/>
    <n v="618267.09626393602"/>
    <n v="0"/>
    <n v="0"/>
    <n v="618267.09626393602"/>
    <n v="0"/>
    <n v="0"/>
    <n v="0"/>
    <n v="0"/>
    <n v="0"/>
    <n v="0"/>
    <n v="0"/>
    <n v="618267.09626393602"/>
    <n v="577112.4715090238"/>
    <n v="0"/>
    <n v="41154.62475491222"/>
    <n v="0"/>
    <n v="41154.62475491222"/>
    <n v="577112.4715090238"/>
    <n v="190447.11559797783"/>
    <n v="275294.40000000002"/>
    <n v="90847.152000000002"/>
    <m/>
    <n v="0"/>
    <n v="618267.09626393602"/>
    <n v="204028.14176709886"/>
    <n v="342972.696263936"/>
    <n v="113180.98976709886"/>
    <n v="113180.98976709886"/>
    <n v="204028.14176709886"/>
    <n v="0"/>
    <n v="0"/>
    <n v="0"/>
    <n v="0"/>
    <n v="0"/>
    <n v="0"/>
    <n v="0"/>
    <n v="0"/>
    <n v="0"/>
    <n v="0"/>
    <n v="0"/>
    <n v="0"/>
    <n v="0"/>
    <n v="0"/>
    <n v="577112.4715090238"/>
    <n v="190447.11"/>
    <n v="301818.07150902378"/>
    <n v="99599.957999999984"/>
    <n v="278644.51"/>
    <n v="91952.68"/>
    <m/>
    <n v="8.3000000013271347E-3"/>
  </r>
  <r>
    <x v="6"/>
    <s v="Tarrant"/>
    <n v="-371921.83450896206"/>
    <n v="6561098.6141706556"/>
    <n v="3541118.1391146919"/>
    <n v="3019980.4750559637"/>
    <n v="8252692.2776004253"/>
    <n v="0"/>
    <n v="0"/>
    <n v="8252692.2776004253"/>
    <n v="0"/>
    <n v="0"/>
    <n v="0"/>
    <n v="0"/>
    <n v="0"/>
    <n v="0"/>
    <n v="0"/>
    <n v="8252692.2776004253"/>
    <n v="3879967.0178748174"/>
    <n v="0"/>
    <n v="4372725.2597256079"/>
    <n v="0"/>
    <n v="4372725.2597256079"/>
    <n v="3879967.0178748174"/>
    <n v="1280389.1158986895"/>
    <n v="2793058.03"/>
    <n v="921709.14989999984"/>
    <m/>
    <n v="0"/>
    <n v="8252692.2776004253"/>
    <n v="2723388.45160814"/>
    <n v="5459634.247600425"/>
    <n v="1801679.3017081402"/>
    <n v="1801679.3017081402"/>
    <n v="2723388.45160814"/>
    <n v="0"/>
    <n v="0"/>
    <n v="0"/>
    <n v="0"/>
    <n v="0"/>
    <n v="0"/>
    <n v="0"/>
    <n v="0"/>
    <n v="0"/>
    <n v="0"/>
    <n v="0"/>
    <n v="0"/>
    <n v="0"/>
    <n v="0"/>
    <n v="3879967.0178748174"/>
    <n v="1280389.1100000001"/>
    <n v="1086908.9878748176"/>
    <n v="358679.96010000026"/>
    <n v="1003456.21"/>
    <n v="331140.53999999998"/>
    <m/>
    <n v="9.2999999760650098E-3"/>
  </r>
  <r>
    <x v="9"/>
    <s v="Coleman"/>
    <n v="541139.35043786233"/>
    <n v="962595.64731335908"/>
    <n v="957462.33756149758"/>
    <n v="5133.3097518614959"/>
    <n v="957462.33756149758"/>
    <n v="111656.39"/>
    <n v="0"/>
    <n v="957462.33756149758"/>
    <n v="0"/>
    <n v="0"/>
    <n v="0"/>
    <n v="0"/>
    <n v="0"/>
    <n v="0"/>
    <n v="0"/>
    <n v="957462.33756149758"/>
    <n v="893729.35960194748"/>
    <n v="0"/>
    <n v="63732.977959550102"/>
    <n v="0"/>
    <n v="63732.977959550102"/>
    <n v="893729.35960194748"/>
    <n v="294930.68866864266"/>
    <n v="453646.62"/>
    <n v="149703.38459999999"/>
    <m/>
    <n v="0"/>
    <n v="957462.33756149758"/>
    <n v="315962.57139529416"/>
    <n v="503815.71756149759"/>
    <n v="166259.18679529417"/>
    <n v="166259.18679529417"/>
    <n v="315962.57139529416"/>
    <n v="0"/>
    <n v="0"/>
    <n v="0"/>
    <n v="0"/>
    <n v="0"/>
    <n v="0"/>
    <n v="0"/>
    <n v="0"/>
    <n v="0"/>
    <n v="0"/>
    <n v="0"/>
    <n v="0"/>
    <n v="0"/>
    <n v="0"/>
    <n v="893729.35960194748"/>
    <n v="294930.68"/>
    <n v="440082.73960194748"/>
    <n v="145227.2954"/>
    <n v="406293.22"/>
    <n v="134076.76"/>
    <m/>
    <n v="2.5999999779742211E-3"/>
  </r>
  <r>
    <x v="12"/>
    <s v="Potter"/>
    <n v="5819776.1934338436"/>
    <n v="23864513.546134237"/>
    <n v="14132613.339786565"/>
    <n v="9731900.2063476723"/>
    <n v="19416087.60875567"/>
    <n v="5555444.9800000004"/>
    <n v="0"/>
    <n v="19416087.60875567"/>
    <n v="5037696"/>
    <n v="0"/>
    <n v="0"/>
    <n v="0"/>
    <n v="6099886.3455435289"/>
    <n v="11137582.34554353"/>
    <n v="0"/>
    <n v="30553669.9542992"/>
    <n v="14364673.697997471"/>
    <n v="0"/>
    <n v="16188996.256301729"/>
    <n v="0"/>
    <n v="16188996.256301729"/>
    <n v="14364673.697997471"/>
    <n v="4740342.3203391647"/>
    <n v="13235051.939999999"/>
    <n v="4367567.1401999993"/>
    <m/>
    <n v="0"/>
    <n v="30553669.9542992"/>
    <n v="10082711.084918736"/>
    <n v="17318618.014299199"/>
    <n v="5715143.9447187362"/>
    <n v="5715143.9447187362"/>
    <n v="10082711.084918736"/>
    <n v="0"/>
    <n v="0"/>
    <n v="0"/>
    <n v="0"/>
    <n v="0"/>
    <n v="0"/>
    <n v="0"/>
    <n v="0"/>
    <n v="0"/>
    <n v="0"/>
    <n v="0"/>
    <n v="0"/>
    <n v="0"/>
    <n v="0"/>
    <n v="14364673.697997471"/>
    <n v="4740342.32"/>
    <n v="1129621.7579974718"/>
    <n v="372775.17980000097"/>
    <n v="1042889.5"/>
    <n v="344153.53"/>
    <m/>
    <n v="4.999999946448952E-3"/>
  </r>
  <r>
    <x v="9"/>
    <s v="McCulloch"/>
    <n v="739179.10663797753"/>
    <n v="1317992.6842719826"/>
    <n v="570464.29115235829"/>
    <n v="747528.39311962435"/>
    <n v="1281926.6380634112"/>
    <n v="89773.25"/>
    <n v="0"/>
    <n v="1281926.6380634112"/>
    <n v="19654"/>
    <n v="0"/>
    <n v="0"/>
    <n v="0"/>
    <n v="0"/>
    <n v="19654"/>
    <n v="0"/>
    <n v="1301580.6380634112"/>
    <n v="1214941.6060472361"/>
    <n v="0"/>
    <n v="86639.032016175101"/>
    <n v="0"/>
    <n v="86639.032016175101"/>
    <n v="1214941.6060472361"/>
    <n v="400930.7299955879"/>
    <n v="247312.64000000001"/>
    <n v="81613.171199999997"/>
    <m/>
    <n v="0"/>
    <n v="1301580.6380634112"/>
    <n v="429521.61056092568"/>
    <n v="1054267.9980634111"/>
    <n v="347908.43936092569"/>
    <n v="347908.43936092569"/>
    <n v="429521.61056092568"/>
    <n v="0"/>
    <n v="0"/>
    <n v="0"/>
    <n v="0"/>
    <n v="0"/>
    <n v="0"/>
    <n v="0"/>
    <n v="0"/>
    <n v="0"/>
    <n v="0"/>
    <n v="0"/>
    <n v="0"/>
    <n v="0"/>
    <n v="0"/>
    <n v="1214941.6060472361"/>
    <n v="400930.72"/>
    <n v="967628.96604723611"/>
    <n v="319317.54879999999"/>
    <n v="893334.5"/>
    <n v="294800.37"/>
    <m/>
    <n v="1.4999999955762178E-2"/>
  </r>
  <r>
    <x v="0"/>
    <s v="Brazos"/>
    <n v="-181554.27681458805"/>
    <n v="8216057.5560155623"/>
    <n v="4906826.7231715564"/>
    <n v="3309230.8328440059"/>
    <n v="8048960.4468828375"/>
    <n v="0"/>
    <n v="0"/>
    <n v="8048960.4468828375"/>
    <n v="701365.35000000009"/>
    <n v="0"/>
    <n v="0"/>
    <n v="0"/>
    <n v="0"/>
    <n v="701365.35000000009"/>
    <n v="0"/>
    <n v="8750325.796882838"/>
    <n v="4113927.230718975"/>
    <n v="0"/>
    <n v="4636398.5661638631"/>
    <n v="0"/>
    <n v="4636398.5661638631"/>
    <n v="4113927.230718975"/>
    <n v="1357595.9861372616"/>
    <n v="2901305.91"/>
    <n v="957430.95029999991"/>
    <m/>
    <n v="0"/>
    <n v="8750325.796882838"/>
    <n v="2887607.512971336"/>
    <n v="5849019.8868828379"/>
    <n v="1930176.5626713361"/>
    <n v="1930176.5626713361"/>
    <n v="2887607.512971336"/>
    <n v="0"/>
    <n v="0"/>
    <n v="0"/>
    <n v="0"/>
    <n v="0"/>
    <n v="0"/>
    <n v="0"/>
    <n v="0"/>
    <n v="0"/>
    <n v="0"/>
    <n v="0"/>
    <n v="0"/>
    <n v="0"/>
    <n v="0"/>
    <n v="4113927.230718975"/>
    <n v="1357595.98"/>
    <n v="1212621.3207189748"/>
    <n v="400165.02970000007"/>
    <n v="1119516.3600000001"/>
    <n v="369440.39"/>
    <m/>
    <n v="8.7999999523162842E-3"/>
  </r>
  <r>
    <x v="6"/>
    <s v="Denton"/>
    <n v="199663.27456588796"/>
    <n v="0"/>
    <n v="0"/>
    <n v="0"/>
    <n v="879478.21616148483"/>
    <n v="0"/>
    <n v="0"/>
    <n v="879478.21616148483"/>
    <n v="0"/>
    <n v="0"/>
    <n v="0"/>
    <n v="0"/>
    <n v="0"/>
    <n v="0"/>
    <n v="0"/>
    <n v="879478.21616148483"/>
    <n v="413482.8195288197"/>
    <n v="0"/>
    <n v="465995.39663266513"/>
    <n v="0"/>
    <n v="465995.39663266513"/>
    <n v="413482.8195288197"/>
    <n v="136449.33044451047"/>
    <n v="437931.42"/>
    <n v="144517.36859999999"/>
    <m/>
    <n v="0"/>
    <n v="879478.21616148483"/>
    <n v="290227.81133328995"/>
    <n v="441546.79616148485"/>
    <n v="145710.44273328996"/>
    <n v="145710.44273328996"/>
    <n v="290227.81133328995"/>
    <n v="0"/>
    <n v="0"/>
    <n v="0"/>
    <n v="0"/>
    <n v="0"/>
    <n v="0"/>
    <n v="0"/>
    <n v="0"/>
    <n v="0"/>
    <n v="0"/>
    <n v="0"/>
    <n v="0"/>
    <n v="0"/>
    <n v="0"/>
    <n v="413482.8195288197"/>
    <n v="136449.32999999999"/>
    <n v="-24448.600471180282"/>
    <n v="-8068.0385999999999"/>
    <n v="0"/>
    <n v="0"/>
    <m/>
    <n v="0"/>
  </r>
  <r>
    <x v="8"/>
    <s v="Fannin"/>
    <n v="623349.75171159045"/>
    <n v="1718993.4997129643"/>
    <n v="0"/>
    <n v="1718993.4997129643"/>
    <n v="1382878.6202611967"/>
    <n v="0"/>
    <n v="0"/>
    <n v="1382878.6202611967"/>
    <n v="0"/>
    <n v="0"/>
    <n v="0"/>
    <n v="0"/>
    <n v="53763"/>
    <n v="53763"/>
    <n v="0"/>
    <n v="1436641.6202611967"/>
    <n v="1341012.3248540566"/>
    <n v="0"/>
    <n v="95629.295407140162"/>
    <n v="0"/>
    <n v="95629.295407140162"/>
    <n v="1341012.3248540566"/>
    <n v="442534.0672018386"/>
    <n v="937665.99"/>
    <n v="309429.77669999999"/>
    <m/>
    <n v="0"/>
    <n v="1436641.6202611967"/>
    <n v="474091.73468619486"/>
    <n v="498975.63026119675"/>
    <n v="164661.95798619487"/>
    <n v="164661.95798619487"/>
    <n v="474091.73468619486"/>
    <n v="0"/>
    <n v="0"/>
    <n v="0"/>
    <n v="0"/>
    <n v="0"/>
    <n v="0"/>
    <n v="0"/>
    <n v="0"/>
    <n v="0"/>
    <n v="0"/>
    <n v="0"/>
    <n v="0"/>
    <n v="0"/>
    <n v="0"/>
    <n v="1341012.3248540566"/>
    <n v="442534.06"/>
    <n v="403346.33485405659"/>
    <n v="133104.28330000001"/>
    <n v="372377.44"/>
    <n v="122884.55"/>
    <m/>
    <n v="5.1999999850522727E-3"/>
  </r>
  <r>
    <x v="7"/>
    <s v="Travis"/>
    <n v="-944068.00211251131"/>
    <n v="0"/>
    <n v="0"/>
    <n v="0"/>
    <n v="32568.245003127071"/>
    <n v="0"/>
    <n v="0"/>
    <n v="32568.245003127071"/>
    <n v="0"/>
    <n v="0"/>
    <n v="0"/>
    <n v="0"/>
    <n v="0"/>
    <n v="0"/>
    <n v="0"/>
    <n v="32568.245003127071"/>
    <n v="15311.817306599152"/>
    <n v="0"/>
    <n v="17256.42769652792"/>
    <n v="0"/>
    <n v="17256.42769652792"/>
    <n v="15311.817306599152"/>
    <n v="5052.8997111777198"/>
    <n v="5249.59"/>
    <n v="1732.3646999999999"/>
    <m/>
    <n v="0"/>
    <n v="32568.245003127071"/>
    <n v="10747.520851031932"/>
    <n v="27318.655003127071"/>
    <n v="9015.1561510319316"/>
    <n v="9015.1561510319316"/>
    <n v="10747.520851031932"/>
    <n v="0"/>
    <n v="0"/>
    <n v="0"/>
    <n v="0"/>
    <n v="0"/>
    <n v="0"/>
    <n v="0"/>
    <n v="0"/>
    <n v="0"/>
    <n v="0"/>
    <n v="0"/>
    <n v="0"/>
    <n v="0"/>
    <n v="0"/>
    <n v="15311.817306599152"/>
    <n v="5052.8900000000003"/>
    <n v="10062.227306599152"/>
    <n v="3320.5253000000002"/>
    <n v="9289.65"/>
    <n v="3065.58"/>
    <m/>
    <n v="4.4999999995525286E-3"/>
  </r>
  <r>
    <x v="4"/>
    <s v="Dallas"/>
    <n v="133439.47425625485"/>
    <n v="2172016.0943839615"/>
    <n v="310547.52227807319"/>
    <n v="1861468.5721058883"/>
    <n v="424946.60777993058"/>
    <n v="0"/>
    <n v="0"/>
    <n v="424946.60777993058"/>
    <n v="14788"/>
    <n v="0"/>
    <n v="0"/>
    <n v="0"/>
    <n v="0"/>
    <n v="14788"/>
    <n v="0"/>
    <n v="439734.60777993058"/>
    <n v="206739.29396775423"/>
    <n v="0"/>
    <n v="232995.31381217635"/>
    <n v="0"/>
    <n v="232995.31381217635"/>
    <n v="206739.29396775423"/>
    <n v="68223.967009358894"/>
    <n v="156301.37"/>
    <n v="51579.452099999995"/>
    <m/>
    <n v="0"/>
    <n v="439734.60777993058"/>
    <n v="145112.42056737706"/>
    <n v="283433.23777993058"/>
    <n v="93532.968467377068"/>
    <n v="93532.968467377068"/>
    <n v="145112.42056737706"/>
    <n v="0"/>
    <n v="0"/>
    <n v="0"/>
    <n v="0"/>
    <n v="0"/>
    <n v="0"/>
    <n v="0"/>
    <n v="0"/>
    <n v="0"/>
    <n v="0"/>
    <n v="0"/>
    <n v="0"/>
    <n v="0"/>
    <n v="0"/>
    <n v="206739.29396775423"/>
    <n v="68223.960000000006"/>
    <n v="50437.923967754235"/>
    <n v="16644.507900000011"/>
    <n v="46565.3"/>
    <n v="15366.54"/>
    <m/>
    <n v="8.9999999981955625E-3"/>
  </r>
  <r>
    <x v="2"/>
    <s v="Harris"/>
    <n v="1609305.6269763056"/>
    <n v="0"/>
    <n v="0"/>
    <n v="0"/>
    <n v="13446981.469538677"/>
    <n v="0"/>
    <n v="0"/>
    <n v="13446981.469538677"/>
    <n v="0"/>
    <n v="0"/>
    <n v="0"/>
    <n v="0"/>
    <n v="599347.23147813324"/>
    <n v="599347.23147813324"/>
    <n v="0"/>
    <n v="14046328.70101681"/>
    <n v="6603819.7292411355"/>
    <n v="0"/>
    <n v="7442508.9717756743"/>
    <n v="0"/>
    <n v="7442508.9717756743"/>
    <n v="6603819.7292411355"/>
    <n v="2179260.5106495745"/>
    <n v="5862117.6100000003"/>
    <n v="1934498.8112999999"/>
    <m/>
    <n v="0"/>
    <n v="14046328.70101681"/>
    <n v="4635288.471335547"/>
    <n v="8184211.0910168095"/>
    <n v="2700789.6600355469"/>
    <n v="2700789.6600355469"/>
    <n v="4635288.471335547"/>
    <n v="0"/>
    <n v="0"/>
    <n v="0"/>
    <n v="0"/>
    <n v="0"/>
    <n v="0"/>
    <n v="0"/>
    <n v="0"/>
    <n v="0"/>
    <n v="0"/>
    <n v="0"/>
    <n v="0"/>
    <n v="0"/>
    <n v="0"/>
    <n v="6603819.7292411355"/>
    <n v="2179260.5099999998"/>
    <n v="741702.11924113519"/>
    <n v="244761.69869999983"/>
    <n v="684754.29"/>
    <n v="225968.92"/>
    <m/>
    <n v="-4.3000000296160579E-3"/>
  </r>
  <r>
    <x v="9"/>
    <s v="Midland"/>
    <n v="16012.31764769268"/>
    <n v="4691026.4114979925"/>
    <n v="0"/>
    <n v="4691026.4114979925"/>
    <n v="0"/>
    <n v="1794094.88"/>
    <n v="0"/>
    <n v="0"/>
    <n v="0"/>
    <n v="0"/>
    <n v="73481"/>
    <n v="0"/>
    <n v="81450.164664068201"/>
    <n v="154931.1646640682"/>
    <n v="0"/>
    <n v="154931.1646640682"/>
    <n v="72840.206409865365"/>
    <n v="0"/>
    <n v="82090.958254202837"/>
    <n v="0"/>
    <n v="82090.958254202837"/>
    <n v="72840.206409865365"/>
    <n v="24037.268115255567"/>
    <n v="55060.81"/>
    <n v="18170.067299999999"/>
    <m/>
    <n v="0"/>
    <n v="154931.1646640682"/>
    <n v="51127.284339142498"/>
    <n v="99870.354664068203"/>
    <n v="32957.217039142502"/>
    <n v="32957.217039142502"/>
    <n v="51127.284339142498"/>
    <n v="0"/>
    <n v="0"/>
    <n v="0"/>
    <n v="0"/>
    <n v="0"/>
    <n v="0"/>
    <n v="0"/>
    <n v="0"/>
    <n v="0"/>
    <n v="0"/>
    <n v="0"/>
    <n v="0"/>
    <n v="0"/>
    <n v="0"/>
    <n v="72840.206409865365"/>
    <n v="24037.26"/>
    <n v="17779.396409865367"/>
    <n v="5867.1926999999996"/>
    <n v="16414.3"/>
    <n v="5416.71"/>
    <m/>
    <n v="8.9999999991050572E-3"/>
  </r>
  <r>
    <x v="9"/>
    <s v="Stephens"/>
    <n v="249150.27338557437"/>
    <n v="0"/>
    <n v="0"/>
    <n v="0"/>
    <n v="2295894.7842797567"/>
    <n v="0"/>
    <n v="0"/>
    <n v="2295894.7842797567"/>
    <n v="0"/>
    <n v="0"/>
    <n v="0"/>
    <n v="0"/>
    <n v="0"/>
    <n v="0"/>
    <n v="0"/>
    <n v="2295894.7842797567"/>
    <n v="2143069.753003214"/>
    <n v="0"/>
    <n v="152825.03127654269"/>
    <n v="0"/>
    <n v="152825.03127654269"/>
    <n v="2143069.753003214"/>
    <n v="707213.01849106059"/>
    <n v="394249.73"/>
    <n v="130102.41089999997"/>
    <m/>
    <n v="0"/>
    <n v="2295894.7842797567"/>
    <n v="757645.27881231962"/>
    <n v="1901645.0542797567"/>
    <n v="627542.86791231961"/>
    <n v="627542.86791231961"/>
    <n v="757645.27881231962"/>
    <n v="0"/>
    <n v="0"/>
    <n v="0"/>
    <n v="0"/>
    <n v="0"/>
    <n v="0"/>
    <n v="0"/>
    <n v="0"/>
    <n v="0"/>
    <n v="0"/>
    <n v="0"/>
    <n v="0"/>
    <n v="0"/>
    <n v="0"/>
    <n v="2143069.753003214"/>
    <n v="707213.01"/>
    <n v="1748820.023003214"/>
    <n v="577110.59909999999"/>
    <n v="1614545.77"/>
    <n v="532800.1"/>
    <m/>
    <n v="4.1000000201165676E-3"/>
  </r>
  <r>
    <x v="2"/>
    <s v="Harris"/>
    <n v="2685708.0005996712"/>
    <n v="0"/>
    <n v="0"/>
    <n v="0"/>
    <n v="5892694.1230210261"/>
    <n v="0"/>
    <n v="0"/>
    <n v="5892694.1230210261"/>
    <n v="0"/>
    <n v="0"/>
    <n v="0"/>
    <n v="0"/>
    <n v="0"/>
    <n v="0"/>
    <n v="0"/>
    <n v="5892694.1230210261"/>
    <n v="2770424.2536466164"/>
    <n v="0"/>
    <n v="3122269.8693744098"/>
    <n v="0"/>
    <n v="3122269.8693744098"/>
    <n v="2770424.2536466164"/>
    <n v="914240.00370338326"/>
    <n v="2255774.9300000002"/>
    <n v="744405.72690000001"/>
    <m/>
    <n v="0"/>
    <n v="5892694.1230210261"/>
    <n v="1944589.0605969385"/>
    <n v="3636919.193021026"/>
    <n v="1200183.3336969386"/>
    <n v="1200183.3336969386"/>
    <n v="1944589.0605969387"/>
    <n v="0"/>
    <n v="0"/>
    <n v="0"/>
    <n v="0"/>
    <n v="0"/>
    <n v="0"/>
    <n v="0"/>
    <n v="0"/>
    <n v="0"/>
    <n v="0"/>
    <n v="0"/>
    <n v="0"/>
    <n v="0"/>
    <n v="0"/>
    <n v="2770424.2536466164"/>
    <n v="914240"/>
    <n v="514649.32364661619"/>
    <n v="169834.27309999999"/>
    <n v="475134.59"/>
    <n v="156794.41"/>
    <m/>
    <n v="4.6999999904073775E-3"/>
  </r>
  <r>
    <x v="3"/>
    <s v="Comal"/>
    <n v="368623.47756881971"/>
    <n v="8816469.7527748644"/>
    <n v="6446817.2416884992"/>
    <n v="2369652.5110863652"/>
    <n v="7691884.5257332735"/>
    <n v="0"/>
    <n v="0"/>
    <n v="7691884.5257332735"/>
    <n v="395516"/>
    <n v="0"/>
    <n v="0"/>
    <n v="0"/>
    <n v="0"/>
    <n v="395516"/>
    <n v="0"/>
    <n v="8087400.5257332735"/>
    <n v="3802255.8269084468"/>
    <n v="0"/>
    <n v="4285144.6988248266"/>
    <n v="0"/>
    <n v="4285144.6988248266"/>
    <n v="3802255.8269084468"/>
    <n v="1254744.4228797874"/>
    <n v="2706934.3"/>
    <n v="893288.31899999978"/>
    <m/>
    <n v="0"/>
    <n v="8087400.5257332735"/>
    <n v="2668842.1734919799"/>
    <n v="5380466.2257332737"/>
    <n v="1775553.8544919803"/>
    <n v="1775553.8544919803"/>
    <n v="2668842.1734919799"/>
    <n v="0"/>
    <n v="0"/>
    <n v="0"/>
    <n v="0"/>
    <n v="0"/>
    <n v="0"/>
    <n v="0"/>
    <n v="0"/>
    <n v="0"/>
    <n v="0"/>
    <n v="0"/>
    <n v="0"/>
    <n v="0"/>
    <n v="0"/>
    <n v="3802255.8269084468"/>
    <n v="1254744.42"/>
    <n v="1095321.526908447"/>
    <n v="361456.10100000014"/>
    <n v="1011222.83"/>
    <n v="333703.53000000003"/>
    <m/>
    <n v="3.8999998942017555E-3"/>
  </r>
  <r>
    <x v="7"/>
    <s v="Williamson"/>
    <n v="-744287.40120310173"/>
    <n v="1294116.5268621261"/>
    <n v="108314.34010912295"/>
    <n v="1185802.1867530032"/>
    <n v="138294.85594053662"/>
    <n v="534734.24999999988"/>
    <n v="93219.464450098341"/>
    <n v="45075.391490438284"/>
    <n v="8099"/>
    <n v="0"/>
    <n v="0"/>
    <n v="0"/>
    <n v="0"/>
    <n v="8099"/>
    <n v="0"/>
    <n v="53174.391490438284"/>
    <n v="24999.706548909704"/>
    <n v="0"/>
    <n v="28174.68494152858"/>
    <n v="0"/>
    <n v="28174.68494152858"/>
    <n v="24999.706548909704"/>
    <n v="8249.9031611402006"/>
    <n v="53174.39"/>
    <n v="17547.548699999999"/>
    <m/>
    <n v="0"/>
    <n v="53174.391490438284"/>
    <n v="17547.549191844631"/>
    <n v="1.4904382842360064E-3"/>
    <n v="4.918446320516523E-4"/>
    <n v="4.918446320516523E-4"/>
    <n v="17547.549191844631"/>
    <n v="0"/>
    <n v="0"/>
    <n v="0"/>
    <n v="0"/>
    <n v="0"/>
    <n v="0"/>
    <n v="0"/>
    <n v="0"/>
    <n v="0"/>
    <n v="0"/>
    <n v="0"/>
    <n v="0"/>
    <n v="0"/>
    <n v="0"/>
    <n v="24999.706548909704"/>
    <n v="8249.9"/>
    <n v="-28174.683451090295"/>
    <n v="-9297.6486999999997"/>
    <n v="0"/>
    <n v="0"/>
    <m/>
    <n v="0"/>
  </r>
  <r>
    <x v="9"/>
    <s v="Young"/>
    <n v="593264.7785969408"/>
    <n v="542224.86547414714"/>
    <n v="-5663.0319513599998"/>
    <n v="547887.8974255072"/>
    <n v="710205.69315422722"/>
    <n v="368696.63"/>
    <n v="0"/>
    <n v="710205.69315422722"/>
    <n v="0"/>
    <n v="0"/>
    <n v="0"/>
    <n v="0"/>
    <n v="0"/>
    <n v="0"/>
    <n v="0"/>
    <n v="710205.69315422722"/>
    <n v="662931.22395283356"/>
    <n v="0"/>
    <n v="47274.469201393658"/>
    <n v="0"/>
    <n v="47274.469201393658"/>
    <n v="662931.22395283356"/>
    <n v="218767.30390443504"/>
    <n v="609917.74"/>
    <n v="201272.85419999997"/>
    <m/>
    <n v="0"/>
    <n v="710205.69315422722"/>
    <n v="234367.87874089496"/>
    <n v="100287.95315422723"/>
    <n v="33095.024540894985"/>
    <n v="33095.024540894985"/>
    <n v="234367.87874089496"/>
    <n v="0"/>
    <n v="0"/>
    <n v="0"/>
    <n v="0"/>
    <n v="0"/>
    <n v="0"/>
    <n v="0"/>
    <n v="0"/>
    <n v="0"/>
    <n v="0"/>
    <n v="0"/>
    <n v="0"/>
    <n v="0"/>
    <n v="0"/>
    <n v="662931.22395283356"/>
    <n v="218767.3"/>
    <n v="53013.483952833572"/>
    <n v="17494.445800000016"/>
    <n v="48943.11"/>
    <n v="16151.22"/>
    <m/>
    <n v="6.2999999991006916E-3"/>
  </r>
  <r>
    <x v="2"/>
    <s v="Harris"/>
    <n v="-528111.60381936596"/>
    <n v="1261122.8057743846"/>
    <n v="174867.09506569899"/>
    <n v="1086255.7107086857"/>
    <n v="211800.44886590383"/>
    <n v="0"/>
    <n v="0"/>
    <n v="211800.44886590383"/>
    <n v="8891"/>
    <n v="0"/>
    <n v="0"/>
    <n v="0"/>
    <n v="0"/>
    <n v="8891"/>
    <n v="0"/>
    <n v="220691.44886590383"/>
    <n v="103757.11512360988"/>
    <n v="0"/>
    <n v="116934.33374229395"/>
    <n v="0"/>
    <n v="116934.33374229395"/>
    <n v="103757.11512360988"/>
    <n v="34239.847990791255"/>
    <n v="69028.350000000006"/>
    <n v="22779.355499999998"/>
    <m/>
    <n v="0"/>
    <n v="220691.44886590383"/>
    <n v="72828.178125748251"/>
    <n v="151663.09886590383"/>
    <n v="50048.822625748253"/>
    <n v="50048.822625748253"/>
    <n v="72828.178125748251"/>
    <n v="0"/>
    <n v="0"/>
    <n v="0"/>
    <n v="0"/>
    <n v="0"/>
    <n v="0"/>
    <n v="0"/>
    <n v="0"/>
    <n v="0"/>
    <n v="0"/>
    <n v="0"/>
    <n v="0"/>
    <n v="0"/>
    <n v="0"/>
    <n v="103757.11512360988"/>
    <n v="34239.839999999997"/>
    <n v="34728.765123609875"/>
    <n v="11460.484499999999"/>
    <n v="32062.29"/>
    <n v="10580.55"/>
    <m/>
    <n v="5.6999999997060513E-3"/>
  </r>
  <r>
    <x v="3"/>
    <s v="Bexar"/>
    <n v="-1061863.976082922"/>
    <n v="1246183.2951129652"/>
    <n v="154729.08236623832"/>
    <n v="1091454.2127467268"/>
    <n v="210661.16527397159"/>
    <n v="184319.31999999995"/>
    <n v="154729.08333619498"/>
    <n v="55932.081937776617"/>
    <n v="12646"/>
    <n v="0"/>
    <n v="0"/>
    <n v="0"/>
    <n v="0"/>
    <n v="12646"/>
    <n v="0"/>
    <n v="68578.081937776617"/>
    <n v="32241.683939905288"/>
    <n v="0"/>
    <n v="36336.397997871332"/>
    <n v="0"/>
    <n v="36336.397997871332"/>
    <n v="32241.683939905288"/>
    <n v="10639.755700168744"/>
    <n v="10555.06"/>
    <n v="3483.1697999999992"/>
    <m/>
    <n v="0"/>
    <n v="68578.081937776617"/>
    <n v="22630.767039466282"/>
    <n v="58023.021937776619"/>
    <n v="19147.597239466282"/>
    <n v="19147.597239466282"/>
    <n v="22630.767039466282"/>
    <n v="0"/>
    <n v="0"/>
    <n v="0"/>
    <n v="0"/>
    <n v="0"/>
    <n v="0"/>
    <n v="0"/>
    <n v="0"/>
    <n v="0"/>
    <n v="0"/>
    <n v="0"/>
    <n v="0"/>
    <n v="0"/>
    <n v="0"/>
    <n v="32241.683939905288"/>
    <n v="10639.75"/>
    <n v="21686.623939905287"/>
    <n v="7156.5802000000003"/>
    <n v="20021.53"/>
    <n v="6607.1"/>
    <m/>
    <n v="4.8999999980878783E-3"/>
  </r>
  <r>
    <x v="2"/>
    <s v="Brazoria"/>
    <n v="828154.69270912022"/>
    <n v="0"/>
    <n v="0"/>
    <n v="0"/>
    <n v="8671117.4921423364"/>
    <n v="0"/>
    <n v="0"/>
    <n v="8671117.4921423364"/>
    <n v="234196"/>
    <n v="0"/>
    <n v="0"/>
    <n v="0"/>
    <n v="2332684.3482964206"/>
    <n v="2566880.3482964206"/>
    <n v="0"/>
    <n v="11237997.840438757"/>
    <n v="5283495.312941554"/>
    <n v="0"/>
    <n v="5954502.5274972031"/>
    <n v="0"/>
    <n v="5954502.5274972031"/>
    <n v="5283495.312941554"/>
    <n v="1743553.4532707126"/>
    <n v="4255895.2"/>
    <n v="1404445.416"/>
    <m/>
    <n v="0"/>
    <n v="11237997.840438757"/>
    <n v="3708539.2873447896"/>
    <n v="6982102.6404387569"/>
    <n v="2304093.8713447899"/>
    <n v="2304093.8713447899"/>
    <n v="3708539.2873447901"/>
    <n v="0"/>
    <n v="0"/>
    <n v="0"/>
    <n v="0"/>
    <n v="0"/>
    <n v="0"/>
    <n v="0"/>
    <n v="0"/>
    <n v="0"/>
    <n v="0"/>
    <n v="0"/>
    <n v="0"/>
    <n v="0"/>
    <n v="0"/>
    <n v="5283495.312941554"/>
    <n v="1743553.45"/>
    <n v="1027600.1129415538"/>
    <n v="339108.03399999999"/>
    <n v="948701.06"/>
    <n v="313071.34999999998"/>
    <m/>
    <n v="-2.0000000949949026E-4"/>
  </r>
  <r>
    <x v="9"/>
    <s v="Bailey"/>
    <n v="381957.9058367745"/>
    <n v="0"/>
    <n v="0"/>
    <n v="0"/>
    <n v="840880.00795706874"/>
    <n v="0"/>
    <n v="0"/>
    <n v="840880.00795706874"/>
    <n v="0"/>
    <n v="0"/>
    <n v="0"/>
    <n v="0"/>
    <n v="0"/>
    <n v="0"/>
    <n v="0"/>
    <n v="840880.00795706874"/>
    <n v="784907.27157743857"/>
    <n v="0"/>
    <n v="55972.736379630165"/>
    <n v="0"/>
    <n v="55972.736379630165"/>
    <n v="784907.27157743857"/>
    <n v="259019.3996205547"/>
    <n v="287643.69"/>
    <n v="94922.417699999991"/>
    <m/>
    <n v="0"/>
    <n v="840880.00795706874"/>
    <n v="277490.40262583265"/>
    <n v="553236.31795706879"/>
    <n v="182567.98492583266"/>
    <n v="182567.98492583266"/>
    <n v="277490.40262583265"/>
    <n v="0"/>
    <n v="0"/>
    <n v="0"/>
    <n v="0"/>
    <n v="0"/>
    <n v="0"/>
    <n v="0"/>
    <n v="0"/>
    <n v="0"/>
    <n v="0"/>
    <n v="0"/>
    <n v="0"/>
    <n v="0"/>
    <n v="0"/>
    <n v="784907.27157743857"/>
    <n v="259019.39"/>
    <n v="497263.58157743857"/>
    <n v="164096.97230000002"/>
    <n v="459083.73"/>
    <n v="151497.62"/>
    <m/>
    <n v="1.0899999993853271E-2"/>
  </r>
  <r>
    <x v="6"/>
    <s v="Tarrant"/>
    <n v="-986253.89830735826"/>
    <n v="0"/>
    <n v="0"/>
    <n v="0"/>
    <n v="9280306.1994588282"/>
    <n v="0"/>
    <n v="0"/>
    <n v="9280306.1994588282"/>
    <n v="0"/>
    <n v="0"/>
    <n v="0"/>
    <n v="0"/>
    <n v="2793064"/>
    <n v="2793064"/>
    <n v="0"/>
    <n v="12073370.199458828"/>
    <n v="5676241.9575049914"/>
    <n v="0"/>
    <n v="6397128.2419538368"/>
    <n v="0"/>
    <n v="6397128.2419538368"/>
    <n v="5676241.9575049914"/>
    <n v="1873159.845976647"/>
    <n v="5185774.76"/>
    <n v="1711305.6707999997"/>
    <m/>
    <n v="0"/>
    <n v="12073370.199458828"/>
    <n v="3984212.165821413"/>
    <n v="6887595.4394588284"/>
    <n v="2272906.4950214131"/>
    <n v="2272906.4950214131"/>
    <n v="3984212.1658214126"/>
    <n v="0"/>
    <n v="0"/>
    <n v="0"/>
    <n v="0"/>
    <n v="0"/>
    <n v="0"/>
    <n v="0"/>
    <n v="0"/>
    <n v="0"/>
    <n v="0"/>
    <n v="0"/>
    <n v="0"/>
    <n v="0"/>
    <n v="0"/>
    <n v="5676241.9575049914"/>
    <n v="1873159.84"/>
    <n v="490467.19750499167"/>
    <n v="161854.16920000035"/>
    <n v="452809.17"/>
    <n v="149427.01999999999"/>
    <m/>
    <n v="6.0999999986961484E-3"/>
  </r>
  <r>
    <x v="7"/>
    <s v="Burnet"/>
    <n v="44215.891657728818"/>
    <n v="7200361.5104553448"/>
    <n v="3402576.2019264512"/>
    <n v="3797785.3085288936"/>
    <n v="6921098.0953210881"/>
    <n v="1012106.9"/>
    <n v="0"/>
    <n v="6921098.0953210881"/>
    <n v="1195297.8"/>
    <n v="0"/>
    <n v="0"/>
    <n v="0"/>
    <n v="0"/>
    <n v="1195297.8"/>
    <n v="0"/>
    <n v="8116395.8953210879"/>
    <n v="7576132.2625761004"/>
    <n v="0"/>
    <n v="540263.6327449875"/>
    <n v="0"/>
    <n v="540263.6327449875"/>
    <n v="7576132.2625761004"/>
    <n v="2500123.6466501127"/>
    <n v="3468921.88"/>
    <n v="1144744.2203999998"/>
    <m/>
    <n v="0"/>
    <n v="8116395.8953210879"/>
    <n v="2678410.6454559588"/>
    <n v="4647474.015321088"/>
    <n v="1533666.425055959"/>
    <n v="1533666.425055959"/>
    <n v="2678410.6454559588"/>
    <n v="0"/>
    <n v="0"/>
    <n v="0"/>
    <n v="0"/>
    <n v="0"/>
    <n v="0"/>
    <n v="0"/>
    <n v="0"/>
    <n v="0"/>
    <n v="0"/>
    <n v="0"/>
    <n v="0"/>
    <n v="0"/>
    <n v="0"/>
    <n v="7576132.2625761004"/>
    <n v="2500123.64"/>
    <n v="4107210.3825761005"/>
    <n v="1355379.4196000004"/>
    <n v="3791859.12"/>
    <n v="1251313.5"/>
    <m/>
    <n v="9.5999999903142452E-3"/>
  </r>
  <r>
    <x v="4"/>
    <s v="Dallas"/>
    <n v="-2645319.0212973547"/>
    <n v="15444587.657052055"/>
    <n v="8697062.2770752683"/>
    <n v="6747525.3799767867"/>
    <n v="13614739.404781928"/>
    <n v="2747966.07"/>
    <n v="0"/>
    <n v="13614739.404781928"/>
    <n v="0"/>
    <n v="0"/>
    <n v="0"/>
    <n v="0"/>
    <n v="0"/>
    <n v="0"/>
    <n v="0"/>
    <n v="13614739.404781928"/>
    <n v="6400909.9177116007"/>
    <n v="0"/>
    <n v="7213829.4870703276"/>
    <n v="0"/>
    <n v="7213829.4870703276"/>
    <n v="6400909.9177116007"/>
    <n v="2112300.2728448277"/>
    <n v="5069997.38"/>
    <n v="1673099.1353999998"/>
    <m/>
    <n v="0"/>
    <n v="13614739.404781928"/>
    <n v="4492864.0035780361"/>
    <n v="8544742.0247819275"/>
    <n v="2819764.8681780361"/>
    <n v="2819764.8681780361"/>
    <n v="4492864.0035780361"/>
    <n v="0"/>
    <n v="0"/>
    <n v="0"/>
    <n v="0"/>
    <n v="0"/>
    <n v="0"/>
    <n v="0"/>
    <n v="0"/>
    <n v="0"/>
    <n v="0"/>
    <n v="0"/>
    <n v="0"/>
    <n v="0"/>
    <n v="0"/>
    <n v="6400909.9177116007"/>
    <n v="2112300.27"/>
    <n v="1330912.5377116008"/>
    <n v="439201.13460000022"/>
    <n v="1228725.19"/>
    <n v="405479.31"/>
    <m/>
    <n v="2.6999999536201358E-3"/>
  </r>
  <r>
    <x v="4"/>
    <s v="Collin"/>
    <n v="5337293.9426951343"/>
    <n v="4524196.357883825"/>
    <n v="2219555.8073701379"/>
    <n v="2304640.5505136871"/>
    <n v="2601195.0201848578"/>
    <n v="2733055.23"/>
    <n v="0"/>
    <n v="2601195.0201848578"/>
    <n v="174023"/>
    <n v="0"/>
    <n v="92334"/>
    <n v="0"/>
    <n v="1350567.8249414626"/>
    <n v="1616924.8249414626"/>
    <n v="0"/>
    <n v="4218119.8451263206"/>
    <n v="1983130.5137784714"/>
    <n v="0"/>
    <n v="2234989.3313478492"/>
    <n v="0"/>
    <n v="2234989.3313478492"/>
    <n v="1983130.5137784714"/>
    <n v="654433.06954689545"/>
    <n v="0"/>
    <n v="0"/>
    <m/>
    <n v="0"/>
    <n v="4218119.8451263206"/>
    <n v="1391979.5488916857"/>
    <n v="4218119.8451263206"/>
    <n v="1391979.5488916857"/>
    <n v="1391979.5488916857"/>
    <n v="1391979.5488916857"/>
    <n v="0"/>
    <n v="0"/>
    <n v="0"/>
    <n v="0"/>
    <n v="0"/>
    <n v="0"/>
    <n v="0"/>
    <n v="0"/>
    <n v="0"/>
    <n v="0"/>
    <n v="0"/>
    <n v="0"/>
    <n v="0"/>
    <n v="0"/>
    <n v="1983130.5137784714"/>
    <n v="654433.06000000006"/>
    <n v="1983130.5137784714"/>
    <n v="654433.06000000006"/>
    <n v="1830865.9199999999"/>
    <n v="604185.74"/>
    <m/>
    <n v="1.3599999947473407E-2"/>
  </r>
  <r>
    <x v="2"/>
    <s v="Harris"/>
    <n v="346223.38833225024"/>
    <n v="2643394.1128257657"/>
    <n v="80296.061211751818"/>
    <n v="2563098.051614014"/>
    <n v="102222.96909678947"/>
    <n v="2659342.0099999998"/>
    <n v="0"/>
    <n v="102222.96909678947"/>
    <n v="0"/>
    <n v="0"/>
    <n v="0"/>
    <n v="0"/>
    <n v="0"/>
    <n v="0"/>
    <n v="0"/>
    <n v="102222.96909678947"/>
    <n v="48059.679826097017"/>
    <n v="0"/>
    <n v="54163.289270692454"/>
    <n v="0"/>
    <n v="54163.289270692454"/>
    <n v="48059.679826097017"/>
    <n v="15859.694342612014"/>
    <n v="0"/>
    <n v="0"/>
    <m/>
    <n v="0"/>
    <n v="102222.96909678947"/>
    <n v="33733.579801940519"/>
    <n v="102222.96909678947"/>
    <n v="33733.579801940519"/>
    <n v="33733.579801940519"/>
    <n v="33733.579801940519"/>
    <n v="0"/>
    <n v="0"/>
    <n v="0"/>
    <n v="0"/>
    <n v="0"/>
    <n v="0"/>
    <n v="0"/>
    <n v="0"/>
    <n v="0"/>
    <n v="0"/>
    <n v="0"/>
    <n v="0"/>
    <n v="0"/>
    <n v="0"/>
    <n v="48059.679826097017"/>
    <n v="15859.69"/>
    <n v="48059.679826097017"/>
    <n v="15859.69"/>
    <n v="44369.66"/>
    <n v="14641.98"/>
    <m/>
    <n v="7.7999999994062819E-3"/>
  </r>
  <r>
    <x v="9"/>
    <s v="Jones"/>
    <n v="471951.90014085115"/>
    <n v="0"/>
    <n v="0"/>
    <n v="0"/>
    <n v="182492.76365178879"/>
    <n v="0"/>
    <n v="0"/>
    <n v="182492.76365178879"/>
    <n v="0"/>
    <n v="0"/>
    <n v="0"/>
    <n v="0"/>
    <n v="0"/>
    <n v="0"/>
    <n v="0"/>
    <n v="182492.76365178879"/>
    <n v="170345.22862370755"/>
    <n v="0"/>
    <n v="12147.535028081242"/>
    <n v="0"/>
    <n v="12147.535028081242"/>
    <n v="170345.22862370755"/>
    <n v="56213.925445823486"/>
    <n v="63771.59"/>
    <n v="21044.624699999997"/>
    <m/>
    <n v="0"/>
    <n v="182492.76365178879"/>
    <n v="60222.61200509029"/>
    <n v="118721.17365178879"/>
    <n v="39177.987305090297"/>
    <n v="39177.987305090297"/>
    <n v="60222.612005090297"/>
    <n v="0"/>
    <n v="0"/>
    <n v="0"/>
    <n v="0"/>
    <n v="0"/>
    <n v="0"/>
    <n v="0"/>
    <n v="0"/>
    <n v="0"/>
    <n v="0"/>
    <n v="0"/>
    <n v="0"/>
    <n v="0"/>
    <n v="0"/>
    <n v="170345.22862370755"/>
    <n v="56213.919999999998"/>
    <n v="106573.63862370755"/>
    <n v="35169.295299999998"/>
    <n v="98390.92"/>
    <n v="32469"/>
    <m/>
    <n v="3.599999996367842E-3"/>
  </r>
  <r>
    <x v="8"/>
    <s v="Hopkins"/>
    <n v="-274048.81093578186"/>
    <n v="6871173.462396102"/>
    <n v="4467749.4914741246"/>
    <n v="2403423.9709219774"/>
    <n v="7910469.9219684098"/>
    <n v="1463822.37"/>
    <n v="0"/>
    <n v="7910469.9219684098"/>
    <n v="1071716"/>
    <n v="0"/>
    <n v="1741780.9960912841"/>
    <n v="0"/>
    <n v="789245"/>
    <n v="3602741.9960912839"/>
    <n v="0"/>
    <n v="11513211.918059694"/>
    <n v="10746841.009637201"/>
    <n v="0"/>
    <n v="766370.90842249244"/>
    <n v="0"/>
    <n v="766370.90842249244"/>
    <n v="10746841.009637201"/>
    <n v="3546457.5331802759"/>
    <n v="5341885.87"/>
    <n v="1762822.3370999999"/>
    <m/>
    <n v="0"/>
    <n v="11513211.918059694"/>
    <n v="3799359.9329596986"/>
    <n v="6171326.0480596935"/>
    <n v="2036537.5958596987"/>
    <n v="2036537.5958596987"/>
    <n v="3799359.9329596986"/>
    <n v="0"/>
    <n v="0"/>
    <n v="0"/>
    <n v="0"/>
    <n v="0"/>
    <n v="0"/>
    <n v="0"/>
    <n v="0"/>
    <n v="0"/>
    <n v="0"/>
    <n v="0"/>
    <n v="0"/>
    <n v="0"/>
    <n v="0"/>
    <n v="10746841.009637201"/>
    <n v="3546457.53"/>
    <n v="5404955.1396372011"/>
    <n v="1783635.1928999999"/>
    <n v="4989963.1500000004"/>
    <n v="1646687.83"/>
    <m/>
    <n v="9.4999999273568392E-3"/>
  </r>
  <r>
    <x v="11"/>
    <s v="El Paso"/>
    <n v="2063397.540381352"/>
    <n v="6597661.5075877635"/>
    <n v="4830762.8593560653"/>
    <n v="1766898.6482316982"/>
    <n v="6567833.6575254267"/>
    <n v="0"/>
    <n v="0"/>
    <n v="6567833.6575254267"/>
    <n v="364166"/>
    <n v="0"/>
    <n v="0"/>
    <n v="0"/>
    <n v="279774.31483596779"/>
    <n v="643940.31483596773"/>
    <n v="0"/>
    <n v="7211773.9723613942"/>
    <n v="3390583.849718703"/>
    <n v="0"/>
    <n v="3821190.1226426912"/>
    <n v="0"/>
    <n v="3821190.1226426912"/>
    <n v="3390583.849718703"/>
    <n v="1118892.6704071718"/>
    <n v="3014858.55"/>
    <n v="994903.32149999985"/>
    <m/>
    <n v="0"/>
    <n v="7211773.9723613942"/>
    <n v="2379885.4108792599"/>
    <n v="4196915.4223613944"/>
    <n v="1384982.0893792601"/>
    <n v="1384982.0893792601"/>
    <n v="2379885.4108792599"/>
    <n v="0"/>
    <n v="0"/>
    <n v="0"/>
    <n v="0"/>
    <n v="0"/>
    <n v="0"/>
    <n v="0"/>
    <n v="0"/>
    <n v="0"/>
    <n v="0"/>
    <n v="0"/>
    <n v="0"/>
    <n v="0"/>
    <n v="0"/>
    <n v="3390583.849718703"/>
    <n v="1118892.67"/>
    <n v="375725.29971870314"/>
    <n v="123989.34850000008"/>
    <n v="346877.14"/>
    <n v="114469.46"/>
    <m/>
    <n v="-3.8000000204192474E-3"/>
  </r>
  <r>
    <x v="5"/>
    <s v="Cameron"/>
    <n v="3279.6602619646546"/>
    <n v="541794.99175424001"/>
    <n v="250985.23899904001"/>
    <n v="290809.75275520002"/>
    <n v="286840.57411072002"/>
    <n v="1431010.42"/>
    <n v="1136921.0069828352"/>
    <n v="0"/>
    <n v="0"/>
    <n v="0"/>
    <n v="0"/>
    <n v="0"/>
    <n v="0"/>
    <n v="0"/>
    <n v="0"/>
    <n v="0"/>
    <n v="0"/>
    <n v="0"/>
    <n v="0"/>
    <n v="0"/>
    <n v="0"/>
    <n v="0"/>
    <n v="0"/>
    <n v="0"/>
    <n v="0"/>
    <m/>
    <n v="0"/>
    <n v="0"/>
    <n v="0"/>
    <n v="0"/>
    <n v="0"/>
    <n v="0"/>
    <n v="0"/>
    <n v="0"/>
    <n v="0"/>
    <n v="0"/>
    <n v="0"/>
    <n v="0"/>
    <n v="0"/>
    <n v="0"/>
    <n v="0"/>
    <n v="0"/>
    <n v="0"/>
    <n v="0"/>
    <n v="0"/>
    <n v="0"/>
    <n v="0"/>
    <n v="0"/>
    <n v="0"/>
    <n v="0"/>
    <n v="0"/>
    <n v="0"/>
    <n v="0"/>
    <m/>
    <n v="0"/>
  </r>
  <r>
    <x v="0"/>
    <s v="Freestone"/>
    <n v="240952.3288637696"/>
    <n v="1359557.1344252722"/>
    <n v="0"/>
    <n v="1359557.1344252722"/>
    <n v="1334313.6759667455"/>
    <n v="0"/>
    <n v="0"/>
    <n v="1334313.6759667455"/>
    <n v="0"/>
    <n v="0"/>
    <n v="0"/>
    <n v="0"/>
    <n v="0"/>
    <n v="0"/>
    <n v="0"/>
    <n v="1334313.6759667455"/>
    <n v="1245495.7864630211"/>
    <n v="0"/>
    <n v="88817.889503724407"/>
    <n v="0"/>
    <n v="88817.889503724407"/>
    <n v="1245495.7864630211"/>
    <n v="411013.60953279689"/>
    <n v="511695.47"/>
    <n v="168859.50509999998"/>
    <m/>
    <n v="0"/>
    <n v="1334313.6759667455"/>
    <n v="440323.51306902594"/>
    <n v="822618.2059667455"/>
    <n v="271464.00796902599"/>
    <n v="271464.00796902599"/>
    <n v="440323.51306902594"/>
    <n v="0"/>
    <n v="0"/>
    <n v="0"/>
    <n v="0"/>
    <n v="0"/>
    <n v="0"/>
    <n v="0"/>
    <n v="0"/>
    <n v="0"/>
    <n v="0"/>
    <n v="0"/>
    <n v="0"/>
    <n v="0"/>
    <n v="0"/>
    <n v="1245495.7864630211"/>
    <n v="411013.6"/>
    <n v="733800.3164630211"/>
    <n v="242154.0949"/>
    <n v="677459.19"/>
    <n v="223561.52"/>
    <m/>
    <n v="1.2699999962933362E-2"/>
  </r>
  <r>
    <x v="2"/>
    <s v="Montgomery"/>
    <n v="5846109.8317766134"/>
    <n v="0"/>
    <n v="0"/>
    <n v="0"/>
    <n v="18385860.532062642"/>
    <n v="0"/>
    <n v="0"/>
    <n v="18385860.532062642"/>
    <n v="0"/>
    <n v="0"/>
    <n v="0"/>
    <n v="0"/>
    <n v="2885527"/>
    <n v="2885527"/>
    <n v="0"/>
    <n v="21271387.532062642"/>
    <n v="10000649.396906141"/>
    <n v="0"/>
    <n v="11270738.135156501"/>
    <n v="0"/>
    <n v="11270738.135156501"/>
    <n v="10000649.396906141"/>
    <n v="3300214.3009790261"/>
    <n v="7686210.9800000004"/>
    <n v="2536449.6233999999"/>
    <m/>
    <n v="0"/>
    <n v="21271387.532062642"/>
    <n v="7019557.885580671"/>
    <n v="13585176.552062642"/>
    <n v="4483108.2621806711"/>
    <n v="4483108.2621806711"/>
    <n v="7019557.885580671"/>
    <n v="0"/>
    <n v="0"/>
    <n v="0"/>
    <n v="0"/>
    <n v="0"/>
    <n v="0"/>
    <n v="0"/>
    <n v="0"/>
    <n v="0"/>
    <n v="0"/>
    <n v="0"/>
    <n v="0"/>
    <n v="0"/>
    <n v="0"/>
    <n v="10000649.396906141"/>
    <n v="3300214.3"/>
    <n v="2314438.4169061407"/>
    <n v="763764.67659999989"/>
    <n v="2136736.0299999998"/>
    <n v="705122.89"/>
    <m/>
    <n v="-1.0000017937272787E-4"/>
  </r>
  <r>
    <x v="2"/>
    <s v="Harris"/>
    <n v="-604486.28850150912"/>
    <n v="17013297.369321253"/>
    <n v="12558533.054131465"/>
    <n v="4454764.3151897881"/>
    <n v="18506186.468533758"/>
    <n v="0"/>
    <n v="0"/>
    <n v="18506186.468533758"/>
    <n v="753036"/>
    <n v="0"/>
    <n v="0"/>
    <n v="0"/>
    <n v="2542295.8143891767"/>
    <n v="3295331.8143891767"/>
    <n v="0"/>
    <n v="21801518.282922935"/>
    <n v="10249888.040407"/>
    <n v="0"/>
    <n v="11551630.242515935"/>
    <n v="0"/>
    <n v="11551630.242515935"/>
    <n v="10249888.040407"/>
    <n v="3382463.0533343097"/>
    <n v="12674542.57"/>
    <n v="4182599.0480999998"/>
    <m/>
    <n v="0"/>
    <n v="21801518.282922935"/>
    <n v="7194501.0333645679"/>
    <n v="9126975.7129229344"/>
    <n v="3011901.9852645681"/>
    <n v="3011901.9852645681"/>
    <n v="7194501.0333645679"/>
    <n v="0"/>
    <n v="0"/>
    <n v="0"/>
    <n v="0"/>
    <n v="0"/>
    <n v="0"/>
    <n v="0"/>
    <n v="0"/>
    <n v="0"/>
    <n v="0"/>
    <n v="0"/>
    <n v="0"/>
    <n v="0"/>
    <n v="0"/>
    <n v="10249888.040407"/>
    <n v="3382463.05"/>
    <n v="-2424654.5295930002"/>
    <n v="-800135.99809999997"/>
    <n v="0"/>
    <n v="0"/>
    <m/>
    <n v="0"/>
  </r>
  <r>
    <x v="2"/>
    <s v="Harris"/>
    <n v="2677482.1630915911"/>
    <n v="0"/>
    <n v="0"/>
    <n v="0"/>
    <n v="4488307.7458452694"/>
    <n v="0"/>
    <n v="0"/>
    <n v="4488307.7458452694"/>
    <n v="0"/>
    <n v="0"/>
    <n v="0"/>
    <n v="0"/>
    <n v="1441710.1162981794"/>
    <n v="1441710.1162981794"/>
    <n v="0"/>
    <n v="5930017.8621434486"/>
    <n v="2787971.8456211556"/>
    <n v="0"/>
    <n v="3142046.016522293"/>
    <n v="0"/>
    <n v="3142046.016522293"/>
    <n v="2787971.8456211556"/>
    <n v="920030.70905498124"/>
    <n v="2479091.15"/>
    <n v="818100.07949999988"/>
    <m/>
    <n v="0"/>
    <n v="5930017.8621434486"/>
    <n v="1956905.8945073378"/>
    <n v="3450926.7121434486"/>
    <n v="1138805.8150073378"/>
    <n v="1138805.8150073378"/>
    <n v="1956905.8945073378"/>
    <n v="0"/>
    <n v="0"/>
    <n v="0"/>
    <n v="0"/>
    <n v="0"/>
    <n v="0"/>
    <n v="0"/>
    <n v="0"/>
    <n v="0"/>
    <n v="0"/>
    <n v="0"/>
    <n v="0"/>
    <n v="0"/>
    <n v="0"/>
    <n v="2787971.8456211556"/>
    <n v="920030.7"/>
    <n v="308880.69562115567"/>
    <n v="101930.62050000008"/>
    <n v="285164.86"/>
    <n v="94104.4"/>
    <m/>
    <n v="3.799999991315417E-3"/>
  </r>
  <r>
    <x v="3"/>
    <s v="Atascosa"/>
    <n v="-1245016.6896577538"/>
    <n v="5077708.2316607218"/>
    <n v="2444777.4111645697"/>
    <n v="2632930.8204961522"/>
    <n v="4719089.3441405958"/>
    <n v="692584.52"/>
    <n v="0"/>
    <n v="4719089.3441405958"/>
    <n v="281950"/>
    <n v="0"/>
    <n v="0"/>
    <n v="0"/>
    <n v="0"/>
    <n v="281950"/>
    <n v="0"/>
    <n v="5001039.3441405958"/>
    <n v="4668147.7850775914"/>
    <n v="0"/>
    <n v="332891.55906300433"/>
    <n v="0"/>
    <n v="332891.55906300433"/>
    <n v="4668147.7850775914"/>
    <n v="1540488.7690756051"/>
    <n v="1938984.81"/>
    <n v="639864.98729999992"/>
    <m/>
    <n v="0"/>
    <n v="5001039.3441405958"/>
    <n v="1650342.9835663964"/>
    <n v="3062054.5341405957"/>
    <n v="1010477.9962663965"/>
    <n v="1010477.9962663965"/>
    <n v="1650342.9835663964"/>
    <n v="0"/>
    <n v="0"/>
    <n v="0"/>
    <n v="0"/>
    <n v="0"/>
    <n v="0"/>
    <n v="0"/>
    <n v="0"/>
    <n v="0"/>
    <n v="0"/>
    <n v="0"/>
    <n v="0"/>
    <n v="0"/>
    <n v="0"/>
    <n v="4668147.7850775914"/>
    <n v="1540488.76"/>
    <n v="2729162.9750775914"/>
    <n v="900623.77270000009"/>
    <n v="2519618.08"/>
    <n v="831473.96"/>
    <m/>
    <n v="6.3999999547377229E-3"/>
  </r>
  <r>
    <x v="6"/>
    <s v="Parker"/>
    <n v="-1163132.9239769327"/>
    <n v="0"/>
    <n v="0"/>
    <n v="0"/>
    <n v="8003458.1812132867"/>
    <n v="0"/>
    <n v="0"/>
    <n v="8003458.1812132867"/>
    <n v="181961"/>
    <n v="0"/>
    <n v="0"/>
    <n v="0"/>
    <n v="0"/>
    <n v="181961"/>
    <n v="0"/>
    <n v="8185419.1812132867"/>
    <n v="3848338.8671583696"/>
    <n v="0"/>
    <n v="4337080.3140549175"/>
    <n v="0"/>
    <n v="4337080.3140549175"/>
    <n v="3848338.8671583696"/>
    <n v="1269951.8261622619"/>
    <n v="3680251.89"/>
    <n v="1214483.1236999999"/>
    <m/>
    <n v="0"/>
    <n v="8185419.1812132867"/>
    <n v="2701188.3298003841"/>
    <n v="4505167.291213287"/>
    <n v="1486705.2061003842"/>
    <n v="1486705.2061003842"/>
    <n v="2701188.3298003841"/>
    <n v="0"/>
    <n v="0"/>
    <n v="0"/>
    <n v="0"/>
    <n v="0"/>
    <n v="0"/>
    <n v="0"/>
    <n v="0"/>
    <n v="0"/>
    <n v="0"/>
    <n v="0"/>
    <n v="0"/>
    <n v="0"/>
    <n v="0"/>
    <n v="3848338.8671583696"/>
    <n v="1269951.82"/>
    <n v="168086.9771583695"/>
    <n v="55468.696300000185"/>
    <n v="155181.26999999999"/>
    <n v="51209.81"/>
    <m/>
    <n v="9.09999999566935E-3"/>
  </r>
  <r>
    <x v="8"/>
    <s v="Rusk"/>
    <n v="-3313473.8823407884"/>
    <n v="3176181.3151962818"/>
    <n v="2638902.6175961345"/>
    <n v="537278.69760014722"/>
    <n v="2960731.8912127488"/>
    <n v="0"/>
    <n v="0"/>
    <n v="2960731.8912127488"/>
    <n v="177636"/>
    <n v="0"/>
    <n v="0"/>
    <n v="0"/>
    <n v="1192978.2708747876"/>
    <n v="1370614.2708747876"/>
    <n v="0"/>
    <n v="4331346.1620875364"/>
    <n v="4043032.37818815"/>
    <n v="0"/>
    <n v="288313.78389938641"/>
    <n v="0"/>
    <n v="288313.78389938641"/>
    <n v="4043032.37818815"/>
    <n v="1334200.6848020894"/>
    <n v="1546566.62"/>
    <n v="510366.98459999997"/>
    <m/>
    <n v="0"/>
    <n v="4331346.1620875364"/>
    <n v="1429344.2334888868"/>
    <n v="2784779.5420875363"/>
    <n v="918977.24888888688"/>
    <n v="918977.24888888688"/>
    <n v="1429344.2334888868"/>
    <n v="0"/>
    <n v="0"/>
    <n v="0"/>
    <n v="0"/>
    <n v="0"/>
    <n v="0"/>
    <n v="0"/>
    <n v="0"/>
    <n v="0"/>
    <n v="0"/>
    <n v="0"/>
    <n v="0"/>
    <n v="0"/>
    <n v="0"/>
    <n v="4043032.37818815"/>
    <n v="1334200.68"/>
    <n v="2496465.7581881499"/>
    <n v="823833.69539999997"/>
    <n v="2304787.33"/>
    <n v="760579.81"/>
    <m/>
    <n v="8.8999998988583684E-3"/>
  </r>
  <r>
    <x v="8"/>
    <s v="Cherokee"/>
    <n v="-3187719.0210621953"/>
    <n v="4032787.2849593777"/>
    <n v="3130175.3796377345"/>
    <n v="902611.90532164322"/>
    <n v="3539558.9194312706"/>
    <n v="800286.10000000009"/>
    <n v="800286.10000000009"/>
    <n v="2739272.8194312705"/>
    <n v="192036"/>
    <n v="0"/>
    <n v="0"/>
    <n v="0"/>
    <n v="2183434.3651871611"/>
    <n v="2375470.3651871611"/>
    <n v="0"/>
    <n v="5114743.1846184321"/>
    <n v="4774282.9890933959"/>
    <n v="0"/>
    <n v="340460.19552503619"/>
    <n v="0"/>
    <n v="340460.19552503619"/>
    <n v="4774282.9890933959"/>
    <n v="1575513.3864008205"/>
    <n v="1679714.74"/>
    <n v="554305.86419999995"/>
    <m/>
    <n v="0"/>
    <n v="5114743.1846184321"/>
    <n v="1687865.2509240825"/>
    <n v="3435028.4446184319"/>
    <n v="1133559.3867240825"/>
    <n v="1133559.3867240825"/>
    <n v="1687865.2509240825"/>
    <n v="0"/>
    <n v="0"/>
    <n v="0"/>
    <n v="0"/>
    <n v="0"/>
    <n v="0"/>
    <n v="0"/>
    <n v="0"/>
    <n v="0"/>
    <n v="0"/>
    <n v="0"/>
    <n v="0"/>
    <n v="0"/>
    <n v="0"/>
    <n v="4774282.9890933959"/>
    <n v="1575513.38"/>
    <n v="3094568.2490933957"/>
    <n v="1021207.5157999999"/>
    <n v="2856967.56"/>
    <n v="942799.29"/>
    <m/>
    <n v="4.7999998787418008E-3"/>
  </r>
  <r>
    <x v="8"/>
    <s v="Henderson"/>
    <n v="-7852292.6445730831"/>
    <n v="10656132.848335652"/>
    <n v="5019951.0944825085"/>
    <n v="5636181.7538531432"/>
    <n v="9399957.9523367174"/>
    <n v="2616351.9300000002"/>
    <n v="2616351.9300000002"/>
    <n v="6783606.0223367177"/>
    <n v="477577"/>
    <n v="0"/>
    <n v="0"/>
    <n v="0"/>
    <n v="3196485.2828873373"/>
    <n v="3674062.2828873373"/>
    <n v="0"/>
    <n v="10457668.305224055"/>
    <n v="4916626.8101713331"/>
    <n v="0"/>
    <n v="5541041.4950527223"/>
    <n v="0"/>
    <n v="5541041.4950527223"/>
    <n v="4916626.8101713331"/>
    <n v="1622486.8473565397"/>
    <n v="5381483.5999999996"/>
    <n v="1775889.5879999998"/>
    <m/>
    <n v="0"/>
    <n v="10457668.305224055"/>
    <n v="3451030.540723938"/>
    <n v="5076184.7052240558"/>
    <n v="1675140.9527239383"/>
    <n v="1675140.9527239383"/>
    <n v="3451030.540723938"/>
    <n v="0"/>
    <n v="0"/>
    <n v="0"/>
    <n v="0"/>
    <n v="0"/>
    <n v="0"/>
    <n v="0"/>
    <n v="0"/>
    <n v="0"/>
    <n v="0"/>
    <n v="0"/>
    <n v="0"/>
    <n v="0"/>
    <n v="0"/>
    <n v="4916626.8101713331"/>
    <n v="1622486.84"/>
    <n v="-464856.78982866649"/>
    <n v="-153402.74799999967"/>
    <n v="0"/>
    <n v="0"/>
    <m/>
    <n v="0"/>
  </r>
  <r>
    <x v="8"/>
    <s v="Panola"/>
    <n v="-52422.758404352135"/>
    <n v="2793236.7588234553"/>
    <n v="1645424.3870118656"/>
    <n v="1147812.3718115897"/>
    <n v="2202733.7793857534"/>
    <n v="416632.22000000003"/>
    <n v="0"/>
    <n v="2202733.7793857534"/>
    <n v="66006"/>
    <n v="0"/>
    <n v="0"/>
    <n v="0"/>
    <n v="405503.01953975152"/>
    <n v="471509.01953975152"/>
    <n v="0"/>
    <n v="2674242.798925505"/>
    <n v="2496233.2306363946"/>
    <n v="0"/>
    <n v="178009.56828911044"/>
    <n v="0"/>
    <n v="178009.56828911044"/>
    <n v="2496233.2306363946"/>
    <n v="823756.96611001017"/>
    <n v="1148429.1200000001"/>
    <n v="378981.60959999997"/>
    <m/>
    <n v="0"/>
    <n v="2674242.798925505"/>
    <n v="882500.12364541658"/>
    <n v="1525813.6789255049"/>
    <n v="503518.51404541661"/>
    <n v="503518.51404541661"/>
    <n v="882500.12364541658"/>
    <n v="0"/>
    <n v="0"/>
    <n v="0"/>
    <n v="0"/>
    <n v="0"/>
    <n v="0"/>
    <n v="0"/>
    <n v="0"/>
    <n v="0"/>
    <n v="0"/>
    <n v="0"/>
    <n v="0"/>
    <n v="0"/>
    <n v="0"/>
    <n v="2496233.2306363946"/>
    <n v="823756.96"/>
    <n v="1347804.1106363945"/>
    <n v="444775.3504"/>
    <n v="1244319.83"/>
    <n v="410625.54"/>
    <m/>
    <n v="3.9000000106170774E-3"/>
  </r>
  <r>
    <x v="4"/>
    <s v="Collin"/>
    <n v="2128819.5619120635"/>
    <n v="0"/>
    <n v="0"/>
    <n v="0"/>
    <n v="3656358.0896471548"/>
    <n v="0"/>
    <n v="0"/>
    <n v="3656358.0896471548"/>
    <n v="0"/>
    <n v="0"/>
    <n v="0"/>
    <n v="0"/>
    <n v="0"/>
    <n v="0"/>
    <n v="0"/>
    <n v="3656358.0896471548"/>
    <n v="1719020.6924201048"/>
    <n v="0"/>
    <n v="1937337.39722705"/>
    <n v="0"/>
    <n v="1937337.39722705"/>
    <n v="1719020.6924201048"/>
    <n v="567276.82849863451"/>
    <n v="1322052.3700000001"/>
    <n v="436277.28210000001"/>
    <m/>
    <n v="0"/>
    <n v="3656358.0896471548"/>
    <n v="1206598.1695835609"/>
    <n v="2334305.7196471547"/>
    <n v="770320.88748356095"/>
    <n v="770320.88748356095"/>
    <n v="1206598.1695835609"/>
    <n v="0"/>
    <n v="0"/>
    <n v="0"/>
    <n v="0"/>
    <n v="0"/>
    <n v="0"/>
    <n v="0"/>
    <n v="0"/>
    <n v="0"/>
    <n v="0"/>
    <n v="0"/>
    <n v="0"/>
    <n v="0"/>
    <n v="0"/>
    <n v="1719020.6924201048"/>
    <n v="567276.81999999995"/>
    <n v="396968.32242010464"/>
    <n v="130999.53789999994"/>
    <n v="366489.13"/>
    <n v="120941.4"/>
    <m/>
    <n v="1.2899999986984767E-2"/>
  </r>
  <r>
    <x v="8"/>
    <s v="Smith"/>
    <n v="-120287.70267503461"/>
    <n v="36258389.073363006"/>
    <n v="25658104.648139402"/>
    <n v="10600284.425223604"/>
    <n v="32445614.41606098"/>
    <n v="6549212.0600000005"/>
    <n v="0"/>
    <n v="32445614.41606098"/>
    <n v="1589659"/>
    <n v="0"/>
    <n v="11673159.759383928"/>
    <n v="0"/>
    <n v="13087292.34308048"/>
    <n v="26350111.102464408"/>
    <n v="0"/>
    <n v="58795725.518525392"/>
    <n v="27642552.046085697"/>
    <n v="0"/>
    <n v="31153173.472439695"/>
    <n v="0"/>
    <n v="31153173.472439695"/>
    <n v="27642552.046085697"/>
    <n v="9122042.175208278"/>
    <n v="12024088.93"/>
    <n v="3967949.3468999993"/>
    <m/>
    <n v="0"/>
    <n v="58795725.518525392"/>
    <n v="19402589.421113376"/>
    <n v="46771636.588525392"/>
    <n v="15434640.074213376"/>
    <n v="15434640.074213376"/>
    <n v="19402589.421113376"/>
    <n v="0"/>
    <n v="0"/>
    <n v="0"/>
    <n v="0"/>
    <n v="0"/>
    <n v="0"/>
    <n v="0"/>
    <n v="0"/>
    <n v="0"/>
    <n v="0"/>
    <n v="0"/>
    <n v="0"/>
    <n v="0"/>
    <n v="0"/>
    <n v="27642552.046085697"/>
    <n v="9122042.1699999999"/>
    <n v="15618463.116085697"/>
    <n v="5154092.8231000006"/>
    <n v="14419278.859999999"/>
    <n v="4758362.01"/>
    <m/>
    <n v="1.3799999840557575E-2"/>
  </r>
  <r>
    <x v="8"/>
    <s v="Camp"/>
    <n v="-172013.90028426267"/>
    <n v="0"/>
    <n v="0"/>
    <n v="0"/>
    <n v="3855758.3955939328"/>
    <n v="0"/>
    <n v="0"/>
    <n v="3855758.3955939328"/>
    <n v="173630"/>
    <n v="0"/>
    <n v="0"/>
    <n v="0"/>
    <n v="2679438.9515746478"/>
    <n v="2853068.9515746478"/>
    <n v="0"/>
    <n v="6708827.3471685806"/>
    <n v="6262257.7760453094"/>
    <n v="0"/>
    <n v="446569.57112327125"/>
    <n v="0"/>
    <n v="446569.57112327125"/>
    <n v="6262257.7760453094"/>
    <n v="2066545.0660949519"/>
    <n v="2159177.98"/>
    <n v="712528.73339999991"/>
    <m/>
    <n v="0"/>
    <n v="6708827.3471685806"/>
    <n v="2213913.0245656315"/>
    <n v="4549649.3671685811"/>
    <n v="1501384.2911656317"/>
    <n v="1501384.2911656317"/>
    <n v="2213913.0245656315"/>
    <n v="0"/>
    <n v="0"/>
    <n v="0"/>
    <n v="0"/>
    <n v="0"/>
    <n v="0"/>
    <n v="0"/>
    <n v="0"/>
    <n v="0"/>
    <n v="0"/>
    <n v="0"/>
    <n v="0"/>
    <n v="0"/>
    <n v="0"/>
    <n v="6262257.7760453094"/>
    <n v="2066545.06"/>
    <n v="4103079.7960453094"/>
    <n v="1354016.3266000003"/>
    <n v="3788045.68"/>
    <n v="1250055.07"/>
    <m/>
    <n v="4.3999997433274984E-3"/>
  </r>
  <r>
    <x v="8"/>
    <s v="Wood"/>
    <n v="335360.09616972791"/>
    <n v="0"/>
    <n v="0"/>
    <n v="0"/>
    <n v="3110878.6298652161"/>
    <n v="0"/>
    <n v="0"/>
    <n v="3110878.6298652161"/>
    <n v="72178"/>
    <n v="0"/>
    <n v="0"/>
    <n v="0"/>
    <n v="706882.95459556836"/>
    <n v="779060.95459556836"/>
    <n v="0"/>
    <n v="3889939.5844607847"/>
    <n v="3631007.7977214479"/>
    <n v="0"/>
    <n v="258931.78673933679"/>
    <n v="0"/>
    <n v="258931.78673933679"/>
    <n v="3631007.7977214479"/>
    <n v="1198232.5732480776"/>
    <n v="1748678.79"/>
    <n v="577064.00069999998"/>
    <m/>
    <n v="0"/>
    <n v="3889939.5844607847"/>
    <n v="1283680.0628720587"/>
    <n v="2141260.7944607846"/>
    <n v="706616.06217205874"/>
    <n v="706616.06217205874"/>
    <n v="1283680.0628720587"/>
    <n v="0"/>
    <n v="0"/>
    <n v="0"/>
    <n v="0"/>
    <n v="0"/>
    <n v="0"/>
    <n v="0"/>
    <n v="0"/>
    <n v="0"/>
    <n v="0"/>
    <n v="0"/>
    <n v="0"/>
    <n v="0"/>
    <n v="0"/>
    <n v="3631007.7977214479"/>
    <n v="1198232.57"/>
    <n v="1882329.0077214479"/>
    <n v="621168.56930000009"/>
    <n v="1737803.95"/>
    <n v="573475.30000000005"/>
    <m/>
    <n v="3.499999875202775E-3"/>
  </r>
  <r>
    <x v="8"/>
    <s v="Smith"/>
    <n v="720565.88140360231"/>
    <n v="0"/>
    <n v="0"/>
    <n v="0"/>
    <n v="476237.0159171265"/>
    <n v="0"/>
    <n v="0"/>
    <n v="476237.0159171265"/>
    <n v="0"/>
    <n v="0"/>
    <n v="0"/>
    <n v="0"/>
    <n v="169994.04284451177"/>
    <n v="169994.04284451177"/>
    <n v="0"/>
    <n v="646231.05876163824"/>
    <n v="303822.69319879747"/>
    <n v="0"/>
    <n v="342408.36556284077"/>
    <n v="0"/>
    <n v="342408.36556284077"/>
    <n v="303822.69319879747"/>
    <n v="100261.48875560315"/>
    <n v="0"/>
    <n v="0"/>
    <m/>
    <n v="0"/>
    <n v="646231.05876163824"/>
    <n v="213256.24939134059"/>
    <n v="646231.05876163824"/>
    <n v="213256.24939134059"/>
    <n v="213256.24939134059"/>
    <n v="213256.24939134059"/>
    <n v="0"/>
    <n v="0"/>
    <n v="0"/>
    <n v="0"/>
    <n v="0"/>
    <n v="0"/>
    <n v="0"/>
    <n v="0"/>
    <n v="0"/>
    <n v="0"/>
    <n v="0"/>
    <n v="0"/>
    <n v="0"/>
    <n v="0"/>
    <n v="303822.69319879747"/>
    <n v="100261.48"/>
    <n v="303822.69319879747"/>
    <n v="100261.48"/>
    <n v="280495.21000000002"/>
    <n v="92563.41"/>
    <m/>
    <n v="9.2999999906169251E-3"/>
  </r>
  <r>
    <x v="8"/>
    <s v="Smith"/>
    <n v="-113039.361293165"/>
    <n v="0"/>
    <n v="0"/>
    <n v="0"/>
    <n v="422458.95508013206"/>
    <n v="0"/>
    <n v="0"/>
    <n v="422458.95508013206"/>
    <n v="1268"/>
    <n v="0"/>
    <n v="0"/>
    <n v="0"/>
    <n v="142322.34225304957"/>
    <n v="143590.34225304957"/>
    <n v="0"/>
    <n v="566049.2973331816"/>
    <n v="266125.59032463387"/>
    <n v="0"/>
    <n v="299923.70700854773"/>
    <n v="0"/>
    <n v="299923.70700854773"/>
    <n v="266125.59032463387"/>
    <n v="87821.44480712917"/>
    <n v="0"/>
    <n v="0"/>
    <m/>
    <n v="0"/>
    <n v="566049.2973331816"/>
    <n v="186796.26811994991"/>
    <n v="566049.2973331816"/>
    <n v="186796.26811994991"/>
    <n v="186796.26811994991"/>
    <n v="186796.26811994991"/>
    <n v="0"/>
    <n v="0"/>
    <n v="0"/>
    <n v="0"/>
    <n v="0"/>
    <n v="0"/>
    <n v="0"/>
    <n v="0"/>
    <n v="0"/>
    <n v="0"/>
    <n v="0"/>
    <n v="0"/>
    <n v="0"/>
    <n v="0"/>
    <n v="266125.59032463387"/>
    <n v="87821.440000000002"/>
    <n v="266125.59032463387"/>
    <n v="87821.440000000002"/>
    <n v="245692.49"/>
    <n v="81078.52"/>
    <m/>
    <n v="1.6999999788822606E-3"/>
  </r>
  <r>
    <x v="4"/>
    <s v="Dallas"/>
    <n v="1996386.6838058494"/>
    <n v="0"/>
    <n v="0"/>
    <n v="0"/>
    <n v="17158250.578727335"/>
    <n v="0"/>
    <n v="0"/>
    <n v="17158250.578727335"/>
    <n v="535391"/>
    <n v="0"/>
    <n v="0"/>
    <n v="0"/>
    <n v="0"/>
    <n v="535391"/>
    <n v="0"/>
    <n v="17693641.578727335"/>
    <n v="8318587.855007438"/>
    <n v="0"/>
    <n v="9375053.7237198967"/>
    <n v="0"/>
    <n v="9375053.7237198967"/>
    <n v="8318587.855007438"/>
    <n v="2745133.9921524543"/>
    <n v="7396655.4699999997"/>
    <n v="2440896.3050999995"/>
    <m/>
    <n v="0"/>
    <n v="17693641.578727335"/>
    <n v="5838901.7209800193"/>
    <n v="10296986.108727336"/>
    <n v="3398005.4158800198"/>
    <n v="3398005.4158800198"/>
    <n v="5838901.7209800193"/>
    <n v="0"/>
    <n v="0"/>
    <n v="0"/>
    <n v="0"/>
    <n v="0"/>
    <n v="0"/>
    <n v="0"/>
    <n v="0"/>
    <n v="0"/>
    <n v="0"/>
    <n v="0"/>
    <n v="0"/>
    <n v="0"/>
    <n v="0"/>
    <n v="8318587.855007438"/>
    <n v="2745133.99"/>
    <n v="921932.38500743825"/>
    <n v="304237.68490000069"/>
    <n v="851146.5"/>
    <n v="280878.34000000003"/>
    <m/>
    <n v="4.999999946448952E-3"/>
  </r>
  <r>
    <x v="8"/>
    <s v="Houston"/>
    <n v="-83023.787946265438"/>
    <n v="0"/>
    <n v="0"/>
    <n v="0"/>
    <n v="3208405.8998107649"/>
    <n v="0"/>
    <n v="0"/>
    <n v="3208405.8998107649"/>
    <n v="0"/>
    <n v="0"/>
    <n v="0"/>
    <n v="0"/>
    <n v="544277.38920164376"/>
    <n v="544277.38920164376"/>
    <n v="0"/>
    <n v="3752683.2890124088"/>
    <n v="3502887.8955383152"/>
    <n v="0"/>
    <n v="249795.39347409364"/>
    <n v="0"/>
    <n v="249795.39347409364"/>
    <n v="3502887.8955383152"/>
    <n v="1155953.005527644"/>
    <n v="205947.47"/>
    <n v="67962.665099999998"/>
    <m/>
    <n v="0"/>
    <n v="3752683.2890124088"/>
    <n v="1238385.4853740947"/>
    <n v="3546735.8190124086"/>
    <n v="1170422.8202740946"/>
    <n v="1170422.8202740946"/>
    <n v="1238385.4853740947"/>
    <n v="0"/>
    <n v="0"/>
    <n v="0"/>
    <n v="0"/>
    <n v="0"/>
    <n v="0"/>
    <n v="0"/>
    <n v="0"/>
    <n v="0"/>
    <n v="0"/>
    <n v="0"/>
    <n v="0"/>
    <n v="0"/>
    <n v="0"/>
    <n v="3502887.8955383152"/>
    <n v="1155953"/>
    <n v="3296940.425538315"/>
    <n v="1087990.3348999999"/>
    <n v="3043801.62"/>
    <n v="1004454.53"/>
    <m/>
    <n v="4.5999998692423105E-3"/>
  </r>
  <r>
    <x v="7"/>
    <s v="Travis"/>
    <n v="552379.78415692819"/>
    <n v="0"/>
    <n v="0"/>
    <n v="0"/>
    <n v="2151053.9884415232"/>
    <n v="0"/>
    <n v="0"/>
    <n v="2151053.9884415232"/>
    <n v="118995.76999999999"/>
    <n v="0"/>
    <n v="0"/>
    <n v="0"/>
    <n v="0"/>
    <n v="118995.76999999999"/>
    <n v="0"/>
    <n v="2270049.7584415232"/>
    <n v="1067253.9209530251"/>
    <n v="0"/>
    <n v="1202795.8374884981"/>
    <n v="0"/>
    <n v="1202795.8374884981"/>
    <n v="1067253.9209530251"/>
    <n v="352193.79391449824"/>
    <n v="524672.12"/>
    <n v="173141.79959999997"/>
    <m/>
    <n v="0"/>
    <n v="2270049.7584415232"/>
    <n v="749116.42028570257"/>
    <n v="1745377.6384415231"/>
    <n v="575974.62068570266"/>
    <n v="575974.62068570266"/>
    <n v="749116.42028570268"/>
    <n v="0"/>
    <n v="0"/>
    <n v="0"/>
    <n v="0"/>
    <n v="0"/>
    <n v="0"/>
    <n v="0"/>
    <n v="0"/>
    <n v="0"/>
    <n v="0"/>
    <n v="0"/>
    <n v="0"/>
    <n v="0"/>
    <n v="0"/>
    <n v="1067253.9209530251"/>
    <n v="352193.79"/>
    <n v="542581.80095302511"/>
    <n v="179051.99040000001"/>
    <n v="500922.42"/>
    <n v="165304.39000000001"/>
    <m/>
    <n v="8.5999999719206244E-3"/>
  </r>
  <r>
    <x v="8"/>
    <s v="Cooke"/>
    <n v="138048.5915524349"/>
    <n v="3526864.9935435117"/>
    <n v="2837263.6160253952"/>
    <n v="689601.3775181165"/>
    <n v="3006650.8533517565"/>
    <n v="342969.74"/>
    <n v="0"/>
    <n v="3006650.8533517565"/>
    <n v="0"/>
    <n v="0"/>
    <n v="0"/>
    <n v="0"/>
    <n v="0"/>
    <n v="0"/>
    <n v="0"/>
    <n v="3006650.8533517565"/>
    <n v="2806514.7173897275"/>
    <n v="0"/>
    <n v="200136.13596202899"/>
    <n v="0"/>
    <n v="200136.13596202899"/>
    <n v="2806514.7173897275"/>
    <n v="926149.85673860996"/>
    <n v="1087936.4099999999"/>
    <n v="359019.01529999991"/>
    <m/>
    <n v="0"/>
    <n v="3006650.8533517565"/>
    <n v="992194.78160607954"/>
    <n v="1918714.4433517565"/>
    <n v="633175.76630607969"/>
    <n v="633175.76630607969"/>
    <n v="992194.78160607954"/>
    <n v="0"/>
    <n v="0"/>
    <n v="0"/>
    <n v="0"/>
    <n v="0"/>
    <n v="0"/>
    <n v="0"/>
    <n v="0"/>
    <n v="0"/>
    <n v="0"/>
    <n v="0"/>
    <n v="0"/>
    <n v="0"/>
    <n v="0"/>
    <n v="2806514.7173897275"/>
    <n v="926149.85"/>
    <n v="1718578.3073897276"/>
    <n v="567130.83470000001"/>
    <n v="1586626.01"/>
    <n v="523586.58"/>
    <m/>
    <n v="3.2999999239109457E-3"/>
  </r>
  <r>
    <x v="0"/>
    <s v="Bosque"/>
    <n v="787356.65572587517"/>
    <n v="1067483.3072799048"/>
    <n v="238268.39301762558"/>
    <n v="829214.91426227929"/>
    <n v="335903.84625584638"/>
    <n v="554959.05000000005"/>
    <n v="0"/>
    <n v="335903.84625584638"/>
    <n v="0"/>
    <n v="0"/>
    <n v="0"/>
    <n v="0"/>
    <n v="848171"/>
    <n v="848171"/>
    <n v="0"/>
    <n v="1184074.8462558463"/>
    <n v="1105257.525596448"/>
    <n v="0"/>
    <n v="78817.320659398334"/>
    <n v="0"/>
    <n v="78817.320659398334"/>
    <n v="1105257.525596448"/>
    <n v="364734.9834468278"/>
    <n v="470223.4"/>
    <n v="155173.72199999998"/>
    <m/>
    <n v="0"/>
    <n v="1184074.8462558463"/>
    <n v="390744.69926442922"/>
    <n v="713851.4462558463"/>
    <n v="235570.97726442924"/>
    <n v="235570.97726442924"/>
    <n v="390744.69926442922"/>
    <n v="0"/>
    <n v="0"/>
    <n v="0"/>
    <n v="0"/>
    <n v="0"/>
    <n v="0"/>
    <n v="0"/>
    <n v="0"/>
    <n v="0"/>
    <n v="0"/>
    <n v="0"/>
    <n v="0"/>
    <n v="0"/>
    <n v="0"/>
    <n v="1105257.525596448"/>
    <n v="364734.98"/>
    <n v="635034.12559644796"/>
    <n v="209561.258"/>
    <n v="586276.26"/>
    <n v="193471.16"/>
    <m/>
    <n v="5.799999984446913E-3"/>
  </r>
  <r>
    <x v="9"/>
    <s v="Winkler"/>
    <n v="334143.18686891522"/>
    <n v="0"/>
    <n v="0"/>
    <n v="0"/>
    <n v="1860123.3695616766"/>
    <n v="0"/>
    <n v="0"/>
    <n v="1860123.3695616766"/>
    <n v="0"/>
    <n v="0"/>
    <n v="0"/>
    <n v="0"/>
    <n v="0"/>
    <n v="0"/>
    <n v="0"/>
    <n v="1860123.3695616766"/>
    <n v="1736305.2337838775"/>
    <n v="0"/>
    <n v="123818.13577779918"/>
    <n v="0"/>
    <n v="123818.13577779918"/>
    <n v="1736305.2337838775"/>
    <n v="572980.72714867943"/>
    <n v="742262.46"/>
    <n v="244946.61179999996"/>
    <m/>
    <n v="0"/>
    <n v="1860123.3695616766"/>
    <n v="613840.71195535327"/>
    <n v="1117860.9095616767"/>
    <n v="368894.10015535331"/>
    <n v="368894.10015535331"/>
    <n v="613840.71195535327"/>
    <n v="0"/>
    <n v="0"/>
    <n v="0"/>
    <n v="0"/>
    <n v="0"/>
    <n v="0"/>
    <n v="0"/>
    <n v="0"/>
    <n v="0"/>
    <n v="0"/>
    <n v="0"/>
    <n v="0"/>
    <n v="0"/>
    <n v="0"/>
    <n v="1736305.2337838775"/>
    <n v="572980.72"/>
    <n v="994042.77378387749"/>
    <n v="328034.10820000002"/>
    <n v="917720.25"/>
    <n v="302847.68"/>
    <m/>
    <n v="2.4999999441206455E-3"/>
  </r>
  <r>
    <x v="9"/>
    <s v="Howard"/>
    <n v="145629.99664514654"/>
    <n v="4617724.8789673308"/>
    <n v="2546463.9020898561"/>
    <n v="2071260.9768774747"/>
    <n v="3451016.8881760766"/>
    <n v="0"/>
    <n v="0"/>
    <n v="3451016.8881760766"/>
    <n v="621256"/>
    <n v="0"/>
    <n v="483256.07999999996"/>
    <n v="0"/>
    <n v="1895644.2102487492"/>
    <n v="3000156.2902487493"/>
    <n v="0"/>
    <n v="6451173.1784248259"/>
    <n v="6021754.2218098538"/>
    <n v="0"/>
    <n v="429418.95661497209"/>
    <n v="0"/>
    <n v="429418.95661497209"/>
    <n v="6021754.2218098538"/>
    <n v="1987178.8931972515"/>
    <n v="2373885.4900000002"/>
    <n v="783382.21169999999"/>
    <m/>
    <n v="0"/>
    <n v="6451173.1784248259"/>
    <n v="2128887.1488801921"/>
    <n v="4077287.6884248257"/>
    <n v="1345504.9371801922"/>
    <n v="1345504.9371801922"/>
    <n v="2128887.1488801921"/>
    <n v="0"/>
    <n v="0"/>
    <n v="0"/>
    <n v="0"/>
    <n v="0"/>
    <n v="0"/>
    <n v="0"/>
    <n v="0"/>
    <n v="0"/>
    <n v="0"/>
    <n v="0"/>
    <n v="0"/>
    <n v="0"/>
    <n v="0"/>
    <n v="6021754.2218098538"/>
    <n v="1987178.89"/>
    <n v="3647868.7318098536"/>
    <n v="1203796.6782999998"/>
    <n v="3367785.68"/>
    <n v="1111369.27"/>
    <m/>
    <n v="4.3999999761581421E-3"/>
  </r>
  <r>
    <x v="7"/>
    <s v="Hays"/>
    <n v="738834.3105780225"/>
    <n v="0"/>
    <n v="0"/>
    <n v="0"/>
    <n v="1826918.5777900289"/>
    <n v="0"/>
    <n v="0"/>
    <n v="1826918.5777900289"/>
    <n v="107322"/>
    <n v="0"/>
    <n v="0"/>
    <n v="0"/>
    <n v="0"/>
    <n v="107322"/>
    <n v="0"/>
    <n v="1934240.5777900289"/>
    <n v="909374.70997556136"/>
    <n v="0"/>
    <n v="1024865.8678144675"/>
    <n v="0"/>
    <n v="1024865.8678144675"/>
    <n v="909374.70997556136"/>
    <n v="300093.65429193521"/>
    <n v="0"/>
    <n v="0"/>
    <m/>
    <n v="0"/>
    <n v="1934240.5777900289"/>
    <n v="638299.39067070943"/>
    <n v="1934240.5777900289"/>
    <n v="638299.39067070943"/>
    <n v="638299.39067070943"/>
    <n v="638299.39067070943"/>
    <n v="0"/>
    <n v="0"/>
    <n v="0"/>
    <n v="0"/>
    <n v="0"/>
    <n v="0"/>
    <n v="0"/>
    <n v="0"/>
    <n v="0"/>
    <n v="0"/>
    <n v="0"/>
    <n v="0"/>
    <n v="0"/>
    <n v="0"/>
    <n v="909374.70997556136"/>
    <n v="300093.65000000002"/>
    <n v="909374.70997556136"/>
    <n v="300093.65000000002"/>
    <n v="839553"/>
    <n v="277052.48"/>
    <m/>
    <n v="1.0000000009313226E-2"/>
  </r>
  <r>
    <x v="12"/>
    <s v="Lubbock"/>
    <n v="21072816.883126218"/>
    <n v="33432103.720668018"/>
    <n v="16915777.455827352"/>
    <n v="16516326.264840666"/>
    <n v="30756802.517557226"/>
    <n v="5050598.3500000006"/>
    <n v="0"/>
    <n v="30756802.517557226"/>
    <n v="0"/>
    <n v="0"/>
    <n v="0"/>
    <n v="0"/>
    <n v="0"/>
    <n v="0"/>
    <n v="0"/>
    <n v="30756802.517557226"/>
    <n v="14460175.580193747"/>
    <n v="0"/>
    <n v="16296626.937363479"/>
    <n v="0"/>
    <n v="16296626.937363479"/>
    <n v="14460175.580193747"/>
    <n v="4771857.9414639361"/>
    <n v="14136665.08"/>
    <n v="4665099.4763999991"/>
    <m/>
    <n v="0"/>
    <n v="30756802.517557226"/>
    <n v="10149744.830793884"/>
    <n v="16620137.437557226"/>
    <n v="5484645.3543938845"/>
    <n v="5484645.3543938845"/>
    <n v="10149744.830793884"/>
    <n v="0"/>
    <n v="0"/>
    <n v="0"/>
    <n v="0"/>
    <n v="0"/>
    <n v="0"/>
    <n v="0"/>
    <n v="0"/>
    <n v="0"/>
    <n v="0"/>
    <n v="0"/>
    <n v="0"/>
    <n v="0"/>
    <n v="0"/>
    <n v="14460175.580193747"/>
    <n v="4771857.9400000004"/>
    <n v="323510.50019374676"/>
    <n v="106758.4636000013"/>
    <n v="298671.39"/>
    <n v="98561.56"/>
    <m/>
    <n v="-1.3000000035390258E-3"/>
  </r>
  <r>
    <x v="7"/>
    <s v="Travis"/>
    <n v="282640.74489405437"/>
    <n v="0"/>
    <n v="0"/>
    <n v="0"/>
    <n v="1148111.5210476799"/>
    <n v="0"/>
    <n v="0"/>
    <n v="1148111.5210476799"/>
    <n v="164120"/>
    <n v="0"/>
    <n v="0"/>
    <n v="0"/>
    <n v="0"/>
    <n v="164120"/>
    <n v="0"/>
    <n v="1312231.5210476799"/>
    <n v="616939.88461194572"/>
    <n v="0"/>
    <n v="695291.63643573422"/>
    <n v="0"/>
    <n v="695291.63643573422"/>
    <n v="616939.88461194572"/>
    <n v="203590.16192194205"/>
    <n v="0"/>
    <n v="0"/>
    <m/>
    <n v="0"/>
    <n v="1312231.5210476799"/>
    <n v="433036.40194573434"/>
    <n v="1312231.5210476799"/>
    <n v="433036.40194573434"/>
    <n v="433036.40194573434"/>
    <n v="433036.40194573434"/>
    <n v="0"/>
    <n v="0"/>
    <n v="0"/>
    <n v="0"/>
    <n v="0"/>
    <n v="0"/>
    <n v="0"/>
    <n v="0"/>
    <n v="0"/>
    <n v="0"/>
    <n v="0"/>
    <n v="0"/>
    <n v="0"/>
    <n v="0"/>
    <n v="616939.88461194572"/>
    <n v="203590.16"/>
    <n v="616939.88461194572"/>
    <n v="203590.16"/>
    <n v="569571.29"/>
    <n v="187958.52"/>
    <m/>
    <n v="5.7000000088009983E-3"/>
  </r>
  <r>
    <x v="0"/>
    <s v="Brazos"/>
    <n v="2613717.9473508094"/>
    <n v="0"/>
    <n v="0"/>
    <n v="0"/>
    <n v="3817361.5326140672"/>
    <n v="0"/>
    <n v="0"/>
    <n v="3817361.5326140672"/>
    <n v="0"/>
    <n v="0"/>
    <n v="0"/>
    <n v="0"/>
    <n v="0"/>
    <n v="0"/>
    <n v="0"/>
    <n v="3817361.5326140672"/>
    <n v="1794715.7537967961"/>
    <n v="0"/>
    <n v="2022645.7788172711"/>
    <n v="0"/>
    <n v="2022645.7788172711"/>
    <n v="1794715.7537967961"/>
    <n v="592256.19875294261"/>
    <n v="1503118.63"/>
    <n v="496029.14789999992"/>
    <m/>
    <n v="0"/>
    <n v="3817361.5326140672"/>
    <n v="1259729.3057626421"/>
    <n v="2314242.9026140673"/>
    <n v="763700.15786264208"/>
    <n v="763700.15786264208"/>
    <n v="1259729.3057626421"/>
    <n v="0"/>
    <n v="0"/>
    <n v="0"/>
    <n v="0"/>
    <n v="0"/>
    <n v="0"/>
    <n v="0"/>
    <n v="0"/>
    <n v="0"/>
    <n v="0"/>
    <n v="0"/>
    <n v="0"/>
    <n v="0"/>
    <n v="0"/>
    <n v="1794715.7537967961"/>
    <n v="592256.18999999994"/>
    <n v="291597.12379679619"/>
    <n v="96227.042100000021"/>
    <n v="269208.32000000001"/>
    <n v="88838.74"/>
    <m/>
    <n v="5.599999989499338E-3"/>
  </r>
  <r>
    <x v="10"/>
    <s v="Walker"/>
    <n v="2206326.0335337985"/>
    <n v="7175444.5961651579"/>
    <n v="6257191.5859172614"/>
    <n v="918253.01024789643"/>
    <n v="7260111.0577777158"/>
    <n v="4266915.7"/>
    <n v="1142336.6562183052"/>
    <n v="6117774.4015594106"/>
    <n v="70522"/>
    <n v="0"/>
    <n v="0"/>
    <n v="0"/>
    <n v="92520.687247636335"/>
    <n v="163042.68724763632"/>
    <n v="0"/>
    <n v="6280817.0888070473"/>
    <n v="2952898.5608756482"/>
    <n v="0"/>
    <n v="3327918.5279313992"/>
    <n v="0"/>
    <n v="3327918.5279313992"/>
    <n v="2952898.5608756482"/>
    <n v="974456.5250889638"/>
    <n v="2993673.38"/>
    <n v="987912.21539999987"/>
    <m/>
    <n v="0"/>
    <n v="6280817.0888070473"/>
    <n v="2072669.6393063255"/>
    <n v="3287143.7088070475"/>
    <n v="1084757.4239063256"/>
    <n v="1084757.4239063256"/>
    <n v="2072669.6393063255"/>
    <n v="0"/>
    <n v="0"/>
    <n v="0"/>
    <n v="0"/>
    <n v="0"/>
    <n v="0"/>
    <n v="0"/>
    <n v="0"/>
    <n v="0"/>
    <n v="0"/>
    <n v="0"/>
    <n v="0"/>
    <n v="0"/>
    <n v="0"/>
    <n v="2952898.5608756482"/>
    <n v="974456.52"/>
    <n v="-40774.819124351721"/>
    <n v="-13455.695399999851"/>
    <n v="0"/>
    <n v="0"/>
    <m/>
    <n v="0"/>
  </r>
  <r>
    <x v="6"/>
    <s v="Denton"/>
    <n v="2212208.8134567682"/>
    <n v="0"/>
    <n v="0"/>
    <n v="0"/>
    <n v="1842354.5007533566"/>
    <n v="0"/>
    <n v="0"/>
    <n v="1842354.5007533566"/>
    <n v="0"/>
    <n v="0"/>
    <n v="0"/>
    <n v="0"/>
    <n v="7517918"/>
    <n v="7517918"/>
    <n v="0"/>
    <n v="9360272.5007533561"/>
    <n v="4400690.9938732674"/>
    <n v="0"/>
    <n v="4959581.5068800887"/>
    <n v="0"/>
    <n v="4959581.5068800887"/>
    <n v="4400690.9938732674"/>
    <n v="1452228.0279781781"/>
    <n v="4124890.06"/>
    <n v="1361213.7197999998"/>
    <m/>
    <n v="0"/>
    <n v="9360272.5007533561"/>
    <n v="3088889.9252486071"/>
    <n v="5235382.4407533556"/>
    <n v="1727676.2054486072"/>
    <n v="1727676.2054486072"/>
    <n v="3088889.9252486071"/>
    <n v="0"/>
    <n v="0"/>
    <n v="0"/>
    <n v="0"/>
    <n v="0"/>
    <n v="0"/>
    <n v="0"/>
    <n v="0"/>
    <n v="0"/>
    <n v="0"/>
    <n v="0"/>
    <n v="0"/>
    <n v="0"/>
    <n v="0"/>
    <n v="4400690.9938732674"/>
    <n v="1452228.02"/>
    <n v="275800.93387326738"/>
    <n v="91014.300200000172"/>
    <n v="254624.96"/>
    <n v="84026.23"/>
    <m/>
    <n v="6.7999999882886186E-3"/>
  </r>
  <r>
    <x v="7"/>
    <s v="Bastrop"/>
    <n v="31445.364852608"/>
    <n v="1344173.7987258551"/>
    <n v="851261.96985338873"/>
    <n v="492911.82887246634"/>
    <n v="562204.21760814078"/>
    <n v="0"/>
    <n v="0"/>
    <n v="562204.21760814078"/>
    <n v="49855"/>
    <n v="0"/>
    <n v="0"/>
    <n v="0"/>
    <n v="1313522"/>
    <n v="1363377"/>
    <n v="0"/>
    <n v="1925581.2176081408"/>
    <n v="905303.54982909432"/>
    <n v="0"/>
    <n v="1020277.6677790465"/>
    <n v="0"/>
    <n v="1020277.6677790465"/>
    <n v="905303.54982909432"/>
    <n v="298750.17144360108"/>
    <n v="0"/>
    <n v="0"/>
    <m/>
    <n v="0"/>
    <n v="1925581.2176081408"/>
    <n v="635441.80181068636"/>
    <n v="1925581.2176081408"/>
    <n v="635441.80181068636"/>
    <n v="635441.80181068636"/>
    <n v="635441.80181068636"/>
    <n v="0"/>
    <n v="0"/>
    <n v="0"/>
    <n v="0"/>
    <n v="0"/>
    <n v="0"/>
    <n v="0"/>
    <n v="0"/>
    <n v="0"/>
    <n v="0"/>
    <n v="0"/>
    <n v="0"/>
    <n v="0"/>
    <n v="0"/>
    <n v="905303.54982909432"/>
    <n v="298750.17"/>
    <n v="905303.54982909432"/>
    <n v="298750.17"/>
    <n v="835794.42"/>
    <n v="275812.15999999997"/>
    <m/>
    <n v="-1.4000000082887709E-3"/>
  </r>
  <r>
    <x v="7"/>
    <s v="Hays"/>
    <n v="2465403.5320517737"/>
    <n v="9699652.7675160635"/>
    <n v="3609602.9646575013"/>
    <n v="6090049.8028585622"/>
    <n v="3609602.9646575013"/>
    <n v="0"/>
    <n v="0"/>
    <n v="3609602.9646575013"/>
    <n v="0"/>
    <n v="0"/>
    <n v="1704467.5242303065"/>
    <n v="0"/>
    <n v="7380882.6251999997"/>
    <n v="9085350.1494303066"/>
    <n v="0"/>
    <n v="12694953.114087809"/>
    <n v="5968476.4340261705"/>
    <n v="0"/>
    <n v="6726476.6800616384"/>
    <n v="0"/>
    <n v="6726476.6800616384"/>
    <n v="5968476.4340261705"/>
    <n v="1969597.223228636"/>
    <n v="5849233.4299999997"/>
    <n v="1930247.0318999996"/>
    <m/>
    <n v="0"/>
    <n v="12694953.114087809"/>
    <n v="4189334.5276489765"/>
    <n v="6845719.6840878092"/>
    <n v="2259087.4957489772"/>
    <n v="2259087.4957489772"/>
    <n v="4189334.527648977"/>
    <n v="0"/>
    <n v="0"/>
    <n v="0"/>
    <n v="0"/>
    <n v="0"/>
    <n v="0"/>
    <n v="0"/>
    <n v="0"/>
    <n v="0"/>
    <n v="0"/>
    <n v="0"/>
    <n v="0"/>
    <n v="0"/>
    <n v="0"/>
    <n v="5968476.4340261705"/>
    <n v="1969597.22"/>
    <n v="119243.00402617082"/>
    <n v="39350.188100000378"/>
    <n v="110087.54"/>
    <n v="36328.879999999997"/>
    <m/>
    <n v="8.1999999965773895E-3"/>
  </r>
  <r>
    <x v="9"/>
    <s v="Wheeler"/>
    <n v="93427.776255923207"/>
    <n v="0"/>
    <n v="0"/>
    <n v="0"/>
    <n v="0"/>
    <n v="0"/>
    <n v="0"/>
    <n v="0"/>
    <n v="0"/>
    <n v="0"/>
    <n v="0"/>
    <n v="0"/>
    <n v="680427"/>
    <n v="680427"/>
    <n v="0"/>
    <n v="680427"/>
    <n v="635134.73387856898"/>
    <n v="0"/>
    <n v="45292.266121431021"/>
    <n v="0"/>
    <n v="45292.266121431021"/>
    <n v="635134.73387856898"/>
    <n v="209594.46217992774"/>
    <n v="0"/>
    <n v="0"/>
    <m/>
    <n v="0"/>
    <n v="680427"/>
    <n v="224540.90999999997"/>
    <n v="680427"/>
    <n v="224540.90999999997"/>
    <n v="224540.90999999997"/>
    <n v="224540.90999999997"/>
    <n v="0"/>
    <n v="0"/>
    <n v="0"/>
    <n v="0"/>
    <n v="0"/>
    <n v="0"/>
    <n v="0"/>
    <n v="0"/>
    <n v="0"/>
    <n v="0"/>
    <n v="0"/>
    <n v="0"/>
    <n v="0"/>
    <n v="0"/>
    <n v="635134.73387856898"/>
    <n v="209594.46"/>
    <n v="635134.73387856898"/>
    <n v="209594.46"/>
    <n v="586369.14"/>
    <n v="193501.82"/>
    <m/>
    <n v="-3.8000000349711627E-3"/>
  </r>
  <r>
    <x v="9"/>
    <s v="Brown"/>
    <n v="-1609655.6090682382"/>
    <n v="614113.24658639671"/>
    <n v="41736.2715997696"/>
    <n v="572376.97498662712"/>
    <n v="591380.74601392634"/>
    <n v="0"/>
    <n v="0"/>
    <n v="591380.74601392634"/>
    <n v="0"/>
    <n v="0"/>
    <n v="0"/>
    <n v="0"/>
    <n v="643566"/>
    <n v="643566"/>
    <n v="0"/>
    <n v="1234946.7460139263"/>
    <n v="1152743.1640481048"/>
    <n v="0"/>
    <n v="82203.581965821562"/>
    <n v="0"/>
    <n v="82203.581965821562"/>
    <n v="1152743.1640481048"/>
    <n v="380405.24413587456"/>
    <n v="216647.04000000001"/>
    <n v="71493.523199999996"/>
    <m/>
    <n v="0"/>
    <n v="1234946.7460139263"/>
    <n v="407532.42618459562"/>
    <n v="1018299.7060139263"/>
    <n v="336038.90298459562"/>
    <n v="336038.90298459562"/>
    <n v="407532.42618459562"/>
    <n v="0"/>
    <n v="0"/>
    <n v="0"/>
    <n v="0"/>
    <n v="0"/>
    <n v="0"/>
    <n v="0"/>
    <n v="0"/>
    <n v="0"/>
    <n v="0"/>
    <n v="0"/>
    <n v="0"/>
    <n v="0"/>
    <n v="0"/>
    <n v="1152743.1640481048"/>
    <n v="380405.24"/>
    <n v="936096.12404810474"/>
    <n v="308911.71679999999"/>
    <n v="864222.74"/>
    <n v="285193.5"/>
    <m/>
    <n v="4.1999999666586518E-3"/>
  </r>
  <r>
    <x v="4"/>
    <s v="Ellis"/>
    <n v="0"/>
    <n v="0"/>
    <n v="0"/>
    <n v="0"/>
    <n v="0"/>
    <n v="0"/>
    <n v="0"/>
    <n v="0"/>
    <n v="0"/>
    <n v="0"/>
    <n v="0"/>
    <n v="0"/>
    <n v="2590106"/>
    <n v="2590106"/>
    <n v="0"/>
    <n v="2590106"/>
    <n v="1217726.9568230768"/>
    <n v="0"/>
    <n v="1372379.0431769232"/>
    <n v="0"/>
    <n v="1372379.0431769232"/>
    <n v="1217726.9568230768"/>
    <n v="401849.89575161529"/>
    <n v="0"/>
    <n v="0"/>
    <m/>
    <n v="0"/>
    <n v="2590106"/>
    <n v="854734.97999999986"/>
    <n v="2590106"/>
    <n v="854734.97999999986"/>
    <n v="854734.97999999986"/>
    <n v="854734.97999999986"/>
    <n v="0"/>
    <n v="0"/>
    <n v="0"/>
    <n v="0"/>
    <n v="0"/>
    <n v="0"/>
    <n v="0"/>
    <n v="0"/>
    <n v="0"/>
    <n v="0"/>
    <n v="0"/>
    <n v="0"/>
    <n v="0"/>
    <n v="0"/>
    <n v="1217726.9568230768"/>
    <n v="401849.89"/>
    <n v="1217726.9568230768"/>
    <n v="401849.89"/>
    <n v="1124229.99"/>
    <n v="370995.89"/>
    <m/>
    <n v="6.6999999107792974E-3"/>
  </r>
  <r>
    <x v="9"/>
    <s v="Ector"/>
    <n v="0"/>
    <n v="0"/>
    <n v="0"/>
    <n v="0"/>
    <n v="1660207.1926414245"/>
    <n v="0"/>
    <n v="0"/>
    <n v="1660207.1926414245"/>
    <n v="0"/>
    <n v="0"/>
    <n v="0"/>
    <n v="0"/>
    <n v="0"/>
    <n v="0"/>
    <n v="0"/>
    <n v="1660207.1926414245"/>
    <n v="847561.65009086614"/>
    <n v="0"/>
    <n v="812645.54255055834"/>
    <n v="0"/>
    <n v="812645.54255055834"/>
    <n v="847561.65009086614"/>
    <n v="279695.3445299858"/>
    <n v="772461.15"/>
    <n v="254912.17949999997"/>
    <m/>
    <n v="0"/>
    <n v="1660207.1926414245"/>
    <n v="547868.37357167003"/>
    <n v="887746.04264142446"/>
    <n v="292956.19407167006"/>
    <n v="292956.19407167006"/>
    <n v="547868.37357167003"/>
    <n v="0"/>
    <n v="0"/>
    <n v="0"/>
    <n v="0"/>
    <n v="0"/>
    <n v="0"/>
    <n v="0"/>
    <n v="0"/>
    <n v="0"/>
    <n v="0"/>
    <n v="0"/>
    <n v="0"/>
    <n v="0"/>
    <n v="0"/>
    <n v="847561.65009086614"/>
    <n v="279695.34000000003"/>
    <n v="75100.500090866117"/>
    <n v="24783.160500000056"/>
    <n v="69334.289999999994"/>
    <n v="22880.31"/>
    <m/>
    <n v="5.6999999942490831E-3"/>
  </r>
  <r>
    <x v="12"/>
    <s v="Potter"/>
    <n v="0"/>
    <n v="0"/>
    <n v="0"/>
    <n v="0"/>
    <n v="1633592.4778658811"/>
    <n v="0"/>
    <n v="0"/>
    <n v="1633592.4778658811"/>
    <n v="0"/>
    <n v="0"/>
    <n v="0"/>
    <n v="0"/>
    <n v="0"/>
    <n v="0"/>
    <n v="0"/>
    <n v="1633592.4778658811"/>
    <n v="833974.42334480688"/>
    <n v="0"/>
    <n v="799618.05452107417"/>
    <n v="0"/>
    <n v="799618.05452107417"/>
    <n v="833974.42334480688"/>
    <n v="275211.55970378622"/>
    <n v="484913.41"/>
    <n v="160021.42529999997"/>
    <m/>
    <n v="0"/>
    <n v="1633592.4778658811"/>
    <n v="539085.51769574068"/>
    <n v="1148679.0678658811"/>
    <n v="379064.09239574068"/>
    <n v="379064.09239574068"/>
    <n v="539085.51769574068"/>
    <n v="0"/>
    <n v="0"/>
    <n v="0"/>
    <n v="0"/>
    <n v="0"/>
    <n v="0"/>
    <n v="0"/>
    <n v="0"/>
    <n v="0"/>
    <n v="0"/>
    <n v="0"/>
    <n v="0"/>
    <n v="0"/>
    <n v="0"/>
    <n v="833974.42334480688"/>
    <n v="275211.55"/>
    <n v="349061.01334480691"/>
    <n v="115190.12470000001"/>
    <n v="322260.14"/>
    <n v="106345.84"/>
    <m/>
    <n v="6.1999999888939783E-3"/>
  </r>
  <r>
    <x v="11"/>
    <s v="El Paso"/>
    <n v="0"/>
    <n v="0"/>
    <n v="0"/>
    <n v="0"/>
    <n v="6542740.0637753094"/>
    <n v="0"/>
    <n v="0"/>
    <n v="6542740.0637753094"/>
    <n v="0"/>
    <n v="0"/>
    <n v="0"/>
    <n v="0"/>
    <n v="0"/>
    <n v="0"/>
    <n v="0"/>
    <n v="6542740.0637753094"/>
    <n v="3340170.7866029725"/>
    <n v="0"/>
    <n v="3202569.2771723368"/>
    <n v="0"/>
    <n v="3202569.2771723368"/>
    <n v="3340170.7866029725"/>
    <n v="1102256.3595789808"/>
    <n v="2820449.41"/>
    <n v="930748.30529999989"/>
    <m/>
    <n v="0"/>
    <n v="6542740.0637753094"/>
    <n v="2159104.2210458517"/>
    <n v="3722290.6537753092"/>
    <n v="1228355.9157458518"/>
    <n v="1228355.9157458518"/>
    <n v="2159104.2210458517"/>
    <n v="0"/>
    <n v="0"/>
    <n v="0"/>
    <n v="0"/>
    <n v="0"/>
    <n v="0"/>
    <n v="0"/>
    <n v="0"/>
    <n v="0"/>
    <n v="0"/>
    <n v="0"/>
    <n v="0"/>
    <n v="0"/>
    <n v="0"/>
    <n v="3340170.7866029725"/>
    <n v="1102256.3500000001"/>
    <n v="519721.37660297239"/>
    <n v="171508.0447000002"/>
    <n v="479817.21"/>
    <n v="158339.67000000001"/>
    <m/>
    <n v="9.2999999760650098E-3"/>
  </r>
  <r>
    <x v="12"/>
    <s v="Lubbock"/>
    <n v="0"/>
    <n v="0"/>
    <n v="0"/>
    <n v="0"/>
    <n v="8247711.6077478454"/>
    <n v="0"/>
    <n v="0"/>
    <n v="8247711.6077478454"/>
    <n v="0"/>
    <n v="0"/>
    <n v="0"/>
    <n v="0"/>
    <n v="0"/>
    <n v="0"/>
    <n v="0"/>
    <n v="8247711.6077478454"/>
    <n v="4210585.3358064368"/>
    <n v="0"/>
    <n v="4037126.2719414085"/>
    <n v="0"/>
    <n v="4037126.2719414085"/>
    <n v="4210585.3358064368"/>
    <n v="1389493.1608161239"/>
    <n v="2797741.58"/>
    <n v="923254.72139999992"/>
    <m/>
    <n v="0"/>
    <n v="8247711.6077478454"/>
    <n v="2721744.8305567885"/>
    <n v="5449970.0277478453"/>
    <n v="1798490.1091567886"/>
    <n v="1798490.1091567886"/>
    <n v="2721744.8305567885"/>
    <n v="0"/>
    <n v="0"/>
    <n v="0"/>
    <n v="0"/>
    <n v="0"/>
    <n v="0"/>
    <n v="0"/>
    <n v="0"/>
    <n v="0"/>
    <n v="0"/>
    <n v="0"/>
    <n v="0"/>
    <n v="0"/>
    <n v="0"/>
    <n v="4210585.3358064368"/>
    <n v="1389493.16"/>
    <n v="1412843.7558064368"/>
    <n v="466238.43859999999"/>
    <n v="1304365.73"/>
    <n v="430440.69"/>
    <m/>
    <n v="8.9999992633238435E-4"/>
  </r>
  <r>
    <x v="3"/>
    <s v="Bexar"/>
    <n v="0"/>
    <n v="0"/>
    <n v="0"/>
    <n v="0"/>
    <n v="1375863.520162716"/>
    <n v="0"/>
    <n v="0"/>
    <n v="1375863.520162716"/>
    <n v="0"/>
    <n v="0"/>
    <n v="0"/>
    <n v="0"/>
    <n v="0"/>
    <n v="0"/>
    <n v="0"/>
    <n v="1375863.520162716"/>
    <n v="702399.77312325896"/>
    <n v="0"/>
    <n v="673463.74703945708"/>
    <n v="0"/>
    <n v="673463.74703945708"/>
    <n v="702399.77312325896"/>
    <n v="231791.92513067543"/>
    <n v="609043.38"/>
    <n v="200984.31539999996"/>
    <m/>
    <n v="0"/>
    <n v="1375863.520162716"/>
    <n v="454034.96165369626"/>
    <n v="766820.14016271604"/>
    <n v="253050.64625369629"/>
    <n v="253050.64625369629"/>
    <n v="454034.96165369626"/>
    <n v="0"/>
    <n v="0"/>
    <n v="0"/>
    <n v="0"/>
    <n v="0"/>
    <n v="0"/>
    <n v="0"/>
    <n v="0"/>
    <n v="0"/>
    <n v="0"/>
    <n v="0"/>
    <n v="0"/>
    <n v="0"/>
    <n v="0"/>
    <n v="702399.77312325896"/>
    <n v="231791.92"/>
    <n v="93356.393123258953"/>
    <n v="30807.60460000005"/>
    <n v="86188.5"/>
    <n v="28442.2"/>
    <m/>
    <n v="4.9999999973806553E-3"/>
  </r>
  <r>
    <x v="3"/>
    <s v="Bexar"/>
    <n v="0"/>
    <n v="0"/>
    <n v="0"/>
    <n v="0"/>
    <n v="7653307.4121672399"/>
    <n v="0"/>
    <n v="0"/>
    <n v="7653307.4121672399"/>
    <n v="0"/>
    <n v="0"/>
    <n v="0"/>
    <n v="0"/>
    <n v="0"/>
    <n v="0"/>
    <n v="0"/>
    <n v="7653307.4121672399"/>
    <n v="3907132.7287702723"/>
    <n v="0"/>
    <n v="3746174.6833969676"/>
    <n v="0"/>
    <n v="3746174.6833969676"/>
    <n v="3907132.7287702723"/>
    <n v="1289353.8004941896"/>
    <n v="1814446.5"/>
    <n v="598767.34499999997"/>
    <m/>
    <n v="0"/>
    <n v="7653307.4121672399"/>
    <n v="2525591.4460151889"/>
    <n v="5838860.9121672399"/>
    <n v="1926824.101015189"/>
    <n v="1926824.101015189"/>
    <n v="2525591.4460151889"/>
    <n v="0"/>
    <n v="0"/>
    <n v="0"/>
    <n v="0"/>
    <n v="0"/>
    <n v="0"/>
    <n v="0"/>
    <n v="0"/>
    <n v="0"/>
    <n v="0"/>
    <n v="0"/>
    <n v="0"/>
    <n v="0"/>
    <n v="0"/>
    <n v="3907132.7287702723"/>
    <n v="1289353.8"/>
    <n v="2092686.2287702723"/>
    <n v="690586.45500000007"/>
    <n v="1932009.96"/>
    <n v="637563.29"/>
    <m/>
    <n v="-3.2000001519918442E-3"/>
  </r>
  <r>
    <x v="2"/>
    <s v="Galveston"/>
    <n v="0"/>
    <n v="0"/>
    <n v="0"/>
    <n v="0"/>
    <n v="2649897.382601738"/>
    <n v="0"/>
    <n v="0"/>
    <n v="2649897.382601738"/>
    <n v="0"/>
    <n v="0"/>
    <n v="0"/>
    <n v="0"/>
    <n v="0"/>
    <n v="0"/>
    <n v="0"/>
    <n v="2649897.382601738"/>
    <n v="1352813.9187230242"/>
    <n v="0"/>
    <n v="1297083.4638787138"/>
    <n v="0"/>
    <n v="1297083.4638787138"/>
    <n v="1352813.9187230242"/>
    <n v="446428.59317859792"/>
    <n v="1210677.1599999999"/>
    <n v="399523.46279999992"/>
    <m/>
    <n v="0"/>
    <n v="2649897.382601738"/>
    <n v="874466.13625857339"/>
    <n v="1439220.2226017381"/>
    <n v="474942.67345857347"/>
    <n v="474942.67345857347"/>
    <n v="874466.13625857339"/>
    <n v="0"/>
    <n v="0"/>
    <n v="0"/>
    <n v="0"/>
    <n v="0"/>
    <n v="0"/>
    <n v="0"/>
    <n v="0"/>
    <n v="0"/>
    <n v="0"/>
    <n v="0"/>
    <n v="0"/>
    <n v="0"/>
    <n v="0"/>
    <n v="1352813.9187230242"/>
    <n v="446428.59"/>
    <n v="142136.75872302428"/>
    <n v="46905.127200000104"/>
    <n v="131223.51"/>
    <n v="43303.76"/>
    <m/>
    <n v="-1.7000000007101335E-3"/>
  </r>
  <r>
    <x v="2"/>
    <s v="Harris"/>
    <n v="0"/>
    <n v="0"/>
    <n v="0"/>
    <n v="0"/>
    <n v="17401701.179420464"/>
    <n v="0"/>
    <n v="0"/>
    <n v="17401701.179420464"/>
    <n v="0"/>
    <n v="0"/>
    <n v="0"/>
    <n v="0"/>
    <n v="0"/>
    <n v="0"/>
    <n v="0"/>
    <n v="17401701.179420464"/>
    <n v="8883839.6986774821"/>
    <n v="0"/>
    <n v="8517861.4807429817"/>
    <n v="0"/>
    <n v="8517861.4807429817"/>
    <n v="8883839.6986774821"/>
    <n v="2931667.1005635685"/>
    <n v="13976223.84"/>
    <n v="4612153.8671999993"/>
    <m/>
    <n v="0"/>
    <n v="17401701.179420464"/>
    <n v="5742561.3892087527"/>
    <n v="3425477.3394204639"/>
    <n v="1130407.5220087534"/>
    <n v="1130407.5220087534"/>
    <n v="5742561.3892087527"/>
    <n v="0"/>
    <n v="0"/>
    <n v="0"/>
    <n v="0"/>
    <n v="0"/>
    <n v="0"/>
    <n v="0"/>
    <n v="0"/>
    <n v="0"/>
    <n v="0"/>
    <n v="0"/>
    <n v="0"/>
    <n v="0"/>
    <n v="0"/>
    <n v="8883839.6986774821"/>
    <n v="2931667.1"/>
    <n v="-5092384.1413225178"/>
    <n v="-1680486.7671999992"/>
    <n v="0"/>
    <n v="0"/>
    <m/>
    <n v="0"/>
  </r>
  <r>
    <x v="0"/>
    <s v="Bell"/>
    <n v="0"/>
    <n v="0"/>
    <n v="0"/>
    <n v="0"/>
    <n v="22684027.540432937"/>
    <n v="0"/>
    <n v="0"/>
    <n v="22684027.540432937"/>
    <n v="0"/>
    <n v="0"/>
    <n v="0"/>
    <n v="0"/>
    <n v="0"/>
    <n v="0"/>
    <n v="0"/>
    <n v="22684027.540432937"/>
    <n v="11580549.643497715"/>
    <n v="0"/>
    <n v="11103477.896935223"/>
    <n v="0"/>
    <n v="11103477.896935223"/>
    <n v="11580549.643497715"/>
    <n v="3821581.3823542455"/>
    <n v="6311380.5599999996"/>
    <n v="2082755.5847999996"/>
    <m/>
    <n v="0"/>
    <n v="22684027.540432937"/>
    <n v="7485729.0883428687"/>
    <n v="16372646.980432939"/>
    <n v="5402973.5035428694"/>
    <n v="5402973.5035428694"/>
    <n v="7485729.0883428687"/>
    <n v="0"/>
    <n v="0"/>
    <n v="0"/>
    <n v="0"/>
    <n v="0"/>
    <n v="0"/>
    <n v="0"/>
    <n v="0"/>
    <n v="0"/>
    <n v="0"/>
    <n v="0"/>
    <n v="0"/>
    <n v="0"/>
    <n v="0"/>
    <n v="11580549.643497715"/>
    <n v="3821581.38"/>
    <n v="5269169.0834977152"/>
    <n v="1738825.7952000003"/>
    <n v="4864602.7300000004"/>
    <n v="1605318.9"/>
    <m/>
    <n v="9.0000010095536709E-4"/>
  </r>
  <r>
    <x v="4"/>
    <s v="Dallas"/>
    <n v="0"/>
    <n v="0"/>
    <n v="0"/>
    <n v="0"/>
    <n v="4004496.4877925497"/>
    <n v="0"/>
    <n v="0"/>
    <n v="4004496.4877925497"/>
    <n v="0"/>
    <n v="0"/>
    <n v="0"/>
    <n v="0"/>
    <n v="0"/>
    <n v="0"/>
    <n v="0"/>
    <n v="4004496.4877925497"/>
    <n v="2044357.8765470316"/>
    <n v="0"/>
    <n v="1960138.6112455181"/>
    <n v="0"/>
    <n v="1960138.6112455181"/>
    <n v="2044357.8765470316"/>
    <n v="674638.09926052031"/>
    <n v="3101538.83"/>
    <n v="1023507.8139"/>
    <m/>
    <n v="0"/>
    <n v="4004496.4877925497"/>
    <n v="1321483.8409715411"/>
    <n v="902957.65779254958"/>
    <n v="297976.02707154118"/>
    <n v="297976.02707154118"/>
    <n v="1321483.8409715411"/>
    <n v="0"/>
    <n v="0"/>
    <n v="0"/>
    <n v="0"/>
    <n v="0"/>
    <n v="0"/>
    <n v="0"/>
    <n v="0"/>
    <n v="0"/>
    <n v="0"/>
    <n v="0"/>
    <n v="0"/>
    <n v="0"/>
    <n v="0"/>
    <n v="2044357.8765470316"/>
    <n v="674638.09"/>
    <n v="-1057180.9534529685"/>
    <n v="-348869.72389999998"/>
    <n v="0"/>
    <n v="0"/>
    <m/>
    <n v="0"/>
  </r>
  <r>
    <x v="6"/>
    <s v="Tarrant"/>
    <n v="0"/>
    <n v="0"/>
    <n v="0"/>
    <n v="0"/>
    <n v="160034.43621855351"/>
    <n v="0"/>
    <n v="0"/>
    <n v="160034.43621855351"/>
    <n v="0"/>
    <n v="0"/>
    <n v="0"/>
    <n v="0"/>
    <n v="0"/>
    <n v="0"/>
    <n v="0"/>
    <n v="160034.43621855351"/>
    <n v="81700.074203963726"/>
    <n v="0"/>
    <n v="78334.362014589788"/>
    <n v="0"/>
    <n v="78334.362014589788"/>
    <n v="81700.074203963726"/>
    <n v="26961.024487308026"/>
    <n v="55389.760000000002"/>
    <n v="18278.620799999997"/>
    <m/>
    <n v="0"/>
    <n v="160034.43621855351"/>
    <n v="52811.363952122651"/>
    <n v="104644.6762185535"/>
    <n v="34532.743152122654"/>
    <n v="34532.743152122654"/>
    <n v="52811.363952122651"/>
    <n v="0"/>
    <n v="0"/>
    <n v="0"/>
    <n v="0"/>
    <n v="0"/>
    <n v="0"/>
    <n v="0"/>
    <n v="0"/>
    <n v="0"/>
    <n v="0"/>
    <n v="0"/>
    <n v="0"/>
    <n v="0"/>
    <n v="0"/>
    <n v="81700.074203963726"/>
    <n v="26961.02"/>
    <n v="26310.314203963724"/>
    <n v="8682.3992000000035"/>
    <n v="24290.21"/>
    <n v="8015.77"/>
    <m/>
    <n v="-7.0000000141590135E-4"/>
  </r>
  <r>
    <x v="12"/>
    <s v="Lubbock"/>
    <n v="0"/>
    <n v="0"/>
    <n v="0"/>
    <n v="0"/>
    <n v="42.030723827191416"/>
    <n v="0"/>
    <n v="0"/>
    <n v="42.030723827191416"/>
    <n v="0"/>
    <n v="0"/>
    <n v="0"/>
    <n v="0"/>
    <n v="0"/>
    <n v="0"/>
    <n v="0"/>
    <n v="42.030723827191416"/>
    <n v="21.457339661810465"/>
    <n v="0"/>
    <n v="20.573384165380951"/>
    <n v="0"/>
    <n v="20.573384165380951"/>
    <n v="21.457339661810465"/>
    <n v="7.0809220883974531"/>
    <n v="9736.85"/>
    <n v="3213.1605"/>
    <m/>
    <n v="0"/>
    <n v="42.030723827191416"/>
    <n v="13.870138862973166"/>
    <n v="-9694.8192761728096"/>
    <n v="-3199.2903611370266"/>
    <n v="-3199.2903611370266"/>
    <n v="13.870138862973363"/>
    <n v="0"/>
    <n v="0"/>
    <n v="0"/>
    <n v="0"/>
    <n v="0"/>
    <n v="0"/>
    <n v="0"/>
    <n v="0"/>
    <n v="0"/>
    <n v="0"/>
    <n v="0"/>
    <n v="0"/>
    <n v="0"/>
    <n v="0"/>
    <n v="21.457339661810465"/>
    <n v="7.08"/>
    <n v="-9715.3926603381897"/>
    <n v="-3206.0805"/>
    <n v="0"/>
    <n v="0"/>
    <m/>
    <n v="0"/>
  </r>
  <r>
    <x v="12"/>
    <s v="Lubbock"/>
    <n v="0"/>
    <n v="0"/>
    <n v="0"/>
    <n v="0"/>
    <n v="34887.997970627664"/>
    <n v="0"/>
    <n v="0"/>
    <n v="34887.997970627664"/>
    <n v="0"/>
    <n v="0"/>
    <n v="0"/>
    <n v="0"/>
    <n v="0"/>
    <n v="0"/>
    <n v="0"/>
    <n v="34887.997970627664"/>
    <n v="17810.866775794359"/>
    <n v="0"/>
    <n v="17077.131194833306"/>
    <n v="0"/>
    <n v="17077.131194833306"/>
    <n v="17810.866775794359"/>
    <n v="5877.5860360121378"/>
    <n v="7799.29"/>
    <n v="2573.7656999999995"/>
    <m/>
    <n v="0"/>
    <n v="34887.997970627664"/>
    <n v="11513.039330307129"/>
    <n v="27088.707970627664"/>
    <n v="8939.2736303071288"/>
    <n v="8939.2736303071288"/>
    <n v="11513.039330307129"/>
    <n v="0"/>
    <n v="0"/>
    <n v="0"/>
    <n v="0"/>
    <n v="0"/>
    <n v="0"/>
    <n v="0"/>
    <n v="0"/>
    <n v="0"/>
    <n v="0"/>
    <n v="0"/>
    <n v="0"/>
    <n v="0"/>
    <n v="0"/>
    <n v="17810.866775794359"/>
    <n v="5877.58"/>
    <n v="10011.576775794358"/>
    <n v="3303.8143000000005"/>
    <n v="9242.89"/>
    <n v="3050.15"/>
    <m/>
    <n v="3.6999999992985977E-3"/>
  </r>
  <r>
    <x v="0"/>
    <s v="Brazos"/>
    <n v="0"/>
    <n v="0"/>
    <n v="0"/>
    <n v="0"/>
    <n v="0"/>
    <n v="0"/>
    <n v="0"/>
    <n v="0"/>
    <n v="0"/>
    <n v="0"/>
    <n v="0"/>
    <n v="0"/>
    <n v="0"/>
    <n v="0"/>
    <n v="0"/>
    <n v="0"/>
    <n v="0"/>
    <n v="0"/>
    <n v="0"/>
    <n v="0"/>
    <n v="0"/>
    <n v="0"/>
    <n v="0"/>
    <n v="47692.82"/>
    <n v="15738.630599999999"/>
    <m/>
    <n v="0"/>
    <n v="0"/>
    <n v="0"/>
    <n v="-47692.82"/>
    <n v="-15738.630599999999"/>
    <n v="-15738.630599999999"/>
    <n v="0"/>
    <n v="0"/>
    <n v="0"/>
    <n v="0"/>
    <n v="0"/>
    <n v="0"/>
    <n v="0"/>
    <n v="0"/>
    <n v="0"/>
    <n v="0"/>
    <n v="0"/>
    <n v="0"/>
    <n v="0"/>
    <n v="0"/>
    <n v="0"/>
    <n v="0"/>
    <n v="0"/>
    <n v="-47692.82"/>
    <n v="-15738.630599999999"/>
    <n v="0"/>
    <n v="0"/>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D3829A4-F9E7-4825-840A-D42B37AB53B7}" name="PivotTable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C17" firstHeaderRow="0" firstDataRow="1" firstDataCol="1"/>
  <pivotFields count="57">
    <pivotField axis="axisRow" showAll="0">
      <items count="14">
        <item x="3"/>
        <item x="4"/>
        <item x="11"/>
        <item x="2"/>
        <item x="5"/>
        <item x="10"/>
        <item x="12"/>
        <item x="0"/>
        <item x="8"/>
        <item x="9"/>
        <item x="1"/>
        <item x="6"/>
        <item x="7"/>
        <item t="default"/>
      </items>
    </pivotField>
    <pivotField showAll="0"/>
    <pivotField numFmtId="165" showAll="0"/>
    <pivotField numFmtId="165"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166" showAll="0"/>
    <pivotField numFmtId="166" showAll="0"/>
    <pivotField numFmtId="166" showAll="0"/>
    <pivotField numFmtId="166" showAll="0"/>
    <pivotField numFmtId="166" showAll="0"/>
    <pivotField numFmtId="166" showAll="0"/>
    <pivotField numFmtId="166" showAll="0"/>
    <pivotField numFmtId="44" showAll="0"/>
    <pivotField numFmtId="44" showAll="0"/>
    <pivotField numFmtId="44" showAll="0"/>
    <pivotField showAll="0"/>
    <pivotField numFmtId="44" showAll="0"/>
    <pivotField numFmtId="166"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8" showAll="0"/>
    <pivotField numFmtId="8" showAll="0"/>
    <pivotField dataField="1" numFmtId="8" showAll="0"/>
    <pivotField dataField="1" numFmtId="8" showAll="0"/>
    <pivotField showAll="0"/>
    <pivotField numFmtId="8" showAll="0"/>
  </pivotFields>
  <rowFields count="1">
    <field x="0"/>
  </rowFields>
  <rowItems count="14">
    <i>
      <x/>
    </i>
    <i>
      <x v="1"/>
    </i>
    <i>
      <x v="2"/>
    </i>
    <i>
      <x v="3"/>
    </i>
    <i>
      <x v="4"/>
    </i>
    <i>
      <x v="5"/>
    </i>
    <i>
      <x v="6"/>
    </i>
    <i>
      <x v="7"/>
    </i>
    <i>
      <x v="8"/>
    </i>
    <i>
      <x v="9"/>
    </i>
    <i>
      <x v="10"/>
    </i>
    <i>
      <x v="11"/>
    </i>
    <i>
      <x v="12"/>
    </i>
    <i t="grand">
      <x/>
    </i>
  </rowItems>
  <colFields count="1">
    <field x="-2"/>
  </colFields>
  <colItems count="2">
    <i>
      <x/>
    </i>
    <i i="1">
      <x v="1"/>
    </i>
  </colItems>
  <dataFields count="2">
    <dataField name="Sum of   Final Payment After Accounting for Recoupments" fld="53" baseField="0" baseItem="0"/>
    <dataField name="Sum of Final IGT Required After Accounting for Recoupments" fld="54" baseField="0" baseItem="0"/>
  </dataFields>
  <formats count="2">
    <format dxfId="3">
      <pivotArea field="0" grandRow="1" outline="0" collapsedLevelsAreSubtotals="1" axis="axisRow" fieldPosition="0">
        <references count="1">
          <reference field="4294967294" count="1" selected="0">
            <x v="0"/>
          </reference>
        </references>
      </pivotArea>
    </format>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3:C22"/>
  <sheetViews>
    <sheetView workbookViewId="0">
      <selection activeCell="B17" sqref="B17"/>
    </sheetView>
  </sheetViews>
  <sheetFormatPr defaultRowHeight="12.75"/>
  <cols>
    <col min="1" max="1" width="14.42578125" bestFit="1" customWidth="1"/>
    <col min="2" max="2" width="51.85546875" style="24" bestFit="1" customWidth="1"/>
    <col min="3" max="3" width="54.85546875" style="24" bestFit="1" customWidth="1"/>
  </cols>
  <sheetData>
    <row r="3" spans="1:3">
      <c r="A3" s="49" t="s">
        <v>0</v>
      </c>
      <c r="B3" t="s">
        <v>1</v>
      </c>
      <c r="C3" t="s">
        <v>2</v>
      </c>
    </row>
    <row r="4" spans="1:3">
      <c r="A4" s="50" t="s">
        <v>3</v>
      </c>
      <c r="B4" s="95">
        <v>52420641.54999999</v>
      </c>
      <c r="C4" s="95">
        <v>17298811.599999998</v>
      </c>
    </row>
    <row r="5" spans="1:3">
      <c r="A5" s="50" t="s">
        <v>4</v>
      </c>
      <c r="B5" s="95">
        <v>147911241.92999995</v>
      </c>
      <c r="C5" s="95">
        <v>48810709.589999989</v>
      </c>
    </row>
    <row r="6" spans="1:3">
      <c r="A6" s="50" t="s">
        <v>5</v>
      </c>
      <c r="B6" s="95">
        <v>42391108.619999997</v>
      </c>
      <c r="C6" s="95">
        <v>13989065.789999999</v>
      </c>
    </row>
    <row r="7" spans="1:3">
      <c r="A7" s="50" t="s">
        <v>6</v>
      </c>
      <c r="B7" s="95">
        <v>176850948.97000003</v>
      </c>
      <c r="C7" s="95">
        <v>58360812.890000001</v>
      </c>
    </row>
    <row r="8" spans="1:3">
      <c r="A8" s="50" t="s">
        <v>7</v>
      </c>
      <c r="B8" s="95">
        <v>7770201.5499999998</v>
      </c>
      <c r="C8" s="95">
        <v>2564166.4800000004</v>
      </c>
    </row>
    <row r="9" spans="1:3">
      <c r="A9" s="50" t="s">
        <v>8</v>
      </c>
      <c r="B9" s="95">
        <v>9889980.7999999989</v>
      </c>
      <c r="C9" s="95">
        <v>3263693.63</v>
      </c>
    </row>
    <row r="10" spans="1:3">
      <c r="A10" s="50" t="s">
        <v>9</v>
      </c>
      <c r="B10" s="95">
        <v>29669264.740000006</v>
      </c>
      <c r="C10" s="95">
        <v>9790857.2699999996</v>
      </c>
    </row>
    <row r="11" spans="1:3">
      <c r="A11" s="50" t="s">
        <v>10</v>
      </c>
      <c r="B11" s="95">
        <v>38095104.200000003</v>
      </c>
      <c r="C11" s="95">
        <v>12571384.219999999</v>
      </c>
    </row>
    <row r="12" spans="1:3">
      <c r="A12" s="50" t="s">
        <v>11</v>
      </c>
      <c r="B12" s="95">
        <v>74669811.879999995</v>
      </c>
      <c r="C12" s="95">
        <v>24641037.720000003</v>
      </c>
    </row>
    <row r="13" spans="1:3">
      <c r="A13" s="50" t="s">
        <v>12</v>
      </c>
      <c r="B13" s="95">
        <v>71740526.170000017</v>
      </c>
      <c r="C13" s="95">
        <v>23674373.180000003</v>
      </c>
    </row>
    <row r="14" spans="1:3">
      <c r="A14" s="50" t="s">
        <v>13</v>
      </c>
      <c r="B14" s="95">
        <v>18950219.109999999</v>
      </c>
      <c r="C14" s="95">
        <v>6253572.2700000005</v>
      </c>
    </row>
    <row r="15" spans="1:3">
      <c r="A15" s="50" t="s">
        <v>14</v>
      </c>
      <c r="B15" s="95">
        <v>64300441.620000012</v>
      </c>
      <c r="C15" s="95">
        <v>21219145.589999996</v>
      </c>
    </row>
    <row r="16" spans="1:3">
      <c r="A16" s="50" t="s">
        <v>15</v>
      </c>
      <c r="B16" s="95">
        <v>38245521.32</v>
      </c>
      <c r="C16" s="95">
        <v>12621021.890000004</v>
      </c>
    </row>
    <row r="17" spans="1:3">
      <c r="A17" s="50" t="s">
        <v>16</v>
      </c>
      <c r="B17" s="95">
        <v>772905012.46000016</v>
      </c>
      <c r="C17" s="95">
        <v>255058652.12000003</v>
      </c>
    </row>
    <row r="18" spans="1:3">
      <c r="B18"/>
      <c r="C18"/>
    </row>
    <row r="19" spans="1:3">
      <c r="B19"/>
      <c r="C19"/>
    </row>
    <row r="20" spans="1:3">
      <c r="B20"/>
      <c r="C20"/>
    </row>
    <row r="21" spans="1:3">
      <c r="A21" s="79" t="s">
        <v>17</v>
      </c>
      <c r="B21" s="94">
        <f>ROUND('3.  UC Calculations by Hospital'!BL390,2)</f>
        <v>772905012.46000004</v>
      </c>
      <c r="C21" s="94">
        <f>ROUND('3.  UC Calculations by Hospital'!BM390,2)</f>
        <v>255058652.12</v>
      </c>
    </row>
    <row r="22" spans="1:3">
      <c r="B22" s="80" t="b">
        <f>GETPIVOTDATA("Sum of   Final Payment After Accounting for Recoupments",$A$3)=B21</f>
        <v>1</v>
      </c>
      <c r="C22" s="80" t="b">
        <f>GETPIVOTDATA("Sum of Final IGT Required After Accounting for Recoupments",$A$3)=C21</f>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S45"/>
  <sheetViews>
    <sheetView zoomScaleNormal="100" zoomScalePageLayoutView="70" workbookViewId="0">
      <selection activeCell="C16" sqref="C16"/>
    </sheetView>
  </sheetViews>
  <sheetFormatPr defaultColWidth="8.85546875" defaultRowHeight="12.75"/>
  <cols>
    <col min="2" max="2" width="42" customWidth="1"/>
    <col min="3" max="3" width="18.85546875" bestFit="1" customWidth="1"/>
    <col min="4" max="4" width="18.85546875" customWidth="1"/>
    <col min="5" max="5" width="19" customWidth="1"/>
    <col min="6" max="6" width="15.85546875" customWidth="1"/>
    <col min="7" max="7" width="23.5703125" bestFit="1" customWidth="1"/>
    <col min="8" max="17" width="15.85546875" customWidth="1"/>
    <col min="18" max="18" width="26" customWidth="1"/>
    <col min="19" max="19" width="26.140625" bestFit="1" customWidth="1"/>
  </cols>
  <sheetData>
    <row r="1" spans="2:8" ht="15.75">
      <c r="B1" s="6" t="s">
        <v>18</v>
      </c>
    </row>
    <row r="2" spans="2:8" ht="13.5" thickBot="1"/>
    <row r="3" spans="2:8" ht="13.5" thickBot="1">
      <c r="B3" s="192" t="s">
        <v>19</v>
      </c>
      <c r="C3" s="193"/>
      <c r="F3" s="72"/>
      <c r="G3" s="72"/>
    </row>
    <row r="4" spans="2:8" ht="38.25">
      <c r="B4" s="8" t="s">
        <v>20</v>
      </c>
      <c r="C4" s="88">
        <f>3873206193</f>
        <v>3873206193</v>
      </c>
      <c r="E4" s="10" t="s">
        <v>21</v>
      </c>
      <c r="F4" s="73"/>
      <c r="G4" s="73"/>
    </row>
    <row r="5" spans="2:8">
      <c r="B5" s="45" t="s">
        <v>22</v>
      </c>
      <c r="C5" s="11">
        <f>'2.  State Hospitals'!$AA$21</f>
        <v>79377801.513262123</v>
      </c>
      <c r="D5" s="7"/>
      <c r="E5" s="7">
        <f>C6-C13-C14</f>
        <v>3659912480.0873117</v>
      </c>
    </row>
    <row r="6" spans="2:8">
      <c r="B6" s="45" t="s">
        <v>23</v>
      </c>
      <c r="C6" s="11">
        <f>C4-C5</f>
        <v>3793828391.4867377</v>
      </c>
      <c r="D6" s="100" t="s">
        <v>24</v>
      </c>
      <c r="E6" s="100" t="s">
        <v>25</v>
      </c>
      <c r="G6" s="74"/>
    </row>
    <row r="7" spans="2:8" ht="25.5">
      <c r="B7" s="101" t="s">
        <v>26</v>
      </c>
      <c r="C7" s="11">
        <f>MIN(E7,D7)</f>
        <v>398673586.57999998</v>
      </c>
      <c r="D7" s="100">
        <v>398673586.57999998</v>
      </c>
      <c r="E7" s="100">
        <f>SUMIF('3.  UC Calculations by Hospital'!E:E,"=Rural Hospital",'3.  UC Calculations by Hospital'!AB:AB)</f>
        <v>427103507.3760165</v>
      </c>
      <c r="H7" s="12"/>
    </row>
    <row r="8" spans="2:8">
      <c r="B8" s="101" t="s">
        <v>27</v>
      </c>
      <c r="C8" s="102">
        <v>0</v>
      </c>
      <c r="H8" s="12"/>
    </row>
    <row r="9" spans="2:8" ht="25.5">
      <c r="B9" s="101" t="s">
        <v>28</v>
      </c>
      <c r="C9" s="103">
        <f>C4-C5-C7-C17-C8</f>
        <v>3207984447.8599906</v>
      </c>
      <c r="D9" s="71"/>
      <c r="E9" s="71"/>
      <c r="H9" s="9"/>
    </row>
    <row r="10" spans="2:8" ht="13.5" thickBot="1">
      <c r="C10" s="7"/>
    </row>
    <row r="11" spans="2:8" ht="13.5" thickBot="1">
      <c r="B11" s="192" t="s">
        <v>29</v>
      </c>
      <c r="C11" s="197"/>
      <c r="D11" s="2"/>
      <c r="E11" s="63"/>
    </row>
    <row r="12" spans="2:8" ht="51">
      <c r="B12" s="1" t="s">
        <v>30</v>
      </c>
      <c r="C12" s="60" t="s">
        <v>31</v>
      </c>
      <c r="D12" s="60" t="s">
        <v>32</v>
      </c>
      <c r="E12" s="60" t="s">
        <v>33</v>
      </c>
    </row>
    <row r="13" spans="2:8">
      <c r="B13" s="104" t="s">
        <v>34</v>
      </c>
      <c r="C13" s="105">
        <f>C4*D13</f>
        <v>133553832.4257395</v>
      </c>
      <c r="D13" s="106">
        <f>E13/'1. UC Assumptions'!E19</f>
        <v>3.4481467231749698E-2</v>
      </c>
      <c r="E13" s="107">
        <v>261605787.81999999</v>
      </c>
      <c r="F13" s="62"/>
      <c r="G13" s="5"/>
    </row>
    <row r="14" spans="2:8">
      <c r="B14" s="104" t="s">
        <v>35</v>
      </c>
      <c r="C14" s="105">
        <f>D14*C4</f>
        <v>362078.97368673957</v>
      </c>
      <c r="D14" s="106">
        <f>E14/'1. UC Assumptions'!E19</f>
        <v>9.3483010107006607E-5</v>
      </c>
      <c r="E14" s="107">
        <v>709241.76</v>
      </c>
      <c r="F14" s="62"/>
      <c r="G14" s="5"/>
    </row>
    <row r="15" spans="2:8">
      <c r="B15" s="104" t="s">
        <v>36</v>
      </c>
      <c r="C15" s="108">
        <f>D15*C4</f>
        <v>37802918.23350329</v>
      </c>
      <c r="D15" s="106">
        <f>E15/E19</f>
        <v>9.7601099321342772E-3</v>
      </c>
      <c r="E15" s="109">
        <f>'3.  UC Calculations by Hospital'!$AB$393</f>
        <v>74048509.32952112</v>
      </c>
      <c r="F15" s="62"/>
      <c r="G15" s="5"/>
    </row>
    <row r="16" spans="2:8">
      <c r="B16" s="110" t="s">
        <v>37</v>
      </c>
      <c r="C16" s="90">
        <f>'3.  UC Calculations by Hospital'!$AE$394</f>
        <v>15451527.413817726</v>
      </c>
      <c r="D16" s="111"/>
      <c r="E16" s="109">
        <v>0</v>
      </c>
      <c r="F16" s="62"/>
      <c r="G16" s="5"/>
    </row>
    <row r="17" spans="2:8">
      <c r="B17" s="112" t="s">
        <v>38</v>
      </c>
      <c r="C17" s="3">
        <f>SUM(C13:C16)</f>
        <v>187170357.04674727</v>
      </c>
      <c r="E17" s="15"/>
    </row>
    <row r="18" spans="2:8">
      <c r="C18" s="11"/>
      <c r="D18" s="113" t="s">
        <v>39</v>
      </c>
      <c r="E18" s="109">
        <f>'3.  UC Calculations by Hospital'!$AB$398</f>
        <v>7250488437.5956936</v>
      </c>
      <c r="F18" s="5"/>
      <c r="H18" s="61"/>
    </row>
    <row r="19" spans="2:8">
      <c r="C19" s="114"/>
      <c r="D19" s="113" t="s">
        <v>40</v>
      </c>
      <c r="E19" s="109">
        <f>SUM(E13:E18)</f>
        <v>7586851976.5052147</v>
      </c>
      <c r="F19" s="86"/>
    </row>
    <row r="20" spans="2:8" ht="13.5" thickBot="1"/>
    <row r="21" spans="2:8" ht="13.5" thickBot="1">
      <c r="B21" s="192" t="s">
        <v>41</v>
      </c>
      <c r="C21" s="193"/>
    </row>
    <row r="22" spans="2:8">
      <c r="B22" s="8" t="s">
        <v>42</v>
      </c>
      <c r="C22" s="89">
        <v>0.67</v>
      </c>
      <c r="E22" s="5"/>
    </row>
    <row r="23" spans="2:8">
      <c r="B23" s="114" t="s">
        <v>43</v>
      </c>
      <c r="C23" s="89">
        <f>1-C22</f>
        <v>0.32999999999999996</v>
      </c>
    </row>
    <row r="24" spans="2:8">
      <c r="B24" s="114" t="s">
        <v>44</v>
      </c>
      <c r="C24" s="59">
        <f>C22+C23</f>
        <v>1</v>
      </c>
      <c r="E24" s="7"/>
    </row>
    <row r="27" spans="2:8" hidden="1"/>
    <row r="28" spans="2:8" hidden="1"/>
    <row r="29" spans="2:8" hidden="1"/>
    <row r="30" spans="2:8" hidden="1"/>
    <row r="31" spans="2:8" hidden="1">
      <c r="C31" s="5"/>
    </row>
    <row r="32" spans="2:8">
      <c r="C32" s="5"/>
    </row>
    <row r="33" spans="3:19" ht="13.5" thickBot="1"/>
    <row r="34" spans="3:19" ht="14.25" thickTop="1" thickBot="1">
      <c r="E34" s="194" t="s">
        <v>45</v>
      </c>
      <c r="F34" s="195"/>
      <c r="G34" s="195"/>
      <c r="H34" s="195"/>
      <c r="I34" s="195"/>
      <c r="J34" s="195"/>
      <c r="K34" s="195"/>
      <c r="L34" s="195"/>
      <c r="M34" s="195"/>
      <c r="N34" s="195"/>
      <c r="O34" s="195"/>
      <c r="P34" s="195"/>
      <c r="Q34" s="196"/>
    </row>
    <row r="35" spans="3:19" ht="14.25" thickTop="1" thickBot="1">
      <c r="E35" s="21" t="s">
        <v>3</v>
      </c>
      <c r="F35" s="21" t="s">
        <v>4</v>
      </c>
      <c r="G35" s="21" t="s">
        <v>5</v>
      </c>
      <c r="H35" s="21" t="s">
        <v>46</v>
      </c>
      <c r="I35" s="21" t="s">
        <v>7</v>
      </c>
      <c r="J35" s="21" t="s">
        <v>8</v>
      </c>
      <c r="K35" s="21" t="s">
        <v>9</v>
      </c>
      <c r="L35" s="21" t="s">
        <v>10</v>
      </c>
      <c r="M35" s="21" t="s">
        <v>11</v>
      </c>
      <c r="N35" s="21" t="s">
        <v>12</v>
      </c>
      <c r="O35" s="21" t="s">
        <v>13</v>
      </c>
      <c r="P35" s="21" t="s">
        <v>14</v>
      </c>
      <c r="Q35" s="21" t="s">
        <v>15</v>
      </c>
    </row>
    <row r="36" spans="3:19" ht="26.25" thickTop="1">
      <c r="D36" s="19" t="s">
        <v>47</v>
      </c>
      <c r="E36" s="20">
        <f>SUMIF('3.  UC Calculations by Hospital'!$K:$K,"=Bexar",'3.  UC Calculations by Hospital'!$AH:$AH)</f>
        <v>302655823.56414825</v>
      </c>
      <c r="F36" s="20">
        <f>SUMIF('3.  UC Calculations by Hospital'!$K:$K,"=Dallas",'3.  UC Calculations by Hospital'!$AH:$AH)</f>
        <v>677140323.35359681</v>
      </c>
      <c r="G36" s="20">
        <f>SUMIF('3.  UC Calculations by Hospital'!$K:$K,"=El Paso",'3.  UC Calculations by Hospital'!$AH:$AH)</f>
        <v>123520470.25166196</v>
      </c>
      <c r="H36" s="20">
        <f>SUMIF('3.  UC Calculations by Hospital'!$K:$K,"=Harris",'3.  UC Calculations by Hospital'!$AH:$AH)</f>
        <v>1001428248.4846884</v>
      </c>
      <c r="I36" s="20">
        <f>SUMIF('3.  UC Calculations by Hospital'!$K:$K,"=Hidalgo",'3.  UC Calculations by Hospital'!$AH:$AH)</f>
        <v>95021624.972633481</v>
      </c>
      <c r="J36" s="20">
        <f>SUMIF('3.  UC Calculations by Hospital'!$K:$K,"=Jefferson",'3.  UC Calculations by Hospital'!$AH:$AH)</f>
        <v>59496494.52324003</v>
      </c>
      <c r="K36" s="20">
        <f>SUMIF('3.  UC Calculations by Hospital'!$K:$K,"=Lubbock",'3.  UC Calculations by Hospital'!$AH:$AH)</f>
        <v>139686132.211687</v>
      </c>
      <c r="L36" s="20">
        <f>SUMIF('3.  UC Calculations by Hospital'!$K:$K,"=MRSA Central",'3.  UC Calculations by Hospital'!$AH:$AH)</f>
        <v>129084753.83046335</v>
      </c>
      <c r="M36" s="20">
        <f>SUMIF('3.  UC Calculations by Hospital'!$K:$K,"=MRSA Northeast",'3.  UC Calculations by Hospital'!$AH:$AH)</f>
        <v>221042654.91757908</v>
      </c>
      <c r="N36" s="20">
        <f>SUMIF('3.  UC Calculations by Hospital'!$K:$K,"=MRSA West",'3.  UC Calculations by Hospital'!$AH:$AH)</f>
        <v>180882098.26973563</v>
      </c>
      <c r="O36" s="20">
        <f>SUMIF('3.  UC Calculations by Hospital'!$K:$K,"=Nueces",'3.  UC Calculations by Hospital'!$AH:$AH)</f>
        <v>102708445.05990201</v>
      </c>
      <c r="P36" s="20">
        <f>SUMIF('3.  UC Calculations by Hospital'!$K:$K,"=Tarrant",'3.  UC Calculations by Hospital'!$AH:$AH)</f>
        <v>391153988.07582861</v>
      </c>
      <c r="Q36" s="18">
        <f>SUMIF('3.  UC Calculations by Hospital'!$K:$K,"=Travis",'3.  UC Calculations by Hospital'!$AH:$AH)</f>
        <v>220639895.15832946</v>
      </c>
      <c r="R36" s="24"/>
    </row>
    <row r="37" spans="3:19" ht="38.25">
      <c r="D37" s="22" t="s">
        <v>48</v>
      </c>
      <c r="E37" s="20">
        <f>E36*$C$23</f>
        <v>99876421.776168913</v>
      </c>
      <c r="F37" s="20">
        <f t="shared" ref="F37:Q37" si="0">F36*$C$23</f>
        <v>223456306.70668691</v>
      </c>
      <c r="G37" s="20">
        <f t="shared" si="0"/>
        <v>40761755.183048442</v>
      </c>
      <c r="H37" s="20">
        <f t="shared" si="0"/>
        <v>330471321.99994713</v>
      </c>
      <c r="I37" s="20">
        <f t="shared" si="0"/>
        <v>31357136.240969043</v>
      </c>
      <c r="J37" s="20">
        <f t="shared" si="0"/>
        <v>19633843.192669209</v>
      </c>
      <c r="K37" s="20">
        <f t="shared" si="0"/>
        <v>46096423.629856706</v>
      </c>
      <c r="L37" s="20">
        <f t="shared" si="0"/>
        <v>42597968.764052898</v>
      </c>
      <c r="M37" s="20">
        <f t="shared" si="0"/>
        <v>72944076.122801095</v>
      </c>
      <c r="N37" s="20">
        <f t="shared" si="0"/>
        <v>59691092.429012753</v>
      </c>
      <c r="O37" s="20">
        <f t="shared" si="0"/>
        <v>33893786.869767658</v>
      </c>
      <c r="P37" s="23">
        <f t="shared" si="0"/>
        <v>129080816.06502342</v>
      </c>
      <c r="Q37" s="115">
        <f t="shared" si="0"/>
        <v>72811165.40224871</v>
      </c>
    </row>
    <row r="38" spans="3:19" ht="38.25">
      <c r="C38" s="5"/>
      <c r="D38" s="116" t="s">
        <v>49</v>
      </c>
      <c r="E38" s="109">
        <f>SUMIF('3.  UC Calculations by Hospital'!$K:$K,"=Bexar",'3.  UC Calculations by Hospital'!$AO:$AO)</f>
        <v>185283133.58733749</v>
      </c>
      <c r="F38" s="109">
        <f>SUMIF('3.  UC Calculations by Hospital'!$K:$K,"=Dallas",'3.  UC Calculations by Hospital'!$AO:$AO)</f>
        <v>426705609.33156073</v>
      </c>
      <c r="G38" s="109">
        <f>SUMIF('3.  UC Calculations by Hospital'!$K:$K,"=El Paso",'3.  UC Calculations by Hospital'!$AO:$AO)</f>
        <v>76468317.760714799</v>
      </c>
      <c r="H38" s="109">
        <f>SUMIF('3.  UC Calculations by Hospital'!$K:$K,"=Harris",'3.  UC Calculations by Hospital'!$AO:$AO)</f>
        <v>664016685.04170167</v>
      </c>
      <c r="I38" s="109">
        <f>SUMIF('3.  UC Calculations by Hospital'!$K:$K,"=Hidalgo",'3.  UC Calculations by Hospital'!$AO:$AO)</f>
        <v>64656606.949211597</v>
      </c>
      <c r="J38" s="109">
        <f>SUMIF('3.  UC Calculations by Hospital'!$K:$K,"=Jefferson",'3.  UC Calculations by Hospital'!$AO:$AO)</f>
        <v>38188000.795084968</v>
      </c>
      <c r="K38" s="109">
        <f>SUMIF('3.  UC Calculations by Hospital'!$K:$K,"=Lubbock",'3.  UC Calculations by Hospital'!$AO:$AO)</f>
        <v>92957489.682964563</v>
      </c>
      <c r="L38" s="109">
        <f>SUMIF('3.  UC Calculations by Hospital'!$K:$K,"=MRSA Central",'3.  UC Calculations by Hospital'!$AO:$AO)</f>
        <v>76776407.448193625</v>
      </c>
      <c r="M38" s="109">
        <f>SUMIF('3.  UC Calculations by Hospital'!$K:$K,"=MRSA Northeast",'3.  UC Calculations by Hospital'!$AO:$AO)</f>
        <v>123280231.95231295</v>
      </c>
      <c r="N38" s="109">
        <f>SUMIF('3.  UC Calculations by Hospital'!$K:$K,"=MRSA West",'3.  UC Calculations by Hospital'!$AO:$AO)</f>
        <v>76684599.348686218</v>
      </c>
      <c r="O38" s="109">
        <f>SUMIF('3.  UC Calculations by Hospital'!$K:$K,"=Nueces",'3.  UC Calculations by Hospital'!$AO:$AO)</f>
        <v>62294508.898773208</v>
      </c>
      <c r="P38" s="117">
        <f>SUMIF('3.  UC Calculations by Hospital'!$K:$K,"=Tarrant",'3.  UC Calculations by Hospital'!$AO:$AO)</f>
        <v>240286274.36361888</v>
      </c>
      <c r="Q38" s="115">
        <f>SUMIF('3.  UC Calculations by Hospital'!$K:$K,"=Travis",'3.  UC Calculations by Hospital'!$AO:$AO)</f>
        <v>146909814.48435155</v>
      </c>
    </row>
    <row r="39" spans="3:19" ht="38.25">
      <c r="C39" s="5"/>
      <c r="D39" s="116" t="s">
        <v>50</v>
      </c>
      <c r="E39" s="109">
        <f>SUMIF('3.  UC Calculations by Hospital'!$K:$K,"=Bexar",'3.  UC Calculations by Hospital'!$AS:$AS)</f>
        <v>185283133.58733749</v>
      </c>
      <c r="F39" s="109">
        <f>SUMIF('3.  UC Calculations by Hospital'!$K:$K,"=Dallas",'3.  UC Calculations by Hospital'!$AS:$AS)</f>
        <v>426705609.33156073</v>
      </c>
      <c r="G39" s="109">
        <f>SUMIF('3.  UC Calculations by Hospital'!$K:$K,"=El Paso",'3.  UC Calculations by Hospital'!$AS:$AS)</f>
        <v>76468317.760714799</v>
      </c>
      <c r="H39" s="109">
        <f>SUMIF('3.  UC Calculations by Hospital'!$K:$K,"=Harris",'3.  UC Calculations by Hospital'!$AS:$AS)</f>
        <v>664016685.04170167</v>
      </c>
      <c r="I39" s="109">
        <f>SUMIF('3.  UC Calculations by Hospital'!$K:$K,"=Hidalgo",'3.  UC Calculations by Hospital'!$AS:$AS)</f>
        <v>64656606.949211597</v>
      </c>
      <c r="J39" s="109">
        <f>SUMIF('3.  UC Calculations by Hospital'!$K:$K,"=Jefferson",'3.  UC Calculations by Hospital'!$AS:$AS)</f>
        <v>38188000.795084968</v>
      </c>
      <c r="K39" s="109">
        <f>SUMIF('3.  UC Calculations by Hospital'!$K:$K,"=Lubbock",'3.  UC Calculations by Hospital'!$AS:$AS)</f>
        <v>92957489.682964563</v>
      </c>
      <c r="L39" s="109">
        <f>SUMIF('3.  UC Calculations by Hospital'!$K:$K,"=MRSA Central",'3.  UC Calculations by Hospital'!$AS:$AS)</f>
        <v>76776407.448193625</v>
      </c>
      <c r="M39" s="109">
        <f>SUMIF('3.  UC Calculations by Hospital'!$K:$K,"=MRSA Northeast",'3.  UC Calculations by Hospital'!$AS:$AS)</f>
        <v>123280231.95231295</v>
      </c>
      <c r="N39" s="109">
        <f>SUMIF('3.  UC Calculations by Hospital'!$K:$K,"=MRSA West",'3.  UC Calculations by Hospital'!$AS:$AS)</f>
        <v>76684599.348686218</v>
      </c>
      <c r="O39" s="109">
        <f>SUMIF('3.  UC Calculations by Hospital'!$K:$K,"=Nueces",'3.  UC Calculations by Hospital'!$AS:$AS)</f>
        <v>62294508.898773208</v>
      </c>
      <c r="P39" s="117">
        <f>SUMIF('3.  UC Calculations by Hospital'!$K:$K,"=Tarrant",'3.  UC Calculations by Hospital'!$AS:$AS)</f>
        <v>240286274.36361888</v>
      </c>
      <c r="Q39" s="115">
        <f>SUMIF('3.  UC Calculations by Hospital'!$K:$K,"=Travis",'3.  UC Calculations by Hospital'!$AS:$AS)</f>
        <v>146909814.48435155</v>
      </c>
    </row>
    <row r="40" spans="3:19">
      <c r="C40" s="5"/>
      <c r="D40" s="116" t="s">
        <v>51</v>
      </c>
      <c r="E40" s="118">
        <f t="shared" ref="E40:Q40" si="1">IF(E39&gt;E37,100%,E39/E37)</f>
        <v>1</v>
      </c>
      <c r="F40" s="118">
        <f t="shared" si="1"/>
        <v>1</v>
      </c>
      <c r="G40" s="118">
        <f t="shared" si="1"/>
        <v>1</v>
      </c>
      <c r="H40" s="118">
        <f t="shared" si="1"/>
        <v>1</v>
      </c>
      <c r="I40" s="118">
        <f t="shared" si="1"/>
        <v>1</v>
      </c>
      <c r="J40" s="118">
        <f t="shared" si="1"/>
        <v>1</v>
      </c>
      <c r="K40" s="118">
        <f t="shared" si="1"/>
        <v>1</v>
      </c>
      <c r="L40" s="118">
        <f t="shared" si="1"/>
        <v>1</v>
      </c>
      <c r="M40" s="118">
        <f t="shared" si="1"/>
        <v>1</v>
      </c>
      <c r="N40" s="118">
        <f t="shared" si="1"/>
        <v>1</v>
      </c>
      <c r="O40" s="118">
        <f t="shared" si="1"/>
        <v>1</v>
      </c>
      <c r="P40" s="118">
        <f t="shared" si="1"/>
        <v>1</v>
      </c>
      <c r="Q40" s="119">
        <f t="shared" si="1"/>
        <v>1</v>
      </c>
    </row>
    <row r="41" spans="3:19" ht="38.25">
      <c r="C41" s="15"/>
      <c r="D41" s="116" t="s">
        <v>52</v>
      </c>
      <c r="E41" s="109">
        <f t="shared" ref="E41:Q41" si="2">IF(E40&lt;1,E39/$C$23,E36)</f>
        <v>302655823.56414825</v>
      </c>
      <c r="F41" s="109">
        <f t="shared" si="2"/>
        <v>677140323.35359681</v>
      </c>
      <c r="G41" s="109">
        <f t="shared" si="2"/>
        <v>123520470.25166196</v>
      </c>
      <c r="H41" s="109">
        <f t="shared" si="2"/>
        <v>1001428248.4846884</v>
      </c>
      <c r="I41" s="109">
        <f t="shared" si="2"/>
        <v>95021624.972633481</v>
      </c>
      <c r="J41" s="109">
        <f t="shared" si="2"/>
        <v>59496494.52324003</v>
      </c>
      <c r="K41" s="109">
        <f t="shared" si="2"/>
        <v>139686132.211687</v>
      </c>
      <c r="L41" s="109">
        <f t="shared" si="2"/>
        <v>129084753.83046335</v>
      </c>
      <c r="M41" s="109">
        <f t="shared" si="2"/>
        <v>221042654.91757908</v>
      </c>
      <c r="N41" s="109">
        <f t="shared" si="2"/>
        <v>180882098.26973563</v>
      </c>
      <c r="O41" s="109">
        <f t="shared" si="2"/>
        <v>102708445.05990201</v>
      </c>
      <c r="P41" s="109">
        <f t="shared" si="2"/>
        <v>391153988.07582861</v>
      </c>
      <c r="Q41" s="115">
        <f t="shared" si="2"/>
        <v>220639895.15832946</v>
      </c>
    </row>
    <row r="42" spans="3:19">
      <c r="C42" s="15"/>
      <c r="D42" s="116" t="s">
        <v>53</v>
      </c>
      <c r="E42" s="109">
        <f t="shared" ref="E42:Q42" si="3">E36-E41</f>
        <v>0</v>
      </c>
      <c r="F42" s="109">
        <f t="shared" si="3"/>
        <v>0</v>
      </c>
      <c r="G42" s="109">
        <f t="shared" si="3"/>
        <v>0</v>
      </c>
      <c r="H42" s="109">
        <f t="shared" si="3"/>
        <v>0</v>
      </c>
      <c r="I42" s="109">
        <f t="shared" si="3"/>
        <v>0</v>
      </c>
      <c r="J42" s="109">
        <f t="shared" si="3"/>
        <v>0</v>
      </c>
      <c r="K42" s="109">
        <f t="shared" si="3"/>
        <v>0</v>
      </c>
      <c r="L42" s="109">
        <f t="shared" si="3"/>
        <v>0</v>
      </c>
      <c r="M42" s="109">
        <f t="shared" si="3"/>
        <v>0</v>
      </c>
      <c r="N42" s="109">
        <f t="shared" si="3"/>
        <v>0</v>
      </c>
      <c r="O42" s="109">
        <f t="shared" si="3"/>
        <v>0</v>
      </c>
      <c r="P42" s="109">
        <f t="shared" si="3"/>
        <v>0</v>
      </c>
      <c r="Q42" s="115">
        <f t="shared" si="3"/>
        <v>0</v>
      </c>
      <c r="R42" s="26">
        <f>SUM(E42:Q42)</f>
        <v>0</v>
      </c>
      <c r="S42" s="25" t="s">
        <v>54</v>
      </c>
    </row>
    <row r="43" spans="3:19" ht="66.75" customHeight="1">
      <c r="C43" s="15"/>
      <c r="D43" s="116" t="s">
        <v>55</v>
      </c>
      <c r="E43" s="109">
        <f t="shared" ref="E43:Q43" si="4">IF(E39-E37&gt;0,(E39-E37)/$C$23,0)</f>
        <v>258808217.6096018</v>
      </c>
      <c r="F43" s="109">
        <f t="shared" si="4"/>
        <v>615906977.65113282</v>
      </c>
      <c r="G43" s="109">
        <f t="shared" si="4"/>
        <v>108201704.78080715</v>
      </c>
      <c r="H43" s="109">
        <f t="shared" si="4"/>
        <v>1010743524.3689532</v>
      </c>
      <c r="I43" s="109">
        <f t="shared" si="4"/>
        <v>100907486.99467441</v>
      </c>
      <c r="J43" s="109">
        <f t="shared" si="4"/>
        <v>56224720.007320486</v>
      </c>
      <c r="K43" s="109">
        <f t="shared" si="4"/>
        <v>142003230.46396321</v>
      </c>
      <c r="L43" s="109">
        <f t="shared" si="4"/>
        <v>103571026.31557797</v>
      </c>
      <c r="M43" s="109">
        <f t="shared" si="4"/>
        <v>152533805.54397532</v>
      </c>
      <c r="N43" s="109">
        <f t="shared" si="4"/>
        <v>51495475.514162019</v>
      </c>
      <c r="O43" s="109">
        <f t="shared" si="4"/>
        <v>86062794.027289554</v>
      </c>
      <c r="P43" s="109">
        <f t="shared" si="4"/>
        <v>336986237.26847112</v>
      </c>
      <c r="Q43" s="115">
        <f t="shared" si="4"/>
        <v>224541360.85485712</v>
      </c>
      <c r="R43" s="26">
        <f>SUM(E43:Q43)</f>
        <v>3247986561.4007859</v>
      </c>
      <c r="S43" s="27" t="s">
        <v>56</v>
      </c>
    </row>
    <row r="44" spans="3:19" ht="13.5" thickBot="1">
      <c r="C44" s="15"/>
      <c r="D44" s="120" t="s">
        <v>57</v>
      </c>
      <c r="E44" s="121">
        <f>(E43/$R$43)*$R$42</f>
        <v>0</v>
      </c>
      <c r="F44" s="121">
        <f t="shared" ref="F44:Q44" si="5">(F43/$R$43)*$R$42</f>
        <v>0</v>
      </c>
      <c r="G44" s="121">
        <f t="shared" si="5"/>
        <v>0</v>
      </c>
      <c r="H44" s="121">
        <f t="shared" si="5"/>
        <v>0</v>
      </c>
      <c r="I44" s="121">
        <f t="shared" si="5"/>
        <v>0</v>
      </c>
      <c r="J44" s="121">
        <f t="shared" si="5"/>
        <v>0</v>
      </c>
      <c r="K44" s="121">
        <f t="shared" si="5"/>
        <v>0</v>
      </c>
      <c r="L44" s="121">
        <f t="shared" si="5"/>
        <v>0</v>
      </c>
      <c r="M44" s="121">
        <f t="shared" si="5"/>
        <v>0</v>
      </c>
      <c r="N44" s="121">
        <f t="shared" si="5"/>
        <v>0</v>
      </c>
      <c r="O44" s="121">
        <f t="shared" si="5"/>
        <v>0</v>
      </c>
      <c r="P44" s="121">
        <f t="shared" si="5"/>
        <v>0</v>
      </c>
      <c r="Q44" s="122">
        <f t="shared" si="5"/>
        <v>0</v>
      </c>
      <c r="R44" s="25"/>
    </row>
    <row r="45" spans="3:19" ht="13.5" thickTop="1">
      <c r="C45" s="5"/>
    </row>
  </sheetData>
  <mergeCells count="4">
    <mergeCell ref="B3:C3"/>
    <mergeCell ref="B21:C21"/>
    <mergeCell ref="E34:Q34"/>
    <mergeCell ref="B11:C11"/>
  </mergeCells>
  <conditionalFormatting sqref="E40:Q40">
    <cfRule type="cellIs" dxfId="1" priority="1" operator="equal">
      <formula>1</formula>
    </cfRule>
  </conditionalFormatting>
  <pageMargins left="0.7" right="0.7" top="0.75" bottom="0.75" header="0.3" footer="0.3"/>
  <pageSetup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sheetPr>
  <dimension ref="A2:AA31"/>
  <sheetViews>
    <sheetView tabSelected="1" zoomScale="80" zoomScaleNormal="80" zoomScalePageLayoutView="90" workbookViewId="0">
      <selection activeCell="G1" sqref="G1"/>
    </sheetView>
  </sheetViews>
  <sheetFormatPr defaultColWidth="8.85546875" defaultRowHeight="12.75"/>
  <cols>
    <col min="1" max="2" width="11.140625" bestFit="1" customWidth="1"/>
    <col min="3" max="3" width="23.140625" bestFit="1" customWidth="1"/>
    <col min="4" max="4" width="10.85546875" bestFit="1" customWidth="1"/>
    <col min="5" max="5" width="89.140625" bestFit="1" customWidth="1"/>
    <col min="6" max="6" width="15.42578125" bestFit="1" customWidth="1"/>
    <col min="7" max="7" width="13.85546875" bestFit="1" customWidth="1"/>
    <col min="8" max="8" width="17.140625" style="4" customWidth="1"/>
    <col min="9" max="10" width="18.85546875" style="4" customWidth="1"/>
    <col min="11" max="11" width="20.85546875" style="4" customWidth="1"/>
    <col min="12" max="13" width="18.85546875" style="4" customWidth="1"/>
    <col min="14" max="14" width="16" customWidth="1"/>
    <col min="15" max="15" width="23.140625" customWidth="1"/>
    <col min="16" max="16" width="18.140625" customWidth="1"/>
    <col min="17" max="17" width="17.85546875" customWidth="1"/>
    <col min="18" max="23" width="15.85546875" customWidth="1"/>
    <col min="24" max="24" width="17.140625" customWidth="1"/>
    <col min="25" max="25" width="16.42578125" customWidth="1"/>
    <col min="26" max="26" width="19.42578125" bestFit="1" customWidth="1"/>
    <col min="27" max="27" width="17" customWidth="1"/>
  </cols>
  <sheetData>
    <row r="2" spans="1:27" ht="160.5" customHeight="1">
      <c r="A2" s="10" t="s">
        <v>58</v>
      </c>
      <c r="B2" s="10" t="s">
        <v>58</v>
      </c>
      <c r="C2" s="10" t="s">
        <v>59</v>
      </c>
      <c r="D2" s="10" t="s">
        <v>59</v>
      </c>
      <c r="E2" s="10" t="s">
        <v>59</v>
      </c>
      <c r="F2" s="10" t="s">
        <v>59</v>
      </c>
      <c r="G2" s="10" t="s">
        <v>59</v>
      </c>
      <c r="H2" s="10" t="s">
        <v>59</v>
      </c>
      <c r="I2" s="10" t="s">
        <v>59</v>
      </c>
      <c r="J2" s="10" t="s">
        <v>59</v>
      </c>
      <c r="K2" s="14" t="s">
        <v>60</v>
      </c>
      <c r="L2" s="10" t="s">
        <v>59</v>
      </c>
      <c r="M2" s="10" t="s">
        <v>59</v>
      </c>
      <c r="N2" s="14" t="s">
        <v>61</v>
      </c>
      <c r="O2" s="14" t="s">
        <v>62</v>
      </c>
      <c r="P2" s="14" t="s">
        <v>63</v>
      </c>
      <c r="Q2" s="14" t="s">
        <v>64</v>
      </c>
      <c r="R2" s="14" t="s">
        <v>65</v>
      </c>
      <c r="S2" s="10" t="s">
        <v>66</v>
      </c>
      <c r="T2" s="14" t="s">
        <v>67</v>
      </c>
      <c r="U2" s="14" t="s">
        <v>68</v>
      </c>
      <c r="V2" s="14" t="s">
        <v>69</v>
      </c>
      <c r="W2" s="14" t="s">
        <v>70</v>
      </c>
      <c r="X2" s="14" t="s">
        <v>71</v>
      </c>
      <c r="Y2" s="14" t="s">
        <v>72</v>
      </c>
      <c r="Z2" s="14" t="s">
        <v>73</v>
      </c>
      <c r="AA2" s="14" t="s">
        <v>74</v>
      </c>
    </row>
    <row r="3" spans="1:27" ht="63.75">
      <c r="A3" s="123" t="s">
        <v>75</v>
      </c>
      <c r="B3" s="123" t="s">
        <v>76</v>
      </c>
      <c r="C3" s="124" t="s">
        <v>77</v>
      </c>
      <c r="D3" s="124" t="s">
        <v>78</v>
      </c>
      <c r="E3" s="124" t="s">
        <v>79</v>
      </c>
      <c r="F3" s="125" t="s">
        <v>80</v>
      </c>
      <c r="G3" s="125" t="s">
        <v>81</v>
      </c>
      <c r="H3" s="124" t="s">
        <v>82</v>
      </c>
      <c r="I3" s="124" t="s">
        <v>83</v>
      </c>
      <c r="J3" s="124" t="s">
        <v>84</v>
      </c>
      <c r="K3" s="126" t="s">
        <v>85</v>
      </c>
      <c r="L3" s="124" t="s">
        <v>86</v>
      </c>
      <c r="M3" s="124" t="s">
        <v>87</v>
      </c>
      <c r="N3" s="127" t="s">
        <v>88</v>
      </c>
      <c r="O3" s="126" t="s">
        <v>89</v>
      </c>
      <c r="P3" s="126" t="s">
        <v>90</v>
      </c>
      <c r="Q3" s="128" t="s">
        <v>91</v>
      </c>
      <c r="R3" s="126" t="s">
        <v>92</v>
      </c>
      <c r="S3" s="123" t="s">
        <v>93</v>
      </c>
      <c r="T3" s="126" t="s">
        <v>94</v>
      </c>
      <c r="U3" s="126" t="s">
        <v>95</v>
      </c>
      <c r="V3" s="126" t="s">
        <v>96</v>
      </c>
      <c r="W3" s="126" t="s">
        <v>97</v>
      </c>
      <c r="X3" s="126" t="s">
        <v>98</v>
      </c>
      <c r="Y3" s="123" t="s">
        <v>99</v>
      </c>
      <c r="Z3" s="126" t="s">
        <v>100</v>
      </c>
      <c r="AA3" s="128" t="s">
        <v>101</v>
      </c>
    </row>
    <row r="4" spans="1:27" ht="12" customHeight="1">
      <c r="A4" s="129" t="s">
        <v>102</v>
      </c>
      <c r="B4" s="91" t="s">
        <v>102</v>
      </c>
      <c r="C4" s="130" t="str">
        <f>INDEX('3.  UC Calculations by Hospital'!D:D,MATCH(B:B,'3.  UC Calculations by Hospital'!C:C,0))</f>
        <v>Hosp - State</v>
      </c>
      <c r="D4" s="91" t="str">
        <f>INDEX('3.  UC Calculations by Hospital'!G:G,MATCH($B:$B,'3.  UC Calculations by Hospital'!$C:$C,0))</f>
        <v>State/IMD</v>
      </c>
      <c r="E4" s="91" t="str">
        <f>INDEX('3.  UC Calculations by Hospital'!J:J,MATCH($B:$B,'3.  UC Calculations by Hospital'!$C:$C,0))</f>
        <v>The University Of Texas Health Science Center At Houston</v>
      </c>
      <c r="F4" s="91" t="str">
        <f>INDEX('3.  UC Calculations by Hospital'!K:K,MATCH($B:$B,'3.  UC Calculations by Hospital'!$C:$C,0))</f>
        <v>Harris</v>
      </c>
      <c r="G4" s="91" t="str">
        <f>INDEX('3.  UC Calculations by Hospital'!L:L,MATCH($B:$B,'3.  UC Calculations by Hospital'!$C:$C,0))</f>
        <v>Harris</v>
      </c>
      <c r="H4" s="131">
        <f>INDEX('3.  UC Calculations by Hospital'!M:M,MATCH($B:$B,'3.  UC Calculations by Hospital'!$C:$C,0))</f>
        <v>253475.00321579515</v>
      </c>
      <c r="I4" s="131">
        <f>INDEX('3.  UC Calculations by Hospital'!N:N,MATCH($B:$B,'3.  UC Calculations by Hospital'!$C:$C,0))</f>
        <v>32486188.493878856</v>
      </c>
      <c r="J4" s="131">
        <f>INDEX('3.  UC Calculations by Hospital'!O:O,MATCH($B:$B,'3.  UC Calculations by Hospital'!$C:$C,0))</f>
        <v>2801900.6992388605</v>
      </c>
      <c r="K4" s="131">
        <f>INDEX('3.  UC Calculations by Hospital'!P:P,MATCH($B:$B,'3.  UC Calculations by Hospital'!$C:$C,0))</f>
        <v>29684287.794639997</v>
      </c>
      <c r="L4" s="131">
        <f>INDEX('3.  UC Calculations by Hospital'!Q:Q,MATCH($B:$B,'3.  UC Calculations by Hospital'!$C:$C,0))+INDEX('3.  UC Calculations by Hospital'!Y:Y,MATCH(B:B,'3.  UC Calculations by Hospital'!C:C,0))</f>
        <v>2812917.7507861252</v>
      </c>
      <c r="M4" s="131">
        <f>INDEX('3.  UC Calculations by Hospital'!R:R,MATCH($B:$B,'3.  UC Calculations by Hospital'!$C:$C,0))</f>
        <v>28347959</v>
      </c>
      <c r="N4" s="131">
        <f>IF(IF(H4&gt;0,IF(M4&gt;H4+K4,M4-H4-K4,0),IF(AND(M4&gt;0,(H4+K4&gt;0)),M4-K4,0))&gt;0,IF(H4&gt;0,IF(M4&gt;H4+K4,M4-H4-K4,0),IF(AND(M4&gt;0,(H4+K4&gt;0)),M4-K4,0)),0)</f>
        <v>0</v>
      </c>
      <c r="O4" s="131">
        <f>IF(L4-N4&gt;0,L4-N4,0)</f>
        <v>2812917.7507861252</v>
      </c>
      <c r="P4" s="131">
        <f>O4*0.9</f>
        <v>2531625.9757075128</v>
      </c>
      <c r="Q4" s="131">
        <f>IF(IF(AND(M4&gt;0,P4+M4&gt;0.9*(H4+K4+L4)),0.9*(H4+K4+L4)-M4,P4)&gt;0,IF(AND(M4&gt;0,P4+M4&gt;0.9*(H4+K4+L4)),0.9*(H4+K4+L4)-M4,P4),0)</f>
        <v>1127653.4937777258</v>
      </c>
      <c r="R4" s="131">
        <f>P4-Q4</f>
        <v>1403972.481929787</v>
      </c>
      <c r="S4" s="131">
        <v>1277619.43</v>
      </c>
      <c r="T4" s="131">
        <f>S4*'1. UC Assumptions'!$C$23</f>
        <v>421614.41189999995</v>
      </c>
      <c r="U4" s="131">
        <f>IF(S4&gt;Q4,S4-Q4,0)</f>
        <v>149965.93622227409</v>
      </c>
      <c r="V4" s="131">
        <f>U4*'1. UC Assumptions'!$C$23</f>
        <v>49488.758953350443</v>
      </c>
      <c r="W4" s="131">
        <f>IF(U4&gt;0,0,Q4-S4)</f>
        <v>0</v>
      </c>
      <c r="X4" s="131">
        <f>W4*'1. UC Assumptions'!$C$23</f>
        <v>0</v>
      </c>
      <c r="Y4" s="131">
        <f>X4</f>
        <v>0</v>
      </c>
      <c r="Z4" s="131">
        <f>Y4/'1. UC Assumptions'!$C$23</f>
        <v>0</v>
      </c>
      <c r="AA4" s="131">
        <f>S4-U4+Z4</f>
        <v>1127653.4937777258</v>
      </c>
    </row>
    <row r="5" spans="1:27" ht="12" customHeight="1">
      <c r="A5" s="129" t="s">
        <v>103</v>
      </c>
      <c r="B5" s="91" t="s">
        <v>103</v>
      </c>
      <c r="C5" s="130" t="str">
        <f>INDEX('3.  UC Calculations by Hospital'!D:D,MATCH(B:B,'3.  UC Calculations by Hospital'!C:C,0))</f>
        <v>Hosp - State</v>
      </c>
      <c r="D5" s="91" t="str">
        <f>INDEX('3.  UC Calculations by Hospital'!G:G,MATCH($B:$B,'3.  UC Calculations by Hospital'!$C:$C,0))</f>
        <v>State/IMD</v>
      </c>
      <c r="E5" s="91" t="str">
        <f>INDEX('3.  UC Calculations by Hospital'!J:J,MATCH($B:$B,'3.  UC Calculations by Hospital'!$C:$C,0))</f>
        <v>HHSC (AUSTIN STATE HOSPITAL)</v>
      </c>
      <c r="F5" s="91" t="str">
        <f>INDEX('3.  UC Calculations by Hospital'!K:K,MATCH($B:$B,'3.  UC Calculations by Hospital'!$C:$C,0))</f>
        <v>Travis</v>
      </c>
      <c r="G5" s="91" t="str">
        <f>INDEX('3.  UC Calculations by Hospital'!L:L,MATCH($B:$B,'3.  UC Calculations by Hospital'!$C:$C,0))</f>
        <v>Travis</v>
      </c>
      <c r="H5" s="131">
        <f>INDEX('3.  UC Calculations by Hospital'!M:M,MATCH($B:$B,'3.  UC Calculations by Hospital'!$C:$C,0))</f>
        <v>8829662.9727776516</v>
      </c>
      <c r="I5" s="131">
        <f>INDEX('3.  UC Calculations by Hospital'!N:N,MATCH($B:$B,'3.  UC Calculations by Hospital'!$C:$C,0))</f>
        <v>42476370.675217919</v>
      </c>
      <c r="J5" s="131">
        <f>INDEX('3.  UC Calculations by Hospital'!O:O,MATCH($B:$B,'3.  UC Calculations by Hospital'!$C:$C,0))</f>
        <v>0</v>
      </c>
      <c r="K5" s="131">
        <f>INDEX('3.  UC Calculations by Hospital'!P:P,MATCH($B:$B,'3.  UC Calculations by Hospital'!$C:$C,0))</f>
        <v>42476370.675217919</v>
      </c>
      <c r="L5" s="131">
        <f>INDEX('3.  UC Calculations by Hospital'!Q:Q,MATCH($B:$B,'3.  UC Calculations by Hospital'!$C:$C,0))+INDEX('3.  UC Calculations by Hospital'!Y:Y,MATCH(B:B,'3.  UC Calculations by Hospital'!C:C,0))</f>
        <v>156925</v>
      </c>
      <c r="M5" s="131">
        <f>INDEX('3.  UC Calculations by Hospital'!R:R,MATCH($B:$B,'3.  UC Calculations by Hospital'!$C:$C,0))</f>
        <v>43950491</v>
      </c>
      <c r="N5" s="131">
        <f>IF(IF(H5&gt;0,IF(M5&gt;H5+K5,M5-H5-K5,0),IF(AND(M5&gt;0,(H5+K5&gt;0)),M5-K5,0))&gt;0,IF(H5&gt;0,IF(M5&gt;H5+K5,M5-H5-K5,0),IF(AND(M5&gt;0,(H5+K5&gt;0)),M5-K5,0)),0)</f>
        <v>0</v>
      </c>
      <c r="O5" s="131">
        <f t="shared" ref="O5:O20" si="0">IF(L5-N5&gt;0,L5-N5,0)</f>
        <v>156925</v>
      </c>
      <c r="P5" s="131">
        <f t="shared" ref="P5:P20" si="1">O5*0.9</f>
        <v>141232.5</v>
      </c>
      <c r="Q5" s="131">
        <f t="shared" ref="Q5:Q20" si="2">IF(IF(AND(M5&gt;0,P5+M5&gt;0.9*(H5+K5+L5)),0.9*(H5+K5+L5)-M5,P5)&gt;0,IF(AND(M5&gt;0,P5+M5&gt;0.9*(H5+K5+L5)),0.9*(H5+K5+L5)-M5,P5),0)</f>
        <v>141232.5</v>
      </c>
      <c r="R5" s="131">
        <f t="shared" ref="R5:R20" si="3">P5-Q5</f>
        <v>0</v>
      </c>
      <c r="S5" s="131">
        <v>710092.74</v>
      </c>
      <c r="T5" s="131">
        <f>S5*'1. UC Assumptions'!$C$23</f>
        <v>234330.60419999997</v>
      </c>
      <c r="U5" s="131">
        <f t="shared" ref="U5:U14" si="4">IF(S5&gt;Q5,S5-Q5,0)</f>
        <v>568860.24</v>
      </c>
      <c r="V5" s="131">
        <f>U5*'1. UC Assumptions'!$C$23</f>
        <v>187723.87919999997</v>
      </c>
      <c r="W5" s="131">
        <f t="shared" ref="W5:W14" si="5">IF(U5&gt;0,0,Q5-S5)</f>
        <v>0</v>
      </c>
      <c r="X5" s="131">
        <f>W5*'1. UC Assumptions'!$C$23</f>
        <v>0</v>
      </c>
      <c r="Y5" s="131">
        <f>X5</f>
        <v>0</v>
      </c>
      <c r="Z5" s="131">
        <f>Y5/'1. UC Assumptions'!$C$23</f>
        <v>0</v>
      </c>
      <c r="AA5" s="131">
        <f t="shared" ref="AA5:AA14" si="6">S5-U5+Z5</f>
        <v>141232.5</v>
      </c>
    </row>
    <row r="6" spans="1:27" ht="12" customHeight="1">
      <c r="A6" s="129" t="s">
        <v>104</v>
      </c>
      <c r="B6" s="91" t="s">
        <v>104</v>
      </c>
      <c r="C6" s="130" t="str">
        <f>INDEX('3.  UC Calculations by Hospital'!D:D,MATCH(B:B,'3.  UC Calculations by Hospital'!C:C,0))</f>
        <v>Hosp - State</v>
      </c>
      <c r="D6" s="91" t="str">
        <f>INDEX('3.  UC Calculations by Hospital'!G:G,MATCH($B:$B,'3.  UC Calculations by Hospital'!$C:$C,0))</f>
        <v>State/IMD</v>
      </c>
      <c r="E6" s="91" t="str">
        <f>INDEX('3.  UC Calculations by Hospital'!J:J,MATCH($B:$B,'3.  UC Calculations by Hospital'!$C:$C,0))</f>
        <v>HHSC (NORTH TEXAS STATE HOSPITAL WICHITA FALLS)</v>
      </c>
      <c r="F6" s="91" t="str">
        <f>INDEX('3.  UC Calculations by Hospital'!K:K,MATCH($B:$B,'3.  UC Calculations by Hospital'!$C:$C,0))</f>
        <v>MRSA West</v>
      </c>
      <c r="G6" s="91" t="str">
        <f>INDEX('3.  UC Calculations by Hospital'!L:L,MATCH($B:$B,'3.  UC Calculations by Hospital'!$C:$C,0))</f>
        <v>Wichita</v>
      </c>
      <c r="H6" s="131">
        <f>INDEX('3.  UC Calculations by Hospital'!M:M,MATCH($B:$B,'3.  UC Calculations by Hospital'!$C:$C,0))</f>
        <v>8240543.6894710269</v>
      </c>
      <c r="I6" s="131">
        <f>INDEX('3.  UC Calculations by Hospital'!N:N,MATCH($B:$B,'3.  UC Calculations by Hospital'!$C:$C,0))</f>
        <v>46886640.09743616</v>
      </c>
      <c r="J6" s="131">
        <f>INDEX('3.  UC Calculations by Hospital'!O:O,MATCH($B:$B,'3.  UC Calculations by Hospital'!$C:$C,0))</f>
        <v>0</v>
      </c>
      <c r="K6" s="131">
        <f>INDEX('3.  UC Calculations by Hospital'!P:P,MATCH($B:$B,'3.  UC Calculations by Hospital'!$C:$C,0))</f>
        <v>46886640.09743616</v>
      </c>
      <c r="L6" s="131">
        <f>INDEX('3.  UC Calculations by Hospital'!Q:Q,MATCH($B:$B,'3.  UC Calculations by Hospital'!$C:$C,0))+INDEX('3.  UC Calculations by Hospital'!Y:Y,MATCH(B:B,'3.  UC Calculations by Hospital'!C:C,0))</f>
        <v>1065749</v>
      </c>
      <c r="M6" s="131">
        <f>INDEX('3.  UC Calculations by Hospital'!R:R,MATCH($B:$B,'3.  UC Calculations by Hospital'!$C:$C,0))</f>
        <v>47732414</v>
      </c>
      <c r="N6" s="131">
        <f t="shared" ref="N6:N20" si="7">IF(IF(H6&gt;0,IF(M6&gt;H6+K6,M6-H6-K6,0),IF(AND(M6&gt;0,(H6+K6&gt;0)),M6-K6,0))&gt;0,IF(H6&gt;0,IF(M6&gt;H6+K6,M6-H6-K6,0),IF(AND(M6&gt;0,(H6+K6&gt;0)),M6-K6,0)),0)</f>
        <v>0</v>
      </c>
      <c r="O6" s="131">
        <f t="shared" si="0"/>
        <v>1065749</v>
      </c>
      <c r="P6" s="131">
        <f t="shared" si="1"/>
        <v>959174.1</v>
      </c>
      <c r="Q6" s="131">
        <f t="shared" si="2"/>
        <v>959174.1</v>
      </c>
      <c r="R6" s="131">
        <f t="shared" si="3"/>
        <v>0</v>
      </c>
      <c r="S6" s="131">
        <v>752518.68</v>
      </c>
      <c r="T6" s="131">
        <f>S6*'1. UC Assumptions'!$C$23</f>
        <v>248331.16439999998</v>
      </c>
      <c r="U6" s="131">
        <f t="shared" si="4"/>
        <v>0</v>
      </c>
      <c r="V6" s="131">
        <f>U6*'1. UC Assumptions'!$C$23</f>
        <v>0</v>
      </c>
      <c r="W6" s="131">
        <f t="shared" si="5"/>
        <v>206655.41999999993</v>
      </c>
      <c r="X6" s="131">
        <f>W6*'1. UC Assumptions'!$C$23</f>
        <v>68196.288599999971</v>
      </c>
      <c r="Y6" s="131">
        <f t="shared" ref="Y6:Y20" si="8">X6</f>
        <v>68196.288599999971</v>
      </c>
      <c r="Z6" s="131">
        <f>Y6/'1. UC Assumptions'!$C$23</f>
        <v>206655.41999999993</v>
      </c>
      <c r="AA6" s="131">
        <f t="shared" si="6"/>
        <v>959174.1</v>
      </c>
    </row>
    <row r="7" spans="1:27">
      <c r="A7" s="129" t="s">
        <v>105</v>
      </c>
      <c r="B7" s="91" t="s">
        <v>105</v>
      </c>
      <c r="C7" s="130" t="str">
        <f>INDEX('3.  UC Calculations by Hospital'!D:D,MATCH(B:B,'3.  UC Calculations by Hospital'!C:C,0))</f>
        <v>Hosp - State</v>
      </c>
      <c r="D7" s="91" t="str">
        <f>INDEX('3.  UC Calculations by Hospital'!G:G,MATCH($B:$B,'3.  UC Calculations by Hospital'!$C:$C,0))</f>
        <v>State/IMD</v>
      </c>
      <c r="E7" s="91" t="str">
        <f>INDEX('3.  UC Calculations by Hospital'!J:J,MATCH($B:$B,'3.  UC Calculations by Hospital'!$C:$C,0))</f>
        <v>HHSC (NORTH TEXAS STATE HOSPITAL VERNON)</v>
      </c>
      <c r="F7" s="91" t="str">
        <f>INDEX('3.  UC Calculations by Hospital'!K:K,MATCH($B:$B,'3.  UC Calculations by Hospital'!$C:$C,0))</f>
        <v>MRSA West</v>
      </c>
      <c r="G7" s="91" t="str">
        <f>INDEX('3.  UC Calculations by Hospital'!L:L,MATCH($B:$B,'3.  UC Calculations by Hospital'!$C:$C,0))</f>
        <v>Wilbarger</v>
      </c>
      <c r="H7" s="131">
        <f>INDEX('3.  UC Calculations by Hospital'!M:M,MATCH($B:$B,'3.  UC Calculations by Hospital'!$C:$C,0))</f>
        <v>2392828.3101852415</v>
      </c>
      <c r="I7" s="131">
        <f>INDEX('3.  UC Calculations by Hospital'!N:N,MATCH($B:$B,'3.  UC Calculations by Hospital'!$C:$C,0))</f>
        <v>51042688.262397438</v>
      </c>
      <c r="J7" s="131">
        <f>INDEX('3.  UC Calculations by Hospital'!O:O,MATCH($B:$B,'3.  UC Calculations by Hospital'!$C:$C,0))</f>
        <v>0</v>
      </c>
      <c r="K7" s="131">
        <f>INDEX('3.  UC Calculations by Hospital'!P:P,MATCH($B:$B,'3.  UC Calculations by Hospital'!$C:$C,0))</f>
        <v>51042688.262397438</v>
      </c>
      <c r="L7" s="131">
        <f>INDEX('3.  UC Calculations by Hospital'!Q:Q,MATCH($B:$B,'3.  UC Calculations by Hospital'!$C:$C,0))+INDEX('3.  UC Calculations by Hospital'!Y:Y,MATCH(B:B,'3.  UC Calculations by Hospital'!C:C,0))</f>
        <v>407031</v>
      </c>
      <c r="M7" s="131">
        <f>INDEX('3.  UC Calculations by Hospital'!R:R,MATCH($B:$B,'3.  UC Calculations by Hospital'!$C:$C,0))</f>
        <v>46253706</v>
      </c>
      <c r="N7" s="131">
        <f t="shared" si="7"/>
        <v>0</v>
      </c>
      <c r="O7" s="131">
        <f t="shared" si="0"/>
        <v>407031</v>
      </c>
      <c r="P7" s="131">
        <f t="shared" si="1"/>
        <v>366327.9</v>
      </c>
      <c r="Q7" s="131">
        <f t="shared" si="2"/>
        <v>366327.9</v>
      </c>
      <c r="R7" s="131">
        <f t="shared" si="3"/>
        <v>0</v>
      </c>
      <c r="S7" s="131">
        <v>427236.16</v>
      </c>
      <c r="T7" s="131">
        <f>S7*'1. UC Assumptions'!$C$23</f>
        <v>140987.93279999998</v>
      </c>
      <c r="U7" s="131">
        <f t="shared" si="4"/>
        <v>60908.259999999951</v>
      </c>
      <c r="V7" s="131">
        <f>U7*'1. UC Assumptions'!$C$23</f>
        <v>20099.725799999982</v>
      </c>
      <c r="W7" s="131">
        <f t="shared" si="5"/>
        <v>0</v>
      </c>
      <c r="X7" s="131">
        <f>W7*'1. UC Assumptions'!$C$23</f>
        <v>0</v>
      </c>
      <c r="Y7" s="131">
        <f t="shared" si="8"/>
        <v>0</v>
      </c>
      <c r="Z7" s="131">
        <f>Y7/'1. UC Assumptions'!$C$23</f>
        <v>0</v>
      </c>
      <c r="AA7" s="131">
        <f t="shared" si="6"/>
        <v>366327.9</v>
      </c>
    </row>
    <row r="8" spans="1:27" ht="12" customHeight="1">
      <c r="A8" s="129" t="s">
        <v>106</v>
      </c>
      <c r="B8" s="91" t="s">
        <v>106</v>
      </c>
      <c r="C8" s="130" t="str">
        <f>INDEX('3.  UC Calculations by Hospital'!D:D,MATCH(B:B,'3.  UC Calculations by Hospital'!C:C,0))</f>
        <v>Hosp - State</v>
      </c>
      <c r="D8" s="91" t="str">
        <f>INDEX('3.  UC Calculations by Hospital'!G:G,MATCH($B:$B,'3.  UC Calculations by Hospital'!$C:$C,0))</f>
        <v>State/IMD</v>
      </c>
      <c r="E8" s="91" t="str">
        <f>INDEX('3.  UC Calculations by Hospital'!J:J,MATCH($B:$B,'3.  UC Calculations by Hospital'!$C:$C,0))</f>
        <v>HHSC (RIO GRANDE STATE CENTER)</v>
      </c>
      <c r="F8" s="91" t="str">
        <f>INDEX('3.  UC Calculations by Hospital'!K:K,MATCH($B:$B,'3.  UC Calculations by Hospital'!$C:$C,0))</f>
        <v>Hidalgo</v>
      </c>
      <c r="G8" s="91" t="str">
        <f>INDEX('3.  UC Calculations by Hospital'!L:L,MATCH($B:$B,'3.  UC Calculations by Hospital'!$C:$C,0))</f>
        <v>Cameron</v>
      </c>
      <c r="H8" s="131">
        <f>INDEX('3.  UC Calculations by Hospital'!M:M,MATCH($B:$B,'3.  UC Calculations by Hospital'!$C:$C,0))</f>
        <v>887424.93737784319</v>
      </c>
      <c r="I8" s="131">
        <f>INDEX('3.  UC Calculations by Hospital'!N:N,MATCH($B:$B,'3.  UC Calculations by Hospital'!$C:$C,0))</f>
        <v>10285608.1886208</v>
      </c>
      <c r="J8" s="131">
        <f>INDEX('3.  UC Calculations by Hospital'!O:O,MATCH($B:$B,'3.  UC Calculations by Hospital'!$C:$C,0))</f>
        <v>0</v>
      </c>
      <c r="K8" s="131">
        <f>INDEX('3.  UC Calculations by Hospital'!P:P,MATCH($B:$B,'3.  UC Calculations by Hospital'!$C:$C,0))</f>
        <v>10285608.1886208</v>
      </c>
      <c r="L8" s="131">
        <f>INDEX('3.  UC Calculations by Hospital'!Q:Q,MATCH($B:$B,'3.  UC Calculations by Hospital'!$C:$C,0))+INDEX('3.  UC Calculations by Hospital'!Y:Y,MATCH(B:B,'3.  UC Calculations by Hospital'!C:C,0))</f>
        <v>345960</v>
      </c>
      <c r="M8" s="131">
        <f>INDEX('3.  UC Calculations by Hospital'!R:R,MATCH($B:$B,'3.  UC Calculations by Hospital'!$C:$C,0))</f>
        <v>0</v>
      </c>
      <c r="N8" s="131">
        <f t="shared" si="7"/>
        <v>0</v>
      </c>
      <c r="O8" s="131">
        <f t="shared" si="0"/>
        <v>345960</v>
      </c>
      <c r="P8" s="131">
        <f t="shared" si="1"/>
        <v>311364</v>
      </c>
      <c r="Q8" s="131">
        <f t="shared" si="2"/>
        <v>311364</v>
      </c>
      <c r="R8" s="131">
        <f t="shared" si="3"/>
        <v>0</v>
      </c>
      <c r="S8" s="131">
        <v>216275.25</v>
      </c>
      <c r="T8" s="131">
        <f>S8*'1. UC Assumptions'!$C$23</f>
        <v>71370.83249999999</v>
      </c>
      <c r="U8" s="131">
        <f t="shared" si="4"/>
        <v>0</v>
      </c>
      <c r="V8" s="131">
        <f>U8*'1. UC Assumptions'!$C$23</f>
        <v>0</v>
      </c>
      <c r="W8" s="131">
        <f t="shared" si="5"/>
        <v>95088.75</v>
      </c>
      <c r="X8" s="131">
        <f>W8*'1. UC Assumptions'!$C$23</f>
        <v>31379.287499999995</v>
      </c>
      <c r="Y8" s="131">
        <f t="shared" si="8"/>
        <v>31379.287499999995</v>
      </c>
      <c r="Z8" s="131">
        <f>Y8/'1. UC Assumptions'!$C$23</f>
        <v>95088.75</v>
      </c>
      <c r="AA8" s="131">
        <f t="shared" si="6"/>
        <v>311364</v>
      </c>
    </row>
    <row r="9" spans="1:27">
      <c r="A9" s="129" t="s">
        <v>107</v>
      </c>
      <c r="B9" s="91" t="s">
        <v>107</v>
      </c>
      <c r="C9" s="130" t="str">
        <f>INDEX('3.  UC Calculations by Hospital'!D:D,MATCH(B:B,'3.  UC Calculations by Hospital'!C:C,0))</f>
        <v>Hosp - State</v>
      </c>
      <c r="D9" s="91" t="str">
        <f>INDEX('3.  UC Calculations by Hospital'!G:G,MATCH($B:$B,'3.  UC Calculations by Hospital'!$C:$C,0))</f>
        <v xml:space="preserve"> </v>
      </c>
      <c r="E9" s="91" t="str">
        <f>INDEX('3.  UC Calculations by Hospital'!J:J,MATCH($B:$B,'3.  UC Calculations by Hospital'!$C:$C,0))</f>
        <v>The University of Texas Medical Branch at Galveston</v>
      </c>
      <c r="F9" s="91" t="str">
        <f>INDEX('3.  UC Calculations by Hospital'!K:K,MATCH($B:$B,'3.  UC Calculations by Hospital'!$C:$C,0))</f>
        <v>Harris</v>
      </c>
      <c r="G9" s="91" t="str">
        <f>INDEX('3.  UC Calculations by Hospital'!L:L,MATCH($B:$B,'3.  UC Calculations by Hospital'!$C:$C,0))</f>
        <v>Galveston</v>
      </c>
      <c r="H9" s="131">
        <f>INDEX('3.  UC Calculations by Hospital'!M:M,MATCH($B:$B,'3.  UC Calculations by Hospital'!$C:$C,0))</f>
        <v>-21970369.068172812</v>
      </c>
      <c r="I9" s="131">
        <f>INDEX('3.  UC Calculations by Hospital'!N:N,MATCH($B:$B,'3.  UC Calculations by Hospital'!$C:$C,0))</f>
        <v>73261691.586565301</v>
      </c>
      <c r="J9" s="131">
        <f>INDEX('3.  UC Calculations by Hospital'!O:O,MATCH($B:$B,'3.  UC Calculations by Hospital'!$C:$C,0))</f>
        <v>34178828.537554719</v>
      </c>
      <c r="K9" s="131">
        <f>INDEX('3.  UC Calculations by Hospital'!P:P,MATCH($B:$B,'3.  UC Calculations by Hospital'!$C:$C,0))</f>
        <v>39082863.049010582</v>
      </c>
      <c r="L9" s="131">
        <f>INDEX('3.  UC Calculations by Hospital'!Q:Q,MATCH($B:$B,'3.  UC Calculations by Hospital'!$C:$C,0))+INDEX('3.  UC Calculations by Hospital'!Y:Y,MATCH(B:B,'3.  UC Calculations by Hospital'!C:C,0))</f>
        <v>57504073.601111241</v>
      </c>
      <c r="M9" s="131">
        <f>INDEX('3.  UC Calculations by Hospital'!R:R,MATCH($B:$B,'3.  UC Calculations by Hospital'!$C:$C,0))</f>
        <v>0</v>
      </c>
      <c r="N9" s="131">
        <f>IF(IF(H9&gt;0,IF(M9&gt;(H9+K9),M9-H9-K9,0),IF(AND(M9&gt;0,(H9+K9&gt;0)),M9-K9,0))&gt;0,IF(H9&gt;0,IF(M9&gt;H9+K9,M9-H9-K9,0),IF(AND(M9&gt;0,(H9+K9&gt;0)),M9-K9,0)),0)</f>
        <v>0</v>
      </c>
      <c r="O9" s="131">
        <f t="shared" si="0"/>
        <v>57504073.601111241</v>
      </c>
      <c r="P9" s="131">
        <f t="shared" si="1"/>
        <v>51753666.241000116</v>
      </c>
      <c r="Q9" s="131">
        <f>IF(IF(AND(M9&gt;0,P9+M9&gt;0.9*(H9+K9+L9)),0.9*(H9+K9+L9)-M9,P9)&gt;0,IF(AND(M9&gt;0,P9+M9&gt;0.9*(H9+K9+L9)),0.9*(H9+K9+L9)-M9,P9),0)</f>
        <v>51753666.241000116</v>
      </c>
      <c r="R9" s="131">
        <f t="shared" si="3"/>
        <v>0</v>
      </c>
      <c r="S9" s="131">
        <v>7741924.9100000001</v>
      </c>
      <c r="T9" s="131">
        <f>S9*'1. UC Assumptions'!$C$23</f>
        <v>2554835.2202999997</v>
      </c>
      <c r="U9" s="131">
        <f t="shared" si="4"/>
        <v>0</v>
      </c>
      <c r="V9" s="131">
        <f>U9*'1. UC Assumptions'!$C$23</f>
        <v>0</v>
      </c>
      <c r="W9" s="131">
        <f t="shared" si="5"/>
        <v>44011741.331000119</v>
      </c>
      <c r="X9" s="131">
        <f>W9*'1. UC Assumptions'!$C$23</f>
        <v>14523874.639230037</v>
      </c>
      <c r="Y9" s="131">
        <f t="shared" si="8"/>
        <v>14523874.639230037</v>
      </c>
      <c r="Z9" s="131">
        <f>Y9/'1. UC Assumptions'!$C$23</f>
        <v>44011741.331000119</v>
      </c>
      <c r="AA9" s="131">
        <f t="shared" si="6"/>
        <v>51753666.241000116</v>
      </c>
    </row>
    <row r="10" spans="1:27">
      <c r="A10" s="129" t="s">
        <v>108</v>
      </c>
      <c r="B10" s="91" t="s">
        <v>108</v>
      </c>
      <c r="C10" s="130" t="str">
        <f>INDEX('3.  UC Calculations by Hospital'!D:D,MATCH(B:B,'3.  UC Calculations by Hospital'!C:C,0))</f>
        <v>Hosp - State</v>
      </c>
      <c r="D10" s="91" t="str">
        <f>INDEX('3.  UC Calculations by Hospital'!G:G,MATCH($B:$B,'3.  UC Calculations by Hospital'!$C:$C,0))</f>
        <v>State/IMD</v>
      </c>
      <c r="E10" s="91" t="str">
        <f>INDEX('3.  UC Calculations by Hospital'!J:J,MATCH($B:$B,'3.  UC Calculations by Hospital'!$C:$C,0))</f>
        <v>HHSC (WACO CENTER FOR YOUTH)</v>
      </c>
      <c r="F10" s="91" t="str">
        <f>INDEX('3.  UC Calculations by Hospital'!K:K,MATCH($B:$B,'3.  UC Calculations by Hospital'!$C:$C,0))</f>
        <v>MRSA Central</v>
      </c>
      <c r="G10" s="91" t="str">
        <f>INDEX('3.  UC Calculations by Hospital'!L:L,MATCH($B:$B,'3.  UC Calculations by Hospital'!$C:$C,0))</f>
        <v>McLennan</v>
      </c>
      <c r="H10" s="131">
        <f>INDEX('3.  UC Calculations by Hospital'!M:M,MATCH($B:$B,'3.  UC Calculations by Hospital'!$C:$C,0))</f>
        <v>12557586.743861375</v>
      </c>
      <c r="I10" s="131">
        <f>INDEX('3.  UC Calculations by Hospital'!N:N,MATCH($B:$B,'3.  UC Calculations by Hospital'!$C:$C,0))</f>
        <v>2302338.5056358399</v>
      </c>
      <c r="J10" s="131">
        <f>INDEX('3.  UC Calculations by Hospital'!O:O,MATCH($B:$B,'3.  UC Calculations by Hospital'!$C:$C,0))</f>
        <v>0</v>
      </c>
      <c r="K10" s="131">
        <f>INDEX('3.  UC Calculations by Hospital'!P:P,MATCH($B:$B,'3.  UC Calculations by Hospital'!$C:$C,0))</f>
        <v>2302338.5056358399</v>
      </c>
      <c r="L10" s="131">
        <f>INDEX('3.  UC Calculations by Hospital'!Q:Q,MATCH($B:$B,'3.  UC Calculations by Hospital'!$C:$C,0))+INDEX('3.  UC Calculations by Hospital'!Y:Y,MATCH(B:B,'3.  UC Calculations by Hospital'!C:C,0))</f>
        <v>1111879.13724928</v>
      </c>
      <c r="M10" s="131">
        <f>INDEX('3.  UC Calculations by Hospital'!R:R,MATCH($B:$B,'3.  UC Calculations by Hospital'!$C:$C,0))</f>
        <v>0</v>
      </c>
      <c r="N10" s="131">
        <f t="shared" si="7"/>
        <v>0</v>
      </c>
      <c r="O10" s="131">
        <f t="shared" si="0"/>
        <v>1111879.13724928</v>
      </c>
      <c r="P10" s="131">
        <f t="shared" si="1"/>
        <v>1000691.2235243521</v>
      </c>
      <c r="Q10" s="131">
        <f t="shared" si="2"/>
        <v>1000691.2235243521</v>
      </c>
      <c r="R10" s="131">
        <f t="shared" si="3"/>
        <v>0</v>
      </c>
      <c r="S10" s="131">
        <v>1158572.68</v>
      </c>
      <c r="T10" s="131">
        <f>S10*'1. UC Assumptions'!$C$23</f>
        <v>382328.98439999996</v>
      </c>
      <c r="U10" s="131">
        <f t="shared" si="4"/>
        <v>157881.45647564786</v>
      </c>
      <c r="V10" s="131">
        <f>U10*'1. UC Assumptions'!$C$23</f>
        <v>52100.88063696379</v>
      </c>
      <c r="W10" s="131">
        <f t="shared" si="5"/>
        <v>0</v>
      </c>
      <c r="X10" s="131">
        <f>W10*'1. UC Assumptions'!$C$23</f>
        <v>0</v>
      </c>
      <c r="Y10" s="131">
        <f t="shared" si="8"/>
        <v>0</v>
      </c>
      <c r="Z10" s="131">
        <f>Y10/'1. UC Assumptions'!$C$23</f>
        <v>0</v>
      </c>
      <c r="AA10" s="131">
        <f t="shared" si="6"/>
        <v>1000691.2235243521</v>
      </c>
    </row>
    <row r="11" spans="1:27" ht="12" customHeight="1">
      <c r="A11" s="129" t="s">
        <v>109</v>
      </c>
      <c r="B11" s="91" t="s">
        <v>109</v>
      </c>
      <c r="C11" s="130" t="str">
        <f>INDEX('3.  UC Calculations by Hospital'!D:D,MATCH(B:B,'3.  UC Calculations by Hospital'!C:C,0))</f>
        <v>Hosp - State</v>
      </c>
      <c r="D11" s="91" t="str">
        <f>INDEX('3.  UC Calculations by Hospital'!G:G,MATCH($B:$B,'3.  UC Calculations by Hospital'!$C:$C,0))</f>
        <v xml:space="preserve"> </v>
      </c>
      <c r="E11" s="91" t="str">
        <f>INDEX('3.  UC Calculations by Hospital'!J:J,MATCH($B:$B,'3.  UC Calculations by Hospital'!$C:$C,0))</f>
        <v>The University Of Texas Md Anderson Cancer Center</v>
      </c>
      <c r="F11" s="91" t="str">
        <f>INDEX('3.  UC Calculations by Hospital'!K:K,MATCH($B:$B,'3.  UC Calculations by Hospital'!$C:$C,0))</f>
        <v>Harris</v>
      </c>
      <c r="G11" s="91" t="str">
        <f>INDEX('3.  UC Calculations by Hospital'!L:L,MATCH($B:$B,'3.  UC Calculations by Hospital'!$C:$C,0))</f>
        <v>Harris</v>
      </c>
      <c r="H11" s="131">
        <f>INDEX('3.  UC Calculations by Hospital'!M:M,MATCH($B:$B,'3.  UC Calculations by Hospital'!$C:$C,0))</f>
        <v>28739606.803575449</v>
      </c>
      <c r="I11" s="131">
        <f>INDEX('3.  UC Calculations by Hospital'!N:N,MATCH($B:$B,'3.  UC Calculations by Hospital'!$C:$C,0))</f>
        <v>36149333.144411787</v>
      </c>
      <c r="J11" s="131">
        <f>INDEX('3.  UC Calculations by Hospital'!O:O,MATCH($B:$B,'3.  UC Calculations by Hospital'!$C:$C,0))</f>
        <v>47890725.199506015</v>
      </c>
      <c r="K11" s="131">
        <f>INDEX('3.  UC Calculations by Hospital'!P:P,MATCH($B:$B,'3.  UC Calculations by Hospital'!$C:$C,0))</f>
        <v>0</v>
      </c>
      <c r="L11" s="131">
        <f>INDEX('3.  UC Calculations by Hospital'!Q:Q,MATCH($B:$B,'3.  UC Calculations by Hospital'!$C:$C,0))+INDEX('3.  UC Calculations by Hospital'!Y:Y,MATCH(B:B,'3.  UC Calculations by Hospital'!C:C,0))</f>
        <v>53226974.831074685</v>
      </c>
      <c r="M11" s="131">
        <f>INDEX('3.  UC Calculations by Hospital'!R:R,MATCH($B:$B,'3.  UC Calculations by Hospital'!$C:$C,0))</f>
        <v>56852145</v>
      </c>
      <c r="N11" s="131">
        <f t="shared" si="7"/>
        <v>28112538.196424551</v>
      </c>
      <c r="O11" s="131">
        <f t="shared" si="0"/>
        <v>25114436.634650134</v>
      </c>
      <c r="P11" s="131">
        <f t="shared" si="1"/>
        <v>22602992.971185122</v>
      </c>
      <c r="Q11" s="131">
        <f t="shared" si="2"/>
        <v>16917778.471185133</v>
      </c>
      <c r="R11" s="131">
        <f t="shared" si="3"/>
        <v>5685214.4999999888</v>
      </c>
      <c r="S11" s="131">
        <v>16361543.689999999</v>
      </c>
      <c r="T11" s="131">
        <f>S11*'1. UC Assumptions'!$C$23</f>
        <v>5399309.4176999992</v>
      </c>
      <c r="U11" s="131">
        <f t="shared" si="4"/>
        <v>0</v>
      </c>
      <c r="V11" s="131">
        <f>U11*'1. UC Assumptions'!$C$23</f>
        <v>0</v>
      </c>
      <c r="W11" s="131">
        <f t="shared" si="5"/>
        <v>556234.78118513338</v>
      </c>
      <c r="X11" s="131">
        <f>W11*'1. UC Assumptions'!$C$23</f>
        <v>183557.47779109399</v>
      </c>
      <c r="Y11" s="131">
        <f t="shared" si="8"/>
        <v>183557.47779109399</v>
      </c>
      <c r="Z11" s="131">
        <f>Y11/'1. UC Assumptions'!$C$23</f>
        <v>556234.78118513338</v>
      </c>
      <c r="AA11" s="131">
        <f t="shared" si="6"/>
        <v>16917778.471185133</v>
      </c>
    </row>
    <row r="12" spans="1:27" ht="12" customHeight="1">
      <c r="A12" s="129" t="s">
        <v>110</v>
      </c>
      <c r="B12" s="91" t="s">
        <v>110</v>
      </c>
      <c r="C12" s="130" t="str">
        <f>INDEX('3.  UC Calculations by Hospital'!D:D,MATCH(B:B,'3.  UC Calculations by Hospital'!C:C,0))</f>
        <v>Hosp - State</v>
      </c>
      <c r="D12" s="91" t="str">
        <f>INDEX('3.  UC Calculations by Hospital'!G:G,MATCH($B:$B,'3.  UC Calculations by Hospital'!$C:$C,0))</f>
        <v>State/IMD</v>
      </c>
      <c r="E12" s="91" t="str">
        <f>INDEX('3.  UC Calculations by Hospital'!J:J,MATCH($B:$B,'3.  UC Calculations by Hospital'!$C:$C,0))</f>
        <v>HHSC (EL PASO PSYCHIATRIC CENTER)</v>
      </c>
      <c r="F12" s="91" t="str">
        <f>INDEX('3.  UC Calculations by Hospital'!K:K,MATCH($B:$B,'3.  UC Calculations by Hospital'!$C:$C,0))</f>
        <v>El Paso</v>
      </c>
      <c r="G12" s="91" t="str">
        <f>INDEX('3.  UC Calculations by Hospital'!L:L,MATCH($B:$B,'3.  UC Calculations by Hospital'!$C:$C,0))</f>
        <v>El Paso</v>
      </c>
      <c r="H12" s="131">
        <f>INDEX('3.  UC Calculations by Hospital'!M:M,MATCH($B:$B,'3.  UC Calculations by Hospital'!$C:$C,0))</f>
        <v>3482217.518614016</v>
      </c>
      <c r="I12" s="131">
        <f>INDEX('3.  UC Calculations by Hospital'!N:N,MATCH($B:$B,'3.  UC Calculations by Hospital'!$C:$C,0))</f>
        <v>11690986.057999359</v>
      </c>
      <c r="J12" s="131">
        <f>INDEX('3.  UC Calculations by Hospital'!O:O,MATCH($B:$B,'3.  UC Calculations by Hospital'!$C:$C,0))</f>
        <v>0</v>
      </c>
      <c r="K12" s="131">
        <f>INDEX('3.  UC Calculations by Hospital'!P:P,MATCH($B:$B,'3.  UC Calculations by Hospital'!$C:$C,0))</f>
        <v>11690986.057999359</v>
      </c>
      <c r="L12" s="131">
        <f>INDEX('3.  UC Calculations by Hospital'!Q:Q,MATCH($B:$B,'3.  UC Calculations by Hospital'!$C:$C,0))+INDEX('3.  UC Calculations by Hospital'!Y:Y,MATCH(B:B,'3.  UC Calculations by Hospital'!C:C,0))</f>
        <v>299577</v>
      </c>
      <c r="M12" s="131">
        <f>INDEX('3.  UC Calculations by Hospital'!R:R,MATCH($B:$B,'3.  UC Calculations by Hospital'!$C:$C,0))</f>
        <v>13137867</v>
      </c>
      <c r="N12" s="131">
        <f t="shared" si="7"/>
        <v>0</v>
      </c>
      <c r="O12" s="131">
        <f t="shared" si="0"/>
        <v>299577</v>
      </c>
      <c r="P12" s="131">
        <f t="shared" si="1"/>
        <v>269619.3</v>
      </c>
      <c r="Q12" s="131">
        <f t="shared" si="2"/>
        <v>269619.3</v>
      </c>
      <c r="R12" s="131">
        <f t="shared" si="3"/>
        <v>0</v>
      </c>
      <c r="S12" s="131">
        <v>275273.83</v>
      </c>
      <c r="T12" s="131">
        <f>S12*'1. UC Assumptions'!$C$23</f>
        <v>90840.363899999997</v>
      </c>
      <c r="U12" s="131">
        <f t="shared" si="4"/>
        <v>5654.5300000000279</v>
      </c>
      <c r="V12" s="131">
        <f>U12*'1. UC Assumptions'!$C$23</f>
        <v>1865.994900000009</v>
      </c>
      <c r="W12" s="131">
        <f t="shared" si="5"/>
        <v>0</v>
      </c>
      <c r="X12" s="131">
        <f>W12*'1. UC Assumptions'!$C$23</f>
        <v>0</v>
      </c>
      <c r="Y12" s="131">
        <f t="shared" si="8"/>
        <v>0</v>
      </c>
      <c r="Z12" s="131">
        <f>Y12/'1. UC Assumptions'!$C$23</f>
        <v>0</v>
      </c>
      <c r="AA12" s="131">
        <f t="shared" si="6"/>
        <v>269619.3</v>
      </c>
    </row>
    <row r="13" spans="1:27">
      <c r="A13" s="129" t="s">
        <v>111</v>
      </c>
      <c r="B13" s="91" t="s">
        <v>111</v>
      </c>
      <c r="C13" s="130" t="str">
        <f>INDEX('3.  UC Calculations by Hospital'!D:D,MATCH(B:B,'3.  UC Calculations by Hospital'!C:C,0))</f>
        <v>Hosp - State</v>
      </c>
      <c r="D13" s="91" t="str">
        <f>INDEX('3.  UC Calculations by Hospital'!G:G,MATCH($B:$B,'3.  UC Calculations by Hospital'!$C:$C,0))</f>
        <v xml:space="preserve"> </v>
      </c>
      <c r="E13" s="91" t="str">
        <f>INDEX('3.  UC Calculations by Hospital'!J:J,MATCH($B:$B,'3.  UC Calculations by Hospital'!$C:$C,0))</f>
        <v>University Of Texas Health Science Center At Tyler</v>
      </c>
      <c r="F13" s="91" t="str">
        <f>INDEX('3.  UC Calculations by Hospital'!K:K,MATCH($B:$B,'3.  UC Calculations by Hospital'!$C:$C,0))</f>
        <v>MRSA Northeast</v>
      </c>
      <c r="G13" s="91" t="str">
        <f>INDEX('3.  UC Calculations by Hospital'!L:L,MATCH($B:$B,'3.  UC Calculations by Hospital'!$C:$C,0))</f>
        <v>Smith</v>
      </c>
      <c r="H13" s="131">
        <f>INDEX('3.  UC Calculations by Hospital'!M:M,MATCH($B:$B,'3.  UC Calculations by Hospital'!$C:$C,0))</f>
        <v>7025713.9833472259</v>
      </c>
      <c r="I13" s="131">
        <f>INDEX('3.  UC Calculations by Hospital'!N:N,MATCH($B:$B,'3.  UC Calculations by Hospital'!$C:$C,0))</f>
        <v>6568811.8672992643</v>
      </c>
      <c r="J13" s="131">
        <f>INDEX('3.  UC Calculations by Hospital'!O:O,MATCH($B:$B,'3.  UC Calculations by Hospital'!$C:$C,0))</f>
        <v>3720764.0806880766</v>
      </c>
      <c r="K13" s="131">
        <f>INDEX('3.  UC Calculations by Hospital'!P:P,MATCH($B:$B,'3.  UC Calculations by Hospital'!$C:$C,0))</f>
        <v>2848047.7866111877</v>
      </c>
      <c r="L13" s="131">
        <f>INDEX('3.  UC Calculations by Hospital'!Q:Q,MATCH($B:$B,'3.  UC Calculations by Hospital'!$C:$C,0))+INDEX('3.  UC Calculations by Hospital'!Y:Y,MATCH(B:B,'3.  UC Calculations by Hospital'!C:C,0))</f>
        <v>3960339.8166547711</v>
      </c>
      <c r="M13" s="131">
        <f>INDEX('3.  UC Calculations by Hospital'!R:R,MATCH($B:$B,'3.  UC Calculations by Hospital'!$C:$C,0))</f>
        <v>12235072.999999998</v>
      </c>
      <c r="N13" s="131">
        <f t="shared" si="7"/>
        <v>2361311.2300415845</v>
      </c>
      <c r="O13" s="131">
        <f t="shared" si="0"/>
        <v>1599028.5866131866</v>
      </c>
      <c r="P13" s="131">
        <f t="shared" si="1"/>
        <v>1439125.727951868</v>
      </c>
      <c r="Q13" s="131">
        <f t="shared" si="2"/>
        <v>215618.42795186862</v>
      </c>
      <c r="R13" s="131">
        <f t="shared" si="3"/>
        <v>1223507.2999999993</v>
      </c>
      <c r="S13" s="131">
        <v>1806107.63</v>
      </c>
      <c r="T13" s="131">
        <f>S13*'1. UC Assumptions'!$C$23</f>
        <v>596015.51789999986</v>
      </c>
      <c r="U13" s="131">
        <f t="shared" si="4"/>
        <v>1590489.2020481313</v>
      </c>
      <c r="V13" s="131">
        <f>U13*'1. UC Assumptions'!$C$23</f>
        <v>524861.43667588325</v>
      </c>
      <c r="W13" s="131">
        <f t="shared" si="5"/>
        <v>0</v>
      </c>
      <c r="X13" s="131">
        <f>W13*'1. UC Assumptions'!$C$23</f>
        <v>0</v>
      </c>
      <c r="Y13" s="131">
        <f t="shared" si="8"/>
        <v>0</v>
      </c>
      <c r="Z13" s="131">
        <f>Y13/'1. UC Assumptions'!$C$23</f>
        <v>0</v>
      </c>
      <c r="AA13" s="131">
        <f t="shared" si="6"/>
        <v>215618.42795186862</v>
      </c>
    </row>
    <row r="14" spans="1:27" ht="12" customHeight="1">
      <c r="A14" s="129" t="s">
        <v>112</v>
      </c>
      <c r="B14" s="91" t="s">
        <v>112</v>
      </c>
      <c r="C14" s="130" t="str">
        <f>INDEX('3.  UC Calculations by Hospital'!D:D,MATCH(B:B,'3.  UC Calculations by Hospital'!C:C,0))</f>
        <v>Hosp - State</v>
      </c>
      <c r="D14" s="91" t="str">
        <f>INDEX('3.  UC Calculations by Hospital'!G:G,MATCH($B:$B,'3.  UC Calculations by Hospital'!$C:$C,0))</f>
        <v>State/IMD</v>
      </c>
      <c r="E14" s="91" t="str">
        <f>INDEX('3.  UC Calculations by Hospital'!J:J,MATCH($B:$B,'3.  UC Calculations by Hospital'!$C:$C,0))</f>
        <v>TDSHS-Kerrville State Hospital</v>
      </c>
      <c r="F14" s="91" t="str">
        <f>INDEX('3.  UC Calculations by Hospital'!K:K,MATCH($B:$B,'3.  UC Calculations by Hospital'!$C:$C,0))</f>
        <v>MRSA West</v>
      </c>
      <c r="G14" s="91" t="str">
        <f>INDEX('3.  UC Calculations by Hospital'!L:L,MATCH($B:$B,'3.  UC Calculations by Hospital'!$C:$C,0))</f>
        <v>Kerr</v>
      </c>
      <c r="H14" s="131">
        <f>INDEX('3.  UC Calculations by Hospital'!M:M,MATCH($B:$B,'3.  UC Calculations by Hospital'!$C:$C,0))</f>
        <v>217096.58555647999</v>
      </c>
      <c r="I14" s="131">
        <f>INDEX('3.  UC Calculations by Hospital'!N:N,MATCH($B:$B,'3.  UC Calculations by Hospital'!$C:$C,0))</f>
        <v>42047549.80004096</v>
      </c>
      <c r="J14" s="131">
        <f>INDEX('3.  UC Calculations by Hospital'!O:O,MATCH($B:$B,'3.  UC Calculations by Hospital'!$C:$C,0))</f>
        <v>0</v>
      </c>
      <c r="K14" s="131">
        <f>INDEX('3.  UC Calculations by Hospital'!P:P,MATCH($B:$B,'3.  UC Calculations by Hospital'!$C:$C,0))</f>
        <v>42047549.80004096</v>
      </c>
      <c r="L14" s="131">
        <f>INDEX('3.  UC Calculations by Hospital'!Q:Q,MATCH($B:$B,'3.  UC Calculations by Hospital'!$C:$C,0))+INDEX('3.  UC Calculations by Hospital'!Y:Y,MATCH(B:B,'3.  UC Calculations by Hospital'!C:C,0))</f>
        <v>165447</v>
      </c>
      <c r="M14" s="131">
        <f>INDEX('3.  UC Calculations by Hospital'!R:R,MATCH($B:$B,'3.  UC Calculations by Hospital'!$C:$C,0))</f>
        <v>0</v>
      </c>
      <c r="N14" s="131">
        <f t="shared" si="7"/>
        <v>0</v>
      </c>
      <c r="O14" s="131">
        <f t="shared" si="0"/>
        <v>165447</v>
      </c>
      <c r="P14" s="131">
        <f t="shared" si="1"/>
        <v>148902.30000000002</v>
      </c>
      <c r="Q14" s="131">
        <f t="shared" si="2"/>
        <v>148902.30000000002</v>
      </c>
      <c r="R14" s="131">
        <f t="shared" si="3"/>
        <v>0</v>
      </c>
      <c r="S14" s="131">
        <v>25335.46</v>
      </c>
      <c r="T14" s="131">
        <f>S14*'1. UC Assumptions'!$C$23</f>
        <v>8360.7017999999989</v>
      </c>
      <c r="U14" s="131">
        <f t="shared" si="4"/>
        <v>0</v>
      </c>
      <c r="V14" s="131">
        <f>U14*'1. UC Assumptions'!$C$23</f>
        <v>0</v>
      </c>
      <c r="W14" s="131">
        <f t="shared" si="5"/>
        <v>123566.84000000003</v>
      </c>
      <c r="X14" s="131">
        <f>W14*'1. UC Assumptions'!$C$23</f>
        <v>40777.057200000003</v>
      </c>
      <c r="Y14" s="131">
        <f t="shared" si="8"/>
        <v>40777.057200000003</v>
      </c>
      <c r="Z14" s="131">
        <f>Y14/'1. UC Assumptions'!$C$23</f>
        <v>123566.84000000003</v>
      </c>
      <c r="AA14" s="131">
        <f t="shared" si="6"/>
        <v>148902.30000000002</v>
      </c>
    </row>
    <row r="15" spans="1:27" ht="12" customHeight="1">
      <c r="A15" s="129" t="s">
        <v>113</v>
      </c>
      <c r="B15" s="91" t="s">
        <v>113</v>
      </c>
      <c r="C15" s="130" t="str">
        <f>INDEX('3.  UC Calculations by Hospital'!D:D,MATCH(B:B,'3.  UC Calculations by Hospital'!C:C,0))</f>
        <v>Hosp - State</v>
      </c>
      <c r="D15" s="91" t="str">
        <f>INDEX('3.  UC Calculations by Hospital'!G:G,MATCH($B:$B,'3.  UC Calculations by Hospital'!$C:$C,0))</f>
        <v xml:space="preserve"> </v>
      </c>
      <c r="E15" s="91" t="str">
        <f>INDEX('3.  UC Calculations by Hospital'!J:J,MATCH($B:$B,'3.  UC Calculations by Hospital'!$C:$C,0))</f>
        <v>Texas Center for Infectious Diseases</v>
      </c>
      <c r="F15" s="91" t="str">
        <f>INDEX('3.  UC Calculations by Hospital'!K:K,MATCH($B:$B,'3.  UC Calculations by Hospital'!$C:$C,0))</f>
        <v>Bexar</v>
      </c>
      <c r="G15" s="91" t="str">
        <f>INDEX('3.  UC Calculations by Hospital'!L:L,MATCH($B:$B,'3.  UC Calculations by Hospital'!$C:$C,0))</f>
        <v>Bexar</v>
      </c>
      <c r="H15" s="131">
        <f>INDEX('3.  UC Calculations by Hospital'!M:M,MATCH($B:$B,'3.  UC Calculations by Hospital'!$C:$C,0))</f>
        <v>2646247.0939041534</v>
      </c>
      <c r="I15" s="131">
        <f>INDEX('3.  UC Calculations by Hospital'!N:N,MATCH($B:$B,'3.  UC Calculations by Hospital'!$C:$C,0))</f>
        <v>13844956.497361921</v>
      </c>
      <c r="J15" s="131">
        <f>INDEX('3.  UC Calculations by Hospital'!O:O,MATCH($B:$B,'3.  UC Calculations by Hospital'!$C:$C,0))</f>
        <v>0</v>
      </c>
      <c r="K15" s="131">
        <f>INDEX('3.  UC Calculations by Hospital'!P:P,MATCH($B:$B,'3.  UC Calculations by Hospital'!$C:$C,0))</f>
        <v>13844956.497361921</v>
      </c>
      <c r="L15" s="131">
        <f>INDEX('3.  UC Calculations by Hospital'!Q:Q,MATCH($B:$B,'3.  UC Calculations by Hospital'!$C:$C,0))+INDEX('3.  UC Calculations by Hospital'!Y:Y,MATCH(B:B,'3.  UC Calculations by Hospital'!C:C,0))</f>
        <v>531920</v>
      </c>
      <c r="M15" s="131">
        <f>INDEX('3.  UC Calculations by Hospital'!R:R,MATCH($B:$B,'3.  UC Calculations by Hospital'!$C:$C,0))</f>
        <v>14842083</v>
      </c>
      <c r="N15" s="131">
        <f t="shared" si="7"/>
        <v>0</v>
      </c>
      <c r="O15" s="131">
        <f t="shared" si="0"/>
        <v>531920</v>
      </c>
      <c r="P15" s="131">
        <f t="shared" si="1"/>
        <v>478728</v>
      </c>
      <c r="Q15" s="131">
        <f t="shared" si="2"/>
        <v>478728</v>
      </c>
      <c r="R15" s="131">
        <f t="shared" si="3"/>
        <v>0</v>
      </c>
      <c r="S15" s="132">
        <v>132322.29</v>
      </c>
      <c r="T15" s="131">
        <f>S15*'1. UC Assumptions'!$C$23</f>
        <v>43666.3557</v>
      </c>
      <c r="U15" s="131">
        <f t="shared" ref="U15:U20" si="9">IF(S15&gt;Q15,S15-Q15,0)</f>
        <v>0</v>
      </c>
      <c r="V15" s="131">
        <f>U15*'1. UC Assumptions'!$C$23</f>
        <v>0</v>
      </c>
      <c r="W15" s="131">
        <f t="shared" ref="W15:W20" si="10">IF(U15&gt;0,0,Q15-S15)</f>
        <v>346405.70999999996</v>
      </c>
      <c r="X15" s="131">
        <f>W15*'1. UC Assumptions'!$C$23</f>
        <v>114313.88429999998</v>
      </c>
      <c r="Y15" s="131">
        <f t="shared" si="8"/>
        <v>114313.88429999998</v>
      </c>
      <c r="Z15" s="131">
        <f>Y15/'1. UC Assumptions'!$C$23</f>
        <v>346405.70999999996</v>
      </c>
      <c r="AA15" s="131">
        <f t="shared" ref="AA15:AA20" si="11">S15-U15+Z15</f>
        <v>478728</v>
      </c>
    </row>
    <row r="16" spans="1:27" ht="12" customHeight="1">
      <c r="A16" s="129" t="s">
        <v>114</v>
      </c>
      <c r="B16" s="91" t="s">
        <v>114</v>
      </c>
      <c r="C16" s="130" t="str">
        <f>INDEX('3.  UC Calculations by Hospital'!D:D,MATCH(B:B,'3.  UC Calculations by Hospital'!C:C,0))</f>
        <v>Hosp - State</v>
      </c>
      <c r="D16" s="91" t="str">
        <f>INDEX('3.  UC Calculations by Hospital'!G:G,MATCH($B:$B,'3.  UC Calculations by Hospital'!$C:$C,0))</f>
        <v>State/IMD</v>
      </c>
      <c r="E16" s="91" t="str">
        <f>INDEX('3.  UC Calculations by Hospital'!J:J,MATCH($B:$B,'3.  UC Calculations by Hospital'!$C:$C,0))</f>
        <v>HHSC (RUSK STATE HOSPITAL)</v>
      </c>
      <c r="F16" s="91" t="str">
        <f>INDEX('3.  UC Calculations by Hospital'!K:K,MATCH($B:$B,'3.  UC Calculations by Hospital'!$C:$C,0))</f>
        <v>MRSA Northeast</v>
      </c>
      <c r="G16" s="91" t="str">
        <f>INDEX('3.  UC Calculations by Hospital'!L:L,MATCH($B:$B,'3.  UC Calculations by Hospital'!$C:$C,0))</f>
        <v>Cherokee</v>
      </c>
      <c r="H16" s="131">
        <f>INDEX('3.  UC Calculations by Hospital'!M:M,MATCH($B:$B,'3.  UC Calculations by Hospital'!$C:$C,0))</f>
        <v>1401390.1194444031</v>
      </c>
      <c r="I16" s="131">
        <f>INDEX('3.  UC Calculations by Hospital'!N:N,MATCH($B:$B,'3.  UC Calculations by Hospital'!$C:$C,0))</f>
        <v>51735709.171184637</v>
      </c>
      <c r="J16" s="131">
        <f>INDEX('3.  UC Calculations by Hospital'!O:O,MATCH($B:$B,'3.  UC Calculations by Hospital'!$C:$C,0))</f>
        <v>0</v>
      </c>
      <c r="K16" s="131">
        <f>INDEX('3.  UC Calculations by Hospital'!P:P,MATCH($B:$B,'3.  UC Calculations by Hospital'!$C:$C,0))</f>
        <v>51735709.171184637</v>
      </c>
      <c r="L16" s="131">
        <f>INDEX('3.  UC Calculations by Hospital'!Q:Q,MATCH($B:$B,'3.  UC Calculations by Hospital'!$C:$C,0))+INDEX('3.  UC Calculations by Hospital'!Y:Y,MATCH(B:B,'3.  UC Calculations by Hospital'!C:C,0))</f>
        <v>127491</v>
      </c>
      <c r="M16" s="131">
        <f>INDEX('3.  UC Calculations by Hospital'!R:R,MATCH($B:$B,'3.  UC Calculations by Hospital'!$C:$C,0))</f>
        <v>0</v>
      </c>
      <c r="N16" s="131">
        <f t="shared" si="7"/>
        <v>0</v>
      </c>
      <c r="O16" s="131">
        <f t="shared" si="0"/>
        <v>127491</v>
      </c>
      <c r="P16" s="131">
        <f t="shared" si="1"/>
        <v>114741.90000000001</v>
      </c>
      <c r="Q16" s="131">
        <f t="shared" si="2"/>
        <v>114741.90000000001</v>
      </c>
      <c r="R16" s="131">
        <f t="shared" si="3"/>
        <v>0</v>
      </c>
      <c r="S16" s="131">
        <v>191071.47</v>
      </c>
      <c r="T16" s="131">
        <f>S16*'1. UC Assumptions'!$C$23</f>
        <v>63053.585099999989</v>
      </c>
      <c r="U16" s="131">
        <f t="shared" si="9"/>
        <v>76329.569999999992</v>
      </c>
      <c r="V16" s="131">
        <f>U16*'1. UC Assumptions'!$C$23</f>
        <v>25188.758099999995</v>
      </c>
      <c r="W16" s="131">
        <f t="shared" si="10"/>
        <v>0</v>
      </c>
      <c r="X16" s="131">
        <f>W16*'1. UC Assumptions'!$C$23</f>
        <v>0</v>
      </c>
      <c r="Y16" s="131">
        <f t="shared" si="8"/>
        <v>0</v>
      </c>
      <c r="Z16" s="131">
        <f>Y16/'1. UC Assumptions'!$C$23</f>
        <v>0</v>
      </c>
      <c r="AA16" s="131">
        <f t="shared" si="11"/>
        <v>114741.90000000001</v>
      </c>
    </row>
    <row r="17" spans="1:27" ht="12" customHeight="1">
      <c r="A17" s="129" t="s">
        <v>115</v>
      </c>
      <c r="B17" s="91" t="s">
        <v>115</v>
      </c>
      <c r="C17" s="130" t="str">
        <f>INDEX('3.  UC Calculations by Hospital'!D:D,MATCH(B:B,'3.  UC Calculations by Hospital'!C:C,0))</f>
        <v>Hosp - State</v>
      </c>
      <c r="D17" s="91" t="str">
        <f>INDEX('3.  UC Calculations by Hospital'!G:G,MATCH($B:$B,'3.  UC Calculations by Hospital'!$C:$C,0))</f>
        <v>State/IMD</v>
      </c>
      <c r="E17" s="91" t="str">
        <f>INDEX('3.  UC Calculations by Hospital'!J:J,MATCH($B:$B,'3.  UC Calculations by Hospital'!$C:$C,0))</f>
        <v>HHSC (BIG SPRING STATE HOSPITAL)</v>
      </c>
      <c r="F17" s="91" t="str">
        <f>INDEX('3.  UC Calculations by Hospital'!K:K,MATCH($B:$B,'3.  UC Calculations by Hospital'!$C:$C,0))</f>
        <v>MRSA West</v>
      </c>
      <c r="G17" s="91" t="str">
        <f>INDEX('3.  UC Calculations by Hospital'!L:L,MATCH($B:$B,'3.  UC Calculations by Hospital'!$C:$C,0))</f>
        <v>Howard</v>
      </c>
      <c r="H17" s="131">
        <f>INDEX('3.  UC Calculations by Hospital'!M:M,MATCH($B:$B,'3.  UC Calculations by Hospital'!$C:$C,0))</f>
        <v>2522988.2750548222</v>
      </c>
      <c r="I17" s="131">
        <f>INDEX('3.  UC Calculations by Hospital'!N:N,MATCH($B:$B,'3.  UC Calculations by Hospital'!$C:$C,0))</f>
        <v>26232940.016532481</v>
      </c>
      <c r="J17" s="131">
        <f>INDEX('3.  UC Calculations by Hospital'!O:O,MATCH($B:$B,'3.  UC Calculations by Hospital'!$C:$C,0))</f>
        <v>0</v>
      </c>
      <c r="K17" s="131">
        <f>INDEX('3.  UC Calculations by Hospital'!P:P,MATCH($B:$B,'3.  UC Calculations by Hospital'!$C:$C,0))</f>
        <v>26232940.016532481</v>
      </c>
      <c r="L17" s="131">
        <f>INDEX('3.  UC Calculations by Hospital'!Q:Q,MATCH($B:$B,'3.  UC Calculations by Hospital'!$C:$C,0))+INDEX('3.  UC Calculations by Hospital'!Y:Y,MATCH(B:B,'3.  UC Calculations by Hospital'!C:C,0))</f>
        <v>272947</v>
      </c>
      <c r="M17" s="131">
        <f>INDEX('3.  UC Calculations by Hospital'!R:R,MATCH($B:$B,'3.  UC Calculations by Hospital'!$C:$C,0))</f>
        <v>0</v>
      </c>
      <c r="N17" s="131">
        <f t="shared" si="7"/>
        <v>0</v>
      </c>
      <c r="O17" s="131">
        <f t="shared" si="0"/>
        <v>272947</v>
      </c>
      <c r="P17" s="131">
        <f t="shared" si="1"/>
        <v>245652.30000000002</v>
      </c>
      <c r="Q17" s="131">
        <f t="shared" si="2"/>
        <v>245652.30000000002</v>
      </c>
      <c r="R17" s="131">
        <f t="shared" si="3"/>
        <v>0</v>
      </c>
      <c r="S17" s="131">
        <v>282719.03999999998</v>
      </c>
      <c r="T17" s="131">
        <f>S17*'1. UC Assumptions'!$C$23</f>
        <v>93297.283199999976</v>
      </c>
      <c r="U17" s="131">
        <f t="shared" si="9"/>
        <v>37066.739999999962</v>
      </c>
      <c r="V17" s="131">
        <f>U17*'1. UC Assumptions'!$C$23</f>
        <v>12232.024199999985</v>
      </c>
      <c r="W17" s="131">
        <f t="shared" si="10"/>
        <v>0</v>
      </c>
      <c r="X17" s="131">
        <f>W17*'1. UC Assumptions'!$C$23</f>
        <v>0</v>
      </c>
      <c r="Y17" s="131">
        <f t="shared" si="8"/>
        <v>0</v>
      </c>
      <c r="Z17" s="131">
        <f>Y17/'1. UC Assumptions'!$C$23</f>
        <v>0</v>
      </c>
      <c r="AA17" s="131">
        <f t="shared" si="11"/>
        <v>245652.30000000002</v>
      </c>
    </row>
    <row r="18" spans="1:27" ht="12" customHeight="1">
      <c r="A18" s="129" t="s">
        <v>116</v>
      </c>
      <c r="B18" s="91" t="s">
        <v>116</v>
      </c>
      <c r="C18" s="130" t="str">
        <f>INDEX('3.  UC Calculations by Hospital'!D:D,MATCH(B:B,'3.  UC Calculations by Hospital'!C:C,0))</f>
        <v>Hosp - State</v>
      </c>
      <c r="D18" s="91" t="str">
        <f>INDEX('3.  UC Calculations by Hospital'!G:G,MATCH($B:$B,'3.  UC Calculations by Hospital'!$C:$C,0))</f>
        <v>State/IMD</v>
      </c>
      <c r="E18" s="91" t="str">
        <f>INDEX('3.  UC Calculations by Hospital'!J:J,MATCH($B:$B,'3.  UC Calculations by Hospital'!$C:$C,0))</f>
        <v>HHSC (TERRELL STATE HOSPITAL)</v>
      </c>
      <c r="F18" s="91" t="str">
        <f>INDEX('3.  UC Calculations by Hospital'!K:K,MATCH($B:$B,'3.  UC Calculations by Hospital'!$C:$C,0))</f>
        <v>Dallas</v>
      </c>
      <c r="G18" s="91" t="str">
        <f>INDEX('3.  UC Calculations by Hospital'!L:L,MATCH($B:$B,'3.  UC Calculations by Hospital'!$C:$C,0))</f>
        <v>Kaufman</v>
      </c>
      <c r="H18" s="131">
        <f>INDEX('3.  UC Calculations by Hospital'!M:M,MATCH($B:$B,'3.  UC Calculations by Hospital'!$C:$C,0))</f>
        <v>10763997.468701746</v>
      </c>
      <c r="I18" s="131">
        <f>INDEX('3.  UC Calculations by Hospital'!N:N,MATCH($B:$B,'3.  UC Calculations by Hospital'!$C:$C,0))</f>
        <v>38500004.741488643</v>
      </c>
      <c r="J18" s="131">
        <f>INDEX('3.  UC Calculations by Hospital'!O:O,MATCH($B:$B,'3.  UC Calculations by Hospital'!$C:$C,0))</f>
        <v>0</v>
      </c>
      <c r="K18" s="131">
        <f>INDEX('3.  UC Calculations by Hospital'!P:P,MATCH($B:$B,'3.  UC Calculations by Hospital'!$C:$C,0))</f>
        <v>38500004.741488643</v>
      </c>
      <c r="L18" s="131">
        <f>INDEX('3.  UC Calculations by Hospital'!Q:Q,MATCH($B:$B,'3.  UC Calculations by Hospital'!$C:$C,0))+INDEX('3.  UC Calculations by Hospital'!Y:Y,MATCH(B:B,'3.  UC Calculations by Hospital'!C:C,0))</f>
        <v>310979</v>
      </c>
      <c r="M18" s="131">
        <f>INDEX('3.  UC Calculations by Hospital'!R:R,MATCH($B:$B,'3.  UC Calculations by Hospital'!$C:$C,0))</f>
        <v>42488822</v>
      </c>
      <c r="N18" s="131">
        <f t="shared" ref="N18:N19" si="12">IF(IF(H18&gt;0,IF(M18&gt;H18+K18,M18-H18-K18,0),IF(AND(M18&gt;0,(H18+K18&gt;0)),M18-K18,0))&gt;0,IF(H18&gt;0,IF(M18&gt;H18+K18,M18-H18-K18,0),IF(AND(M18&gt;0,(H18+K18&gt;0)),M18-K18,0)),0)</f>
        <v>0</v>
      </c>
      <c r="O18" s="131">
        <f t="shared" ref="O18:O19" si="13">IF(L18-N18&gt;0,L18-N18,0)</f>
        <v>310979</v>
      </c>
      <c r="P18" s="131">
        <f t="shared" ref="P18:P19" si="14">O18*0.9</f>
        <v>279881.10000000003</v>
      </c>
      <c r="Q18" s="131">
        <f t="shared" si="2"/>
        <v>279881.10000000003</v>
      </c>
      <c r="R18" s="131">
        <f t="shared" ref="R18:R19" si="15">P18-Q18</f>
        <v>0</v>
      </c>
      <c r="S18" s="131">
        <v>520537.88</v>
      </c>
      <c r="T18" s="131">
        <f>S18*'1. UC Assumptions'!$C$23</f>
        <v>171777.50039999999</v>
      </c>
      <c r="U18" s="131">
        <f t="shared" si="9"/>
        <v>240656.77999999997</v>
      </c>
      <c r="V18" s="131">
        <f>U18*'1. UC Assumptions'!$C$23</f>
        <v>79416.737399999984</v>
      </c>
      <c r="W18" s="131">
        <f t="shared" si="10"/>
        <v>0</v>
      </c>
      <c r="X18" s="131">
        <f>W18*'1. UC Assumptions'!$C$23</f>
        <v>0</v>
      </c>
      <c r="Y18" s="131">
        <f t="shared" ref="Y18:Y19" si="16">X18</f>
        <v>0</v>
      </c>
      <c r="Z18" s="131">
        <f>Y18/'1. UC Assumptions'!$C$23</f>
        <v>0</v>
      </c>
      <c r="AA18" s="131">
        <f t="shared" si="11"/>
        <v>279881.10000000003</v>
      </c>
    </row>
    <row r="19" spans="1:27" ht="12" customHeight="1">
      <c r="A19" s="129" t="s">
        <v>117</v>
      </c>
      <c r="B19" s="91" t="s">
        <v>117</v>
      </c>
      <c r="C19" s="130" t="str">
        <f>INDEX('3.  UC Calculations by Hospital'!D:D,MATCH(B:B,'3.  UC Calculations by Hospital'!C:C,0))</f>
        <v>Hosp - State</v>
      </c>
      <c r="D19" s="91" t="str">
        <f>INDEX('3.  UC Calculations by Hospital'!G:G,MATCH($B:$B,'3.  UC Calculations by Hospital'!$C:$C,0))</f>
        <v>State/IMD</v>
      </c>
      <c r="E19" s="91" t="str">
        <f>INDEX('3.  UC Calculations by Hospital'!J:J,MATCH($B:$B,'3.  UC Calculations by Hospital'!$C:$C,0))</f>
        <v>HHSC (SAN ANTONIO STATE HOSPITAL)</v>
      </c>
      <c r="F19" s="91" t="str">
        <f>INDEX('3.  UC Calculations by Hospital'!K:K,MATCH($B:$B,'3.  UC Calculations by Hospital'!$C:$C,0))</f>
        <v>Bexar</v>
      </c>
      <c r="G19" s="91" t="str">
        <f>INDEX('3.  UC Calculations by Hospital'!L:L,MATCH($B:$B,'3.  UC Calculations by Hospital'!$C:$C,0))</f>
        <v>Bexar</v>
      </c>
      <c r="H19" s="131">
        <f>INDEX('3.  UC Calculations by Hospital'!M:M,MATCH($B:$B,'3.  UC Calculations by Hospital'!$C:$C,0))</f>
        <v>8822462.1263815667</v>
      </c>
      <c r="I19" s="131">
        <f>INDEX('3.  UC Calculations by Hospital'!N:N,MATCH($B:$B,'3.  UC Calculations by Hospital'!$C:$C,0))</f>
        <v>49796753.8160512</v>
      </c>
      <c r="J19" s="131">
        <f>INDEX('3.  UC Calculations by Hospital'!O:O,MATCH($B:$B,'3.  UC Calculations by Hospital'!$C:$C,0))</f>
        <v>0</v>
      </c>
      <c r="K19" s="131">
        <f>INDEX('3.  UC Calculations by Hospital'!P:P,MATCH($B:$B,'3.  UC Calculations by Hospital'!$C:$C,0))</f>
        <v>49796753.8160512</v>
      </c>
      <c r="L19" s="131">
        <f>INDEX('3.  UC Calculations by Hospital'!Q:Q,MATCH($B:$B,'3.  UC Calculations by Hospital'!$C:$C,0))+INDEX('3.  UC Calculations by Hospital'!Y:Y,MATCH(B:B,'3.  UC Calculations by Hospital'!C:C,0))</f>
        <v>191578</v>
      </c>
      <c r="M19" s="131">
        <f>INDEX('3.  UC Calculations by Hospital'!R:R,MATCH($B:$B,'3.  UC Calculations by Hospital'!$C:$C,0))</f>
        <v>50500298</v>
      </c>
      <c r="N19" s="131">
        <f t="shared" si="12"/>
        <v>0</v>
      </c>
      <c r="O19" s="131">
        <f t="shared" si="13"/>
        <v>191578</v>
      </c>
      <c r="P19" s="131">
        <f t="shared" si="14"/>
        <v>172420.2</v>
      </c>
      <c r="Q19" s="131">
        <f t="shared" si="2"/>
        <v>172420.2</v>
      </c>
      <c r="R19" s="131">
        <f t="shared" si="15"/>
        <v>0</v>
      </c>
      <c r="S19" s="131">
        <v>494659.5</v>
      </c>
      <c r="T19" s="131">
        <f>S19*'1. UC Assumptions'!$C$23</f>
        <v>163237.63499999998</v>
      </c>
      <c r="U19" s="131">
        <f t="shared" si="9"/>
        <v>322239.3</v>
      </c>
      <c r="V19" s="131">
        <f>U19*'1. UC Assumptions'!$C$23</f>
        <v>106338.96899999998</v>
      </c>
      <c r="W19" s="131">
        <f t="shared" si="10"/>
        <v>0</v>
      </c>
      <c r="X19" s="131">
        <f>W19*'1. UC Assumptions'!$C$23</f>
        <v>0</v>
      </c>
      <c r="Y19" s="131">
        <f t="shared" si="16"/>
        <v>0</v>
      </c>
      <c r="Z19" s="131">
        <f>Y19/'1. UC Assumptions'!$C$23</f>
        <v>0</v>
      </c>
      <c r="AA19" s="131">
        <f t="shared" si="11"/>
        <v>172420.2</v>
      </c>
    </row>
    <row r="20" spans="1:27" ht="12" customHeight="1">
      <c r="A20" s="129" t="s">
        <v>118</v>
      </c>
      <c r="B20" s="91" t="s">
        <v>118</v>
      </c>
      <c r="C20" s="130" t="str">
        <f>INDEX('3.  UC Calculations by Hospital'!D:D,MATCH(B:B,'3.  UC Calculations by Hospital'!C:C,0))</f>
        <v>Hosp - State</v>
      </c>
      <c r="D20" s="91" t="str">
        <f>INDEX('3.  UC Calculations by Hospital'!G:G,MATCH($B:$B,'3.  UC Calculations by Hospital'!$C:$C,0))</f>
        <v xml:space="preserve"> </v>
      </c>
      <c r="E20" s="91" t="str">
        <f>INDEX('3.  UC Calculations by Hospital'!J:J,MATCH($B:$B,'3.  UC Calculations by Hospital'!$C:$C,0))</f>
        <v>University of Texas Southwestern Medical Center</v>
      </c>
      <c r="F20" s="91" t="str">
        <f>INDEX('3.  UC Calculations by Hospital'!K:K,MATCH($B:$B,'3.  UC Calculations by Hospital'!$C:$C,0))</f>
        <v>Dallas</v>
      </c>
      <c r="G20" s="91" t="str">
        <f>INDEX('3.  UC Calculations by Hospital'!L:L,MATCH($B:$B,'3.  UC Calculations by Hospital'!$C:$C,0))</f>
        <v>Dallas</v>
      </c>
      <c r="H20" s="131">
        <f>INDEX('3.  UC Calculations by Hospital'!M:M,MATCH($B:$B,'3.  UC Calculations by Hospital'!$C:$C,0))</f>
        <v>25873926.45540357</v>
      </c>
      <c r="I20" s="131">
        <f>INDEX('3.  UC Calculations by Hospital'!N:N,MATCH($B:$B,'3.  UC Calculations by Hospital'!$C:$C,0))</f>
        <v>33283926.365564961</v>
      </c>
      <c r="J20" s="131">
        <f>INDEX('3.  UC Calculations by Hospital'!O:O,MATCH($B:$B,'3.  UC Calculations by Hospital'!$C:$C,0))</f>
        <v>28461228.901769217</v>
      </c>
      <c r="K20" s="131">
        <f>INDEX('3.  UC Calculations by Hospital'!P:P,MATCH($B:$B,'3.  UC Calculations by Hospital'!$C:$C,0))</f>
        <v>4822697.4637957439</v>
      </c>
      <c r="L20" s="131">
        <f>INDEX('3.  UC Calculations by Hospital'!Q:Q,MATCH($B:$B,'3.  UC Calculations by Hospital'!$C:$C,0))+INDEX('3.  UC Calculations by Hospital'!Y:Y,MATCH(B:B,'3.  UC Calculations by Hospital'!C:C,0))</f>
        <v>33877173.920603953</v>
      </c>
      <c r="M20" s="131">
        <f>INDEX('3.  UC Calculations by Hospital'!R:R,MATCH($B:$B,'3.  UC Calculations by Hospital'!$C:$C,0))</f>
        <v>53242068</v>
      </c>
      <c r="N20" s="131">
        <f t="shared" si="7"/>
        <v>22545444.080800686</v>
      </c>
      <c r="O20" s="131">
        <f t="shared" si="0"/>
        <v>11331729.839803267</v>
      </c>
      <c r="P20" s="131">
        <f t="shared" si="1"/>
        <v>10198556.855822941</v>
      </c>
      <c r="Q20" s="131">
        <f t="shared" si="2"/>
        <v>4874350.0558229387</v>
      </c>
      <c r="R20" s="131">
        <f t="shared" si="3"/>
        <v>5324206.8000000026</v>
      </c>
      <c r="S20" s="131">
        <v>4184938.68</v>
      </c>
      <c r="T20" s="131">
        <f>S20*'1. UC Assumptions'!$C$23</f>
        <v>1381029.7644</v>
      </c>
      <c r="U20" s="131">
        <f t="shared" si="9"/>
        <v>0</v>
      </c>
      <c r="V20" s="131">
        <f>U20*'1. UC Assumptions'!$C$23</f>
        <v>0</v>
      </c>
      <c r="W20" s="131">
        <f t="shared" si="10"/>
        <v>689411.37582293851</v>
      </c>
      <c r="X20" s="131">
        <f>W20*'1. UC Assumptions'!$C$23</f>
        <v>227505.75402156968</v>
      </c>
      <c r="Y20" s="131">
        <f t="shared" si="8"/>
        <v>227505.75402156968</v>
      </c>
      <c r="Z20" s="131">
        <f>Y20/'1. UC Assumptions'!$C$23</f>
        <v>689411.37582293851</v>
      </c>
      <c r="AA20" s="131">
        <f t="shared" si="11"/>
        <v>4874350.0558229387</v>
      </c>
    </row>
    <row r="21" spans="1:27">
      <c r="A21" s="114"/>
      <c r="B21" s="91"/>
      <c r="C21" s="114" t="s">
        <v>44</v>
      </c>
      <c r="D21" s="114"/>
      <c r="E21" s="114" t="s">
        <v>44</v>
      </c>
      <c r="F21" s="104"/>
      <c r="G21" s="114"/>
      <c r="H21" s="133">
        <f t="shared" ref="H21:P21" si="17">SUM(H4:H20)</f>
        <v>102686799.01869954</v>
      </c>
      <c r="I21" s="133">
        <f t="shared" si="17"/>
        <v>568592497.28768754</v>
      </c>
      <c r="J21" s="133">
        <f t="shared" si="17"/>
        <v>117053447.41875689</v>
      </c>
      <c r="K21" s="133">
        <f t="shared" si="17"/>
        <v>463280441.92402482</v>
      </c>
      <c r="L21" s="133">
        <f t="shared" si="17"/>
        <v>156368963.05748007</v>
      </c>
      <c r="M21" s="133">
        <f t="shared" si="17"/>
        <v>409582926</v>
      </c>
      <c r="N21" s="133">
        <f t="shared" si="17"/>
        <v>53019293.507266819</v>
      </c>
      <c r="O21" s="133">
        <f t="shared" si="17"/>
        <v>103349669.55021325</v>
      </c>
      <c r="P21" s="133">
        <f t="shared" si="17"/>
        <v>93014702.595191911</v>
      </c>
      <c r="Q21" s="133">
        <f t="shared" ref="Q21:AA21" si="18">SUM(Q4:Q20)</f>
        <v>79377801.513262123</v>
      </c>
      <c r="R21" s="133">
        <f t="shared" si="18"/>
        <v>13636901.081929777</v>
      </c>
      <c r="S21" s="133">
        <f>SUM(S4:S20)</f>
        <v>36558749.319999993</v>
      </c>
      <c r="T21" s="133">
        <f t="shared" si="18"/>
        <v>12064387.275599997</v>
      </c>
      <c r="U21" s="133">
        <f t="shared" si="18"/>
        <v>3210052.0147460527</v>
      </c>
      <c r="V21" s="133">
        <f t="shared" si="18"/>
        <v>1059317.1648661974</v>
      </c>
      <c r="W21" s="133">
        <f t="shared" si="18"/>
        <v>46029104.2080082</v>
      </c>
      <c r="X21" s="133">
        <f t="shared" si="18"/>
        <v>15189604.388642699</v>
      </c>
      <c r="Y21" s="133">
        <f t="shared" si="18"/>
        <v>15189604.388642699</v>
      </c>
      <c r="Z21" s="133">
        <f t="shared" si="18"/>
        <v>46029104.2080082</v>
      </c>
      <c r="AA21" s="133">
        <f t="shared" si="18"/>
        <v>79377801.513262123</v>
      </c>
    </row>
    <row r="22" spans="1:27">
      <c r="B22" s="91"/>
      <c r="V22" s="5"/>
      <c r="Z22" s="13">
        <f>'3.  UC Calculations by Hospital'!BL390</f>
        <v>772905012.4599998</v>
      </c>
    </row>
    <row r="23" spans="1:27">
      <c r="B23" s="91"/>
      <c r="Z23" s="57">
        <f>Z21+Z22</f>
        <v>818934116.66800797</v>
      </c>
    </row>
    <row r="31" spans="1:27" s="4" customFormat="1">
      <c r="A31"/>
      <c r="B31"/>
      <c r="C31"/>
      <c r="D31"/>
      <c r="E31"/>
      <c r="F31"/>
      <c r="G31"/>
    </row>
  </sheetData>
  <autoFilter ref="A3:AA23" xr:uid="{6CE30505-20D4-4BD3-8690-04B236E1C823}"/>
  <pageMargins left="0.7" right="0.7" top="0.75" bottom="0.75" header="0.3" footer="0.3"/>
  <pageSetup orientation="portrait" r:id="rId1"/>
  <headerFooter>
    <oddHeader>&amp;C&amp;G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sheetPr>
  <dimension ref="A1:BP403"/>
  <sheetViews>
    <sheetView zoomScale="80" zoomScaleNormal="80" zoomScalePageLayoutView="90" workbookViewId="0">
      <selection activeCell="L2" sqref="L2"/>
    </sheetView>
  </sheetViews>
  <sheetFormatPr defaultColWidth="8.85546875" defaultRowHeight="12.75"/>
  <cols>
    <col min="1" max="1" width="17.140625" bestFit="1" customWidth="1"/>
    <col min="2" max="2" width="11.5703125" bestFit="1" customWidth="1"/>
    <col min="3" max="3" width="11.140625" bestFit="1" customWidth="1"/>
    <col min="4" max="4" width="14.5703125" customWidth="1"/>
    <col min="5" max="5" width="23.140625" hidden="1" customWidth="1"/>
    <col min="6" max="6" width="23.140625" customWidth="1"/>
    <col min="7" max="7" width="10.85546875" customWidth="1"/>
    <col min="8" max="8" width="17.85546875" customWidth="1"/>
    <col min="9" max="9" width="8.140625" customWidth="1"/>
    <col min="10" max="10" width="56.140625" bestFit="1" customWidth="1"/>
    <col min="11" max="11" width="15.5703125" customWidth="1"/>
    <col min="12" max="12" width="13.85546875" customWidth="1"/>
    <col min="13" max="13" width="17.85546875" style="4" customWidth="1"/>
    <col min="14" max="14" width="18.85546875" style="4" customWidth="1"/>
    <col min="15" max="15" width="18" style="4" customWidth="1"/>
    <col min="16" max="17" width="20.140625" style="4" customWidth="1"/>
    <col min="18" max="18" width="19" style="4" customWidth="1"/>
    <col min="19" max="19" width="26.140625" style="4" customWidth="1"/>
    <col min="20" max="20" width="28.140625" style="4" customWidth="1"/>
    <col min="21" max="22" width="17.85546875" style="4" customWidth="1"/>
    <col min="23" max="23" width="16.140625" style="4" customWidth="1"/>
    <col min="24" max="24" width="15.42578125" style="4" customWidth="1"/>
    <col min="25" max="25" width="16.140625" style="4" customWidth="1"/>
    <col min="26" max="26" width="19.42578125" style="4" customWidth="1"/>
    <col min="27" max="27" width="31" style="4" customWidth="1"/>
    <col min="28" max="28" width="34.85546875" style="4" customWidth="1"/>
    <col min="29" max="29" width="38.85546875" style="4" customWidth="1"/>
    <col min="30" max="30" width="30.42578125" style="4" customWidth="1"/>
    <col min="31" max="31" width="28.85546875" style="4" customWidth="1"/>
    <col min="32" max="32" width="50.42578125" style="4" customWidth="1"/>
    <col min="33" max="33" width="18.85546875" style="4" customWidth="1"/>
    <col min="34" max="34" width="19.85546875" style="4" customWidth="1"/>
    <col min="35" max="35" width="16.140625" style="5" customWidth="1"/>
    <col min="36" max="36" width="17.42578125" style="5" customWidth="1"/>
    <col min="37" max="37" width="16.140625" style="5" customWidth="1"/>
    <col min="38" max="38" width="23.140625" style="5" customWidth="1"/>
    <col min="39" max="39" width="22.85546875" style="5" customWidth="1"/>
    <col min="40" max="40" width="22.5703125" style="5" customWidth="1"/>
    <col min="41" max="41" width="19.140625" style="5" customWidth="1"/>
    <col min="42" max="42" width="32.42578125" style="5" customWidth="1"/>
    <col min="43" max="43" width="25.85546875" style="5" customWidth="1"/>
    <col min="44" max="44" width="19.140625" style="5" customWidth="1"/>
    <col min="45" max="45" width="24" style="5" customWidth="1"/>
    <col min="46" max="47" width="16" style="5" customWidth="1"/>
    <col min="48" max="48" width="15" style="5" customWidth="1"/>
    <col min="49" max="49" width="17.5703125" style="5" customWidth="1"/>
    <col min="50" max="50" width="16" style="5" customWidth="1"/>
    <col min="51" max="52" width="15" style="5" customWidth="1"/>
    <col min="53" max="54" width="16.85546875" style="5" customWidth="1"/>
    <col min="55" max="55" width="16.140625" style="5" customWidth="1"/>
    <col min="56" max="56" width="15" style="5" customWidth="1"/>
    <col min="57" max="58" width="16" style="5" customWidth="1"/>
    <col min="59" max="59" width="15.85546875" style="5" customWidth="1"/>
    <col min="60" max="61" width="20.140625" style="5" customWidth="1"/>
    <col min="62" max="63" width="22.140625" style="13" bestFit="1" customWidth="1"/>
    <col min="64" max="65" width="22.140625" style="13" customWidth="1"/>
    <col min="66" max="66" width="6.140625" style="10" bestFit="1" customWidth="1"/>
    <col min="67" max="67" width="22.140625" style="13" customWidth="1"/>
    <col min="68" max="68" width="26.42578125" bestFit="1" customWidth="1"/>
  </cols>
  <sheetData>
    <row r="1" spans="1:68" ht="38.25">
      <c r="E1" s="82" t="s">
        <v>119</v>
      </c>
      <c r="F1" s="10"/>
      <c r="M1" s="14"/>
      <c r="N1" s="14"/>
      <c r="O1" s="14"/>
      <c r="Q1" s="14"/>
      <c r="R1" s="14"/>
      <c r="U1" s="50"/>
      <c r="AA1" s="14"/>
      <c r="AJ1" s="56"/>
      <c r="AS1" s="41" t="s">
        <v>120</v>
      </c>
      <c r="AT1" s="42">
        <f>SUMIF($K:$K,"=Bexar",$AG:$AG)</f>
        <v>258808217.60960177</v>
      </c>
      <c r="AU1" s="42">
        <f>SUMIF($K:$K,"=Dallas",$AG:$AG)</f>
        <v>615906977.65113246</v>
      </c>
      <c r="AV1" s="42">
        <f>SUMIF($K:$K,"=El Paso",$AG:$AG)</f>
        <v>108201704.78080724</v>
      </c>
      <c r="AW1" s="42">
        <f>SUMIF($K:$K,"=Harris",$AG:$AG)</f>
        <v>1010743524.3689535</v>
      </c>
      <c r="AX1" s="42">
        <f>SUMIF($K:$K,"=Hidalgo",$AG:$AG)</f>
        <v>100907486.9946744</v>
      </c>
      <c r="AY1" s="42">
        <f>SUMIF($K:$K,"=Jefferson",$AG:$AG)</f>
        <v>56224720.007320508</v>
      </c>
      <c r="AZ1" s="42">
        <f>SUMIF($K:$K,"=Lubbock",$AG:$AG)</f>
        <v>142003230.46396321</v>
      </c>
      <c r="BA1" s="42">
        <f>SUMIF($K:$K,"=MRSA Central",$AG:$AG)</f>
        <v>103571026.31557797</v>
      </c>
      <c r="BB1" s="42">
        <f>SUMIF($K:$K,"=MRSA Northeast",$AG:$AG)</f>
        <v>152533805.54397547</v>
      </c>
      <c r="BC1" s="42">
        <f>SUMIF($K:$K,"=MRSA West",$AG:$AG)</f>
        <v>51495475.514162153</v>
      </c>
      <c r="BD1" s="42">
        <f>SUMIF($K:$K,"=Nueces",$AG:$AG)</f>
        <v>86062794.027289569</v>
      </c>
      <c r="BE1" s="42">
        <f>SUMIF($K:$K,"=Tarrant",$AG:$AG)</f>
        <v>336986237.26847094</v>
      </c>
      <c r="BF1" s="43">
        <f>SUMIF($K:$K,"=Travis",$AG:$AG)</f>
        <v>224541360.85485715</v>
      </c>
    </row>
    <row r="2" spans="1:68" ht="153.75" thickBot="1">
      <c r="B2" s="81" t="s">
        <v>58</v>
      </c>
      <c r="C2" s="10" t="s">
        <v>58</v>
      </c>
      <c r="D2" s="10" t="s">
        <v>58</v>
      </c>
      <c r="E2" s="10" t="s">
        <v>121</v>
      </c>
      <c r="F2" s="10"/>
      <c r="G2" s="10" t="s">
        <v>58</v>
      </c>
      <c r="H2" s="10" t="s">
        <v>58</v>
      </c>
      <c r="I2" s="10" t="s">
        <v>122</v>
      </c>
      <c r="J2" s="10" t="s">
        <v>58</v>
      </c>
      <c r="K2" s="10" t="s">
        <v>58</v>
      </c>
      <c r="L2" s="10" t="s">
        <v>58</v>
      </c>
      <c r="M2" s="10" t="s">
        <v>58</v>
      </c>
      <c r="N2" s="10" t="s">
        <v>58</v>
      </c>
      <c r="O2" s="10" t="s">
        <v>58</v>
      </c>
      <c r="P2" s="14" t="s">
        <v>60</v>
      </c>
      <c r="Q2" s="14" t="s">
        <v>58</v>
      </c>
      <c r="R2" s="14" t="s">
        <v>123</v>
      </c>
      <c r="S2" s="14" t="s">
        <v>124</v>
      </c>
      <c r="T2" s="14" t="s">
        <v>125</v>
      </c>
      <c r="U2" s="14" t="s">
        <v>58</v>
      </c>
      <c r="V2" s="14" t="s">
        <v>58</v>
      </c>
      <c r="W2" s="14" t="s">
        <v>58</v>
      </c>
      <c r="X2" s="14" t="s">
        <v>58</v>
      </c>
      <c r="Y2" s="14" t="s">
        <v>58</v>
      </c>
      <c r="Z2" s="14" t="s">
        <v>126</v>
      </c>
      <c r="AA2" s="14" t="s">
        <v>127</v>
      </c>
      <c r="AB2" s="14" t="s">
        <v>128</v>
      </c>
      <c r="AC2" s="14" t="s">
        <v>129</v>
      </c>
      <c r="AD2" s="48" t="s">
        <v>130</v>
      </c>
      <c r="AE2" s="38" t="s">
        <v>131</v>
      </c>
      <c r="AF2" s="14" t="s">
        <v>132</v>
      </c>
      <c r="AG2" s="14" t="s">
        <v>133</v>
      </c>
      <c r="AH2" s="14" t="s">
        <v>134</v>
      </c>
      <c r="AI2" s="14" t="s">
        <v>135</v>
      </c>
      <c r="AJ2" s="14" t="s">
        <v>136</v>
      </c>
      <c r="AK2" s="14" t="s">
        <v>137</v>
      </c>
      <c r="AL2" s="14" t="s">
        <v>138</v>
      </c>
      <c r="AM2" s="14" t="s">
        <v>139</v>
      </c>
      <c r="AN2" s="14" t="s">
        <v>140</v>
      </c>
      <c r="AO2" s="38" t="s">
        <v>141</v>
      </c>
      <c r="AP2" s="38" t="s">
        <v>142</v>
      </c>
      <c r="AQ2" s="38" t="s">
        <v>143</v>
      </c>
      <c r="AR2" s="14" t="s">
        <v>72</v>
      </c>
      <c r="AS2" s="134" t="s">
        <v>144</v>
      </c>
      <c r="AT2" s="135">
        <f>SUMIF($K:$K,"=Bexar",$AH:$AH)</f>
        <v>302655823.56414825</v>
      </c>
      <c r="AU2" s="135">
        <f>SUMIF($K:$K,"=Dallas",$AH:$AH)</f>
        <v>677140323.35359681</v>
      </c>
      <c r="AV2" s="135">
        <f>SUMIF($K:$K,"=El Paso",$AH:$AH)</f>
        <v>123520470.25166196</v>
      </c>
      <c r="AW2" s="135">
        <f>SUMIF($K:$K,"=Harris",$AH:$AH)</f>
        <v>1001428248.4846884</v>
      </c>
      <c r="AX2" s="135">
        <f>SUMIF($K:$K,"=Hidalgo",$AH:$AH)</f>
        <v>95021624.972633481</v>
      </c>
      <c r="AY2" s="135">
        <f>SUMIF($K:$K,"=Jefferson",$AH:$AH)</f>
        <v>59496494.52324003</v>
      </c>
      <c r="AZ2" s="135">
        <f>SUMIF($K:$K,"=Lubbock",$AH:$AH)</f>
        <v>139686132.211687</v>
      </c>
      <c r="BA2" s="135">
        <f>SUMIF($K:$K,"=MRSA Central",$AH:$AH)</f>
        <v>129084753.83046335</v>
      </c>
      <c r="BB2" s="135">
        <f>SUMIF($K:$K,"=MRSA Northeast",$AH:$AH)</f>
        <v>221042654.91757908</v>
      </c>
      <c r="BC2" s="135">
        <f>SUMIF($K:$K,"=MRSA West",$AH:$AH)</f>
        <v>180882098.26973563</v>
      </c>
      <c r="BD2" s="135">
        <f>SUMIF($K:$K,"=Nueces",$AH:$AH)</f>
        <v>102708445.05990201</v>
      </c>
      <c r="BE2" s="135">
        <f>SUMIF($K:$K,"=Tarrant",$AH:$AH)</f>
        <v>391153988.07582861</v>
      </c>
      <c r="BF2" s="136">
        <f>SUMIF($K:$K,"=Travis",$AH:$AH)</f>
        <v>220639895.15832946</v>
      </c>
      <c r="BG2" s="28" t="s">
        <v>145</v>
      </c>
      <c r="BH2" s="28" t="s">
        <v>146</v>
      </c>
      <c r="BI2" s="28"/>
      <c r="BJ2" s="14" t="s">
        <v>147</v>
      </c>
      <c r="BK2" s="14" t="s">
        <v>148</v>
      </c>
      <c r="BL2" s="14"/>
      <c r="BM2" s="14"/>
      <c r="BO2" s="14"/>
    </row>
    <row r="3" spans="1:68" ht="114.75">
      <c r="B3" s="137" t="s">
        <v>75</v>
      </c>
      <c r="C3" s="123" t="s">
        <v>76</v>
      </c>
      <c r="D3" s="123" t="s">
        <v>77</v>
      </c>
      <c r="E3" s="123" t="s">
        <v>149</v>
      </c>
      <c r="F3" s="123" t="s">
        <v>150</v>
      </c>
      <c r="G3" s="123" t="s">
        <v>78</v>
      </c>
      <c r="H3" s="123" t="s">
        <v>151</v>
      </c>
      <c r="I3" s="127" t="s">
        <v>152</v>
      </c>
      <c r="J3" s="123" t="s">
        <v>79</v>
      </c>
      <c r="K3" s="138" t="s">
        <v>80</v>
      </c>
      <c r="L3" s="138" t="s">
        <v>81</v>
      </c>
      <c r="M3" s="123" t="s">
        <v>153</v>
      </c>
      <c r="N3" s="123" t="s">
        <v>154</v>
      </c>
      <c r="O3" s="123" t="s">
        <v>155</v>
      </c>
      <c r="P3" s="126" t="s">
        <v>156</v>
      </c>
      <c r="Q3" s="123" t="s">
        <v>157</v>
      </c>
      <c r="R3" s="123" t="s">
        <v>158</v>
      </c>
      <c r="S3" s="126" t="s">
        <v>159</v>
      </c>
      <c r="T3" s="126" t="s">
        <v>89</v>
      </c>
      <c r="U3" s="123" t="s">
        <v>160</v>
      </c>
      <c r="V3" s="123" t="s">
        <v>161</v>
      </c>
      <c r="W3" s="123" t="s">
        <v>162</v>
      </c>
      <c r="X3" s="123" t="s">
        <v>163</v>
      </c>
      <c r="Y3" s="123" t="s">
        <v>164</v>
      </c>
      <c r="Z3" s="126" t="s">
        <v>165</v>
      </c>
      <c r="AA3" s="123" t="s">
        <v>166</v>
      </c>
      <c r="AB3" s="126" t="s">
        <v>167</v>
      </c>
      <c r="AC3" s="139" t="s">
        <v>168</v>
      </c>
      <c r="AD3" s="139" t="s">
        <v>169</v>
      </c>
      <c r="AE3" s="139" t="s">
        <v>170</v>
      </c>
      <c r="AF3" s="139" t="s">
        <v>171</v>
      </c>
      <c r="AG3" s="139" t="s">
        <v>172</v>
      </c>
      <c r="AH3" s="139" t="s">
        <v>173</v>
      </c>
      <c r="AI3" s="140" t="s">
        <v>174</v>
      </c>
      <c r="AJ3" s="141" t="s">
        <v>175</v>
      </c>
      <c r="AK3" s="140" t="s">
        <v>176</v>
      </c>
      <c r="AL3" s="142" t="s">
        <v>177</v>
      </c>
      <c r="AM3" s="140" t="s">
        <v>178</v>
      </c>
      <c r="AN3" s="140" t="s">
        <v>179</v>
      </c>
      <c r="AO3" s="140" t="s">
        <v>180</v>
      </c>
      <c r="AP3" s="140" t="s">
        <v>181</v>
      </c>
      <c r="AQ3" s="140" t="s">
        <v>182</v>
      </c>
      <c r="AR3" s="143" t="s">
        <v>183</v>
      </c>
      <c r="AS3" s="44" t="s">
        <v>184</v>
      </c>
      <c r="AT3" s="40" t="s">
        <v>185</v>
      </c>
      <c r="AU3" s="40" t="s">
        <v>186</v>
      </c>
      <c r="AV3" s="40" t="s">
        <v>187</v>
      </c>
      <c r="AW3" s="40" t="s">
        <v>188</v>
      </c>
      <c r="AX3" s="40" t="s">
        <v>189</v>
      </c>
      <c r="AY3" s="40" t="s">
        <v>190</v>
      </c>
      <c r="AZ3" s="40" t="s">
        <v>191</v>
      </c>
      <c r="BA3" s="40" t="s">
        <v>192</v>
      </c>
      <c r="BB3" s="40" t="s">
        <v>193</v>
      </c>
      <c r="BC3" s="40" t="s">
        <v>194</v>
      </c>
      <c r="BD3" s="40" t="s">
        <v>195</v>
      </c>
      <c r="BE3" s="40" t="s">
        <v>196</v>
      </c>
      <c r="BF3" s="40" t="s">
        <v>197</v>
      </c>
      <c r="BG3" s="140" t="s">
        <v>198</v>
      </c>
      <c r="BH3" s="144" t="s">
        <v>199</v>
      </c>
      <c r="BI3" s="144" t="s">
        <v>200</v>
      </c>
      <c r="BJ3" s="145" t="s">
        <v>201</v>
      </c>
      <c r="BK3" s="146" t="s">
        <v>202</v>
      </c>
      <c r="BL3" s="147" t="s">
        <v>203</v>
      </c>
      <c r="BM3" s="147" t="s">
        <v>204</v>
      </c>
      <c r="BN3" s="148" t="s">
        <v>205</v>
      </c>
      <c r="BO3" s="149" t="s">
        <v>206</v>
      </c>
    </row>
    <row r="4" spans="1:68" ht="12.6" customHeight="1">
      <c r="A4" s="98"/>
      <c r="B4" s="129" t="s">
        <v>207</v>
      </c>
      <c r="C4" s="91" t="s">
        <v>207</v>
      </c>
      <c r="D4" s="91" t="s">
        <v>208</v>
      </c>
      <c r="E4" s="91" t="s">
        <v>149</v>
      </c>
      <c r="F4" s="91"/>
      <c r="G4" s="91" t="s">
        <v>209</v>
      </c>
      <c r="H4" s="91" t="s">
        <v>209</v>
      </c>
      <c r="I4" s="150" t="s">
        <v>210</v>
      </c>
      <c r="J4" s="129" t="s">
        <v>211</v>
      </c>
      <c r="K4" s="91" t="s">
        <v>10</v>
      </c>
      <c r="L4" s="91" t="s">
        <v>212</v>
      </c>
      <c r="M4" s="151">
        <v>685576.73952087038</v>
      </c>
      <c r="N4" s="151">
        <v>0</v>
      </c>
      <c r="O4" s="131">
        <v>0</v>
      </c>
      <c r="P4" s="131">
        <f t="shared" ref="P4:P67" si="0">IF(N4-O4&gt;0,N4-O4,0)</f>
        <v>0</v>
      </c>
      <c r="Q4" s="131">
        <v>1836218.7488952833</v>
      </c>
      <c r="R4" s="131">
        <v>0</v>
      </c>
      <c r="S4" s="131">
        <f t="shared" ref="S4:S67" si="1">IF(R4&gt;0,IF(M4+P4&lt;R4,(IF((R4-M4-P4)&gt;R4,R4,R4-M4-P4)),0),0)</f>
        <v>0</v>
      </c>
      <c r="T4" s="131">
        <f t="shared" ref="T4:T67" si="2">IF(Q4-S4&gt;0,Q4-S4,0)</f>
        <v>1836218.7488952833</v>
      </c>
      <c r="U4" s="131">
        <v>0</v>
      </c>
      <c r="V4" s="131">
        <v>0</v>
      </c>
      <c r="W4" s="131">
        <v>0</v>
      </c>
      <c r="X4" s="131">
        <v>0</v>
      </c>
      <c r="Y4" s="131">
        <v>0</v>
      </c>
      <c r="Z4" s="131">
        <f t="shared" ref="Z4:Z67" si="3">SUM(U4:Y4)</f>
        <v>0</v>
      </c>
      <c r="AA4" s="131">
        <v>0</v>
      </c>
      <c r="AB4" s="152">
        <f t="shared" ref="AB4:AB67" si="4">IF(I4="Yes",Z4-Y4,T4+Z4+AA4)</f>
        <v>1836218.7488952833</v>
      </c>
      <c r="AC4" s="133">
        <f>IF(D4="Physician Group Practice",(AB4/$AB$393)*'1. UC Assumptions'!$C$15,IF(E4="Rural Hospital",AB4*'1. UC Assumptions'!$C$7/'1. UC Assumptions'!$E$7,(AB4/$AB$397)*('1. UC Assumptions'!$C$9)))</f>
        <v>1713991.8116454</v>
      </c>
      <c r="AD4" s="133">
        <f t="shared" ref="AD4:AD67" si="5">IF((AC4)&gt;AB4-AA4,(AC4)-(AB4-AA4),0)</f>
        <v>0</v>
      </c>
      <c r="AE4" s="133">
        <f t="shared" ref="AE4:AE67" si="6">IF(AD4&gt;0,0,AB4-AA4-AC4)</f>
        <v>122226.93724988331</v>
      </c>
      <c r="AF4" s="133">
        <f t="shared" ref="AF4:AF67" si="7">(AE4/$AE$390)*$AD$390</f>
        <v>0</v>
      </c>
      <c r="AG4" s="133">
        <f t="shared" ref="AG4:AG67" si="8">AE4-AF4</f>
        <v>122226.93724988331</v>
      </c>
      <c r="AH4" s="133">
        <f t="shared" ref="AH4:AH67" si="9">AC4-AD4+AF4</f>
        <v>1713991.8116454</v>
      </c>
      <c r="AI4" s="131">
        <f>AH4*'1. UC Assumptions'!$C$23</f>
        <v>565617.29784298199</v>
      </c>
      <c r="AJ4" s="99">
        <v>631789.34</v>
      </c>
      <c r="AK4" s="131">
        <f>AJ4*(1-'1. UC Assumptions'!$C$22)</f>
        <v>208490.48219999997</v>
      </c>
      <c r="AL4" s="131"/>
      <c r="AM4" s="131">
        <f>AL4*'1. UC Assumptions'!$C$23</f>
        <v>0</v>
      </c>
      <c r="AN4" s="153">
        <f t="shared" ref="AN4:AN67" si="10">AB4-AA4</f>
        <v>1836218.7488952833</v>
      </c>
      <c r="AO4" s="151">
        <f>AN4*'1. UC Assumptions'!$C$23</f>
        <v>605952.18713544344</v>
      </c>
      <c r="AP4" s="151">
        <f t="shared" ref="AP4:AP67" si="11">IF(I4="Yes",AN4-AL4,AN4-AJ4)</f>
        <v>1204429.4088952835</v>
      </c>
      <c r="AQ4" s="151">
        <f t="shared" ref="AQ4:AQ67" si="12">IF(I4="Yes",AO4-AM4,AO4-AK4)</f>
        <v>397461.70493544347</v>
      </c>
      <c r="AR4" s="151">
        <f t="shared" ref="AR4:AR67" si="13">AQ4</f>
        <v>397461.70493544347</v>
      </c>
      <c r="AS4" s="151">
        <f t="shared" ref="AS4:AS67" si="14">IF(I4="Yes",AR4+AM4,AR4+AK4)</f>
        <v>605952.18713544344</v>
      </c>
      <c r="AT4" s="151">
        <f>IF(K4="Bexar",(AG4/$AT$1)*'1. UC Assumptions'!$E$44-(AH4/$AT$2)*'1. UC Assumptions'!$E$42,0)</f>
        <v>0</v>
      </c>
      <c r="AU4" s="151">
        <f>IF(K4="Dallas",(AG4/$AU$1)*'1. UC Assumptions'!$F$44-(AH4/$AU$2)*'1. UC Assumptions'!$F$42,0)</f>
        <v>0</v>
      </c>
      <c r="AV4" s="151">
        <f>IF(K4="El Paso",(AG4/$AV$1)*'1. UC Assumptions'!$G$44-(AH4/$AV$2)*'1. UC Assumptions'!$G$42,0)</f>
        <v>0</v>
      </c>
      <c r="AW4" s="151">
        <f>IF(K4="Harris",(AG4/$AW$1)*'1. UC Assumptions'!$H$44-(AH4/$AW$2)*'1. UC Assumptions'!$H$42,0)</f>
        <v>0</v>
      </c>
      <c r="AX4" s="151">
        <f>IF(K4="Hidalgo",(AG4/$AX$1)*'1. UC Assumptions'!$I$44-(AH4/$AX$2)*'1. UC Assumptions'!$I$42,0)</f>
        <v>0</v>
      </c>
      <c r="AY4" s="151">
        <f>IF(K4="Jefferson",(AG4/$AY$1)*'1. UC Assumptions'!$J$44-(AH4/$AY$2)*'1. UC Assumptions'!$J$42,0)</f>
        <v>0</v>
      </c>
      <c r="AZ4" s="151">
        <f>IF(K4="Lubbock",(AG4/$AZ$1)*'1. UC Assumptions'!$K$44-(AH4/$AZ$2)*'1. UC Assumptions'!$K$42,0)</f>
        <v>0</v>
      </c>
      <c r="BA4" s="151">
        <f>IF(K4="MRSA Central",(AG4/$BA$1)*'1. UC Assumptions'!$L$44-(AH4/$BA$2)*'1. UC Assumptions'!$L$42,0)</f>
        <v>0</v>
      </c>
      <c r="BB4" s="151">
        <f>IF(K4="MRSA Northeast",(AG4/$BB$1)*'1. UC Assumptions'!$M$44-(AH4/$BB$2)*'1. UC Assumptions'!$M$42,0)</f>
        <v>0</v>
      </c>
      <c r="BC4" s="151">
        <f>IF(K4="MRSA West",(AG4/$BC$1)*'1. UC Assumptions'!$N$44-(AH4/$BC$2)*'1. UC Assumptions'!$N$42,0)</f>
        <v>0</v>
      </c>
      <c r="BD4" s="151">
        <f>IF(K4="Nueces",(AG4/$BD$1)*'1. UC Assumptions'!$O$44-(AH4/$BD$2)*'1. UC Assumptions'!$O$42,0)</f>
        <v>0</v>
      </c>
      <c r="BE4" s="151">
        <f>IF(K4="Tarrant",(AG4/$BE$1)*'1. UC Assumptions'!$P$44-(AH4/$BE$2)*'1. UC Assumptions'!$P$42,0)</f>
        <v>0</v>
      </c>
      <c r="BF4" s="151">
        <f>IF(K4="Travis",(AG4/$BF$1)*'1. UC Assumptions'!$Q$44-(AH4/$BF$2)*'1. UC Assumptions'!$Q$42,0)</f>
        <v>0</v>
      </c>
      <c r="BG4" s="151">
        <f t="shared" ref="BG4:BG67" si="15">SUM(AT4:BF4)</f>
        <v>0</v>
      </c>
      <c r="BH4" s="151">
        <f t="shared" ref="BH4:BH67" si="16">AH4+BG4</f>
        <v>1713991.8116454</v>
      </c>
      <c r="BI4" s="151">
        <f>ROUNDDOWN(BH4*'1. UC Assumptions'!$C$23,2)</f>
        <v>565617.29</v>
      </c>
      <c r="BJ4" s="154">
        <f t="shared" ref="BJ4:BJ67" si="17">IF(I4="Yes",BH4-AL4,BH4-AJ4)</f>
        <v>1082202.4716453999</v>
      </c>
      <c r="BK4" s="154">
        <f t="shared" ref="BK4:BK67" si="18">IF(I4="Yes",BI4-AM4,BI4-AK4)</f>
        <v>357126.80780000007</v>
      </c>
      <c r="BL4" s="154">
        <f t="shared" ref="BL4:BL67" si="19">ROUND(IF(BJ4&gt;0,(BJ4/$BJ$393)*$BJ$398,0),2)</f>
        <v>999111.06</v>
      </c>
      <c r="BM4" s="154">
        <f t="shared" ref="BM4:BM67" si="20">ROUND(IF(BK4&gt;0,(BK4/$BK$393)*$BK$398,0),2)</f>
        <v>329706.64</v>
      </c>
      <c r="BN4" s="101"/>
      <c r="BO4" s="154">
        <f>(BL4*'1. UC Assumptions'!$C$23)-'3.  UC Calculations by Hospital'!BM4</f>
        <v>9.7999999416060746E-3</v>
      </c>
      <c r="BP4" s="13"/>
    </row>
    <row r="5" spans="1:68" ht="12.6" customHeight="1">
      <c r="B5" s="129" t="s">
        <v>213</v>
      </c>
      <c r="C5" s="91" t="s">
        <v>213</v>
      </c>
      <c r="D5" s="91" t="s">
        <v>214</v>
      </c>
      <c r="E5" s="91" t="s">
        <v>149</v>
      </c>
      <c r="F5" s="91"/>
      <c r="G5" s="91" t="s">
        <v>209</v>
      </c>
      <c r="H5" s="91" t="s">
        <v>209</v>
      </c>
      <c r="I5" s="150" t="s">
        <v>210</v>
      </c>
      <c r="J5" s="129" t="s">
        <v>215</v>
      </c>
      <c r="K5" s="91" t="s">
        <v>13</v>
      </c>
      <c r="L5" s="91" t="s">
        <v>216</v>
      </c>
      <c r="M5" s="151">
        <v>647732.58045368316</v>
      </c>
      <c r="N5" s="151">
        <v>6633803.4087572256</v>
      </c>
      <c r="O5" s="131">
        <v>3797763.4602430207</v>
      </c>
      <c r="P5" s="131">
        <f t="shared" si="0"/>
        <v>2836039.9485142049</v>
      </c>
      <c r="Q5" s="131">
        <v>5708114.5734287351</v>
      </c>
      <c r="R5" s="131">
        <v>992503.57000000007</v>
      </c>
      <c r="S5" s="131">
        <f t="shared" si="1"/>
        <v>0</v>
      </c>
      <c r="T5" s="131">
        <f t="shared" si="2"/>
        <v>5708114.5734287351</v>
      </c>
      <c r="U5" s="131">
        <v>158962</v>
      </c>
      <c r="V5" s="131">
        <v>0</v>
      </c>
      <c r="W5" s="131">
        <v>9378</v>
      </c>
      <c r="X5" s="131">
        <v>0</v>
      </c>
      <c r="Y5" s="131">
        <v>633725.1571797838</v>
      </c>
      <c r="Z5" s="131">
        <f t="shared" si="3"/>
        <v>802065.1571797838</v>
      </c>
      <c r="AA5" s="131">
        <v>0</v>
      </c>
      <c r="AB5" s="152">
        <f t="shared" si="4"/>
        <v>6510179.7306085192</v>
      </c>
      <c r="AC5" s="133">
        <f>IF(D5="Physician Group Practice",(AB5/$AB$393)*'1. UC Assumptions'!$C$15,IF(E5="Rural Hospital",AB5*'1. UC Assumptions'!$C$7/'1. UC Assumptions'!$E$7,(AB5/$AB$397)*('1. UC Assumptions'!$C$9)))</f>
        <v>6076833.0338180223</v>
      </c>
      <c r="AD5" s="133">
        <f t="shared" si="5"/>
        <v>0</v>
      </c>
      <c r="AE5" s="133">
        <f t="shared" si="6"/>
        <v>433346.69679049682</v>
      </c>
      <c r="AF5" s="133">
        <f t="shared" si="7"/>
        <v>0</v>
      </c>
      <c r="AG5" s="133">
        <f t="shared" si="8"/>
        <v>433346.69679049682</v>
      </c>
      <c r="AH5" s="133">
        <f t="shared" si="9"/>
        <v>6076833.0338180223</v>
      </c>
      <c r="AI5" s="131">
        <f>AH5*'1. UC Assumptions'!$C$23</f>
        <v>2005354.901159947</v>
      </c>
      <c r="AJ5" s="131">
        <v>2442315.65</v>
      </c>
      <c r="AK5" s="131">
        <f>AJ5*(1-'1. UC Assumptions'!$C$22)</f>
        <v>805964.16449999984</v>
      </c>
      <c r="AL5" s="131"/>
      <c r="AM5" s="131">
        <f>AL5*'1. UC Assumptions'!$C$23</f>
        <v>0</v>
      </c>
      <c r="AN5" s="153">
        <f t="shared" si="10"/>
        <v>6510179.7306085192</v>
      </c>
      <c r="AO5" s="151">
        <f>AN5*'1. UC Assumptions'!$C$23</f>
        <v>2148359.3111008112</v>
      </c>
      <c r="AP5" s="151">
        <f t="shared" si="11"/>
        <v>4067864.0806085193</v>
      </c>
      <c r="AQ5" s="151">
        <f t="shared" si="12"/>
        <v>1342395.1466008113</v>
      </c>
      <c r="AR5" s="151">
        <f t="shared" si="13"/>
        <v>1342395.1466008113</v>
      </c>
      <c r="AS5" s="151">
        <f t="shared" si="14"/>
        <v>2148359.3111008112</v>
      </c>
      <c r="AT5" s="151">
        <f>IF(K5="Bexar",(AG5/$AT$1)*'1. UC Assumptions'!$E$44-(AH5/$AT$2)*'1. UC Assumptions'!$E$42,0)</f>
        <v>0</v>
      </c>
      <c r="AU5" s="151">
        <f>IF(K5="Dallas",(AG5/$AU$1)*'1. UC Assumptions'!$F$44-(AH5/$AU$2)*'1. UC Assumptions'!$F$42,0)</f>
        <v>0</v>
      </c>
      <c r="AV5" s="151">
        <f>IF(K5="El Paso",(AG5/$AV$1)*'1. UC Assumptions'!$G$44-(AH5/$AV$2)*'1. UC Assumptions'!$G$42,0)</f>
        <v>0</v>
      </c>
      <c r="AW5" s="151">
        <f>IF(K5="Harris",(AG5/$AW$1)*'1. UC Assumptions'!$H$44-(AH5/$AW$2)*'1. UC Assumptions'!$H$42,0)</f>
        <v>0</v>
      </c>
      <c r="AX5" s="151">
        <f>IF(K5="Hidalgo",(AG5/$AX$1)*'1. UC Assumptions'!$I$44-(AH5/$AX$2)*'1. UC Assumptions'!$I$42,0)</f>
        <v>0</v>
      </c>
      <c r="AY5" s="151">
        <f>IF(K5="Jefferson",(AG5/$AY$1)*'1. UC Assumptions'!$J$44-(AH5/$AY$2)*'1. UC Assumptions'!$J$42,0)</f>
        <v>0</v>
      </c>
      <c r="AZ5" s="151">
        <f>IF(K5="Lubbock",(AG5/$AZ$1)*'1. UC Assumptions'!$K$44-(AH5/$AZ$2)*'1. UC Assumptions'!$K$42,0)</f>
        <v>0</v>
      </c>
      <c r="BA5" s="151">
        <f>IF(K5="MRSA Central",(AG5/$BA$1)*'1. UC Assumptions'!$L$44-(AH5/$BA$2)*'1. UC Assumptions'!$L$42,0)</f>
        <v>0</v>
      </c>
      <c r="BB5" s="151">
        <f>IF(K5="MRSA Northeast",(AG5/$BB$1)*'1. UC Assumptions'!$M$44-(AH5/$BB$2)*'1. UC Assumptions'!$M$42,0)</f>
        <v>0</v>
      </c>
      <c r="BC5" s="151">
        <f>IF(K5="MRSA West",(AG5/$BC$1)*'1. UC Assumptions'!$N$44-(AH5/$BC$2)*'1. UC Assumptions'!$N$42,0)</f>
        <v>0</v>
      </c>
      <c r="BD5" s="151">
        <f>IF(K5="Nueces",(AG5/$BD$1)*'1. UC Assumptions'!$O$44-(AH5/$BD$2)*'1. UC Assumptions'!$O$42,0)</f>
        <v>0</v>
      </c>
      <c r="BE5" s="151">
        <f>IF(K5="Tarrant",(AG5/$BE$1)*'1. UC Assumptions'!$P$44-(AH5/$BE$2)*'1. UC Assumptions'!$P$42,0)</f>
        <v>0</v>
      </c>
      <c r="BF5" s="151">
        <f>IF(K5="Travis",(AG5/$BF$1)*'1. UC Assumptions'!$Q$44-(AH5/$BF$2)*'1. UC Assumptions'!$Q$42,0)</f>
        <v>0</v>
      </c>
      <c r="BG5" s="151">
        <f t="shared" si="15"/>
        <v>0</v>
      </c>
      <c r="BH5" s="151">
        <f t="shared" si="16"/>
        <v>6076833.0338180223</v>
      </c>
      <c r="BI5" s="151">
        <f>ROUNDDOWN(BH5*'1. UC Assumptions'!$C$23,2)</f>
        <v>2005354.9</v>
      </c>
      <c r="BJ5" s="154">
        <f t="shared" si="17"/>
        <v>3634517.3838180224</v>
      </c>
      <c r="BK5" s="154">
        <f t="shared" si="18"/>
        <v>1199390.7355</v>
      </c>
      <c r="BL5" s="154">
        <f t="shared" si="19"/>
        <v>3355459.45</v>
      </c>
      <c r="BM5" s="154">
        <f t="shared" si="20"/>
        <v>1107301.6200000001</v>
      </c>
      <c r="BN5" s="101"/>
      <c r="BO5" s="154">
        <f>(BL5*'1. UC Assumptions'!$C$23)-'3.  UC Calculations by Hospital'!BM5</f>
        <v>-1.5000002458691597E-3</v>
      </c>
      <c r="BP5" s="13"/>
    </row>
    <row r="6" spans="1:68">
      <c r="B6" s="129" t="s">
        <v>217</v>
      </c>
      <c r="C6" s="91" t="s">
        <v>217</v>
      </c>
      <c r="D6" s="91" t="s">
        <v>214</v>
      </c>
      <c r="E6" s="91"/>
      <c r="F6" s="91"/>
      <c r="G6" s="91" t="s">
        <v>209</v>
      </c>
      <c r="H6" s="91" t="s">
        <v>209</v>
      </c>
      <c r="I6" s="150" t="s">
        <v>210</v>
      </c>
      <c r="J6" s="129" t="s">
        <v>218</v>
      </c>
      <c r="K6" s="91" t="s">
        <v>6</v>
      </c>
      <c r="L6" s="91" t="s">
        <v>6</v>
      </c>
      <c r="M6" s="151">
        <v>-24251745.458040982</v>
      </c>
      <c r="N6" s="151">
        <v>38538566.3962273</v>
      </c>
      <c r="O6" s="131">
        <v>32085923.332604397</v>
      </c>
      <c r="P6" s="131">
        <f t="shared" si="0"/>
        <v>6452643.0636229031</v>
      </c>
      <c r="Q6" s="131">
        <v>37208627.861244731</v>
      </c>
      <c r="R6" s="131">
        <v>9247067.1499999985</v>
      </c>
      <c r="S6" s="131">
        <f t="shared" si="1"/>
        <v>9247067.1499999985</v>
      </c>
      <c r="T6" s="131">
        <f t="shared" si="2"/>
        <v>27961560.711244732</v>
      </c>
      <c r="U6" s="131">
        <v>1316054</v>
      </c>
      <c r="V6" s="131">
        <v>0</v>
      </c>
      <c r="W6" s="131">
        <v>165691</v>
      </c>
      <c r="X6" s="131">
        <v>0</v>
      </c>
      <c r="Y6" s="131">
        <v>6611514.0739929769</v>
      </c>
      <c r="Z6" s="131">
        <f t="shared" si="3"/>
        <v>8093259.0739929769</v>
      </c>
      <c r="AA6" s="131">
        <v>0</v>
      </c>
      <c r="AB6" s="152">
        <f t="shared" si="4"/>
        <v>36054819.785237707</v>
      </c>
      <c r="AC6" s="133">
        <f>IF(D6="Physician Group Practice",(AB6/$AB$393)*'1. UC Assumptions'!$C$15,IF(E6="Rural Hospital",AB6*'1. UC Assumptions'!$C$7/'1. UC Assumptions'!$E$7,(AB6/$AB$397)*('1. UC Assumptions'!$C$9)))</f>
        <v>16951015.122887623</v>
      </c>
      <c r="AD6" s="133">
        <f t="shared" si="5"/>
        <v>0</v>
      </c>
      <c r="AE6" s="133">
        <f t="shared" si="6"/>
        <v>19103804.662350085</v>
      </c>
      <c r="AF6" s="133">
        <f t="shared" si="7"/>
        <v>0</v>
      </c>
      <c r="AG6" s="133">
        <f t="shared" si="8"/>
        <v>19103804.662350085</v>
      </c>
      <c r="AH6" s="133">
        <f t="shared" si="9"/>
        <v>16951015.122887623</v>
      </c>
      <c r="AI6" s="131">
        <f>AH6*'1. UC Assumptions'!$C$23</f>
        <v>5593834.9905529143</v>
      </c>
      <c r="AJ6" s="131">
        <v>14785701.85</v>
      </c>
      <c r="AK6" s="131">
        <f>AJ6*(1-'1. UC Assumptions'!$C$22)</f>
        <v>4879281.6104999995</v>
      </c>
      <c r="AL6" s="131"/>
      <c r="AM6" s="131">
        <f>AL6*'1. UC Assumptions'!$C$23</f>
        <v>0</v>
      </c>
      <c r="AN6" s="153">
        <f t="shared" si="10"/>
        <v>36054819.785237707</v>
      </c>
      <c r="AO6" s="151">
        <f>AN6*'1. UC Assumptions'!$C$23</f>
        <v>11898090.529128442</v>
      </c>
      <c r="AP6" s="151">
        <f t="shared" si="11"/>
        <v>21269117.935237706</v>
      </c>
      <c r="AQ6" s="151">
        <f t="shared" si="12"/>
        <v>7018808.9186284421</v>
      </c>
      <c r="AR6" s="151">
        <f t="shared" si="13"/>
        <v>7018808.9186284421</v>
      </c>
      <c r="AS6" s="151">
        <f t="shared" si="14"/>
        <v>11898090.529128442</v>
      </c>
      <c r="AT6" s="151">
        <f>IF(K6="Bexar",(AG6/$AT$1)*'1. UC Assumptions'!$E$44-(AH6/$AT$2)*'1. UC Assumptions'!$E$42,0)</f>
        <v>0</v>
      </c>
      <c r="AU6" s="151">
        <f>IF(K6="Dallas",(AG6/$AU$1)*'1. UC Assumptions'!$F$44-(AH6/$AU$2)*'1. UC Assumptions'!$F$42,0)</f>
        <v>0</v>
      </c>
      <c r="AV6" s="151">
        <f>IF(K6="El Paso",(AG6/$AV$1)*'1. UC Assumptions'!$G$44-(AH6/$AV$2)*'1. UC Assumptions'!$G$42,0)</f>
        <v>0</v>
      </c>
      <c r="AW6" s="151">
        <f>IF(K6="Harris",(AG6/$AW$1)*'1. UC Assumptions'!$H$44-(AH6/$AW$2)*'1. UC Assumptions'!$H$42,0)</f>
        <v>0</v>
      </c>
      <c r="AX6" s="151">
        <f>IF(K6="Hidalgo",(AG6/$AX$1)*'1. UC Assumptions'!$I$44-(AH6/$AX$2)*'1. UC Assumptions'!$I$42,0)</f>
        <v>0</v>
      </c>
      <c r="AY6" s="151">
        <f>IF(K6="Jefferson",(AG6/$AY$1)*'1. UC Assumptions'!$J$44-(AH6/$AY$2)*'1. UC Assumptions'!$J$42,0)</f>
        <v>0</v>
      </c>
      <c r="AZ6" s="151">
        <f>IF(K6="Lubbock",(AG6/$AZ$1)*'1. UC Assumptions'!$K$44-(AH6/$AZ$2)*'1. UC Assumptions'!$K$42,0)</f>
        <v>0</v>
      </c>
      <c r="BA6" s="151">
        <f>IF(K6="MRSA Central",(AG6/$BA$1)*'1. UC Assumptions'!$L$44-(AH6/$BA$2)*'1. UC Assumptions'!$L$42,0)</f>
        <v>0</v>
      </c>
      <c r="BB6" s="151">
        <f>IF(K6="MRSA Northeast",(AG6/$BB$1)*'1. UC Assumptions'!$M$44-(AH6/$BB$2)*'1. UC Assumptions'!$M$42,0)</f>
        <v>0</v>
      </c>
      <c r="BC6" s="151">
        <f>IF(K6="MRSA West",(AG6/$BC$1)*'1. UC Assumptions'!$N$44-(AH6/$BC$2)*'1. UC Assumptions'!$N$42,0)</f>
        <v>0</v>
      </c>
      <c r="BD6" s="151">
        <f>IF(K6="Nueces",(AG6/$BD$1)*'1. UC Assumptions'!$O$44-(AH6/$BD$2)*'1. UC Assumptions'!$O$42,0)</f>
        <v>0</v>
      </c>
      <c r="BE6" s="151">
        <f>IF(K6="Tarrant",(AG6/$BE$1)*'1. UC Assumptions'!$P$44-(AH6/$BE$2)*'1. UC Assumptions'!$P$42,0)</f>
        <v>0</v>
      </c>
      <c r="BF6" s="151">
        <f>IF(K6="Travis",(AG6/$BF$1)*'1. UC Assumptions'!$Q$44-(AH6/$BF$2)*'1. UC Assumptions'!$Q$42,0)</f>
        <v>0</v>
      </c>
      <c r="BG6" s="151">
        <f t="shared" si="15"/>
        <v>0</v>
      </c>
      <c r="BH6" s="151">
        <f t="shared" si="16"/>
        <v>16951015.122887623</v>
      </c>
      <c r="BI6" s="151">
        <f>ROUNDDOWN(BH6*'1. UC Assumptions'!$C$23,2)</f>
        <v>5593834.9900000002</v>
      </c>
      <c r="BJ6" s="154">
        <f t="shared" si="17"/>
        <v>2165313.2728876229</v>
      </c>
      <c r="BK6" s="154">
        <f t="shared" si="18"/>
        <v>714553.37950000074</v>
      </c>
      <c r="BL6" s="154">
        <f t="shared" si="19"/>
        <v>1999060.71</v>
      </c>
      <c r="BM6" s="154">
        <f t="shared" si="20"/>
        <v>659690.03</v>
      </c>
      <c r="BN6" s="101"/>
      <c r="BO6" s="154">
        <f>(BL6*'1. UC Assumptions'!$C$23)-'3.  UC Calculations by Hospital'!BM6</f>
        <v>4.299999913200736E-3</v>
      </c>
      <c r="BP6" s="13"/>
    </row>
    <row r="7" spans="1:68">
      <c r="B7" s="129" t="s">
        <v>219</v>
      </c>
      <c r="C7" s="91" t="s">
        <v>219</v>
      </c>
      <c r="D7" s="91" t="s">
        <v>214</v>
      </c>
      <c r="E7" s="91"/>
      <c r="F7" s="91"/>
      <c r="G7" s="91" t="s">
        <v>209</v>
      </c>
      <c r="H7" s="91" t="s">
        <v>209</v>
      </c>
      <c r="I7" s="150" t="s">
        <v>210</v>
      </c>
      <c r="J7" s="129" t="s">
        <v>220</v>
      </c>
      <c r="K7" s="91" t="s">
        <v>6</v>
      </c>
      <c r="L7" s="91" t="s">
        <v>6</v>
      </c>
      <c r="M7" s="151">
        <v>-15348333.760399152</v>
      </c>
      <c r="N7" s="151">
        <v>197075255.26753595</v>
      </c>
      <c r="O7" s="131">
        <v>80852505.242364511</v>
      </c>
      <c r="P7" s="131">
        <f t="shared" si="0"/>
        <v>116222750.02517144</v>
      </c>
      <c r="Q7" s="131">
        <v>154772986.96542254</v>
      </c>
      <c r="R7" s="131">
        <v>31140316.949999999</v>
      </c>
      <c r="S7" s="131">
        <f t="shared" si="1"/>
        <v>0</v>
      </c>
      <c r="T7" s="131">
        <f t="shared" si="2"/>
        <v>154772986.96542254</v>
      </c>
      <c r="U7" s="131">
        <v>3252418</v>
      </c>
      <c r="V7" s="131">
        <v>0</v>
      </c>
      <c r="W7" s="131">
        <v>0</v>
      </c>
      <c r="X7" s="131">
        <v>0</v>
      </c>
      <c r="Y7" s="131">
        <v>0</v>
      </c>
      <c r="Z7" s="131">
        <f t="shared" si="3"/>
        <v>3252418</v>
      </c>
      <c r="AA7" s="131">
        <v>0</v>
      </c>
      <c r="AB7" s="152">
        <f t="shared" si="4"/>
        <v>158025404.96542254</v>
      </c>
      <c r="AC7" s="133">
        <f>IF(D7="Physician Group Practice",(AB7/$AB$393)*'1. UC Assumptions'!$C$15,IF(E7="Rural Hospital",AB7*'1. UC Assumptions'!$C$7/'1. UC Assumptions'!$E$7,(AB7/$AB$397)*('1. UC Assumptions'!$C$9)))</f>
        <v>74294949.893663928</v>
      </c>
      <c r="AD7" s="133">
        <f t="shared" si="5"/>
        <v>0</v>
      </c>
      <c r="AE7" s="133">
        <f t="shared" si="6"/>
        <v>83730455.071758613</v>
      </c>
      <c r="AF7" s="133">
        <f t="shared" si="7"/>
        <v>0</v>
      </c>
      <c r="AG7" s="133">
        <f t="shared" si="8"/>
        <v>83730455.071758613</v>
      </c>
      <c r="AH7" s="133">
        <f t="shared" si="9"/>
        <v>74294949.893663928</v>
      </c>
      <c r="AI7" s="131">
        <f>AH7*'1. UC Assumptions'!$C$23</f>
        <v>24517333.464909092</v>
      </c>
      <c r="AJ7" s="131">
        <v>49212836.369999997</v>
      </c>
      <c r="AK7" s="131">
        <f>AJ7*(1-'1. UC Assumptions'!$C$22)</f>
        <v>16240236.002099996</v>
      </c>
      <c r="AL7" s="131"/>
      <c r="AM7" s="131">
        <f>AL7*'1. UC Assumptions'!$C$23</f>
        <v>0</v>
      </c>
      <c r="AN7" s="153">
        <f t="shared" si="10"/>
        <v>158025404.96542254</v>
      </c>
      <c r="AO7" s="151">
        <f>AN7*'1. UC Assumptions'!$C$23</f>
        <v>52148383.638589434</v>
      </c>
      <c r="AP7" s="151">
        <f t="shared" si="11"/>
        <v>108812568.59542254</v>
      </c>
      <c r="AQ7" s="151">
        <f t="shared" si="12"/>
        <v>35908147.636489436</v>
      </c>
      <c r="AR7" s="151">
        <f t="shared" si="13"/>
        <v>35908147.636489436</v>
      </c>
      <c r="AS7" s="151">
        <f t="shared" si="14"/>
        <v>52148383.638589434</v>
      </c>
      <c r="AT7" s="151">
        <f>IF(K7="Bexar",(AG7/$AT$1)*'1. UC Assumptions'!$E$44-(AH7/$AT$2)*'1. UC Assumptions'!$E$42,0)</f>
        <v>0</v>
      </c>
      <c r="AU7" s="151">
        <f>IF(K7="Dallas",(AG7/$AU$1)*'1. UC Assumptions'!$F$44-(AH7/$AU$2)*'1. UC Assumptions'!$F$42,0)</f>
        <v>0</v>
      </c>
      <c r="AV7" s="151">
        <f>IF(K7="El Paso",(AG7/$AV$1)*'1. UC Assumptions'!$G$44-(AH7/$AV$2)*'1. UC Assumptions'!$G$42,0)</f>
        <v>0</v>
      </c>
      <c r="AW7" s="151">
        <f>IF(K7="Harris",(AG7/$AW$1)*'1. UC Assumptions'!$H$44-(AH7/$AW$2)*'1. UC Assumptions'!$H$42,0)</f>
        <v>0</v>
      </c>
      <c r="AX7" s="151">
        <f>IF(K7="Hidalgo",(AG7/$AX$1)*'1. UC Assumptions'!$I$44-(AH7/$AX$2)*'1. UC Assumptions'!$I$42,0)</f>
        <v>0</v>
      </c>
      <c r="AY7" s="151">
        <f>IF(K7="Jefferson",(AG7/$AY$1)*'1. UC Assumptions'!$J$44-(AH7/$AY$2)*'1. UC Assumptions'!$J$42,0)</f>
        <v>0</v>
      </c>
      <c r="AZ7" s="151">
        <f>IF(K7="Lubbock",(AG7/$AZ$1)*'1. UC Assumptions'!$K$44-(AH7/$AZ$2)*'1. UC Assumptions'!$K$42,0)</f>
        <v>0</v>
      </c>
      <c r="BA7" s="151">
        <f>IF(K7="MRSA Central",(AG7/$BA$1)*'1. UC Assumptions'!$L$44-(AH7/$BA$2)*'1. UC Assumptions'!$L$42,0)</f>
        <v>0</v>
      </c>
      <c r="BB7" s="151">
        <f>IF(K7="MRSA Northeast",(AG7/$BB$1)*'1. UC Assumptions'!$M$44-(AH7/$BB$2)*'1. UC Assumptions'!$M$42,0)</f>
        <v>0</v>
      </c>
      <c r="BC7" s="151">
        <f>IF(K7="MRSA West",(AG7/$BC$1)*'1. UC Assumptions'!$N$44-(AH7/$BC$2)*'1. UC Assumptions'!$N$42,0)</f>
        <v>0</v>
      </c>
      <c r="BD7" s="151">
        <f>IF(K7="Nueces",(AG7/$BD$1)*'1. UC Assumptions'!$O$44-(AH7/$BD$2)*'1. UC Assumptions'!$O$42,0)</f>
        <v>0</v>
      </c>
      <c r="BE7" s="151">
        <f>IF(K7="Tarrant",(AG7/$BE$1)*'1. UC Assumptions'!$P$44-(AH7/$BE$2)*'1. UC Assumptions'!$P$42,0)</f>
        <v>0</v>
      </c>
      <c r="BF7" s="151">
        <f>IF(K7="Travis",(AG7/$BF$1)*'1. UC Assumptions'!$Q$44-(AH7/$BF$2)*'1. UC Assumptions'!$Q$42,0)</f>
        <v>0</v>
      </c>
      <c r="BG7" s="151">
        <f t="shared" si="15"/>
        <v>0</v>
      </c>
      <c r="BH7" s="151">
        <f t="shared" si="16"/>
        <v>74294949.893663928</v>
      </c>
      <c r="BI7" s="151">
        <f>ROUNDDOWN(BH7*'1. UC Assumptions'!$C$23,2)</f>
        <v>24517333.460000001</v>
      </c>
      <c r="BJ7" s="154">
        <f t="shared" si="17"/>
        <v>25082113.523663931</v>
      </c>
      <c r="BK7" s="154">
        <f t="shared" si="18"/>
        <v>8277097.4579000045</v>
      </c>
      <c r="BL7" s="154">
        <f t="shared" si="19"/>
        <v>23156311</v>
      </c>
      <c r="BM7" s="154">
        <f t="shared" si="20"/>
        <v>7641582.6100000003</v>
      </c>
      <c r="BN7" s="101"/>
      <c r="BO7" s="154">
        <f>(BL7*'1. UC Assumptions'!$C$23)-'3.  UC Calculations by Hospital'!BM7</f>
        <v>1.999999862164259E-2</v>
      </c>
      <c r="BP7" s="13"/>
    </row>
    <row r="8" spans="1:68">
      <c r="B8" s="129" t="s">
        <v>221</v>
      </c>
      <c r="C8" s="91" t="s">
        <v>221</v>
      </c>
      <c r="D8" s="91" t="s">
        <v>214</v>
      </c>
      <c r="E8" s="91"/>
      <c r="F8" s="91"/>
      <c r="G8" s="91" t="s">
        <v>209</v>
      </c>
      <c r="H8" s="91" t="s">
        <v>209</v>
      </c>
      <c r="I8" s="150" t="s">
        <v>210</v>
      </c>
      <c r="J8" s="129" t="s">
        <v>222</v>
      </c>
      <c r="K8" s="91" t="s">
        <v>6</v>
      </c>
      <c r="L8" s="91" t="s">
        <v>223</v>
      </c>
      <c r="M8" s="151">
        <v>-14913334.656385003</v>
      </c>
      <c r="N8" s="151">
        <v>30254349.894613285</v>
      </c>
      <c r="O8" s="131">
        <v>26361963.867218561</v>
      </c>
      <c r="P8" s="131">
        <f t="shared" si="0"/>
        <v>3892386.0273947231</v>
      </c>
      <c r="Q8" s="131">
        <v>32476990.155478939</v>
      </c>
      <c r="R8" s="131">
        <v>6995208.4399999995</v>
      </c>
      <c r="S8" s="131">
        <f t="shared" si="1"/>
        <v>6995208.4399999995</v>
      </c>
      <c r="T8" s="131">
        <f t="shared" si="2"/>
        <v>25481781.715478942</v>
      </c>
      <c r="U8" s="131">
        <v>1235660</v>
      </c>
      <c r="V8" s="131">
        <v>0</v>
      </c>
      <c r="W8" s="131">
        <v>0</v>
      </c>
      <c r="X8" s="131">
        <v>0</v>
      </c>
      <c r="Y8" s="131">
        <v>2915607.5485633686</v>
      </c>
      <c r="Z8" s="131">
        <f t="shared" si="3"/>
        <v>4151267.5485633686</v>
      </c>
      <c r="AA8" s="131">
        <v>0</v>
      </c>
      <c r="AB8" s="152">
        <f t="shared" si="4"/>
        <v>29633049.26404231</v>
      </c>
      <c r="AC8" s="133">
        <f>IF(D8="Physician Group Practice",(AB8/$AB$393)*'1. UC Assumptions'!$C$15,IF(E8="Rural Hospital",AB8*'1. UC Assumptions'!$C$7/'1. UC Assumptions'!$E$7,(AB8/$AB$397)*('1. UC Assumptions'!$C$9)))</f>
        <v>13931847.92502336</v>
      </c>
      <c r="AD8" s="133">
        <f t="shared" si="5"/>
        <v>0</v>
      </c>
      <c r="AE8" s="133">
        <f t="shared" si="6"/>
        <v>15701201.33901895</v>
      </c>
      <c r="AF8" s="133">
        <f t="shared" si="7"/>
        <v>0</v>
      </c>
      <c r="AG8" s="133">
        <f t="shared" si="8"/>
        <v>15701201.33901895</v>
      </c>
      <c r="AH8" s="133">
        <f t="shared" si="9"/>
        <v>13931847.92502336</v>
      </c>
      <c r="AI8" s="131">
        <f>AH8*'1. UC Assumptions'!$C$23</f>
        <v>4597509.8152577085</v>
      </c>
      <c r="AJ8" s="131">
        <v>12597268.949999999</v>
      </c>
      <c r="AK8" s="131">
        <f>AJ8*(1-'1. UC Assumptions'!$C$22)</f>
        <v>4157098.7534999992</v>
      </c>
      <c r="AL8" s="131"/>
      <c r="AM8" s="131">
        <f>AL8*'1. UC Assumptions'!$C$23</f>
        <v>0</v>
      </c>
      <c r="AN8" s="153">
        <f t="shared" si="10"/>
        <v>29633049.26404231</v>
      </c>
      <c r="AO8" s="151">
        <f>AN8*'1. UC Assumptions'!$C$23</f>
        <v>9778906.2571339607</v>
      </c>
      <c r="AP8" s="151">
        <f t="shared" si="11"/>
        <v>17035780.314042311</v>
      </c>
      <c r="AQ8" s="151">
        <f t="shared" si="12"/>
        <v>5621807.5036339611</v>
      </c>
      <c r="AR8" s="151">
        <f t="shared" si="13"/>
        <v>5621807.5036339611</v>
      </c>
      <c r="AS8" s="151">
        <f t="shared" si="14"/>
        <v>9778906.2571339607</v>
      </c>
      <c r="AT8" s="151">
        <f>IF(K8="Bexar",(AG8/$AT$1)*'1. UC Assumptions'!$E$44-(AH8/$AT$2)*'1. UC Assumptions'!$E$42,0)</f>
        <v>0</v>
      </c>
      <c r="AU8" s="151">
        <f>IF(K8="Dallas",(AG8/$AU$1)*'1. UC Assumptions'!$F$44-(AH8/$AU$2)*'1. UC Assumptions'!$F$42,0)</f>
        <v>0</v>
      </c>
      <c r="AV8" s="151">
        <f>IF(K8="El Paso",(AG8/$AV$1)*'1. UC Assumptions'!$G$44-(AH8/$AV$2)*'1. UC Assumptions'!$G$42,0)</f>
        <v>0</v>
      </c>
      <c r="AW8" s="151">
        <f>IF(K8="Harris",(AG8/$AW$1)*'1. UC Assumptions'!$H$44-(AH8/$AW$2)*'1. UC Assumptions'!$H$42,0)</f>
        <v>0</v>
      </c>
      <c r="AX8" s="151">
        <f>IF(K8="Hidalgo",(AG8/$AX$1)*'1. UC Assumptions'!$I$44-(AH8/$AX$2)*'1. UC Assumptions'!$I$42,0)</f>
        <v>0</v>
      </c>
      <c r="AY8" s="151">
        <f>IF(K8="Jefferson",(AG8/$AY$1)*'1. UC Assumptions'!$J$44-(AH8/$AY$2)*'1. UC Assumptions'!$J$42,0)</f>
        <v>0</v>
      </c>
      <c r="AZ8" s="151">
        <f>IF(K8="Lubbock",(AG8/$AZ$1)*'1. UC Assumptions'!$K$44-(AH8/$AZ$2)*'1. UC Assumptions'!$K$42,0)</f>
        <v>0</v>
      </c>
      <c r="BA8" s="151">
        <f>IF(K8="MRSA Central",(AG8/$BA$1)*'1. UC Assumptions'!$L$44-(AH8/$BA$2)*'1. UC Assumptions'!$L$42,0)</f>
        <v>0</v>
      </c>
      <c r="BB8" s="151">
        <f>IF(K8="MRSA Northeast",(AG8/$BB$1)*'1. UC Assumptions'!$M$44-(AH8/$BB$2)*'1. UC Assumptions'!$M$42,0)</f>
        <v>0</v>
      </c>
      <c r="BC8" s="151">
        <f>IF(K8="MRSA West",(AG8/$BC$1)*'1. UC Assumptions'!$N$44-(AH8/$BC$2)*'1. UC Assumptions'!$N$42,0)</f>
        <v>0</v>
      </c>
      <c r="BD8" s="151">
        <f>IF(K8="Nueces",(AG8/$BD$1)*'1. UC Assumptions'!$O$44-(AH8/$BD$2)*'1. UC Assumptions'!$O$42,0)</f>
        <v>0</v>
      </c>
      <c r="BE8" s="151">
        <f>IF(K8="Tarrant",(AG8/$BE$1)*'1. UC Assumptions'!$P$44-(AH8/$BE$2)*'1. UC Assumptions'!$P$42,0)</f>
        <v>0</v>
      </c>
      <c r="BF8" s="151">
        <f>IF(K8="Travis",(AG8/$BF$1)*'1. UC Assumptions'!$Q$44-(AH8/$BF$2)*'1. UC Assumptions'!$Q$42,0)</f>
        <v>0</v>
      </c>
      <c r="BG8" s="151">
        <f t="shared" si="15"/>
        <v>0</v>
      </c>
      <c r="BH8" s="151">
        <f t="shared" si="16"/>
        <v>13931847.92502336</v>
      </c>
      <c r="BI8" s="151">
        <f>ROUNDDOWN(BH8*'1. UC Assumptions'!$C$23,2)</f>
        <v>4597509.8099999996</v>
      </c>
      <c r="BJ8" s="154">
        <f t="shared" si="17"/>
        <v>1334578.9750233609</v>
      </c>
      <c r="BK8" s="154">
        <f t="shared" si="18"/>
        <v>440411.05650000041</v>
      </c>
      <c r="BL8" s="154">
        <f t="shared" si="19"/>
        <v>1232110.1200000001</v>
      </c>
      <c r="BM8" s="154">
        <f t="shared" si="20"/>
        <v>406596.33</v>
      </c>
      <c r="BN8" s="101"/>
      <c r="BO8" s="154">
        <f>(BL8*'1. UC Assumptions'!$C$23)-'3.  UC Calculations by Hospital'!BM8</f>
        <v>9.5999999903142452E-3</v>
      </c>
      <c r="BP8" s="13"/>
    </row>
    <row r="9" spans="1:68">
      <c r="B9" s="129" t="s">
        <v>224</v>
      </c>
      <c r="C9" s="91" t="s">
        <v>224</v>
      </c>
      <c r="D9" s="91" t="s">
        <v>214</v>
      </c>
      <c r="E9" s="91"/>
      <c r="F9" s="91"/>
      <c r="G9" s="91" t="s">
        <v>209</v>
      </c>
      <c r="H9" s="91" t="s">
        <v>209</v>
      </c>
      <c r="I9" s="150" t="s">
        <v>210</v>
      </c>
      <c r="J9" s="129" t="s">
        <v>225</v>
      </c>
      <c r="K9" s="91" t="s">
        <v>3</v>
      </c>
      <c r="L9" s="91" t="s">
        <v>3</v>
      </c>
      <c r="M9" s="151">
        <v>16558520.11422063</v>
      </c>
      <c r="N9" s="151">
        <v>0</v>
      </c>
      <c r="O9" s="131">
        <v>0</v>
      </c>
      <c r="P9" s="131">
        <f t="shared" si="0"/>
        <v>0</v>
      </c>
      <c r="Q9" s="131">
        <v>37812453.382651769</v>
      </c>
      <c r="R9" s="131">
        <v>0</v>
      </c>
      <c r="S9" s="131">
        <f t="shared" si="1"/>
        <v>0</v>
      </c>
      <c r="T9" s="131">
        <f t="shared" si="2"/>
        <v>37812453.382651769</v>
      </c>
      <c r="U9" s="131">
        <v>541711</v>
      </c>
      <c r="V9" s="131">
        <v>0</v>
      </c>
      <c r="W9" s="131">
        <v>0</v>
      </c>
      <c r="X9" s="131">
        <v>0</v>
      </c>
      <c r="Y9" s="131">
        <v>7297317.4807484187</v>
      </c>
      <c r="Z9" s="131">
        <f t="shared" si="3"/>
        <v>7839028.4807484187</v>
      </c>
      <c r="AA9" s="131">
        <v>0</v>
      </c>
      <c r="AB9" s="152">
        <f t="shared" si="4"/>
        <v>45651481.863400191</v>
      </c>
      <c r="AC9" s="133">
        <f>IF(D9="Physician Group Practice",(AB9/$AB$393)*'1. UC Assumptions'!$C$15,IF(E9="Rural Hospital",AB9*'1. UC Assumptions'!$C$7/'1. UC Assumptions'!$E$7,(AB9/$AB$397)*('1. UC Assumptions'!$C$9)))</f>
        <v>21462843.638052728</v>
      </c>
      <c r="AD9" s="133">
        <f t="shared" si="5"/>
        <v>0</v>
      </c>
      <c r="AE9" s="133">
        <f t="shared" si="6"/>
        <v>24188638.225347463</v>
      </c>
      <c r="AF9" s="133">
        <f t="shared" si="7"/>
        <v>0</v>
      </c>
      <c r="AG9" s="133">
        <f t="shared" si="8"/>
        <v>24188638.225347463</v>
      </c>
      <c r="AH9" s="133">
        <f t="shared" si="9"/>
        <v>21462843.638052728</v>
      </c>
      <c r="AI9" s="131">
        <f>AH9*'1. UC Assumptions'!$C$23</f>
        <v>7082738.4005573997</v>
      </c>
      <c r="AJ9" s="131">
        <v>17096727.050000001</v>
      </c>
      <c r="AK9" s="131">
        <f>AJ9*(1-'1. UC Assumptions'!$C$22)</f>
        <v>5641919.9264999991</v>
      </c>
      <c r="AL9" s="131"/>
      <c r="AM9" s="131">
        <f>AL9*'1. UC Assumptions'!$C$23</f>
        <v>0</v>
      </c>
      <c r="AN9" s="153">
        <f t="shared" si="10"/>
        <v>45651481.863400191</v>
      </c>
      <c r="AO9" s="151">
        <f>AN9*'1. UC Assumptions'!$C$23</f>
        <v>15064989.014922062</v>
      </c>
      <c r="AP9" s="151">
        <f t="shared" si="11"/>
        <v>28554754.81340019</v>
      </c>
      <c r="AQ9" s="151">
        <f t="shared" si="12"/>
        <v>9423069.0884220637</v>
      </c>
      <c r="AR9" s="151">
        <f t="shared" si="13"/>
        <v>9423069.0884220637</v>
      </c>
      <c r="AS9" s="151">
        <f t="shared" si="14"/>
        <v>15064989.014922064</v>
      </c>
      <c r="AT9" s="151">
        <f>IF(K9="Bexar",(AG9/$AT$1)*'1. UC Assumptions'!$E$44-(AH9/$AT$2)*'1. UC Assumptions'!$E$42,0)</f>
        <v>0</v>
      </c>
      <c r="AU9" s="151">
        <f>IF(K9="Dallas",(AG9/$AU$1)*'1. UC Assumptions'!$F$44-(AH9/$AU$2)*'1. UC Assumptions'!$F$42,0)</f>
        <v>0</v>
      </c>
      <c r="AV9" s="151">
        <f>IF(K9="El Paso",(AG9/$AV$1)*'1. UC Assumptions'!$G$44-(AH9/$AV$2)*'1. UC Assumptions'!$G$42,0)</f>
        <v>0</v>
      </c>
      <c r="AW9" s="151">
        <f>IF(K9="Harris",(AG9/$AW$1)*'1. UC Assumptions'!$H$44-(AH9/$AW$2)*'1. UC Assumptions'!$H$42,0)</f>
        <v>0</v>
      </c>
      <c r="AX9" s="151">
        <f>IF(K9="Hidalgo",(AG9/$AX$1)*'1. UC Assumptions'!$I$44-(AH9/$AX$2)*'1. UC Assumptions'!$I$42,0)</f>
        <v>0</v>
      </c>
      <c r="AY9" s="151">
        <f>IF(K9="Jefferson",(AG9/$AY$1)*'1. UC Assumptions'!$J$44-(AH9/$AY$2)*'1. UC Assumptions'!$J$42,0)</f>
        <v>0</v>
      </c>
      <c r="AZ9" s="151">
        <f>IF(K9="Lubbock",(AG9/$AZ$1)*'1. UC Assumptions'!$K$44-(AH9/$AZ$2)*'1. UC Assumptions'!$K$42,0)</f>
        <v>0</v>
      </c>
      <c r="BA9" s="151">
        <f>IF(K9="MRSA Central",(AG9/$BA$1)*'1. UC Assumptions'!$L$44-(AH9/$BA$2)*'1. UC Assumptions'!$L$42,0)</f>
        <v>0</v>
      </c>
      <c r="BB9" s="151">
        <f>IF(K9="MRSA Northeast",(AG9/$BB$1)*'1. UC Assumptions'!$M$44-(AH9/$BB$2)*'1. UC Assumptions'!$M$42,0)</f>
        <v>0</v>
      </c>
      <c r="BC9" s="151">
        <f>IF(K9="MRSA West",(AG9/$BC$1)*'1. UC Assumptions'!$N$44-(AH9/$BC$2)*'1. UC Assumptions'!$N$42,0)</f>
        <v>0</v>
      </c>
      <c r="BD9" s="151">
        <f>IF(K9="Nueces",(AG9/$BD$1)*'1. UC Assumptions'!$O$44-(AH9/$BD$2)*'1. UC Assumptions'!$O$42,0)</f>
        <v>0</v>
      </c>
      <c r="BE9" s="151">
        <f>IF(K9="Tarrant",(AG9/$BE$1)*'1. UC Assumptions'!$P$44-(AH9/$BE$2)*'1. UC Assumptions'!$P$42,0)</f>
        <v>0</v>
      </c>
      <c r="BF9" s="151">
        <f>IF(K9="Travis",(AG9/$BF$1)*'1. UC Assumptions'!$Q$44-(AH9/$BF$2)*'1. UC Assumptions'!$Q$42,0)</f>
        <v>0</v>
      </c>
      <c r="BG9" s="151">
        <f t="shared" si="15"/>
        <v>0</v>
      </c>
      <c r="BH9" s="151">
        <f t="shared" si="16"/>
        <v>21462843.638052728</v>
      </c>
      <c r="BI9" s="151">
        <f>ROUNDDOWN(BH9*'1. UC Assumptions'!$C$23,2)</f>
        <v>7082738.4000000004</v>
      </c>
      <c r="BJ9" s="154">
        <f t="shared" si="17"/>
        <v>4366116.5880527273</v>
      </c>
      <c r="BK9" s="154">
        <f t="shared" si="18"/>
        <v>1440818.4735000012</v>
      </c>
      <c r="BL9" s="154">
        <f t="shared" si="19"/>
        <v>4030886.53</v>
      </c>
      <c r="BM9" s="154">
        <f t="shared" si="20"/>
        <v>1330192.55</v>
      </c>
      <c r="BN9" s="101"/>
      <c r="BO9" s="154">
        <f>(BL9*'1. UC Assumptions'!$C$23)-'3.  UC Calculations by Hospital'!BM9</f>
        <v>4.899999825283885E-3</v>
      </c>
      <c r="BP9" s="13"/>
    </row>
    <row r="10" spans="1:68">
      <c r="B10" s="129" t="s">
        <v>226</v>
      </c>
      <c r="C10" s="91" t="s">
        <v>226</v>
      </c>
      <c r="D10" s="91" t="s">
        <v>214</v>
      </c>
      <c r="E10" s="91"/>
      <c r="F10" s="91"/>
      <c r="G10" s="91" t="s">
        <v>209</v>
      </c>
      <c r="H10" s="91" t="s">
        <v>227</v>
      </c>
      <c r="I10" s="150" t="s">
        <v>210</v>
      </c>
      <c r="J10" s="129" t="s">
        <v>228</v>
      </c>
      <c r="K10" s="91" t="s">
        <v>3</v>
      </c>
      <c r="L10" s="91" t="s">
        <v>3</v>
      </c>
      <c r="M10" s="151">
        <v>15427312.972588018</v>
      </c>
      <c r="N10" s="151">
        <v>8386909.0230675088</v>
      </c>
      <c r="O10" s="131">
        <v>3764508.6500748978</v>
      </c>
      <c r="P10" s="131">
        <f t="shared" si="0"/>
        <v>4622400.3729926106</v>
      </c>
      <c r="Q10" s="131">
        <v>7795824.8110010866</v>
      </c>
      <c r="R10" s="131">
        <v>10864321.129999999</v>
      </c>
      <c r="S10" s="131">
        <f t="shared" si="1"/>
        <v>0</v>
      </c>
      <c r="T10" s="131">
        <f t="shared" si="2"/>
        <v>7795824.8110010866</v>
      </c>
      <c r="U10" s="131">
        <v>1020017</v>
      </c>
      <c r="V10" s="131">
        <v>0</v>
      </c>
      <c r="W10" s="131">
        <v>0</v>
      </c>
      <c r="X10" s="131">
        <v>0</v>
      </c>
      <c r="Y10" s="131">
        <v>379588.25386368891</v>
      </c>
      <c r="Z10" s="131">
        <f t="shared" si="3"/>
        <v>1399605.253863689</v>
      </c>
      <c r="AA10" s="131">
        <v>0</v>
      </c>
      <c r="AB10" s="152">
        <f t="shared" si="4"/>
        <v>9195430.0648647752</v>
      </c>
      <c r="AC10" s="133">
        <f>IF(D10="Physician Group Practice",(AB10/$AB$393)*'1. UC Assumptions'!$C$15,IF(E10="Rural Hospital",AB10*'1. UC Assumptions'!$C$7/'1. UC Assumptions'!$E$7,(AB10/$AB$397)*('1. UC Assumptions'!$C$9)))</f>
        <v>4323191.0468402486</v>
      </c>
      <c r="AD10" s="133">
        <f t="shared" si="5"/>
        <v>0</v>
      </c>
      <c r="AE10" s="133">
        <f t="shared" si="6"/>
        <v>4872239.0180245265</v>
      </c>
      <c r="AF10" s="133">
        <f t="shared" si="7"/>
        <v>0</v>
      </c>
      <c r="AG10" s="133">
        <f t="shared" si="8"/>
        <v>4872239.0180245265</v>
      </c>
      <c r="AH10" s="133">
        <f t="shared" si="9"/>
        <v>4323191.0468402486</v>
      </c>
      <c r="AI10" s="131">
        <f>AH10*'1. UC Assumptions'!$C$23</f>
        <v>1426653.0454572819</v>
      </c>
      <c r="AJ10" s="131">
        <v>3653086.39</v>
      </c>
      <c r="AK10" s="131">
        <f>AJ10*(1-'1. UC Assumptions'!$C$22)</f>
        <v>1205518.5086999999</v>
      </c>
      <c r="AL10" s="131"/>
      <c r="AM10" s="131">
        <f>AL10*'1. UC Assumptions'!$C$23</f>
        <v>0</v>
      </c>
      <c r="AN10" s="153">
        <f t="shared" si="10"/>
        <v>9195430.0648647752</v>
      </c>
      <c r="AO10" s="151">
        <f>AN10*'1. UC Assumptions'!$C$23</f>
        <v>3034491.9214053755</v>
      </c>
      <c r="AP10" s="151">
        <f t="shared" si="11"/>
        <v>5542343.6748647746</v>
      </c>
      <c r="AQ10" s="151">
        <f t="shared" si="12"/>
        <v>1828973.4127053756</v>
      </c>
      <c r="AR10" s="151">
        <f t="shared" si="13"/>
        <v>1828973.4127053756</v>
      </c>
      <c r="AS10" s="151">
        <f t="shared" si="14"/>
        <v>3034491.9214053755</v>
      </c>
      <c r="AT10" s="151">
        <f>IF(K10="Bexar",(AG10/$AT$1)*'1. UC Assumptions'!$E$44-(AH10/$AT$2)*'1. UC Assumptions'!$E$42,0)</f>
        <v>0</v>
      </c>
      <c r="AU10" s="151">
        <f>IF(K10="Dallas",(AG10/$AU$1)*'1. UC Assumptions'!$F$44-(AH10/$AU$2)*'1. UC Assumptions'!$F$42,0)</f>
        <v>0</v>
      </c>
      <c r="AV10" s="151">
        <f>IF(K10="El Paso",(AG10/$AV$1)*'1. UC Assumptions'!$G$44-(AH10/$AV$2)*'1. UC Assumptions'!$G$42,0)</f>
        <v>0</v>
      </c>
      <c r="AW10" s="151">
        <f>IF(K10="Harris",(AG10/$AW$1)*'1. UC Assumptions'!$H$44-(AH10/$AW$2)*'1. UC Assumptions'!$H$42,0)</f>
        <v>0</v>
      </c>
      <c r="AX10" s="151">
        <f>IF(K10="Hidalgo",(AG10/$AX$1)*'1. UC Assumptions'!$I$44-(AH10/$AX$2)*'1. UC Assumptions'!$I$42,0)</f>
        <v>0</v>
      </c>
      <c r="AY10" s="151">
        <f>IF(K10="Jefferson",(AG10/$AY$1)*'1. UC Assumptions'!$J$44-(AH10/$AY$2)*'1. UC Assumptions'!$J$42,0)</f>
        <v>0</v>
      </c>
      <c r="AZ10" s="151">
        <f>IF(K10="Lubbock",(AG10/$AZ$1)*'1. UC Assumptions'!$K$44-(AH10/$AZ$2)*'1. UC Assumptions'!$K$42,0)</f>
        <v>0</v>
      </c>
      <c r="BA10" s="151">
        <f>IF(K10="MRSA Central",(AG10/$BA$1)*'1. UC Assumptions'!$L$44-(AH10/$BA$2)*'1. UC Assumptions'!$L$42,0)</f>
        <v>0</v>
      </c>
      <c r="BB10" s="151">
        <f>IF(K10="MRSA Northeast",(AG10/$BB$1)*'1. UC Assumptions'!$M$44-(AH10/$BB$2)*'1. UC Assumptions'!$M$42,0)</f>
        <v>0</v>
      </c>
      <c r="BC10" s="151">
        <f>IF(K10="MRSA West",(AG10/$BC$1)*'1. UC Assumptions'!$N$44-(AH10/$BC$2)*'1. UC Assumptions'!$N$42,0)</f>
        <v>0</v>
      </c>
      <c r="BD10" s="151">
        <f>IF(K10="Nueces",(AG10/$BD$1)*'1. UC Assumptions'!$O$44-(AH10/$BD$2)*'1. UC Assumptions'!$O$42,0)</f>
        <v>0</v>
      </c>
      <c r="BE10" s="151">
        <f>IF(K10="Tarrant",(AG10/$BE$1)*'1. UC Assumptions'!$P$44-(AH10/$BE$2)*'1. UC Assumptions'!$P$42,0)</f>
        <v>0</v>
      </c>
      <c r="BF10" s="151">
        <f>IF(K10="Travis",(AG10/$BF$1)*'1. UC Assumptions'!$Q$44-(AH10/$BF$2)*'1. UC Assumptions'!$Q$42,0)</f>
        <v>0</v>
      </c>
      <c r="BG10" s="151">
        <f t="shared" si="15"/>
        <v>0</v>
      </c>
      <c r="BH10" s="151">
        <f t="shared" si="16"/>
        <v>4323191.0468402486</v>
      </c>
      <c r="BI10" s="151">
        <f>ROUNDDOWN(BH10*'1. UC Assumptions'!$C$23,2)</f>
        <v>1426653.04</v>
      </c>
      <c r="BJ10" s="154">
        <f t="shared" si="17"/>
        <v>670104.6568402485</v>
      </c>
      <c r="BK10" s="154">
        <f t="shared" si="18"/>
        <v>221134.53130000015</v>
      </c>
      <c r="BL10" s="154">
        <f t="shared" si="19"/>
        <v>618654.07999999996</v>
      </c>
      <c r="BM10" s="154">
        <f t="shared" si="20"/>
        <v>204155.84</v>
      </c>
      <c r="BN10" s="101"/>
      <c r="BO10" s="154">
        <f>(BL10*'1. UC Assumptions'!$C$23)-'3.  UC Calculations by Hospital'!BM10</f>
        <v>6.3999999547377229E-3</v>
      </c>
      <c r="BP10" s="13"/>
    </row>
    <row r="11" spans="1:68">
      <c r="B11" s="129" t="s">
        <v>229</v>
      </c>
      <c r="C11" s="91" t="s">
        <v>229</v>
      </c>
      <c r="D11" s="91" t="s">
        <v>214</v>
      </c>
      <c r="E11" s="91"/>
      <c r="F11" s="91"/>
      <c r="G11" s="91" t="s">
        <v>209</v>
      </c>
      <c r="H11" s="91" t="s">
        <v>209</v>
      </c>
      <c r="I11" s="150" t="s">
        <v>210</v>
      </c>
      <c r="J11" s="129" t="s">
        <v>230</v>
      </c>
      <c r="K11" s="91" t="s">
        <v>4</v>
      </c>
      <c r="L11" s="91" t="s">
        <v>4</v>
      </c>
      <c r="M11" s="151">
        <v>1220754.7685020997</v>
      </c>
      <c r="N11" s="151">
        <v>59185871.429657325</v>
      </c>
      <c r="O11" s="131">
        <v>44659825.936029218</v>
      </c>
      <c r="P11" s="131">
        <f t="shared" si="0"/>
        <v>14526045.493628107</v>
      </c>
      <c r="Q11" s="131">
        <v>58611465.671709932</v>
      </c>
      <c r="R11" s="131">
        <v>6401261.2200000007</v>
      </c>
      <c r="S11" s="131">
        <f t="shared" si="1"/>
        <v>0</v>
      </c>
      <c r="T11" s="131">
        <f t="shared" si="2"/>
        <v>58611465.671709932</v>
      </c>
      <c r="U11" s="131">
        <v>0</v>
      </c>
      <c r="V11" s="131">
        <v>0</v>
      </c>
      <c r="W11" s="131">
        <v>0</v>
      </c>
      <c r="X11" s="131">
        <v>0</v>
      </c>
      <c r="Y11" s="131">
        <v>0</v>
      </c>
      <c r="Z11" s="131">
        <f t="shared" si="3"/>
        <v>0</v>
      </c>
      <c r="AA11" s="131">
        <v>0</v>
      </c>
      <c r="AB11" s="152">
        <f t="shared" si="4"/>
        <v>58611465.671709932</v>
      </c>
      <c r="AC11" s="133">
        <f>IF(D11="Physician Group Practice",(AB11/$AB$393)*'1. UC Assumptions'!$C$15,IF(E11="Rural Hospital",AB11*'1. UC Assumptions'!$C$7/'1. UC Assumptions'!$E$7,(AB11/$AB$397)*('1. UC Assumptions'!$C$9)))</f>
        <v>27555923.088611647</v>
      </c>
      <c r="AD11" s="133">
        <f t="shared" si="5"/>
        <v>0</v>
      </c>
      <c r="AE11" s="133">
        <f t="shared" si="6"/>
        <v>31055542.583098285</v>
      </c>
      <c r="AF11" s="133">
        <f t="shared" si="7"/>
        <v>0</v>
      </c>
      <c r="AG11" s="133">
        <f t="shared" si="8"/>
        <v>31055542.583098285</v>
      </c>
      <c r="AH11" s="133">
        <f t="shared" si="9"/>
        <v>27555923.088611647</v>
      </c>
      <c r="AI11" s="131">
        <f>AH11*'1. UC Assumptions'!$C$23</f>
        <v>9093454.619241843</v>
      </c>
      <c r="AJ11" s="131">
        <v>25220796.420000002</v>
      </c>
      <c r="AK11" s="131">
        <f>AJ11*(1-'1. UC Assumptions'!$C$22)</f>
        <v>8322862.8185999999</v>
      </c>
      <c r="AL11" s="131"/>
      <c r="AM11" s="131">
        <f>AL11*'1. UC Assumptions'!$C$23</f>
        <v>0</v>
      </c>
      <c r="AN11" s="153">
        <f t="shared" si="10"/>
        <v>58611465.671709932</v>
      </c>
      <c r="AO11" s="151">
        <f>AN11*'1. UC Assumptions'!$C$23</f>
        <v>19341783.671664275</v>
      </c>
      <c r="AP11" s="151">
        <f t="shared" si="11"/>
        <v>33390669.251709931</v>
      </c>
      <c r="AQ11" s="151">
        <f t="shared" si="12"/>
        <v>11018920.853064276</v>
      </c>
      <c r="AR11" s="151">
        <f t="shared" si="13"/>
        <v>11018920.853064276</v>
      </c>
      <c r="AS11" s="151">
        <f t="shared" si="14"/>
        <v>19341783.671664275</v>
      </c>
      <c r="AT11" s="151">
        <f>IF(K11="Bexar",(AG11/$AT$1)*'1. UC Assumptions'!$E$44-(AH11/$AT$2)*'1. UC Assumptions'!$E$42,0)</f>
        <v>0</v>
      </c>
      <c r="AU11" s="151">
        <f>IF(K11="Dallas",(AG11/$AU$1)*'1. UC Assumptions'!$F$44-(AH11/$AU$2)*'1. UC Assumptions'!$F$42,0)</f>
        <v>0</v>
      </c>
      <c r="AV11" s="151">
        <f>IF(K11="El Paso",(AG11/$AV$1)*'1. UC Assumptions'!$G$44-(AH11/$AV$2)*'1. UC Assumptions'!$G$42,0)</f>
        <v>0</v>
      </c>
      <c r="AW11" s="151">
        <f>IF(K11="Harris",(AG11/$AW$1)*'1. UC Assumptions'!$H$44-(AH11/$AW$2)*'1. UC Assumptions'!$H$42,0)</f>
        <v>0</v>
      </c>
      <c r="AX11" s="151">
        <f>IF(K11="Hidalgo",(AG11/$AX$1)*'1. UC Assumptions'!$I$44-(AH11/$AX$2)*'1. UC Assumptions'!$I$42,0)</f>
        <v>0</v>
      </c>
      <c r="AY11" s="151">
        <f>IF(K11="Jefferson",(AG11/$AY$1)*'1. UC Assumptions'!$J$44-(AH11/$AY$2)*'1. UC Assumptions'!$J$42,0)</f>
        <v>0</v>
      </c>
      <c r="AZ11" s="151">
        <f>IF(K11="Lubbock",(AG11/$AZ$1)*'1. UC Assumptions'!$K$44-(AH11/$AZ$2)*'1. UC Assumptions'!$K$42,0)</f>
        <v>0</v>
      </c>
      <c r="BA11" s="151">
        <f>IF(K11="MRSA Central",(AG11/$BA$1)*'1. UC Assumptions'!$L$44-(AH11/$BA$2)*'1. UC Assumptions'!$L$42,0)</f>
        <v>0</v>
      </c>
      <c r="BB11" s="151">
        <f>IF(K11="MRSA Northeast",(AG11/$BB$1)*'1. UC Assumptions'!$M$44-(AH11/$BB$2)*'1. UC Assumptions'!$M$42,0)</f>
        <v>0</v>
      </c>
      <c r="BC11" s="151">
        <f>IF(K11="MRSA West",(AG11/$BC$1)*'1. UC Assumptions'!$N$44-(AH11/$BC$2)*'1. UC Assumptions'!$N$42,0)</f>
        <v>0</v>
      </c>
      <c r="BD11" s="151">
        <f>IF(K11="Nueces",(AG11/$BD$1)*'1. UC Assumptions'!$O$44-(AH11/$BD$2)*'1. UC Assumptions'!$O$42,0)</f>
        <v>0</v>
      </c>
      <c r="BE11" s="151">
        <f>IF(K11="Tarrant",(AG11/$BE$1)*'1. UC Assumptions'!$P$44-(AH11/$BE$2)*'1. UC Assumptions'!$P$42,0)</f>
        <v>0</v>
      </c>
      <c r="BF11" s="151">
        <f>IF(K11="Travis",(AG11/$BF$1)*'1. UC Assumptions'!$Q$44-(AH11/$BF$2)*'1. UC Assumptions'!$Q$42,0)</f>
        <v>0</v>
      </c>
      <c r="BG11" s="151">
        <f t="shared" si="15"/>
        <v>0</v>
      </c>
      <c r="BH11" s="151">
        <f t="shared" si="16"/>
        <v>27555923.088611647</v>
      </c>
      <c r="BI11" s="151">
        <f>ROUNDDOWN(BH11*'1. UC Assumptions'!$C$23,2)</f>
        <v>9093454.6099999994</v>
      </c>
      <c r="BJ11" s="154">
        <f t="shared" si="17"/>
        <v>2335126.6686116457</v>
      </c>
      <c r="BK11" s="154">
        <f t="shared" si="18"/>
        <v>770591.79139999952</v>
      </c>
      <c r="BL11" s="154">
        <f t="shared" si="19"/>
        <v>2155835.84</v>
      </c>
      <c r="BM11" s="154">
        <f t="shared" si="20"/>
        <v>711425.82</v>
      </c>
      <c r="BN11" s="101"/>
      <c r="BO11" s="154">
        <f>(BL11*'1. UC Assumptions'!$C$23)-'3.  UC Calculations by Hospital'!BM11</f>
        <v>7.1999998763203621E-3</v>
      </c>
      <c r="BP11" s="13"/>
    </row>
    <row r="12" spans="1:68">
      <c r="B12" s="129" t="s">
        <v>231</v>
      </c>
      <c r="C12" s="91" t="s">
        <v>231</v>
      </c>
      <c r="D12" s="91" t="s">
        <v>214</v>
      </c>
      <c r="E12" s="91"/>
      <c r="F12" s="91"/>
      <c r="G12" s="91" t="s">
        <v>209</v>
      </c>
      <c r="H12" s="91" t="s">
        <v>209</v>
      </c>
      <c r="I12" s="150" t="s">
        <v>210</v>
      </c>
      <c r="J12" s="129" t="s">
        <v>232</v>
      </c>
      <c r="K12" s="91" t="s">
        <v>6</v>
      </c>
      <c r="L12" s="91" t="s">
        <v>6</v>
      </c>
      <c r="M12" s="151">
        <v>21893700.833493967</v>
      </c>
      <c r="N12" s="151">
        <v>50099407.914228991</v>
      </c>
      <c r="O12" s="131">
        <v>0</v>
      </c>
      <c r="P12" s="131">
        <f t="shared" si="0"/>
        <v>50099407.914228991</v>
      </c>
      <c r="Q12" s="131">
        <v>36998275.700301029</v>
      </c>
      <c r="R12" s="131">
        <v>0</v>
      </c>
      <c r="S12" s="131">
        <f t="shared" si="1"/>
        <v>0</v>
      </c>
      <c r="T12" s="131">
        <f t="shared" si="2"/>
        <v>36998275.700301029</v>
      </c>
      <c r="U12" s="131">
        <v>355545</v>
      </c>
      <c r="V12" s="131">
        <v>0</v>
      </c>
      <c r="W12" s="131">
        <v>0</v>
      </c>
      <c r="X12" s="131">
        <v>0</v>
      </c>
      <c r="Y12" s="131">
        <v>0</v>
      </c>
      <c r="Z12" s="131">
        <f t="shared" si="3"/>
        <v>355545</v>
      </c>
      <c r="AA12" s="131">
        <v>0</v>
      </c>
      <c r="AB12" s="152">
        <f t="shared" si="4"/>
        <v>37353820.700301029</v>
      </c>
      <c r="AC12" s="133">
        <f>IF(D12="Physician Group Practice",(AB12/$AB$393)*'1. UC Assumptions'!$C$15,IF(E12="Rural Hospital",AB12*'1. UC Assumptions'!$C$7/'1. UC Assumptions'!$E$7,(AB12/$AB$397)*('1. UC Assumptions'!$C$9)))</f>
        <v>17561734.696221862</v>
      </c>
      <c r="AD12" s="133">
        <f t="shared" si="5"/>
        <v>0</v>
      </c>
      <c r="AE12" s="133">
        <f t="shared" si="6"/>
        <v>19792086.004079167</v>
      </c>
      <c r="AF12" s="133">
        <f t="shared" si="7"/>
        <v>0</v>
      </c>
      <c r="AG12" s="133">
        <f t="shared" si="8"/>
        <v>19792086.004079167</v>
      </c>
      <c r="AH12" s="133">
        <f t="shared" si="9"/>
        <v>17561734.696221862</v>
      </c>
      <c r="AI12" s="131">
        <f>AH12*'1. UC Assumptions'!$C$23</f>
        <v>5795372.4497532137</v>
      </c>
      <c r="AJ12" s="131">
        <v>13896604.130000001</v>
      </c>
      <c r="AK12" s="131">
        <f>AJ12*(1-'1. UC Assumptions'!$C$22)</f>
        <v>4585879.3629000001</v>
      </c>
      <c r="AL12" s="131"/>
      <c r="AM12" s="131">
        <f>AL12*'1. UC Assumptions'!$C$23</f>
        <v>0</v>
      </c>
      <c r="AN12" s="153">
        <f t="shared" si="10"/>
        <v>37353820.700301029</v>
      </c>
      <c r="AO12" s="151">
        <f>AN12*'1. UC Assumptions'!$C$23</f>
        <v>12326760.831099339</v>
      </c>
      <c r="AP12" s="151">
        <f t="shared" si="11"/>
        <v>23457216.570301026</v>
      </c>
      <c r="AQ12" s="151">
        <f t="shared" si="12"/>
        <v>7740881.4681993388</v>
      </c>
      <c r="AR12" s="151">
        <f t="shared" si="13"/>
        <v>7740881.4681993388</v>
      </c>
      <c r="AS12" s="151">
        <f t="shared" si="14"/>
        <v>12326760.831099339</v>
      </c>
      <c r="AT12" s="151">
        <f>IF(K12="Bexar",(AG12/$AT$1)*'1. UC Assumptions'!$E$44-(AH12/$AT$2)*'1. UC Assumptions'!$E$42,0)</f>
        <v>0</v>
      </c>
      <c r="AU12" s="151">
        <f>IF(K12="Dallas",(AG12/$AU$1)*'1. UC Assumptions'!$F$44-(AH12/$AU$2)*'1. UC Assumptions'!$F$42,0)</f>
        <v>0</v>
      </c>
      <c r="AV12" s="151">
        <f>IF(K12="El Paso",(AG12/$AV$1)*'1. UC Assumptions'!$G$44-(AH12/$AV$2)*'1. UC Assumptions'!$G$42,0)</f>
        <v>0</v>
      </c>
      <c r="AW12" s="151">
        <f>IF(K12="Harris",(AG12/$AW$1)*'1. UC Assumptions'!$H$44-(AH12/$AW$2)*'1. UC Assumptions'!$H$42,0)</f>
        <v>0</v>
      </c>
      <c r="AX12" s="151">
        <f>IF(K12="Hidalgo",(AG12/$AX$1)*'1. UC Assumptions'!$I$44-(AH12/$AX$2)*'1. UC Assumptions'!$I$42,0)</f>
        <v>0</v>
      </c>
      <c r="AY12" s="151">
        <f>IF(K12="Jefferson",(AG12/$AY$1)*'1. UC Assumptions'!$J$44-(AH12/$AY$2)*'1. UC Assumptions'!$J$42,0)</f>
        <v>0</v>
      </c>
      <c r="AZ12" s="151">
        <f>IF(K12="Lubbock",(AG12/$AZ$1)*'1. UC Assumptions'!$K$44-(AH12/$AZ$2)*'1. UC Assumptions'!$K$42,0)</f>
        <v>0</v>
      </c>
      <c r="BA12" s="151">
        <f>IF(K12="MRSA Central",(AG12/$BA$1)*'1. UC Assumptions'!$L$44-(AH12/$BA$2)*'1. UC Assumptions'!$L$42,0)</f>
        <v>0</v>
      </c>
      <c r="BB12" s="151">
        <f>IF(K12="MRSA Northeast",(AG12/$BB$1)*'1. UC Assumptions'!$M$44-(AH12/$BB$2)*'1. UC Assumptions'!$M$42,0)</f>
        <v>0</v>
      </c>
      <c r="BC12" s="151">
        <f>IF(K12="MRSA West",(AG12/$BC$1)*'1. UC Assumptions'!$N$44-(AH12/$BC$2)*'1. UC Assumptions'!$N$42,0)</f>
        <v>0</v>
      </c>
      <c r="BD12" s="151">
        <f>IF(K12="Nueces",(AG12/$BD$1)*'1. UC Assumptions'!$O$44-(AH12/$BD$2)*'1. UC Assumptions'!$O$42,0)</f>
        <v>0</v>
      </c>
      <c r="BE12" s="151">
        <f>IF(K12="Tarrant",(AG12/$BE$1)*'1. UC Assumptions'!$P$44-(AH12/$BE$2)*'1. UC Assumptions'!$P$42,0)</f>
        <v>0</v>
      </c>
      <c r="BF12" s="151">
        <f>IF(K12="Travis",(AG12/$BF$1)*'1. UC Assumptions'!$Q$44-(AH12/$BF$2)*'1. UC Assumptions'!$Q$42,0)</f>
        <v>0</v>
      </c>
      <c r="BG12" s="151">
        <f t="shared" si="15"/>
        <v>0</v>
      </c>
      <c r="BH12" s="151">
        <f t="shared" si="16"/>
        <v>17561734.696221862</v>
      </c>
      <c r="BI12" s="151">
        <f>ROUNDDOWN(BH12*'1. UC Assumptions'!$C$23,2)</f>
        <v>5795372.4400000004</v>
      </c>
      <c r="BJ12" s="154">
        <f t="shared" si="17"/>
        <v>3665130.5662218612</v>
      </c>
      <c r="BK12" s="154">
        <f t="shared" si="18"/>
        <v>1209493.0771000003</v>
      </c>
      <c r="BL12" s="154">
        <f t="shared" si="19"/>
        <v>3383722.16</v>
      </c>
      <c r="BM12" s="154">
        <f t="shared" si="20"/>
        <v>1116628.3</v>
      </c>
      <c r="BN12" s="101"/>
      <c r="BO12" s="154">
        <f>(BL12*'1. UC Assumptions'!$C$23)-'3.  UC Calculations by Hospital'!BM12</f>
        <v>1.2799999909475446E-2</v>
      </c>
      <c r="BP12" s="13"/>
    </row>
    <row r="13" spans="1:68">
      <c r="B13" s="129" t="s">
        <v>233</v>
      </c>
      <c r="C13" s="91" t="s">
        <v>233</v>
      </c>
      <c r="D13" s="91" t="s">
        <v>214</v>
      </c>
      <c r="E13" s="91"/>
      <c r="F13" s="91"/>
      <c r="G13" s="91" t="s">
        <v>209</v>
      </c>
      <c r="H13" s="91" t="s">
        <v>209</v>
      </c>
      <c r="I13" s="150" t="s">
        <v>210</v>
      </c>
      <c r="J13" s="129" t="s">
        <v>234</v>
      </c>
      <c r="K13" s="91" t="s">
        <v>4</v>
      </c>
      <c r="L13" s="91" t="s">
        <v>4</v>
      </c>
      <c r="M13" s="151">
        <v>-61103858.043250933</v>
      </c>
      <c r="N13" s="151">
        <v>41336088.754372671</v>
      </c>
      <c r="O13" s="131">
        <v>19381708.242222592</v>
      </c>
      <c r="P13" s="131">
        <f t="shared" si="0"/>
        <v>21954380.512150079</v>
      </c>
      <c r="Q13" s="131">
        <v>47455730.139187098</v>
      </c>
      <c r="R13" s="131">
        <v>0</v>
      </c>
      <c r="S13" s="131">
        <f t="shared" si="1"/>
        <v>0</v>
      </c>
      <c r="T13" s="131">
        <f t="shared" si="2"/>
        <v>47455730.139187098</v>
      </c>
      <c r="U13" s="131">
        <v>1185591</v>
      </c>
      <c r="V13" s="131">
        <v>0</v>
      </c>
      <c r="W13" s="131">
        <v>99690</v>
      </c>
      <c r="X13" s="131">
        <v>0</v>
      </c>
      <c r="Y13" s="131">
        <v>6224540.1918641813</v>
      </c>
      <c r="Z13" s="131">
        <f t="shared" si="3"/>
        <v>7509821.1918641813</v>
      </c>
      <c r="AA13" s="131">
        <v>0</v>
      </c>
      <c r="AB13" s="152">
        <f t="shared" si="4"/>
        <v>54965551.331051275</v>
      </c>
      <c r="AC13" s="133">
        <f>IF(D13="Physician Group Practice",(AB13/$AB$393)*'1. UC Assumptions'!$C$15,IF(E13="Rural Hospital",AB13*'1. UC Assumptions'!$C$7/'1. UC Assumptions'!$E$7,(AB13/$AB$397)*('1. UC Assumptions'!$C$9)))</f>
        <v>25841812.478896108</v>
      </c>
      <c r="AD13" s="133">
        <f t="shared" si="5"/>
        <v>0</v>
      </c>
      <c r="AE13" s="133">
        <f t="shared" si="6"/>
        <v>29123738.852155168</v>
      </c>
      <c r="AF13" s="133">
        <f t="shared" si="7"/>
        <v>0</v>
      </c>
      <c r="AG13" s="133">
        <f t="shared" si="8"/>
        <v>29123738.852155168</v>
      </c>
      <c r="AH13" s="133">
        <f t="shared" si="9"/>
        <v>25841812.478896108</v>
      </c>
      <c r="AI13" s="131">
        <f>AH13*'1. UC Assumptions'!$C$23</f>
        <v>8527798.1180357151</v>
      </c>
      <c r="AJ13" s="131">
        <v>22124159.48</v>
      </c>
      <c r="AK13" s="131">
        <f>AJ13*(1-'1. UC Assumptions'!$C$22)</f>
        <v>7300972.6283999989</v>
      </c>
      <c r="AL13" s="131"/>
      <c r="AM13" s="131">
        <f>AL13*'1. UC Assumptions'!$C$23</f>
        <v>0</v>
      </c>
      <c r="AN13" s="153">
        <f t="shared" si="10"/>
        <v>54965551.331051275</v>
      </c>
      <c r="AO13" s="151">
        <f>AN13*'1. UC Assumptions'!$C$23</f>
        <v>18138631.939246919</v>
      </c>
      <c r="AP13" s="151">
        <f t="shared" si="11"/>
        <v>32841391.851051275</v>
      </c>
      <c r="AQ13" s="151">
        <f t="shared" si="12"/>
        <v>10837659.310846921</v>
      </c>
      <c r="AR13" s="151">
        <f t="shared" si="13"/>
        <v>10837659.310846921</v>
      </c>
      <c r="AS13" s="151">
        <f t="shared" si="14"/>
        <v>18138631.939246919</v>
      </c>
      <c r="AT13" s="151">
        <f>IF(K13="Bexar",(AG13/$AT$1)*'1. UC Assumptions'!$E$44-(AH13/$AT$2)*'1. UC Assumptions'!$E$42,0)</f>
        <v>0</v>
      </c>
      <c r="AU13" s="151">
        <f>IF(K13="Dallas",(AG13/$AU$1)*'1. UC Assumptions'!$F$44-(AH13/$AU$2)*'1. UC Assumptions'!$F$42,0)</f>
        <v>0</v>
      </c>
      <c r="AV13" s="151">
        <f>IF(K13="El Paso",(AG13/$AV$1)*'1. UC Assumptions'!$G$44-(AH13/$AV$2)*'1. UC Assumptions'!$G$42,0)</f>
        <v>0</v>
      </c>
      <c r="AW13" s="151">
        <f>IF(K13="Harris",(AG13/$AW$1)*'1. UC Assumptions'!$H$44-(AH13/$AW$2)*'1. UC Assumptions'!$H$42,0)</f>
        <v>0</v>
      </c>
      <c r="AX13" s="151">
        <f>IF(K13="Hidalgo",(AG13/$AX$1)*'1. UC Assumptions'!$I$44-(AH13/$AX$2)*'1. UC Assumptions'!$I$42,0)</f>
        <v>0</v>
      </c>
      <c r="AY13" s="151">
        <f>IF(K13="Jefferson",(AG13/$AY$1)*'1. UC Assumptions'!$J$44-(AH13/$AY$2)*'1. UC Assumptions'!$J$42,0)</f>
        <v>0</v>
      </c>
      <c r="AZ13" s="151">
        <f>IF(K13="Lubbock",(AG13/$AZ$1)*'1. UC Assumptions'!$K$44-(AH13/$AZ$2)*'1. UC Assumptions'!$K$42,0)</f>
        <v>0</v>
      </c>
      <c r="BA13" s="151">
        <f>IF(K13="MRSA Central",(AG13/$BA$1)*'1. UC Assumptions'!$L$44-(AH13/$BA$2)*'1. UC Assumptions'!$L$42,0)</f>
        <v>0</v>
      </c>
      <c r="BB13" s="151">
        <f>IF(K13="MRSA Northeast",(AG13/$BB$1)*'1. UC Assumptions'!$M$44-(AH13/$BB$2)*'1. UC Assumptions'!$M$42,0)</f>
        <v>0</v>
      </c>
      <c r="BC13" s="151">
        <f>IF(K13="MRSA West",(AG13/$BC$1)*'1. UC Assumptions'!$N$44-(AH13/$BC$2)*'1. UC Assumptions'!$N$42,0)</f>
        <v>0</v>
      </c>
      <c r="BD13" s="151">
        <f>IF(K13="Nueces",(AG13/$BD$1)*'1. UC Assumptions'!$O$44-(AH13/$BD$2)*'1. UC Assumptions'!$O$42,0)</f>
        <v>0</v>
      </c>
      <c r="BE13" s="151">
        <f>IF(K13="Tarrant",(AG13/$BE$1)*'1. UC Assumptions'!$P$44-(AH13/$BE$2)*'1. UC Assumptions'!$P$42,0)</f>
        <v>0</v>
      </c>
      <c r="BF13" s="151">
        <f>IF(K13="Travis",(AG13/$BF$1)*'1. UC Assumptions'!$Q$44-(AH13/$BF$2)*'1. UC Assumptions'!$Q$42,0)</f>
        <v>0</v>
      </c>
      <c r="BG13" s="151">
        <f t="shared" si="15"/>
        <v>0</v>
      </c>
      <c r="BH13" s="151">
        <f t="shared" si="16"/>
        <v>25841812.478896108</v>
      </c>
      <c r="BI13" s="151">
        <f>ROUNDDOWN(BH13*'1. UC Assumptions'!$C$23,2)</f>
        <v>8527798.1099999994</v>
      </c>
      <c r="BJ13" s="154">
        <f t="shared" si="17"/>
        <v>3717652.9988961071</v>
      </c>
      <c r="BK13" s="154">
        <f t="shared" si="18"/>
        <v>1226825.4816000005</v>
      </c>
      <c r="BL13" s="154">
        <f t="shared" si="19"/>
        <v>3432211.92</v>
      </c>
      <c r="BM13" s="154">
        <f t="shared" si="20"/>
        <v>1132629.92</v>
      </c>
      <c r="BN13" s="101"/>
      <c r="BO13" s="154">
        <f>(BL13*'1. UC Assumptions'!$C$23)-'3.  UC Calculations by Hospital'!BM13</f>
        <v>1.3599999947473407E-2</v>
      </c>
      <c r="BP13" s="13"/>
    </row>
    <row r="14" spans="1:68">
      <c r="B14" s="129" t="s">
        <v>235</v>
      </c>
      <c r="C14" s="91" t="s">
        <v>235</v>
      </c>
      <c r="D14" s="91" t="s">
        <v>214</v>
      </c>
      <c r="E14" s="91"/>
      <c r="F14" s="91"/>
      <c r="G14" s="91" t="s">
        <v>209</v>
      </c>
      <c r="H14" s="91" t="s">
        <v>209</v>
      </c>
      <c r="I14" s="150" t="s">
        <v>210</v>
      </c>
      <c r="J14" s="129" t="s">
        <v>236</v>
      </c>
      <c r="K14" s="91" t="s">
        <v>7</v>
      </c>
      <c r="L14" s="91" t="s">
        <v>237</v>
      </c>
      <c r="M14" s="151">
        <v>-8517102.4921721723</v>
      </c>
      <c r="N14" s="151">
        <v>13011471.971331468</v>
      </c>
      <c r="O14" s="131">
        <v>7094202.3679357534</v>
      </c>
      <c r="P14" s="131">
        <f t="shared" si="0"/>
        <v>5917269.6033957144</v>
      </c>
      <c r="Q14" s="131">
        <v>13023403.669719415</v>
      </c>
      <c r="R14" s="131">
        <v>4474968.75</v>
      </c>
      <c r="S14" s="131">
        <f t="shared" si="1"/>
        <v>4474968.75</v>
      </c>
      <c r="T14" s="131">
        <f t="shared" si="2"/>
        <v>8548434.9197194148</v>
      </c>
      <c r="U14" s="131">
        <v>784055</v>
      </c>
      <c r="V14" s="131">
        <v>0</v>
      </c>
      <c r="W14" s="131">
        <v>0</v>
      </c>
      <c r="X14" s="131">
        <v>0</v>
      </c>
      <c r="Y14" s="131">
        <v>1765478.2604670858</v>
      </c>
      <c r="Z14" s="131">
        <f t="shared" si="3"/>
        <v>2549533.260467086</v>
      </c>
      <c r="AA14" s="131">
        <v>0</v>
      </c>
      <c r="AB14" s="152">
        <f t="shared" si="4"/>
        <v>11097968.180186501</v>
      </c>
      <c r="AC14" s="133">
        <f>IF(D14="Physician Group Practice",(AB14/$AB$393)*'1. UC Assumptions'!$C$15,IF(E14="Rural Hospital",AB14*'1. UC Assumptions'!$C$7/'1. UC Assumptions'!$E$7,(AB14/$AB$397)*('1. UC Assumptions'!$C$9)))</f>
        <v>5217660.9833643278</v>
      </c>
      <c r="AD14" s="133">
        <f t="shared" si="5"/>
        <v>0</v>
      </c>
      <c r="AE14" s="133">
        <f t="shared" si="6"/>
        <v>5880307.196822173</v>
      </c>
      <c r="AF14" s="133">
        <f t="shared" si="7"/>
        <v>0</v>
      </c>
      <c r="AG14" s="133">
        <f t="shared" si="8"/>
        <v>5880307.196822173</v>
      </c>
      <c r="AH14" s="133">
        <f t="shared" si="9"/>
        <v>5217660.9833643278</v>
      </c>
      <c r="AI14" s="131">
        <f>AH14*'1. UC Assumptions'!$C$23</f>
        <v>1721828.1245102279</v>
      </c>
      <c r="AJ14" s="131">
        <v>6109563.0599999996</v>
      </c>
      <c r="AK14" s="131">
        <f>AJ14*(1-'1. UC Assumptions'!$C$22)</f>
        <v>2016155.8097999997</v>
      </c>
      <c r="AL14" s="131"/>
      <c r="AM14" s="131">
        <f>AL14*'1. UC Assumptions'!$C$23</f>
        <v>0</v>
      </c>
      <c r="AN14" s="153">
        <f t="shared" si="10"/>
        <v>11097968.180186501</v>
      </c>
      <c r="AO14" s="151">
        <f>AN14*'1. UC Assumptions'!$C$23</f>
        <v>3662329.4994615447</v>
      </c>
      <c r="AP14" s="151">
        <f t="shared" si="11"/>
        <v>4988405.1201865012</v>
      </c>
      <c r="AQ14" s="151">
        <f t="shared" si="12"/>
        <v>1646173.689661545</v>
      </c>
      <c r="AR14" s="151">
        <f t="shared" si="13"/>
        <v>1646173.689661545</v>
      </c>
      <c r="AS14" s="151">
        <f t="shared" si="14"/>
        <v>3662329.4994615447</v>
      </c>
      <c r="AT14" s="151">
        <f>IF(K14="Bexar",(AG14/$AT$1)*'1. UC Assumptions'!$E$44-(AH14/$AT$2)*'1. UC Assumptions'!$E$42,0)</f>
        <v>0</v>
      </c>
      <c r="AU14" s="151">
        <f>IF(K14="Dallas",(AG14/$AU$1)*'1. UC Assumptions'!$F$44-(AH14/$AU$2)*'1. UC Assumptions'!$F$42,0)</f>
        <v>0</v>
      </c>
      <c r="AV14" s="151">
        <f>IF(K14="El Paso",(AG14/$AV$1)*'1. UC Assumptions'!$G$44-(AH14/$AV$2)*'1. UC Assumptions'!$G$42,0)</f>
        <v>0</v>
      </c>
      <c r="AW14" s="151">
        <f>IF(K14="Harris",(AG14/$AW$1)*'1. UC Assumptions'!$H$44-(AH14/$AW$2)*'1. UC Assumptions'!$H$42,0)</f>
        <v>0</v>
      </c>
      <c r="AX14" s="151">
        <f>IF(K14="Hidalgo",(AG14/$AX$1)*'1. UC Assumptions'!$I$44-(AH14/$AX$2)*'1. UC Assumptions'!$I$42,0)</f>
        <v>0</v>
      </c>
      <c r="AY14" s="151">
        <f>IF(K14="Jefferson",(AG14/$AY$1)*'1. UC Assumptions'!$J$44-(AH14/$AY$2)*'1. UC Assumptions'!$J$42,0)</f>
        <v>0</v>
      </c>
      <c r="AZ14" s="151">
        <f>IF(K14="Lubbock",(AG14/$AZ$1)*'1. UC Assumptions'!$K$44-(AH14/$AZ$2)*'1. UC Assumptions'!$K$42,0)</f>
        <v>0</v>
      </c>
      <c r="BA14" s="151">
        <f>IF(K14="MRSA Central",(AG14/$BA$1)*'1. UC Assumptions'!$L$44-(AH14/$BA$2)*'1. UC Assumptions'!$L$42,0)</f>
        <v>0</v>
      </c>
      <c r="BB14" s="151">
        <f>IF(K14="MRSA Northeast",(AG14/$BB$1)*'1. UC Assumptions'!$M$44-(AH14/$BB$2)*'1. UC Assumptions'!$M$42,0)</f>
        <v>0</v>
      </c>
      <c r="BC14" s="151">
        <f>IF(K14="MRSA West",(AG14/$BC$1)*'1. UC Assumptions'!$N$44-(AH14/$BC$2)*'1. UC Assumptions'!$N$42,0)</f>
        <v>0</v>
      </c>
      <c r="BD14" s="151">
        <f>IF(K14="Nueces",(AG14/$BD$1)*'1. UC Assumptions'!$O$44-(AH14/$BD$2)*'1. UC Assumptions'!$O$42,0)</f>
        <v>0</v>
      </c>
      <c r="BE14" s="151">
        <f>IF(K14="Tarrant",(AG14/$BE$1)*'1. UC Assumptions'!$P$44-(AH14/$BE$2)*'1. UC Assumptions'!$P$42,0)</f>
        <v>0</v>
      </c>
      <c r="BF14" s="151">
        <f>IF(K14="Travis",(AG14/$BF$1)*'1. UC Assumptions'!$Q$44-(AH14/$BF$2)*'1. UC Assumptions'!$Q$42,0)</f>
        <v>0</v>
      </c>
      <c r="BG14" s="151">
        <f t="shared" si="15"/>
        <v>0</v>
      </c>
      <c r="BH14" s="151">
        <f t="shared" si="16"/>
        <v>5217660.9833643278</v>
      </c>
      <c r="BI14" s="151">
        <f>ROUNDDOWN(BH14*'1. UC Assumptions'!$C$23,2)</f>
        <v>1721828.12</v>
      </c>
      <c r="BJ14" s="154">
        <f t="shared" si="17"/>
        <v>-891902.07663567178</v>
      </c>
      <c r="BK14" s="154">
        <f t="shared" si="18"/>
        <v>-294327.68979999959</v>
      </c>
      <c r="BL14" s="154">
        <f t="shared" si="19"/>
        <v>0</v>
      </c>
      <c r="BM14" s="154">
        <f t="shared" si="20"/>
        <v>0</v>
      </c>
      <c r="BN14" s="101"/>
      <c r="BO14" s="154">
        <f>(BL14*'1. UC Assumptions'!$C$23)-'3.  UC Calculations by Hospital'!BM14</f>
        <v>0</v>
      </c>
      <c r="BP14" s="13"/>
    </row>
    <row r="15" spans="1:68">
      <c r="B15" s="129" t="s">
        <v>238</v>
      </c>
      <c r="C15" s="91" t="s">
        <v>238</v>
      </c>
      <c r="D15" s="91" t="s">
        <v>214</v>
      </c>
      <c r="E15" s="91"/>
      <c r="F15" s="91"/>
      <c r="G15" s="91" t="s">
        <v>209</v>
      </c>
      <c r="H15" s="91" t="s">
        <v>209</v>
      </c>
      <c r="I15" s="150" t="s">
        <v>210</v>
      </c>
      <c r="J15" s="129" t="s">
        <v>239</v>
      </c>
      <c r="K15" s="91" t="s">
        <v>14</v>
      </c>
      <c r="L15" s="91" t="s">
        <v>14</v>
      </c>
      <c r="M15" s="151">
        <v>-14368558.897940638</v>
      </c>
      <c r="N15" s="151">
        <v>34929059.26575838</v>
      </c>
      <c r="O15" s="131">
        <v>16728147.466349157</v>
      </c>
      <c r="P15" s="131">
        <f t="shared" si="0"/>
        <v>18200911.799409226</v>
      </c>
      <c r="Q15" s="131">
        <v>35463715.416847751</v>
      </c>
      <c r="R15" s="131">
        <v>11469321.66</v>
      </c>
      <c r="S15" s="131">
        <f t="shared" si="1"/>
        <v>7636968.758531414</v>
      </c>
      <c r="T15" s="131">
        <f t="shared" si="2"/>
        <v>27826746.658316337</v>
      </c>
      <c r="U15" s="131">
        <v>1513418</v>
      </c>
      <c r="V15" s="131">
        <v>0</v>
      </c>
      <c r="W15" s="131">
        <v>135464</v>
      </c>
      <c r="X15" s="131">
        <v>0</v>
      </c>
      <c r="Y15" s="131">
        <v>8233656.0071590338</v>
      </c>
      <c r="Z15" s="131">
        <f t="shared" si="3"/>
        <v>9882538.0071590338</v>
      </c>
      <c r="AA15" s="131">
        <v>0</v>
      </c>
      <c r="AB15" s="152">
        <f t="shared" si="4"/>
        <v>37709284.665475368</v>
      </c>
      <c r="AC15" s="133">
        <f>IF(D15="Physician Group Practice",(AB15/$AB$393)*'1. UC Assumptions'!$C$15,IF(E15="Rural Hospital",AB15*'1. UC Assumptions'!$C$7/'1. UC Assumptions'!$E$7,(AB15/$AB$397)*('1. UC Assumptions'!$C$9)))</f>
        <v>17728854.517793648</v>
      </c>
      <c r="AD15" s="133">
        <f t="shared" si="5"/>
        <v>0</v>
      </c>
      <c r="AE15" s="133">
        <f t="shared" si="6"/>
        <v>19980430.147681721</v>
      </c>
      <c r="AF15" s="133">
        <f t="shared" si="7"/>
        <v>0</v>
      </c>
      <c r="AG15" s="133">
        <f t="shared" si="8"/>
        <v>19980430.147681721</v>
      </c>
      <c r="AH15" s="133">
        <f t="shared" si="9"/>
        <v>17728854.517793648</v>
      </c>
      <c r="AI15" s="131">
        <f>AH15*'1. UC Assumptions'!$C$23</f>
        <v>5850521.9908719035</v>
      </c>
      <c r="AJ15" s="131">
        <v>16827712.989999998</v>
      </c>
      <c r="AK15" s="131">
        <f>AJ15*(1-'1. UC Assumptions'!$C$22)</f>
        <v>5553145.2866999991</v>
      </c>
      <c r="AL15" s="131"/>
      <c r="AM15" s="131">
        <f>AL15*'1. UC Assumptions'!$C$23</f>
        <v>0</v>
      </c>
      <c r="AN15" s="153">
        <f t="shared" si="10"/>
        <v>37709284.665475368</v>
      </c>
      <c r="AO15" s="151">
        <f>AN15*'1. UC Assumptions'!$C$23</f>
        <v>12444063.93960687</v>
      </c>
      <c r="AP15" s="151">
        <f t="shared" si="11"/>
        <v>20881571.67547537</v>
      </c>
      <c r="AQ15" s="151">
        <f t="shared" si="12"/>
        <v>6890918.6529068705</v>
      </c>
      <c r="AR15" s="151">
        <f t="shared" si="13"/>
        <v>6890918.6529068705</v>
      </c>
      <c r="AS15" s="151">
        <f t="shared" si="14"/>
        <v>12444063.93960687</v>
      </c>
      <c r="AT15" s="151">
        <f>IF(K15="Bexar",(AG15/$AT$1)*'1. UC Assumptions'!$E$44-(AH15/$AT$2)*'1. UC Assumptions'!$E$42,0)</f>
        <v>0</v>
      </c>
      <c r="AU15" s="151">
        <f>IF(K15="Dallas",(AG15/$AU$1)*'1. UC Assumptions'!$F$44-(AH15/$AU$2)*'1. UC Assumptions'!$F$42,0)</f>
        <v>0</v>
      </c>
      <c r="AV15" s="151">
        <f>IF(K15="El Paso",(AG15/$AV$1)*'1. UC Assumptions'!$G$44-(AH15/$AV$2)*'1. UC Assumptions'!$G$42,0)</f>
        <v>0</v>
      </c>
      <c r="AW15" s="151">
        <f>IF(K15="Harris",(AG15/$AW$1)*'1. UC Assumptions'!$H$44-(AH15/$AW$2)*'1. UC Assumptions'!$H$42,0)</f>
        <v>0</v>
      </c>
      <c r="AX15" s="151">
        <f>IF(K15="Hidalgo",(AG15/$AX$1)*'1. UC Assumptions'!$I$44-(AH15/$AX$2)*'1. UC Assumptions'!$I$42,0)</f>
        <v>0</v>
      </c>
      <c r="AY15" s="151">
        <f>IF(K15="Jefferson",(AG15/$AY$1)*'1. UC Assumptions'!$J$44-(AH15/$AY$2)*'1. UC Assumptions'!$J$42,0)</f>
        <v>0</v>
      </c>
      <c r="AZ15" s="151">
        <f>IF(K15="Lubbock",(AG15/$AZ$1)*'1. UC Assumptions'!$K$44-(AH15/$AZ$2)*'1. UC Assumptions'!$K$42,0)</f>
        <v>0</v>
      </c>
      <c r="BA15" s="151">
        <f>IF(K15="MRSA Central",(AG15/$BA$1)*'1. UC Assumptions'!$L$44-(AH15/$BA$2)*'1. UC Assumptions'!$L$42,0)</f>
        <v>0</v>
      </c>
      <c r="BB15" s="151">
        <f>IF(K15="MRSA Northeast",(AG15/$BB$1)*'1. UC Assumptions'!$M$44-(AH15/$BB$2)*'1. UC Assumptions'!$M$42,0)</f>
        <v>0</v>
      </c>
      <c r="BC15" s="151">
        <f>IF(K15="MRSA West",(AG15/$BC$1)*'1. UC Assumptions'!$N$44-(AH15/$BC$2)*'1. UC Assumptions'!$N$42,0)</f>
        <v>0</v>
      </c>
      <c r="BD15" s="151">
        <f>IF(K15="Nueces",(AG15/$BD$1)*'1. UC Assumptions'!$O$44-(AH15/$BD$2)*'1. UC Assumptions'!$O$42,0)</f>
        <v>0</v>
      </c>
      <c r="BE15" s="151">
        <f>IF(K15="Tarrant",(AG15/$BE$1)*'1. UC Assumptions'!$P$44-(AH15/$BE$2)*'1. UC Assumptions'!$P$42,0)</f>
        <v>0</v>
      </c>
      <c r="BF15" s="151">
        <f>IF(K15="Travis",(AG15/$BF$1)*'1. UC Assumptions'!$Q$44-(AH15/$BF$2)*'1. UC Assumptions'!$Q$42,0)</f>
        <v>0</v>
      </c>
      <c r="BG15" s="151">
        <f t="shared" si="15"/>
        <v>0</v>
      </c>
      <c r="BH15" s="151">
        <f t="shared" si="16"/>
        <v>17728854.517793648</v>
      </c>
      <c r="BI15" s="151">
        <f>ROUNDDOWN(BH15*'1. UC Assumptions'!$C$23,2)</f>
        <v>5850521.9900000002</v>
      </c>
      <c r="BJ15" s="154">
        <f t="shared" si="17"/>
        <v>901141.52779364958</v>
      </c>
      <c r="BK15" s="154">
        <f t="shared" si="18"/>
        <v>297376.7033000011</v>
      </c>
      <c r="BL15" s="154">
        <f t="shared" si="19"/>
        <v>831951.96</v>
      </c>
      <c r="BM15" s="154">
        <f t="shared" si="20"/>
        <v>274544.15000000002</v>
      </c>
      <c r="BN15" s="101"/>
      <c r="BO15" s="154">
        <f>(BL15*'1. UC Assumptions'!$C$23)-'3.  UC Calculations by Hospital'!BM15</f>
        <v>-3.2000000937841833E-3</v>
      </c>
      <c r="BP15" s="13"/>
    </row>
    <row r="16" spans="1:68">
      <c r="B16" s="129" t="s">
        <v>240</v>
      </c>
      <c r="C16" s="91" t="s">
        <v>240</v>
      </c>
      <c r="D16" s="91" t="s">
        <v>214</v>
      </c>
      <c r="E16" s="91"/>
      <c r="F16" s="91"/>
      <c r="G16" s="91" t="s">
        <v>209</v>
      </c>
      <c r="H16" s="91" t="s">
        <v>209</v>
      </c>
      <c r="I16" s="150" t="s">
        <v>210</v>
      </c>
      <c r="J16" s="129" t="s">
        <v>241</v>
      </c>
      <c r="K16" s="91" t="s">
        <v>15</v>
      </c>
      <c r="L16" s="91" t="s">
        <v>242</v>
      </c>
      <c r="M16" s="151">
        <v>-1063067.7982819672</v>
      </c>
      <c r="N16" s="151">
        <v>0</v>
      </c>
      <c r="O16" s="131">
        <v>0</v>
      </c>
      <c r="P16" s="131">
        <f t="shared" si="0"/>
        <v>0</v>
      </c>
      <c r="Q16" s="131">
        <v>15968103.067617889</v>
      </c>
      <c r="R16" s="131">
        <v>0</v>
      </c>
      <c r="S16" s="131">
        <f t="shared" si="1"/>
        <v>0</v>
      </c>
      <c r="T16" s="131">
        <f t="shared" si="2"/>
        <v>15968103.067617889</v>
      </c>
      <c r="U16" s="131">
        <v>1037157</v>
      </c>
      <c r="V16" s="131">
        <v>0</v>
      </c>
      <c r="W16" s="131">
        <v>0</v>
      </c>
      <c r="X16" s="131">
        <v>0</v>
      </c>
      <c r="Y16" s="131">
        <v>2970597.3122089733</v>
      </c>
      <c r="Z16" s="131">
        <f t="shared" si="3"/>
        <v>4007754.3122089733</v>
      </c>
      <c r="AA16" s="131">
        <v>0</v>
      </c>
      <c r="AB16" s="152">
        <f t="shared" si="4"/>
        <v>19975857.379826862</v>
      </c>
      <c r="AC16" s="133">
        <f>IF(D16="Physician Group Practice",(AB16/$AB$393)*'1. UC Assumptions'!$C$15,IF(E16="Rural Hospital",AB16*'1. UC Assumptions'!$C$7/'1. UC Assumptions'!$E$7,(AB16/$AB$397)*('1. UC Assumptions'!$C$9)))</f>
        <v>9391561.587467216</v>
      </c>
      <c r="AD16" s="133">
        <f t="shared" si="5"/>
        <v>0</v>
      </c>
      <c r="AE16" s="133">
        <f t="shared" si="6"/>
        <v>10584295.792359646</v>
      </c>
      <c r="AF16" s="133">
        <f t="shared" si="7"/>
        <v>0</v>
      </c>
      <c r="AG16" s="133">
        <f t="shared" si="8"/>
        <v>10584295.792359646</v>
      </c>
      <c r="AH16" s="133">
        <f t="shared" si="9"/>
        <v>9391561.587467216</v>
      </c>
      <c r="AI16" s="131">
        <f>AH16*'1. UC Assumptions'!$C$23</f>
        <v>3099215.3238641811</v>
      </c>
      <c r="AJ16" s="131">
        <v>7690000.3799999999</v>
      </c>
      <c r="AK16" s="131">
        <f>AJ16*(1-'1. UC Assumptions'!$C$22)</f>
        <v>2537700.1253999998</v>
      </c>
      <c r="AL16" s="131"/>
      <c r="AM16" s="131">
        <f>AL16*'1. UC Assumptions'!$C$23</f>
        <v>0</v>
      </c>
      <c r="AN16" s="153">
        <f t="shared" si="10"/>
        <v>19975857.379826862</v>
      </c>
      <c r="AO16" s="151">
        <f>AN16*'1. UC Assumptions'!$C$23</f>
        <v>6592032.9353428641</v>
      </c>
      <c r="AP16" s="151">
        <f t="shared" si="11"/>
        <v>12285856.999826863</v>
      </c>
      <c r="AQ16" s="151">
        <f t="shared" si="12"/>
        <v>4054332.8099428643</v>
      </c>
      <c r="AR16" s="151">
        <f t="shared" si="13"/>
        <v>4054332.8099428643</v>
      </c>
      <c r="AS16" s="151">
        <f t="shared" si="14"/>
        <v>6592032.9353428641</v>
      </c>
      <c r="AT16" s="151">
        <f>IF(K16="Bexar",(AG16/$AT$1)*'1. UC Assumptions'!$E$44-(AH16/$AT$2)*'1. UC Assumptions'!$E$42,0)</f>
        <v>0</v>
      </c>
      <c r="AU16" s="151">
        <f>IF(K16="Dallas",(AG16/$AU$1)*'1. UC Assumptions'!$F$44-(AH16/$AU$2)*'1. UC Assumptions'!$F$42,0)</f>
        <v>0</v>
      </c>
      <c r="AV16" s="151">
        <f>IF(K16="El Paso",(AG16/$AV$1)*'1. UC Assumptions'!$G$44-(AH16/$AV$2)*'1. UC Assumptions'!$G$42,0)</f>
        <v>0</v>
      </c>
      <c r="AW16" s="151">
        <f>IF(K16="Harris",(AG16/$AW$1)*'1. UC Assumptions'!$H$44-(AH16/$AW$2)*'1. UC Assumptions'!$H$42,0)</f>
        <v>0</v>
      </c>
      <c r="AX16" s="151">
        <f>IF(K16="Hidalgo",(AG16/$AX$1)*'1. UC Assumptions'!$I$44-(AH16/$AX$2)*'1. UC Assumptions'!$I$42,0)</f>
        <v>0</v>
      </c>
      <c r="AY16" s="151">
        <f>IF(K16="Jefferson",(AG16/$AY$1)*'1. UC Assumptions'!$J$44-(AH16/$AY$2)*'1. UC Assumptions'!$J$42,0)</f>
        <v>0</v>
      </c>
      <c r="AZ16" s="151">
        <f>IF(K16="Lubbock",(AG16/$AZ$1)*'1. UC Assumptions'!$K$44-(AH16/$AZ$2)*'1. UC Assumptions'!$K$42,0)</f>
        <v>0</v>
      </c>
      <c r="BA16" s="151">
        <f>IF(K16="MRSA Central",(AG16/$BA$1)*'1. UC Assumptions'!$L$44-(AH16/$BA$2)*'1. UC Assumptions'!$L$42,0)</f>
        <v>0</v>
      </c>
      <c r="BB16" s="151">
        <f>IF(K16="MRSA Northeast",(AG16/$BB$1)*'1. UC Assumptions'!$M$44-(AH16/$BB$2)*'1. UC Assumptions'!$M$42,0)</f>
        <v>0</v>
      </c>
      <c r="BC16" s="151">
        <f>IF(K16="MRSA West",(AG16/$BC$1)*'1. UC Assumptions'!$N$44-(AH16/$BC$2)*'1. UC Assumptions'!$N$42,0)</f>
        <v>0</v>
      </c>
      <c r="BD16" s="151">
        <f>IF(K16="Nueces",(AG16/$BD$1)*'1. UC Assumptions'!$O$44-(AH16/$BD$2)*'1. UC Assumptions'!$O$42,0)</f>
        <v>0</v>
      </c>
      <c r="BE16" s="151">
        <f>IF(K16="Tarrant",(AG16/$BE$1)*'1. UC Assumptions'!$P$44-(AH16/$BE$2)*'1. UC Assumptions'!$P$42,0)</f>
        <v>0</v>
      </c>
      <c r="BF16" s="151">
        <f>IF(K16="Travis",(AG16/$BF$1)*'1. UC Assumptions'!$Q$44-(AH16/$BF$2)*'1. UC Assumptions'!$Q$42,0)</f>
        <v>0</v>
      </c>
      <c r="BG16" s="151">
        <f t="shared" si="15"/>
        <v>0</v>
      </c>
      <c r="BH16" s="151">
        <f t="shared" si="16"/>
        <v>9391561.587467216</v>
      </c>
      <c r="BI16" s="151">
        <f>ROUNDDOWN(BH16*'1. UC Assumptions'!$C$23,2)</f>
        <v>3099215.32</v>
      </c>
      <c r="BJ16" s="154">
        <f t="shared" si="17"/>
        <v>1701561.2074672161</v>
      </c>
      <c r="BK16" s="154">
        <f t="shared" si="18"/>
        <v>561515.19460000005</v>
      </c>
      <c r="BL16" s="154">
        <f t="shared" si="19"/>
        <v>1570915.48</v>
      </c>
      <c r="BM16" s="154">
        <f t="shared" si="20"/>
        <v>518402.11</v>
      </c>
      <c r="BN16" s="101"/>
      <c r="BO16" s="154">
        <f>(BL16*'1. UC Assumptions'!$C$23)-'3.  UC Calculations by Hospital'!BM16</f>
        <v>-1.6000000759959221E-3</v>
      </c>
      <c r="BP16" s="13"/>
    </row>
    <row r="17" spans="2:68">
      <c r="B17" s="129" t="s">
        <v>243</v>
      </c>
      <c r="C17" s="91" t="s">
        <v>243</v>
      </c>
      <c r="D17" s="91" t="s">
        <v>214</v>
      </c>
      <c r="E17" s="91"/>
      <c r="F17" s="91"/>
      <c r="G17" s="91" t="s">
        <v>209</v>
      </c>
      <c r="H17" s="91" t="s">
        <v>209</v>
      </c>
      <c r="I17" s="150" t="s">
        <v>210</v>
      </c>
      <c r="J17" s="129" t="s">
        <v>244</v>
      </c>
      <c r="K17" s="91" t="s">
        <v>4</v>
      </c>
      <c r="L17" s="91" t="s">
        <v>245</v>
      </c>
      <c r="M17" s="151">
        <v>-4759485.0804295456</v>
      </c>
      <c r="N17" s="151">
        <v>10454979.702420449</v>
      </c>
      <c r="O17" s="131">
        <v>4368866.0960256252</v>
      </c>
      <c r="P17" s="131">
        <f t="shared" si="0"/>
        <v>6086113.6063948236</v>
      </c>
      <c r="Q17" s="131">
        <v>8455667.0939336959</v>
      </c>
      <c r="R17" s="131">
        <v>2039237.96</v>
      </c>
      <c r="S17" s="131">
        <f t="shared" si="1"/>
        <v>712609.43403472193</v>
      </c>
      <c r="T17" s="131">
        <f t="shared" si="2"/>
        <v>7743057.659898974</v>
      </c>
      <c r="U17" s="131">
        <v>0</v>
      </c>
      <c r="V17" s="131">
        <v>0</v>
      </c>
      <c r="W17" s="131">
        <v>0</v>
      </c>
      <c r="X17" s="131">
        <v>0</v>
      </c>
      <c r="Y17" s="131">
        <v>0</v>
      </c>
      <c r="Z17" s="131">
        <f t="shared" si="3"/>
        <v>0</v>
      </c>
      <c r="AA17" s="131">
        <v>0</v>
      </c>
      <c r="AB17" s="152">
        <f t="shared" si="4"/>
        <v>7743057.659898974</v>
      </c>
      <c r="AC17" s="133">
        <f>IF(D17="Physician Group Practice",(AB17/$AB$393)*'1. UC Assumptions'!$C$15,IF(E17="Rural Hospital",AB17*'1. UC Assumptions'!$C$7/'1. UC Assumptions'!$E$7,(AB17/$AB$397)*('1. UC Assumptions'!$C$9)))</f>
        <v>3640364.5413332083</v>
      </c>
      <c r="AD17" s="133">
        <f t="shared" si="5"/>
        <v>0</v>
      </c>
      <c r="AE17" s="133">
        <f t="shared" si="6"/>
        <v>4102693.1185657657</v>
      </c>
      <c r="AF17" s="133">
        <f t="shared" si="7"/>
        <v>0</v>
      </c>
      <c r="AG17" s="133">
        <f t="shared" si="8"/>
        <v>4102693.1185657657</v>
      </c>
      <c r="AH17" s="133">
        <f t="shared" si="9"/>
        <v>3640364.5413332083</v>
      </c>
      <c r="AI17" s="131">
        <f>AH17*'1. UC Assumptions'!$C$23</f>
        <v>1201320.2986399585</v>
      </c>
      <c r="AJ17" s="131">
        <v>3212679.57</v>
      </c>
      <c r="AK17" s="131">
        <f>AJ17*(1-'1. UC Assumptions'!$C$22)</f>
        <v>1060184.2580999997</v>
      </c>
      <c r="AL17" s="131"/>
      <c r="AM17" s="131">
        <f>AL17*'1. UC Assumptions'!$C$23</f>
        <v>0</v>
      </c>
      <c r="AN17" s="153">
        <f t="shared" si="10"/>
        <v>7743057.659898974</v>
      </c>
      <c r="AO17" s="151">
        <f>AN17*'1. UC Assumptions'!$C$23</f>
        <v>2555209.0277666613</v>
      </c>
      <c r="AP17" s="151">
        <f t="shared" si="11"/>
        <v>4530378.0898989737</v>
      </c>
      <c r="AQ17" s="151">
        <f t="shared" si="12"/>
        <v>1495024.7696666615</v>
      </c>
      <c r="AR17" s="151">
        <f t="shared" si="13"/>
        <v>1495024.7696666615</v>
      </c>
      <c r="AS17" s="151">
        <f t="shared" si="14"/>
        <v>2555209.0277666613</v>
      </c>
      <c r="AT17" s="151">
        <f>IF(K17="Bexar",(AG17/$AT$1)*'1. UC Assumptions'!$E$44-(AH17/$AT$2)*'1. UC Assumptions'!$E$42,0)</f>
        <v>0</v>
      </c>
      <c r="AU17" s="151">
        <f>IF(K17="Dallas",(AG17/$AU$1)*'1. UC Assumptions'!$F$44-(AH17/$AU$2)*'1. UC Assumptions'!$F$42,0)</f>
        <v>0</v>
      </c>
      <c r="AV17" s="151">
        <f>IF(K17="El Paso",(AG17/$AV$1)*'1. UC Assumptions'!$G$44-(AH17/$AV$2)*'1. UC Assumptions'!$G$42,0)</f>
        <v>0</v>
      </c>
      <c r="AW17" s="151">
        <f>IF(K17="Harris",(AG17/$AW$1)*'1. UC Assumptions'!$H$44-(AH17/$AW$2)*'1. UC Assumptions'!$H$42,0)</f>
        <v>0</v>
      </c>
      <c r="AX17" s="151">
        <f>IF(K17="Hidalgo",(AG17/$AX$1)*'1. UC Assumptions'!$I$44-(AH17/$AX$2)*'1. UC Assumptions'!$I$42,0)</f>
        <v>0</v>
      </c>
      <c r="AY17" s="151">
        <f>IF(K17="Jefferson",(AG17/$AY$1)*'1. UC Assumptions'!$J$44-(AH17/$AY$2)*'1. UC Assumptions'!$J$42,0)</f>
        <v>0</v>
      </c>
      <c r="AZ17" s="151">
        <f>IF(K17="Lubbock",(AG17/$AZ$1)*'1. UC Assumptions'!$K$44-(AH17/$AZ$2)*'1. UC Assumptions'!$K$42,0)</f>
        <v>0</v>
      </c>
      <c r="BA17" s="151">
        <f>IF(K17="MRSA Central",(AG17/$BA$1)*'1. UC Assumptions'!$L$44-(AH17/$BA$2)*'1. UC Assumptions'!$L$42,0)</f>
        <v>0</v>
      </c>
      <c r="BB17" s="151">
        <f>IF(K17="MRSA Northeast",(AG17/$BB$1)*'1. UC Assumptions'!$M$44-(AH17/$BB$2)*'1. UC Assumptions'!$M$42,0)</f>
        <v>0</v>
      </c>
      <c r="BC17" s="151">
        <f>IF(K17="MRSA West",(AG17/$BC$1)*'1. UC Assumptions'!$N$44-(AH17/$BC$2)*'1. UC Assumptions'!$N$42,0)</f>
        <v>0</v>
      </c>
      <c r="BD17" s="151">
        <f>IF(K17="Nueces",(AG17/$BD$1)*'1. UC Assumptions'!$O$44-(AH17/$BD$2)*'1. UC Assumptions'!$O$42,0)</f>
        <v>0</v>
      </c>
      <c r="BE17" s="151">
        <f>IF(K17="Tarrant",(AG17/$BE$1)*'1. UC Assumptions'!$P$44-(AH17/$BE$2)*'1. UC Assumptions'!$P$42,0)</f>
        <v>0</v>
      </c>
      <c r="BF17" s="151">
        <f>IF(K17="Travis",(AG17/$BF$1)*'1. UC Assumptions'!$Q$44-(AH17/$BF$2)*'1. UC Assumptions'!$Q$42,0)</f>
        <v>0</v>
      </c>
      <c r="BG17" s="151">
        <f t="shared" si="15"/>
        <v>0</v>
      </c>
      <c r="BH17" s="151">
        <f t="shared" si="16"/>
        <v>3640364.5413332083</v>
      </c>
      <c r="BI17" s="151">
        <f>ROUNDDOWN(BH17*'1. UC Assumptions'!$C$23,2)</f>
        <v>1201320.29</v>
      </c>
      <c r="BJ17" s="154">
        <f t="shared" si="17"/>
        <v>427684.97133320849</v>
      </c>
      <c r="BK17" s="154">
        <f t="shared" si="18"/>
        <v>141136.03190000029</v>
      </c>
      <c r="BL17" s="154">
        <f t="shared" si="19"/>
        <v>394847.36</v>
      </c>
      <c r="BM17" s="154">
        <f t="shared" si="20"/>
        <v>130299.62</v>
      </c>
      <c r="BN17" s="101"/>
      <c r="BO17" s="154">
        <f>(BL17*'1. UC Assumptions'!$C$23)-'3.  UC Calculations by Hospital'!BM17</f>
        <v>8.7999999814201146E-3</v>
      </c>
      <c r="BP17" s="13"/>
    </row>
    <row r="18" spans="2:68">
      <c r="B18" s="129" t="s">
        <v>246</v>
      </c>
      <c r="C18" s="91" t="s">
        <v>246</v>
      </c>
      <c r="D18" s="91" t="s">
        <v>214</v>
      </c>
      <c r="E18" s="91"/>
      <c r="F18" s="91"/>
      <c r="G18" s="91" t="s">
        <v>209</v>
      </c>
      <c r="H18" s="91" t="s">
        <v>209</v>
      </c>
      <c r="I18" s="150" t="s">
        <v>210</v>
      </c>
      <c r="J18" s="129" t="s">
        <v>247</v>
      </c>
      <c r="K18" s="91" t="s">
        <v>14</v>
      </c>
      <c r="L18" s="91" t="s">
        <v>248</v>
      </c>
      <c r="M18" s="151">
        <v>-4465118.5412133923</v>
      </c>
      <c r="N18" s="151">
        <v>0</v>
      </c>
      <c r="O18" s="131">
        <v>0</v>
      </c>
      <c r="P18" s="131">
        <f t="shared" si="0"/>
        <v>0</v>
      </c>
      <c r="Q18" s="131">
        <v>20178198.936584014</v>
      </c>
      <c r="R18" s="131">
        <v>0</v>
      </c>
      <c r="S18" s="131">
        <f t="shared" si="1"/>
        <v>0</v>
      </c>
      <c r="T18" s="131">
        <f t="shared" si="2"/>
        <v>20178198.936584014</v>
      </c>
      <c r="U18" s="131">
        <v>0</v>
      </c>
      <c r="V18" s="131">
        <v>0</v>
      </c>
      <c r="W18" s="131">
        <v>0</v>
      </c>
      <c r="X18" s="131">
        <v>0</v>
      </c>
      <c r="Y18" s="131">
        <v>0</v>
      </c>
      <c r="Z18" s="131">
        <f t="shared" si="3"/>
        <v>0</v>
      </c>
      <c r="AA18" s="131">
        <v>0</v>
      </c>
      <c r="AB18" s="152">
        <f t="shared" si="4"/>
        <v>20178198.936584014</v>
      </c>
      <c r="AC18" s="133">
        <f>IF(D18="Physician Group Practice",(AB18/$AB$393)*'1. UC Assumptions'!$C$15,IF(E18="Rural Hospital",AB18*'1. UC Assumptions'!$C$7/'1. UC Assumptions'!$E$7,(AB18/$AB$397)*('1. UC Assumptions'!$C$9)))</f>
        <v>9486691.5814322252</v>
      </c>
      <c r="AD18" s="133">
        <f t="shared" si="5"/>
        <v>0</v>
      </c>
      <c r="AE18" s="133">
        <f t="shared" si="6"/>
        <v>10691507.355151789</v>
      </c>
      <c r="AF18" s="133">
        <f t="shared" si="7"/>
        <v>0</v>
      </c>
      <c r="AG18" s="133">
        <f t="shared" si="8"/>
        <v>10691507.355151789</v>
      </c>
      <c r="AH18" s="133">
        <f t="shared" si="9"/>
        <v>9486691.5814322252</v>
      </c>
      <c r="AI18" s="131">
        <f>AH18*'1. UC Assumptions'!$C$23</f>
        <v>3130608.2218726338</v>
      </c>
      <c r="AJ18" s="131">
        <v>7638773.0700000003</v>
      </c>
      <c r="AK18" s="131">
        <f>AJ18*(1-'1. UC Assumptions'!$C$22)</f>
        <v>2520795.1130999997</v>
      </c>
      <c r="AL18" s="131"/>
      <c r="AM18" s="131">
        <f>AL18*'1. UC Assumptions'!$C$23</f>
        <v>0</v>
      </c>
      <c r="AN18" s="153">
        <f t="shared" si="10"/>
        <v>20178198.936584014</v>
      </c>
      <c r="AO18" s="151">
        <f>AN18*'1. UC Assumptions'!$C$23</f>
        <v>6658805.6490727244</v>
      </c>
      <c r="AP18" s="151">
        <f t="shared" si="11"/>
        <v>12539425.866584014</v>
      </c>
      <c r="AQ18" s="151">
        <f t="shared" si="12"/>
        <v>4138010.5359727247</v>
      </c>
      <c r="AR18" s="151">
        <f t="shared" si="13"/>
        <v>4138010.5359727247</v>
      </c>
      <c r="AS18" s="151">
        <f t="shared" si="14"/>
        <v>6658805.6490727244</v>
      </c>
      <c r="AT18" s="151">
        <f>IF(K18="Bexar",(AG18/$AT$1)*'1. UC Assumptions'!$E$44-(AH18/$AT$2)*'1. UC Assumptions'!$E$42,0)</f>
        <v>0</v>
      </c>
      <c r="AU18" s="151">
        <f>IF(K18="Dallas",(AG18/$AU$1)*'1. UC Assumptions'!$F$44-(AH18/$AU$2)*'1. UC Assumptions'!$F$42,0)</f>
        <v>0</v>
      </c>
      <c r="AV18" s="151">
        <f>IF(K18="El Paso",(AG18/$AV$1)*'1. UC Assumptions'!$G$44-(AH18/$AV$2)*'1. UC Assumptions'!$G$42,0)</f>
        <v>0</v>
      </c>
      <c r="AW18" s="151">
        <f>IF(K18="Harris",(AG18/$AW$1)*'1. UC Assumptions'!$H$44-(AH18/$AW$2)*'1. UC Assumptions'!$H$42,0)</f>
        <v>0</v>
      </c>
      <c r="AX18" s="151">
        <f>IF(K18="Hidalgo",(AG18/$AX$1)*'1. UC Assumptions'!$I$44-(AH18/$AX$2)*'1. UC Assumptions'!$I$42,0)</f>
        <v>0</v>
      </c>
      <c r="AY18" s="151">
        <f>IF(K18="Jefferson",(AG18/$AY$1)*'1. UC Assumptions'!$J$44-(AH18/$AY$2)*'1. UC Assumptions'!$J$42,0)</f>
        <v>0</v>
      </c>
      <c r="AZ18" s="151">
        <f>IF(K18="Lubbock",(AG18/$AZ$1)*'1. UC Assumptions'!$K$44-(AH18/$AZ$2)*'1. UC Assumptions'!$K$42,0)</f>
        <v>0</v>
      </c>
      <c r="BA18" s="151">
        <f>IF(K18="MRSA Central",(AG18/$BA$1)*'1. UC Assumptions'!$L$44-(AH18/$BA$2)*'1. UC Assumptions'!$L$42,0)</f>
        <v>0</v>
      </c>
      <c r="BB18" s="151">
        <f>IF(K18="MRSA Northeast",(AG18/$BB$1)*'1. UC Assumptions'!$M$44-(AH18/$BB$2)*'1. UC Assumptions'!$M$42,0)</f>
        <v>0</v>
      </c>
      <c r="BC18" s="151">
        <f>IF(K18="MRSA West",(AG18/$BC$1)*'1. UC Assumptions'!$N$44-(AH18/$BC$2)*'1. UC Assumptions'!$N$42,0)</f>
        <v>0</v>
      </c>
      <c r="BD18" s="151">
        <f>IF(K18="Nueces",(AG18/$BD$1)*'1. UC Assumptions'!$O$44-(AH18/$BD$2)*'1. UC Assumptions'!$O$42,0)</f>
        <v>0</v>
      </c>
      <c r="BE18" s="151">
        <f>IF(K18="Tarrant",(AG18/$BE$1)*'1. UC Assumptions'!$P$44-(AH18/$BE$2)*'1. UC Assumptions'!$P$42,0)</f>
        <v>0</v>
      </c>
      <c r="BF18" s="151">
        <f>IF(K18="Travis",(AG18/$BF$1)*'1. UC Assumptions'!$Q$44-(AH18/$BF$2)*'1. UC Assumptions'!$Q$42,0)</f>
        <v>0</v>
      </c>
      <c r="BG18" s="151">
        <f t="shared" si="15"/>
        <v>0</v>
      </c>
      <c r="BH18" s="151">
        <f t="shared" si="16"/>
        <v>9486691.5814322252</v>
      </c>
      <c r="BI18" s="151">
        <f>ROUNDDOWN(BH18*'1. UC Assumptions'!$C$23,2)</f>
        <v>3130608.22</v>
      </c>
      <c r="BJ18" s="154">
        <f t="shared" si="17"/>
        <v>1847918.5114322249</v>
      </c>
      <c r="BK18" s="154">
        <f t="shared" si="18"/>
        <v>609813.10690000048</v>
      </c>
      <c r="BL18" s="154">
        <f t="shared" si="19"/>
        <v>1706035.49</v>
      </c>
      <c r="BM18" s="154">
        <f t="shared" si="20"/>
        <v>562991.71</v>
      </c>
      <c r="BN18" s="101"/>
      <c r="BO18" s="154">
        <f>(BL18*'1. UC Assumptions'!$C$23)-'3.  UC Calculations by Hospital'!BM18</f>
        <v>1.7000000225380063E-3</v>
      </c>
      <c r="BP18" s="13"/>
    </row>
    <row r="19" spans="2:68">
      <c r="B19" s="129" t="s">
        <v>249</v>
      </c>
      <c r="C19" s="91" t="s">
        <v>249</v>
      </c>
      <c r="D19" s="91" t="s">
        <v>214</v>
      </c>
      <c r="E19" s="91"/>
      <c r="F19" s="91"/>
      <c r="G19" s="91" t="s">
        <v>209</v>
      </c>
      <c r="H19" s="91" t="s">
        <v>209</v>
      </c>
      <c r="I19" s="150" t="s">
        <v>210</v>
      </c>
      <c r="J19" s="129" t="s">
        <v>250</v>
      </c>
      <c r="K19" s="91" t="s">
        <v>13</v>
      </c>
      <c r="L19" s="91" t="s">
        <v>13</v>
      </c>
      <c r="M19" s="151">
        <v>-9659574.9224196151</v>
      </c>
      <c r="N19" s="151">
        <v>35367805.348754771</v>
      </c>
      <c r="O19" s="131">
        <v>29685452.488693658</v>
      </c>
      <c r="P19" s="131">
        <f t="shared" si="0"/>
        <v>5682352.8600611128</v>
      </c>
      <c r="Q19" s="131">
        <v>31847409.393728588</v>
      </c>
      <c r="R19" s="131">
        <v>14061863.310000002</v>
      </c>
      <c r="S19" s="131">
        <f t="shared" si="1"/>
        <v>14061863.310000002</v>
      </c>
      <c r="T19" s="131">
        <f t="shared" si="2"/>
        <v>17785546.083728585</v>
      </c>
      <c r="U19" s="131">
        <v>2222798</v>
      </c>
      <c r="V19" s="131">
        <v>0</v>
      </c>
      <c r="W19" s="131">
        <v>87998</v>
      </c>
      <c r="X19" s="131">
        <v>0</v>
      </c>
      <c r="Y19" s="131">
        <v>8703973.1150911637</v>
      </c>
      <c r="Z19" s="131">
        <f t="shared" si="3"/>
        <v>11014769.115091164</v>
      </c>
      <c r="AA19" s="131">
        <v>0</v>
      </c>
      <c r="AB19" s="152">
        <f t="shared" si="4"/>
        <v>28800315.198819749</v>
      </c>
      <c r="AC19" s="133">
        <f>IF(D19="Physician Group Practice",(AB19/$AB$393)*'1. UC Assumptions'!$C$15,IF(E19="Rural Hospital",AB19*'1. UC Assumptions'!$C$7/'1. UC Assumptions'!$E$7,(AB19/$AB$397)*('1. UC Assumptions'!$C$9)))</f>
        <v>13540341.662698044</v>
      </c>
      <c r="AD19" s="133">
        <f t="shared" si="5"/>
        <v>0</v>
      </c>
      <c r="AE19" s="133">
        <f t="shared" si="6"/>
        <v>15259973.536121706</v>
      </c>
      <c r="AF19" s="133">
        <f t="shared" si="7"/>
        <v>0</v>
      </c>
      <c r="AG19" s="133">
        <f t="shared" si="8"/>
        <v>15259973.536121706</v>
      </c>
      <c r="AH19" s="133">
        <f t="shared" si="9"/>
        <v>13540341.662698044</v>
      </c>
      <c r="AI19" s="131">
        <f>AH19*'1. UC Assumptions'!$C$23</f>
        <v>4468312.7486903537</v>
      </c>
      <c r="AJ19" s="131">
        <v>16960140.91</v>
      </c>
      <c r="AK19" s="131">
        <f>AJ19*(1-'1. UC Assumptions'!$C$22)</f>
        <v>5596846.5002999995</v>
      </c>
      <c r="AL19" s="131"/>
      <c r="AM19" s="131">
        <f>AL19*'1. UC Assumptions'!$C$23</f>
        <v>0</v>
      </c>
      <c r="AN19" s="153">
        <f t="shared" si="10"/>
        <v>28800315.198819749</v>
      </c>
      <c r="AO19" s="151">
        <f>AN19*'1. UC Assumptions'!$C$23</f>
        <v>9504104.0156105161</v>
      </c>
      <c r="AP19" s="151">
        <f t="shared" si="11"/>
        <v>11840174.288819749</v>
      </c>
      <c r="AQ19" s="151">
        <f t="shared" si="12"/>
        <v>3907257.5153105166</v>
      </c>
      <c r="AR19" s="151">
        <f t="shared" si="13"/>
        <v>3907257.5153105166</v>
      </c>
      <c r="AS19" s="151">
        <f t="shared" si="14"/>
        <v>9504104.0156105161</v>
      </c>
      <c r="AT19" s="151">
        <f>IF(K19="Bexar",(AG19/$AT$1)*'1. UC Assumptions'!$E$44-(AH19/$AT$2)*'1. UC Assumptions'!$E$42,0)</f>
        <v>0</v>
      </c>
      <c r="AU19" s="151">
        <f>IF(K19="Dallas",(AG19/$AU$1)*'1. UC Assumptions'!$F$44-(AH19/$AU$2)*'1. UC Assumptions'!$F$42,0)</f>
        <v>0</v>
      </c>
      <c r="AV19" s="151">
        <f>IF(K19="El Paso",(AG19/$AV$1)*'1. UC Assumptions'!$G$44-(AH19/$AV$2)*'1. UC Assumptions'!$G$42,0)</f>
        <v>0</v>
      </c>
      <c r="AW19" s="151">
        <f>IF(K19="Harris",(AG19/$AW$1)*'1. UC Assumptions'!$H$44-(AH19/$AW$2)*'1. UC Assumptions'!$H$42,0)</f>
        <v>0</v>
      </c>
      <c r="AX19" s="151">
        <f>IF(K19="Hidalgo",(AG19/$AX$1)*'1. UC Assumptions'!$I$44-(AH19/$AX$2)*'1. UC Assumptions'!$I$42,0)</f>
        <v>0</v>
      </c>
      <c r="AY19" s="151">
        <f>IF(K19="Jefferson",(AG19/$AY$1)*'1. UC Assumptions'!$J$44-(AH19/$AY$2)*'1. UC Assumptions'!$J$42,0)</f>
        <v>0</v>
      </c>
      <c r="AZ19" s="151">
        <f>IF(K19="Lubbock",(AG19/$AZ$1)*'1. UC Assumptions'!$K$44-(AH19/$AZ$2)*'1. UC Assumptions'!$K$42,0)</f>
        <v>0</v>
      </c>
      <c r="BA19" s="151">
        <f>IF(K19="MRSA Central",(AG19/$BA$1)*'1. UC Assumptions'!$L$44-(AH19/$BA$2)*'1. UC Assumptions'!$L$42,0)</f>
        <v>0</v>
      </c>
      <c r="BB19" s="151">
        <f>IF(K19="MRSA Northeast",(AG19/$BB$1)*'1. UC Assumptions'!$M$44-(AH19/$BB$2)*'1. UC Assumptions'!$M$42,0)</f>
        <v>0</v>
      </c>
      <c r="BC19" s="151">
        <f>IF(K19="MRSA West",(AG19/$BC$1)*'1. UC Assumptions'!$N$44-(AH19/$BC$2)*'1. UC Assumptions'!$N$42,0)</f>
        <v>0</v>
      </c>
      <c r="BD19" s="151">
        <f>IF(K19="Nueces",(AG19/$BD$1)*'1. UC Assumptions'!$O$44-(AH19/$BD$2)*'1. UC Assumptions'!$O$42,0)</f>
        <v>0</v>
      </c>
      <c r="BE19" s="151">
        <f>IF(K19="Tarrant",(AG19/$BE$1)*'1. UC Assumptions'!$P$44-(AH19/$BE$2)*'1. UC Assumptions'!$P$42,0)</f>
        <v>0</v>
      </c>
      <c r="BF19" s="151">
        <f>IF(K19="Travis",(AG19/$BF$1)*'1. UC Assumptions'!$Q$44-(AH19/$BF$2)*'1. UC Assumptions'!$Q$42,0)</f>
        <v>0</v>
      </c>
      <c r="BG19" s="151">
        <f t="shared" si="15"/>
        <v>0</v>
      </c>
      <c r="BH19" s="151">
        <f t="shared" si="16"/>
        <v>13540341.662698044</v>
      </c>
      <c r="BI19" s="151">
        <f>ROUNDDOWN(BH19*'1. UC Assumptions'!$C$23,2)</f>
        <v>4468312.74</v>
      </c>
      <c r="BJ19" s="154">
        <f t="shared" si="17"/>
        <v>-3419799.2473019566</v>
      </c>
      <c r="BK19" s="154">
        <f t="shared" si="18"/>
        <v>-1128533.7602999993</v>
      </c>
      <c r="BL19" s="154">
        <f t="shared" si="19"/>
        <v>0</v>
      </c>
      <c r="BM19" s="154">
        <f t="shared" si="20"/>
        <v>0</v>
      </c>
      <c r="BN19" s="101"/>
      <c r="BO19" s="154">
        <f>(BL19*'1. UC Assumptions'!$C$23)-'3.  UC Calculations by Hospital'!BM19</f>
        <v>0</v>
      </c>
      <c r="BP19" s="13"/>
    </row>
    <row r="20" spans="2:68">
      <c r="B20" s="129" t="s">
        <v>251</v>
      </c>
      <c r="C20" s="91" t="s">
        <v>251</v>
      </c>
      <c r="D20" s="91" t="s">
        <v>214</v>
      </c>
      <c r="E20" s="91"/>
      <c r="F20" s="91"/>
      <c r="G20" s="91" t="s">
        <v>209</v>
      </c>
      <c r="H20" s="91" t="s">
        <v>209</v>
      </c>
      <c r="I20" s="150" t="s">
        <v>210</v>
      </c>
      <c r="J20" s="129" t="s">
        <v>252</v>
      </c>
      <c r="K20" s="91" t="s">
        <v>11</v>
      </c>
      <c r="L20" s="91" t="s">
        <v>253</v>
      </c>
      <c r="M20" s="151">
        <v>19884179.700499147</v>
      </c>
      <c r="N20" s="151">
        <v>18394464.969391596</v>
      </c>
      <c r="O20" s="131">
        <v>10956999.486061798</v>
      </c>
      <c r="P20" s="131">
        <f t="shared" si="0"/>
        <v>7437465.4833297972</v>
      </c>
      <c r="Q20" s="131">
        <v>19135126.809024844</v>
      </c>
      <c r="R20" s="131">
        <v>5661213.2000000002</v>
      </c>
      <c r="S20" s="131">
        <f t="shared" si="1"/>
        <v>0</v>
      </c>
      <c r="T20" s="131">
        <f t="shared" si="2"/>
        <v>19135126.809024844</v>
      </c>
      <c r="U20" s="131">
        <v>2518215</v>
      </c>
      <c r="V20" s="131">
        <v>0</v>
      </c>
      <c r="W20" s="131">
        <v>1106657.1368995297</v>
      </c>
      <c r="X20" s="131">
        <v>0</v>
      </c>
      <c r="Y20" s="131">
        <v>9234722.9249422103</v>
      </c>
      <c r="Z20" s="131">
        <f t="shared" si="3"/>
        <v>12859595.061841741</v>
      </c>
      <c r="AA20" s="131">
        <v>0</v>
      </c>
      <c r="AB20" s="152">
        <f t="shared" si="4"/>
        <v>31994721.870866586</v>
      </c>
      <c r="AC20" s="133">
        <f>IF(D20="Physician Group Practice",(AB20/$AB$393)*'1. UC Assumptions'!$C$15,IF(E20="Rural Hospital",AB20*'1. UC Assumptions'!$C$7/'1. UC Assumptions'!$E$7,(AB20/$AB$397)*('1. UC Assumptions'!$C$9)))</f>
        <v>15042177.92561814</v>
      </c>
      <c r="AD20" s="133">
        <f t="shared" si="5"/>
        <v>0</v>
      </c>
      <c r="AE20" s="133">
        <f t="shared" si="6"/>
        <v>16952543.945248447</v>
      </c>
      <c r="AF20" s="133">
        <f t="shared" si="7"/>
        <v>0</v>
      </c>
      <c r="AG20" s="133">
        <f t="shared" si="8"/>
        <v>16952543.945248447</v>
      </c>
      <c r="AH20" s="133">
        <f t="shared" si="9"/>
        <v>15042177.92561814</v>
      </c>
      <c r="AI20" s="131">
        <f>AH20*'1. UC Assumptions'!$C$23</f>
        <v>4963918.7154539851</v>
      </c>
      <c r="AJ20" s="131">
        <v>10963366.73</v>
      </c>
      <c r="AK20" s="131">
        <f>AJ20*(1-'1. UC Assumptions'!$C$22)</f>
        <v>3617911.0208999999</v>
      </c>
      <c r="AL20" s="131"/>
      <c r="AM20" s="131">
        <f>AL20*'1. UC Assumptions'!$C$23</f>
        <v>0</v>
      </c>
      <c r="AN20" s="153">
        <f t="shared" si="10"/>
        <v>31994721.870866586</v>
      </c>
      <c r="AO20" s="151">
        <f>AN20*'1. UC Assumptions'!$C$23</f>
        <v>10558258.217385972</v>
      </c>
      <c r="AP20" s="151">
        <f t="shared" si="11"/>
        <v>21031355.140866585</v>
      </c>
      <c r="AQ20" s="151">
        <f t="shared" si="12"/>
        <v>6940347.196485972</v>
      </c>
      <c r="AR20" s="151">
        <f t="shared" si="13"/>
        <v>6940347.196485972</v>
      </c>
      <c r="AS20" s="151">
        <f t="shared" si="14"/>
        <v>10558258.217385972</v>
      </c>
      <c r="AT20" s="151">
        <f>IF(K20="Bexar",(AG20/$AT$1)*'1. UC Assumptions'!$E$44-(AH20/$AT$2)*'1. UC Assumptions'!$E$42,0)</f>
        <v>0</v>
      </c>
      <c r="AU20" s="151">
        <f>IF(K20="Dallas",(AG20/$AU$1)*'1. UC Assumptions'!$F$44-(AH20/$AU$2)*'1. UC Assumptions'!$F$42,0)</f>
        <v>0</v>
      </c>
      <c r="AV20" s="151">
        <f>IF(K20="El Paso",(AG20/$AV$1)*'1. UC Assumptions'!$G$44-(AH20/$AV$2)*'1. UC Assumptions'!$G$42,0)</f>
        <v>0</v>
      </c>
      <c r="AW20" s="151">
        <f>IF(K20="Harris",(AG20/$AW$1)*'1. UC Assumptions'!$H$44-(AH20/$AW$2)*'1. UC Assumptions'!$H$42,0)</f>
        <v>0</v>
      </c>
      <c r="AX20" s="151">
        <f>IF(K20="Hidalgo",(AG20/$AX$1)*'1. UC Assumptions'!$I$44-(AH20/$AX$2)*'1. UC Assumptions'!$I$42,0)</f>
        <v>0</v>
      </c>
      <c r="AY20" s="151">
        <f>IF(K20="Jefferson",(AG20/$AY$1)*'1. UC Assumptions'!$J$44-(AH20/$AY$2)*'1. UC Assumptions'!$J$42,0)</f>
        <v>0</v>
      </c>
      <c r="AZ20" s="151">
        <f>IF(K20="Lubbock",(AG20/$AZ$1)*'1. UC Assumptions'!$K$44-(AH20/$AZ$2)*'1. UC Assumptions'!$K$42,0)</f>
        <v>0</v>
      </c>
      <c r="BA20" s="151">
        <f>IF(K20="MRSA Central",(AG20/$BA$1)*'1. UC Assumptions'!$L$44-(AH20/$BA$2)*'1. UC Assumptions'!$L$42,0)</f>
        <v>0</v>
      </c>
      <c r="BB20" s="151">
        <f>IF(K20="MRSA Northeast",(AG20/$BB$1)*'1. UC Assumptions'!$M$44-(AH20/$BB$2)*'1. UC Assumptions'!$M$42,0)</f>
        <v>0</v>
      </c>
      <c r="BC20" s="151">
        <f>IF(K20="MRSA West",(AG20/$BC$1)*'1. UC Assumptions'!$N$44-(AH20/$BC$2)*'1. UC Assumptions'!$N$42,0)</f>
        <v>0</v>
      </c>
      <c r="BD20" s="151">
        <f>IF(K20="Nueces",(AG20/$BD$1)*'1. UC Assumptions'!$O$44-(AH20/$BD$2)*'1. UC Assumptions'!$O$42,0)</f>
        <v>0</v>
      </c>
      <c r="BE20" s="151">
        <f>IF(K20="Tarrant",(AG20/$BE$1)*'1. UC Assumptions'!$P$44-(AH20/$BE$2)*'1. UC Assumptions'!$P$42,0)</f>
        <v>0</v>
      </c>
      <c r="BF20" s="151">
        <f>IF(K20="Travis",(AG20/$BF$1)*'1. UC Assumptions'!$Q$44-(AH20/$BF$2)*'1. UC Assumptions'!$Q$42,0)</f>
        <v>0</v>
      </c>
      <c r="BG20" s="151">
        <f t="shared" si="15"/>
        <v>0</v>
      </c>
      <c r="BH20" s="151">
        <f t="shared" si="16"/>
        <v>15042177.92561814</v>
      </c>
      <c r="BI20" s="151">
        <f>ROUNDDOWN(BH20*'1. UC Assumptions'!$C$23,2)</f>
        <v>4963918.71</v>
      </c>
      <c r="BJ20" s="154">
        <f t="shared" si="17"/>
        <v>4078811.1956181396</v>
      </c>
      <c r="BK20" s="154">
        <f t="shared" si="18"/>
        <v>1346007.6891000001</v>
      </c>
      <c r="BL20" s="154">
        <f t="shared" si="19"/>
        <v>3765640.42</v>
      </c>
      <c r="BM20" s="154">
        <f t="shared" si="20"/>
        <v>1242661.33</v>
      </c>
      <c r="BN20" s="101"/>
      <c r="BO20" s="154">
        <f>(BL20*'1. UC Assumptions'!$C$23)-'3.  UC Calculations by Hospital'!BM20</f>
        <v>8.5999998264014721E-3</v>
      </c>
      <c r="BP20" s="13"/>
    </row>
    <row r="21" spans="2:68">
      <c r="B21" s="129" t="s">
        <v>254</v>
      </c>
      <c r="C21" s="91" t="s">
        <v>254</v>
      </c>
      <c r="D21" s="91" t="s">
        <v>214</v>
      </c>
      <c r="E21" s="91"/>
      <c r="F21" s="91"/>
      <c r="G21" s="91" t="s">
        <v>209</v>
      </c>
      <c r="H21" s="91" t="s">
        <v>209</v>
      </c>
      <c r="I21" s="150" t="s">
        <v>210</v>
      </c>
      <c r="J21" s="129" t="s">
        <v>255</v>
      </c>
      <c r="K21" s="91" t="s">
        <v>6</v>
      </c>
      <c r="L21" s="91" t="s">
        <v>6</v>
      </c>
      <c r="M21" s="151">
        <v>-2062038.6389865032</v>
      </c>
      <c r="N21" s="151">
        <v>0</v>
      </c>
      <c r="O21" s="131">
        <v>0</v>
      </c>
      <c r="P21" s="131">
        <f t="shared" si="0"/>
        <v>0</v>
      </c>
      <c r="Q21" s="131">
        <v>512828.05560562102</v>
      </c>
      <c r="R21" s="131">
        <v>0</v>
      </c>
      <c r="S21" s="131">
        <f t="shared" si="1"/>
        <v>0</v>
      </c>
      <c r="T21" s="131">
        <f t="shared" si="2"/>
        <v>512828.05560562102</v>
      </c>
      <c r="U21" s="131">
        <v>0</v>
      </c>
      <c r="V21" s="131">
        <v>0</v>
      </c>
      <c r="W21" s="131">
        <v>0</v>
      </c>
      <c r="X21" s="131">
        <v>0</v>
      </c>
      <c r="Y21" s="131">
        <v>32780.085457246591</v>
      </c>
      <c r="Z21" s="131">
        <f t="shared" si="3"/>
        <v>32780.085457246591</v>
      </c>
      <c r="AA21" s="131">
        <v>0</v>
      </c>
      <c r="AB21" s="152">
        <f t="shared" si="4"/>
        <v>545608.14106286759</v>
      </c>
      <c r="AC21" s="133">
        <f>IF(D21="Physician Group Practice",(AB21/$AB$393)*'1. UC Assumptions'!$C$15,IF(E21="Rural Hospital",AB21*'1. UC Assumptions'!$C$7/'1. UC Assumptions'!$E$7,(AB21/$AB$397)*('1. UC Assumptions'!$C$9)))</f>
        <v>256515.27050799533</v>
      </c>
      <c r="AD21" s="133">
        <f t="shared" si="5"/>
        <v>0</v>
      </c>
      <c r="AE21" s="133">
        <f t="shared" si="6"/>
        <v>289092.87055487226</v>
      </c>
      <c r="AF21" s="133">
        <f t="shared" si="7"/>
        <v>0</v>
      </c>
      <c r="AG21" s="133">
        <f t="shared" si="8"/>
        <v>289092.87055487226</v>
      </c>
      <c r="AH21" s="133">
        <f t="shared" si="9"/>
        <v>256515.27050799533</v>
      </c>
      <c r="AI21" s="131">
        <f>AH21*'1. UC Assumptions'!$C$23</f>
        <v>84650.039267638451</v>
      </c>
      <c r="AJ21" s="131">
        <v>164686.46</v>
      </c>
      <c r="AK21" s="131">
        <f>AJ21*(1-'1. UC Assumptions'!$C$22)</f>
        <v>54346.53179999999</v>
      </c>
      <c r="AL21" s="131"/>
      <c r="AM21" s="131">
        <f>AL21*'1. UC Assumptions'!$C$23</f>
        <v>0</v>
      </c>
      <c r="AN21" s="153">
        <f t="shared" si="10"/>
        <v>545608.14106286759</v>
      </c>
      <c r="AO21" s="151">
        <f>AN21*'1. UC Assumptions'!$C$23</f>
        <v>180050.68655074629</v>
      </c>
      <c r="AP21" s="151">
        <f t="shared" si="11"/>
        <v>380921.68106286763</v>
      </c>
      <c r="AQ21" s="151">
        <f t="shared" si="12"/>
        <v>125704.1547507463</v>
      </c>
      <c r="AR21" s="151">
        <f t="shared" si="13"/>
        <v>125704.1547507463</v>
      </c>
      <c r="AS21" s="151">
        <f t="shared" si="14"/>
        <v>180050.68655074629</v>
      </c>
      <c r="AT21" s="151">
        <f>IF(K21="Bexar",(AG21/$AT$1)*'1. UC Assumptions'!$E$44-(AH21/$AT$2)*'1. UC Assumptions'!$E$42,0)</f>
        <v>0</v>
      </c>
      <c r="AU21" s="151">
        <f>IF(K21="Dallas",(AG21/$AU$1)*'1. UC Assumptions'!$F$44-(AH21/$AU$2)*'1. UC Assumptions'!$F$42,0)</f>
        <v>0</v>
      </c>
      <c r="AV21" s="151">
        <f>IF(K21="El Paso",(AG21/$AV$1)*'1. UC Assumptions'!$G$44-(AH21/$AV$2)*'1. UC Assumptions'!$G$42,0)</f>
        <v>0</v>
      </c>
      <c r="AW21" s="151">
        <f>IF(K21="Harris",(AG21/$AW$1)*'1. UC Assumptions'!$H$44-(AH21/$AW$2)*'1. UC Assumptions'!$H$42,0)</f>
        <v>0</v>
      </c>
      <c r="AX21" s="151">
        <f>IF(K21="Hidalgo",(AG21/$AX$1)*'1. UC Assumptions'!$I$44-(AH21/$AX$2)*'1. UC Assumptions'!$I$42,0)</f>
        <v>0</v>
      </c>
      <c r="AY21" s="151">
        <f>IF(K21="Jefferson",(AG21/$AY$1)*'1. UC Assumptions'!$J$44-(AH21/$AY$2)*'1. UC Assumptions'!$J$42,0)</f>
        <v>0</v>
      </c>
      <c r="AZ21" s="151">
        <f>IF(K21="Lubbock",(AG21/$AZ$1)*'1. UC Assumptions'!$K$44-(AH21/$AZ$2)*'1. UC Assumptions'!$K$42,0)</f>
        <v>0</v>
      </c>
      <c r="BA21" s="151">
        <f>IF(K21="MRSA Central",(AG21/$BA$1)*'1. UC Assumptions'!$L$44-(AH21/$BA$2)*'1. UC Assumptions'!$L$42,0)</f>
        <v>0</v>
      </c>
      <c r="BB21" s="151">
        <f>IF(K21="MRSA Northeast",(AG21/$BB$1)*'1. UC Assumptions'!$M$44-(AH21/$BB$2)*'1. UC Assumptions'!$M$42,0)</f>
        <v>0</v>
      </c>
      <c r="BC21" s="151">
        <f>IF(K21="MRSA West",(AG21/$BC$1)*'1. UC Assumptions'!$N$44-(AH21/$BC$2)*'1. UC Assumptions'!$N$42,0)</f>
        <v>0</v>
      </c>
      <c r="BD21" s="151">
        <f>IF(K21="Nueces",(AG21/$BD$1)*'1. UC Assumptions'!$O$44-(AH21/$BD$2)*'1. UC Assumptions'!$O$42,0)</f>
        <v>0</v>
      </c>
      <c r="BE21" s="151">
        <f>IF(K21="Tarrant",(AG21/$BE$1)*'1. UC Assumptions'!$P$44-(AH21/$BE$2)*'1. UC Assumptions'!$P$42,0)</f>
        <v>0</v>
      </c>
      <c r="BF21" s="151">
        <f>IF(K21="Travis",(AG21/$BF$1)*'1. UC Assumptions'!$Q$44-(AH21/$BF$2)*'1. UC Assumptions'!$Q$42,0)</f>
        <v>0</v>
      </c>
      <c r="BG21" s="151">
        <f t="shared" si="15"/>
        <v>0</v>
      </c>
      <c r="BH21" s="151">
        <f t="shared" si="16"/>
        <v>256515.27050799533</v>
      </c>
      <c r="BI21" s="151">
        <f>ROUNDDOWN(BH21*'1. UC Assumptions'!$C$23,2)</f>
        <v>84650.03</v>
      </c>
      <c r="BJ21" s="154">
        <f t="shared" si="17"/>
        <v>91828.810507995338</v>
      </c>
      <c r="BK21" s="154">
        <f t="shared" si="18"/>
        <v>30303.498200000009</v>
      </c>
      <c r="BL21" s="154">
        <f t="shared" si="19"/>
        <v>84778.2</v>
      </c>
      <c r="BM21" s="154">
        <f t="shared" si="20"/>
        <v>27976.799999999999</v>
      </c>
      <c r="BN21" s="101"/>
      <c r="BO21" s="154">
        <f>(BL21*'1. UC Assumptions'!$C$23)-'3.  UC Calculations by Hospital'!BM21</f>
        <v>5.9999999975843821E-3</v>
      </c>
      <c r="BP21" s="13"/>
    </row>
    <row r="22" spans="2:68">
      <c r="B22" s="129" t="s">
        <v>256</v>
      </c>
      <c r="C22" s="91" t="s">
        <v>256</v>
      </c>
      <c r="D22" s="91" t="s">
        <v>214</v>
      </c>
      <c r="E22" s="91"/>
      <c r="F22" s="91"/>
      <c r="G22" s="91" t="s">
        <v>209</v>
      </c>
      <c r="H22" s="91" t="s">
        <v>209</v>
      </c>
      <c r="I22" s="150" t="s">
        <v>210</v>
      </c>
      <c r="J22" s="129" t="s">
        <v>257</v>
      </c>
      <c r="K22" s="91" t="s">
        <v>4</v>
      </c>
      <c r="L22" s="91" t="s">
        <v>4</v>
      </c>
      <c r="M22" s="151">
        <v>974738.66163770866</v>
      </c>
      <c r="N22" s="151">
        <v>0</v>
      </c>
      <c r="O22" s="131">
        <v>0</v>
      </c>
      <c r="P22" s="131">
        <f t="shared" si="0"/>
        <v>0</v>
      </c>
      <c r="Q22" s="131">
        <v>9114831.4882487282</v>
      </c>
      <c r="R22" s="131">
        <v>0</v>
      </c>
      <c r="S22" s="131">
        <f t="shared" si="1"/>
        <v>0</v>
      </c>
      <c r="T22" s="131">
        <f t="shared" si="2"/>
        <v>9114831.4882487282</v>
      </c>
      <c r="U22" s="131">
        <v>0</v>
      </c>
      <c r="V22" s="131">
        <v>0</v>
      </c>
      <c r="W22" s="131">
        <v>0</v>
      </c>
      <c r="X22" s="131">
        <v>0</v>
      </c>
      <c r="Y22" s="131">
        <v>2444248</v>
      </c>
      <c r="Z22" s="131">
        <f t="shared" si="3"/>
        <v>2444248</v>
      </c>
      <c r="AA22" s="131">
        <v>0</v>
      </c>
      <c r="AB22" s="152">
        <f t="shared" si="4"/>
        <v>11559079.488248728</v>
      </c>
      <c r="AC22" s="133">
        <f>IF(D22="Physician Group Practice",(AB22/$AB$393)*'1. UC Assumptions'!$C$15,IF(E22="Rural Hospital",AB22*'1. UC Assumptions'!$C$7/'1. UC Assumptions'!$E$7,(AB22/$AB$397)*('1. UC Assumptions'!$C$9)))</f>
        <v>5434450.4390558423</v>
      </c>
      <c r="AD22" s="133">
        <f t="shared" si="5"/>
        <v>0</v>
      </c>
      <c r="AE22" s="133">
        <f t="shared" si="6"/>
        <v>6124629.0491928859</v>
      </c>
      <c r="AF22" s="133">
        <f t="shared" si="7"/>
        <v>0</v>
      </c>
      <c r="AG22" s="133">
        <f t="shared" si="8"/>
        <v>6124629.0491928859</v>
      </c>
      <c r="AH22" s="133">
        <f t="shared" si="9"/>
        <v>5434450.4390558423</v>
      </c>
      <c r="AI22" s="131">
        <f>AH22*'1. UC Assumptions'!$C$23</f>
        <v>1793368.6448884278</v>
      </c>
      <c r="AJ22" s="131">
        <v>4405819.04</v>
      </c>
      <c r="AK22" s="131">
        <f>AJ22*(1-'1. UC Assumptions'!$C$22)</f>
        <v>1453920.2831999999</v>
      </c>
      <c r="AL22" s="131"/>
      <c r="AM22" s="131">
        <f>AL22*'1. UC Assumptions'!$C$23</f>
        <v>0</v>
      </c>
      <c r="AN22" s="153">
        <f t="shared" si="10"/>
        <v>11559079.488248728</v>
      </c>
      <c r="AO22" s="151">
        <f>AN22*'1. UC Assumptions'!$C$23</f>
        <v>3814496.2311220798</v>
      </c>
      <c r="AP22" s="151">
        <f t="shared" si="11"/>
        <v>7153260.4482487282</v>
      </c>
      <c r="AQ22" s="151">
        <f t="shared" si="12"/>
        <v>2360575.9479220798</v>
      </c>
      <c r="AR22" s="151">
        <f t="shared" si="13"/>
        <v>2360575.9479220798</v>
      </c>
      <c r="AS22" s="151">
        <f t="shared" si="14"/>
        <v>3814496.2311220798</v>
      </c>
      <c r="AT22" s="151">
        <f>IF(K22="Bexar",(AG22/$AT$1)*'1. UC Assumptions'!$E$44-(AH22/$AT$2)*'1. UC Assumptions'!$E$42,0)</f>
        <v>0</v>
      </c>
      <c r="AU22" s="151">
        <f>IF(K22="Dallas",(AG22/$AU$1)*'1. UC Assumptions'!$F$44-(AH22/$AU$2)*'1. UC Assumptions'!$F$42,0)</f>
        <v>0</v>
      </c>
      <c r="AV22" s="151">
        <f>IF(K22="El Paso",(AG22/$AV$1)*'1. UC Assumptions'!$G$44-(AH22/$AV$2)*'1. UC Assumptions'!$G$42,0)</f>
        <v>0</v>
      </c>
      <c r="AW22" s="151">
        <f>IF(K22="Harris",(AG22/$AW$1)*'1. UC Assumptions'!$H$44-(AH22/$AW$2)*'1. UC Assumptions'!$H$42,0)</f>
        <v>0</v>
      </c>
      <c r="AX22" s="151">
        <f>IF(K22="Hidalgo",(AG22/$AX$1)*'1. UC Assumptions'!$I$44-(AH22/$AX$2)*'1. UC Assumptions'!$I$42,0)</f>
        <v>0</v>
      </c>
      <c r="AY22" s="151">
        <f>IF(K22="Jefferson",(AG22/$AY$1)*'1. UC Assumptions'!$J$44-(AH22/$AY$2)*'1. UC Assumptions'!$J$42,0)</f>
        <v>0</v>
      </c>
      <c r="AZ22" s="151">
        <f>IF(K22="Lubbock",(AG22/$AZ$1)*'1. UC Assumptions'!$K$44-(AH22/$AZ$2)*'1. UC Assumptions'!$K$42,0)</f>
        <v>0</v>
      </c>
      <c r="BA22" s="151">
        <f>IF(K22="MRSA Central",(AG22/$BA$1)*'1. UC Assumptions'!$L$44-(AH22/$BA$2)*'1. UC Assumptions'!$L$42,0)</f>
        <v>0</v>
      </c>
      <c r="BB22" s="151">
        <f>IF(K22="MRSA Northeast",(AG22/$BB$1)*'1. UC Assumptions'!$M$44-(AH22/$BB$2)*'1. UC Assumptions'!$M$42,0)</f>
        <v>0</v>
      </c>
      <c r="BC22" s="151">
        <f>IF(K22="MRSA West",(AG22/$BC$1)*'1. UC Assumptions'!$N$44-(AH22/$BC$2)*'1. UC Assumptions'!$N$42,0)</f>
        <v>0</v>
      </c>
      <c r="BD22" s="151">
        <f>IF(K22="Nueces",(AG22/$BD$1)*'1. UC Assumptions'!$O$44-(AH22/$BD$2)*'1. UC Assumptions'!$O$42,0)</f>
        <v>0</v>
      </c>
      <c r="BE22" s="151">
        <f>IF(K22="Tarrant",(AG22/$BE$1)*'1. UC Assumptions'!$P$44-(AH22/$BE$2)*'1. UC Assumptions'!$P$42,0)</f>
        <v>0</v>
      </c>
      <c r="BF22" s="151">
        <f>IF(K22="Travis",(AG22/$BF$1)*'1. UC Assumptions'!$Q$44-(AH22/$BF$2)*'1. UC Assumptions'!$Q$42,0)</f>
        <v>0</v>
      </c>
      <c r="BG22" s="151">
        <f t="shared" si="15"/>
        <v>0</v>
      </c>
      <c r="BH22" s="151">
        <f t="shared" si="16"/>
        <v>5434450.4390558423</v>
      </c>
      <c r="BI22" s="151">
        <f>ROUNDDOWN(BH22*'1. UC Assumptions'!$C$23,2)</f>
        <v>1793368.64</v>
      </c>
      <c r="BJ22" s="154">
        <f t="shared" si="17"/>
        <v>1028631.3990558423</v>
      </c>
      <c r="BK22" s="154">
        <f t="shared" si="18"/>
        <v>339448.35679999995</v>
      </c>
      <c r="BL22" s="154">
        <f t="shared" si="19"/>
        <v>949653.17</v>
      </c>
      <c r="BM22" s="154">
        <f t="shared" si="20"/>
        <v>313385.53999999998</v>
      </c>
      <c r="BN22" s="101"/>
      <c r="BO22" s="154">
        <f>(BL22*'1. UC Assumptions'!$C$23)-'3.  UC Calculations by Hospital'!BM22</f>
        <v>6.0999999986961484E-3</v>
      </c>
      <c r="BP22" s="13"/>
    </row>
    <row r="23" spans="2:68">
      <c r="B23" s="129" t="s">
        <v>258</v>
      </c>
      <c r="C23" s="91" t="s">
        <v>258</v>
      </c>
      <c r="D23" s="91" t="s">
        <v>214</v>
      </c>
      <c r="E23" s="91"/>
      <c r="F23" s="91"/>
      <c r="G23" s="91" t="s">
        <v>209</v>
      </c>
      <c r="H23" s="91" t="s">
        <v>209</v>
      </c>
      <c r="I23" s="150" t="s">
        <v>210</v>
      </c>
      <c r="J23" s="129" t="s">
        <v>259</v>
      </c>
      <c r="K23" s="91" t="s">
        <v>4</v>
      </c>
      <c r="L23" s="91" t="s">
        <v>260</v>
      </c>
      <c r="M23" s="151">
        <v>1296967.0863084546</v>
      </c>
      <c r="N23" s="151">
        <v>0</v>
      </c>
      <c r="O23" s="131">
        <v>0</v>
      </c>
      <c r="P23" s="131">
        <f t="shared" si="0"/>
        <v>0</v>
      </c>
      <c r="Q23" s="131">
        <v>5950097.9196200203</v>
      </c>
      <c r="R23" s="131">
        <v>0</v>
      </c>
      <c r="S23" s="131">
        <f t="shared" si="1"/>
        <v>0</v>
      </c>
      <c r="T23" s="131">
        <f t="shared" si="2"/>
        <v>5950097.9196200203</v>
      </c>
      <c r="U23" s="131">
        <v>0</v>
      </c>
      <c r="V23" s="131">
        <v>0</v>
      </c>
      <c r="W23" s="131">
        <v>0</v>
      </c>
      <c r="X23" s="131">
        <v>0</v>
      </c>
      <c r="Y23" s="131">
        <v>0</v>
      </c>
      <c r="Z23" s="131">
        <f t="shared" si="3"/>
        <v>0</v>
      </c>
      <c r="AA23" s="131">
        <v>0</v>
      </c>
      <c r="AB23" s="152">
        <f t="shared" si="4"/>
        <v>5950097.9196200203</v>
      </c>
      <c r="AC23" s="133">
        <f>IF(D23="Physician Group Practice",(AB23/$AB$393)*'1. UC Assumptions'!$C$15,IF(E23="Rural Hospital",AB23*'1. UC Assumptions'!$C$7/'1. UC Assumptions'!$E$7,(AB23/$AB$397)*('1. UC Assumptions'!$C$9)))</f>
        <v>2797412.3964263266</v>
      </c>
      <c r="AD23" s="133">
        <f t="shared" si="5"/>
        <v>0</v>
      </c>
      <c r="AE23" s="133">
        <f t="shared" si="6"/>
        <v>3152685.5231936937</v>
      </c>
      <c r="AF23" s="133">
        <f t="shared" si="7"/>
        <v>0</v>
      </c>
      <c r="AG23" s="133">
        <f t="shared" si="8"/>
        <v>3152685.5231936937</v>
      </c>
      <c r="AH23" s="133">
        <f t="shared" si="9"/>
        <v>2797412.3964263266</v>
      </c>
      <c r="AI23" s="131">
        <f>AH23*'1. UC Assumptions'!$C$23</f>
        <v>923146.09082068771</v>
      </c>
      <c r="AJ23" s="131">
        <v>3224578.32</v>
      </c>
      <c r="AK23" s="131">
        <f>AJ23*(1-'1. UC Assumptions'!$C$22)</f>
        <v>1064110.8455999999</v>
      </c>
      <c r="AL23" s="131"/>
      <c r="AM23" s="131">
        <f>AL23*'1. UC Assumptions'!$C$23</f>
        <v>0</v>
      </c>
      <c r="AN23" s="153">
        <f t="shared" si="10"/>
        <v>5950097.9196200203</v>
      </c>
      <c r="AO23" s="151">
        <f>AN23*'1. UC Assumptions'!$C$23</f>
        <v>1963532.3134746065</v>
      </c>
      <c r="AP23" s="151">
        <f t="shared" si="11"/>
        <v>2725519.5996200205</v>
      </c>
      <c r="AQ23" s="151">
        <f t="shared" si="12"/>
        <v>899421.46787460661</v>
      </c>
      <c r="AR23" s="151">
        <f t="shared" si="13"/>
        <v>899421.46787460661</v>
      </c>
      <c r="AS23" s="151">
        <f t="shared" si="14"/>
        <v>1963532.3134746065</v>
      </c>
      <c r="AT23" s="151">
        <f>IF(K23="Bexar",(AG23/$AT$1)*'1. UC Assumptions'!$E$44-(AH23/$AT$2)*'1. UC Assumptions'!$E$42,0)</f>
        <v>0</v>
      </c>
      <c r="AU23" s="151">
        <f>IF(K23="Dallas",(AG23/$AU$1)*'1. UC Assumptions'!$F$44-(AH23/$AU$2)*'1. UC Assumptions'!$F$42,0)</f>
        <v>0</v>
      </c>
      <c r="AV23" s="151">
        <f>IF(K23="El Paso",(AG23/$AV$1)*'1. UC Assumptions'!$G$44-(AH23/$AV$2)*'1. UC Assumptions'!$G$42,0)</f>
        <v>0</v>
      </c>
      <c r="AW23" s="151">
        <f>IF(K23="Harris",(AG23/$AW$1)*'1. UC Assumptions'!$H$44-(AH23/$AW$2)*'1. UC Assumptions'!$H$42,0)</f>
        <v>0</v>
      </c>
      <c r="AX23" s="151">
        <f>IF(K23="Hidalgo",(AG23/$AX$1)*'1. UC Assumptions'!$I$44-(AH23/$AX$2)*'1. UC Assumptions'!$I$42,0)</f>
        <v>0</v>
      </c>
      <c r="AY23" s="151">
        <f>IF(K23="Jefferson",(AG23/$AY$1)*'1. UC Assumptions'!$J$44-(AH23/$AY$2)*'1. UC Assumptions'!$J$42,0)</f>
        <v>0</v>
      </c>
      <c r="AZ23" s="151">
        <f>IF(K23="Lubbock",(AG23/$AZ$1)*'1. UC Assumptions'!$K$44-(AH23/$AZ$2)*'1. UC Assumptions'!$K$42,0)</f>
        <v>0</v>
      </c>
      <c r="BA23" s="151">
        <f>IF(K23="MRSA Central",(AG23/$BA$1)*'1. UC Assumptions'!$L$44-(AH23/$BA$2)*'1. UC Assumptions'!$L$42,0)</f>
        <v>0</v>
      </c>
      <c r="BB23" s="151">
        <f>IF(K23="MRSA Northeast",(AG23/$BB$1)*'1. UC Assumptions'!$M$44-(AH23/$BB$2)*'1. UC Assumptions'!$M$42,0)</f>
        <v>0</v>
      </c>
      <c r="BC23" s="151">
        <f>IF(K23="MRSA West",(AG23/$BC$1)*'1. UC Assumptions'!$N$44-(AH23/$BC$2)*'1. UC Assumptions'!$N$42,0)</f>
        <v>0</v>
      </c>
      <c r="BD23" s="151">
        <f>IF(K23="Nueces",(AG23/$BD$1)*'1. UC Assumptions'!$O$44-(AH23/$BD$2)*'1. UC Assumptions'!$O$42,0)</f>
        <v>0</v>
      </c>
      <c r="BE23" s="151">
        <f>IF(K23="Tarrant",(AG23/$BE$1)*'1. UC Assumptions'!$P$44-(AH23/$BE$2)*'1. UC Assumptions'!$P$42,0)</f>
        <v>0</v>
      </c>
      <c r="BF23" s="151">
        <f>IF(K23="Travis",(AG23/$BF$1)*'1. UC Assumptions'!$Q$44-(AH23/$BF$2)*'1. UC Assumptions'!$Q$42,0)</f>
        <v>0</v>
      </c>
      <c r="BG23" s="151">
        <f t="shared" si="15"/>
        <v>0</v>
      </c>
      <c r="BH23" s="151">
        <f t="shared" si="16"/>
        <v>2797412.3964263266</v>
      </c>
      <c r="BI23" s="151">
        <f>ROUNDDOWN(BH23*'1. UC Assumptions'!$C$23,2)</f>
        <v>923146.09</v>
      </c>
      <c r="BJ23" s="154">
        <f t="shared" si="17"/>
        <v>-427165.92357367324</v>
      </c>
      <c r="BK23" s="154">
        <f t="shared" si="18"/>
        <v>-140964.75559999992</v>
      </c>
      <c r="BL23" s="154">
        <f t="shared" si="19"/>
        <v>0</v>
      </c>
      <c r="BM23" s="154">
        <f t="shared" si="20"/>
        <v>0</v>
      </c>
      <c r="BN23" s="101"/>
      <c r="BO23" s="154">
        <f>(BL23*'1. UC Assumptions'!$C$23)-'3.  UC Calculations by Hospital'!BM23</f>
        <v>0</v>
      </c>
      <c r="BP23" s="13"/>
    </row>
    <row r="24" spans="2:68">
      <c r="B24" s="129" t="s">
        <v>261</v>
      </c>
      <c r="C24" s="91" t="s">
        <v>261</v>
      </c>
      <c r="D24" s="91" t="s">
        <v>208</v>
      </c>
      <c r="E24" s="91" t="s">
        <v>149</v>
      </c>
      <c r="F24" s="91"/>
      <c r="G24" s="91" t="s">
        <v>209</v>
      </c>
      <c r="H24" s="91" t="s">
        <v>209</v>
      </c>
      <c r="I24" s="150" t="s">
        <v>210</v>
      </c>
      <c r="J24" s="129" t="s">
        <v>262</v>
      </c>
      <c r="K24" s="91" t="s">
        <v>6</v>
      </c>
      <c r="L24" s="91" t="s">
        <v>263</v>
      </c>
      <c r="M24" s="151">
        <v>228822.41148031995</v>
      </c>
      <c r="N24" s="151">
        <v>0</v>
      </c>
      <c r="O24" s="131">
        <v>0</v>
      </c>
      <c r="P24" s="131">
        <f t="shared" si="0"/>
        <v>0</v>
      </c>
      <c r="Q24" s="131">
        <v>2237691.4038465279</v>
      </c>
      <c r="R24" s="131">
        <v>0</v>
      </c>
      <c r="S24" s="131">
        <f t="shared" si="1"/>
        <v>0</v>
      </c>
      <c r="T24" s="131">
        <f t="shared" si="2"/>
        <v>2237691.4038465279</v>
      </c>
      <c r="U24" s="131">
        <v>5996</v>
      </c>
      <c r="V24" s="131">
        <v>0</v>
      </c>
      <c r="W24" s="131">
        <v>0</v>
      </c>
      <c r="X24" s="131">
        <v>0</v>
      </c>
      <c r="Y24" s="131">
        <v>0</v>
      </c>
      <c r="Z24" s="131">
        <f t="shared" si="3"/>
        <v>5996</v>
      </c>
      <c r="AA24" s="131">
        <v>0</v>
      </c>
      <c r="AB24" s="152">
        <f t="shared" si="4"/>
        <v>2243687.4038465279</v>
      </c>
      <c r="AC24" s="133">
        <f>IF(D24="Physician Group Practice",(AB24/$AB$393)*'1. UC Assumptions'!$C$15,IF(E24="Rural Hospital",AB24*'1. UC Assumptions'!$C$7/'1. UC Assumptions'!$E$7,(AB24/$AB$397)*('1. UC Assumptions'!$C$9)))</f>
        <v>2094337.5294466</v>
      </c>
      <c r="AD24" s="133">
        <f t="shared" si="5"/>
        <v>0</v>
      </c>
      <c r="AE24" s="133">
        <f t="shared" si="6"/>
        <v>149349.87439992791</v>
      </c>
      <c r="AF24" s="133">
        <f t="shared" si="7"/>
        <v>0</v>
      </c>
      <c r="AG24" s="133">
        <f t="shared" si="8"/>
        <v>149349.87439992791</v>
      </c>
      <c r="AH24" s="133">
        <f t="shared" si="9"/>
        <v>2094337.5294466</v>
      </c>
      <c r="AI24" s="131">
        <f>AH24*'1. UC Assumptions'!$C$23</f>
        <v>691131.38471737795</v>
      </c>
      <c r="AJ24" s="131">
        <v>992155.75</v>
      </c>
      <c r="AK24" s="131">
        <f>AJ24*(1-'1. UC Assumptions'!$C$22)</f>
        <v>327411.39749999996</v>
      </c>
      <c r="AL24" s="131"/>
      <c r="AM24" s="131">
        <f>AL24*'1. UC Assumptions'!$C$23</f>
        <v>0</v>
      </c>
      <c r="AN24" s="153">
        <f t="shared" si="10"/>
        <v>2243687.4038465279</v>
      </c>
      <c r="AO24" s="151">
        <f>AN24*'1. UC Assumptions'!$C$23</f>
        <v>740416.84326935408</v>
      </c>
      <c r="AP24" s="151">
        <f t="shared" si="11"/>
        <v>1251531.6538465279</v>
      </c>
      <c r="AQ24" s="151">
        <f t="shared" si="12"/>
        <v>413005.44576935412</v>
      </c>
      <c r="AR24" s="151">
        <f t="shared" si="13"/>
        <v>413005.44576935412</v>
      </c>
      <c r="AS24" s="151">
        <f t="shared" si="14"/>
        <v>740416.84326935408</v>
      </c>
      <c r="AT24" s="151">
        <f>IF(K24="Bexar",(AG24/$AT$1)*'1. UC Assumptions'!$E$44-(AH24/$AT$2)*'1. UC Assumptions'!$E$42,0)</f>
        <v>0</v>
      </c>
      <c r="AU24" s="151">
        <f>IF(K24="Dallas",(AG24/$AU$1)*'1. UC Assumptions'!$F$44-(AH24/$AU$2)*'1. UC Assumptions'!$F$42,0)</f>
        <v>0</v>
      </c>
      <c r="AV24" s="151">
        <f>IF(K24="El Paso",(AG24/$AV$1)*'1. UC Assumptions'!$G$44-(AH24/$AV$2)*'1. UC Assumptions'!$G$42,0)</f>
        <v>0</v>
      </c>
      <c r="AW24" s="151">
        <f>IF(K24="Harris",(AG24/$AW$1)*'1. UC Assumptions'!$H$44-(AH24/$AW$2)*'1. UC Assumptions'!$H$42,0)</f>
        <v>0</v>
      </c>
      <c r="AX24" s="151">
        <f>IF(K24="Hidalgo",(AG24/$AX$1)*'1. UC Assumptions'!$I$44-(AH24/$AX$2)*'1. UC Assumptions'!$I$42,0)</f>
        <v>0</v>
      </c>
      <c r="AY24" s="151">
        <f>IF(K24="Jefferson",(AG24/$AY$1)*'1. UC Assumptions'!$J$44-(AH24/$AY$2)*'1. UC Assumptions'!$J$42,0)</f>
        <v>0</v>
      </c>
      <c r="AZ24" s="151">
        <f>IF(K24="Lubbock",(AG24/$AZ$1)*'1. UC Assumptions'!$K$44-(AH24/$AZ$2)*'1. UC Assumptions'!$K$42,0)</f>
        <v>0</v>
      </c>
      <c r="BA24" s="151">
        <f>IF(K24="MRSA Central",(AG24/$BA$1)*'1. UC Assumptions'!$L$44-(AH24/$BA$2)*'1. UC Assumptions'!$L$42,0)</f>
        <v>0</v>
      </c>
      <c r="BB24" s="151">
        <f>IF(K24="MRSA Northeast",(AG24/$BB$1)*'1. UC Assumptions'!$M$44-(AH24/$BB$2)*'1. UC Assumptions'!$M$42,0)</f>
        <v>0</v>
      </c>
      <c r="BC24" s="151">
        <f>IF(K24="MRSA West",(AG24/$BC$1)*'1. UC Assumptions'!$N$44-(AH24/$BC$2)*'1. UC Assumptions'!$N$42,0)</f>
        <v>0</v>
      </c>
      <c r="BD24" s="151">
        <f>IF(K24="Nueces",(AG24/$BD$1)*'1. UC Assumptions'!$O$44-(AH24/$BD$2)*'1. UC Assumptions'!$O$42,0)</f>
        <v>0</v>
      </c>
      <c r="BE24" s="151">
        <f>IF(K24="Tarrant",(AG24/$BE$1)*'1. UC Assumptions'!$P$44-(AH24/$BE$2)*'1. UC Assumptions'!$P$42,0)</f>
        <v>0</v>
      </c>
      <c r="BF24" s="151">
        <f>IF(K24="Travis",(AG24/$BF$1)*'1. UC Assumptions'!$Q$44-(AH24/$BF$2)*'1. UC Assumptions'!$Q$42,0)</f>
        <v>0</v>
      </c>
      <c r="BG24" s="151">
        <f t="shared" si="15"/>
        <v>0</v>
      </c>
      <c r="BH24" s="151">
        <f t="shared" si="16"/>
        <v>2094337.5294466</v>
      </c>
      <c r="BI24" s="151">
        <f>ROUNDDOWN(BH24*'1. UC Assumptions'!$C$23,2)</f>
        <v>691131.38</v>
      </c>
      <c r="BJ24" s="154">
        <f t="shared" si="17"/>
        <v>1102181.7794466</v>
      </c>
      <c r="BK24" s="154">
        <f t="shared" si="18"/>
        <v>363719.98250000004</v>
      </c>
      <c r="BL24" s="154">
        <f t="shared" si="19"/>
        <v>1017556.36</v>
      </c>
      <c r="BM24" s="154">
        <f t="shared" si="20"/>
        <v>335793.59</v>
      </c>
      <c r="BN24" s="101"/>
      <c r="BO24" s="154">
        <f>(BL24*'1. UC Assumptions'!$C$23)-'3.  UC Calculations by Hospital'!BM24</f>
        <v>8.7999999523162842E-3</v>
      </c>
      <c r="BP24" s="13"/>
    </row>
    <row r="25" spans="2:68">
      <c r="B25" s="129" t="s">
        <v>264</v>
      </c>
      <c r="C25" s="91" t="s">
        <v>264</v>
      </c>
      <c r="D25" s="91" t="s">
        <v>208</v>
      </c>
      <c r="E25" s="91" t="s">
        <v>149</v>
      </c>
      <c r="F25" s="91"/>
      <c r="G25" s="91" t="s">
        <v>209</v>
      </c>
      <c r="H25" s="91" t="s">
        <v>209</v>
      </c>
      <c r="I25" s="150" t="s">
        <v>210</v>
      </c>
      <c r="J25" s="129" t="s">
        <v>265</v>
      </c>
      <c r="K25" s="91" t="s">
        <v>12</v>
      </c>
      <c r="L25" s="91" t="s">
        <v>266</v>
      </c>
      <c r="M25" s="151">
        <v>200230.11499061756</v>
      </c>
      <c r="N25" s="151">
        <v>0</v>
      </c>
      <c r="O25" s="131">
        <v>0</v>
      </c>
      <c r="P25" s="131">
        <f t="shared" si="0"/>
        <v>0</v>
      </c>
      <c r="Q25" s="131">
        <v>140745.1891627264</v>
      </c>
      <c r="R25" s="131">
        <v>0</v>
      </c>
      <c r="S25" s="131">
        <f t="shared" si="1"/>
        <v>0</v>
      </c>
      <c r="T25" s="131">
        <f t="shared" si="2"/>
        <v>140745.1891627264</v>
      </c>
      <c r="U25" s="131">
        <v>0</v>
      </c>
      <c r="V25" s="131">
        <v>0</v>
      </c>
      <c r="W25" s="131">
        <v>0</v>
      </c>
      <c r="X25" s="131">
        <v>0</v>
      </c>
      <c r="Y25" s="131">
        <v>0</v>
      </c>
      <c r="Z25" s="131">
        <f t="shared" si="3"/>
        <v>0</v>
      </c>
      <c r="AA25" s="131">
        <v>0</v>
      </c>
      <c r="AB25" s="152">
        <f t="shared" si="4"/>
        <v>140745.1891627264</v>
      </c>
      <c r="AC25" s="133">
        <f>IF(D25="Physician Group Practice",(AB25/$AB$393)*'1. UC Assumptions'!$C$15,IF(E25="Rural Hospital",AB25*'1. UC Assumptions'!$C$7/'1. UC Assumptions'!$E$7,(AB25/$AB$397)*('1. UC Assumptions'!$C$9)))</f>
        <v>131376.55951859211</v>
      </c>
      <c r="AD25" s="133">
        <f t="shared" si="5"/>
        <v>0</v>
      </c>
      <c r="AE25" s="133">
        <f t="shared" si="6"/>
        <v>9368.6296441342856</v>
      </c>
      <c r="AF25" s="133">
        <f t="shared" si="7"/>
        <v>0</v>
      </c>
      <c r="AG25" s="133">
        <f t="shared" si="8"/>
        <v>9368.6296441342856</v>
      </c>
      <c r="AH25" s="133">
        <f t="shared" si="9"/>
        <v>131376.55951859211</v>
      </c>
      <c r="AI25" s="131">
        <f>AH25*'1. UC Assumptions'!$C$23</f>
        <v>43354.264641135393</v>
      </c>
      <c r="AJ25" s="131">
        <v>34679.32</v>
      </c>
      <c r="AK25" s="131">
        <f>AJ25*(1-'1. UC Assumptions'!$C$22)</f>
        <v>11444.175599999999</v>
      </c>
      <c r="AL25" s="131"/>
      <c r="AM25" s="131">
        <f>AL25*'1. UC Assumptions'!$C$23</f>
        <v>0</v>
      </c>
      <c r="AN25" s="153">
        <f t="shared" si="10"/>
        <v>140745.1891627264</v>
      </c>
      <c r="AO25" s="151">
        <f>AN25*'1. UC Assumptions'!$C$23</f>
        <v>46445.912423699709</v>
      </c>
      <c r="AP25" s="151">
        <f t="shared" si="11"/>
        <v>106065.86916272639</v>
      </c>
      <c r="AQ25" s="151">
        <f t="shared" si="12"/>
        <v>35001.736823699714</v>
      </c>
      <c r="AR25" s="151">
        <f t="shared" si="13"/>
        <v>35001.736823699714</v>
      </c>
      <c r="AS25" s="151">
        <f t="shared" si="14"/>
        <v>46445.912423699716</v>
      </c>
      <c r="AT25" s="151">
        <f>IF(K25="Bexar",(AG25/$AT$1)*'1. UC Assumptions'!$E$44-(AH25/$AT$2)*'1. UC Assumptions'!$E$42,0)</f>
        <v>0</v>
      </c>
      <c r="AU25" s="151">
        <f>IF(K25="Dallas",(AG25/$AU$1)*'1. UC Assumptions'!$F$44-(AH25/$AU$2)*'1. UC Assumptions'!$F$42,0)</f>
        <v>0</v>
      </c>
      <c r="AV25" s="151">
        <f>IF(K25="El Paso",(AG25/$AV$1)*'1. UC Assumptions'!$G$44-(AH25/$AV$2)*'1. UC Assumptions'!$G$42,0)</f>
        <v>0</v>
      </c>
      <c r="AW25" s="151">
        <f>IF(K25="Harris",(AG25/$AW$1)*'1. UC Assumptions'!$H$44-(AH25/$AW$2)*'1. UC Assumptions'!$H$42,0)</f>
        <v>0</v>
      </c>
      <c r="AX25" s="151">
        <f>IF(K25="Hidalgo",(AG25/$AX$1)*'1. UC Assumptions'!$I$44-(AH25/$AX$2)*'1. UC Assumptions'!$I$42,0)</f>
        <v>0</v>
      </c>
      <c r="AY25" s="151">
        <f>IF(K25="Jefferson",(AG25/$AY$1)*'1. UC Assumptions'!$J$44-(AH25/$AY$2)*'1. UC Assumptions'!$J$42,0)</f>
        <v>0</v>
      </c>
      <c r="AZ25" s="151">
        <f>IF(K25="Lubbock",(AG25/$AZ$1)*'1. UC Assumptions'!$K$44-(AH25/$AZ$2)*'1. UC Assumptions'!$K$42,0)</f>
        <v>0</v>
      </c>
      <c r="BA25" s="151">
        <f>IF(K25="MRSA Central",(AG25/$BA$1)*'1. UC Assumptions'!$L$44-(AH25/$BA$2)*'1. UC Assumptions'!$L$42,0)</f>
        <v>0</v>
      </c>
      <c r="BB25" s="151">
        <f>IF(K25="MRSA Northeast",(AG25/$BB$1)*'1. UC Assumptions'!$M$44-(AH25/$BB$2)*'1. UC Assumptions'!$M$42,0)</f>
        <v>0</v>
      </c>
      <c r="BC25" s="151">
        <f>IF(K25="MRSA West",(AG25/$BC$1)*'1. UC Assumptions'!$N$44-(AH25/$BC$2)*'1. UC Assumptions'!$N$42,0)</f>
        <v>0</v>
      </c>
      <c r="BD25" s="151">
        <f>IF(K25="Nueces",(AG25/$BD$1)*'1. UC Assumptions'!$O$44-(AH25/$BD$2)*'1. UC Assumptions'!$O$42,0)</f>
        <v>0</v>
      </c>
      <c r="BE25" s="151">
        <f>IF(K25="Tarrant",(AG25/$BE$1)*'1. UC Assumptions'!$P$44-(AH25/$BE$2)*'1. UC Assumptions'!$P$42,0)</f>
        <v>0</v>
      </c>
      <c r="BF25" s="151">
        <f>IF(K25="Travis",(AG25/$BF$1)*'1. UC Assumptions'!$Q$44-(AH25/$BF$2)*'1. UC Assumptions'!$Q$42,0)</f>
        <v>0</v>
      </c>
      <c r="BG25" s="151">
        <f t="shared" si="15"/>
        <v>0</v>
      </c>
      <c r="BH25" s="151">
        <f t="shared" si="16"/>
        <v>131376.55951859211</v>
      </c>
      <c r="BI25" s="151">
        <f>ROUNDDOWN(BH25*'1. UC Assumptions'!$C$23,2)</f>
        <v>43354.26</v>
      </c>
      <c r="BJ25" s="154">
        <f t="shared" si="17"/>
        <v>96697.239518592105</v>
      </c>
      <c r="BK25" s="154">
        <f t="shared" si="18"/>
        <v>31910.084400000003</v>
      </c>
      <c r="BL25" s="154">
        <f t="shared" si="19"/>
        <v>89272.83</v>
      </c>
      <c r="BM25" s="154">
        <f t="shared" si="20"/>
        <v>29460.03</v>
      </c>
      <c r="BN25" s="101"/>
      <c r="BO25" s="154">
        <f>(BL25*'1. UC Assumptions'!$C$23)-'3.  UC Calculations by Hospital'!BM25</f>
        <v>3.8999999997031409E-3</v>
      </c>
      <c r="BP25" s="13"/>
    </row>
    <row r="26" spans="2:68">
      <c r="B26" s="129" t="s">
        <v>267</v>
      </c>
      <c r="C26" s="91" t="s">
        <v>267</v>
      </c>
      <c r="D26" s="91" t="s">
        <v>214</v>
      </c>
      <c r="E26" s="91" t="s">
        <v>149</v>
      </c>
      <c r="F26" s="91"/>
      <c r="G26" s="91" t="s">
        <v>209</v>
      </c>
      <c r="H26" s="91" t="s">
        <v>209</v>
      </c>
      <c r="I26" s="150" t="s">
        <v>210</v>
      </c>
      <c r="J26" s="129" t="s">
        <v>268</v>
      </c>
      <c r="K26" s="91" t="s">
        <v>10</v>
      </c>
      <c r="L26" s="91" t="s">
        <v>269</v>
      </c>
      <c r="M26" s="151">
        <v>255878.45254451202</v>
      </c>
      <c r="N26" s="151">
        <v>0</v>
      </c>
      <c r="O26" s="131">
        <v>0</v>
      </c>
      <c r="P26" s="131">
        <f t="shared" si="0"/>
        <v>0</v>
      </c>
      <c r="Q26" s="131">
        <v>1505390.4266275838</v>
      </c>
      <c r="R26" s="131">
        <v>0</v>
      </c>
      <c r="S26" s="131">
        <f t="shared" si="1"/>
        <v>0</v>
      </c>
      <c r="T26" s="131">
        <f t="shared" si="2"/>
        <v>1505390.4266275838</v>
      </c>
      <c r="U26" s="131">
        <v>0</v>
      </c>
      <c r="V26" s="131">
        <v>0</v>
      </c>
      <c r="W26" s="131">
        <v>0</v>
      </c>
      <c r="X26" s="131">
        <v>0</v>
      </c>
      <c r="Y26" s="131">
        <v>0</v>
      </c>
      <c r="Z26" s="131">
        <f t="shared" si="3"/>
        <v>0</v>
      </c>
      <c r="AA26" s="131">
        <v>0</v>
      </c>
      <c r="AB26" s="152">
        <f t="shared" si="4"/>
        <v>1505390.4266275838</v>
      </c>
      <c r="AC26" s="133">
        <f>IF(D26="Physician Group Practice",(AB26/$AB$393)*'1. UC Assumptions'!$C$15,IF(E26="Rural Hospital",AB26*'1. UC Assumptions'!$C$7/'1. UC Assumptions'!$E$7,(AB26/$AB$397)*('1. UC Assumptions'!$C$9)))</f>
        <v>1405184.903008634</v>
      </c>
      <c r="AD26" s="133">
        <f t="shared" si="5"/>
        <v>0</v>
      </c>
      <c r="AE26" s="133">
        <f t="shared" si="6"/>
        <v>100205.52361894981</v>
      </c>
      <c r="AF26" s="133">
        <f t="shared" si="7"/>
        <v>0</v>
      </c>
      <c r="AG26" s="133">
        <f t="shared" si="8"/>
        <v>100205.52361894981</v>
      </c>
      <c r="AH26" s="133">
        <f t="shared" si="9"/>
        <v>1405184.903008634</v>
      </c>
      <c r="AI26" s="131">
        <f>AH26*'1. UC Assumptions'!$C$23</f>
        <v>463711.01799284917</v>
      </c>
      <c r="AJ26" s="131">
        <v>590706.5</v>
      </c>
      <c r="AK26" s="131">
        <f>AJ26*(1-'1. UC Assumptions'!$C$22)</f>
        <v>194933.14499999999</v>
      </c>
      <c r="AL26" s="131"/>
      <c r="AM26" s="131">
        <f>AL26*'1. UC Assumptions'!$C$23</f>
        <v>0</v>
      </c>
      <c r="AN26" s="153">
        <f t="shared" si="10"/>
        <v>1505390.4266275838</v>
      </c>
      <c r="AO26" s="151">
        <f>AN26*'1. UC Assumptions'!$C$23</f>
        <v>496778.84078710258</v>
      </c>
      <c r="AP26" s="151">
        <f t="shared" si="11"/>
        <v>914683.9266275838</v>
      </c>
      <c r="AQ26" s="151">
        <f t="shared" si="12"/>
        <v>301845.69578710257</v>
      </c>
      <c r="AR26" s="151">
        <f t="shared" si="13"/>
        <v>301845.69578710257</v>
      </c>
      <c r="AS26" s="151">
        <f t="shared" si="14"/>
        <v>496778.84078710258</v>
      </c>
      <c r="AT26" s="151">
        <f>IF(K26="Bexar",(AG26/$AT$1)*'1. UC Assumptions'!$E$44-(AH26/$AT$2)*'1. UC Assumptions'!$E$42,0)</f>
        <v>0</v>
      </c>
      <c r="AU26" s="151">
        <f>IF(K26="Dallas",(AG26/$AU$1)*'1. UC Assumptions'!$F$44-(AH26/$AU$2)*'1. UC Assumptions'!$F$42,0)</f>
        <v>0</v>
      </c>
      <c r="AV26" s="151">
        <f>IF(K26="El Paso",(AG26/$AV$1)*'1. UC Assumptions'!$G$44-(AH26/$AV$2)*'1. UC Assumptions'!$G$42,0)</f>
        <v>0</v>
      </c>
      <c r="AW26" s="151">
        <f>IF(K26="Harris",(AG26/$AW$1)*'1. UC Assumptions'!$H$44-(AH26/$AW$2)*'1. UC Assumptions'!$H$42,0)</f>
        <v>0</v>
      </c>
      <c r="AX26" s="151">
        <f>IF(K26="Hidalgo",(AG26/$AX$1)*'1. UC Assumptions'!$I$44-(AH26/$AX$2)*'1. UC Assumptions'!$I$42,0)</f>
        <v>0</v>
      </c>
      <c r="AY26" s="151">
        <f>IF(K26="Jefferson",(AG26/$AY$1)*'1. UC Assumptions'!$J$44-(AH26/$AY$2)*'1. UC Assumptions'!$J$42,0)</f>
        <v>0</v>
      </c>
      <c r="AZ26" s="151">
        <f>IF(K26="Lubbock",(AG26/$AZ$1)*'1. UC Assumptions'!$K$44-(AH26/$AZ$2)*'1. UC Assumptions'!$K$42,0)</f>
        <v>0</v>
      </c>
      <c r="BA26" s="151">
        <f>IF(K26="MRSA Central",(AG26/$BA$1)*'1. UC Assumptions'!$L$44-(AH26/$BA$2)*'1. UC Assumptions'!$L$42,0)</f>
        <v>0</v>
      </c>
      <c r="BB26" s="151">
        <f>IF(K26="MRSA Northeast",(AG26/$BB$1)*'1. UC Assumptions'!$M$44-(AH26/$BB$2)*'1. UC Assumptions'!$M$42,0)</f>
        <v>0</v>
      </c>
      <c r="BC26" s="151">
        <f>IF(K26="MRSA West",(AG26/$BC$1)*'1. UC Assumptions'!$N$44-(AH26/$BC$2)*'1. UC Assumptions'!$N$42,0)</f>
        <v>0</v>
      </c>
      <c r="BD26" s="151">
        <f>IF(K26="Nueces",(AG26/$BD$1)*'1. UC Assumptions'!$O$44-(AH26/$BD$2)*'1. UC Assumptions'!$O$42,0)</f>
        <v>0</v>
      </c>
      <c r="BE26" s="151">
        <f>IF(K26="Tarrant",(AG26/$BE$1)*'1. UC Assumptions'!$P$44-(AH26/$BE$2)*'1. UC Assumptions'!$P$42,0)</f>
        <v>0</v>
      </c>
      <c r="BF26" s="151">
        <f>IF(K26="Travis",(AG26/$BF$1)*'1. UC Assumptions'!$Q$44-(AH26/$BF$2)*'1. UC Assumptions'!$Q$42,0)</f>
        <v>0</v>
      </c>
      <c r="BG26" s="151">
        <f t="shared" si="15"/>
        <v>0</v>
      </c>
      <c r="BH26" s="151">
        <f t="shared" si="16"/>
        <v>1405184.903008634</v>
      </c>
      <c r="BI26" s="151">
        <f>ROUNDDOWN(BH26*'1. UC Assumptions'!$C$23,2)</f>
        <v>463711.01</v>
      </c>
      <c r="BJ26" s="154">
        <f t="shared" si="17"/>
        <v>814478.40300863399</v>
      </c>
      <c r="BK26" s="154">
        <f t="shared" si="18"/>
        <v>268777.86499999999</v>
      </c>
      <c r="BL26" s="154">
        <f t="shared" si="19"/>
        <v>751942.82</v>
      </c>
      <c r="BM26" s="154">
        <f t="shared" si="20"/>
        <v>248141.12</v>
      </c>
      <c r="BN26" s="101"/>
      <c r="BO26" s="154">
        <f>(BL26*'1. UC Assumptions'!$C$23)-'3.  UC Calculations by Hospital'!BM26</f>
        <v>1.0599999950500205E-2</v>
      </c>
      <c r="BP26" s="13"/>
    </row>
    <row r="27" spans="2:68">
      <c r="B27" s="129" t="s">
        <v>270</v>
      </c>
      <c r="C27" s="91" t="s">
        <v>270</v>
      </c>
      <c r="D27" s="91" t="s">
        <v>208</v>
      </c>
      <c r="E27" s="91" t="s">
        <v>149</v>
      </c>
      <c r="F27" s="91"/>
      <c r="G27" s="91" t="s">
        <v>209</v>
      </c>
      <c r="H27" s="91" t="s">
        <v>209</v>
      </c>
      <c r="I27" s="150" t="s">
        <v>210</v>
      </c>
      <c r="J27" s="129" t="s">
        <v>271</v>
      </c>
      <c r="K27" s="91" t="s">
        <v>13</v>
      </c>
      <c r="L27" s="91" t="s">
        <v>272</v>
      </c>
      <c r="M27" s="151">
        <v>796517.32621332491</v>
      </c>
      <c r="N27" s="151">
        <v>950980.98490655108</v>
      </c>
      <c r="O27" s="131">
        <v>406056.58225950721</v>
      </c>
      <c r="P27" s="131">
        <f t="shared" si="0"/>
        <v>544924.40264704381</v>
      </c>
      <c r="Q27" s="131">
        <v>1493208.0924900607</v>
      </c>
      <c r="R27" s="131">
        <v>0</v>
      </c>
      <c r="S27" s="131">
        <f t="shared" si="1"/>
        <v>0</v>
      </c>
      <c r="T27" s="131">
        <f t="shared" si="2"/>
        <v>1493208.0924900607</v>
      </c>
      <c r="U27" s="131">
        <v>0</v>
      </c>
      <c r="V27" s="131">
        <v>0</v>
      </c>
      <c r="W27" s="131">
        <v>0</v>
      </c>
      <c r="X27" s="131">
        <v>0</v>
      </c>
      <c r="Y27" s="131">
        <v>0</v>
      </c>
      <c r="Z27" s="131">
        <f t="shared" si="3"/>
        <v>0</v>
      </c>
      <c r="AA27" s="131">
        <v>0</v>
      </c>
      <c r="AB27" s="152">
        <f t="shared" si="4"/>
        <v>1493208.0924900607</v>
      </c>
      <c r="AC27" s="133">
        <f>IF(D27="Physician Group Practice",(AB27/$AB$393)*'1. UC Assumptions'!$C$15,IF(E27="Rural Hospital",AB27*'1. UC Assumptions'!$C$7/'1. UC Assumptions'!$E$7,(AB27/$AB$397)*('1. UC Assumptions'!$C$9)))</f>
        <v>1393813.479548872</v>
      </c>
      <c r="AD27" s="133">
        <f t="shared" si="5"/>
        <v>0</v>
      </c>
      <c r="AE27" s="133">
        <f t="shared" si="6"/>
        <v>99394.612941188738</v>
      </c>
      <c r="AF27" s="133">
        <f t="shared" si="7"/>
        <v>0</v>
      </c>
      <c r="AG27" s="133">
        <f t="shared" si="8"/>
        <v>99394.612941188738</v>
      </c>
      <c r="AH27" s="133">
        <f t="shared" si="9"/>
        <v>1393813.479548872</v>
      </c>
      <c r="AI27" s="131">
        <f>AH27*'1. UC Assumptions'!$C$23</f>
        <v>459958.44825112767</v>
      </c>
      <c r="AJ27" s="131">
        <v>210314.58</v>
      </c>
      <c r="AK27" s="131">
        <f>AJ27*(1-'1. UC Assumptions'!$C$22)</f>
        <v>69403.811399999991</v>
      </c>
      <c r="AL27" s="131"/>
      <c r="AM27" s="131">
        <f>AL27*'1. UC Assumptions'!$C$23</f>
        <v>0</v>
      </c>
      <c r="AN27" s="153">
        <f t="shared" si="10"/>
        <v>1493208.0924900607</v>
      </c>
      <c r="AO27" s="151">
        <f>AN27*'1. UC Assumptions'!$C$23</f>
        <v>492758.67052171996</v>
      </c>
      <c r="AP27" s="151">
        <f t="shared" si="11"/>
        <v>1282893.5124900606</v>
      </c>
      <c r="AQ27" s="151">
        <f t="shared" si="12"/>
        <v>423354.85912171996</v>
      </c>
      <c r="AR27" s="151">
        <f t="shared" si="13"/>
        <v>423354.85912171996</v>
      </c>
      <c r="AS27" s="151">
        <f t="shared" si="14"/>
        <v>492758.67052171996</v>
      </c>
      <c r="AT27" s="151">
        <f>IF(K27="Bexar",(AG27/$AT$1)*'1. UC Assumptions'!$E$44-(AH27/$AT$2)*'1. UC Assumptions'!$E$42,0)</f>
        <v>0</v>
      </c>
      <c r="AU27" s="151">
        <f>IF(K27="Dallas",(AG27/$AU$1)*'1. UC Assumptions'!$F$44-(AH27/$AU$2)*'1. UC Assumptions'!$F$42,0)</f>
        <v>0</v>
      </c>
      <c r="AV27" s="151">
        <f>IF(K27="El Paso",(AG27/$AV$1)*'1. UC Assumptions'!$G$44-(AH27/$AV$2)*'1. UC Assumptions'!$G$42,0)</f>
        <v>0</v>
      </c>
      <c r="AW27" s="151">
        <f>IF(K27="Harris",(AG27/$AW$1)*'1. UC Assumptions'!$H$44-(AH27/$AW$2)*'1. UC Assumptions'!$H$42,0)</f>
        <v>0</v>
      </c>
      <c r="AX27" s="151">
        <f>IF(K27="Hidalgo",(AG27/$AX$1)*'1. UC Assumptions'!$I$44-(AH27/$AX$2)*'1. UC Assumptions'!$I$42,0)</f>
        <v>0</v>
      </c>
      <c r="AY27" s="151">
        <f>IF(K27="Jefferson",(AG27/$AY$1)*'1. UC Assumptions'!$J$44-(AH27/$AY$2)*'1. UC Assumptions'!$J$42,0)</f>
        <v>0</v>
      </c>
      <c r="AZ27" s="151">
        <f>IF(K27="Lubbock",(AG27/$AZ$1)*'1. UC Assumptions'!$K$44-(AH27/$AZ$2)*'1. UC Assumptions'!$K$42,0)</f>
        <v>0</v>
      </c>
      <c r="BA27" s="151">
        <f>IF(K27="MRSA Central",(AG27/$BA$1)*'1. UC Assumptions'!$L$44-(AH27/$BA$2)*'1. UC Assumptions'!$L$42,0)</f>
        <v>0</v>
      </c>
      <c r="BB27" s="151">
        <f>IF(K27="MRSA Northeast",(AG27/$BB$1)*'1. UC Assumptions'!$M$44-(AH27/$BB$2)*'1. UC Assumptions'!$M$42,0)</f>
        <v>0</v>
      </c>
      <c r="BC27" s="151">
        <f>IF(K27="MRSA West",(AG27/$BC$1)*'1. UC Assumptions'!$N$44-(AH27/$BC$2)*'1. UC Assumptions'!$N$42,0)</f>
        <v>0</v>
      </c>
      <c r="BD27" s="151">
        <f>IF(K27="Nueces",(AG27/$BD$1)*'1. UC Assumptions'!$O$44-(AH27/$BD$2)*'1. UC Assumptions'!$O$42,0)</f>
        <v>0</v>
      </c>
      <c r="BE27" s="151">
        <f>IF(K27="Tarrant",(AG27/$BE$1)*'1. UC Assumptions'!$P$44-(AH27/$BE$2)*'1. UC Assumptions'!$P$42,0)</f>
        <v>0</v>
      </c>
      <c r="BF27" s="151">
        <f>IF(K27="Travis",(AG27/$BF$1)*'1. UC Assumptions'!$Q$44-(AH27/$BF$2)*'1. UC Assumptions'!$Q$42,0)</f>
        <v>0</v>
      </c>
      <c r="BG27" s="151">
        <f t="shared" si="15"/>
        <v>0</v>
      </c>
      <c r="BH27" s="151">
        <f t="shared" si="16"/>
        <v>1393813.479548872</v>
      </c>
      <c r="BI27" s="151">
        <f>ROUNDDOWN(BH27*'1. UC Assumptions'!$C$23,2)</f>
        <v>459958.44</v>
      </c>
      <c r="BJ27" s="154">
        <f t="shared" si="17"/>
        <v>1183498.8995488719</v>
      </c>
      <c r="BK27" s="154">
        <f t="shared" si="18"/>
        <v>390554.6286</v>
      </c>
      <c r="BL27" s="154">
        <f t="shared" si="19"/>
        <v>1092629.96</v>
      </c>
      <c r="BM27" s="154">
        <f t="shared" si="20"/>
        <v>360567.88</v>
      </c>
      <c r="BN27" s="101"/>
      <c r="BO27" s="154">
        <f>(BL27*'1. UC Assumptions'!$C$23)-'3.  UC Calculations by Hospital'!BM27</f>
        <v>6.7999999155290425E-3</v>
      </c>
      <c r="BP27" s="13"/>
    </row>
    <row r="28" spans="2:68">
      <c r="B28" s="129" t="s">
        <v>273</v>
      </c>
      <c r="C28" s="91" t="s">
        <v>273</v>
      </c>
      <c r="D28" s="91" t="s">
        <v>208</v>
      </c>
      <c r="E28" s="91" t="s">
        <v>149</v>
      </c>
      <c r="F28" s="91"/>
      <c r="G28" s="91" t="s">
        <v>209</v>
      </c>
      <c r="H28" s="91" t="s">
        <v>209</v>
      </c>
      <c r="I28" s="150" t="s">
        <v>210</v>
      </c>
      <c r="J28" s="129" t="s">
        <v>274</v>
      </c>
      <c r="K28" s="91" t="s">
        <v>12</v>
      </c>
      <c r="L28" s="91" t="s">
        <v>275</v>
      </c>
      <c r="M28" s="151">
        <v>216662.535646592</v>
      </c>
      <c r="N28" s="151">
        <v>271862.59541357215</v>
      </c>
      <c r="O28" s="131">
        <v>0</v>
      </c>
      <c r="P28" s="131">
        <f t="shared" si="0"/>
        <v>271862.59541357215</v>
      </c>
      <c r="Q28" s="131">
        <v>275833.19269614079</v>
      </c>
      <c r="R28" s="131">
        <v>134104.16999999998</v>
      </c>
      <c r="S28" s="131">
        <f t="shared" si="1"/>
        <v>0</v>
      </c>
      <c r="T28" s="131">
        <f t="shared" si="2"/>
        <v>275833.19269614079</v>
      </c>
      <c r="U28" s="131">
        <v>0</v>
      </c>
      <c r="V28" s="131">
        <v>0</v>
      </c>
      <c r="W28" s="131">
        <v>0</v>
      </c>
      <c r="X28" s="131">
        <v>0</v>
      </c>
      <c r="Y28" s="131">
        <v>0</v>
      </c>
      <c r="Z28" s="131">
        <f t="shared" si="3"/>
        <v>0</v>
      </c>
      <c r="AA28" s="131">
        <v>0</v>
      </c>
      <c r="AB28" s="152">
        <f t="shared" si="4"/>
        <v>275833.19269614079</v>
      </c>
      <c r="AC28" s="133">
        <f>IF(D28="Physician Group Practice",(AB28/$AB$393)*'1. UC Assumptions'!$C$15,IF(E28="Rural Hospital",AB28*'1. UC Assumptions'!$C$7/'1. UC Assumptions'!$E$7,(AB28/$AB$397)*('1. UC Assumptions'!$C$9)))</f>
        <v>257472.50100001824</v>
      </c>
      <c r="AD28" s="133">
        <f t="shared" si="5"/>
        <v>0</v>
      </c>
      <c r="AE28" s="133">
        <f t="shared" si="6"/>
        <v>18360.691696122551</v>
      </c>
      <c r="AF28" s="133">
        <f t="shared" si="7"/>
        <v>0</v>
      </c>
      <c r="AG28" s="133">
        <f t="shared" si="8"/>
        <v>18360.691696122551</v>
      </c>
      <c r="AH28" s="133">
        <f t="shared" si="9"/>
        <v>257472.50100001824</v>
      </c>
      <c r="AI28" s="131">
        <f>AH28*'1. UC Assumptions'!$C$23</f>
        <v>84965.925330006008</v>
      </c>
      <c r="AJ28" s="131">
        <v>108078.73</v>
      </c>
      <c r="AK28" s="131">
        <f>AJ28*(1-'1. UC Assumptions'!$C$22)</f>
        <v>35665.980899999995</v>
      </c>
      <c r="AL28" s="131"/>
      <c r="AM28" s="131">
        <f>AL28*'1. UC Assumptions'!$C$23</f>
        <v>0</v>
      </c>
      <c r="AN28" s="153">
        <f t="shared" si="10"/>
        <v>275833.19269614079</v>
      </c>
      <c r="AO28" s="151">
        <f>AN28*'1. UC Assumptions'!$C$23</f>
        <v>91024.953589726443</v>
      </c>
      <c r="AP28" s="151">
        <f t="shared" si="11"/>
        <v>167754.46269614081</v>
      </c>
      <c r="AQ28" s="151">
        <f t="shared" si="12"/>
        <v>55358.972689726448</v>
      </c>
      <c r="AR28" s="151">
        <f t="shared" si="13"/>
        <v>55358.972689726448</v>
      </c>
      <c r="AS28" s="151">
        <f t="shared" si="14"/>
        <v>91024.953589726443</v>
      </c>
      <c r="AT28" s="151">
        <f>IF(K28="Bexar",(AG28/$AT$1)*'1. UC Assumptions'!$E$44-(AH28/$AT$2)*'1. UC Assumptions'!$E$42,0)</f>
        <v>0</v>
      </c>
      <c r="AU28" s="151">
        <f>IF(K28="Dallas",(AG28/$AU$1)*'1. UC Assumptions'!$F$44-(AH28/$AU$2)*'1. UC Assumptions'!$F$42,0)</f>
        <v>0</v>
      </c>
      <c r="AV28" s="151">
        <f>IF(K28="El Paso",(AG28/$AV$1)*'1. UC Assumptions'!$G$44-(AH28/$AV$2)*'1. UC Assumptions'!$G$42,0)</f>
        <v>0</v>
      </c>
      <c r="AW28" s="151">
        <f>IF(K28="Harris",(AG28/$AW$1)*'1. UC Assumptions'!$H$44-(AH28/$AW$2)*'1. UC Assumptions'!$H$42,0)</f>
        <v>0</v>
      </c>
      <c r="AX28" s="151">
        <f>IF(K28="Hidalgo",(AG28/$AX$1)*'1. UC Assumptions'!$I$44-(AH28/$AX$2)*'1. UC Assumptions'!$I$42,0)</f>
        <v>0</v>
      </c>
      <c r="AY28" s="151">
        <f>IF(K28="Jefferson",(AG28/$AY$1)*'1. UC Assumptions'!$J$44-(AH28/$AY$2)*'1. UC Assumptions'!$J$42,0)</f>
        <v>0</v>
      </c>
      <c r="AZ28" s="151">
        <f>IF(K28="Lubbock",(AG28/$AZ$1)*'1. UC Assumptions'!$K$44-(AH28/$AZ$2)*'1. UC Assumptions'!$K$42,0)</f>
        <v>0</v>
      </c>
      <c r="BA28" s="151">
        <f>IF(K28="MRSA Central",(AG28/$BA$1)*'1. UC Assumptions'!$L$44-(AH28/$BA$2)*'1. UC Assumptions'!$L$42,0)</f>
        <v>0</v>
      </c>
      <c r="BB28" s="151">
        <f>IF(K28="MRSA Northeast",(AG28/$BB$1)*'1. UC Assumptions'!$M$44-(AH28/$BB$2)*'1. UC Assumptions'!$M$42,0)</f>
        <v>0</v>
      </c>
      <c r="BC28" s="151">
        <f>IF(K28="MRSA West",(AG28/$BC$1)*'1. UC Assumptions'!$N$44-(AH28/$BC$2)*'1. UC Assumptions'!$N$42,0)</f>
        <v>0</v>
      </c>
      <c r="BD28" s="151">
        <f>IF(K28="Nueces",(AG28/$BD$1)*'1. UC Assumptions'!$O$44-(AH28/$BD$2)*'1. UC Assumptions'!$O$42,0)</f>
        <v>0</v>
      </c>
      <c r="BE28" s="151">
        <f>IF(K28="Tarrant",(AG28/$BE$1)*'1. UC Assumptions'!$P$44-(AH28/$BE$2)*'1. UC Assumptions'!$P$42,0)</f>
        <v>0</v>
      </c>
      <c r="BF28" s="151">
        <f>IF(K28="Travis",(AG28/$BF$1)*'1. UC Assumptions'!$Q$44-(AH28/$BF$2)*'1. UC Assumptions'!$Q$42,0)</f>
        <v>0</v>
      </c>
      <c r="BG28" s="151">
        <f t="shared" si="15"/>
        <v>0</v>
      </c>
      <c r="BH28" s="151">
        <f t="shared" si="16"/>
        <v>257472.50100001824</v>
      </c>
      <c r="BI28" s="151">
        <f>ROUNDDOWN(BH28*'1. UC Assumptions'!$C$23,2)</f>
        <v>84965.92</v>
      </c>
      <c r="BJ28" s="154">
        <f t="shared" si="17"/>
        <v>149393.77100001823</v>
      </c>
      <c r="BK28" s="154">
        <f t="shared" si="18"/>
        <v>49299.939100000003</v>
      </c>
      <c r="BL28" s="154">
        <f t="shared" si="19"/>
        <v>137923.32999999999</v>
      </c>
      <c r="BM28" s="154">
        <f t="shared" si="20"/>
        <v>45514.69</v>
      </c>
      <c r="BN28" s="101"/>
      <c r="BO28" s="154">
        <f>(BL28*'1. UC Assumptions'!$C$23)-'3.  UC Calculations by Hospital'!BM28</f>
        <v>8.8999999861698598E-3</v>
      </c>
      <c r="BP28" s="13"/>
    </row>
    <row r="29" spans="2:68">
      <c r="B29" s="129" t="s">
        <v>276</v>
      </c>
      <c r="C29" s="91" t="s">
        <v>276</v>
      </c>
      <c r="D29" s="91" t="s">
        <v>208</v>
      </c>
      <c r="E29" s="91" t="s">
        <v>149</v>
      </c>
      <c r="F29" s="91"/>
      <c r="G29" s="91" t="s">
        <v>209</v>
      </c>
      <c r="H29" s="91" t="s">
        <v>209</v>
      </c>
      <c r="I29" s="150" t="s">
        <v>210</v>
      </c>
      <c r="J29" s="129" t="s">
        <v>277</v>
      </c>
      <c r="K29" s="91" t="s">
        <v>8</v>
      </c>
      <c r="L29" s="91" t="s">
        <v>278</v>
      </c>
      <c r="M29" s="151">
        <v>229319.15924395519</v>
      </c>
      <c r="N29" s="151">
        <v>0</v>
      </c>
      <c r="O29" s="131">
        <v>0</v>
      </c>
      <c r="P29" s="131">
        <f t="shared" si="0"/>
        <v>0</v>
      </c>
      <c r="Q29" s="131">
        <v>198409.29642311682</v>
      </c>
      <c r="R29" s="131">
        <v>0</v>
      </c>
      <c r="S29" s="131">
        <f t="shared" si="1"/>
        <v>0</v>
      </c>
      <c r="T29" s="131">
        <f t="shared" si="2"/>
        <v>198409.29642311682</v>
      </c>
      <c r="U29" s="131">
        <v>0</v>
      </c>
      <c r="V29" s="131">
        <v>0</v>
      </c>
      <c r="W29" s="131">
        <v>0</v>
      </c>
      <c r="X29" s="131">
        <v>0</v>
      </c>
      <c r="Y29" s="131">
        <v>0</v>
      </c>
      <c r="Z29" s="131">
        <f t="shared" si="3"/>
        <v>0</v>
      </c>
      <c r="AA29" s="131">
        <v>0</v>
      </c>
      <c r="AB29" s="152">
        <f t="shared" si="4"/>
        <v>198409.29642311682</v>
      </c>
      <c r="AC29" s="133">
        <f>IF(D29="Physician Group Practice",(AB29/$AB$393)*'1. UC Assumptions'!$C$15,IF(E29="Rural Hospital",AB29*'1. UC Assumptions'!$C$7/'1. UC Assumptions'!$E$7,(AB29/$AB$397)*('1. UC Assumptions'!$C$9)))</f>
        <v>185202.28574517238</v>
      </c>
      <c r="AD29" s="133">
        <f t="shared" si="5"/>
        <v>0</v>
      </c>
      <c r="AE29" s="133">
        <f t="shared" si="6"/>
        <v>13207.010677944432</v>
      </c>
      <c r="AF29" s="133">
        <f t="shared" si="7"/>
        <v>0</v>
      </c>
      <c r="AG29" s="133">
        <f t="shared" si="8"/>
        <v>13207.010677944432</v>
      </c>
      <c r="AH29" s="133">
        <f t="shared" si="9"/>
        <v>185202.28574517238</v>
      </c>
      <c r="AI29" s="131">
        <f>AH29*'1. UC Assumptions'!$C$23</f>
        <v>61116.754295906881</v>
      </c>
      <c r="AJ29" s="131">
        <v>265305.89</v>
      </c>
      <c r="AK29" s="131">
        <f>AJ29*(1-'1. UC Assumptions'!$C$22)</f>
        <v>87550.943699999989</v>
      </c>
      <c r="AL29" s="131"/>
      <c r="AM29" s="131">
        <f>AL29*'1. UC Assumptions'!$C$23</f>
        <v>0</v>
      </c>
      <c r="AN29" s="153">
        <f t="shared" si="10"/>
        <v>198409.29642311682</v>
      </c>
      <c r="AO29" s="151">
        <f>AN29*'1. UC Assumptions'!$C$23</f>
        <v>65475.067819628544</v>
      </c>
      <c r="AP29" s="151">
        <f t="shared" si="11"/>
        <v>-66896.593576883199</v>
      </c>
      <c r="AQ29" s="151">
        <f t="shared" si="12"/>
        <v>-22075.875880371445</v>
      </c>
      <c r="AR29" s="151">
        <f t="shared" si="13"/>
        <v>-22075.875880371445</v>
      </c>
      <c r="AS29" s="151">
        <f t="shared" si="14"/>
        <v>65475.067819628544</v>
      </c>
      <c r="AT29" s="151">
        <f>IF(K29="Bexar",(AG29/$AT$1)*'1. UC Assumptions'!$E$44-(AH29/$AT$2)*'1. UC Assumptions'!$E$42,0)</f>
        <v>0</v>
      </c>
      <c r="AU29" s="151">
        <f>IF(K29="Dallas",(AG29/$AU$1)*'1. UC Assumptions'!$F$44-(AH29/$AU$2)*'1. UC Assumptions'!$F$42,0)</f>
        <v>0</v>
      </c>
      <c r="AV29" s="151">
        <f>IF(K29="El Paso",(AG29/$AV$1)*'1. UC Assumptions'!$G$44-(AH29/$AV$2)*'1. UC Assumptions'!$G$42,0)</f>
        <v>0</v>
      </c>
      <c r="AW29" s="151">
        <f>IF(K29="Harris",(AG29/$AW$1)*'1. UC Assumptions'!$H$44-(AH29/$AW$2)*'1. UC Assumptions'!$H$42,0)</f>
        <v>0</v>
      </c>
      <c r="AX29" s="151">
        <f>IF(K29="Hidalgo",(AG29/$AX$1)*'1. UC Assumptions'!$I$44-(AH29/$AX$2)*'1. UC Assumptions'!$I$42,0)</f>
        <v>0</v>
      </c>
      <c r="AY29" s="151">
        <f>IF(K29="Jefferson",(AG29/$AY$1)*'1. UC Assumptions'!$J$44-(AH29/$AY$2)*'1. UC Assumptions'!$J$42,0)</f>
        <v>0</v>
      </c>
      <c r="AZ29" s="151">
        <f>IF(K29="Lubbock",(AG29/$AZ$1)*'1. UC Assumptions'!$K$44-(AH29/$AZ$2)*'1. UC Assumptions'!$K$42,0)</f>
        <v>0</v>
      </c>
      <c r="BA29" s="151">
        <f>IF(K29="MRSA Central",(AG29/$BA$1)*'1. UC Assumptions'!$L$44-(AH29/$BA$2)*'1. UC Assumptions'!$L$42,0)</f>
        <v>0</v>
      </c>
      <c r="BB29" s="151">
        <f>IF(K29="MRSA Northeast",(AG29/$BB$1)*'1. UC Assumptions'!$M$44-(AH29/$BB$2)*'1. UC Assumptions'!$M$42,0)</f>
        <v>0</v>
      </c>
      <c r="BC29" s="151">
        <f>IF(K29="MRSA West",(AG29/$BC$1)*'1. UC Assumptions'!$N$44-(AH29/$BC$2)*'1. UC Assumptions'!$N$42,0)</f>
        <v>0</v>
      </c>
      <c r="BD29" s="151">
        <f>IF(K29="Nueces",(AG29/$BD$1)*'1. UC Assumptions'!$O$44-(AH29/$BD$2)*'1. UC Assumptions'!$O$42,0)</f>
        <v>0</v>
      </c>
      <c r="BE29" s="151">
        <f>IF(K29="Tarrant",(AG29/$BE$1)*'1. UC Assumptions'!$P$44-(AH29/$BE$2)*'1. UC Assumptions'!$P$42,0)</f>
        <v>0</v>
      </c>
      <c r="BF29" s="151">
        <f>IF(K29="Travis",(AG29/$BF$1)*'1. UC Assumptions'!$Q$44-(AH29/$BF$2)*'1. UC Assumptions'!$Q$42,0)</f>
        <v>0</v>
      </c>
      <c r="BG29" s="151">
        <f t="shared" si="15"/>
        <v>0</v>
      </c>
      <c r="BH29" s="151">
        <f t="shared" si="16"/>
        <v>185202.28574517238</v>
      </c>
      <c r="BI29" s="151">
        <f>ROUNDDOWN(BH29*'1. UC Assumptions'!$C$23,2)</f>
        <v>61116.75</v>
      </c>
      <c r="BJ29" s="154">
        <f t="shared" si="17"/>
        <v>-80103.604254827631</v>
      </c>
      <c r="BK29" s="154">
        <f t="shared" si="18"/>
        <v>-26434.193699999989</v>
      </c>
      <c r="BL29" s="154">
        <f t="shared" si="19"/>
        <v>0</v>
      </c>
      <c r="BM29" s="154">
        <f t="shared" si="20"/>
        <v>0</v>
      </c>
      <c r="BN29" s="101"/>
      <c r="BO29" s="154">
        <f>(BL29*'1. UC Assumptions'!$C$23)-'3.  UC Calculations by Hospital'!BM29</f>
        <v>0</v>
      </c>
      <c r="BP29" s="13"/>
    </row>
    <row r="30" spans="2:68">
      <c r="B30" s="129" t="s">
        <v>279</v>
      </c>
      <c r="C30" s="91" t="s">
        <v>279</v>
      </c>
      <c r="D30" s="91" t="s">
        <v>214</v>
      </c>
      <c r="E30" s="91"/>
      <c r="F30" s="91"/>
      <c r="G30" s="91" t="s">
        <v>209</v>
      </c>
      <c r="H30" s="91" t="s">
        <v>227</v>
      </c>
      <c r="I30" s="150" t="s">
        <v>210</v>
      </c>
      <c r="J30" s="129" t="s">
        <v>280</v>
      </c>
      <c r="K30" s="91" t="s">
        <v>14</v>
      </c>
      <c r="L30" s="91" t="s">
        <v>14</v>
      </c>
      <c r="M30" s="151">
        <v>-152652721.91002291</v>
      </c>
      <c r="N30" s="151">
        <v>20223323.261183664</v>
      </c>
      <c r="O30" s="131">
        <v>9718808.2545386627</v>
      </c>
      <c r="P30" s="131">
        <f t="shared" si="0"/>
        <v>10504515.006645001</v>
      </c>
      <c r="Q30" s="131">
        <v>24881353.345307998</v>
      </c>
      <c r="R30" s="131">
        <v>0</v>
      </c>
      <c r="S30" s="131">
        <f t="shared" si="1"/>
        <v>0</v>
      </c>
      <c r="T30" s="131">
        <f t="shared" si="2"/>
        <v>24881353.345307998</v>
      </c>
      <c r="U30" s="131">
        <v>0</v>
      </c>
      <c r="V30" s="131">
        <v>0</v>
      </c>
      <c r="W30" s="131">
        <v>0</v>
      </c>
      <c r="X30" s="131">
        <v>0</v>
      </c>
      <c r="Y30" s="131">
        <v>1193049</v>
      </c>
      <c r="Z30" s="131">
        <f t="shared" si="3"/>
        <v>1193049</v>
      </c>
      <c r="AA30" s="131">
        <v>0</v>
      </c>
      <c r="AB30" s="152">
        <f t="shared" si="4"/>
        <v>26074402.345307998</v>
      </c>
      <c r="AC30" s="133">
        <f>IF(D30="Physician Group Practice",(AB30/$AB$393)*'1. UC Assumptions'!$C$15,IF(E30="Rural Hospital",AB30*'1. UC Assumptions'!$C$7/'1. UC Assumptions'!$E$7,(AB30/$AB$397)*('1. UC Assumptions'!$C$9)))</f>
        <v>12258765.710334791</v>
      </c>
      <c r="AD30" s="133">
        <f t="shared" si="5"/>
        <v>0</v>
      </c>
      <c r="AE30" s="133">
        <f t="shared" si="6"/>
        <v>13815636.634973207</v>
      </c>
      <c r="AF30" s="133">
        <f t="shared" si="7"/>
        <v>0</v>
      </c>
      <c r="AG30" s="133">
        <f t="shared" si="8"/>
        <v>13815636.634973207</v>
      </c>
      <c r="AH30" s="133">
        <f t="shared" si="9"/>
        <v>12258765.710334791</v>
      </c>
      <c r="AI30" s="131">
        <f>AH30*'1. UC Assumptions'!$C$23</f>
        <v>4045392.6844104803</v>
      </c>
      <c r="AJ30" s="131">
        <v>8456320.8300000001</v>
      </c>
      <c r="AK30" s="131">
        <f>AJ30*(1-'1. UC Assumptions'!$C$22)</f>
        <v>2790585.8738999995</v>
      </c>
      <c r="AL30" s="131"/>
      <c r="AM30" s="131">
        <f>AL30*'1. UC Assumptions'!$C$23</f>
        <v>0</v>
      </c>
      <c r="AN30" s="153">
        <f t="shared" si="10"/>
        <v>26074402.345307998</v>
      </c>
      <c r="AO30" s="151">
        <f>AN30*'1. UC Assumptions'!$C$23</f>
        <v>8604552.7739516385</v>
      </c>
      <c r="AP30" s="151">
        <f t="shared" si="11"/>
        <v>17618081.515308</v>
      </c>
      <c r="AQ30" s="151">
        <f t="shared" si="12"/>
        <v>5813966.9000516385</v>
      </c>
      <c r="AR30" s="151">
        <f t="shared" si="13"/>
        <v>5813966.9000516385</v>
      </c>
      <c r="AS30" s="151">
        <f t="shared" si="14"/>
        <v>8604552.7739516385</v>
      </c>
      <c r="AT30" s="151">
        <f>IF(K30="Bexar",(AG30/$AT$1)*'1. UC Assumptions'!$E$44-(AH30/$AT$2)*'1. UC Assumptions'!$E$42,0)</f>
        <v>0</v>
      </c>
      <c r="AU30" s="151">
        <f>IF(K30="Dallas",(AG30/$AU$1)*'1. UC Assumptions'!$F$44-(AH30/$AU$2)*'1. UC Assumptions'!$F$42,0)</f>
        <v>0</v>
      </c>
      <c r="AV30" s="151">
        <f>IF(K30="El Paso",(AG30/$AV$1)*'1. UC Assumptions'!$G$44-(AH30/$AV$2)*'1. UC Assumptions'!$G$42,0)</f>
        <v>0</v>
      </c>
      <c r="AW30" s="151">
        <f>IF(K30="Harris",(AG30/$AW$1)*'1. UC Assumptions'!$H$44-(AH30/$AW$2)*'1. UC Assumptions'!$H$42,0)</f>
        <v>0</v>
      </c>
      <c r="AX30" s="151">
        <f>IF(K30="Hidalgo",(AG30/$AX$1)*'1. UC Assumptions'!$I$44-(AH30/$AX$2)*'1. UC Assumptions'!$I$42,0)</f>
        <v>0</v>
      </c>
      <c r="AY30" s="151">
        <f>IF(K30="Jefferson",(AG30/$AY$1)*'1. UC Assumptions'!$J$44-(AH30/$AY$2)*'1. UC Assumptions'!$J$42,0)</f>
        <v>0</v>
      </c>
      <c r="AZ30" s="151">
        <f>IF(K30="Lubbock",(AG30/$AZ$1)*'1. UC Assumptions'!$K$44-(AH30/$AZ$2)*'1. UC Assumptions'!$K$42,0)</f>
        <v>0</v>
      </c>
      <c r="BA30" s="151">
        <f>IF(K30="MRSA Central",(AG30/$BA$1)*'1. UC Assumptions'!$L$44-(AH30/$BA$2)*'1. UC Assumptions'!$L$42,0)</f>
        <v>0</v>
      </c>
      <c r="BB30" s="151">
        <f>IF(K30="MRSA Northeast",(AG30/$BB$1)*'1. UC Assumptions'!$M$44-(AH30/$BB$2)*'1. UC Assumptions'!$M$42,0)</f>
        <v>0</v>
      </c>
      <c r="BC30" s="151">
        <f>IF(K30="MRSA West",(AG30/$BC$1)*'1. UC Assumptions'!$N$44-(AH30/$BC$2)*'1. UC Assumptions'!$N$42,0)</f>
        <v>0</v>
      </c>
      <c r="BD30" s="151">
        <f>IF(K30="Nueces",(AG30/$BD$1)*'1. UC Assumptions'!$O$44-(AH30/$BD$2)*'1. UC Assumptions'!$O$42,0)</f>
        <v>0</v>
      </c>
      <c r="BE30" s="151">
        <f>IF(K30="Tarrant",(AG30/$BE$1)*'1. UC Assumptions'!$P$44-(AH30/$BE$2)*'1. UC Assumptions'!$P$42,0)</f>
        <v>0</v>
      </c>
      <c r="BF30" s="151">
        <f>IF(K30="Travis",(AG30/$BF$1)*'1. UC Assumptions'!$Q$44-(AH30/$BF$2)*'1. UC Assumptions'!$Q$42,0)</f>
        <v>0</v>
      </c>
      <c r="BG30" s="151">
        <f t="shared" si="15"/>
        <v>0</v>
      </c>
      <c r="BH30" s="151">
        <f t="shared" si="16"/>
        <v>12258765.710334791</v>
      </c>
      <c r="BI30" s="151">
        <f>ROUNDDOWN(BH30*'1. UC Assumptions'!$C$23,2)</f>
        <v>4045392.68</v>
      </c>
      <c r="BJ30" s="154">
        <f t="shared" si="17"/>
        <v>3802444.8803347908</v>
      </c>
      <c r="BK30" s="154">
        <f t="shared" si="18"/>
        <v>1254806.8061000006</v>
      </c>
      <c r="BL30" s="154">
        <f t="shared" si="19"/>
        <v>3510493.49</v>
      </c>
      <c r="BM30" s="154">
        <f t="shared" si="20"/>
        <v>1158462.8500000001</v>
      </c>
      <c r="BN30" s="101"/>
      <c r="BO30" s="154">
        <f>(BL30*'1. UC Assumptions'!$C$23)-'3.  UC Calculations by Hospital'!BM30</f>
        <v>1.6999999061226845E-3</v>
      </c>
      <c r="BP30" s="13"/>
    </row>
    <row r="31" spans="2:68">
      <c r="B31" s="129" t="s">
        <v>102</v>
      </c>
      <c r="C31" s="91" t="s">
        <v>102</v>
      </c>
      <c r="D31" s="91" t="s">
        <v>281</v>
      </c>
      <c r="E31" s="91"/>
      <c r="F31" s="91"/>
      <c r="G31" s="91" t="s">
        <v>282</v>
      </c>
      <c r="H31" s="91" t="s">
        <v>209</v>
      </c>
      <c r="I31" s="150" t="s">
        <v>283</v>
      </c>
      <c r="J31" s="129" t="s">
        <v>284</v>
      </c>
      <c r="K31" s="91" t="s">
        <v>6</v>
      </c>
      <c r="L31" s="91" t="s">
        <v>6</v>
      </c>
      <c r="M31" s="151">
        <v>253475.00321579515</v>
      </c>
      <c r="N31" s="151">
        <v>32486188.493878856</v>
      </c>
      <c r="O31" s="131">
        <v>2801900.6992388605</v>
      </c>
      <c r="P31" s="131">
        <f t="shared" si="0"/>
        <v>29684287.794639997</v>
      </c>
      <c r="Q31" s="131">
        <v>2812917.7507861252</v>
      </c>
      <c r="R31" s="131">
        <v>28347959</v>
      </c>
      <c r="S31" s="131">
        <f t="shared" si="1"/>
        <v>0</v>
      </c>
      <c r="T31" s="131">
        <f t="shared" si="2"/>
        <v>2812917.7507861252</v>
      </c>
      <c r="U31" s="131">
        <v>3137941.88</v>
      </c>
      <c r="V31" s="131">
        <v>0</v>
      </c>
      <c r="W31" s="131">
        <v>0</v>
      </c>
      <c r="X31" s="131">
        <v>0</v>
      </c>
      <c r="Y31" s="131">
        <v>0</v>
      </c>
      <c r="Z31" s="131">
        <f t="shared" si="3"/>
        <v>3137941.88</v>
      </c>
      <c r="AA31" s="131">
        <v>0</v>
      </c>
      <c r="AB31" s="152">
        <f t="shared" si="4"/>
        <v>3137941.88</v>
      </c>
      <c r="AC31" s="133">
        <f>IF(D31="Physician Group Practice",(AB31/$AB$393)*'1. UC Assumptions'!$C$15,IF(E31="Rural Hospital",AB31*'1. UC Assumptions'!$C$7/'1. UC Assumptions'!$E$7,(AB31/$AB$397)*('1. UC Assumptions'!$C$9)))</f>
        <v>1475289.58900527</v>
      </c>
      <c r="AD31" s="133">
        <f t="shared" si="5"/>
        <v>0</v>
      </c>
      <c r="AE31" s="133">
        <f t="shared" si="6"/>
        <v>1662652.2909947298</v>
      </c>
      <c r="AF31" s="133">
        <f t="shared" si="7"/>
        <v>0</v>
      </c>
      <c r="AG31" s="133">
        <f t="shared" si="8"/>
        <v>1662652.2909947298</v>
      </c>
      <c r="AH31" s="133">
        <f t="shared" si="9"/>
        <v>1475289.58900527</v>
      </c>
      <c r="AI31" s="131">
        <f>AH31*'1. UC Assumptions'!$C$23</f>
        <v>486845.56437173905</v>
      </c>
      <c r="AJ31" s="131">
        <v>1277619.43</v>
      </c>
      <c r="AK31" s="131">
        <f>AJ31*(1-'1. UC Assumptions'!$C$22)</f>
        <v>421614.41189999995</v>
      </c>
      <c r="AL31" s="131"/>
      <c r="AM31" s="131">
        <f>AL31*'1. UC Assumptions'!$C$23</f>
        <v>0</v>
      </c>
      <c r="AN31" s="153">
        <f t="shared" si="10"/>
        <v>3137941.88</v>
      </c>
      <c r="AO31" s="151">
        <f>AN31*'1. UC Assumptions'!$C$23</f>
        <v>1035520.8203999999</v>
      </c>
      <c r="AP31" s="151">
        <f t="shared" si="11"/>
        <v>3137941.88</v>
      </c>
      <c r="AQ31" s="151">
        <f t="shared" si="12"/>
        <v>1035520.8203999999</v>
      </c>
      <c r="AR31" s="151">
        <f t="shared" si="13"/>
        <v>1035520.8203999999</v>
      </c>
      <c r="AS31" s="151">
        <f t="shared" si="14"/>
        <v>1035520.8203999999</v>
      </c>
      <c r="AT31" s="151">
        <f>IF(K31="Bexar",(AG31/$AT$1)*'1. UC Assumptions'!$E$44-(AH31/$AT$2)*'1. UC Assumptions'!$E$42,0)</f>
        <v>0</v>
      </c>
      <c r="AU31" s="151">
        <f>IF(K31="Dallas",(AG31/$AU$1)*'1. UC Assumptions'!$F$44-(AH31/$AU$2)*'1. UC Assumptions'!$F$42,0)</f>
        <v>0</v>
      </c>
      <c r="AV31" s="151">
        <f>IF(K31="El Paso",(AG31/$AV$1)*'1. UC Assumptions'!$G$44-(AH31/$AV$2)*'1. UC Assumptions'!$G$42,0)</f>
        <v>0</v>
      </c>
      <c r="AW31" s="151">
        <f>IF(K31="Harris",(AG31/$AW$1)*'1. UC Assumptions'!$H$44-(AH31/$AW$2)*'1. UC Assumptions'!$H$42,0)</f>
        <v>0</v>
      </c>
      <c r="AX31" s="151">
        <f>IF(K31="Hidalgo",(AG31/$AX$1)*'1. UC Assumptions'!$I$44-(AH31/$AX$2)*'1. UC Assumptions'!$I$42,0)</f>
        <v>0</v>
      </c>
      <c r="AY31" s="151">
        <f>IF(K31="Jefferson",(AG31/$AY$1)*'1. UC Assumptions'!$J$44-(AH31/$AY$2)*'1. UC Assumptions'!$J$42,0)</f>
        <v>0</v>
      </c>
      <c r="AZ31" s="151">
        <f>IF(K31="Lubbock",(AG31/$AZ$1)*'1. UC Assumptions'!$K$44-(AH31/$AZ$2)*'1. UC Assumptions'!$K$42,0)</f>
        <v>0</v>
      </c>
      <c r="BA31" s="151">
        <f>IF(K31="MRSA Central",(AG31/$BA$1)*'1. UC Assumptions'!$L$44-(AH31/$BA$2)*'1. UC Assumptions'!$L$42,0)</f>
        <v>0</v>
      </c>
      <c r="BB31" s="151">
        <f>IF(K31="MRSA Northeast",(AG31/$BB$1)*'1. UC Assumptions'!$M$44-(AH31/$BB$2)*'1. UC Assumptions'!$M$42,0)</f>
        <v>0</v>
      </c>
      <c r="BC31" s="151">
        <f>IF(K31="MRSA West",(AG31/$BC$1)*'1. UC Assumptions'!$N$44-(AH31/$BC$2)*'1. UC Assumptions'!$N$42,0)</f>
        <v>0</v>
      </c>
      <c r="BD31" s="151">
        <f>IF(K31="Nueces",(AG31/$BD$1)*'1. UC Assumptions'!$O$44-(AH31/$BD$2)*'1. UC Assumptions'!$O$42,0)</f>
        <v>0</v>
      </c>
      <c r="BE31" s="151">
        <f>IF(K31="Tarrant",(AG31/$BE$1)*'1. UC Assumptions'!$P$44-(AH31/$BE$2)*'1. UC Assumptions'!$P$42,0)</f>
        <v>0</v>
      </c>
      <c r="BF31" s="151">
        <f>IF(K31="Travis",(AG31/$BF$1)*'1. UC Assumptions'!$Q$44-(AH31/$BF$2)*'1. UC Assumptions'!$Q$42,0)</f>
        <v>0</v>
      </c>
      <c r="BG31" s="151">
        <f t="shared" si="15"/>
        <v>0</v>
      </c>
      <c r="BH31" s="151">
        <f t="shared" si="16"/>
        <v>1475289.58900527</v>
      </c>
      <c r="BI31" s="151">
        <f>ROUNDDOWN(BH31*'1. UC Assumptions'!$C$23,2)</f>
        <v>486845.56</v>
      </c>
      <c r="BJ31" s="154">
        <f t="shared" si="17"/>
        <v>1475289.58900527</v>
      </c>
      <c r="BK31" s="154">
        <f t="shared" si="18"/>
        <v>486845.56</v>
      </c>
      <c r="BL31" s="154">
        <f t="shared" si="19"/>
        <v>1362016.98</v>
      </c>
      <c r="BM31" s="154">
        <f t="shared" si="20"/>
        <v>449465.59999999998</v>
      </c>
      <c r="BN31" s="101"/>
      <c r="BO31" s="154">
        <f>(BL31*'1. UC Assumptions'!$C$23)-'3.  UC Calculations by Hospital'!BM31</f>
        <v>3.3999999868683517E-3</v>
      </c>
      <c r="BP31" s="13"/>
    </row>
    <row r="32" spans="2:68">
      <c r="B32" s="129" t="s">
        <v>285</v>
      </c>
      <c r="C32" s="91" t="s">
        <v>285</v>
      </c>
      <c r="D32" s="91" t="s">
        <v>286</v>
      </c>
      <c r="E32" s="91"/>
      <c r="F32" s="91"/>
      <c r="G32" s="91" t="s">
        <v>287</v>
      </c>
      <c r="H32" s="91" t="s">
        <v>209</v>
      </c>
      <c r="I32" s="150" t="s">
        <v>210</v>
      </c>
      <c r="J32" s="129" t="s">
        <v>288</v>
      </c>
      <c r="K32" s="91" t="s">
        <v>14</v>
      </c>
      <c r="L32" s="91" t="s">
        <v>14</v>
      </c>
      <c r="M32" s="151">
        <v>-1828756.630796242</v>
      </c>
      <c r="N32" s="151">
        <v>2883519.8303305455</v>
      </c>
      <c r="O32" s="131">
        <v>23829.991153300478</v>
      </c>
      <c r="P32" s="131">
        <f t="shared" si="0"/>
        <v>2859689.8391772453</v>
      </c>
      <c r="Q32" s="131">
        <v>24487.360868951757</v>
      </c>
      <c r="R32" s="131">
        <v>2736862.05</v>
      </c>
      <c r="S32" s="131">
        <f t="shared" si="1"/>
        <v>1705928.8416189961</v>
      </c>
      <c r="T32" s="131">
        <f t="shared" si="2"/>
        <v>0</v>
      </c>
      <c r="U32" s="131">
        <v>0</v>
      </c>
      <c r="V32" s="131">
        <v>0</v>
      </c>
      <c r="W32" s="131">
        <v>0</v>
      </c>
      <c r="X32" s="131">
        <v>0</v>
      </c>
      <c r="Y32" s="131">
        <v>0</v>
      </c>
      <c r="Z32" s="131">
        <f t="shared" si="3"/>
        <v>0</v>
      </c>
      <c r="AA32" s="131">
        <v>0</v>
      </c>
      <c r="AB32" s="152">
        <f t="shared" si="4"/>
        <v>0</v>
      </c>
      <c r="AC32" s="133">
        <f>IF(D32="Physician Group Practice",(AB32/$AB$393)*'1. UC Assumptions'!$C$15,IF(E32="Rural Hospital",AB32*'1. UC Assumptions'!$C$7/'1. UC Assumptions'!$E$7,(AB32/$AB$397)*('1. UC Assumptions'!$C$9)))</f>
        <v>0</v>
      </c>
      <c r="AD32" s="133">
        <f t="shared" si="5"/>
        <v>0</v>
      </c>
      <c r="AE32" s="133">
        <f t="shared" si="6"/>
        <v>0</v>
      </c>
      <c r="AF32" s="133">
        <f t="shared" si="7"/>
        <v>0</v>
      </c>
      <c r="AG32" s="133">
        <f t="shared" si="8"/>
        <v>0</v>
      </c>
      <c r="AH32" s="133">
        <f t="shared" si="9"/>
        <v>0</v>
      </c>
      <c r="AI32" s="131">
        <f>AH32*'1. UC Assumptions'!$C$23</f>
        <v>0</v>
      </c>
      <c r="AJ32" s="131">
        <v>16454.810000000001</v>
      </c>
      <c r="AK32" s="131">
        <f>AJ32*(1-'1. UC Assumptions'!$C$22)</f>
        <v>5430.0873000000001</v>
      </c>
      <c r="AL32" s="131"/>
      <c r="AM32" s="131">
        <f>AL32*'1. UC Assumptions'!$C$23</f>
        <v>0</v>
      </c>
      <c r="AN32" s="153">
        <f t="shared" si="10"/>
        <v>0</v>
      </c>
      <c r="AO32" s="151">
        <f>AN32*'1. UC Assumptions'!$C$23</f>
        <v>0</v>
      </c>
      <c r="AP32" s="151">
        <f t="shared" si="11"/>
        <v>-16454.810000000001</v>
      </c>
      <c r="AQ32" s="151">
        <f t="shared" si="12"/>
        <v>-5430.0873000000001</v>
      </c>
      <c r="AR32" s="151">
        <f t="shared" si="13"/>
        <v>-5430.0873000000001</v>
      </c>
      <c r="AS32" s="151">
        <f t="shared" si="14"/>
        <v>0</v>
      </c>
      <c r="AT32" s="151">
        <f>IF(K32="Bexar",(AG32/$AT$1)*'1. UC Assumptions'!$E$44-(AH32/$AT$2)*'1. UC Assumptions'!$E$42,0)</f>
        <v>0</v>
      </c>
      <c r="AU32" s="151">
        <f>IF(K32="Dallas",(AG32/$AU$1)*'1. UC Assumptions'!$F$44-(AH32/$AU$2)*'1. UC Assumptions'!$F$42,0)</f>
        <v>0</v>
      </c>
      <c r="AV32" s="151">
        <f>IF(K32="El Paso",(AG32/$AV$1)*'1. UC Assumptions'!$G$44-(AH32/$AV$2)*'1. UC Assumptions'!$G$42,0)</f>
        <v>0</v>
      </c>
      <c r="AW32" s="151">
        <f>IF(K32="Harris",(AG32/$AW$1)*'1. UC Assumptions'!$H$44-(AH32/$AW$2)*'1. UC Assumptions'!$H$42,0)</f>
        <v>0</v>
      </c>
      <c r="AX32" s="151">
        <f>IF(K32="Hidalgo",(AG32/$AX$1)*'1. UC Assumptions'!$I$44-(AH32/$AX$2)*'1. UC Assumptions'!$I$42,0)</f>
        <v>0</v>
      </c>
      <c r="AY32" s="151">
        <f>IF(K32="Jefferson",(AG32/$AY$1)*'1. UC Assumptions'!$J$44-(AH32/$AY$2)*'1. UC Assumptions'!$J$42,0)</f>
        <v>0</v>
      </c>
      <c r="AZ32" s="151">
        <f>IF(K32="Lubbock",(AG32/$AZ$1)*'1. UC Assumptions'!$K$44-(AH32/$AZ$2)*'1. UC Assumptions'!$K$42,0)</f>
        <v>0</v>
      </c>
      <c r="BA32" s="151">
        <f>IF(K32="MRSA Central",(AG32/$BA$1)*'1. UC Assumptions'!$L$44-(AH32/$BA$2)*'1. UC Assumptions'!$L$42,0)</f>
        <v>0</v>
      </c>
      <c r="BB32" s="151">
        <f>IF(K32="MRSA Northeast",(AG32/$BB$1)*'1. UC Assumptions'!$M$44-(AH32/$BB$2)*'1. UC Assumptions'!$M$42,0)</f>
        <v>0</v>
      </c>
      <c r="BC32" s="151">
        <f>IF(K32="MRSA West",(AG32/$BC$1)*'1. UC Assumptions'!$N$44-(AH32/$BC$2)*'1. UC Assumptions'!$N$42,0)</f>
        <v>0</v>
      </c>
      <c r="BD32" s="151">
        <f>IF(K32="Nueces",(AG32/$BD$1)*'1. UC Assumptions'!$O$44-(AH32/$BD$2)*'1. UC Assumptions'!$O$42,0)</f>
        <v>0</v>
      </c>
      <c r="BE32" s="151">
        <f>IF(K32="Tarrant",(AG32/$BE$1)*'1. UC Assumptions'!$P$44-(AH32/$BE$2)*'1. UC Assumptions'!$P$42,0)</f>
        <v>0</v>
      </c>
      <c r="BF32" s="151">
        <f>IF(K32="Travis",(AG32/$BF$1)*'1. UC Assumptions'!$Q$44-(AH32/$BF$2)*'1. UC Assumptions'!$Q$42,0)</f>
        <v>0</v>
      </c>
      <c r="BG32" s="151">
        <f t="shared" si="15"/>
        <v>0</v>
      </c>
      <c r="BH32" s="151">
        <f t="shared" si="16"/>
        <v>0</v>
      </c>
      <c r="BI32" s="151">
        <f>ROUNDDOWN(BH32*'1. UC Assumptions'!$C$23,2)</f>
        <v>0</v>
      </c>
      <c r="BJ32" s="154">
        <f t="shared" si="17"/>
        <v>-16454.810000000001</v>
      </c>
      <c r="BK32" s="154">
        <f t="shared" si="18"/>
        <v>-5430.0873000000001</v>
      </c>
      <c r="BL32" s="154">
        <f t="shared" si="19"/>
        <v>0</v>
      </c>
      <c r="BM32" s="154">
        <f t="shared" si="20"/>
        <v>0</v>
      </c>
      <c r="BN32" s="101"/>
      <c r="BO32" s="154">
        <f>(BL32*'1. UC Assumptions'!$C$23)-'3.  UC Calculations by Hospital'!BM32</f>
        <v>0</v>
      </c>
      <c r="BP32" s="13"/>
    </row>
    <row r="33" spans="2:68">
      <c r="B33" s="129" t="s">
        <v>103</v>
      </c>
      <c r="C33" s="91" t="s">
        <v>103</v>
      </c>
      <c r="D33" s="91" t="s">
        <v>281</v>
      </c>
      <c r="E33" s="91"/>
      <c r="F33" s="91"/>
      <c r="G33" s="91" t="s">
        <v>282</v>
      </c>
      <c r="H33" s="91" t="s">
        <v>209</v>
      </c>
      <c r="I33" s="150" t="s">
        <v>283</v>
      </c>
      <c r="J33" s="129" t="s">
        <v>289</v>
      </c>
      <c r="K33" s="91" t="s">
        <v>15</v>
      </c>
      <c r="L33" s="91" t="s">
        <v>15</v>
      </c>
      <c r="M33" s="151">
        <v>8829662.9727776516</v>
      </c>
      <c r="N33" s="151">
        <v>42476370.675217919</v>
      </c>
      <c r="O33" s="131">
        <v>0</v>
      </c>
      <c r="P33" s="131">
        <f t="shared" si="0"/>
        <v>42476370.675217919</v>
      </c>
      <c r="Q33" s="131">
        <v>0</v>
      </c>
      <c r="R33" s="131">
        <v>43950491</v>
      </c>
      <c r="S33" s="131">
        <f t="shared" si="1"/>
        <v>0</v>
      </c>
      <c r="T33" s="131">
        <f t="shared" si="2"/>
        <v>0</v>
      </c>
      <c r="U33" s="131">
        <v>6494</v>
      </c>
      <c r="V33" s="131">
        <v>0</v>
      </c>
      <c r="W33" s="131">
        <v>0</v>
      </c>
      <c r="X33" s="131">
        <v>0</v>
      </c>
      <c r="Y33" s="131">
        <v>156925</v>
      </c>
      <c r="Z33" s="131">
        <f t="shared" si="3"/>
        <v>163419</v>
      </c>
      <c r="AA33" s="131">
        <v>0</v>
      </c>
      <c r="AB33" s="152">
        <f t="shared" si="4"/>
        <v>6494</v>
      </c>
      <c r="AC33" s="133">
        <f>IF(D33="Physician Group Practice",(AB33/$AB$393)*'1. UC Assumptions'!$C$15,IF(E33="Rural Hospital",AB33*'1. UC Assumptions'!$C$7/'1. UC Assumptions'!$E$7,(AB33/$AB$397)*('1. UC Assumptions'!$C$9)))</f>
        <v>3053.1255699994749</v>
      </c>
      <c r="AD33" s="133">
        <f t="shared" si="5"/>
        <v>0</v>
      </c>
      <c r="AE33" s="133">
        <f t="shared" si="6"/>
        <v>3440.8744300005251</v>
      </c>
      <c r="AF33" s="133">
        <f t="shared" si="7"/>
        <v>0</v>
      </c>
      <c r="AG33" s="133">
        <f t="shared" si="8"/>
        <v>3440.8744300005251</v>
      </c>
      <c r="AH33" s="133">
        <f t="shared" si="9"/>
        <v>3053.1255699994749</v>
      </c>
      <c r="AI33" s="131">
        <f>AH33*'1. UC Assumptions'!$C$23</f>
        <v>1007.5314380998266</v>
      </c>
      <c r="AJ33" s="131">
        <v>710092.74</v>
      </c>
      <c r="AK33" s="131">
        <f>AJ33*(1-'1. UC Assumptions'!$C$22)</f>
        <v>234330.60419999997</v>
      </c>
      <c r="AL33" s="131"/>
      <c r="AM33" s="131">
        <f>AL33*'1. UC Assumptions'!$C$23</f>
        <v>0</v>
      </c>
      <c r="AN33" s="153">
        <f t="shared" si="10"/>
        <v>6494</v>
      </c>
      <c r="AO33" s="151">
        <f>AN33*'1. UC Assumptions'!$C$23</f>
        <v>2143.0199999999995</v>
      </c>
      <c r="AP33" s="151">
        <f t="shared" si="11"/>
        <v>6494</v>
      </c>
      <c r="AQ33" s="151">
        <f t="shared" si="12"/>
        <v>2143.0199999999995</v>
      </c>
      <c r="AR33" s="151">
        <f t="shared" si="13"/>
        <v>2143.0199999999995</v>
      </c>
      <c r="AS33" s="151">
        <f t="shared" si="14"/>
        <v>2143.0199999999995</v>
      </c>
      <c r="AT33" s="151">
        <f>IF(K33="Bexar",(AG33/$AT$1)*'1. UC Assumptions'!$E$44-(AH33/$AT$2)*'1. UC Assumptions'!$E$42,0)</f>
        <v>0</v>
      </c>
      <c r="AU33" s="151">
        <f>IF(K33="Dallas",(AG33/$AU$1)*'1. UC Assumptions'!$F$44-(AH33/$AU$2)*'1. UC Assumptions'!$F$42,0)</f>
        <v>0</v>
      </c>
      <c r="AV33" s="151">
        <f>IF(K33="El Paso",(AG33/$AV$1)*'1. UC Assumptions'!$G$44-(AH33/$AV$2)*'1. UC Assumptions'!$G$42,0)</f>
        <v>0</v>
      </c>
      <c r="AW33" s="151">
        <f>IF(K33="Harris",(AG33/$AW$1)*'1. UC Assumptions'!$H$44-(AH33/$AW$2)*'1. UC Assumptions'!$H$42,0)</f>
        <v>0</v>
      </c>
      <c r="AX33" s="151">
        <f>IF(K33="Hidalgo",(AG33/$AX$1)*'1. UC Assumptions'!$I$44-(AH33/$AX$2)*'1. UC Assumptions'!$I$42,0)</f>
        <v>0</v>
      </c>
      <c r="AY33" s="151">
        <f>IF(K33="Jefferson",(AG33/$AY$1)*'1. UC Assumptions'!$J$44-(AH33/$AY$2)*'1. UC Assumptions'!$J$42,0)</f>
        <v>0</v>
      </c>
      <c r="AZ33" s="151">
        <f>IF(K33="Lubbock",(AG33/$AZ$1)*'1. UC Assumptions'!$K$44-(AH33/$AZ$2)*'1. UC Assumptions'!$K$42,0)</f>
        <v>0</v>
      </c>
      <c r="BA33" s="151">
        <f>IF(K33="MRSA Central",(AG33/$BA$1)*'1. UC Assumptions'!$L$44-(AH33/$BA$2)*'1. UC Assumptions'!$L$42,0)</f>
        <v>0</v>
      </c>
      <c r="BB33" s="151">
        <f>IF(K33="MRSA Northeast",(AG33/$BB$1)*'1. UC Assumptions'!$M$44-(AH33/$BB$2)*'1. UC Assumptions'!$M$42,0)</f>
        <v>0</v>
      </c>
      <c r="BC33" s="151">
        <f>IF(K33="MRSA West",(AG33/$BC$1)*'1. UC Assumptions'!$N$44-(AH33/$BC$2)*'1. UC Assumptions'!$N$42,0)</f>
        <v>0</v>
      </c>
      <c r="BD33" s="151">
        <f>IF(K33="Nueces",(AG33/$BD$1)*'1. UC Assumptions'!$O$44-(AH33/$BD$2)*'1. UC Assumptions'!$O$42,0)</f>
        <v>0</v>
      </c>
      <c r="BE33" s="151">
        <f>IF(K33="Tarrant",(AG33/$BE$1)*'1. UC Assumptions'!$P$44-(AH33/$BE$2)*'1. UC Assumptions'!$P$42,0)</f>
        <v>0</v>
      </c>
      <c r="BF33" s="151">
        <f>IF(K33="Travis",(AG33/$BF$1)*'1. UC Assumptions'!$Q$44-(AH33/$BF$2)*'1. UC Assumptions'!$Q$42,0)</f>
        <v>0</v>
      </c>
      <c r="BG33" s="151">
        <f t="shared" si="15"/>
        <v>0</v>
      </c>
      <c r="BH33" s="151">
        <f t="shared" si="16"/>
        <v>3053.1255699994749</v>
      </c>
      <c r="BI33" s="151">
        <f>ROUNDDOWN(BH33*'1. UC Assumptions'!$C$23,2)</f>
        <v>1007.53</v>
      </c>
      <c r="BJ33" s="154">
        <f t="shared" si="17"/>
        <v>3053.1255699994749</v>
      </c>
      <c r="BK33" s="154">
        <f t="shared" si="18"/>
        <v>1007.53</v>
      </c>
      <c r="BL33" s="154">
        <f t="shared" si="19"/>
        <v>2818.71</v>
      </c>
      <c r="BM33" s="154">
        <f t="shared" si="20"/>
        <v>930.17</v>
      </c>
      <c r="BN33" s="101"/>
      <c r="BO33" s="154">
        <f>(BL33*'1. UC Assumptions'!$C$23)-'3.  UC Calculations by Hospital'!BM33</f>
        <v>4.2999999999437932E-3</v>
      </c>
      <c r="BP33" s="13"/>
    </row>
    <row r="34" spans="2:68">
      <c r="B34" s="129" t="s">
        <v>104</v>
      </c>
      <c r="C34" s="91" t="s">
        <v>104</v>
      </c>
      <c r="D34" s="91" t="s">
        <v>281</v>
      </c>
      <c r="E34" s="91"/>
      <c r="F34" s="91"/>
      <c r="G34" s="91" t="s">
        <v>282</v>
      </c>
      <c r="H34" s="91" t="s">
        <v>209</v>
      </c>
      <c r="I34" s="150" t="s">
        <v>283</v>
      </c>
      <c r="J34" s="129" t="s">
        <v>290</v>
      </c>
      <c r="K34" s="91" t="s">
        <v>12</v>
      </c>
      <c r="L34" s="91" t="s">
        <v>291</v>
      </c>
      <c r="M34" s="151">
        <v>8240543.6894710269</v>
      </c>
      <c r="N34" s="151">
        <v>46886640.09743616</v>
      </c>
      <c r="O34" s="131">
        <v>0</v>
      </c>
      <c r="P34" s="131">
        <f t="shared" si="0"/>
        <v>46886640.09743616</v>
      </c>
      <c r="Q34" s="131">
        <v>0</v>
      </c>
      <c r="R34" s="131">
        <v>47732414</v>
      </c>
      <c r="S34" s="131">
        <f t="shared" si="1"/>
        <v>0</v>
      </c>
      <c r="T34" s="131">
        <f t="shared" si="2"/>
        <v>0</v>
      </c>
      <c r="U34" s="131">
        <v>0</v>
      </c>
      <c r="V34" s="131">
        <v>0</v>
      </c>
      <c r="W34" s="131">
        <v>0</v>
      </c>
      <c r="X34" s="131">
        <v>0</v>
      </c>
      <c r="Y34" s="131">
        <v>1065749</v>
      </c>
      <c r="Z34" s="131">
        <f t="shared" si="3"/>
        <v>1065749</v>
      </c>
      <c r="AA34" s="131">
        <v>0</v>
      </c>
      <c r="AB34" s="152">
        <f t="shared" si="4"/>
        <v>0</v>
      </c>
      <c r="AC34" s="133">
        <f>IF(D34="Physician Group Practice",(AB34/$AB$393)*'1. UC Assumptions'!$C$15,IF(E34="Rural Hospital",AB34*'1. UC Assumptions'!$C$7/'1. UC Assumptions'!$E$7,(AB34/$AB$397)*('1. UC Assumptions'!$C$9)))</f>
        <v>0</v>
      </c>
      <c r="AD34" s="133">
        <f t="shared" si="5"/>
        <v>0</v>
      </c>
      <c r="AE34" s="133">
        <f t="shared" si="6"/>
        <v>0</v>
      </c>
      <c r="AF34" s="133">
        <f t="shared" si="7"/>
        <v>0</v>
      </c>
      <c r="AG34" s="133">
        <f t="shared" si="8"/>
        <v>0</v>
      </c>
      <c r="AH34" s="133">
        <f t="shared" si="9"/>
        <v>0</v>
      </c>
      <c r="AI34" s="131">
        <f>AH34*'1. UC Assumptions'!$C$23</f>
        <v>0</v>
      </c>
      <c r="AJ34" s="131">
        <v>752518.68</v>
      </c>
      <c r="AK34" s="131">
        <f>AJ34*(1-'1. UC Assumptions'!$C$22)</f>
        <v>248331.16439999998</v>
      </c>
      <c r="AL34" s="131"/>
      <c r="AM34" s="131">
        <f>AL34*'1. UC Assumptions'!$C$23</f>
        <v>0</v>
      </c>
      <c r="AN34" s="153">
        <f t="shared" si="10"/>
        <v>0</v>
      </c>
      <c r="AO34" s="151">
        <f>AN34*'1. UC Assumptions'!$C$23</f>
        <v>0</v>
      </c>
      <c r="AP34" s="151">
        <f t="shared" si="11"/>
        <v>0</v>
      </c>
      <c r="AQ34" s="151">
        <f t="shared" si="12"/>
        <v>0</v>
      </c>
      <c r="AR34" s="151">
        <f t="shared" si="13"/>
        <v>0</v>
      </c>
      <c r="AS34" s="151">
        <f t="shared" si="14"/>
        <v>0</v>
      </c>
      <c r="AT34" s="151">
        <f>IF(K34="Bexar",(AG34/$AT$1)*'1. UC Assumptions'!$E$44-(AH34/$AT$2)*'1. UC Assumptions'!$E$42,0)</f>
        <v>0</v>
      </c>
      <c r="AU34" s="151">
        <f>IF(K34="Dallas",(AG34/$AU$1)*'1. UC Assumptions'!$F$44-(AH34/$AU$2)*'1. UC Assumptions'!$F$42,0)</f>
        <v>0</v>
      </c>
      <c r="AV34" s="151">
        <f>IF(K34="El Paso",(AG34/$AV$1)*'1. UC Assumptions'!$G$44-(AH34/$AV$2)*'1. UC Assumptions'!$G$42,0)</f>
        <v>0</v>
      </c>
      <c r="AW34" s="151">
        <f>IF(K34="Harris",(AG34/$AW$1)*'1. UC Assumptions'!$H$44-(AH34/$AW$2)*'1. UC Assumptions'!$H$42,0)</f>
        <v>0</v>
      </c>
      <c r="AX34" s="151">
        <f>IF(K34="Hidalgo",(AG34/$AX$1)*'1. UC Assumptions'!$I$44-(AH34/$AX$2)*'1. UC Assumptions'!$I$42,0)</f>
        <v>0</v>
      </c>
      <c r="AY34" s="151">
        <f>IF(K34="Jefferson",(AG34/$AY$1)*'1. UC Assumptions'!$J$44-(AH34/$AY$2)*'1. UC Assumptions'!$J$42,0)</f>
        <v>0</v>
      </c>
      <c r="AZ34" s="151">
        <f>IF(K34="Lubbock",(AG34/$AZ$1)*'1. UC Assumptions'!$K$44-(AH34/$AZ$2)*'1. UC Assumptions'!$K$42,0)</f>
        <v>0</v>
      </c>
      <c r="BA34" s="151">
        <f>IF(K34="MRSA Central",(AG34/$BA$1)*'1. UC Assumptions'!$L$44-(AH34/$BA$2)*'1. UC Assumptions'!$L$42,0)</f>
        <v>0</v>
      </c>
      <c r="BB34" s="151">
        <f>IF(K34="MRSA Northeast",(AG34/$BB$1)*'1. UC Assumptions'!$M$44-(AH34/$BB$2)*'1. UC Assumptions'!$M$42,0)</f>
        <v>0</v>
      </c>
      <c r="BC34" s="151">
        <f>IF(K34="MRSA West",(AG34/$BC$1)*'1. UC Assumptions'!$N$44-(AH34/$BC$2)*'1. UC Assumptions'!$N$42,0)</f>
        <v>0</v>
      </c>
      <c r="BD34" s="151">
        <f>IF(K34="Nueces",(AG34/$BD$1)*'1. UC Assumptions'!$O$44-(AH34/$BD$2)*'1. UC Assumptions'!$O$42,0)</f>
        <v>0</v>
      </c>
      <c r="BE34" s="151">
        <f>IF(K34="Tarrant",(AG34/$BE$1)*'1. UC Assumptions'!$P$44-(AH34/$BE$2)*'1. UC Assumptions'!$P$42,0)</f>
        <v>0</v>
      </c>
      <c r="BF34" s="151">
        <f>IF(K34="Travis",(AG34/$BF$1)*'1. UC Assumptions'!$Q$44-(AH34/$BF$2)*'1. UC Assumptions'!$Q$42,0)</f>
        <v>0</v>
      </c>
      <c r="BG34" s="151">
        <f t="shared" si="15"/>
        <v>0</v>
      </c>
      <c r="BH34" s="151">
        <f t="shared" si="16"/>
        <v>0</v>
      </c>
      <c r="BI34" s="151">
        <f>ROUNDDOWN(BH34*'1. UC Assumptions'!$C$23,2)</f>
        <v>0</v>
      </c>
      <c r="BJ34" s="154">
        <f t="shared" si="17"/>
        <v>0</v>
      </c>
      <c r="BK34" s="154">
        <f t="shared" si="18"/>
        <v>0</v>
      </c>
      <c r="BL34" s="154">
        <f t="shared" si="19"/>
        <v>0</v>
      </c>
      <c r="BM34" s="154">
        <f t="shared" si="20"/>
        <v>0</v>
      </c>
      <c r="BN34" s="101"/>
      <c r="BO34" s="154">
        <f>(BL34*'1. UC Assumptions'!$C$23)-'3.  UC Calculations by Hospital'!BM34</f>
        <v>0</v>
      </c>
      <c r="BP34" s="13"/>
    </row>
    <row r="35" spans="2:68">
      <c r="B35" s="129" t="s">
        <v>105</v>
      </c>
      <c r="C35" s="91" t="s">
        <v>105</v>
      </c>
      <c r="D35" s="91" t="s">
        <v>281</v>
      </c>
      <c r="E35" s="91"/>
      <c r="F35" s="91"/>
      <c r="G35" s="91" t="s">
        <v>282</v>
      </c>
      <c r="H35" s="91" t="s">
        <v>209</v>
      </c>
      <c r="I35" s="150" t="s">
        <v>283</v>
      </c>
      <c r="J35" s="129" t="s">
        <v>292</v>
      </c>
      <c r="K35" s="91" t="s">
        <v>12</v>
      </c>
      <c r="L35" s="91" t="s">
        <v>293</v>
      </c>
      <c r="M35" s="151">
        <v>2392828.3101852415</v>
      </c>
      <c r="N35" s="151">
        <v>51042688.262397438</v>
      </c>
      <c r="O35" s="131">
        <v>0</v>
      </c>
      <c r="P35" s="131">
        <f t="shared" si="0"/>
        <v>51042688.262397438</v>
      </c>
      <c r="Q35" s="131">
        <v>0</v>
      </c>
      <c r="R35" s="131">
        <v>46253706</v>
      </c>
      <c r="S35" s="131">
        <f t="shared" si="1"/>
        <v>0</v>
      </c>
      <c r="T35" s="131">
        <f t="shared" si="2"/>
        <v>0</v>
      </c>
      <c r="U35" s="131">
        <v>4081</v>
      </c>
      <c r="V35" s="131">
        <v>0</v>
      </c>
      <c r="W35" s="131">
        <v>0</v>
      </c>
      <c r="X35" s="131">
        <v>0</v>
      </c>
      <c r="Y35" s="131">
        <v>407031</v>
      </c>
      <c r="Z35" s="131">
        <f t="shared" si="3"/>
        <v>411112</v>
      </c>
      <c r="AA35" s="131">
        <v>0</v>
      </c>
      <c r="AB35" s="152">
        <f t="shared" si="4"/>
        <v>4081</v>
      </c>
      <c r="AC35" s="133">
        <f>IF(D35="Physician Group Practice",(AB35/$AB$393)*'1. UC Assumptions'!$C$15,IF(E35="Rural Hospital",AB35*'1. UC Assumptions'!$C$7/'1. UC Assumptions'!$E$7,(AB35/$AB$397)*('1. UC Assumptions'!$C$9)))</f>
        <v>1918.6642209990541</v>
      </c>
      <c r="AD35" s="133">
        <f t="shared" si="5"/>
        <v>0</v>
      </c>
      <c r="AE35" s="133">
        <f t="shared" si="6"/>
        <v>2162.3357790009459</v>
      </c>
      <c r="AF35" s="133">
        <f t="shared" si="7"/>
        <v>0</v>
      </c>
      <c r="AG35" s="133">
        <f t="shared" si="8"/>
        <v>2162.3357790009459</v>
      </c>
      <c r="AH35" s="133">
        <f t="shared" si="9"/>
        <v>1918.6642209990541</v>
      </c>
      <c r="AI35" s="131">
        <f>AH35*'1. UC Assumptions'!$C$23</f>
        <v>633.15919292968783</v>
      </c>
      <c r="AJ35" s="131">
        <v>427236.16</v>
      </c>
      <c r="AK35" s="131">
        <f>AJ35*(1-'1. UC Assumptions'!$C$22)</f>
        <v>140987.93279999998</v>
      </c>
      <c r="AL35" s="131"/>
      <c r="AM35" s="131">
        <f>AL35*'1. UC Assumptions'!$C$23</f>
        <v>0</v>
      </c>
      <c r="AN35" s="153">
        <f t="shared" si="10"/>
        <v>4081</v>
      </c>
      <c r="AO35" s="151">
        <f>AN35*'1. UC Assumptions'!$C$23</f>
        <v>1346.7299999999998</v>
      </c>
      <c r="AP35" s="151">
        <f t="shared" si="11"/>
        <v>4081</v>
      </c>
      <c r="AQ35" s="151">
        <f t="shared" si="12"/>
        <v>1346.7299999999998</v>
      </c>
      <c r="AR35" s="151">
        <f t="shared" si="13"/>
        <v>1346.7299999999998</v>
      </c>
      <c r="AS35" s="151">
        <f t="shared" si="14"/>
        <v>1346.7299999999998</v>
      </c>
      <c r="AT35" s="151">
        <f>IF(K35="Bexar",(AG35/$AT$1)*'1. UC Assumptions'!$E$44-(AH35/$AT$2)*'1. UC Assumptions'!$E$42,0)</f>
        <v>0</v>
      </c>
      <c r="AU35" s="151">
        <f>IF(K35="Dallas",(AG35/$AU$1)*'1. UC Assumptions'!$F$44-(AH35/$AU$2)*'1. UC Assumptions'!$F$42,0)</f>
        <v>0</v>
      </c>
      <c r="AV35" s="151">
        <f>IF(K35="El Paso",(AG35/$AV$1)*'1. UC Assumptions'!$G$44-(AH35/$AV$2)*'1. UC Assumptions'!$G$42,0)</f>
        <v>0</v>
      </c>
      <c r="AW35" s="151">
        <f>IF(K35="Harris",(AG35/$AW$1)*'1. UC Assumptions'!$H$44-(AH35/$AW$2)*'1. UC Assumptions'!$H$42,0)</f>
        <v>0</v>
      </c>
      <c r="AX35" s="151">
        <f>IF(K35="Hidalgo",(AG35/$AX$1)*'1. UC Assumptions'!$I$44-(AH35/$AX$2)*'1. UC Assumptions'!$I$42,0)</f>
        <v>0</v>
      </c>
      <c r="AY35" s="151">
        <f>IF(K35="Jefferson",(AG35/$AY$1)*'1. UC Assumptions'!$J$44-(AH35/$AY$2)*'1. UC Assumptions'!$J$42,0)</f>
        <v>0</v>
      </c>
      <c r="AZ35" s="151">
        <f>IF(K35="Lubbock",(AG35/$AZ$1)*'1. UC Assumptions'!$K$44-(AH35/$AZ$2)*'1. UC Assumptions'!$K$42,0)</f>
        <v>0</v>
      </c>
      <c r="BA35" s="151">
        <f>IF(K35="MRSA Central",(AG35/$BA$1)*'1. UC Assumptions'!$L$44-(AH35/$BA$2)*'1. UC Assumptions'!$L$42,0)</f>
        <v>0</v>
      </c>
      <c r="BB35" s="151">
        <f>IF(K35="MRSA Northeast",(AG35/$BB$1)*'1. UC Assumptions'!$M$44-(AH35/$BB$2)*'1. UC Assumptions'!$M$42,0)</f>
        <v>0</v>
      </c>
      <c r="BC35" s="151">
        <f>IF(K35="MRSA West",(AG35/$BC$1)*'1. UC Assumptions'!$N$44-(AH35/$BC$2)*'1. UC Assumptions'!$N$42,0)</f>
        <v>0</v>
      </c>
      <c r="BD35" s="151">
        <f>IF(K35="Nueces",(AG35/$BD$1)*'1. UC Assumptions'!$O$44-(AH35/$BD$2)*'1. UC Assumptions'!$O$42,0)</f>
        <v>0</v>
      </c>
      <c r="BE35" s="151">
        <f>IF(K35="Tarrant",(AG35/$BE$1)*'1. UC Assumptions'!$P$44-(AH35/$BE$2)*'1. UC Assumptions'!$P$42,0)</f>
        <v>0</v>
      </c>
      <c r="BF35" s="151">
        <f>IF(K35="Travis",(AG35/$BF$1)*'1. UC Assumptions'!$Q$44-(AH35/$BF$2)*'1. UC Assumptions'!$Q$42,0)</f>
        <v>0</v>
      </c>
      <c r="BG35" s="151">
        <f t="shared" si="15"/>
        <v>0</v>
      </c>
      <c r="BH35" s="151">
        <f t="shared" si="16"/>
        <v>1918.6642209990541</v>
      </c>
      <c r="BI35" s="151">
        <f>ROUNDDOWN(BH35*'1. UC Assumptions'!$C$23,2)</f>
        <v>633.15</v>
      </c>
      <c r="BJ35" s="154">
        <f t="shared" si="17"/>
        <v>1918.6642209990541</v>
      </c>
      <c r="BK35" s="154">
        <f t="shared" si="18"/>
        <v>633.15</v>
      </c>
      <c r="BL35" s="154">
        <f t="shared" si="19"/>
        <v>1771.35</v>
      </c>
      <c r="BM35" s="154">
        <f t="shared" si="20"/>
        <v>584.54</v>
      </c>
      <c r="BN35" s="101"/>
      <c r="BO35" s="154">
        <f>(BL35*'1. UC Assumptions'!$C$23)-'3.  UC Calculations by Hospital'!BM35</f>
        <v>5.4999999999836291E-3</v>
      </c>
      <c r="BP35" s="13"/>
    </row>
    <row r="36" spans="2:68">
      <c r="B36" s="129" t="s">
        <v>294</v>
      </c>
      <c r="C36" s="91" t="s">
        <v>294</v>
      </c>
      <c r="D36" s="91" t="s">
        <v>286</v>
      </c>
      <c r="E36" s="91"/>
      <c r="F36" s="91"/>
      <c r="G36" s="91" t="s">
        <v>287</v>
      </c>
      <c r="H36" s="91" t="s">
        <v>209</v>
      </c>
      <c r="I36" s="150" t="s">
        <v>210</v>
      </c>
      <c r="J36" s="129" t="s">
        <v>295</v>
      </c>
      <c r="K36" s="91" t="s">
        <v>6</v>
      </c>
      <c r="L36" s="91" t="s">
        <v>6</v>
      </c>
      <c r="M36" s="151">
        <v>-1387929.6451229001</v>
      </c>
      <c r="N36" s="151">
        <v>2645426.9318721304</v>
      </c>
      <c r="O36" s="131">
        <v>17401.019810088455</v>
      </c>
      <c r="P36" s="131">
        <f t="shared" si="0"/>
        <v>2628025.9120620419</v>
      </c>
      <c r="Q36" s="131">
        <v>23845.850935306877</v>
      </c>
      <c r="R36" s="131">
        <v>2522770.33</v>
      </c>
      <c r="S36" s="131">
        <f t="shared" si="1"/>
        <v>1282674.0630608583</v>
      </c>
      <c r="T36" s="131">
        <f t="shared" si="2"/>
        <v>0</v>
      </c>
      <c r="U36" s="131">
        <v>0</v>
      </c>
      <c r="V36" s="131">
        <v>0</v>
      </c>
      <c r="W36" s="131">
        <v>0</v>
      </c>
      <c r="X36" s="131">
        <v>0</v>
      </c>
      <c r="Y36" s="131">
        <v>0</v>
      </c>
      <c r="Z36" s="131">
        <f t="shared" si="3"/>
        <v>0</v>
      </c>
      <c r="AA36" s="131">
        <v>0</v>
      </c>
      <c r="AB36" s="152">
        <f t="shared" si="4"/>
        <v>0</v>
      </c>
      <c r="AC36" s="133">
        <f>IF(D36="Physician Group Practice",(AB36/$AB$393)*'1. UC Assumptions'!$C$15,IF(E36="Rural Hospital",AB36*'1. UC Assumptions'!$C$7/'1. UC Assumptions'!$E$7,(AB36/$AB$397)*('1. UC Assumptions'!$C$9)))</f>
        <v>0</v>
      </c>
      <c r="AD36" s="133">
        <f t="shared" si="5"/>
        <v>0</v>
      </c>
      <c r="AE36" s="133">
        <f t="shared" si="6"/>
        <v>0</v>
      </c>
      <c r="AF36" s="133">
        <f t="shared" si="7"/>
        <v>0</v>
      </c>
      <c r="AG36" s="133">
        <f t="shared" si="8"/>
        <v>0</v>
      </c>
      <c r="AH36" s="133">
        <f t="shared" si="9"/>
        <v>0</v>
      </c>
      <c r="AI36" s="131">
        <f>AH36*'1. UC Assumptions'!$C$23</f>
        <v>0</v>
      </c>
      <c r="AJ36" s="131">
        <v>5312.63</v>
      </c>
      <c r="AK36" s="131">
        <f>AJ36*(1-'1. UC Assumptions'!$C$22)</f>
        <v>1753.1678999999999</v>
      </c>
      <c r="AL36" s="131"/>
      <c r="AM36" s="131">
        <f>AL36*'1. UC Assumptions'!$C$23</f>
        <v>0</v>
      </c>
      <c r="AN36" s="153">
        <f t="shared" si="10"/>
        <v>0</v>
      </c>
      <c r="AO36" s="151">
        <f>AN36*'1. UC Assumptions'!$C$23</f>
        <v>0</v>
      </c>
      <c r="AP36" s="151">
        <f t="shared" si="11"/>
        <v>-5312.63</v>
      </c>
      <c r="AQ36" s="151">
        <f t="shared" si="12"/>
        <v>-1753.1678999999999</v>
      </c>
      <c r="AR36" s="151">
        <f t="shared" si="13"/>
        <v>-1753.1678999999999</v>
      </c>
      <c r="AS36" s="151">
        <f t="shared" si="14"/>
        <v>0</v>
      </c>
      <c r="AT36" s="151">
        <f>IF(K36="Bexar",(AG36/$AT$1)*'1. UC Assumptions'!$E$44-(AH36/$AT$2)*'1. UC Assumptions'!$E$42,0)</f>
        <v>0</v>
      </c>
      <c r="AU36" s="151">
        <f>IF(K36="Dallas",(AG36/$AU$1)*'1. UC Assumptions'!$F$44-(AH36/$AU$2)*'1. UC Assumptions'!$F$42,0)</f>
        <v>0</v>
      </c>
      <c r="AV36" s="151">
        <f>IF(K36="El Paso",(AG36/$AV$1)*'1. UC Assumptions'!$G$44-(AH36/$AV$2)*'1. UC Assumptions'!$G$42,0)</f>
        <v>0</v>
      </c>
      <c r="AW36" s="151">
        <f>IF(K36="Harris",(AG36/$AW$1)*'1. UC Assumptions'!$H$44-(AH36/$AW$2)*'1. UC Assumptions'!$H$42,0)</f>
        <v>0</v>
      </c>
      <c r="AX36" s="151">
        <f>IF(K36="Hidalgo",(AG36/$AX$1)*'1. UC Assumptions'!$I$44-(AH36/$AX$2)*'1. UC Assumptions'!$I$42,0)</f>
        <v>0</v>
      </c>
      <c r="AY36" s="151">
        <f>IF(K36="Jefferson",(AG36/$AY$1)*'1. UC Assumptions'!$J$44-(AH36/$AY$2)*'1. UC Assumptions'!$J$42,0)</f>
        <v>0</v>
      </c>
      <c r="AZ36" s="151">
        <f>IF(K36="Lubbock",(AG36/$AZ$1)*'1. UC Assumptions'!$K$44-(AH36/$AZ$2)*'1. UC Assumptions'!$K$42,0)</f>
        <v>0</v>
      </c>
      <c r="BA36" s="151">
        <f>IF(K36="MRSA Central",(AG36/$BA$1)*'1. UC Assumptions'!$L$44-(AH36/$BA$2)*'1. UC Assumptions'!$L$42,0)</f>
        <v>0</v>
      </c>
      <c r="BB36" s="151">
        <f>IF(K36="MRSA Northeast",(AG36/$BB$1)*'1. UC Assumptions'!$M$44-(AH36/$BB$2)*'1. UC Assumptions'!$M$42,0)</f>
        <v>0</v>
      </c>
      <c r="BC36" s="151">
        <f>IF(K36="MRSA West",(AG36/$BC$1)*'1. UC Assumptions'!$N$44-(AH36/$BC$2)*'1. UC Assumptions'!$N$42,0)</f>
        <v>0</v>
      </c>
      <c r="BD36" s="151">
        <f>IF(K36="Nueces",(AG36/$BD$1)*'1. UC Assumptions'!$O$44-(AH36/$BD$2)*'1. UC Assumptions'!$O$42,0)</f>
        <v>0</v>
      </c>
      <c r="BE36" s="151">
        <f>IF(K36="Tarrant",(AG36/$BE$1)*'1. UC Assumptions'!$P$44-(AH36/$BE$2)*'1. UC Assumptions'!$P$42,0)</f>
        <v>0</v>
      </c>
      <c r="BF36" s="151">
        <f>IF(K36="Travis",(AG36/$BF$1)*'1. UC Assumptions'!$Q$44-(AH36/$BF$2)*'1. UC Assumptions'!$Q$42,0)</f>
        <v>0</v>
      </c>
      <c r="BG36" s="151">
        <f t="shared" si="15"/>
        <v>0</v>
      </c>
      <c r="BH36" s="151">
        <f t="shared" si="16"/>
        <v>0</v>
      </c>
      <c r="BI36" s="151">
        <f>ROUNDDOWN(BH36*'1. UC Assumptions'!$C$23,2)</f>
        <v>0</v>
      </c>
      <c r="BJ36" s="154">
        <f t="shared" si="17"/>
        <v>-5312.63</v>
      </c>
      <c r="BK36" s="154">
        <f t="shared" si="18"/>
        <v>-1753.1678999999999</v>
      </c>
      <c r="BL36" s="154">
        <f t="shared" si="19"/>
        <v>0</v>
      </c>
      <c r="BM36" s="154">
        <f t="shared" si="20"/>
        <v>0</v>
      </c>
      <c r="BN36" s="101"/>
      <c r="BO36" s="154">
        <f>(BL36*'1. UC Assumptions'!$C$23)-'3.  UC Calculations by Hospital'!BM36</f>
        <v>0</v>
      </c>
      <c r="BP36" s="13"/>
    </row>
    <row r="37" spans="2:68">
      <c r="B37" s="129" t="s">
        <v>106</v>
      </c>
      <c r="C37" s="91" t="s">
        <v>106</v>
      </c>
      <c r="D37" s="91" t="s">
        <v>281</v>
      </c>
      <c r="E37" s="91"/>
      <c r="F37" s="91"/>
      <c r="G37" s="91" t="s">
        <v>282</v>
      </c>
      <c r="H37" s="91" t="s">
        <v>209</v>
      </c>
      <c r="I37" s="150" t="s">
        <v>283</v>
      </c>
      <c r="J37" s="129" t="s">
        <v>296</v>
      </c>
      <c r="K37" s="91" t="s">
        <v>7</v>
      </c>
      <c r="L37" s="91" t="s">
        <v>237</v>
      </c>
      <c r="M37" s="151">
        <v>887424.93737784319</v>
      </c>
      <c r="N37" s="151">
        <v>10285608.1886208</v>
      </c>
      <c r="O37" s="131">
        <v>0</v>
      </c>
      <c r="P37" s="131">
        <f t="shared" si="0"/>
        <v>10285608.1886208</v>
      </c>
      <c r="Q37" s="131">
        <v>0</v>
      </c>
      <c r="R37" s="131">
        <v>0</v>
      </c>
      <c r="S37" s="131">
        <f t="shared" si="1"/>
        <v>0</v>
      </c>
      <c r="T37" s="131">
        <f t="shared" si="2"/>
        <v>0</v>
      </c>
      <c r="U37" s="131">
        <v>0</v>
      </c>
      <c r="V37" s="131">
        <v>0</v>
      </c>
      <c r="W37" s="131">
        <v>26746</v>
      </c>
      <c r="X37" s="131">
        <v>0</v>
      </c>
      <c r="Y37" s="131">
        <v>345960</v>
      </c>
      <c r="Z37" s="131">
        <f t="shared" si="3"/>
        <v>372706</v>
      </c>
      <c r="AA37" s="131">
        <v>0</v>
      </c>
      <c r="AB37" s="152">
        <f t="shared" si="4"/>
        <v>26746</v>
      </c>
      <c r="AC37" s="133">
        <f>IF(D37="Physician Group Practice",(AB37/$AB$393)*'1. UC Assumptions'!$C$15,IF(E37="Rural Hospital",AB37*'1. UC Assumptions'!$C$7/'1. UC Assumptions'!$E$7,(AB37/$AB$397)*('1. UC Assumptions'!$C$9)))</f>
        <v>12574.514397167533</v>
      </c>
      <c r="AD37" s="133">
        <f t="shared" si="5"/>
        <v>0</v>
      </c>
      <c r="AE37" s="133">
        <f t="shared" si="6"/>
        <v>14171.485602832467</v>
      </c>
      <c r="AF37" s="133">
        <f t="shared" si="7"/>
        <v>0</v>
      </c>
      <c r="AG37" s="133">
        <f t="shared" si="8"/>
        <v>14171.485602832467</v>
      </c>
      <c r="AH37" s="133">
        <f t="shared" si="9"/>
        <v>12574.514397167533</v>
      </c>
      <c r="AI37" s="131">
        <f>AH37*'1. UC Assumptions'!$C$23</f>
        <v>4149.5897510652858</v>
      </c>
      <c r="AJ37" s="131">
        <v>216275.25</v>
      </c>
      <c r="AK37" s="131">
        <f>AJ37*(1-'1. UC Assumptions'!$C$22)</f>
        <v>71370.83249999999</v>
      </c>
      <c r="AL37" s="131"/>
      <c r="AM37" s="131">
        <f>AL37*'1. UC Assumptions'!$C$23</f>
        <v>0</v>
      </c>
      <c r="AN37" s="153">
        <f t="shared" si="10"/>
        <v>26746</v>
      </c>
      <c r="AO37" s="151">
        <f>AN37*'1. UC Assumptions'!$C$23</f>
        <v>8826.1799999999985</v>
      </c>
      <c r="AP37" s="151">
        <f t="shared" si="11"/>
        <v>26746</v>
      </c>
      <c r="AQ37" s="151">
        <f t="shared" si="12"/>
        <v>8826.1799999999985</v>
      </c>
      <c r="AR37" s="151">
        <f t="shared" si="13"/>
        <v>8826.1799999999985</v>
      </c>
      <c r="AS37" s="151">
        <f t="shared" si="14"/>
        <v>8826.1799999999985</v>
      </c>
      <c r="AT37" s="151">
        <f>IF(K37="Bexar",(AG37/$AT$1)*'1. UC Assumptions'!$E$44-(AH37/$AT$2)*'1. UC Assumptions'!$E$42,0)</f>
        <v>0</v>
      </c>
      <c r="AU37" s="151">
        <f>IF(K37="Dallas",(AG37/$AU$1)*'1. UC Assumptions'!$F$44-(AH37/$AU$2)*'1. UC Assumptions'!$F$42,0)</f>
        <v>0</v>
      </c>
      <c r="AV37" s="151">
        <f>IF(K37="El Paso",(AG37/$AV$1)*'1. UC Assumptions'!$G$44-(AH37/$AV$2)*'1. UC Assumptions'!$G$42,0)</f>
        <v>0</v>
      </c>
      <c r="AW37" s="151">
        <f>IF(K37="Harris",(AG37/$AW$1)*'1. UC Assumptions'!$H$44-(AH37/$AW$2)*'1. UC Assumptions'!$H$42,0)</f>
        <v>0</v>
      </c>
      <c r="AX37" s="151">
        <f>IF(K37="Hidalgo",(AG37/$AX$1)*'1. UC Assumptions'!$I$44-(AH37/$AX$2)*'1. UC Assumptions'!$I$42,0)</f>
        <v>0</v>
      </c>
      <c r="AY37" s="151">
        <f>IF(K37="Jefferson",(AG37/$AY$1)*'1. UC Assumptions'!$J$44-(AH37/$AY$2)*'1. UC Assumptions'!$J$42,0)</f>
        <v>0</v>
      </c>
      <c r="AZ37" s="151">
        <f>IF(K37="Lubbock",(AG37/$AZ$1)*'1. UC Assumptions'!$K$44-(AH37/$AZ$2)*'1. UC Assumptions'!$K$42,0)</f>
        <v>0</v>
      </c>
      <c r="BA37" s="151">
        <f>IF(K37="MRSA Central",(AG37/$BA$1)*'1. UC Assumptions'!$L$44-(AH37/$BA$2)*'1. UC Assumptions'!$L$42,0)</f>
        <v>0</v>
      </c>
      <c r="BB37" s="151">
        <f>IF(K37="MRSA Northeast",(AG37/$BB$1)*'1. UC Assumptions'!$M$44-(AH37/$BB$2)*'1. UC Assumptions'!$M$42,0)</f>
        <v>0</v>
      </c>
      <c r="BC37" s="151">
        <f>IF(K37="MRSA West",(AG37/$BC$1)*'1. UC Assumptions'!$N$44-(AH37/$BC$2)*'1. UC Assumptions'!$N$42,0)</f>
        <v>0</v>
      </c>
      <c r="BD37" s="151">
        <f>IF(K37="Nueces",(AG37/$BD$1)*'1. UC Assumptions'!$O$44-(AH37/$BD$2)*'1. UC Assumptions'!$O$42,0)</f>
        <v>0</v>
      </c>
      <c r="BE37" s="151">
        <f>IF(K37="Tarrant",(AG37/$BE$1)*'1. UC Assumptions'!$P$44-(AH37/$BE$2)*'1. UC Assumptions'!$P$42,0)</f>
        <v>0</v>
      </c>
      <c r="BF37" s="151">
        <f>IF(K37="Travis",(AG37/$BF$1)*'1. UC Assumptions'!$Q$44-(AH37/$BF$2)*'1. UC Assumptions'!$Q$42,0)</f>
        <v>0</v>
      </c>
      <c r="BG37" s="151">
        <f t="shared" si="15"/>
        <v>0</v>
      </c>
      <c r="BH37" s="151">
        <f t="shared" si="16"/>
        <v>12574.514397167533</v>
      </c>
      <c r="BI37" s="151">
        <f>ROUNDDOWN(BH37*'1. UC Assumptions'!$C$23,2)</f>
        <v>4149.58</v>
      </c>
      <c r="BJ37" s="154">
        <f t="shared" si="17"/>
        <v>12574.514397167533</v>
      </c>
      <c r="BK37" s="154">
        <f t="shared" si="18"/>
        <v>4149.58</v>
      </c>
      <c r="BL37" s="154">
        <f t="shared" si="19"/>
        <v>11609.04</v>
      </c>
      <c r="BM37" s="154">
        <f t="shared" si="20"/>
        <v>3830.98</v>
      </c>
      <c r="BN37" s="101"/>
      <c r="BO37" s="154">
        <f>(BL37*'1. UC Assumptions'!$C$23)-'3.  UC Calculations by Hospital'!BM37</f>
        <v>3.1999999996514816E-3</v>
      </c>
      <c r="BP37" s="13"/>
    </row>
    <row r="38" spans="2:68">
      <c r="B38" s="129" t="s">
        <v>297</v>
      </c>
      <c r="C38" s="91" t="s">
        <v>297</v>
      </c>
      <c r="D38" s="91" t="s">
        <v>286</v>
      </c>
      <c r="E38" s="91"/>
      <c r="F38" s="91"/>
      <c r="G38" s="91" t="s">
        <v>287</v>
      </c>
      <c r="H38" s="91" t="s">
        <v>209</v>
      </c>
      <c r="I38" s="150" t="s">
        <v>210</v>
      </c>
      <c r="J38" s="129" t="s">
        <v>298</v>
      </c>
      <c r="K38" s="91" t="s">
        <v>3</v>
      </c>
      <c r="L38" s="91" t="s">
        <v>3</v>
      </c>
      <c r="M38" s="151">
        <v>-814777.44408238039</v>
      </c>
      <c r="N38" s="151">
        <v>4705687.4308811165</v>
      </c>
      <c r="O38" s="131">
        <v>10711.199365888</v>
      </c>
      <c r="P38" s="131">
        <f t="shared" si="0"/>
        <v>4694976.2315152287</v>
      </c>
      <c r="Q38" s="131">
        <v>337944.04410798085</v>
      </c>
      <c r="R38" s="131">
        <v>0</v>
      </c>
      <c r="S38" s="131">
        <f t="shared" si="1"/>
        <v>0</v>
      </c>
      <c r="T38" s="131">
        <f t="shared" si="2"/>
        <v>337944.04410798085</v>
      </c>
      <c r="U38" s="131">
        <v>0</v>
      </c>
      <c r="V38" s="131">
        <v>0</v>
      </c>
      <c r="W38" s="131">
        <v>0</v>
      </c>
      <c r="X38" s="131">
        <v>0</v>
      </c>
      <c r="Y38" s="131">
        <v>0</v>
      </c>
      <c r="Z38" s="131">
        <f t="shared" si="3"/>
        <v>0</v>
      </c>
      <c r="AA38" s="131">
        <v>0</v>
      </c>
      <c r="AB38" s="152">
        <f t="shared" si="4"/>
        <v>337944.04410798085</v>
      </c>
      <c r="AC38" s="133">
        <f>IF(D38="Physician Group Practice",(AB38/$AB$393)*'1. UC Assumptions'!$C$15,IF(E38="Rural Hospital",AB38*'1. UC Assumptions'!$C$7/'1. UC Assumptions'!$E$7,(AB38/$AB$397)*('1. UC Assumptions'!$C$9)))</f>
        <v>158882.90765246484</v>
      </c>
      <c r="AD38" s="133">
        <f t="shared" si="5"/>
        <v>0</v>
      </c>
      <c r="AE38" s="133">
        <f t="shared" si="6"/>
        <v>179061.13645551601</v>
      </c>
      <c r="AF38" s="133">
        <f t="shared" si="7"/>
        <v>0</v>
      </c>
      <c r="AG38" s="133">
        <f t="shared" si="8"/>
        <v>179061.13645551601</v>
      </c>
      <c r="AH38" s="133">
        <f t="shared" si="9"/>
        <v>158882.90765246484</v>
      </c>
      <c r="AI38" s="131">
        <f>AH38*'1. UC Assumptions'!$C$23</f>
        <v>52431.35952531339</v>
      </c>
      <c r="AJ38" s="131">
        <v>11385.23</v>
      </c>
      <c r="AK38" s="131">
        <f>AJ38*(1-'1. UC Assumptions'!$C$22)</f>
        <v>3757.1258999999995</v>
      </c>
      <c r="AL38" s="131"/>
      <c r="AM38" s="131">
        <f>AL38*'1. UC Assumptions'!$C$23</f>
        <v>0</v>
      </c>
      <c r="AN38" s="153">
        <f t="shared" si="10"/>
        <v>337944.04410798085</v>
      </c>
      <c r="AO38" s="151">
        <f>AN38*'1. UC Assumptions'!$C$23</f>
        <v>111521.53455563367</v>
      </c>
      <c r="AP38" s="151">
        <f t="shared" si="11"/>
        <v>326558.81410798087</v>
      </c>
      <c r="AQ38" s="151">
        <f t="shared" si="12"/>
        <v>107764.40865563367</v>
      </c>
      <c r="AR38" s="151">
        <f t="shared" si="13"/>
        <v>107764.40865563367</v>
      </c>
      <c r="AS38" s="151">
        <f t="shared" si="14"/>
        <v>111521.53455563367</v>
      </c>
      <c r="AT38" s="151">
        <f>IF(K38="Bexar",(AG38/$AT$1)*'1. UC Assumptions'!$E$44-(AH38/$AT$2)*'1. UC Assumptions'!$E$42,0)</f>
        <v>0</v>
      </c>
      <c r="AU38" s="151">
        <f>IF(K38="Dallas",(AG38/$AU$1)*'1. UC Assumptions'!$F$44-(AH38/$AU$2)*'1. UC Assumptions'!$F$42,0)</f>
        <v>0</v>
      </c>
      <c r="AV38" s="151">
        <f>IF(K38="El Paso",(AG38/$AV$1)*'1. UC Assumptions'!$G$44-(AH38/$AV$2)*'1. UC Assumptions'!$G$42,0)</f>
        <v>0</v>
      </c>
      <c r="AW38" s="151">
        <f>IF(K38="Harris",(AG38/$AW$1)*'1. UC Assumptions'!$H$44-(AH38/$AW$2)*'1. UC Assumptions'!$H$42,0)</f>
        <v>0</v>
      </c>
      <c r="AX38" s="151">
        <f>IF(K38="Hidalgo",(AG38/$AX$1)*'1. UC Assumptions'!$I$44-(AH38/$AX$2)*'1. UC Assumptions'!$I$42,0)</f>
        <v>0</v>
      </c>
      <c r="AY38" s="151">
        <f>IF(K38="Jefferson",(AG38/$AY$1)*'1. UC Assumptions'!$J$44-(AH38/$AY$2)*'1. UC Assumptions'!$J$42,0)</f>
        <v>0</v>
      </c>
      <c r="AZ38" s="151">
        <f>IF(K38="Lubbock",(AG38/$AZ$1)*'1. UC Assumptions'!$K$44-(AH38/$AZ$2)*'1. UC Assumptions'!$K$42,0)</f>
        <v>0</v>
      </c>
      <c r="BA38" s="151">
        <f>IF(K38="MRSA Central",(AG38/$BA$1)*'1. UC Assumptions'!$L$44-(AH38/$BA$2)*'1. UC Assumptions'!$L$42,0)</f>
        <v>0</v>
      </c>
      <c r="BB38" s="151">
        <f>IF(K38="MRSA Northeast",(AG38/$BB$1)*'1. UC Assumptions'!$M$44-(AH38/$BB$2)*'1. UC Assumptions'!$M$42,0)</f>
        <v>0</v>
      </c>
      <c r="BC38" s="151">
        <f>IF(K38="MRSA West",(AG38/$BC$1)*'1. UC Assumptions'!$N$44-(AH38/$BC$2)*'1. UC Assumptions'!$N$42,0)</f>
        <v>0</v>
      </c>
      <c r="BD38" s="151">
        <f>IF(K38="Nueces",(AG38/$BD$1)*'1. UC Assumptions'!$O$44-(AH38/$BD$2)*'1. UC Assumptions'!$O$42,0)</f>
        <v>0</v>
      </c>
      <c r="BE38" s="151">
        <f>IF(K38="Tarrant",(AG38/$BE$1)*'1. UC Assumptions'!$P$44-(AH38/$BE$2)*'1. UC Assumptions'!$P$42,0)</f>
        <v>0</v>
      </c>
      <c r="BF38" s="151">
        <f>IF(K38="Travis",(AG38/$BF$1)*'1. UC Assumptions'!$Q$44-(AH38/$BF$2)*'1. UC Assumptions'!$Q$42,0)</f>
        <v>0</v>
      </c>
      <c r="BG38" s="151">
        <f t="shared" si="15"/>
        <v>0</v>
      </c>
      <c r="BH38" s="151">
        <f t="shared" si="16"/>
        <v>158882.90765246484</v>
      </c>
      <c r="BI38" s="151">
        <f>ROUNDDOWN(BH38*'1. UC Assumptions'!$C$23,2)</f>
        <v>52431.35</v>
      </c>
      <c r="BJ38" s="154">
        <f t="shared" si="17"/>
        <v>147497.67765246483</v>
      </c>
      <c r="BK38" s="154">
        <f t="shared" si="18"/>
        <v>48674.224099999999</v>
      </c>
      <c r="BL38" s="154">
        <f t="shared" si="19"/>
        <v>136172.82</v>
      </c>
      <c r="BM38" s="154">
        <f t="shared" si="20"/>
        <v>44937.02</v>
      </c>
      <c r="BN38" s="101"/>
      <c r="BO38" s="154">
        <f>(BL38*'1. UC Assumptions'!$C$23)-'3.  UC Calculations by Hospital'!BM38</f>
        <v>1.0600000001431908E-2</v>
      </c>
      <c r="BP38" s="13"/>
    </row>
    <row r="39" spans="2:68">
      <c r="B39" s="129" t="s">
        <v>299</v>
      </c>
      <c r="C39" s="91" t="s">
        <v>299</v>
      </c>
      <c r="D39" s="91" t="s">
        <v>208</v>
      </c>
      <c r="E39" s="91" t="s">
        <v>149</v>
      </c>
      <c r="F39" s="91"/>
      <c r="G39" s="91" t="s">
        <v>209</v>
      </c>
      <c r="H39" s="91" t="s">
        <v>209</v>
      </c>
      <c r="I39" s="150" t="s">
        <v>210</v>
      </c>
      <c r="J39" s="129" t="s">
        <v>300</v>
      </c>
      <c r="K39" s="91" t="s">
        <v>6</v>
      </c>
      <c r="L39" s="91" t="s">
        <v>301</v>
      </c>
      <c r="M39" s="151">
        <v>349408.77644933126</v>
      </c>
      <c r="N39" s="151">
        <v>0</v>
      </c>
      <c r="O39" s="131">
        <v>0</v>
      </c>
      <c r="P39" s="131">
        <f t="shared" si="0"/>
        <v>0</v>
      </c>
      <c r="Q39" s="131">
        <v>654007.87506521598</v>
      </c>
      <c r="R39" s="131">
        <v>0</v>
      </c>
      <c r="S39" s="131">
        <f t="shared" si="1"/>
        <v>0</v>
      </c>
      <c r="T39" s="131">
        <f t="shared" si="2"/>
        <v>654007.87506521598</v>
      </c>
      <c r="U39" s="131">
        <v>39353</v>
      </c>
      <c r="V39" s="131">
        <v>0</v>
      </c>
      <c r="W39" s="131">
        <v>0</v>
      </c>
      <c r="X39" s="131">
        <v>0</v>
      </c>
      <c r="Y39" s="131">
        <v>0</v>
      </c>
      <c r="Z39" s="131">
        <f t="shared" si="3"/>
        <v>39353</v>
      </c>
      <c r="AA39" s="131">
        <v>0</v>
      </c>
      <c r="AB39" s="152">
        <f t="shared" si="4"/>
        <v>693360.87506521598</v>
      </c>
      <c r="AC39" s="133">
        <f>IF(D39="Physician Group Practice",(AB39/$AB$393)*'1. UC Assumptions'!$C$15,IF(E39="Rural Hospital",AB39*'1. UC Assumptions'!$C$7/'1. UC Assumptions'!$E$7,(AB39/$AB$397)*('1. UC Assumptions'!$C$9)))</f>
        <v>647207.672338631</v>
      </c>
      <c r="AD39" s="133">
        <f t="shared" si="5"/>
        <v>0</v>
      </c>
      <c r="AE39" s="133">
        <f t="shared" si="6"/>
        <v>46153.202726584976</v>
      </c>
      <c r="AF39" s="133">
        <f t="shared" si="7"/>
        <v>0</v>
      </c>
      <c r="AG39" s="133">
        <f t="shared" si="8"/>
        <v>46153.202726584976</v>
      </c>
      <c r="AH39" s="133">
        <f t="shared" si="9"/>
        <v>647207.672338631</v>
      </c>
      <c r="AI39" s="131">
        <f>AH39*'1. UC Assumptions'!$C$23</f>
        <v>213578.53187174822</v>
      </c>
      <c r="AJ39" s="131">
        <v>322487.21000000002</v>
      </c>
      <c r="AK39" s="131">
        <f>AJ39*(1-'1. UC Assumptions'!$C$22)</f>
        <v>106420.77929999999</v>
      </c>
      <c r="AL39" s="131"/>
      <c r="AM39" s="131">
        <f>AL39*'1. UC Assumptions'!$C$23</f>
        <v>0</v>
      </c>
      <c r="AN39" s="153">
        <f t="shared" si="10"/>
        <v>693360.87506521598</v>
      </c>
      <c r="AO39" s="151">
        <f>AN39*'1. UC Assumptions'!$C$23</f>
        <v>228809.08877152126</v>
      </c>
      <c r="AP39" s="151">
        <f t="shared" si="11"/>
        <v>370873.66506521596</v>
      </c>
      <c r="AQ39" s="151">
        <f t="shared" si="12"/>
        <v>122388.30947152126</v>
      </c>
      <c r="AR39" s="151">
        <f t="shared" si="13"/>
        <v>122388.30947152126</v>
      </c>
      <c r="AS39" s="151">
        <f t="shared" si="14"/>
        <v>228809.08877152126</v>
      </c>
      <c r="AT39" s="151">
        <f>IF(K39="Bexar",(AG39/$AT$1)*'1. UC Assumptions'!$E$44-(AH39/$AT$2)*'1. UC Assumptions'!$E$42,0)</f>
        <v>0</v>
      </c>
      <c r="AU39" s="151">
        <f>IF(K39="Dallas",(AG39/$AU$1)*'1. UC Assumptions'!$F$44-(AH39/$AU$2)*'1. UC Assumptions'!$F$42,0)</f>
        <v>0</v>
      </c>
      <c r="AV39" s="151">
        <f>IF(K39="El Paso",(AG39/$AV$1)*'1. UC Assumptions'!$G$44-(AH39/$AV$2)*'1. UC Assumptions'!$G$42,0)</f>
        <v>0</v>
      </c>
      <c r="AW39" s="151">
        <f>IF(K39="Harris",(AG39/$AW$1)*'1. UC Assumptions'!$H$44-(AH39/$AW$2)*'1. UC Assumptions'!$H$42,0)</f>
        <v>0</v>
      </c>
      <c r="AX39" s="151">
        <f>IF(K39="Hidalgo",(AG39/$AX$1)*'1. UC Assumptions'!$I$44-(AH39/$AX$2)*'1. UC Assumptions'!$I$42,0)</f>
        <v>0</v>
      </c>
      <c r="AY39" s="151">
        <f>IF(K39="Jefferson",(AG39/$AY$1)*'1. UC Assumptions'!$J$44-(AH39/$AY$2)*'1. UC Assumptions'!$J$42,0)</f>
        <v>0</v>
      </c>
      <c r="AZ39" s="151">
        <f>IF(K39="Lubbock",(AG39/$AZ$1)*'1. UC Assumptions'!$K$44-(AH39/$AZ$2)*'1. UC Assumptions'!$K$42,0)</f>
        <v>0</v>
      </c>
      <c r="BA39" s="151">
        <f>IF(K39="MRSA Central",(AG39/$BA$1)*'1. UC Assumptions'!$L$44-(AH39/$BA$2)*'1. UC Assumptions'!$L$42,0)</f>
        <v>0</v>
      </c>
      <c r="BB39" s="151">
        <f>IF(K39="MRSA Northeast",(AG39/$BB$1)*'1. UC Assumptions'!$M$44-(AH39/$BB$2)*'1. UC Assumptions'!$M$42,0)</f>
        <v>0</v>
      </c>
      <c r="BC39" s="151">
        <f>IF(K39="MRSA West",(AG39/$BC$1)*'1. UC Assumptions'!$N$44-(AH39/$BC$2)*'1. UC Assumptions'!$N$42,0)</f>
        <v>0</v>
      </c>
      <c r="BD39" s="151">
        <f>IF(K39="Nueces",(AG39/$BD$1)*'1. UC Assumptions'!$O$44-(AH39/$BD$2)*'1. UC Assumptions'!$O$42,0)</f>
        <v>0</v>
      </c>
      <c r="BE39" s="151">
        <f>IF(K39="Tarrant",(AG39/$BE$1)*'1. UC Assumptions'!$P$44-(AH39/$BE$2)*'1. UC Assumptions'!$P$42,0)</f>
        <v>0</v>
      </c>
      <c r="BF39" s="151">
        <f>IF(K39="Travis",(AG39/$BF$1)*'1. UC Assumptions'!$Q$44-(AH39/$BF$2)*'1. UC Assumptions'!$Q$42,0)</f>
        <v>0</v>
      </c>
      <c r="BG39" s="151">
        <f t="shared" si="15"/>
        <v>0</v>
      </c>
      <c r="BH39" s="151">
        <f t="shared" si="16"/>
        <v>647207.672338631</v>
      </c>
      <c r="BI39" s="151">
        <f>ROUNDDOWN(BH39*'1. UC Assumptions'!$C$23,2)</f>
        <v>213578.53</v>
      </c>
      <c r="BJ39" s="154">
        <f t="shared" si="17"/>
        <v>324720.46233863098</v>
      </c>
      <c r="BK39" s="154">
        <f t="shared" si="18"/>
        <v>107157.7507</v>
      </c>
      <c r="BL39" s="154">
        <f t="shared" si="19"/>
        <v>299788.45</v>
      </c>
      <c r="BM39" s="154">
        <f t="shared" si="20"/>
        <v>98930.19</v>
      </c>
      <c r="BN39" s="101"/>
      <c r="BO39" s="154">
        <f>(BL39*'1. UC Assumptions'!$C$23)-'3.  UC Calculations by Hospital'!BM39</f>
        <v>-1.500000013038516E-3</v>
      </c>
      <c r="BP39" s="13"/>
    </row>
    <row r="40" spans="2:68">
      <c r="B40" s="129" t="s">
        <v>302</v>
      </c>
      <c r="C40" s="91" t="s">
        <v>302</v>
      </c>
      <c r="D40" s="91" t="s">
        <v>208</v>
      </c>
      <c r="E40" s="91" t="s">
        <v>149</v>
      </c>
      <c r="F40" s="91"/>
      <c r="G40" s="91" t="s">
        <v>209</v>
      </c>
      <c r="H40" s="91" t="s">
        <v>209</v>
      </c>
      <c r="I40" s="150" t="s">
        <v>210</v>
      </c>
      <c r="J40" s="129" t="s">
        <v>303</v>
      </c>
      <c r="K40" s="91" t="s">
        <v>12</v>
      </c>
      <c r="L40" s="91" t="s">
        <v>304</v>
      </c>
      <c r="M40" s="151">
        <v>58810.671086182396</v>
      </c>
      <c r="N40" s="151">
        <v>-21134.190855680001</v>
      </c>
      <c r="O40" s="131">
        <v>0</v>
      </c>
      <c r="P40" s="131">
        <f t="shared" si="0"/>
        <v>0</v>
      </c>
      <c r="Q40" s="131">
        <v>711220.83587394562</v>
      </c>
      <c r="R40" s="131">
        <v>0</v>
      </c>
      <c r="S40" s="131">
        <f t="shared" si="1"/>
        <v>0</v>
      </c>
      <c r="T40" s="131">
        <f t="shared" si="2"/>
        <v>711220.83587394562</v>
      </c>
      <c r="U40" s="131">
        <v>2150</v>
      </c>
      <c r="V40" s="131">
        <v>0</v>
      </c>
      <c r="W40" s="131">
        <v>0</v>
      </c>
      <c r="X40" s="131">
        <v>0</v>
      </c>
      <c r="Y40" s="131">
        <v>0</v>
      </c>
      <c r="Z40" s="131">
        <f t="shared" si="3"/>
        <v>2150</v>
      </c>
      <c r="AA40" s="131">
        <v>0</v>
      </c>
      <c r="AB40" s="152">
        <f t="shared" si="4"/>
        <v>713370.83587394562</v>
      </c>
      <c r="AC40" s="133">
        <f>IF(D40="Physician Group Practice",(AB40/$AB$393)*'1. UC Assumptions'!$C$15,IF(E40="Rural Hospital",AB40*'1. UC Assumptions'!$C$7/'1. UC Assumptions'!$E$7,(AB40/$AB$397)*('1. UC Assumptions'!$C$9)))</f>
        <v>665885.68060869246</v>
      </c>
      <c r="AD40" s="133">
        <f t="shared" si="5"/>
        <v>0</v>
      </c>
      <c r="AE40" s="133">
        <f t="shared" si="6"/>
        <v>47485.155265253154</v>
      </c>
      <c r="AF40" s="133">
        <f t="shared" si="7"/>
        <v>0</v>
      </c>
      <c r="AG40" s="133">
        <f t="shared" si="8"/>
        <v>47485.155265253154</v>
      </c>
      <c r="AH40" s="133">
        <f t="shared" si="9"/>
        <v>665885.68060869246</v>
      </c>
      <c r="AI40" s="131">
        <f>AH40*'1. UC Assumptions'!$C$23</f>
        <v>219742.27460086849</v>
      </c>
      <c r="AJ40" s="131">
        <v>455855.18</v>
      </c>
      <c r="AK40" s="131">
        <f>AJ40*(1-'1. UC Assumptions'!$C$22)</f>
        <v>150432.20939999999</v>
      </c>
      <c r="AL40" s="131"/>
      <c r="AM40" s="131">
        <f>AL40*'1. UC Assumptions'!$C$23</f>
        <v>0</v>
      </c>
      <c r="AN40" s="153">
        <f t="shared" si="10"/>
        <v>713370.83587394562</v>
      </c>
      <c r="AO40" s="151">
        <f>AN40*'1. UC Assumptions'!$C$23</f>
        <v>235412.37583840202</v>
      </c>
      <c r="AP40" s="151">
        <f t="shared" si="11"/>
        <v>257515.65587394562</v>
      </c>
      <c r="AQ40" s="151">
        <f t="shared" si="12"/>
        <v>84980.166438402026</v>
      </c>
      <c r="AR40" s="151">
        <f t="shared" si="13"/>
        <v>84980.166438402026</v>
      </c>
      <c r="AS40" s="151">
        <f t="shared" si="14"/>
        <v>235412.37583840202</v>
      </c>
      <c r="AT40" s="151">
        <f>IF(K40="Bexar",(AG40/$AT$1)*'1. UC Assumptions'!$E$44-(AH40/$AT$2)*'1. UC Assumptions'!$E$42,0)</f>
        <v>0</v>
      </c>
      <c r="AU40" s="151">
        <f>IF(K40="Dallas",(AG40/$AU$1)*'1. UC Assumptions'!$F$44-(AH40/$AU$2)*'1. UC Assumptions'!$F$42,0)</f>
        <v>0</v>
      </c>
      <c r="AV40" s="151">
        <f>IF(K40="El Paso",(AG40/$AV$1)*'1. UC Assumptions'!$G$44-(AH40/$AV$2)*'1. UC Assumptions'!$G$42,0)</f>
        <v>0</v>
      </c>
      <c r="AW40" s="151">
        <f>IF(K40="Harris",(AG40/$AW$1)*'1. UC Assumptions'!$H$44-(AH40/$AW$2)*'1. UC Assumptions'!$H$42,0)</f>
        <v>0</v>
      </c>
      <c r="AX40" s="151">
        <f>IF(K40="Hidalgo",(AG40/$AX$1)*'1. UC Assumptions'!$I$44-(AH40/$AX$2)*'1. UC Assumptions'!$I$42,0)</f>
        <v>0</v>
      </c>
      <c r="AY40" s="151">
        <f>IF(K40="Jefferson",(AG40/$AY$1)*'1. UC Assumptions'!$J$44-(AH40/$AY$2)*'1. UC Assumptions'!$J$42,0)</f>
        <v>0</v>
      </c>
      <c r="AZ40" s="151">
        <f>IF(K40="Lubbock",(AG40/$AZ$1)*'1. UC Assumptions'!$K$44-(AH40/$AZ$2)*'1. UC Assumptions'!$K$42,0)</f>
        <v>0</v>
      </c>
      <c r="BA40" s="151">
        <f>IF(K40="MRSA Central",(AG40/$BA$1)*'1. UC Assumptions'!$L$44-(AH40/$BA$2)*'1. UC Assumptions'!$L$42,0)</f>
        <v>0</v>
      </c>
      <c r="BB40" s="151">
        <f>IF(K40="MRSA Northeast",(AG40/$BB$1)*'1. UC Assumptions'!$M$44-(AH40/$BB$2)*'1. UC Assumptions'!$M$42,0)</f>
        <v>0</v>
      </c>
      <c r="BC40" s="151">
        <f>IF(K40="MRSA West",(AG40/$BC$1)*'1. UC Assumptions'!$N$44-(AH40/$BC$2)*'1. UC Assumptions'!$N$42,0)</f>
        <v>0</v>
      </c>
      <c r="BD40" s="151">
        <f>IF(K40="Nueces",(AG40/$BD$1)*'1. UC Assumptions'!$O$44-(AH40/$BD$2)*'1. UC Assumptions'!$O$42,0)</f>
        <v>0</v>
      </c>
      <c r="BE40" s="151">
        <f>IF(K40="Tarrant",(AG40/$BE$1)*'1. UC Assumptions'!$P$44-(AH40/$BE$2)*'1. UC Assumptions'!$P$42,0)</f>
        <v>0</v>
      </c>
      <c r="BF40" s="151">
        <f>IF(K40="Travis",(AG40/$BF$1)*'1. UC Assumptions'!$Q$44-(AH40/$BF$2)*'1. UC Assumptions'!$Q$42,0)</f>
        <v>0</v>
      </c>
      <c r="BG40" s="151">
        <f t="shared" si="15"/>
        <v>0</v>
      </c>
      <c r="BH40" s="151">
        <f t="shared" si="16"/>
        <v>665885.68060869246</v>
      </c>
      <c r="BI40" s="151">
        <f>ROUNDDOWN(BH40*'1. UC Assumptions'!$C$23,2)</f>
        <v>219742.27</v>
      </c>
      <c r="BJ40" s="154">
        <f t="shared" si="17"/>
        <v>210030.50060869247</v>
      </c>
      <c r="BK40" s="154">
        <f t="shared" si="18"/>
        <v>69310.060599999997</v>
      </c>
      <c r="BL40" s="154">
        <f t="shared" si="19"/>
        <v>193904.38</v>
      </c>
      <c r="BM40" s="154">
        <f t="shared" si="20"/>
        <v>63988.44</v>
      </c>
      <c r="BN40" s="101"/>
      <c r="BO40" s="154">
        <f>(BL40*'1. UC Assumptions'!$C$23)-'3.  UC Calculations by Hospital'!BM40</f>
        <v>5.3999999945517629E-3</v>
      </c>
      <c r="BP40" s="13"/>
    </row>
    <row r="41" spans="2:68">
      <c r="B41" s="129" t="s">
        <v>305</v>
      </c>
      <c r="C41" s="91" t="s">
        <v>305</v>
      </c>
      <c r="D41" s="91" t="s">
        <v>208</v>
      </c>
      <c r="E41" s="91" t="s">
        <v>149</v>
      </c>
      <c r="F41" s="91"/>
      <c r="G41" s="91" t="s">
        <v>209</v>
      </c>
      <c r="H41" s="91" t="s">
        <v>209</v>
      </c>
      <c r="I41" s="150" t="s">
        <v>210</v>
      </c>
      <c r="J41" s="129" t="s">
        <v>306</v>
      </c>
      <c r="K41" s="91" t="s">
        <v>12</v>
      </c>
      <c r="L41" s="91" t="s">
        <v>307</v>
      </c>
      <c r="M41" s="151">
        <v>840578.72749419534</v>
      </c>
      <c r="N41" s="151">
        <v>669518.63947625237</v>
      </c>
      <c r="O41" s="131">
        <v>237514.048930816</v>
      </c>
      <c r="P41" s="131">
        <f t="shared" si="0"/>
        <v>432004.59054543637</v>
      </c>
      <c r="Q41" s="131">
        <v>273493.91596907523</v>
      </c>
      <c r="R41" s="131">
        <v>319372.81</v>
      </c>
      <c r="S41" s="131">
        <f t="shared" si="1"/>
        <v>0</v>
      </c>
      <c r="T41" s="131">
        <f t="shared" si="2"/>
        <v>273493.91596907523</v>
      </c>
      <c r="U41" s="131">
        <v>0</v>
      </c>
      <c r="V41" s="131">
        <v>0</v>
      </c>
      <c r="W41" s="131">
        <v>0</v>
      </c>
      <c r="X41" s="131">
        <v>0</v>
      </c>
      <c r="Y41" s="131">
        <v>274082</v>
      </c>
      <c r="Z41" s="131">
        <f t="shared" si="3"/>
        <v>274082</v>
      </c>
      <c r="AA41" s="131">
        <v>0</v>
      </c>
      <c r="AB41" s="152">
        <f t="shared" si="4"/>
        <v>547575.91596907517</v>
      </c>
      <c r="AC41" s="133">
        <f>IF(D41="Physician Group Practice",(AB41/$AB$393)*'1. UC Assumptions'!$C$15,IF(E41="Rural Hospital",AB41*'1. UC Assumptions'!$C$7/'1. UC Assumptions'!$E$7,(AB41/$AB$397)*('1. UC Assumptions'!$C$9)))</f>
        <v>511126.81252703402</v>
      </c>
      <c r="AD41" s="133">
        <f t="shared" si="5"/>
        <v>0</v>
      </c>
      <c r="AE41" s="133">
        <f t="shared" si="6"/>
        <v>36449.103442041145</v>
      </c>
      <c r="AF41" s="133">
        <f t="shared" si="7"/>
        <v>0</v>
      </c>
      <c r="AG41" s="133">
        <f t="shared" si="8"/>
        <v>36449.103442041145</v>
      </c>
      <c r="AH41" s="133">
        <f t="shared" si="9"/>
        <v>511126.81252703402</v>
      </c>
      <c r="AI41" s="131">
        <f>AH41*'1. UC Assumptions'!$C$23</f>
        <v>168671.84813392122</v>
      </c>
      <c r="AJ41" s="131">
        <v>131637.78</v>
      </c>
      <c r="AK41" s="131">
        <f>AJ41*(1-'1. UC Assumptions'!$C$22)</f>
        <v>43440.467399999994</v>
      </c>
      <c r="AL41" s="131"/>
      <c r="AM41" s="131">
        <f>AL41*'1. UC Assumptions'!$C$23</f>
        <v>0</v>
      </c>
      <c r="AN41" s="153">
        <f t="shared" si="10"/>
        <v>547575.91596907517</v>
      </c>
      <c r="AO41" s="151">
        <f>AN41*'1. UC Assumptions'!$C$23</f>
        <v>180700.05226979477</v>
      </c>
      <c r="AP41" s="151">
        <f t="shared" si="11"/>
        <v>415938.13596907514</v>
      </c>
      <c r="AQ41" s="151">
        <f t="shared" si="12"/>
        <v>137259.58486979478</v>
      </c>
      <c r="AR41" s="151">
        <f t="shared" si="13"/>
        <v>137259.58486979478</v>
      </c>
      <c r="AS41" s="151">
        <f t="shared" si="14"/>
        <v>180700.05226979477</v>
      </c>
      <c r="AT41" s="151">
        <f>IF(K41="Bexar",(AG41/$AT$1)*'1. UC Assumptions'!$E$44-(AH41/$AT$2)*'1. UC Assumptions'!$E$42,0)</f>
        <v>0</v>
      </c>
      <c r="AU41" s="151">
        <f>IF(K41="Dallas",(AG41/$AU$1)*'1. UC Assumptions'!$F$44-(AH41/$AU$2)*'1. UC Assumptions'!$F$42,0)</f>
        <v>0</v>
      </c>
      <c r="AV41" s="151">
        <f>IF(K41="El Paso",(AG41/$AV$1)*'1. UC Assumptions'!$G$44-(AH41/$AV$2)*'1. UC Assumptions'!$G$42,0)</f>
        <v>0</v>
      </c>
      <c r="AW41" s="151">
        <f>IF(K41="Harris",(AG41/$AW$1)*'1. UC Assumptions'!$H$44-(AH41/$AW$2)*'1. UC Assumptions'!$H$42,0)</f>
        <v>0</v>
      </c>
      <c r="AX41" s="151">
        <f>IF(K41="Hidalgo",(AG41/$AX$1)*'1. UC Assumptions'!$I$44-(AH41/$AX$2)*'1. UC Assumptions'!$I$42,0)</f>
        <v>0</v>
      </c>
      <c r="AY41" s="151">
        <f>IF(K41="Jefferson",(AG41/$AY$1)*'1. UC Assumptions'!$J$44-(AH41/$AY$2)*'1. UC Assumptions'!$J$42,0)</f>
        <v>0</v>
      </c>
      <c r="AZ41" s="151">
        <f>IF(K41="Lubbock",(AG41/$AZ$1)*'1. UC Assumptions'!$K$44-(AH41/$AZ$2)*'1. UC Assumptions'!$K$42,0)</f>
        <v>0</v>
      </c>
      <c r="BA41" s="151">
        <f>IF(K41="MRSA Central",(AG41/$BA$1)*'1. UC Assumptions'!$L$44-(AH41/$BA$2)*'1. UC Assumptions'!$L$42,0)</f>
        <v>0</v>
      </c>
      <c r="BB41" s="151">
        <f>IF(K41="MRSA Northeast",(AG41/$BB$1)*'1. UC Assumptions'!$M$44-(AH41/$BB$2)*'1. UC Assumptions'!$M$42,0)</f>
        <v>0</v>
      </c>
      <c r="BC41" s="151">
        <f>IF(K41="MRSA West",(AG41/$BC$1)*'1. UC Assumptions'!$N$44-(AH41/$BC$2)*'1. UC Assumptions'!$N$42,0)</f>
        <v>0</v>
      </c>
      <c r="BD41" s="151">
        <f>IF(K41="Nueces",(AG41/$BD$1)*'1. UC Assumptions'!$O$44-(AH41/$BD$2)*'1. UC Assumptions'!$O$42,0)</f>
        <v>0</v>
      </c>
      <c r="BE41" s="151">
        <f>IF(K41="Tarrant",(AG41/$BE$1)*'1. UC Assumptions'!$P$44-(AH41/$BE$2)*'1. UC Assumptions'!$P$42,0)</f>
        <v>0</v>
      </c>
      <c r="BF41" s="151">
        <f>IF(K41="Travis",(AG41/$BF$1)*'1. UC Assumptions'!$Q$44-(AH41/$BF$2)*'1. UC Assumptions'!$Q$42,0)</f>
        <v>0</v>
      </c>
      <c r="BG41" s="151">
        <f t="shared" si="15"/>
        <v>0</v>
      </c>
      <c r="BH41" s="151">
        <f t="shared" si="16"/>
        <v>511126.81252703402</v>
      </c>
      <c r="BI41" s="151">
        <f>ROUNDDOWN(BH41*'1. UC Assumptions'!$C$23,2)</f>
        <v>168671.84</v>
      </c>
      <c r="BJ41" s="154">
        <f t="shared" si="17"/>
        <v>379489.03252703405</v>
      </c>
      <c r="BK41" s="154">
        <f t="shared" si="18"/>
        <v>125231.3726</v>
      </c>
      <c r="BL41" s="154">
        <f t="shared" si="19"/>
        <v>350351.9</v>
      </c>
      <c r="BM41" s="154">
        <f t="shared" si="20"/>
        <v>115616.12</v>
      </c>
      <c r="BN41" s="101"/>
      <c r="BO41" s="154">
        <f>(BL41*'1. UC Assumptions'!$C$23)-'3.  UC Calculations by Hospital'!BM41</f>
        <v>6.9999999977881089E-3</v>
      </c>
      <c r="BP41" s="13"/>
    </row>
    <row r="42" spans="2:68">
      <c r="B42" s="129" t="s">
        <v>107</v>
      </c>
      <c r="C42" s="91" t="s">
        <v>107</v>
      </c>
      <c r="D42" s="91" t="s">
        <v>281</v>
      </c>
      <c r="E42" s="91"/>
      <c r="F42" s="91"/>
      <c r="G42" s="91" t="s">
        <v>209</v>
      </c>
      <c r="H42" s="91" t="s">
        <v>209</v>
      </c>
      <c r="I42" s="150" t="s">
        <v>283</v>
      </c>
      <c r="J42" s="129" t="s">
        <v>308</v>
      </c>
      <c r="K42" s="91" t="s">
        <v>6</v>
      </c>
      <c r="L42" s="91" t="s">
        <v>309</v>
      </c>
      <c r="M42" s="151">
        <v>-21970369.068172812</v>
      </c>
      <c r="N42" s="151">
        <v>73261691.586565301</v>
      </c>
      <c r="O42" s="131">
        <v>34178828.537554719</v>
      </c>
      <c r="P42" s="131">
        <f t="shared" si="0"/>
        <v>39082863.049010582</v>
      </c>
      <c r="Q42" s="131">
        <v>57504073.601111241</v>
      </c>
      <c r="R42" s="131">
        <v>0</v>
      </c>
      <c r="S42" s="131">
        <f t="shared" si="1"/>
        <v>0</v>
      </c>
      <c r="T42" s="131">
        <f t="shared" si="2"/>
        <v>57504073.601111241</v>
      </c>
      <c r="U42" s="131">
        <v>0</v>
      </c>
      <c r="V42" s="131">
        <v>0</v>
      </c>
      <c r="W42" s="131">
        <v>0</v>
      </c>
      <c r="X42" s="131">
        <v>0</v>
      </c>
      <c r="Y42" s="131">
        <v>0</v>
      </c>
      <c r="Z42" s="131">
        <f t="shared" si="3"/>
        <v>0</v>
      </c>
      <c r="AA42" s="131">
        <v>0</v>
      </c>
      <c r="AB42" s="152">
        <f t="shared" si="4"/>
        <v>0</v>
      </c>
      <c r="AC42" s="133">
        <f>IF(D42="Physician Group Practice",(AB42/$AB$393)*'1. UC Assumptions'!$C$15,IF(E42="Rural Hospital",AB42*'1. UC Assumptions'!$C$7/'1. UC Assumptions'!$E$7,(AB42/$AB$397)*('1. UC Assumptions'!$C$9)))</f>
        <v>0</v>
      </c>
      <c r="AD42" s="133">
        <f t="shared" si="5"/>
        <v>0</v>
      </c>
      <c r="AE42" s="133">
        <f t="shared" si="6"/>
        <v>0</v>
      </c>
      <c r="AF42" s="133">
        <f t="shared" si="7"/>
        <v>0</v>
      </c>
      <c r="AG42" s="133">
        <f t="shared" si="8"/>
        <v>0</v>
      </c>
      <c r="AH42" s="133">
        <f t="shared" si="9"/>
        <v>0</v>
      </c>
      <c r="AI42" s="131">
        <f>AH42*'1. UC Assumptions'!$C$23</f>
        <v>0</v>
      </c>
      <c r="AJ42" s="131">
        <v>7741924.9100000001</v>
      </c>
      <c r="AK42" s="131">
        <f>AJ42*(1-'1. UC Assumptions'!$C$22)</f>
        <v>2554835.2202999997</v>
      </c>
      <c r="AL42" s="131"/>
      <c r="AM42" s="131">
        <f>AL42*'1. UC Assumptions'!$C$23</f>
        <v>0</v>
      </c>
      <c r="AN42" s="153">
        <f t="shared" si="10"/>
        <v>0</v>
      </c>
      <c r="AO42" s="151">
        <f>AN42*'1. UC Assumptions'!$C$23</f>
        <v>0</v>
      </c>
      <c r="AP42" s="151">
        <f t="shared" si="11"/>
        <v>0</v>
      </c>
      <c r="AQ42" s="151">
        <f t="shared" si="12"/>
        <v>0</v>
      </c>
      <c r="AR42" s="151">
        <f t="shared" si="13"/>
        <v>0</v>
      </c>
      <c r="AS42" s="151">
        <f t="shared" si="14"/>
        <v>0</v>
      </c>
      <c r="AT42" s="151">
        <f>IF(K42="Bexar",(AG42/$AT$1)*'1. UC Assumptions'!$E$44-(AH42/$AT$2)*'1. UC Assumptions'!$E$42,0)</f>
        <v>0</v>
      </c>
      <c r="AU42" s="151">
        <f>IF(K42="Dallas",(AG42/$AU$1)*'1. UC Assumptions'!$F$44-(AH42/$AU$2)*'1. UC Assumptions'!$F$42,0)</f>
        <v>0</v>
      </c>
      <c r="AV42" s="151">
        <f>IF(K42="El Paso",(AG42/$AV$1)*'1. UC Assumptions'!$G$44-(AH42/$AV$2)*'1. UC Assumptions'!$G$42,0)</f>
        <v>0</v>
      </c>
      <c r="AW42" s="151">
        <f>IF(K42="Harris",(AG42/$AW$1)*'1. UC Assumptions'!$H$44-(AH42/$AW$2)*'1. UC Assumptions'!$H$42,0)</f>
        <v>0</v>
      </c>
      <c r="AX42" s="151">
        <f>IF(K42="Hidalgo",(AG42/$AX$1)*'1. UC Assumptions'!$I$44-(AH42/$AX$2)*'1. UC Assumptions'!$I$42,0)</f>
        <v>0</v>
      </c>
      <c r="AY42" s="151">
        <f>IF(K42="Jefferson",(AG42/$AY$1)*'1. UC Assumptions'!$J$44-(AH42/$AY$2)*'1. UC Assumptions'!$J$42,0)</f>
        <v>0</v>
      </c>
      <c r="AZ42" s="151">
        <f>IF(K42="Lubbock",(AG42/$AZ$1)*'1. UC Assumptions'!$K$44-(AH42/$AZ$2)*'1. UC Assumptions'!$K$42,0)</f>
        <v>0</v>
      </c>
      <c r="BA42" s="151">
        <f>IF(K42="MRSA Central",(AG42/$BA$1)*'1. UC Assumptions'!$L$44-(AH42/$BA$2)*'1. UC Assumptions'!$L$42,0)</f>
        <v>0</v>
      </c>
      <c r="BB42" s="151">
        <f>IF(K42="MRSA Northeast",(AG42/$BB$1)*'1. UC Assumptions'!$M$44-(AH42/$BB$2)*'1. UC Assumptions'!$M$42,0)</f>
        <v>0</v>
      </c>
      <c r="BC42" s="151">
        <f>IF(K42="MRSA West",(AG42/$BC$1)*'1. UC Assumptions'!$N$44-(AH42/$BC$2)*'1. UC Assumptions'!$N$42,0)</f>
        <v>0</v>
      </c>
      <c r="BD42" s="151">
        <f>IF(K42="Nueces",(AG42/$BD$1)*'1. UC Assumptions'!$O$44-(AH42/$BD$2)*'1. UC Assumptions'!$O$42,0)</f>
        <v>0</v>
      </c>
      <c r="BE42" s="151">
        <f>IF(K42="Tarrant",(AG42/$BE$1)*'1. UC Assumptions'!$P$44-(AH42/$BE$2)*'1. UC Assumptions'!$P$42,0)</f>
        <v>0</v>
      </c>
      <c r="BF42" s="151">
        <f>IF(K42="Travis",(AG42/$BF$1)*'1. UC Assumptions'!$Q$44-(AH42/$BF$2)*'1. UC Assumptions'!$Q$42,0)</f>
        <v>0</v>
      </c>
      <c r="BG42" s="151">
        <f t="shared" si="15"/>
        <v>0</v>
      </c>
      <c r="BH42" s="151">
        <f t="shared" si="16"/>
        <v>0</v>
      </c>
      <c r="BI42" s="151">
        <f>ROUNDDOWN(BH42*'1. UC Assumptions'!$C$23,2)</f>
        <v>0</v>
      </c>
      <c r="BJ42" s="154">
        <f t="shared" si="17"/>
        <v>0</v>
      </c>
      <c r="BK42" s="154">
        <f t="shared" si="18"/>
        <v>0</v>
      </c>
      <c r="BL42" s="154">
        <f t="shared" si="19"/>
        <v>0</v>
      </c>
      <c r="BM42" s="154">
        <f t="shared" si="20"/>
        <v>0</v>
      </c>
      <c r="BN42" s="101"/>
      <c r="BO42" s="154">
        <f>(BL42*'1. UC Assumptions'!$C$23)-'3.  UC Calculations by Hospital'!BM42</f>
        <v>0</v>
      </c>
      <c r="BP42" s="13"/>
    </row>
    <row r="43" spans="2:68">
      <c r="B43" s="129" t="s">
        <v>310</v>
      </c>
      <c r="C43" s="91" t="s">
        <v>310</v>
      </c>
      <c r="D43" s="91" t="s">
        <v>214</v>
      </c>
      <c r="E43" s="91"/>
      <c r="F43" s="91"/>
      <c r="G43" s="91" t="s">
        <v>209</v>
      </c>
      <c r="H43" s="91" t="s">
        <v>209</v>
      </c>
      <c r="I43" s="150" t="s">
        <v>210</v>
      </c>
      <c r="J43" s="129" t="s">
        <v>311</v>
      </c>
      <c r="K43" s="91" t="s">
        <v>14</v>
      </c>
      <c r="L43" s="91" t="s">
        <v>14</v>
      </c>
      <c r="M43" s="151">
        <v>-954544.8033521293</v>
      </c>
      <c r="N43" s="151">
        <v>0</v>
      </c>
      <c r="O43" s="131">
        <v>0</v>
      </c>
      <c r="P43" s="131">
        <f t="shared" si="0"/>
        <v>0</v>
      </c>
      <c r="Q43" s="131">
        <v>13148063.13892729</v>
      </c>
      <c r="R43" s="131">
        <v>0</v>
      </c>
      <c r="S43" s="131">
        <f t="shared" si="1"/>
        <v>0</v>
      </c>
      <c r="T43" s="131">
        <f t="shared" si="2"/>
        <v>13148063.13892729</v>
      </c>
      <c r="U43" s="131">
        <v>336637</v>
      </c>
      <c r="V43" s="131">
        <v>0</v>
      </c>
      <c r="W43" s="131">
        <v>0</v>
      </c>
      <c r="X43" s="131">
        <v>0</v>
      </c>
      <c r="Y43" s="131">
        <v>555512.29403500981</v>
      </c>
      <c r="Z43" s="131">
        <f t="shared" si="3"/>
        <v>892149.29403500981</v>
      </c>
      <c r="AA43" s="131">
        <v>0</v>
      </c>
      <c r="AB43" s="152">
        <f t="shared" si="4"/>
        <v>14040212.4329623</v>
      </c>
      <c r="AC43" s="133">
        <f>IF(D43="Physician Group Practice",(AB43/$AB$393)*'1. UC Assumptions'!$C$15,IF(E43="Rural Hospital",AB43*'1. UC Assumptions'!$C$7/'1. UC Assumptions'!$E$7,(AB43/$AB$397)*('1. UC Assumptions'!$C$9)))</f>
        <v>6600944.1926858239</v>
      </c>
      <c r="AD43" s="133">
        <f t="shared" si="5"/>
        <v>0</v>
      </c>
      <c r="AE43" s="133">
        <f t="shared" si="6"/>
        <v>7439268.2402764764</v>
      </c>
      <c r="AF43" s="133">
        <f t="shared" si="7"/>
        <v>0</v>
      </c>
      <c r="AG43" s="133">
        <f t="shared" si="8"/>
        <v>7439268.2402764764</v>
      </c>
      <c r="AH43" s="133">
        <f t="shared" si="9"/>
        <v>6600944.1926858239</v>
      </c>
      <c r="AI43" s="131">
        <f>AH43*'1. UC Assumptions'!$C$23</f>
        <v>2178311.5835863217</v>
      </c>
      <c r="AJ43" s="131">
        <v>5975480.5300000003</v>
      </c>
      <c r="AK43" s="131">
        <f>AJ43*(1-'1. UC Assumptions'!$C$22)</f>
        <v>1971908.5748999999</v>
      </c>
      <c r="AL43" s="131"/>
      <c r="AM43" s="131">
        <f>AL43*'1. UC Assumptions'!$C$23</f>
        <v>0</v>
      </c>
      <c r="AN43" s="153">
        <f t="shared" si="10"/>
        <v>14040212.4329623</v>
      </c>
      <c r="AO43" s="151">
        <f>AN43*'1. UC Assumptions'!$C$23</f>
        <v>4633270.1028775582</v>
      </c>
      <c r="AP43" s="151">
        <f t="shared" si="11"/>
        <v>8064731.9029623</v>
      </c>
      <c r="AQ43" s="151">
        <f t="shared" si="12"/>
        <v>2661361.5279775583</v>
      </c>
      <c r="AR43" s="151">
        <f t="shared" si="13"/>
        <v>2661361.5279775583</v>
      </c>
      <c r="AS43" s="151">
        <f t="shared" si="14"/>
        <v>4633270.1028775582</v>
      </c>
      <c r="AT43" s="151">
        <f>IF(K43="Bexar",(AG43/$AT$1)*'1. UC Assumptions'!$E$44-(AH43/$AT$2)*'1. UC Assumptions'!$E$42,0)</f>
        <v>0</v>
      </c>
      <c r="AU43" s="151">
        <f>IF(K43="Dallas",(AG43/$AU$1)*'1. UC Assumptions'!$F$44-(AH43/$AU$2)*'1. UC Assumptions'!$F$42,0)</f>
        <v>0</v>
      </c>
      <c r="AV43" s="151">
        <f>IF(K43="El Paso",(AG43/$AV$1)*'1. UC Assumptions'!$G$44-(AH43/$AV$2)*'1. UC Assumptions'!$G$42,0)</f>
        <v>0</v>
      </c>
      <c r="AW43" s="151">
        <f>IF(K43="Harris",(AG43/$AW$1)*'1. UC Assumptions'!$H$44-(AH43/$AW$2)*'1. UC Assumptions'!$H$42,0)</f>
        <v>0</v>
      </c>
      <c r="AX43" s="151">
        <f>IF(K43="Hidalgo",(AG43/$AX$1)*'1. UC Assumptions'!$I$44-(AH43/$AX$2)*'1. UC Assumptions'!$I$42,0)</f>
        <v>0</v>
      </c>
      <c r="AY43" s="151">
        <f>IF(K43="Jefferson",(AG43/$AY$1)*'1. UC Assumptions'!$J$44-(AH43/$AY$2)*'1. UC Assumptions'!$J$42,0)</f>
        <v>0</v>
      </c>
      <c r="AZ43" s="151">
        <f>IF(K43="Lubbock",(AG43/$AZ$1)*'1. UC Assumptions'!$K$44-(AH43/$AZ$2)*'1. UC Assumptions'!$K$42,0)</f>
        <v>0</v>
      </c>
      <c r="BA43" s="151">
        <f>IF(K43="MRSA Central",(AG43/$BA$1)*'1. UC Assumptions'!$L$44-(AH43/$BA$2)*'1. UC Assumptions'!$L$42,0)</f>
        <v>0</v>
      </c>
      <c r="BB43" s="151">
        <f>IF(K43="MRSA Northeast",(AG43/$BB$1)*'1. UC Assumptions'!$M$44-(AH43/$BB$2)*'1. UC Assumptions'!$M$42,0)</f>
        <v>0</v>
      </c>
      <c r="BC43" s="151">
        <f>IF(K43="MRSA West",(AG43/$BC$1)*'1. UC Assumptions'!$N$44-(AH43/$BC$2)*'1. UC Assumptions'!$N$42,0)</f>
        <v>0</v>
      </c>
      <c r="BD43" s="151">
        <f>IF(K43="Nueces",(AG43/$BD$1)*'1. UC Assumptions'!$O$44-(AH43/$BD$2)*'1. UC Assumptions'!$O$42,0)</f>
        <v>0</v>
      </c>
      <c r="BE43" s="151">
        <f>IF(K43="Tarrant",(AG43/$BE$1)*'1. UC Assumptions'!$P$44-(AH43/$BE$2)*'1. UC Assumptions'!$P$42,0)</f>
        <v>0</v>
      </c>
      <c r="BF43" s="151">
        <f>IF(K43="Travis",(AG43/$BF$1)*'1. UC Assumptions'!$Q$44-(AH43/$BF$2)*'1. UC Assumptions'!$Q$42,0)</f>
        <v>0</v>
      </c>
      <c r="BG43" s="151">
        <f t="shared" si="15"/>
        <v>0</v>
      </c>
      <c r="BH43" s="151">
        <f t="shared" si="16"/>
        <v>6600944.1926858239</v>
      </c>
      <c r="BI43" s="151">
        <f>ROUNDDOWN(BH43*'1. UC Assumptions'!$C$23,2)</f>
        <v>2178311.58</v>
      </c>
      <c r="BJ43" s="154">
        <f t="shared" si="17"/>
        <v>625463.66268582363</v>
      </c>
      <c r="BK43" s="154">
        <f t="shared" si="18"/>
        <v>206403.00510000018</v>
      </c>
      <c r="BL43" s="154">
        <f t="shared" si="19"/>
        <v>577440.62</v>
      </c>
      <c r="BM43" s="154">
        <f t="shared" si="20"/>
        <v>190555.4</v>
      </c>
      <c r="BN43" s="101"/>
      <c r="BO43" s="154">
        <f>(BL43*'1. UC Assumptions'!$C$23)-'3.  UC Calculations by Hospital'!BM43</f>
        <v>4.5999999856576324E-3</v>
      </c>
      <c r="BP43" s="13"/>
    </row>
    <row r="44" spans="2:68">
      <c r="B44" s="129" t="s">
        <v>312</v>
      </c>
      <c r="C44" s="91" t="s">
        <v>312</v>
      </c>
      <c r="D44" s="91" t="s">
        <v>214</v>
      </c>
      <c r="E44" s="91"/>
      <c r="F44" s="91"/>
      <c r="G44" s="91" t="s">
        <v>209</v>
      </c>
      <c r="H44" s="91" t="s">
        <v>209</v>
      </c>
      <c r="I44" s="150" t="s">
        <v>210</v>
      </c>
      <c r="J44" s="129" t="s">
        <v>313</v>
      </c>
      <c r="K44" s="91" t="s">
        <v>11</v>
      </c>
      <c r="L44" s="91" t="s">
        <v>314</v>
      </c>
      <c r="M44" s="151">
        <v>22089588.25504053</v>
      </c>
      <c r="N44" s="151">
        <v>47743036.431493416</v>
      </c>
      <c r="O44" s="131">
        <v>24803881.636717398</v>
      </c>
      <c r="P44" s="131">
        <f t="shared" si="0"/>
        <v>22939154.794776019</v>
      </c>
      <c r="Q44" s="131">
        <v>42381195.331067778</v>
      </c>
      <c r="R44" s="131">
        <v>8599276.709999999</v>
      </c>
      <c r="S44" s="131">
        <f t="shared" si="1"/>
        <v>0</v>
      </c>
      <c r="T44" s="131">
        <f t="shared" si="2"/>
        <v>42381195.331067778</v>
      </c>
      <c r="U44" s="131">
        <v>5346576</v>
      </c>
      <c r="V44" s="131">
        <v>0</v>
      </c>
      <c r="W44" s="131">
        <v>12216652.044924099</v>
      </c>
      <c r="X44" s="131">
        <v>0</v>
      </c>
      <c r="Y44" s="131">
        <v>10595379.626061324</v>
      </c>
      <c r="Z44" s="131">
        <f t="shared" si="3"/>
        <v>28158607.670985423</v>
      </c>
      <c r="AA44" s="131">
        <v>0</v>
      </c>
      <c r="AB44" s="152">
        <f t="shared" si="4"/>
        <v>70539803.002053201</v>
      </c>
      <c r="AC44" s="133">
        <f>IF(D44="Physician Group Practice",(AB44/$AB$393)*'1. UC Assumptions'!$C$15,IF(E44="Rural Hospital",AB44*'1. UC Assumptions'!$C$7/'1. UC Assumptions'!$E$7,(AB44/$AB$397)*('1. UC Assumptions'!$C$9)))</f>
        <v>33163978.479872856</v>
      </c>
      <c r="AD44" s="133">
        <f t="shared" si="5"/>
        <v>0</v>
      </c>
      <c r="AE44" s="133">
        <f t="shared" si="6"/>
        <v>37375824.522180349</v>
      </c>
      <c r="AF44" s="133">
        <f t="shared" si="7"/>
        <v>0</v>
      </c>
      <c r="AG44" s="133">
        <f t="shared" si="8"/>
        <v>37375824.522180349</v>
      </c>
      <c r="AH44" s="133">
        <f t="shared" si="9"/>
        <v>33163978.479872856</v>
      </c>
      <c r="AI44" s="131">
        <f>AH44*'1. UC Assumptions'!$C$23</f>
        <v>10944112.898358041</v>
      </c>
      <c r="AJ44" s="131">
        <v>28652137.260000002</v>
      </c>
      <c r="AK44" s="131">
        <f>AJ44*(1-'1. UC Assumptions'!$C$22)</f>
        <v>9455205.2957999986</v>
      </c>
      <c r="AL44" s="131"/>
      <c r="AM44" s="131">
        <f>AL44*'1. UC Assumptions'!$C$23</f>
        <v>0</v>
      </c>
      <c r="AN44" s="153">
        <f t="shared" si="10"/>
        <v>70539803.002053201</v>
      </c>
      <c r="AO44" s="151">
        <f>AN44*'1. UC Assumptions'!$C$23</f>
        <v>23278134.990677554</v>
      </c>
      <c r="AP44" s="151">
        <f t="shared" si="11"/>
        <v>41887665.742053196</v>
      </c>
      <c r="AQ44" s="151">
        <f t="shared" si="12"/>
        <v>13822929.694877556</v>
      </c>
      <c r="AR44" s="151">
        <f t="shared" si="13"/>
        <v>13822929.694877556</v>
      </c>
      <c r="AS44" s="151">
        <f t="shared" si="14"/>
        <v>23278134.990677554</v>
      </c>
      <c r="AT44" s="151">
        <f>IF(K44="Bexar",(AG44/$AT$1)*'1. UC Assumptions'!$E$44-(AH44/$AT$2)*'1. UC Assumptions'!$E$42,0)</f>
        <v>0</v>
      </c>
      <c r="AU44" s="151">
        <f>IF(K44="Dallas",(AG44/$AU$1)*'1. UC Assumptions'!$F$44-(AH44/$AU$2)*'1. UC Assumptions'!$F$42,0)</f>
        <v>0</v>
      </c>
      <c r="AV44" s="151">
        <f>IF(K44="El Paso",(AG44/$AV$1)*'1. UC Assumptions'!$G$44-(AH44/$AV$2)*'1. UC Assumptions'!$G$42,0)</f>
        <v>0</v>
      </c>
      <c r="AW44" s="151">
        <f>IF(K44="Harris",(AG44/$AW$1)*'1. UC Assumptions'!$H$44-(AH44/$AW$2)*'1. UC Assumptions'!$H$42,0)</f>
        <v>0</v>
      </c>
      <c r="AX44" s="151">
        <f>IF(K44="Hidalgo",(AG44/$AX$1)*'1. UC Assumptions'!$I$44-(AH44/$AX$2)*'1. UC Assumptions'!$I$42,0)</f>
        <v>0</v>
      </c>
      <c r="AY44" s="151">
        <f>IF(K44="Jefferson",(AG44/$AY$1)*'1. UC Assumptions'!$J$44-(AH44/$AY$2)*'1. UC Assumptions'!$J$42,0)</f>
        <v>0</v>
      </c>
      <c r="AZ44" s="151">
        <f>IF(K44="Lubbock",(AG44/$AZ$1)*'1. UC Assumptions'!$K$44-(AH44/$AZ$2)*'1. UC Assumptions'!$K$42,0)</f>
        <v>0</v>
      </c>
      <c r="BA44" s="151">
        <f>IF(K44="MRSA Central",(AG44/$BA$1)*'1. UC Assumptions'!$L$44-(AH44/$BA$2)*'1. UC Assumptions'!$L$42,0)</f>
        <v>0</v>
      </c>
      <c r="BB44" s="151">
        <f>IF(K44="MRSA Northeast",(AG44/$BB$1)*'1. UC Assumptions'!$M$44-(AH44/$BB$2)*'1. UC Assumptions'!$M$42,0)</f>
        <v>0</v>
      </c>
      <c r="BC44" s="151">
        <f>IF(K44="MRSA West",(AG44/$BC$1)*'1. UC Assumptions'!$N$44-(AH44/$BC$2)*'1. UC Assumptions'!$N$42,0)</f>
        <v>0</v>
      </c>
      <c r="BD44" s="151">
        <f>IF(K44="Nueces",(AG44/$BD$1)*'1. UC Assumptions'!$O$44-(AH44/$BD$2)*'1. UC Assumptions'!$O$42,0)</f>
        <v>0</v>
      </c>
      <c r="BE44" s="151">
        <f>IF(K44="Tarrant",(AG44/$BE$1)*'1. UC Assumptions'!$P$44-(AH44/$BE$2)*'1. UC Assumptions'!$P$42,0)</f>
        <v>0</v>
      </c>
      <c r="BF44" s="151">
        <f>IF(K44="Travis",(AG44/$BF$1)*'1. UC Assumptions'!$Q$44-(AH44/$BF$2)*'1. UC Assumptions'!$Q$42,0)</f>
        <v>0</v>
      </c>
      <c r="BG44" s="151">
        <f t="shared" si="15"/>
        <v>0</v>
      </c>
      <c r="BH44" s="151">
        <f t="shared" si="16"/>
        <v>33163978.479872856</v>
      </c>
      <c r="BI44" s="151">
        <f>ROUNDDOWN(BH44*'1. UC Assumptions'!$C$23,2)</f>
        <v>10944112.890000001</v>
      </c>
      <c r="BJ44" s="154">
        <f t="shared" si="17"/>
        <v>4511841.2198728547</v>
      </c>
      <c r="BK44" s="154">
        <f t="shared" si="18"/>
        <v>1488907.594200002</v>
      </c>
      <c r="BL44" s="154">
        <f t="shared" si="19"/>
        <v>4165422.44</v>
      </c>
      <c r="BM44" s="154">
        <f t="shared" si="20"/>
        <v>1374589.39</v>
      </c>
      <c r="BN44" s="101"/>
      <c r="BO44" s="154">
        <f>(BL44*'1. UC Assumptions'!$C$23)-'3.  UC Calculations by Hospital'!BM44</f>
        <v>1.5200000023469329E-2</v>
      </c>
      <c r="BP44" s="13"/>
    </row>
    <row r="45" spans="2:68" ht="14.45" customHeight="1">
      <c r="B45" s="129" t="s">
        <v>315</v>
      </c>
      <c r="C45" s="91" t="s">
        <v>315</v>
      </c>
      <c r="D45" s="91" t="s">
        <v>214</v>
      </c>
      <c r="E45" s="91"/>
      <c r="F45" s="91"/>
      <c r="G45" s="91" t="s">
        <v>209</v>
      </c>
      <c r="H45" s="91" t="s">
        <v>209</v>
      </c>
      <c r="I45" s="150" t="s">
        <v>210</v>
      </c>
      <c r="J45" s="129" t="s">
        <v>316</v>
      </c>
      <c r="K45" s="91" t="s">
        <v>5</v>
      </c>
      <c r="L45" s="91" t="s">
        <v>5</v>
      </c>
      <c r="M45" s="151">
        <v>-28076311.391423743</v>
      </c>
      <c r="N45" s="151">
        <v>35902738.719801337</v>
      </c>
      <c r="O45" s="131">
        <v>24778671.91667546</v>
      </c>
      <c r="P45" s="131">
        <f t="shared" si="0"/>
        <v>11124066.803125877</v>
      </c>
      <c r="Q45" s="131">
        <v>35502918.666070484</v>
      </c>
      <c r="R45" s="131">
        <v>7826427.330000001</v>
      </c>
      <c r="S45" s="131">
        <f t="shared" si="1"/>
        <v>7826427.330000001</v>
      </c>
      <c r="T45" s="131">
        <f t="shared" si="2"/>
        <v>27676491.336070482</v>
      </c>
      <c r="U45" s="131">
        <v>2764412</v>
      </c>
      <c r="V45" s="131">
        <v>0</v>
      </c>
      <c r="W45" s="131">
        <v>0</v>
      </c>
      <c r="X45" s="131">
        <v>0</v>
      </c>
      <c r="Y45" s="131">
        <v>6044348.6812474187</v>
      </c>
      <c r="Z45" s="131">
        <f t="shared" si="3"/>
        <v>8808760.6812474187</v>
      </c>
      <c r="AA45" s="131">
        <v>0</v>
      </c>
      <c r="AB45" s="152">
        <f t="shared" si="4"/>
        <v>36485252.017317899</v>
      </c>
      <c r="AC45" s="133">
        <f>IF(D45="Physician Group Practice",(AB45/$AB$393)*'1. UC Assumptions'!$C$15,IF(E45="Rural Hospital",AB45*'1. UC Assumptions'!$C$7/'1. UC Assumptions'!$E$7,(AB45/$AB$397)*('1. UC Assumptions'!$C$9)))</f>
        <v>17153380.945788145</v>
      </c>
      <c r="AD45" s="133">
        <f t="shared" si="5"/>
        <v>0</v>
      </c>
      <c r="AE45" s="133">
        <f t="shared" si="6"/>
        <v>19331871.071529754</v>
      </c>
      <c r="AF45" s="133">
        <f t="shared" si="7"/>
        <v>0</v>
      </c>
      <c r="AG45" s="133">
        <f t="shared" si="8"/>
        <v>19331871.071529754</v>
      </c>
      <c r="AH45" s="133">
        <f t="shared" si="9"/>
        <v>17153380.945788145</v>
      </c>
      <c r="AI45" s="131">
        <f>AH45*'1. UC Assumptions'!$C$23</f>
        <v>5660615.7121100873</v>
      </c>
      <c r="AJ45" s="131">
        <v>15564929.1</v>
      </c>
      <c r="AK45" s="131">
        <f>AJ45*(1-'1. UC Assumptions'!$C$22)</f>
        <v>5136426.6029999992</v>
      </c>
      <c r="AL45" s="131"/>
      <c r="AM45" s="131">
        <f>AL45*'1. UC Assumptions'!$C$23</f>
        <v>0</v>
      </c>
      <c r="AN45" s="153">
        <f t="shared" si="10"/>
        <v>36485252.017317899</v>
      </c>
      <c r="AO45" s="151">
        <f>AN45*'1. UC Assumptions'!$C$23</f>
        <v>12040133.165714905</v>
      </c>
      <c r="AP45" s="151">
        <f t="shared" si="11"/>
        <v>20920322.917317897</v>
      </c>
      <c r="AQ45" s="151">
        <f t="shared" si="12"/>
        <v>6903706.5627149055</v>
      </c>
      <c r="AR45" s="151">
        <f t="shared" si="13"/>
        <v>6903706.5627149055</v>
      </c>
      <c r="AS45" s="151">
        <f t="shared" si="14"/>
        <v>12040133.165714905</v>
      </c>
      <c r="AT45" s="151">
        <f>IF(K45="Bexar",(AG45/$AT$1)*'1. UC Assumptions'!$E$44-(AH45/$AT$2)*'1. UC Assumptions'!$E$42,0)</f>
        <v>0</v>
      </c>
      <c r="AU45" s="151">
        <f>IF(K45="Dallas",(AG45/$AU$1)*'1. UC Assumptions'!$F$44-(AH45/$AU$2)*'1. UC Assumptions'!$F$42,0)</f>
        <v>0</v>
      </c>
      <c r="AV45" s="151">
        <f>IF(K45="El Paso",(AG45/$AV$1)*'1. UC Assumptions'!$G$44-(AH45/$AV$2)*'1. UC Assumptions'!$G$42,0)</f>
        <v>0</v>
      </c>
      <c r="AW45" s="151">
        <f>IF(K45="Harris",(AG45/$AW$1)*'1. UC Assumptions'!$H$44-(AH45/$AW$2)*'1. UC Assumptions'!$H$42,0)</f>
        <v>0</v>
      </c>
      <c r="AX45" s="151">
        <f>IF(K45="Hidalgo",(AG45/$AX$1)*'1. UC Assumptions'!$I$44-(AH45/$AX$2)*'1. UC Assumptions'!$I$42,0)</f>
        <v>0</v>
      </c>
      <c r="AY45" s="151">
        <f>IF(K45="Jefferson",(AG45/$AY$1)*'1. UC Assumptions'!$J$44-(AH45/$AY$2)*'1. UC Assumptions'!$J$42,0)</f>
        <v>0</v>
      </c>
      <c r="AZ45" s="151">
        <f>IF(K45="Lubbock",(AG45/$AZ$1)*'1. UC Assumptions'!$K$44-(AH45/$AZ$2)*'1. UC Assumptions'!$K$42,0)</f>
        <v>0</v>
      </c>
      <c r="BA45" s="151">
        <f>IF(K45="MRSA Central",(AG45/$BA$1)*'1. UC Assumptions'!$L$44-(AH45/$BA$2)*'1. UC Assumptions'!$L$42,0)</f>
        <v>0</v>
      </c>
      <c r="BB45" s="151">
        <f>IF(K45="MRSA Northeast",(AG45/$BB$1)*'1. UC Assumptions'!$M$44-(AH45/$BB$2)*'1. UC Assumptions'!$M$42,0)</f>
        <v>0</v>
      </c>
      <c r="BC45" s="151">
        <f>IF(K45="MRSA West",(AG45/$BC$1)*'1. UC Assumptions'!$N$44-(AH45/$BC$2)*'1. UC Assumptions'!$N$42,0)</f>
        <v>0</v>
      </c>
      <c r="BD45" s="151">
        <f>IF(K45="Nueces",(AG45/$BD$1)*'1. UC Assumptions'!$O$44-(AH45/$BD$2)*'1. UC Assumptions'!$O$42,0)</f>
        <v>0</v>
      </c>
      <c r="BE45" s="151">
        <f>IF(K45="Tarrant",(AG45/$BE$1)*'1. UC Assumptions'!$P$44-(AH45/$BE$2)*'1. UC Assumptions'!$P$42,0)</f>
        <v>0</v>
      </c>
      <c r="BF45" s="151">
        <f>IF(K45="Travis",(AG45/$BF$1)*'1. UC Assumptions'!$Q$44-(AH45/$BF$2)*'1. UC Assumptions'!$Q$42,0)</f>
        <v>0</v>
      </c>
      <c r="BG45" s="151">
        <f t="shared" si="15"/>
        <v>0</v>
      </c>
      <c r="BH45" s="151">
        <f t="shared" si="16"/>
        <v>17153380.945788145</v>
      </c>
      <c r="BI45" s="151">
        <f>ROUNDDOWN(BH45*'1. UC Assumptions'!$C$23,2)</f>
        <v>5660615.71</v>
      </c>
      <c r="BJ45" s="154">
        <f t="shared" si="17"/>
        <v>1588451.8457881454</v>
      </c>
      <c r="BK45" s="154">
        <f t="shared" si="18"/>
        <v>524189.10700000077</v>
      </c>
      <c r="BL45" s="154">
        <f t="shared" si="19"/>
        <v>1466490.65</v>
      </c>
      <c r="BM45" s="154">
        <f t="shared" si="20"/>
        <v>483941.91</v>
      </c>
      <c r="BN45" s="101"/>
      <c r="BO45" s="154">
        <f>(BL45*'1. UC Assumptions'!$C$23)-'3.  UC Calculations by Hospital'!BM45</f>
        <v>4.4999999227002263E-3</v>
      </c>
      <c r="BP45" s="13"/>
    </row>
    <row r="46" spans="2:68">
      <c r="B46" s="129" t="s">
        <v>317</v>
      </c>
      <c r="C46" s="91" t="s">
        <v>317</v>
      </c>
      <c r="D46" s="91" t="s">
        <v>214</v>
      </c>
      <c r="E46" s="91"/>
      <c r="F46" s="91"/>
      <c r="G46" s="91" t="s">
        <v>209</v>
      </c>
      <c r="H46" s="91" t="s">
        <v>209</v>
      </c>
      <c r="I46" s="150" t="s">
        <v>210</v>
      </c>
      <c r="J46" s="129" t="s">
        <v>318</v>
      </c>
      <c r="K46" s="91" t="s">
        <v>7</v>
      </c>
      <c r="L46" s="91" t="s">
        <v>7</v>
      </c>
      <c r="M46" s="151">
        <v>-24909270.992075332</v>
      </c>
      <c r="N46" s="151">
        <v>60322753.21926</v>
      </c>
      <c r="O46" s="131">
        <v>30282169.903272837</v>
      </c>
      <c r="P46" s="131">
        <f t="shared" si="0"/>
        <v>30040583.315987162</v>
      </c>
      <c r="Q46" s="131">
        <v>40329106.835944138</v>
      </c>
      <c r="R46" s="131">
        <v>15791076.65</v>
      </c>
      <c r="S46" s="131">
        <f t="shared" si="1"/>
        <v>10659764.326088168</v>
      </c>
      <c r="T46" s="131">
        <f t="shared" si="2"/>
        <v>29669342.509855971</v>
      </c>
      <c r="U46" s="131">
        <v>5835044</v>
      </c>
      <c r="V46" s="131">
        <v>0</v>
      </c>
      <c r="W46" s="131">
        <v>0</v>
      </c>
      <c r="X46" s="131">
        <v>0</v>
      </c>
      <c r="Y46" s="131">
        <v>6720111.4458438102</v>
      </c>
      <c r="Z46" s="131">
        <f t="shared" si="3"/>
        <v>12555155.44584381</v>
      </c>
      <c r="AA46" s="131">
        <v>0</v>
      </c>
      <c r="AB46" s="152">
        <f t="shared" si="4"/>
        <v>42224497.955699779</v>
      </c>
      <c r="AC46" s="133">
        <f>IF(D46="Physician Group Practice",(AB46/$AB$393)*'1. UC Assumptions'!$C$15,IF(E46="Rural Hospital",AB46*'1. UC Assumptions'!$C$7/'1. UC Assumptions'!$E$7,(AB46/$AB$397)*('1. UC Assumptions'!$C$9)))</f>
        <v>19851662.209568456</v>
      </c>
      <c r="AD46" s="133">
        <f t="shared" si="5"/>
        <v>0</v>
      </c>
      <c r="AE46" s="133">
        <f t="shared" si="6"/>
        <v>22372835.746131323</v>
      </c>
      <c r="AF46" s="133">
        <f t="shared" si="7"/>
        <v>0</v>
      </c>
      <c r="AG46" s="133">
        <f t="shared" si="8"/>
        <v>22372835.746131323</v>
      </c>
      <c r="AH46" s="133">
        <f t="shared" si="9"/>
        <v>19851662.209568456</v>
      </c>
      <c r="AI46" s="131">
        <f>AH46*'1. UC Assumptions'!$C$23</f>
        <v>6551048.5291575892</v>
      </c>
      <c r="AJ46" s="131">
        <v>24723049.469999999</v>
      </c>
      <c r="AK46" s="131">
        <f>AJ46*(1-'1. UC Assumptions'!$C$22)</f>
        <v>8158606.3250999982</v>
      </c>
      <c r="AL46" s="131"/>
      <c r="AM46" s="131">
        <f>AL46*'1. UC Assumptions'!$C$23</f>
        <v>0</v>
      </c>
      <c r="AN46" s="153">
        <f t="shared" si="10"/>
        <v>42224497.955699779</v>
      </c>
      <c r="AO46" s="151">
        <f>AN46*'1. UC Assumptions'!$C$23</f>
        <v>13934084.325380925</v>
      </c>
      <c r="AP46" s="151">
        <f t="shared" si="11"/>
        <v>17501448.48569978</v>
      </c>
      <c r="AQ46" s="151">
        <f t="shared" si="12"/>
        <v>5775478.0002809269</v>
      </c>
      <c r="AR46" s="151">
        <f t="shared" si="13"/>
        <v>5775478.0002809269</v>
      </c>
      <c r="AS46" s="151">
        <f t="shared" si="14"/>
        <v>13934084.325380925</v>
      </c>
      <c r="AT46" s="151">
        <f>IF(K46="Bexar",(AG46/$AT$1)*'1. UC Assumptions'!$E$44-(AH46/$AT$2)*'1. UC Assumptions'!$E$42,0)</f>
        <v>0</v>
      </c>
      <c r="AU46" s="151">
        <f>IF(K46="Dallas",(AG46/$AU$1)*'1. UC Assumptions'!$F$44-(AH46/$AU$2)*'1. UC Assumptions'!$F$42,0)</f>
        <v>0</v>
      </c>
      <c r="AV46" s="151">
        <f>IF(K46="El Paso",(AG46/$AV$1)*'1. UC Assumptions'!$G$44-(AH46/$AV$2)*'1. UC Assumptions'!$G$42,0)</f>
        <v>0</v>
      </c>
      <c r="AW46" s="151">
        <f>IF(K46="Harris",(AG46/$AW$1)*'1. UC Assumptions'!$H$44-(AH46/$AW$2)*'1. UC Assumptions'!$H$42,0)</f>
        <v>0</v>
      </c>
      <c r="AX46" s="151">
        <f>IF(K46="Hidalgo",(AG46/$AX$1)*'1. UC Assumptions'!$I$44-(AH46/$AX$2)*'1. UC Assumptions'!$I$42,0)</f>
        <v>0</v>
      </c>
      <c r="AY46" s="151">
        <f>IF(K46="Jefferson",(AG46/$AY$1)*'1. UC Assumptions'!$J$44-(AH46/$AY$2)*'1. UC Assumptions'!$J$42,0)</f>
        <v>0</v>
      </c>
      <c r="AZ46" s="151">
        <f>IF(K46="Lubbock",(AG46/$AZ$1)*'1. UC Assumptions'!$K$44-(AH46/$AZ$2)*'1. UC Assumptions'!$K$42,0)</f>
        <v>0</v>
      </c>
      <c r="BA46" s="151">
        <f>IF(K46="MRSA Central",(AG46/$BA$1)*'1. UC Assumptions'!$L$44-(AH46/$BA$2)*'1. UC Assumptions'!$L$42,0)</f>
        <v>0</v>
      </c>
      <c r="BB46" s="151">
        <f>IF(K46="MRSA Northeast",(AG46/$BB$1)*'1. UC Assumptions'!$M$44-(AH46/$BB$2)*'1. UC Assumptions'!$M$42,0)</f>
        <v>0</v>
      </c>
      <c r="BC46" s="151">
        <f>IF(K46="MRSA West",(AG46/$BC$1)*'1. UC Assumptions'!$N$44-(AH46/$BC$2)*'1. UC Assumptions'!$N$42,0)</f>
        <v>0</v>
      </c>
      <c r="BD46" s="151">
        <f>IF(K46="Nueces",(AG46/$BD$1)*'1. UC Assumptions'!$O$44-(AH46/$BD$2)*'1. UC Assumptions'!$O$42,0)</f>
        <v>0</v>
      </c>
      <c r="BE46" s="151">
        <f>IF(K46="Tarrant",(AG46/$BE$1)*'1. UC Assumptions'!$P$44-(AH46/$BE$2)*'1. UC Assumptions'!$P$42,0)</f>
        <v>0</v>
      </c>
      <c r="BF46" s="151">
        <f>IF(K46="Travis",(AG46/$BF$1)*'1. UC Assumptions'!$Q$44-(AH46/$BF$2)*'1. UC Assumptions'!$Q$42,0)</f>
        <v>0</v>
      </c>
      <c r="BG46" s="151">
        <f t="shared" si="15"/>
        <v>0</v>
      </c>
      <c r="BH46" s="151">
        <f t="shared" si="16"/>
        <v>19851662.209568456</v>
      </c>
      <c r="BI46" s="151">
        <f>ROUNDDOWN(BH46*'1. UC Assumptions'!$C$23,2)</f>
        <v>6551048.5199999996</v>
      </c>
      <c r="BJ46" s="154">
        <f t="shared" si="17"/>
        <v>-4871387.260431543</v>
      </c>
      <c r="BK46" s="154">
        <f t="shared" si="18"/>
        <v>-1607557.8050999986</v>
      </c>
      <c r="BL46" s="154">
        <f t="shared" si="19"/>
        <v>0</v>
      </c>
      <c r="BM46" s="154">
        <f t="shared" si="20"/>
        <v>0</v>
      </c>
      <c r="BN46" s="101"/>
      <c r="BO46" s="154">
        <f>(BL46*'1. UC Assumptions'!$C$23)-'3.  UC Calculations by Hospital'!BM46</f>
        <v>0</v>
      </c>
      <c r="BP46" s="13"/>
    </row>
    <row r="47" spans="2:68">
      <c r="B47" s="129" t="s">
        <v>319</v>
      </c>
      <c r="C47" s="91" t="s">
        <v>319</v>
      </c>
      <c r="D47" s="91" t="s">
        <v>208</v>
      </c>
      <c r="E47" s="91" t="s">
        <v>149</v>
      </c>
      <c r="F47" s="91"/>
      <c r="G47" s="91" t="s">
        <v>209</v>
      </c>
      <c r="H47" s="91" t="s">
        <v>209</v>
      </c>
      <c r="I47" s="150" t="s">
        <v>210</v>
      </c>
      <c r="J47" s="129" t="s">
        <v>320</v>
      </c>
      <c r="K47" s="91" t="s">
        <v>12</v>
      </c>
      <c r="L47" s="91" t="s">
        <v>321</v>
      </c>
      <c r="M47" s="151">
        <v>482239.8889939455</v>
      </c>
      <c r="N47" s="151">
        <v>0</v>
      </c>
      <c r="O47" s="131">
        <v>0</v>
      </c>
      <c r="P47" s="131">
        <f t="shared" si="0"/>
        <v>0</v>
      </c>
      <c r="Q47" s="131">
        <v>499004.8231666176</v>
      </c>
      <c r="R47" s="131">
        <v>0</v>
      </c>
      <c r="S47" s="131">
        <f t="shared" si="1"/>
        <v>0</v>
      </c>
      <c r="T47" s="131">
        <f t="shared" si="2"/>
        <v>499004.8231666176</v>
      </c>
      <c r="U47" s="131">
        <v>0</v>
      </c>
      <c r="V47" s="131">
        <v>0</v>
      </c>
      <c r="W47" s="131">
        <v>0</v>
      </c>
      <c r="X47" s="131">
        <v>0</v>
      </c>
      <c r="Y47" s="131">
        <v>0</v>
      </c>
      <c r="Z47" s="131">
        <f t="shared" si="3"/>
        <v>0</v>
      </c>
      <c r="AA47" s="131">
        <v>0</v>
      </c>
      <c r="AB47" s="152">
        <f t="shared" si="4"/>
        <v>499004.8231666176</v>
      </c>
      <c r="AC47" s="133">
        <f>IF(D47="Physician Group Practice",(AB47/$AB$393)*'1. UC Assumptions'!$C$15,IF(E47="Rural Hospital",AB47*'1. UC Assumptions'!$C$7/'1. UC Assumptions'!$E$7,(AB47/$AB$397)*('1. UC Assumptions'!$C$9)))</f>
        <v>465788.8290236161</v>
      </c>
      <c r="AD47" s="133">
        <f t="shared" si="5"/>
        <v>0</v>
      </c>
      <c r="AE47" s="133">
        <f t="shared" si="6"/>
        <v>33215.994143001502</v>
      </c>
      <c r="AF47" s="133">
        <f t="shared" si="7"/>
        <v>0</v>
      </c>
      <c r="AG47" s="133">
        <f t="shared" si="8"/>
        <v>33215.994143001502</v>
      </c>
      <c r="AH47" s="133">
        <f t="shared" si="9"/>
        <v>465788.8290236161</v>
      </c>
      <c r="AI47" s="131">
        <f>AH47*'1. UC Assumptions'!$C$23</f>
        <v>153710.31357779331</v>
      </c>
      <c r="AJ47" s="131">
        <v>187458.82</v>
      </c>
      <c r="AK47" s="131">
        <f>AJ47*(1-'1. UC Assumptions'!$C$22)</f>
        <v>61861.410599999996</v>
      </c>
      <c r="AL47" s="131"/>
      <c r="AM47" s="131">
        <f>AL47*'1. UC Assumptions'!$C$23</f>
        <v>0</v>
      </c>
      <c r="AN47" s="153">
        <f t="shared" si="10"/>
        <v>499004.8231666176</v>
      </c>
      <c r="AO47" s="151">
        <f>AN47*'1. UC Assumptions'!$C$23</f>
        <v>164671.5916449838</v>
      </c>
      <c r="AP47" s="151">
        <f t="shared" si="11"/>
        <v>311546.00316661759</v>
      </c>
      <c r="AQ47" s="151">
        <f t="shared" si="12"/>
        <v>102810.18104498379</v>
      </c>
      <c r="AR47" s="151">
        <f t="shared" si="13"/>
        <v>102810.18104498379</v>
      </c>
      <c r="AS47" s="151">
        <f t="shared" si="14"/>
        <v>164671.5916449838</v>
      </c>
      <c r="AT47" s="151">
        <f>IF(K47="Bexar",(AG47/$AT$1)*'1. UC Assumptions'!$E$44-(AH47/$AT$2)*'1. UC Assumptions'!$E$42,0)</f>
        <v>0</v>
      </c>
      <c r="AU47" s="151">
        <f>IF(K47="Dallas",(AG47/$AU$1)*'1. UC Assumptions'!$F$44-(AH47/$AU$2)*'1. UC Assumptions'!$F$42,0)</f>
        <v>0</v>
      </c>
      <c r="AV47" s="151">
        <f>IF(K47="El Paso",(AG47/$AV$1)*'1. UC Assumptions'!$G$44-(AH47/$AV$2)*'1. UC Assumptions'!$G$42,0)</f>
        <v>0</v>
      </c>
      <c r="AW47" s="151">
        <f>IF(K47="Harris",(AG47/$AW$1)*'1. UC Assumptions'!$H$44-(AH47/$AW$2)*'1. UC Assumptions'!$H$42,0)</f>
        <v>0</v>
      </c>
      <c r="AX47" s="151">
        <f>IF(K47="Hidalgo",(AG47/$AX$1)*'1. UC Assumptions'!$I$44-(AH47/$AX$2)*'1. UC Assumptions'!$I$42,0)</f>
        <v>0</v>
      </c>
      <c r="AY47" s="151">
        <f>IF(K47="Jefferson",(AG47/$AY$1)*'1. UC Assumptions'!$J$44-(AH47/$AY$2)*'1. UC Assumptions'!$J$42,0)</f>
        <v>0</v>
      </c>
      <c r="AZ47" s="151">
        <f>IF(K47="Lubbock",(AG47/$AZ$1)*'1. UC Assumptions'!$K$44-(AH47/$AZ$2)*'1. UC Assumptions'!$K$42,0)</f>
        <v>0</v>
      </c>
      <c r="BA47" s="151">
        <f>IF(K47="MRSA Central",(AG47/$BA$1)*'1. UC Assumptions'!$L$44-(AH47/$BA$2)*'1. UC Assumptions'!$L$42,0)</f>
        <v>0</v>
      </c>
      <c r="BB47" s="151">
        <f>IF(K47="MRSA Northeast",(AG47/$BB$1)*'1. UC Assumptions'!$M$44-(AH47/$BB$2)*'1. UC Assumptions'!$M$42,0)</f>
        <v>0</v>
      </c>
      <c r="BC47" s="151">
        <f>IF(K47="MRSA West",(AG47/$BC$1)*'1. UC Assumptions'!$N$44-(AH47/$BC$2)*'1. UC Assumptions'!$N$42,0)</f>
        <v>0</v>
      </c>
      <c r="BD47" s="151">
        <f>IF(K47="Nueces",(AG47/$BD$1)*'1. UC Assumptions'!$O$44-(AH47/$BD$2)*'1. UC Assumptions'!$O$42,0)</f>
        <v>0</v>
      </c>
      <c r="BE47" s="151">
        <f>IF(K47="Tarrant",(AG47/$BE$1)*'1. UC Assumptions'!$P$44-(AH47/$BE$2)*'1. UC Assumptions'!$P$42,0)</f>
        <v>0</v>
      </c>
      <c r="BF47" s="151">
        <f>IF(K47="Travis",(AG47/$BF$1)*'1. UC Assumptions'!$Q$44-(AH47/$BF$2)*'1. UC Assumptions'!$Q$42,0)</f>
        <v>0</v>
      </c>
      <c r="BG47" s="151">
        <f t="shared" si="15"/>
        <v>0</v>
      </c>
      <c r="BH47" s="151">
        <f t="shared" si="16"/>
        <v>465788.8290236161</v>
      </c>
      <c r="BI47" s="151">
        <f>ROUNDDOWN(BH47*'1. UC Assumptions'!$C$23,2)</f>
        <v>153710.31</v>
      </c>
      <c r="BJ47" s="154">
        <f t="shared" si="17"/>
        <v>278330.00902361609</v>
      </c>
      <c r="BK47" s="154">
        <f t="shared" si="18"/>
        <v>91848.899399999995</v>
      </c>
      <c r="BL47" s="154">
        <f t="shared" si="19"/>
        <v>256959.85</v>
      </c>
      <c r="BM47" s="154">
        <f t="shared" si="20"/>
        <v>84796.75</v>
      </c>
      <c r="BN47" s="101"/>
      <c r="BO47" s="154">
        <f>(BL47*'1. UC Assumptions'!$C$23)-'3.  UC Calculations by Hospital'!BM47</f>
        <v>4.999999946448952E-4</v>
      </c>
      <c r="BP47" s="13"/>
    </row>
    <row r="48" spans="2:68">
      <c r="B48" s="129" t="s">
        <v>322</v>
      </c>
      <c r="C48" s="91" t="s">
        <v>322</v>
      </c>
      <c r="D48" s="91" t="s">
        <v>214</v>
      </c>
      <c r="E48" s="91"/>
      <c r="F48" s="91"/>
      <c r="G48" s="91" t="s">
        <v>209</v>
      </c>
      <c r="H48" s="91" t="s">
        <v>209</v>
      </c>
      <c r="I48" s="150" t="s">
        <v>210</v>
      </c>
      <c r="J48" s="129" t="s">
        <v>323</v>
      </c>
      <c r="K48" s="91" t="s">
        <v>13</v>
      </c>
      <c r="L48" s="91" t="s">
        <v>324</v>
      </c>
      <c r="M48" s="151">
        <v>-817671.27869091951</v>
      </c>
      <c r="N48" s="151">
        <v>8628950.0030393675</v>
      </c>
      <c r="O48" s="131">
        <v>5519183.6397933308</v>
      </c>
      <c r="P48" s="131">
        <f t="shared" si="0"/>
        <v>3109766.3632460367</v>
      </c>
      <c r="Q48" s="131">
        <v>6179219.5047804937</v>
      </c>
      <c r="R48" s="131">
        <v>2603939.62</v>
      </c>
      <c r="S48" s="131">
        <f t="shared" si="1"/>
        <v>311844.5354448827</v>
      </c>
      <c r="T48" s="131">
        <f t="shared" si="2"/>
        <v>5867374.969335611</v>
      </c>
      <c r="U48" s="131">
        <v>911926.70884530665</v>
      </c>
      <c r="V48" s="131">
        <v>0</v>
      </c>
      <c r="W48" s="131">
        <v>489594</v>
      </c>
      <c r="X48" s="131">
        <v>0</v>
      </c>
      <c r="Y48" s="131">
        <v>3274143.3808659106</v>
      </c>
      <c r="Z48" s="131">
        <f t="shared" si="3"/>
        <v>4675664.0897112172</v>
      </c>
      <c r="AA48" s="131">
        <v>0</v>
      </c>
      <c r="AB48" s="152">
        <f t="shared" si="4"/>
        <v>10543039.059046827</v>
      </c>
      <c r="AC48" s="133">
        <f>IF(D48="Physician Group Practice",(AB48/$AB$393)*'1. UC Assumptions'!$C$15,IF(E48="Rural Hospital",AB48*'1. UC Assumptions'!$C$7/'1. UC Assumptions'!$E$7,(AB48/$AB$397)*('1. UC Assumptions'!$C$9)))</f>
        <v>4956763.4950229554</v>
      </c>
      <c r="AD48" s="133">
        <f t="shared" si="5"/>
        <v>0</v>
      </c>
      <c r="AE48" s="133">
        <f t="shared" si="6"/>
        <v>5586275.5640238719</v>
      </c>
      <c r="AF48" s="133">
        <f t="shared" si="7"/>
        <v>0</v>
      </c>
      <c r="AG48" s="133">
        <f t="shared" si="8"/>
        <v>5586275.5640238719</v>
      </c>
      <c r="AH48" s="133">
        <f t="shared" si="9"/>
        <v>4956763.4950229554</v>
      </c>
      <c r="AI48" s="131">
        <f>AH48*'1. UC Assumptions'!$C$23</f>
        <v>1635731.953357575</v>
      </c>
      <c r="AJ48" s="131">
        <v>3841667.58</v>
      </c>
      <c r="AK48" s="131">
        <f>AJ48*(1-'1. UC Assumptions'!$C$22)</f>
        <v>1267750.3013999998</v>
      </c>
      <c r="AL48" s="131"/>
      <c r="AM48" s="131">
        <f>AL48*'1. UC Assumptions'!$C$23</f>
        <v>0</v>
      </c>
      <c r="AN48" s="153">
        <f t="shared" si="10"/>
        <v>10543039.059046827</v>
      </c>
      <c r="AO48" s="151">
        <f>AN48*'1. UC Assumptions'!$C$23</f>
        <v>3479202.8894854528</v>
      </c>
      <c r="AP48" s="151">
        <f t="shared" si="11"/>
        <v>6701371.4790468272</v>
      </c>
      <c r="AQ48" s="151">
        <f t="shared" si="12"/>
        <v>2211452.588085453</v>
      </c>
      <c r="AR48" s="151">
        <f t="shared" si="13"/>
        <v>2211452.588085453</v>
      </c>
      <c r="AS48" s="151">
        <f t="shared" si="14"/>
        <v>3479202.8894854528</v>
      </c>
      <c r="AT48" s="151">
        <f>IF(K48="Bexar",(AG48/$AT$1)*'1. UC Assumptions'!$E$44-(AH48/$AT$2)*'1. UC Assumptions'!$E$42,0)</f>
        <v>0</v>
      </c>
      <c r="AU48" s="151">
        <f>IF(K48="Dallas",(AG48/$AU$1)*'1. UC Assumptions'!$F$44-(AH48/$AU$2)*'1. UC Assumptions'!$F$42,0)</f>
        <v>0</v>
      </c>
      <c r="AV48" s="151">
        <f>IF(K48="El Paso",(AG48/$AV$1)*'1. UC Assumptions'!$G$44-(AH48/$AV$2)*'1. UC Assumptions'!$G$42,0)</f>
        <v>0</v>
      </c>
      <c r="AW48" s="151">
        <f>IF(K48="Harris",(AG48/$AW$1)*'1. UC Assumptions'!$H$44-(AH48/$AW$2)*'1. UC Assumptions'!$H$42,0)</f>
        <v>0</v>
      </c>
      <c r="AX48" s="151">
        <f>IF(K48="Hidalgo",(AG48/$AX$1)*'1. UC Assumptions'!$I$44-(AH48/$AX$2)*'1. UC Assumptions'!$I$42,0)</f>
        <v>0</v>
      </c>
      <c r="AY48" s="151">
        <f>IF(K48="Jefferson",(AG48/$AY$1)*'1. UC Assumptions'!$J$44-(AH48/$AY$2)*'1. UC Assumptions'!$J$42,0)</f>
        <v>0</v>
      </c>
      <c r="AZ48" s="151">
        <f>IF(K48="Lubbock",(AG48/$AZ$1)*'1. UC Assumptions'!$K$44-(AH48/$AZ$2)*'1. UC Assumptions'!$K$42,0)</f>
        <v>0</v>
      </c>
      <c r="BA48" s="151">
        <f>IF(K48="MRSA Central",(AG48/$BA$1)*'1. UC Assumptions'!$L$44-(AH48/$BA$2)*'1. UC Assumptions'!$L$42,0)</f>
        <v>0</v>
      </c>
      <c r="BB48" s="151">
        <f>IF(K48="MRSA Northeast",(AG48/$BB$1)*'1. UC Assumptions'!$M$44-(AH48/$BB$2)*'1. UC Assumptions'!$M$42,0)</f>
        <v>0</v>
      </c>
      <c r="BC48" s="151">
        <f>IF(K48="MRSA West",(AG48/$BC$1)*'1. UC Assumptions'!$N$44-(AH48/$BC$2)*'1. UC Assumptions'!$N$42,0)</f>
        <v>0</v>
      </c>
      <c r="BD48" s="151">
        <f>IF(K48="Nueces",(AG48/$BD$1)*'1. UC Assumptions'!$O$44-(AH48/$BD$2)*'1. UC Assumptions'!$O$42,0)</f>
        <v>0</v>
      </c>
      <c r="BE48" s="151">
        <f>IF(K48="Tarrant",(AG48/$BE$1)*'1. UC Assumptions'!$P$44-(AH48/$BE$2)*'1. UC Assumptions'!$P$42,0)</f>
        <v>0</v>
      </c>
      <c r="BF48" s="151">
        <f>IF(K48="Travis",(AG48/$BF$1)*'1. UC Assumptions'!$Q$44-(AH48/$BF$2)*'1. UC Assumptions'!$Q$42,0)</f>
        <v>0</v>
      </c>
      <c r="BG48" s="151">
        <f t="shared" si="15"/>
        <v>0</v>
      </c>
      <c r="BH48" s="151">
        <f t="shared" si="16"/>
        <v>4956763.4950229554</v>
      </c>
      <c r="BI48" s="151">
        <f>ROUNDDOWN(BH48*'1. UC Assumptions'!$C$23,2)</f>
        <v>1635731.95</v>
      </c>
      <c r="BJ48" s="154">
        <f t="shared" si="17"/>
        <v>1115095.9150229553</v>
      </c>
      <c r="BK48" s="154">
        <f t="shared" si="18"/>
        <v>367981.64860000019</v>
      </c>
      <c r="BL48" s="154">
        <f t="shared" si="19"/>
        <v>1029478.95</v>
      </c>
      <c r="BM48" s="154">
        <f t="shared" si="20"/>
        <v>339728.05</v>
      </c>
      <c r="BN48" s="101"/>
      <c r="BO48" s="154">
        <f>(BL48*'1. UC Assumptions'!$C$23)-'3.  UC Calculations by Hospital'!BM48</f>
        <v>3.4999999334104359E-3</v>
      </c>
      <c r="BP48" s="13"/>
    </row>
    <row r="49" spans="2:68">
      <c r="B49" s="129" t="s">
        <v>325</v>
      </c>
      <c r="C49" s="91" t="s">
        <v>325</v>
      </c>
      <c r="D49" s="91" t="s">
        <v>214</v>
      </c>
      <c r="E49" s="91"/>
      <c r="F49" s="91"/>
      <c r="G49" s="91" t="s">
        <v>209</v>
      </c>
      <c r="H49" s="91" t="s">
        <v>209</v>
      </c>
      <c r="I49" s="150" t="s">
        <v>210</v>
      </c>
      <c r="J49" s="129" t="s">
        <v>326</v>
      </c>
      <c r="K49" s="91" t="s">
        <v>10</v>
      </c>
      <c r="L49" s="91" t="s">
        <v>327</v>
      </c>
      <c r="M49" s="151">
        <v>-563692.52179380611</v>
      </c>
      <c r="N49" s="151">
        <v>11149174.706168313</v>
      </c>
      <c r="O49" s="131">
        <v>7373731.0371313477</v>
      </c>
      <c r="P49" s="131">
        <f t="shared" si="0"/>
        <v>3775443.6690369649</v>
      </c>
      <c r="Q49" s="131">
        <v>8223778.3705860069</v>
      </c>
      <c r="R49" s="131">
        <v>3242200.13</v>
      </c>
      <c r="S49" s="131">
        <f t="shared" si="1"/>
        <v>30448.982756840996</v>
      </c>
      <c r="T49" s="131">
        <f t="shared" si="2"/>
        <v>8193329.3878291659</v>
      </c>
      <c r="U49" s="131">
        <v>168698</v>
      </c>
      <c r="V49" s="131">
        <v>0</v>
      </c>
      <c r="W49" s="131">
        <v>0</v>
      </c>
      <c r="X49" s="131">
        <v>0</v>
      </c>
      <c r="Y49" s="131">
        <v>0</v>
      </c>
      <c r="Z49" s="131">
        <f t="shared" si="3"/>
        <v>168698</v>
      </c>
      <c r="AA49" s="131">
        <v>0</v>
      </c>
      <c r="AB49" s="152">
        <f t="shared" si="4"/>
        <v>8362027.3878291659</v>
      </c>
      <c r="AC49" s="133">
        <f>IF(D49="Physician Group Practice",(AB49/$AB$393)*'1. UC Assumptions'!$C$15,IF(E49="Rural Hospital",AB49*'1. UC Assumptions'!$C$7/'1. UC Assumptions'!$E$7,(AB49/$AB$397)*('1. UC Assumptions'!$C$9)))</f>
        <v>3931370.43960843</v>
      </c>
      <c r="AD49" s="133">
        <f t="shared" si="5"/>
        <v>0</v>
      </c>
      <c r="AE49" s="133">
        <f t="shared" si="6"/>
        <v>4430656.9482207354</v>
      </c>
      <c r="AF49" s="133">
        <f t="shared" si="7"/>
        <v>0</v>
      </c>
      <c r="AG49" s="133">
        <f t="shared" si="8"/>
        <v>4430656.9482207354</v>
      </c>
      <c r="AH49" s="133">
        <f t="shared" si="9"/>
        <v>3931370.43960843</v>
      </c>
      <c r="AI49" s="131">
        <f>AH49*'1. UC Assumptions'!$C$23</f>
        <v>1297352.2450707818</v>
      </c>
      <c r="AJ49" s="131">
        <v>4979052.22</v>
      </c>
      <c r="AK49" s="131">
        <f>AJ49*(1-'1. UC Assumptions'!$C$22)</f>
        <v>1643087.2325999998</v>
      </c>
      <c r="AL49" s="131"/>
      <c r="AM49" s="131">
        <f>AL49*'1. UC Assumptions'!$C$23</f>
        <v>0</v>
      </c>
      <c r="AN49" s="153">
        <f t="shared" si="10"/>
        <v>8362027.3878291659</v>
      </c>
      <c r="AO49" s="151">
        <f>AN49*'1. UC Assumptions'!$C$23</f>
        <v>2759469.0379836243</v>
      </c>
      <c r="AP49" s="151">
        <f t="shared" si="11"/>
        <v>3382975.1678291662</v>
      </c>
      <c r="AQ49" s="151">
        <f t="shared" si="12"/>
        <v>1116381.8053836245</v>
      </c>
      <c r="AR49" s="151">
        <f t="shared" si="13"/>
        <v>1116381.8053836245</v>
      </c>
      <c r="AS49" s="151">
        <f t="shared" si="14"/>
        <v>2759469.0379836243</v>
      </c>
      <c r="AT49" s="151">
        <f>IF(K49="Bexar",(AG49/$AT$1)*'1. UC Assumptions'!$E$44-(AH49/$AT$2)*'1. UC Assumptions'!$E$42,0)</f>
        <v>0</v>
      </c>
      <c r="AU49" s="151">
        <f>IF(K49="Dallas",(AG49/$AU$1)*'1. UC Assumptions'!$F$44-(AH49/$AU$2)*'1. UC Assumptions'!$F$42,0)</f>
        <v>0</v>
      </c>
      <c r="AV49" s="151">
        <f>IF(K49="El Paso",(AG49/$AV$1)*'1. UC Assumptions'!$G$44-(AH49/$AV$2)*'1. UC Assumptions'!$G$42,0)</f>
        <v>0</v>
      </c>
      <c r="AW49" s="151">
        <f>IF(K49="Harris",(AG49/$AW$1)*'1. UC Assumptions'!$H$44-(AH49/$AW$2)*'1. UC Assumptions'!$H$42,0)</f>
        <v>0</v>
      </c>
      <c r="AX49" s="151">
        <f>IF(K49="Hidalgo",(AG49/$AX$1)*'1. UC Assumptions'!$I$44-(AH49/$AX$2)*'1. UC Assumptions'!$I$42,0)</f>
        <v>0</v>
      </c>
      <c r="AY49" s="151">
        <f>IF(K49="Jefferson",(AG49/$AY$1)*'1. UC Assumptions'!$J$44-(AH49/$AY$2)*'1. UC Assumptions'!$J$42,0)</f>
        <v>0</v>
      </c>
      <c r="AZ49" s="151">
        <f>IF(K49="Lubbock",(AG49/$AZ$1)*'1. UC Assumptions'!$K$44-(AH49/$AZ$2)*'1. UC Assumptions'!$K$42,0)</f>
        <v>0</v>
      </c>
      <c r="BA49" s="151">
        <f>IF(K49="MRSA Central",(AG49/$BA$1)*'1. UC Assumptions'!$L$44-(AH49/$BA$2)*'1. UC Assumptions'!$L$42,0)</f>
        <v>0</v>
      </c>
      <c r="BB49" s="151">
        <f>IF(K49="MRSA Northeast",(AG49/$BB$1)*'1. UC Assumptions'!$M$44-(AH49/$BB$2)*'1. UC Assumptions'!$M$42,0)</f>
        <v>0</v>
      </c>
      <c r="BC49" s="151">
        <f>IF(K49="MRSA West",(AG49/$BC$1)*'1. UC Assumptions'!$N$44-(AH49/$BC$2)*'1. UC Assumptions'!$N$42,0)</f>
        <v>0</v>
      </c>
      <c r="BD49" s="151">
        <f>IF(K49="Nueces",(AG49/$BD$1)*'1. UC Assumptions'!$O$44-(AH49/$BD$2)*'1. UC Assumptions'!$O$42,0)</f>
        <v>0</v>
      </c>
      <c r="BE49" s="151">
        <f>IF(K49="Tarrant",(AG49/$BE$1)*'1. UC Assumptions'!$P$44-(AH49/$BE$2)*'1. UC Assumptions'!$P$42,0)</f>
        <v>0</v>
      </c>
      <c r="BF49" s="151">
        <f>IF(K49="Travis",(AG49/$BF$1)*'1. UC Assumptions'!$Q$44-(AH49/$BF$2)*'1. UC Assumptions'!$Q$42,0)</f>
        <v>0</v>
      </c>
      <c r="BG49" s="151">
        <f t="shared" si="15"/>
        <v>0</v>
      </c>
      <c r="BH49" s="151">
        <f t="shared" si="16"/>
        <v>3931370.43960843</v>
      </c>
      <c r="BI49" s="151">
        <f>ROUNDDOWN(BH49*'1. UC Assumptions'!$C$23,2)</f>
        <v>1297352.24</v>
      </c>
      <c r="BJ49" s="154">
        <f t="shared" si="17"/>
        <v>-1047681.7803915697</v>
      </c>
      <c r="BK49" s="154">
        <f t="shared" si="18"/>
        <v>-345734.99259999976</v>
      </c>
      <c r="BL49" s="154">
        <f t="shared" si="19"/>
        <v>0</v>
      </c>
      <c r="BM49" s="154">
        <f t="shared" si="20"/>
        <v>0</v>
      </c>
      <c r="BN49" s="101"/>
      <c r="BO49" s="154">
        <f>(BL49*'1. UC Assumptions'!$C$23)-'3.  UC Calculations by Hospital'!BM49</f>
        <v>0</v>
      </c>
      <c r="BP49" s="13"/>
    </row>
    <row r="50" spans="2:68">
      <c r="B50" s="129" t="s">
        <v>328</v>
      </c>
      <c r="C50" s="91" t="s">
        <v>328</v>
      </c>
      <c r="D50" s="91" t="s">
        <v>208</v>
      </c>
      <c r="E50" s="91" t="s">
        <v>149</v>
      </c>
      <c r="F50" s="91"/>
      <c r="G50" s="91" t="s">
        <v>209</v>
      </c>
      <c r="H50" s="91" t="s">
        <v>209</v>
      </c>
      <c r="I50" s="150" t="s">
        <v>210</v>
      </c>
      <c r="J50" s="129" t="s">
        <v>329</v>
      </c>
      <c r="K50" s="91" t="s">
        <v>12</v>
      </c>
      <c r="L50" s="91" t="s">
        <v>330</v>
      </c>
      <c r="M50" s="151">
        <v>876529.2681169922</v>
      </c>
      <c r="N50" s="151">
        <v>3072105.5562240705</v>
      </c>
      <c r="O50" s="131">
        <v>1094169.9197769982</v>
      </c>
      <c r="P50" s="131">
        <f t="shared" si="0"/>
        <v>1977935.6364470723</v>
      </c>
      <c r="Q50" s="131">
        <v>1218926.2292497919</v>
      </c>
      <c r="R50" s="131">
        <v>1253498.83</v>
      </c>
      <c r="S50" s="131">
        <f t="shared" si="1"/>
        <v>0</v>
      </c>
      <c r="T50" s="131">
        <f t="shared" si="2"/>
        <v>1218926.2292497919</v>
      </c>
      <c r="U50" s="131">
        <v>0</v>
      </c>
      <c r="V50" s="131">
        <v>0</v>
      </c>
      <c r="W50" s="131">
        <v>0</v>
      </c>
      <c r="X50" s="131">
        <v>0</v>
      </c>
      <c r="Y50" s="131">
        <v>0</v>
      </c>
      <c r="Z50" s="131">
        <f t="shared" si="3"/>
        <v>0</v>
      </c>
      <c r="AA50" s="131">
        <v>0</v>
      </c>
      <c r="AB50" s="152">
        <f t="shared" si="4"/>
        <v>1218926.2292497919</v>
      </c>
      <c r="AC50" s="133">
        <f>IF(D50="Physician Group Practice",(AB50/$AB$393)*'1. UC Assumptions'!$C$15,IF(E50="Rural Hospital",AB50*'1. UC Assumptions'!$C$7/'1. UC Assumptions'!$E$7,(AB50/$AB$397)*('1. UC Assumptions'!$C$9)))</f>
        <v>1137789.0445737368</v>
      </c>
      <c r="AD50" s="133">
        <f t="shared" si="5"/>
        <v>0</v>
      </c>
      <c r="AE50" s="133">
        <f t="shared" si="6"/>
        <v>81137.184676055098</v>
      </c>
      <c r="AF50" s="133">
        <f t="shared" si="7"/>
        <v>0</v>
      </c>
      <c r="AG50" s="133">
        <f t="shared" si="8"/>
        <v>81137.184676055098</v>
      </c>
      <c r="AH50" s="133">
        <f t="shared" si="9"/>
        <v>1137789.0445737368</v>
      </c>
      <c r="AI50" s="131">
        <f>AH50*'1. UC Assumptions'!$C$23</f>
        <v>375470.38470933313</v>
      </c>
      <c r="AJ50" s="131">
        <v>201354.5</v>
      </c>
      <c r="AK50" s="131">
        <f>AJ50*(1-'1. UC Assumptions'!$C$22)</f>
        <v>66446.984999999986</v>
      </c>
      <c r="AL50" s="131"/>
      <c r="AM50" s="131">
        <f>AL50*'1. UC Assumptions'!$C$23</f>
        <v>0</v>
      </c>
      <c r="AN50" s="153">
        <f t="shared" si="10"/>
        <v>1218926.2292497919</v>
      </c>
      <c r="AO50" s="151">
        <f>AN50*'1. UC Assumptions'!$C$23</f>
        <v>402245.65565243131</v>
      </c>
      <c r="AP50" s="151">
        <f t="shared" si="11"/>
        <v>1017571.7292497919</v>
      </c>
      <c r="AQ50" s="151">
        <f t="shared" si="12"/>
        <v>335798.67065243132</v>
      </c>
      <c r="AR50" s="151">
        <f t="shared" si="13"/>
        <v>335798.67065243132</v>
      </c>
      <c r="AS50" s="151">
        <f t="shared" si="14"/>
        <v>402245.65565243131</v>
      </c>
      <c r="AT50" s="151">
        <f>IF(K50="Bexar",(AG50/$AT$1)*'1. UC Assumptions'!$E$44-(AH50/$AT$2)*'1. UC Assumptions'!$E$42,0)</f>
        <v>0</v>
      </c>
      <c r="AU50" s="151">
        <f>IF(K50="Dallas",(AG50/$AU$1)*'1. UC Assumptions'!$F$44-(AH50/$AU$2)*'1. UC Assumptions'!$F$42,0)</f>
        <v>0</v>
      </c>
      <c r="AV50" s="151">
        <f>IF(K50="El Paso",(AG50/$AV$1)*'1. UC Assumptions'!$G$44-(AH50/$AV$2)*'1. UC Assumptions'!$G$42,0)</f>
        <v>0</v>
      </c>
      <c r="AW50" s="151">
        <f>IF(K50="Harris",(AG50/$AW$1)*'1. UC Assumptions'!$H$44-(AH50/$AW$2)*'1. UC Assumptions'!$H$42,0)</f>
        <v>0</v>
      </c>
      <c r="AX50" s="151">
        <f>IF(K50="Hidalgo",(AG50/$AX$1)*'1. UC Assumptions'!$I$44-(AH50/$AX$2)*'1. UC Assumptions'!$I$42,0)</f>
        <v>0</v>
      </c>
      <c r="AY50" s="151">
        <f>IF(K50="Jefferson",(AG50/$AY$1)*'1. UC Assumptions'!$J$44-(AH50/$AY$2)*'1. UC Assumptions'!$J$42,0)</f>
        <v>0</v>
      </c>
      <c r="AZ50" s="151">
        <f>IF(K50="Lubbock",(AG50/$AZ$1)*'1. UC Assumptions'!$K$44-(AH50/$AZ$2)*'1. UC Assumptions'!$K$42,0)</f>
        <v>0</v>
      </c>
      <c r="BA50" s="151">
        <f>IF(K50="MRSA Central",(AG50/$BA$1)*'1. UC Assumptions'!$L$44-(AH50/$BA$2)*'1. UC Assumptions'!$L$42,0)</f>
        <v>0</v>
      </c>
      <c r="BB50" s="151">
        <f>IF(K50="MRSA Northeast",(AG50/$BB$1)*'1. UC Assumptions'!$M$44-(AH50/$BB$2)*'1. UC Assumptions'!$M$42,0)</f>
        <v>0</v>
      </c>
      <c r="BC50" s="151">
        <f>IF(K50="MRSA West",(AG50/$BC$1)*'1. UC Assumptions'!$N$44-(AH50/$BC$2)*'1. UC Assumptions'!$N$42,0)</f>
        <v>0</v>
      </c>
      <c r="BD50" s="151">
        <f>IF(K50="Nueces",(AG50/$BD$1)*'1. UC Assumptions'!$O$44-(AH50/$BD$2)*'1. UC Assumptions'!$O$42,0)</f>
        <v>0</v>
      </c>
      <c r="BE50" s="151">
        <f>IF(K50="Tarrant",(AG50/$BE$1)*'1. UC Assumptions'!$P$44-(AH50/$BE$2)*'1. UC Assumptions'!$P$42,0)</f>
        <v>0</v>
      </c>
      <c r="BF50" s="151">
        <f>IF(K50="Travis",(AG50/$BF$1)*'1. UC Assumptions'!$Q$44-(AH50/$BF$2)*'1. UC Assumptions'!$Q$42,0)</f>
        <v>0</v>
      </c>
      <c r="BG50" s="151">
        <f t="shared" si="15"/>
        <v>0</v>
      </c>
      <c r="BH50" s="151">
        <f t="shared" si="16"/>
        <v>1137789.0445737368</v>
      </c>
      <c r="BI50" s="151">
        <f>ROUNDDOWN(BH50*'1. UC Assumptions'!$C$23,2)</f>
        <v>375470.38</v>
      </c>
      <c r="BJ50" s="154">
        <f t="shared" si="17"/>
        <v>936434.54457373684</v>
      </c>
      <c r="BK50" s="154">
        <f t="shared" si="18"/>
        <v>309023.39500000002</v>
      </c>
      <c r="BL50" s="154">
        <f t="shared" si="19"/>
        <v>864535.18</v>
      </c>
      <c r="BM50" s="154">
        <f t="shared" si="20"/>
        <v>285296.59999999998</v>
      </c>
      <c r="BN50" s="101"/>
      <c r="BO50" s="154">
        <f>(BL50*'1. UC Assumptions'!$C$23)-'3.  UC Calculations by Hospital'!BM50</f>
        <v>9.399999980814755E-3</v>
      </c>
      <c r="BP50" s="13"/>
    </row>
    <row r="51" spans="2:68">
      <c r="B51" s="129" t="s">
        <v>331</v>
      </c>
      <c r="C51" s="91" t="s">
        <v>331</v>
      </c>
      <c r="D51" s="91" t="s">
        <v>208</v>
      </c>
      <c r="E51" s="91" t="s">
        <v>149</v>
      </c>
      <c r="F51" s="91"/>
      <c r="G51" s="91" t="s">
        <v>209</v>
      </c>
      <c r="H51" s="91" t="s">
        <v>209</v>
      </c>
      <c r="I51" s="150" t="s">
        <v>210</v>
      </c>
      <c r="J51" s="129" t="s">
        <v>332</v>
      </c>
      <c r="K51" s="91" t="s">
        <v>12</v>
      </c>
      <c r="L51" s="91" t="s">
        <v>333</v>
      </c>
      <c r="M51" s="151">
        <v>281004.89131545596</v>
      </c>
      <c r="N51" s="151">
        <v>1777094.7799778571</v>
      </c>
      <c r="O51" s="131">
        <v>813681.06382097921</v>
      </c>
      <c r="P51" s="131">
        <f t="shared" si="0"/>
        <v>963413.71615687793</v>
      </c>
      <c r="Q51" s="131">
        <v>1863859.7487155967</v>
      </c>
      <c r="R51" s="131">
        <v>1175781.3799999999</v>
      </c>
      <c r="S51" s="131">
        <f t="shared" si="1"/>
        <v>0</v>
      </c>
      <c r="T51" s="131">
        <f t="shared" si="2"/>
        <v>1863859.7487155967</v>
      </c>
      <c r="U51" s="131">
        <v>0</v>
      </c>
      <c r="V51" s="131">
        <v>0</v>
      </c>
      <c r="W51" s="131">
        <v>0</v>
      </c>
      <c r="X51" s="131">
        <v>0</v>
      </c>
      <c r="Y51" s="131">
        <v>0</v>
      </c>
      <c r="Z51" s="131">
        <f t="shared" si="3"/>
        <v>0</v>
      </c>
      <c r="AA51" s="131">
        <v>0</v>
      </c>
      <c r="AB51" s="152">
        <f t="shared" si="4"/>
        <v>1863859.7487155967</v>
      </c>
      <c r="AC51" s="133">
        <f>IF(D51="Physician Group Practice",(AB51/$AB$393)*'1. UC Assumptions'!$C$15,IF(E51="Rural Hospital",AB51*'1. UC Assumptions'!$C$7/'1. UC Assumptions'!$E$7,(AB51/$AB$397)*('1. UC Assumptions'!$C$9)))</f>
        <v>1739792.9028205185</v>
      </c>
      <c r="AD51" s="133">
        <f t="shared" si="5"/>
        <v>0</v>
      </c>
      <c r="AE51" s="133">
        <f t="shared" si="6"/>
        <v>124066.84589507827</v>
      </c>
      <c r="AF51" s="133">
        <f t="shared" si="7"/>
        <v>0</v>
      </c>
      <c r="AG51" s="133">
        <f t="shared" si="8"/>
        <v>124066.84589507827</v>
      </c>
      <c r="AH51" s="133">
        <f t="shared" si="9"/>
        <v>1739792.9028205185</v>
      </c>
      <c r="AI51" s="131">
        <f>AH51*'1. UC Assumptions'!$C$23</f>
        <v>574131.65793077101</v>
      </c>
      <c r="AJ51" s="131">
        <v>857261.35</v>
      </c>
      <c r="AK51" s="131">
        <f>AJ51*(1-'1. UC Assumptions'!$C$22)</f>
        <v>282896.24549999996</v>
      </c>
      <c r="AL51" s="131"/>
      <c r="AM51" s="131">
        <f>AL51*'1. UC Assumptions'!$C$23</f>
        <v>0</v>
      </c>
      <c r="AN51" s="153">
        <f t="shared" si="10"/>
        <v>1863859.7487155967</v>
      </c>
      <c r="AO51" s="151">
        <f>AN51*'1. UC Assumptions'!$C$23</f>
        <v>615073.71707614686</v>
      </c>
      <c r="AP51" s="151">
        <f t="shared" si="11"/>
        <v>1006598.3987155968</v>
      </c>
      <c r="AQ51" s="151">
        <f t="shared" si="12"/>
        <v>332177.4715761469</v>
      </c>
      <c r="AR51" s="151">
        <f t="shared" si="13"/>
        <v>332177.4715761469</v>
      </c>
      <c r="AS51" s="151">
        <f t="shared" si="14"/>
        <v>615073.71707614686</v>
      </c>
      <c r="AT51" s="151">
        <f>IF(K51="Bexar",(AG51/$AT$1)*'1. UC Assumptions'!$E$44-(AH51/$AT$2)*'1. UC Assumptions'!$E$42,0)</f>
        <v>0</v>
      </c>
      <c r="AU51" s="151">
        <f>IF(K51="Dallas",(AG51/$AU$1)*'1. UC Assumptions'!$F$44-(AH51/$AU$2)*'1. UC Assumptions'!$F$42,0)</f>
        <v>0</v>
      </c>
      <c r="AV51" s="151">
        <f>IF(K51="El Paso",(AG51/$AV$1)*'1. UC Assumptions'!$G$44-(AH51/$AV$2)*'1. UC Assumptions'!$G$42,0)</f>
        <v>0</v>
      </c>
      <c r="AW51" s="151">
        <f>IF(K51="Harris",(AG51/$AW$1)*'1. UC Assumptions'!$H$44-(AH51/$AW$2)*'1. UC Assumptions'!$H$42,0)</f>
        <v>0</v>
      </c>
      <c r="AX51" s="151">
        <f>IF(K51="Hidalgo",(AG51/$AX$1)*'1. UC Assumptions'!$I$44-(AH51/$AX$2)*'1. UC Assumptions'!$I$42,0)</f>
        <v>0</v>
      </c>
      <c r="AY51" s="151">
        <f>IF(K51="Jefferson",(AG51/$AY$1)*'1. UC Assumptions'!$J$44-(AH51/$AY$2)*'1. UC Assumptions'!$J$42,0)</f>
        <v>0</v>
      </c>
      <c r="AZ51" s="151">
        <f>IF(K51="Lubbock",(AG51/$AZ$1)*'1. UC Assumptions'!$K$44-(AH51/$AZ$2)*'1. UC Assumptions'!$K$42,0)</f>
        <v>0</v>
      </c>
      <c r="BA51" s="151">
        <f>IF(K51="MRSA Central",(AG51/$BA$1)*'1. UC Assumptions'!$L$44-(AH51/$BA$2)*'1. UC Assumptions'!$L$42,0)</f>
        <v>0</v>
      </c>
      <c r="BB51" s="151">
        <f>IF(K51="MRSA Northeast",(AG51/$BB$1)*'1. UC Assumptions'!$M$44-(AH51/$BB$2)*'1. UC Assumptions'!$M$42,0)</f>
        <v>0</v>
      </c>
      <c r="BC51" s="151">
        <f>IF(K51="MRSA West",(AG51/$BC$1)*'1. UC Assumptions'!$N$44-(AH51/$BC$2)*'1. UC Assumptions'!$N$42,0)</f>
        <v>0</v>
      </c>
      <c r="BD51" s="151">
        <f>IF(K51="Nueces",(AG51/$BD$1)*'1. UC Assumptions'!$O$44-(AH51/$BD$2)*'1. UC Assumptions'!$O$42,0)</f>
        <v>0</v>
      </c>
      <c r="BE51" s="151">
        <f>IF(K51="Tarrant",(AG51/$BE$1)*'1. UC Assumptions'!$P$44-(AH51/$BE$2)*'1. UC Assumptions'!$P$42,0)</f>
        <v>0</v>
      </c>
      <c r="BF51" s="151">
        <f>IF(K51="Travis",(AG51/$BF$1)*'1. UC Assumptions'!$Q$44-(AH51/$BF$2)*'1. UC Assumptions'!$Q$42,0)</f>
        <v>0</v>
      </c>
      <c r="BG51" s="151">
        <f t="shared" si="15"/>
        <v>0</v>
      </c>
      <c r="BH51" s="151">
        <f t="shared" si="16"/>
        <v>1739792.9028205185</v>
      </c>
      <c r="BI51" s="151">
        <f>ROUNDDOWN(BH51*'1. UC Assumptions'!$C$23,2)</f>
        <v>574131.65</v>
      </c>
      <c r="BJ51" s="154">
        <f t="shared" si="17"/>
        <v>882531.5528205185</v>
      </c>
      <c r="BK51" s="154">
        <f t="shared" si="18"/>
        <v>291235.40450000006</v>
      </c>
      <c r="BL51" s="154">
        <f t="shared" si="19"/>
        <v>814770.86</v>
      </c>
      <c r="BM51" s="154">
        <f t="shared" si="20"/>
        <v>268874.37</v>
      </c>
      <c r="BN51" s="101"/>
      <c r="BO51" s="154">
        <f>(BL51*'1. UC Assumptions'!$C$23)-'3.  UC Calculations by Hospital'!BM51</f>
        <v>1.3799999956972897E-2</v>
      </c>
      <c r="BP51" s="13"/>
    </row>
    <row r="52" spans="2:68">
      <c r="B52" s="129" t="s">
        <v>334</v>
      </c>
      <c r="C52" s="91" t="s">
        <v>334</v>
      </c>
      <c r="D52" s="91" t="s">
        <v>208</v>
      </c>
      <c r="E52" s="91" t="s">
        <v>149</v>
      </c>
      <c r="F52" s="91"/>
      <c r="G52" s="91" t="s">
        <v>209</v>
      </c>
      <c r="H52" s="91" t="s">
        <v>209</v>
      </c>
      <c r="I52" s="150" t="s">
        <v>210</v>
      </c>
      <c r="J52" s="129" t="s">
        <v>335</v>
      </c>
      <c r="K52" s="91" t="s">
        <v>12</v>
      </c>
      <c r="L52" s="91" t="s">
        <v>336</v>
      </c>
      <c r="M52" s="151">
        <v>297104.96699735045</v>
      </c>
      <c r="N52" s="151">
        <v>0</v>
      </c>
      <c r="O52" s="131">
        <v>0</v>
      </c>
      <c r="P52" s="131">
        <f t="shared" si="0"/>
        <v>0</v>
      </c>
      <c r="Q52" s="131">
        <v>408818.61654108157</v>
      </c>
      <c r="R52" s="131">
        <v>0</v>
      </c>
      <c r="S52" s="131">
        <f t="shared" si="1"/>
        <v>0</v>
      </c>
      <c r="T52" s="131">
        <f t="shared" si="2"/>
        <v>408818.61654108157</v>
      </c>
      <c r="U52" s="131">
        <v>0</v>
      </c>
      <c r="V52" s="131">
        <v>0</v>
      </c>
      <c r="W52" s="131">
        <v>0</v>
      </c>
      <c r="X52" s="131">
        <v>0</v>
      </c>
      <c r="Y52" s="131">
        <v>232722</v>
      </c>
      <c r="Z52" s="131">
        <f t="shared" si="3"/>
        <v>232722</v>
      </c>
      <c r="AA52" s="131">
        <v>0</v>
      </c>
      <c r="AB52" s="152">
        <f t="shared" si="4"/>
        <v>641540.61654108157</v>
      </c>
      <c r="AC52" s="133">
        <f>IF(D52="Physician Group Practice",(AB52/$AB$393)*'1. UC Assumptions'!$C$15,IF(E52="Rural Hospital",AB52*'1. UC Assumptions'!$C$7/'1. UC Assumptions'!$E$7,(AB52/$AB$397)*('1. UC Assumptions'!$C$9)))</f>
        <v>598836.8021244203</v>
      </c>
      <c r="AD52" s="133">
        <f t="shared" si="5"/>
        <v>0</v>
      </c>
      <c r="AE52" s="133">
        <f t="shared" si="6"/>
        <v>42703.814416661276</v>
      </c>
      <c r="AF52" s="133">
        <f t="shared" si="7"/>
        <v>0</v>
      </c>
      <c r="AG52" s="133">
        <f t="shared" si="8"/>
        <v>42703.814416661276</v>
      </c>
      <c r="AH52" s="133">
        <f t="shared" si="9"/>
        <v>598836.8021244203</v>
      </c>
      <c r="AI52" s="131">
        <f>AH52*'1. UC Assumptions'!$C$23</f>
        <v>197616.14470105869</v>
      </c>
      <c r="AJ52" s="131">
        <v>319136.89</v>
      </c>
      <c r="AK52" s="131">
        <f>AJ52*(1-'1. UC Assumptions'!$C$22)</f>
        <v>105315.17369999998</v>
      </c>
      <c r="AL52" s="131"/>
      <c r="AM52" s="131">
        <f>AL52*'1. UC Assumptions'!$C$23</f>
        <v>0</v>
      </c>
      <c r="AN52" s="153">
        <f t="shared" si="10"/>
        <v>641540.61654108157</v>
      </c>
      <c r="AO52" s="151">
        <f>AN52*'1. UC Assumptions'!$C$23</f>
        <v>211708.40345855689</v>
      </c>
      <c r="AP52" s="151">
        <f t="shared" si="11"/>
        <v>322403.72654108156</v>
      </c>
      <c r="AQ52" s="151">
        <f t="shared" si="12"/>
        <v>106393.2297585569</v>
      </c>
      <c r="AR52" s="151">
        <f t="shared" si="13"/>
        <v>106393.2297585569</v>
      </c>
      <c r="AS52" s="151">
        <f t="shared" si="14"/>
        <v>211708.40345855689</v>
      </c>
      <c r="AT52" s="151">
        <f>IF(K52="Bexar",(AG52/$AT$1)*'1. UC Assumptions'!$E$44-(AH52/$AT$2)*'1. UC Assumptions'!$E$42,0)</f>
        <v>0</v>
      </c>
      <c r="AU52" s="151">
        <f>IF(K52="Dallas",(AG52/$AU$1)*'1. UC Assumptions'!$F$44-(AH52/$AU$2)*'1. UC Assumptions'!$F$42,0)</f>
        <v>0</v>
      </c>
      <c r="AV52" s="151">
        <f>IF(K52="El Paso",(AG52/$AV$1)*'1. UC Assumptions'!$G$44-(AH52/$AV$2)*'1. UC Assumptions'!$G$42,0)</f>
        <v>0</v>
      </c>
      <c r="AW52" s="151">
        <f>IF(K52="Harris",(AG52/$AW$1)*'1. UC Assumptions'!$H$44-(AH52/$AW$2)*'1. UC Assumptions'!$H$42,0)</f>
        <v>0</v>
      </c>
      <c r="AX52" s="151">
        <f>IF(K52="Hidalgo",(AG52/$AX$1)*'1. UC Assumptions'!$I$44-(AH52/$AX$2)*'1. UC Assumptions'!$I$42,0)</f>
        <v>0</v>
      </c>
      <c r="AY52" s="151">
        <f>IF(K52="Jefferson",(AG52/$AY$1)*'1. UC Assumptions'!$J$44-(AH52/$AY$2)*'1. UC Assumptions'!$J$42,0)</f>
        <v>0</v>
      </c>
      <c r="AZ52" s="151">
        <f>IF(K52="Lubbock",(AG52/$AZ$1)*'1. UC Assumptions'!$K$44-(AH52/$AZ$2)*'1. UC Assumptions'!$K$42,0)</f>
        <v>0</v>
      </c>
      <c r="BA52" s="151">
        <f>IF(K52="MRSA Central",(AG52/$BA$1)*'1. UC Assumptions'!$L$44-(AH52/$BA$2)*'1. UC Assumptions'!$L$42,0)</f>
        <v>0</v>
      </c>
      <c r="BB52" s="151">
        <f>IF(K52="MRSA Northeast",(AG52/$BB$1)*'1. UC Assumptions'!$M$44-(AH52/$BB$2)*'1. UC Assumptions'!$M$42,0)</f>
        <v>0</v>
      </c>
      <c r="BC52" s="151">
        <f>IF(K52="MRSA West",(AG52/$BC$1)*'1. UC Assumptions'!$N$44-(AH52/$BC$2)*'1. UC Assumptions'!$N$42,0)</f>
        <v>0</v>
      </c>
      <c r="BD52" s="151">
        <f>IF(K52="Nueces",(AG52/$BD$1)*'1. UC Assumptions'!$O$44-(AH52/$BD$2)*'1. UC Assumptions'!$O$42,0)</f>
        <v>0</v>
      </c>
      <c r="BE52" s="151">
        <f>IF(K52="Tarrant",(AG52/$BE$1)*'1. UC Assumptions'!$P$44-(AH52/$BE$2)*'1. UC Assumptions'!$P$42,0)</f>
        <v>0</v>
      </c>
      <c r="BF52" s="151">
        <f>IF(K52="Travis",(AG52/$BF$1)*'1. UC Assumptions'!$Q$44-(AH52/$BF$2)*'1. UC Assumptions'!$Q$42,0)</f>
        <v>0</v>
      </c>
      <c r="BG52" s="151">
        <f t="shared" si="15"/>
        <v>0</v>
      </c>
      <c r="BH52" s="151">
        <f t="shared" si="16"/>
        <v>598836.8021244203</v>
      </c>
      <c r="BI52" s="151">
        <f>ROUNDDOWN(BH52*'1. UC Assumptions'!$C$23,2)</f>
        <v>197616.14</v>
      </c>
      <c r="BJ52" s="154">
        <f t="shared" si="17"/>
        <v>279699.91212442028</v>
      </c>
      <c r="BK52" s="154">
        <f t="shared" si="18"/>
        <v>92300.966300000029</v>
      </c>
      <c r="BL52" s="154">
        <f t="shared" si="19"/>
        <v>258224.58</v>
      </c>
      <c r="BM52" s="154">
        <f t="shared" si="20"/>
        <v>85214.11</v>
      </c>
      <c r="BN52" s="101"/>
      <c r="BO52" s="154">
        <f>(BL52*'1. UC Assumptions'!$C$23)-'3.  UC Calculations by Hospital'!BM52</f>
        <v>1.3999999791849405E-3</v>
      </c>
      <c r="BP52" s="13"/>
    </row>
    <row r="53" spans="2:68">
      <c r="B53" s="129" t="s">
        <v>337</v>
      </c>
      <c r="C53" s="91" t="s">
        <v>337</v>
      </c>
      <c r="D53" s="91" t="s">
        <v>214</v>
      </c>
      <c r="E53" s="91"/>
      <c r="F53" s="91"/>
      <c r="G53" s="91" t="s">
        <v>209</v>
      </c>
      <c r="H53" s="91" t="s">
        <v>209</v>
      </c>
      <c r="I53" s="150" t="s">
        <v>210</v>
      </c>
      <c r="J53" s="129" t="s">
        <v>338</v>
      </c>
      <c r="K53" s="91" t="s">
        <v>4</v>
      </c>
      <c r="L53" s="91" t="s">
        <v>339</v>
      </c>
      <c r="M53" s="151">
        <v>263667.92349864985</v>
      </c>
      <c r="N53" s="151">
        <v>4772843.6164979683</v>
      </c>
      <c r="O53" s="131">
        <v>4016423.2996455678</v>
      </c>
      <c r="P53" s="131">
        <f t="shared" si="0"/>
        <v>756420.31685240055</v>
      </c>
      <c r="Q53" s="131">
        <v>5430158.7234047996</v>
      </c>
      <c r="R53" s="131">
        <v>0</v>
      </c>
      <c r="S53" s="131">
        <f t="shared" si="1"/>
        <v>0</v>
      </c>
      <c r="T53" s="131">
        <f t="shared" si="2"/>
        <v>5430158.7234047996</v>
      </c>
      <c r="U53" s="131">
        <v>0</v>
      </c>
      <c r="V53" s="131">
        <v>0</v>
      </c>
      <c r="W53" s="131">
        <v>0</v>
      </c>
      <c r="X53" s="131">
        <v>0</v>
      </c>
      <c r="Y53" s="131">
        <v>0</v>
      </c>
      <c r="Z53" s="131">
        <f t="shared" si="3"/>
        <v>0</v>
      </c>
      <c r="AA53" s="131">
        <v>0</v>
      </c>
      <c r="AB53" s="152">
        <f t="shared" si="4"/>
        <v>5430158.7234047996</v>
      </c>
      <c r="AC53" s="133">
        <f>IF(D53="Physician Group Practice",(AB53/$AB$393)*'1. UC Assumptions'!$C$15,IF(E53="Rural Hospital",AB53*'1. UC Assumptions'!$C$7/'1. UC Assumptions'!$E$7,(AB53/$AB$397)*('1. UC Assumptions'!$C$9)))</f>
        <v>2552965.2675674316</v>
      </c>
      <c r="AD53" s="133">
        <f t="shared" si="5"/>
        <v>0</v>
      </c>
      <c r="AE53" s="133">
        <f t="shared" si="6"/>
        <v>2877193.455837368</v>
      </c>
      <c r="AF53" s="133">
        <f t="shared" si="7"/>
        <v>0</v>
      </c>
      <c r="AG53" s="133">
        <f t="shared" si="8"/>
        <v>2877193.455837368</v>
      </c>
      <c r="AH53" s="133">
        <f t="shared" si="9"/>
        <v>2552965.2675674316</v>
      </c>
      <c r="AI53" s="131">
        <f>AH53*'1. UC Assumptions'!$C$23</f>
        <v>842478.53829725226</v>
      </c>
      <c r="AJ53" s="131">
        <v>2611382.69</v>
      </c>
      <c r="AK53" s="131">
        <f>AJ53*(1-'1. UC Assumptions'!$C$22)</f>
        <v>861756.28769999987</v>
      </c>
      <c r="AL53" s="131"/>
      <c r="AM53" s="131">
        <f>AL53*'1. UC Assumptions'!$C$23</f>
        <v>0</v>
      </c>
      <c r="AN53" s="153">
        <f t="shared" si="10"/>
        <v>5430158.7234047996</v>
      </c>
      <c r="AO53" s="151">
        <f>AN53*'1. UC Assumptions'!$C$23</f>
        <v>1791952.3787235836</v>
      </c>
      <c r="AP53" s="151">
        <f t="shared" si="11"/>
        <v>2818776.0334047996</v>
      </c>
      <c r="AQ53" s="151">
        <f t="shared" si="12"/>
        <v>930196.09102358378</v>
      </c>
      <c r="AR53" s="151">
        <f t="shared" si="13"/>
        <v>930196.09102358378</v>
      </c>
      <c r="AS53" s="151">
        <f t="shared" si="14"/>
        <v>1791952.3787235836</v>
      </c>
      <c r="AT53" s="151">
        <f>IF(K53="Bexar",(AG53/$AT$1)*'1. UC Assumptions'!$E$44-(AH53/$AT$2)*'1. UC Assumptions'!$E$42,0)</f>
        <v>0</v>
      </c>
      <c r="AU53" s="151">
        <f>IF(K53="Dallas",(AG53/$AU$1)*'1. UC Assumptions'!$F$44-(AH53/$AU$2)*'1. UC Assumptions'!$F$42,0)</f>
        <v>0</v>
      </c>
      <c r="AV53" s="151">
        <f>IF(K53="El Paso",(AG53/$AV$1)*'1. UC Assumptions'!$G$44-(AH53/$AV$2)*'1. UC Assumptions'!$G$42,0)</f>
        <v>0</v>
      </c>
      <c r="AW53" s="151">
        <f>IF(K53="Harris",(AG53/$AW$1)*'1. UC Assumptions'!$H$44-(AH53/$AW$2)*'1. UC Assumptions'!$H$42,0)</f>
        <v>0</v>
      </c>
      <c r="AX53" s="151">
        <f>IF(K53="Hidalgo",(AG53/$AX$1)*'1. UC Assumptions'!$I$44-(AH53/$AX$2)*'1. UC Assumptions'!$I$42,0)</f>
        <v>0</v>
      </c>
      <c r="AY53" s="151">
        <f>IF(K53="Jefferson",(AG53/$AY$1)*'1. UC Assumptions'!$J$44-(AH53/$AY$2)*'1. UC Assumptions'!$J$42,0)</f>
        <v>0</v>
      </c>
      <c r="AZ53" s="151">
        <f>IF(K53="Lubbock",(AG53/$AZ$1)*'1. UC Assumptions'!$K$44-(AH53/$AZ$2)*'1. UC Assumptions'!$K$42,0)</f>
        <v>0</v>
      </c>
      <c r="BA53" s="151">
        <f>IF(K53="MRSA Central",(AG53/$BA$1)*'1. UC Assumptions'!$L$44-(AH53/$BA$2)*'1. UC Assumptions'!$L$42,0)</f>
        <v>0</v>
      </c>
      <c r="BB53" s="151">
        <f>IF(K53="MRSA Northeast",(AG53/$BB$1)*'1. UC Assumptions'!$M$44-(AH53/$BB$2)*'1. UC Assumptions'!$M$42,0)</f>
        <v>0</v>
      </c>
      <c r="BC53" s="151">
        <f>IF(K53="MRSA West",(AG53/$BC$1)*'1. UC Assumptions'!$N$44-(AH53/$BC$2)*'1. UC Assumptions'!$N$42,0)</f>
        <v>0</v>
      </c>
      <c r="BD53" s="151">
        <f>IF(K53="Nueces",(AG53/$BD$1)*'1. UC Assumptions'!$O$44-(AH53/$BD$2)*'1. UC Assumptions'!$O$42,0)</f>
        <v>0</v>
      </c>
      <c r="BE53" s="151">
        <f>IF(K53="Tarrant",(AG53/$BE$1)*'1. UC Assumptions'!$P$44-(AH53/$BE$2)*'1. UC Assumptions'!$P$42,0)</f>
        <v>0</v>
      </c>
      <c r="BF53" s="151">
        <f>IF(K53="Travis",(AG53/$BF$1)*'1. UC Assumptions'!$Q$44-(AH53/$BF$2)*'1. UC Assumptions'!$Q$42,0)</f>
        <v>0</v>
      </c>
      <c r="BG53" s="151">
        <f t="shared" si="15"/>
        <v>0</v>
      </c>
      <c r="BH53" s="151">
        <f t="shared" si="16"/>
        <v>2552965.2675674316</v>
      </c>
      <c r="BI53" s="151">
        <f>ROUNDDOWN(BH53*'1. UC Assumptions'!$C$23,2)</f>
        <v>842478.53</v>
      </c>
      <c r="BJ53" s="154">
        <f t="shared" si="17"/>
        <v>-58417.42243256839</v>
      </c>
      <c r="BK53" s="154">
        <f t="shared" si="18"/>
        <v>-19277.757699999842</v>
      </c>
      <c r="BL53" s="154">
        <f t="shared" si="19"/>
        <v>0</v>
      </c>
      <c r="BM53" s="154">
        <f t="shared" si="20"/>
        <v>0</v>
      </c>
      <c r="BN53" s="101"/>
      <c r="BO53" s="154">
        <f>(BL53*'1. UC Assumptions'!$C$23)-'3.  UC Calculations by Hospital'!BM53</f>
        <v>0</v>
      </c>
      <c r="BP53" s="13"/>
    </row>
    <row r="54" spans="2:68">
      <c r="B54" s="129" t="s">
        <v>340</v>
      </c>
      <c r="C54" s="91" t="s">
        <v>340</v>
      </c>
      <c r="D54" s="91" t="s">
        <v>214</v>
      </c>
      <c r="E54" s="91" t="s">
        <v>149</v>
      </c>
      <c r="F54" s="91"/>
      <c r="G54" s="91" t="s">
        <v>209</v>
      </c>
      <c r="H54" s="91" t="s">
        <v>209</v>
      </c>
      <c r="I54" s="150" t="s">
        <v>210</v>
      </c>
      <c r="J54" s="129" t="s">
        <v>341</v>
      </c>
      <c r="K54" s="91" t="s">
        <v>9</v>
      </c>
      <c r="L54" s="91" t="s">
        <v>342</v>
      </c>
      <c r="M54" s="151">
        <v>872733.82530951663</v>
      </c>
      <c r="N54" s="151">
        <v>0</v>
      </c>
      <c r="O54" s="131">
        <v>0</v>
      </c>
      <c r="P54" s="131">
        <f t="shared" si="0"/>
        <v>0</v>
      </c>
      <c r="Q54" s="131">
        <v>508090.19723965437</v>
      </c>
      <c r="R54" s="131">
        <v>0</v>
      </c>
      <c r="S54" s="131">
        <f t="shared" si="1"/>
        <v>0</v>
      </c>
      <c r="T54" s="131">
        <f t="shared" si="2"/>
        <v>508090.19723965437</v>
      </c>
      <c r="U54" s="131">
        <v>0</v>
      </c>
      <c r="V54" s="131">
        <v>0</v>
      </c>
      <c r="W54" s="131">
        <v>0</v>
      </c>
      <c r="X54" s="131">
        <v>0</v>
      </c>
      <c r="Y54" s="131">
        <v>0</v>
      </c>
      <c r="Z54" s="131">
        <f t="shared" si="3"/>
        <v>0</v>
      </c>
      <c r="AA54" s="131">
        <v>0</v>
      </c>
      <c r="AB54" s="152">
        <f t="shared" si="4"/>
        <v>508090.19723965437</v>
      </c>
      <c r="AC54" s="133">
        <f>IF(D54="Physician Group Practice",(AB54/$AB$393)*'1. UC Assumptions'!$C$15,IF(E54="Rural Hospital",AB54*'1. UC Assumptions'!$C$7/'1. UC Assumptions'!$E$7,(AB54/$AB$397)*('1. UC Assumptions'!$C$9)))</f>
        <v>474269.43994009279</v>
      </c>
      <c r="AD54" s="133">
        <f t="shared" si="5"/>
        <v>0</v>
      </c>
      <c r="AE54" s="133">
        <f t="shared" si="6"/>
        <v>33820.757299561577</v>
      </c>
      <c r="AF54" s="133">
        <f t="shared" si="7"/>
        <v>0</v>
      </c>
      <c r="AG54" s="133">
        <f t="shared" si="8"/>
        <v>33820.757299561577</v>
      </c>
      <c r="AH54" s="133">
        <f t="shared" si="9"/>
        <v>474269.43994009279</v>
      </c>
      <c r="AI54" s="131">
        <f>AH54*'1. UC Assumptions'!$C$23</f>
        <v>156508.9151802306</v>
      </c>
      <c r="AJ54" s="131">
        <v>113886.76</v>
      </c>
      <c r="AK54" s="131">
        <f>AJ54*(1-'1. UC Assumptions'!$C$22)</f>
        <v>37582.630799999992</v>
      </c>
      <c r="AL54" s="131"/>
      <c r="AM54" s="131">
        <f>AL54*'1. UC Assumptions'!$C$23</f>
        <v>0</v>
      </c>
      <c r="AN54" s="153">
        <f t="shared" si="10"/>
        <v>508090.19723965437</v>
      </c>
      <c r="AO54" s="151">
        <f>AN54*'1. UC Assumptions'!$C$23</f>
        <v>167669.76508908594</v>
      </c>
      <c r="AP54" s="151">
        <f t="shared" si="11"/>
        <v>394203.43723965436</v>
      </c>
      <c r="AQ54" s="151">
        <f t="shared" si="12"/>
        <v>130087.13428908595</v>
      </c>
      <c r="AR54" s="151">
        <f t="shared" si="13"/>
        <v>130087.13428908595</v>
      </c>
      <c r="AS54" s="151">
        <f t="shared" si="14"/>
        <v>167669.76508908594</v>
      </c>
      <c r="AT54" s="151">
        <f>IF(K54="Bexar",(AG54/$AT$1)*'1. UC Assumptions'!$E$44-(AH54/$AT$2)*'1. UC Assumptions'!$E$42,0)</f>
        <v>0</v>
      </c>
      <c r="AU54" s="151">
        <f>IF(K54="Dallas",(AG54/$AU$1)*'1. UC Assumptions'!$F$44-(AH54/$AU$2)*'1. UC Assumptions'!$F$42,0)</f>
        <v>0</v>
      </c>
      <c r="AV54" s="151">
        <f>IF(K54="El Paso",(AG54/$AV$1)*'1. UC Assumptions'!$G$44-(AH54/$AV$2)*'1. UC Assumptions'!$G$42,0)</f>
        <v>0</v>
      </c>
      <c r="AW54" s="151">
        <f>IF(K54="Harris",(AG54/$AW$1)*'1. UC Assumptions'!$H$44-(AH54/$AW$2)*'1. UC Assumptions'!$H$42,0)</f>
        <v>0</v>
      </c>
      <c r="AX54" s="151">
        <f>IF(K54="Hidalgo",(AG54/$AX$1)*'1. UC Assumptions'!$I$44-(AH54/$AX$2)*'1. UC Assumptions'!$I$42,0)</f>
        <v>0</v>
      </c>
      <c r="AY54" s="151">
        <f>IF(K54="Jefferson",(AG54/$AY$1)*'1. UC Assumptions'!$J$44-(AH54/$AY$2)*'1. UC Assumptions'!$J$42,0)</f>
        <v>0</v>
      </c>
      <c r="AZ54" s="151">
        <f>IF(K54="Lubbock",(AG54/$AZ$1)*'1. UC Assumptions'!$K$44-(AH54/$AZ$2)*'1. UC Assumptions'!$K$42,0)</f>
        <v>0</v>
      </c>
      <c r="BA54" s="151">
        <f>IF(K54="MRSA Central",(AG54/$BA$1)*'1. UC Assumptions'!$L$44-(AH54/$BA$2)*'1. UC Assumptions'!$L$42,0)</f>
        <v>0</v>
      </c>
      <c r="BB54" s="151">
        <f>IF(K54="MRSA Northeast",(AG54/$BB$1)*'1. UC Assumptions'!$M$44-(AH54/$BB$2)*'1. UC Assumptions'!$M$42,0)</f>
        <v>0</v>
      </c>
      <c r="BC54" s="151">
        <f>IF(K54="MRSA West",(AG54/$BC$1)*'1. UC Assumptions'!$N$44-(AH54/$BC$2)*'1. UC Assumptions'!$N$42,0)</f>
        <v>0</v>
      </c>
      <c r="BD54" s="151">
        <f>IF(K54="Nueces",(AG54/$BD$1)*'1. UC Assumptions'!$O$44-(AH54/$BD$2)*'1. UC Assumptions'!$O$42,0)</f>
        <v>0</v>
      </c>
      <c r="BE54" s="151">
        <f>IF(K54="Tarrant",(AG54/$BE$1)*'1. UC Assumptions'!$P$44-(AH54/$BE$2)*'1. UC Assumptions'!$P$42,0)</f>
        <v>0</v>
      </c>
      <c r="BF54" s="151">
        <f>IF(K54="Travis",(AG54/$BF$1)*'1. UC Assumptions'!$Q$44-(AH54/$BF$2)*'1. UC Assumptions'!$Q$42,0)</f>
        <v>0</v>
      </c>
      <c r="BG54" s="151">
        <f t="shared" si="15"/>
        <v>0</v>
      </c>
      <c r="BH54" s="151">
        <f t="shared" si="16"/>
        <v>474269.43994009279</v>
      </c>
      <c r="BI54" s="151">
        <f>ROUNDDOWN(BH54*'1. UC Assumptions'!$C$23,2)</f>
        <v>156508.91</v>
      </c>
      <c r="BJ54" s="154">
        <f t="shared" si="17"/>
        <v>360382.67994009278</v>
      </c>
      <c r="BK54" s="154">
        <f t="shared" si="18"/>
        <v>118926.27920000002</v>
      </c>
      <c r="BL54" s="154">
        <f t="shared" si="19"/>
        <v>332712.53000000003</v>
      </c>
      <c r="BM54" s="154">
        <f t="shared" si="20"/>
        <v>109795.13</v>
      </c>
      <c r="BN54" s="101"/>
      <c r="BO54" s="154">
        <f>(BL54*'1. UC Assumptions'!$C$23)-'3.  UC Calculations by Hospital'!BM54</f>
        <v>4.8999999853549525E-3</v>
      </c>
      <c r="BP54" s="13"/>
    </row>
    <row r="55" spans="2:68">
      <c r="B55" s="129" t="s">
        <v>343</v>
      </c>
      <c r="C55" s="91" t="s">
        <v>343</v>
      </c>
      <c r="D55" s="91" t="s">
        <v>214</v>
      </c>
      <c r="E55" s="91"/>
      <c r="F55" s="91"/>
      <c r="G55" s="91" t="s">
        <v>209</v>
      </c>
      <c r="H55" s="91" t="s">
        <v>209</v>
      </c>
      <c r="I55" s="150" t="s">
        <v>210</v>
      </c>
      <c r="J55" s="129" t="s">
        <v>344</v>
      </c>
      <c r="K55" s="91" t="s">
        <v>8</v>
      </c>
      <c r="L55" s="91" t="s">
        <v>8</v>
      </c>
      <c r="M55" s="151">
        <v>3417036.9369813995</v>
      </c>
      <c r="N55" s="151">
        <v>27591987.456804808</v>
      </c>
      <c r="O55" s="131">
        <v>21071592.261157587</v>
      </c>
      <c r="P55" s="131">
        <f t="shared" si="0"/>
        <v>6520395.1956472211</v>
      </c>
      <c r="Q55" s="131">
        <v>30147737.261680096</v>
      </c>
      <c r="R55" s="131">
        <v>7995960.6500000004</v>
      </c>
      <c r="S55" s="131">
        <f t="shared" si="1"/>
        <v>0</v>
      </c>
      <c r="T55" s="131">
        <f t="shared" si="2"/>
        <v>30147737.261680096</v>
      </c>
      <c r="U55" s="131">
        <v>1618437</v>
      </c>
      <c r="V55" s="131">
        <v>0</v>
      </c>
      <c r="W55" s="131">
        <v>0</v>
      </c>
      <c r="X55" s="131">
        <v>0</v>
      </c>
      <c r="Y55" s="131">
        <v>13301321.26944848</v>
      </c>
      <c r="Z55" s="131">
        <f t="shared" si="3"/>
        <v>14919758.26944848</v>
      </c>
      <c r="AA55" s="131">
        <v>0</v>
      </c>
      <c r="AB55" s="152">
        <f t="shared" si="4"/>
        <v>45067495.531128578</v>
      </c>
      <c r="AC55" s="133">
        <f>IF(D55="Physician Group Practice",(AB55/$AB$393)*'1. UC Assumptions'!$C$15,IF(E55="Rural Hospital",AB55*'1. UC Assumptions'!$C$7/'1. UC Assumptions'!$E$7,(AB55/$AB$397)*('1. UC Assumptions'!$C$9)))</f>
        <v>21188285.029554319</v>
      </c>
      <c r="AD55" s="133">
        <f t="shared" si="5"/>
        <v>0</v>
      </c>
      <c r="AE55" s="133">
        <f t="shared" si="6"/>
        <v>23879210.501574259</v>
      </c>
      <c r="AF55" s="133">
        <f t="shared" si="7"/>
        <v>0</v>
      </c>
      <c r="AG55" s="133">
        <f t="shared" si="8"/>
        <v>23879210.501574259</v>
      </c>
      <c r="AH55" s="133">
        <f t="shared" si="9"/>
        <v>21188285.029554319</v>
      </c>
      <c r="AI55" s="131">
        <f>AH55*'1. UC Assumptions'!$C$23</f>
        <v>6992134.0597529244</v>
      </c>
      <c r="AJ55" s="131">
        <v>18502892.280000001</v>
      </c>
      <c r="AK55" s="131">
        <f>AJ55*(1-'1. UC Assumptions'!$C$22)</f>
        <v>6105954.4523999998</v>
      </c>
      <c r="AL55" s="131"/>
      <c r="AM55" s="131">
        <f>AL55*'1. UC Assumptions'!$C$23</f>
        <v>0</v>
      </c>
      <c r="AN55" s="153">
        <f t="shared" si="10"/>
        <v>45067495.531128578</v>
      </c>
      <c r="AO55" s="151">
        <f>AN55*'1. UC Assumptions'!$C$23</f>
        <v>14872273.525272429</v>
      </c>
      <c r="AP55" s="151">
        <f t="shared" si="11"/>
        <v>26564603.251128577</v>
      </c>
      <c r="AQ55" s="151">
        <f t="shared" si="12"/>
        <v>8766319.0728724301</v>
      </c>
      <c r="AR55" s="151">
        <f t="shared" si="13"/>
        <v>8766319.0728724301</v>
      </c>
      <c r="AS55" s="151">
        <f t="shared" si="14"/>
        <v>14872273.525272429</v>
      </c>
      <c r="AT55" s="151">
        <f>IF(K55="Bexar",(AG55/$AT$1)*'1. UC Assumptions'!$E$44-(AH55/$AT$2)*'1. UC Assumptions'!$E$42,0)</f>
        <v>0</v>
      </c>
      <c r="AU55" s="151">
        <f>IF(K55="Dallas",(AG55/$AU$1)*'1. UC Assumptions'!$F$44-(AH55/$AU$2)*'1. UC Assumptions'!$F$42,0)</f>
        <v>0</v>
      </c>
      <c r="AV55" s="151">
        <f>IF(K55="El Paso",(AG55/$AV$1)*'1. UC Assumptions'!$G$44-(AH55/$AV$2)*'1. UC Assumptions'!$G$42,0)</f>
        <v>0</v>
      </c>
      <c r="AW55" s="151">
        <f>IF(K55="Harris",(AG55/$AW$1)*'1. UC Assumptions'!$H$44-(AH55/$AW$2)*'1. UC Assumptions'!$H$42,0)</f>
        <v>0</v>
      </c>
      <c r="AX55" s="151">
        <f>IF(K55="Hidalgo",(AG55/$AX$1)*'1. UC Assumptions'!$I$44-(AH55/$AX$2)*'1. UC Assumptions'!$I$42,0)</f>
        <v>0</v>
      </c>
      <c r="AY55" s="151">
        <f>IF(K55="Jefferson",(AG55/$AY$1)*'1. UC Assumptions'!$J$44-(AH55/$AY$2)*'1. UC Assumptions'!$J$42,0)</f>
        <v>0</v>
      </c>
      <c r="AZ55" s="151">
        <f>IF(K55="Lubbock",(AG55/$AZ$1)*'1. UC Assumptions'!$K$44-(AH55/$AZ$2)*'1. UC Assumptions'!$K$42,0)</f>
        <v>0</v>
      </c>
      <c r="BA55" s="151">
        <f>IF(K55="MRSA Central",(AG55/$BA$1)*'1. UC Assumptions'!$L$44-(AH55/$BA$2)*'1. UC Assumptions'!$L$42,0)</f>
        <v>0</v>
      </c>
      <c r="BB55" s="151">
        <f>IF(K55="MRSA Northeast",(AG55/$BB$1)*'1. UC Assumptions'!$M$44-(AH55/$BB$2)*'1. UC Assumptions'!$M$42,0)</f>
        <v>0</v>
      </c>
      <c r="BC55" s="151">
        <f>IF(K55="MRSA West",(AG55/$BC$1)*'1. UC Assumptions'!$N$44-(AH55/$BC$2)*'1. UC Assumptions'!$N$42,0)</f>
        <v>0</v>
      </c>
      <c r="BD55" s="151">
        <f>IF(K55="Nueces",(AG55/$BD$1)*'1. UC Assumptions'!$O$44-(AH55/$BD$2)*'1. UC Assumptions'!$O$42,0)</f>
        <v>0</v>
      </c>
      <c r="BE55" s="151">
        <f>IF(K55="Tarrant",(AG55/$BE$1)*'1. UC Assumptions'!$P$44-(AH55/$BE$2)*'1. UC Assumptions'!$P$42,0)</f>
        <v>0</v>
      </c>
      <c r="BF55" s="151">
        <f>IF(K55="Travis",(AG55/$BF$1)*'1. UC Assumptions'!$Q$44-(AH55/$BF$2)*'1. UC Assumptions'!$Q$42,0)</f>
        <v>0</v>
      </c>
      <c r="BG55" s="151">
        <f t="shared" si="15"/>
        <v>0</v>
      </c>
      <c r="BH55" s="151">
        <f t="shared" si="16"/>
        <v>21188285.029554319</v>
      </c>
      <c r="BI55" s="151">
        <f>ROUNDDOWN(BH55*'1. UC Assumptions'!$C$23,2)</f>
        <v>6992134.0499999998</v>
      </c>
      <c r="BJ55" s="154">
        <f t="shared" si="17"/>
        <v>2685392.7495543174</v>
      </c>
      <c r="BK55" s="154">
        <f t="shared" si="18"/>
        <v>886179.59759999998</v>
      </c>
      <c r="BL55" s="154">
        <f t="shared" si="19"/>
        <v>2479208.52</v>
      </c>
      <c r="BM55" s="154">
        <f t="shared" si="20"/>
        <v>818138.8</v>
      </c>
      <c r="BN55" s="101"/>
      <c r="BO55" s="154">
        <f>(BL55*'1. UC Assumptions'!$C$23)-'3.  UC Calculations by Hospital'!BM55</f>
        <v>1.1599999852478504E-2</v>
      </c>
      <c r="BP55" s="13"/>
    </row>
    <row r="56" spans="2:68">
      <c r="B56" s="129" t="s">
        <v>345</v>
      </c>
      <c r="C56" s="91" t="s">
        <v>345</v>
      </c>
      <c r="D56" s="91" t="s">
        <v>214</v>
      </c>
      <c r="E56" s="91" t="s">
        <v>149</v>
      </c>
      <c r="F56" s="91"/>
      <c r="G56" s="91" t="s">
        <v>209</v>
      </c>
      <c r="H56" s="91" t="s">
        <v>209</v>
      </c>
      <c r="I56" s="150" t="s">
        <v>210</v>
      </c>
      <c r="J56" s="129" t="s">
        <v>346</v>
      </c>
      <c r="K56" s="91" t="s">
        <v>15</v>
      </c>
      <c r="L56" s="91" t="s">
        <v>347</v>
      </c>
      <c r="M56" s="151">
        <v>899418.00868971529</v>
      </c>
      <c r="N56" s="151">
        <v>6245121.8808004772</v>
      </c>
      <c r="O56" s="131">
        <v>4374451.2402198268</v>
      </c>
      <c r="P56" s="131">
        <f t="shared" si="0"/>
        <v>1870670.6405806504</v>
      </c>
      <c r="Q56" s="131">
        <v>5068347.1696080389</v>
      </c>
      <c r="R56" s="131">
        <v>0</v>
      </c>
      <c r="S56" s="131">
        <f t="shared" si="1"/>
        <v>0</v>
      </c>
      <c r="T56" s="131">
        <f t="shared" si="2"/>
        <v>5068347.1696080389</v>
      </c>
      <c r="U56" s="131">
        <v>62707</v>
      </c>
      <c r="V56" s="131">
        <v>0</v>
      </c>
      <c r="W56" s="131">
        <v>0</v>
      </c>
      <c r="X56" s="131">
        <v>0</v>
      </c>
      <c r="Y56" s="131">
        <v>1571080</v>
      </c>
      <c r="Z56" s="131">
        <f t="shared" si="3"/>
        <v>1633787</v>
      </c>
      <c r="AA56" s="131">
        <v>0</v>
      </c>
      <c r="AB56" s="152">
        <f t="shared" si="4"/>
        <v>6702134.1696080389</v>
      </c>
      <c r="AC56" s="133">
        <f>IF(D56="Physician Group Practice",(AB56/$AB$393)*'1. UC Assumptions'!$C$15,IF(E56="Rural Hospital",AB56*'1. UC Assumptions'!$C$7/'1. UC Assumptions'!$E$7,(AB56/$AB$397)*('1. UC Assumptions'!$C$9)))</f>
        <v>6256010.1263360595</v>
      </c>
      <c r="AD56" s="133">
        <f t="shared" si="5"/>
        <v>0</v>
      </c>
      <c r="AE56" s="133">
        <f t="shared" si="6"/>
        <v>446124.04327197932</v>
      </c>
      <c r="AF56" s="133">
        <f t="shared" si="7"/>
        <v>0</v>
      </c>
      <c r="AG56" s="133">
        <f t="shared" si="8"/>
        <v>446124.04327197932</v>
      </c>
      <c r="AH56" s="133">
        <f t="shared" si="9"/>
        <v>6256010.1263360595</v>
      </c>
      <c r="AI56" s="131">
        <f>AH56*'1. UC Assumptions'!$C$23</f>
        <v>2064483.3416908993</v>
      </c>
      <c r="AJ56" s="131">
        <v>2366487.5099999998</v>
      </c>
      <c r="AK56" s="131">
        <f>AJ56*(1-'1. UC Assumptions'!$C$22)</f>
        <v>780940.87829999987</v>
      </c>
      <c r="AL56" s="131"/>
      <c r="AM56" s="131">
        <f>AL56*'1. UC Assumptions'!$C$23</f>
        <v>0</v>
      </c>
      <c r="AN56" s="153">
        <f t="shared" si="10"/>
        <v>6702134.1696080389</v>
      </c>
      <c r="AO56" s="151">
        <f>AN56*'1. UC Assumptions'!$C$23</f>
        <v>2211704.2759706527</v>
      </c>
      <c r="AP56" s="151">
        <f t="shared" si="11"/>
        <v>4335646.6596080391</v>
      </c>
      <c r="AQ56" s="151">
        <f t="shared" si="12"/>
        <v>1430763.3976706527</v>
      </c>
      <c r="AR56" s="151">
        <f t="shared" si="13"/>
        <v>1430763.3976706527</v>
      </c>
      <c r="AS56" s="151">
        <f t="shared" si="14"/>
        <v>2211704.2759706527</v>
      </c>
      <c r="AT56" s="151">
        <f>IF(K56="Bexar",(AG56/$AT$1)*'1. UC Assumptions'!$E$44-(AH56/$AT$2)*'1. UC Assumptions'!$E$42,0)</f>
        <v>0</v>
      </c>
      <c r="AU56" s="151">
        <f>IF(K56="Dallas",(AG56/$AU$1)*'1. UC Assumptions'!$F$44-(AH56/$AU$2)*'1. UC Assumptions'!$F$42,0)</f>
        <v>0</v>
      </c>
      <c r="AV56" s="151">
        <f>IF(K56="El Paso",(AG56/$AV$1)*'1. UC Assumptions'!$G$44-(AH56/$AV$2)*'1. UC Assumptions'!$G$42,0)</f>
        <v>0</v>
      </c>
      <c r="AW56" s="151">
        <f>IF(K56="Harris",(AG56/$AW$1)*'1. UC Assumptions'!$H$44-(AH56/$AW$2)*'1. UC Assumptions'!$H$42,0)</f>
        <v>0</v>
      </c>
      <c r="AX56" s="151">
        <f>IF(K56="Hidalgo",(AG56/$AX$1)*'1. UC Assumptions'!$I$44-(AH56/$AX$2)*'1. UC Assumptions'!$I$42,0)</f>
        <v>0</v>
      </c>
      <c r="AY56" s="151">
        <f>IF(K56="Jefferson",(AG56/$AY$1)*'1. UC Assumptions'!$J$44-(AH56/$AY$2)*'1. UC Assumptions'!$J$42,0)</f>
        <v>0</v>
      </c>
      <c r="AZ56" s="151">
        <f>IF(K56="Lubbock",(AG56/$AZ$1)*'1. UC Assumptions'!$K$44-(AH56/$AZ$2)*'1. UC Assumptions'!$K$42,0)</f>
        <v>0</v>
      </c>
      <c r="BA56" s="151">
        <f>IF(K56="MRSA Central",(AG56/$BA$1)*'1. UC Assumptions'!$L$44-(AH56/$BA$2)*'1. UC Assumptions'!$L$42,0)</f>
        <v>0</v>
      </c>
      <c r="BB56" s="151">
        <f>IF(K56="MRSA Northeast",(AG56/$BB$1)*'1. UC Assumptions'!$M$44-(AH56/$BB$2)*'1. UC Assumptions'!$M$42,0)</f>
        <v>0</v>
      </c>
      <c r="BC56" s="151">
        <f>IF(K56="MRSA West",(AG56/$BC$1)*'1. UC Assumptions'!$N$44-(AH56/$BC$2)*'1. UC Assumptions'!$N$42,0)</f>
        <v>0</v>
      </c>
      <c r="BD56" s="151">
        <f>IF(K56="Nueces",(AG56/$BD$1)*'1. UC Assumptions'!$O$44-(AH56/$BD$2)*'1. UC Assumptions'!$O$42,0)</f>
        <v>0</v>
      </c>
      <c r="BE56" s="151">
        <f>IF(K56="Tarrant",(AG56/$BE$1)*'1. UC Assumptions'!$P$44-(AH56/$BE$2)*'1. UC Assumptions'!$P$42,0)</f>
        <v>0</v>
      </c>
      <c r="BF56" s="151">
        <f>IF(K56="Travis",(AG56/$BF$1)*'1. UC Assumptions'!$Q$44-(AH56/$BF$2)*'1. UC Assumptions'!$Q$42,0)</f>
        <v>0</v>
      </c>
      <c r="BG56" s="151">
        <f t="shared" si="15"/>
        <v>0</v>
      </c>
      <c r="BH56" s="151">
        <f t="shared" si="16"/>
        <v>6256010.1263360595</v>
      </c>
      <c r="BI56" s="151">
        <f>ROUNDDOWN(BH56*'1. UC Assumptions'!$C$23,2)</f>
        <v>2064483.34</v>
      </c>
      <c r="BJ56" s="154">
        <f t="shared" si="17"/>
        <v>3889522.6163360598</v>
      </c>
      <c r="BK56" s="154">
        <f t="shared" si="18"/>
        <v>1283542.4617000003</v>
      </c>
      <c r="BL56" s="154">
        <f t="shared" si="19"/>
        <v>3590885.4</v>
      </c>
      <c r="BM56" s="154">
        <f t="shared" si="20"/>
        <v>1184992.18</v>
      </c>
      <c r="BN56" s="101"/>
      <c r="BO56" s="154">
        <f>(BL56*'1. UC Assumptions'!$C$23)-'3.  UC Calculations by Hospital'!BM56</f>
        <v>1.999999862164259E-3</v>
      </c>
      <c r="BP56" s="13"/>
    </row>
    <row r="57" spans="2:68">
      <c r="B57" s="129" t="s">
        <v>348</v>
      </c>
      <c r="C57" s="91" t="s">
        <v>348</v>
      </c>
      <c r="D57" s="91" t="s">
        <v>208</v>
      </c>
      <c r="E57" s="91" t="s">
        <v>149</v>
      </c>
      <c r="F57" s="91"/>
      <c r="G57" s="91" t="s">
        <v>209</v>
      </c>
      <c r="H57" s="91" t="s">
        <v>209</v>
      </c>
      <c r="I57" s="150" t="s">
        <v>210</v>
      </c>
      <c r="J57" s="129" t="s">
        <v>349</v>
      </c>
      <c r="K57" s="91" t="s">
        <v>12</v>
      </c>
      <c r="L57" s="91" t="s">
        <v>350</v>
      </c>
      <c r="M57" s="151">
        <v>456703.88112832</v>
      </c>
      <c r="N57" s="151">
        <v>0</v>
      </c>
      <c r="O57" s="131">
        <v>0</v>
      </c>
      <c r="P57" s="131">
        <f t="shared" si="0"/>
        <v>0</v>
      </c>
      <c r="Q57" s="131">
        <v>0</v>
      </c>
      <c r="R57" s="131">
        <v>0</v>
      </c>
      <c r="S57" s="131">
        <f t="shared" si="1"/>
        <v>0</v>
      </c>
      <c r="T57" s="131">
        <f t="shared" si="2"/>
        <v>0</v>
      </c>
      <c r="U57" s="131">
        <v>0</v>
      </c>
      <c r="V57" s="131">
        <v>0</v>
      </c>
      <c r="W57" s="131">
        <v>0</v>
      </c>
      <c r="X57" s="131">
        <v>0</v>
      </c>
      <c r="Y57" s="131">
        <v>59306</v>
      </c>
      <c r="Z57" s="131">
        <f t="shared" si="3"/>
        <v>59306</v>
      </c>
      <c r="AA57" s="131">
        <v>0</v>
      </c>
      <c r="AB57" s="152">
        <f t="shared" si="4"/>
        <v>59306</v>
      </c>
      <c r="AC57" s="133">
        <f>IF(D57="Physician Group Practice",(AB57/$AB$393)*'1. UC Assumptions'!$C$15,IF(E57="Rural Hospital",AB57*'1. UC Assumptions'!$C$7/'1. UC Assumptions'!$E$7,(AB57/$AB$397)*('1. UC Assumptions'!$C$9)))</f>
        <v>55358.327237752783</v>
      </c>
      <c r="AD57" s="133">
        <f t="shared" si="5"/>
        <v>0</v>
      </c>
      <c r="AE57" s="133">
        <f t="shared" si="6"/>
        <v>3947.6727622472172</v>
      </c>
      <c r="AF57" s="133">
        <f t="shared" si="7"/>
        <v>0</v>
      </c>
      <c r="AG57" s="133">
        <f t="shared" si="8"/>
        <v>3947.6727622472172</v>
      </c>
      <c r="AH57" s="133">
        <f t="shared" si="9"/>
        <v>55358.327237752783</v>
      </c>
      <c r="AI57" s="131">
        <f>AH57*'1. UC Assumptions'!$C$23</f>
        <v>18268.247988458417</v>
      </c>
      <c r="AJ57" s="131">
        <v>161505.17000000001</v>
      </c>
      <c r="AK57" s="131">
        <f>AJ57*(1-'1. UC Assumptions'!$C$22)</f>
        <v>53296.706099999996</v>
      </c>
      <c r="AL57" s="131"/>
      <c r="AM57" s="131">
        <f>AL57*'1. UC Assumptions'!$C$23</f>
        <v>0</v>
      </c>
      <c r="AN57" s="153">
        <f t="shared" si="10"/>
        <v>59306</v>
      </c>
      <c r="AO57" s="151">
        <f>AN57*'1. UC Assumptions'!$C$23</f>
        <v>19570.979999999996</v>
      </c>
      <c r="AP57" s="151">
        <f t="shared" si="11"/>
        <v>-102199.17000000001</v>
      </c>
      <c r="AQ57" s="151">
        <f t="shared" si="12"/>
        <v>-33725.7261</v>
      </c>
      <c r="AR57" s="151">
        <f t="shared" si="13"/>
        <v>-33725.7261</v>
      </c>
      <c r="AS57" s="151">
        <f t="shared" si="14"/>
        <v>19570.979999999996</v>
      </c>
      <c r="AT57" s="151">
        <f>IF(K57="Bexar",(AG57/$AT$1)*'1. UC Assumptions'!$E$44-(AH57/$AT$2)*'1. UC Assumptions'!$E$42,0)</f>
        <v>0</v>
      </c>
      <c r="AU57" s="151">
        <f>IF(K57="Dallas",(AG57/$AU$1)*'1. UC Assumptions'!$F$44-(AH57/$AU$2)*'1. UC Assumptions'!$F$42,0)</f>
        <v>0</v>
      </c>
      <c r="AV57" s="151">
        <f>IF(K57="El Paso",(AG57/$AV$1)*'1. UC Assumptions'!$G$44-(AH57/$AV$2)*'1. UC Assumptions'!$G$42,0)</f>
        <v>0</v>
      </c>
      <c r="AW57" s="151">
        <f>IF(K57="Harris",(AG57/$AW$1)*'1. UC Assumptions'!$H$44-(AH57/$AW$2)*'1. UC Assumptions'!$H$42,0)</f>
        <v>0</v>
      </c>
      <c r="AX57" s="151">
        <f>IF(K57="Hidalgo",(AG57/$AX$1)*'1. UC Assumptions'!$I$44-(AH57/$AX$2)*'1. UC Assumptions'!$I$42,0)</f>
        <v>0</v>
      </c>
      <c r="AY57" s="151">
        <f>IF(K57="Jefferson",(AG57/$AY$1)*'1. UC Assumptions'!$J$44-(AH57/$AY$2)*'1. UC Assumptions'!$J$42,0)</f>
        <v>0</v>
      </c>
      <c r="AZ57" s="151">
        <f>IF(K57="Lubbock",(AG57/$AZ$1)*'1. UC Assumptions'!$K$44-(AH57/$AZ$2)*'1. UC Assumptions'!$K$42,0)</f>
        <v>0</v>
      </c>
      <c r="BA57" s="151">
        <f>IF(K57="MRSA Central",(AG57/$BA$1)*'1. UC Assumptions'!$L$44-(AH57/$BA$2)*'1. UC Assumptions'!$L$42,0)</f>
        <v>0</v>
      </c>
      <c r="BB57" s="151">
        <f>IF(K57="MRSA Northeast",(AG57/$BB$1)*'1. UC Assumptions'!$M$44-(AH57/$BB$2)*'1. UC Assumptions'!$M$42,0)</f>
        <v>0</v>
      </c>
      <c r="BC57" s="151">
        <f>IF(K57="MRSA West",(AG57/$BC$1)*'1. UC Assumptions'!$N$44-(AH57/$BC$2)*'1. UC Assumptions'!$N$42,0)</f>
        <v>0</v>
      </c>
      <c r="BD57" s="151">
        <f>IF(K57="Nueces",(AG57/$BD$1)*'1. UC Assumptions'!$O$44-(AH57/$BD$2)*'1. UC Assumptions'!$O$42,0)</f>
        <v>0</v>
      </c>
      <c r="BE57" s="151">
        <f>IF(K57="Tarrant",(AG57/$BE$1)*'1. UC Assumptions'!$P$44-(AH57/$BE$2)*'1. UC Assumptions'!$P$42,0)</f>
        <v>0</v>
      </c>
      <c r="BF57" s="151">
        <f>IF(K57="Travis",(AG57/$BF$1)*'1. UC Assumptions'!$Q$44-(AH57/$BF$2)*'1. UC Assumptions'!$Q$42,0)</f>
        <v>0</v>
      </c>
      <c r="BG57" s="151">
        <f t="shared" si="15"/>
        <v>0</v>
      </c>
      <c r="BH57" s="151">
        <f t="shared" si="16"/>
        <v>55358.327237752783</v>
      </c>
      <c r="BI57" s="151">
        <f>ROUNDDOWN(BH57*'1. UC Assumptions'!$C$23,2)</f>
        <v>18268.240000000002</v>
      </c>
      <c r="BJ57" s="154">
        <f t="shared" si="17"/>
        <v>-106146.84276224722</v>
      </c>
      <c r="BK57" s="154">
        <f t="shared" si="18"/>
        <v>-35028.466099999991</v>
      </c>
      <c r="BL57" s="154">
        <f t="shared" si="19"/>
        <v>0</v>
      </c>
      <c r="BM57" s="154">
        <f t="shared" si="20"/>
        <v>0</v>
      </c>
      <c r="BN57" s="101"/>
      <c r="BO57" s="154">
        <f>(BL57*'1. UC Assumptions'!$C$23)-'3.  UC Calculations by Hospital'!BM57</f>
        <v>0</v>
      </c>
      <c r="BP57" s="13"/>
    </row>
    <row r="58" spans="2:68">
      <c r="B58" s="129" t="s">
        <v>351</v>
      </c>
      <c r="C58" s="91" t="s">
        <v>351</v>
      </c>
      <c r="D58" s="91" t="s">
        <v>214</v>
      </c>
      <c r="E58" s="91" t="s">
        <v>149</v>
      </c>
      <c r="F58" s="91"/>
      <c r="G58" s="91" t="s">
        <v>209</v>
      </c>
      <c r="H58" s="91" t="s">
        <v>209</v>
      </c>
      <c r="I58" s="150" t="s">
        <v>210</v>
      </c>
      <c r="J58" s="129" t="s">
        <v>346</v>
      </c>
      <c r="K58" s="91" t="s">
        <v>15</v>
      </c>
      <c r="L58" s="91" t="s">
        <v>352</v>
      </c>
      <c r="M58" s="151">
        <v>1898290.9197763838</v>
      </c>
      <c r="N58" s="151">
        <v>4219077.1617358606</v>
      </c>
      <c r="O58" s="131">
        <v>3380401.4289497091</v>
      </c>
      <c r="P58" s="131">
        <f t="shared" si="0"/>
        <v>838675.73278615158</v>
      </c>
      <c r="Q58" s="131">
        <v>4139698.3617896703</v>
      </c>
      <c r="R58" s="131">
        <v>0</v>
      </c>
      <c r="S58" s="131">
        <f t="shared" si="1"/>
        <v>0</v>
      </c>
      <c r="T58" s="131">
        <f t="shared" si="2"/>
        <v>4139698.3617896703</v>
      </c>
      <c r="U58" s="131">
        <v>16881</v>
      </c>
      <c r="V58" s="131">
        <v>0</v>
      </c>
      <c r="W58" s="131">
        <v>0</v>
      </c>
      <c r="X58" s="131">
        <v>0</v>
      </c>
      <c r="Y58" s="131">
        <v>629808</v>
      </c>
      <c r="Z58" s="131">
        <f t="shared" si="3"/>
        <v>646689</v>
      </c>
      <c r="AA58" s="131">
        <v>0</v>
      </c>
      <c r="AB58" s="152">
        <f t="shared" si="4"/>
        <v>4786387.3617896698</v>
      </c>
      <c r="AC58" s="133">
        <f>IF(D58="Physician Group Practice",(AB58/$AB$393)*'1. UC Assumptions'!$C$15,IF(E58="Rural Hospital",AB58*'1. UC Assumptions'!$C$7/'1. UC Assumptions'!$E$7,(AB58/$AB$397)*('1. UC Assumptions'!$C$9)))</f>
        <v>4467783.9992681472</v>
      </c>
      <c r="AD58" s="133">
        <f t="shared" si="5"/>
        <v>0</v>
      </c>
      <c r="AE58" s="133">
        <f t="shared" si="6"/>
        <v>318603.36252152268</v>
      </c>
      <c r="AF58" s="133">
        <f t="shared" si="7"/>
        <v>0</v>
      </c>
      <c r="AG58" s="133">
        <f t="shared" si="8"/>
        <v>318603.36252152268</v>
      </c>
      <c r="AH58" s="133">
        <f t="shared" si="9"/>
        <v>4467783.9992681472</v>
      </c>
      <c r="AI58" s="131">
        <f>AH58*'1. UC Assumptions'!$C$23</f>
        <v>1474368.7197584885</v>
      </c>
      <c r="AJ58" s="131">
        <v>1828313.81</v>
      </c>
      <c r="AK58" s="131">
        <f>AJ58*(1-'1. UC Assumptions'!$C$22)</f>
        <v>603343.55729999999</v>
      </c>
      <c r="AL58" s="131"/>
      <c r="AM58" s="131">
        <f>AL58*'1. UC Assumptions'!$C$23</f>
        <v>0</v>
      </c>
      <c r="AN58" s="153">
        <f t="shared" si="10"/>
        <v>4786387.3617896698</v>
      </c>
      <c r="AO58" s="151">
        <f>AN58*'1. UC Assumptions'!$C$23</f>
        <v>1579507.8293905908</v>
      </c>
      <c r="AP58" s="151">
        <f t="shared" si="11"/>
        <v>2958073.5517896698</v>
      </c>
      <c r="AQ58" s="151">
        <f t="shared" si="12"/>
        <v>976164.27209059079</v>
      </c>
      <c r="AR58" s="151">
        <f t="shared" si="13"/>
        <v>976164.27209059079</v>
      </c>
      <c r="AS58" s="151">
        <f t="shared" si="14"/>
        <v>1579507.8293905908</v>
      </c>
      <c r="AT58" s="151">
        <f>IF(K58="Bexar",(AG58/$AT$1)*'1. UC Assumptions'!$E$44-(AH58/$AT$2)*'1. UC Assumptions'!$E$42,0)</f>
        <v>0</v>
      </c>
      <c r="AU58" s="151">
        <f>IF(K58="Dallas",(AG58/$AU$1)*'1. UC Assumptions'!$F$44-(AH58/$AU$2)*'1. UC Assumptions'!$F$42,0)</f>
        <v>0</v>
      </c>
      <c r="AV58" s="151">
        <f>IF(K58="El Paso",(AG58/$AV$1)*'1. UC Assumptions'!$G$44-(AH58/$AV$2)*'1. UC Assumptions'!$G$42,0)</f>
        <v>0</v>
      </c>
      <c r="AW58" s="151">
        <f>IF(K58="Harris",(AG58/$AW$1)*'1. UC Assumptions'!$H$44-(AH58/$AW$2)*'1. UC Assumptions'!$H$42,0)</f>
        <v>0</v>
      </c>
      <c r="AX58" s="151">
        <f>IF(K58="Hidalgo",(AG58/$AX$1)*'1. UC Assumptions'!$I$44-(AH58/$AX$2)*'1. UC Assumptions'!$I$42,0)</f>
        <v>0</v>
      </c>
      <c r="AY58" s="151">
        <f>IF(K58="Jefferson",(AG58/$AY$1)*'1. UC Assumptions'!$J$44-(AH58/$AY$2)*'1. UC Assumptions'!$J$42,0)</f>
        <v>0</v>
      </c>
      <c r="AZ58" s="151">
        <f>IF(K58="Lubbock",(AG58/$AZ$1)*'1. UC Assumptions'!$K$44-(AH58/$AZ$2)*'1. UC Assumptions'!$K$42,0)</f>
        <v>0</v>
      </c>
      <c r="BA58" s="151">
        <f>IF(K58="MRSA Central",(AG58/$BA$1)*'1. UC Assumptions'!$L$44-(AH58/$BA$2)*'1. UC Assumptions'!$L$42,0)</f>
        <v>0</v>
      </c>
      <c r="BB58" s="151">
        <f>IF(K58="MRSA Northeast",(AG58/$BB$1)*'1. UC Assumptions'!$M$44-(AH58/$BB$2)*'1. UC Assumptions'!$M$42,0)</f>
        <v>0</v>
      </c>
      <c r="BC58" s="151">
        <f>IF(K58="MRSA West",(AG58/$BC$1)*'1. UC Assumptions'!$N$44-(AH58/$BC$2)*'1. UC Assumptions'!$N$42,0)</f>
        <v>0</v>
      </c>
      <c r="BD58" s="151">
        <f>IF(K58="Nueces",(AG58/$BD$1)*'1. UC Assumptions'!$O$44-(AH58/$BD$2)*'1. UC Assumptions'!$O$42,0)</f>
        <v>0</v>
      </c>
      <c r="BE58" s="151">
        <f>IF(K58="Tarrant",(AG58/$BE$1)*'1. UC Assumptions'!$P$44-(AH58/$BE$2)*'1. UC Assumptions'!$P$42,0)</f>
        <v>0</v>
      </c>
      <c r="BF58" s="151">
        <f>IF(K58="Travis",(AG58/$BF$1)*'1. UC Assumptions'!$Q$44-(AH58/$BF$2)*'1. UC Assumptions'!$Q$42,0)</f>
        <v>0</v>
      </c>
      <c r="BG58" s="151">
        <f t="shared" si="15"/>
        <v>0</v>
      </c>
      <c r="BH58" s="151">
        <f t="shared" si="16"/>
        <v>4467783.9992681472</v>
      </c>
      <c r="BI58" s="151">
        <f>ROUNDDOWN(BH58*'1. UC Assumptions'!$C$23,2)</f>
        <v>1474368.71</v>
      </c>
      <c r="BJ58" s="154">
        <f t="shared" si="17"/>
        <v>2639470.1892681471</v>
      </c>
      <c r="BK58" s="154">
        <f t="shared" si="18"/>
        <v>871025.15269999998</v>
      </c>
      <c r="BL58" s="154">
        <f t="shared" si="19"/>
        <v>2436811.89</v>
      </c>
      <c r="BM58" s="154">
        <f t="shared" si="20"/>
        <v>804147.91</v>
      </c>
      <c r="BN58" s="101"/>
      <c r="BO58" s="154">
        <f>(BL58*'1. UC Assumptions'!$C$23)-'3.  UC Calculations by Hospital'!BM58</f>
        <v>1.3699999894015491E-2</v>
      </c>
      <c r="BP58" s="13"/>
    </row>
    <row r="59" spans="2:68">
      <c r="B59" s="129" t="s">
        <v>353</v>
      </c>
      <c r="C59" s="91" t="s">
        <v>353</v>
      </c>
      <c r="D59" s="91" t="s">
        <v>214</v>
      </c>
      <c r="E59" s="91"/>
      <c r="F59" s="91"/>
      <c r="G59" s="91" t="s">
        <v>209</v>
      </c>
      <c r="H59" s="91" t="s">
        <v>209</v>
      </c>
      <c r="I59" s="150" t="s">
        <v>210</v>
      </c>
      <c r="J59" s="129" t="s">
        <v>354</v>
      </c>
      <c r="K59" s="91" t="s">
        <v>3</v>
      </c>
      <c r="L59" s="91" t="s">
        <v>3</v>
      </c>
      <c r="M59" s="151">
        <v>-40350097.033482544</v>
      </c>
      <c r="N59" s="151">
        <v>118237480.00115646</v>
      </c>
      <c r="O59" s="131">
        <v>72724632.945551768</v>
      </c>
      <c r="P59" s="131">
        <f t="shared" si="0"/>
        <v>45512847.055604696</v>
      </c>
      <c r="Q59" s="131">
        <v>145217826.19331637</v>
      </c>
      <c r="R59" s="131">
        <v>44704532.409999996</v>
      </c>
      <c r="S59" s="131">
        <f t="shared" si="1"/>
        <v>39541782.387877852</v>
      </c>
      <c r="T59" s="131">
        <f t="shared" si="2"/>
        <v>105676043.80543852</v>
      </c>
      <c r="U59" s="131">
        <v>2664708</v>
      </c>
      <c r="V59" s="131">
        <v>0</v>
      </c>
      <c r="W59" s="131">
        <v>0</v>
      </c>
      <c r="X59" s="131">
        <v>0</v>
      </c>
      <c r="Y59" s="131">
        <v>26769608.227870271</v>
      </c>
      <c r="Z59" s="131">
        <f t="shared" si="3"/>
        <v>29434316.227870271</v>
      </c>
      <c r="AA59" s="131">
        <v>0</v>
      </c>
      <c r="AB59" s="152">
        <f t="shared" si="4"/>
        <v>135110360.0333088</v>
      </c>
      <c r="AC59" s="133">
        <f>IF(D59="Physician Group Practice",(AB59/$AB$393)*'1. UC Assumptions'!$C$15,IF(E59="Rural Hospital",AB59*'1. UC Assumptions'!$C$7/'1. UC Assumptions'!$E$7,(AB59/$AB$397)*('1. UC Assumptions'!$C$9)))</f>
        <v>63521542.191181131</v>
      </c>
      <c r="AD59" s="133">
        <f t="shared" si="5"/>
        <v>0</v>
      </c>
      <c r="AE59" s="133">
        <f t="shared" si="6"/>
        <v>71588817.842127681</v>
      </c>
      <c r="AF59" s="133">
        <f t="shared" si="7"/>
        <v>0</v>
      </c>
      <c r="AG59" s="133">
        <f t="shared" si="8"/>
        <v>71588817.842127681</v>
      </c>
      <c r="AH59" s="133">
        <f t="shared" si="9"/>
        <v>63521542.191181131</v>
      </c>
      <c r="AI59" s="131">
        <f>AH59*'1. UC Assumptions'!$C$23</f>
        <v>20962108.923089769</v>
      </c>
      <c r="AJ59" s="131">
        <v>56345972.350000001</v>
      </c>
      <c r="AK59" s="131">
        <f>AJ59*(1-'1. UC Assumptions'!$C$22)</f>
        <v>18594170.875499997</v>
      </c>
      <c r="AL59" s="131"/>
      <c r="AM59" s="131">
        <f>AL59*'1. UC Assumptions'!$C$23</f>
        <v>0</v>
      </c>
      <c r="AN59" s="153">
        <f t="shared" si="10"/>
        <v>135110360.0333088</v>
      </c>
      <c r="AO59" s="151">
        <f>AN59*'1. UC Assumptions'!$C$23</f>
        <v>44586418.810991898</v>
      </c>
      <c r="AP59" s="151">
        <f t="shared" si="11"/>
        <v>78764387.68330881</v>
      </c>
      <c r="AQ59" s="151">
        <f t="shared" si="12"/>
        <v>25992247.935491901</v>
      </c>
      <c r="AR59" s="151">
        <f t="shared" si="13"/>
        <v>25992247.935491901</v>
      </c>
      <c r="AS59" s="151">
        <f t="shared" si="14"/>
        <v>44586418.810991898</v>
      </c>
      <c r="AT59" s="151">
        <f>IF(K59="Bexar",(AG59/$AT$1)*'1. UC Assumptions'!$E$44-(AH59/$AT$2)*'1. UC Assumptions'!$E$42,0)</f>
        <v>0</v>
      </c>
      <c r="AU59" s="151">
        <f>IF(K59="Dallas",(AG59/$AU$1)*'1. UC Assumptions'!$F$44-(AH59/$AU$2)*'1. UC Assumptions'!$F$42,0)</f>
        <v>0</v>
      </c>
      <c r="AV59" s="151">
        <f>IF(K59="El Paso",(AG59/$AV$1)*'1. UC Assumptions'!$G$44-(AH59/$AV$2)*'1. UC Assumptions'!$G$42,0)</f>
        <v>0</v>
      </c>
      <c r="AW59" s="151">
        <f>IF(K59="Harris",(AG59/$AW$1)*'1. UC Assumptions'!$H$44-(AH59/$AW$2)*'1. UC Assumptions'!$H$42,0)</f>
        <v>0</v>
      </c>
      <c r="AX59" s="151">
        <f>IF(K59="Hidalgo",(AG59/$AX$1)*'1. UC Assumptions'!$I$44-(AH59/$AX$2)*'1. UC Assumptions'!$I$42,0)</f>
        <v>0</v>
      </c>
      <c r="AY59" s="151">
        <f>IF(K59="Jefferson",(AG59/$AY$1)*'1. UC Assumptions'!$J$44-(AH59/$AY$2)*'1. UC Assumptions'!$J$42,0)</f>
        <v>0</v>
      </c>
      <c r="AZ59" s="151">
        <f>IF(K59="Lubbock",(AG59/$AZ$1)*'1. UC Assumptions'!$K$44-(AH59/$AZ$2)*'1. UC Assumptions'!$K$42,0)</f>
        <v>0</v>
      </c>
      <c r="BA59" s="151">
        <f>IF(K59="MRSA Central",(AG59/$BA$1)*'1. UC Assumptions'!$L$44-(AH59/$BA$2)*'1. UC Assumptions'!$L$42,0)</f>
        <v>0</v>
      </c>
      <c r="BB59" s="151">
        <f>IF(K59="MRSA Northeast",(AG59/$BB$1)*'1. UC Assumptions'!$M$44-(AH59/$BB$2)*'1. UC Assumptions'!$M$42,0)</f>
        <v>0</v>
      </c>
      <c r="BC59" s="151">
        <f>IF(K59="MRSA West",(AG59/$BC$1)*'1. UC Assumptions'!$N$44-(AH59/$BC$2)*'1. UC Assumptions'!$N$42,0)</f>
        <v>0</v>
      </c>
      <c r="BD59" s="151">
        <f>IF(K59="Nueces",(AG59/$BD$1)*'1. UC Assumptions'!$O$44-(AH59/$BD$2)*'1. UC Assumptions'!$O$42,0)</f>
        <v>0</v>
      </c>
      <c r="BE59" s="151">
        <f>IF(K59="Tarrant",(AG59/$BE$1)*'1. UC Assumptions'!$P$44-(AH59/$BE$2)*'1. UC Assumptions'!$P$42,0)</f>
        <v>0</v>
      </c>
      <c r="BF59" s="151">
        <f>IF(K59="Travis",(AG59/$BF$1)*'1. UC Assumptions'!$Q$44-(AH59/$BF$2)*'1. UC Assumptions'!$Q$42,0)</f>
        <v>0</v>
      </c>
      <c r="BG59" s="151">
        <f t="shared" si="15"/>
        <v>0</v>
      </c>
      <c r="BH59" s="151">
        <f t="shared" si="16"/>
        <v>63521542.191181131</v>
      </c>
      <c r="BI59" s="151">
        <f>ROUNDDOWN(BH59*'1. UC Assumptions'!$C$23,2)</f>
        <v>20962108.920000002</v>
      </c>
      <c r="BJ59" s="154">
        <f t="shared" si="17"/>
        <v>7175569.8411811292</v>
      </c>
      <c r="BK59" s="154">
        <f t="shared" si="18"/>
        <v>2367938.0445000045</v>
      </c>
      <c r="BL59" s="154">
        <f t="shared" si="19"/>
        <v>6624630.2000000002</v>
      </c>
      <c r="BM59" s="154">
        <f t="shared" si="20"/>
        <v>2186127.96</v>
      </c>
      <c r="BN59" s="101"/>
      <c r="BO59" s="154">
        <f>(BL59*'1. UC Assumptions'!$C$23)-'3.  UC Calculations by Hospital'!BM59</f>
        <v>6.0000000521540642E-3</v>
      </c>
      <c r="BP59" s="13"/>
    </row>
    <row r="60" spans="2:68">
      <c r="B60" s="129" t="s">
        <v>355</v>
      </c>
      <c r="C60" s="91" t="s">
        <v>355</v>
      </c>
      <c r="D60" s="91" t="s">
        <v>214</v>
      </c>
      <c r="E60" s="91"/>
      <c r="F60" s="91"/>
      <c r="G60" s="91" t="s">
        <v>209</v>
      </c>
      <c r="H60" s="91" t="s">
        <v>209</v>
      </c>
      <c r="I60" s="150" t="s">
        <v>210</v>
      </c>
      <c r="J60" s="129" t="s">
        <v>356</v>
      </c>
      <c r="K60" s="91" t="s">
        <v>15</v>
      </c>
      <c r="L60" s="91" t="s">
        <v>15</v>
      </c>
      <c r="M60" s="151">
        <v>-7172959.2371133193</v>
      </c>
      <c r="N60" s="151">
        <v>30100598.007549204</v>
      </c>
      <c r="O60" s="131">
        <v>25478451.128753431</v>
      </c>
      <c r="P60" s="131">
        <f t="shared" si="0"/>
        <v>4622146.8787957728</v>
      </c>
      <c r="Q60" s="131">
        <v>32008078.387545537</v>
      </c>
      <c r="R60" s="131">
        <v>13850742.32</v>
      </c>
      <c r="S60" s="131">
        <f t="shared" si="1"/>
        <v>13850742.32</v>
      </c>
      <c r="T60" s="131">
        <f t="shared" si="2"/>
        <v>18157336.067545537</v>
      </c>
      <c r="U60" s="131">
        <v>681087</v>
      </c>
      <c r="V60" s="131">
        <v>0</v>
      </c>
      <c r="W60" s="131">
        <v>0</v>
      </c>
      <c r="X60" s="131">
        <v>0</v>
      </c>
      <c r="Y60" s="131">
        <v>8820453.2541296612</v>
      </c>
      <c r="Z60" s="131">
        <f t="shared" si="3"/>
        <v>9501540.2541296612</v>
      </c>
      <c r="AA60" s="131">
        <v>0</v>
      </c>
      <c r="AB60" s="152">
        <f t="shared" si="4"/>
        <v>27658876.321675196</v>
      </c>
      <c r="AC60" s="133">
        <f>IF(D60="Physician Group Practice",(AB60/$AB$393)*'1. UC Assumptions'!$C$15,IF(E60="Rural Hospital",AB60*'1. UC Assumptions'!$C$7/'1. UC Assumptions'!$E$7,(AB60/$AB$397)*('1. UC Assumptions'!$C$9)))</f>
        <v>13003699.189276189</v>
      </c>
      <c r="AD60" s="133">
        <f t="shared" si="5"/>
        <v>0</v>
      </c>
      <c r="AE60" s="133">
        <f t="shared" si="6"/>
        <v>14655177.132399008</v>
      </c>
      <c r="AF60" s="133">
        <f t="shared" si="7"/>
        <v>0</v>
      </c>
      <c r="AG60" s="133">
        <f t="shared" si="8"/>
        <v>14655177.132399008</v>
      </c>
      <c r="AH60" s="133">
        <f t="shared" si="9"/>
        <v>13003699.189276189</v>
      </c>
      <c r="AI60" s="131">
        <f>AH60*'1. UC Assumptions'!$C$23</f>
        <v>4291220.7324611414</v>
      </c>
      <c r="AJ60" s="131">
        <v>14657198.960000001</v>
      </c>
      <c r="AK60" s="131">
        <f>AJ60*(1-'1. UC Assumptions'!$C$22)</f>
        <v>4836875.6568</v>
      </c>
      <c r="AL60" s="131"/>
      <c r="AM60" s="131">
        <f>AL60*'1. UC Assumptions'!$C$23</f>
        <v>0</v>
      </c>
      <c r="AN60" s="153">
        <f t="shared" si="10"/>
        <v>27658876.321675196</v>
      </c>
      <c r="AO60" s="151">
        <f>AN60*'1. UC Assumptions'!$C$23</f>
        <v>9127429.186152814</v>
      </c>
      <c r="AP60" s="151">
        <f t="shared" si="11"/>
        <v>13001677.361675195</v>
      </c>
      <c r="AQ60" s="151">
        <f t="shared" si="12"/>
        <v>4290553.529352814</v>
      </c>
      <c r="AR60" s="151">
        <f t="shared" si="13"/>
        <v>4290553.529352814</v>
      </c>
      <c r="AS60" s="151">
        <f t="shared" si="14"/>
        <v>9127429.186152814</v>
      </c>
      <c r="AT60" s="151">
        <f>IF(K60="Bexar",(AG60/$AT$1)*'1. UC Assumptions'!$E$44-(AH60/$AT$2)*'1. UC Assumptions'!$E$42,0)</f>
        <v>0</v>
      </c>
      <c r="AU60" s="151">
        <f>IF(K60="Dallas",(AG60/$AU$1)*'1. UC Assumptions'!$F$44-(AH60/$AU$2)*'1. UC Assumptions'!$F$42,0)</f>
        <v>0</v>
      </c>
      <c r="AV60" s="151">
        <f>IF(K60="El Paso",(AG60/$AV$1)*'1. UC Assumptions'!$G$44-(AH60/$AV$2)*'1. UC Assumptions'!$G$42,0)</f>
        <v>0</v>
      </c>
      <c r="AW60" s="151">
        <f>IF(K60="Harris",(AG60/$AW$1)*'1. UC Assumptions'!$H$44-(AH60/$AW$2)*'1. UC Assumptions'!$H$42,0)</f>
        <v>0</v>
      </c>
      <c r="AX60" s="151">
        <f>IF(K60="Hidalgo",(AG60/$AX$1)*'1. UC Assumptions'!$I$44-(AH60/$AX$2)*'1. UC Assumptions'!$I$42,0)</f>
        <v>0</v>
      </c>
      <c r="AY60" s="151">
        <f>IF(K60="Jefferson",(AG60/$AY$1)*'1. UC Assumptions'!$J$44-(AH60/$AY$2)*'1. UC Assumptions'!$J$42,0)</f>
        <v>0</v>
      </c>
      <c r="AZ60" s="151">
        <f>IF(K60="Lubbock",(AG60/$AZ$1)*'1. UC Assumptions'!$K$44-(AH60/$AZ$2)*'1. UC Assumptions'!$K$42,0)</f>
        <v>0</v>
      </c>
      <c r="BA60" s="151">
        <f>IF(K60="MRSA Central",(AG60/$BA$1)*'1. UC Assumptions'!$L$44-(AH60/$BA$2)*'1. UC Assumptions'!$L$42,0)</f>
        <v>0</v>
      </c>
      <c r="BB60" s="151">
        <f>IF(K60="MRSA Northeast",(AG60/$BB$1)*'1. UC Assumptions'!$M$44-(AH60/$BB$2)*'1. UC Assumptions'!$M$42,0)</f>
        <v>0</v>
      </c>
      <c r="BC60" s="151">
        <f>IF(K60="MRSA West",(AG60/$BC$1)*'1. UC Assumptions'!$N$44-(AH60/$BC$2)*'1. UC Assumptions'!$N$42,0)</f>
        <v>0</v>
      </c>
      <c r="BD60" s="151">
        <f>IF(K60="Nueces",(AG60/$BD$1)*'1. UC Assumptions'!$O$44-(AH60/$BD$2)*'1. UC Assumptions'!$O$42,0)</f>
        <v>0</v>
      </c>
      <c r="BE60" s="151">
        <f>IF(K60="Tarrant",(AG60/$BE$1)*'1. UC Assumptions'!$P$44-(AH60/$BE$2)*'1. UC Assumptions'!$P$42,0)</f>
        <v>0</v>
      </c>
      <c r="BF60" s="151">
        <f>IF(K60="Travis",(AG60/$BF$1)*'1. UC Assumptions'!$Q$44-(AH60/$BF$2)*'1. UC Assumptions'!$Q$42,0)</f>
        <v>0</v>
      </c>
      <c r="BG60" s="151">
        <f t="shared" si="15"/>
        <v>0</v>
      </c>
      <c r="BH60" s="151">
        <f t="shared" si="16"/>
        <v>13003699.189276189</v>
      </c>
      <c r="BI60" s="151">
        <f>ROUNDDOWN(BH60*'1. UC Assumptions'!$C$23,2)</f>
        <v>4291220.7300000004</v>
      </c>
      <c r="BJ60" s="154">
        <f t="shared" si="17"/>
        <v>-1653499.7707238123</v>
      </c>
      <c r="BK60" s="154">
        <f t="shared" si="18"/>
        <v>-545654.92679999955</v>
      </c>
      <c r="BL60" s="154">
        <f t="shared" si="19"/>
        <v>0</v>
      </c>
      <c r="BM60" s="154">
        <f t="shared" si="20"/>
        <v>0</v>
      </c>
      <c r="BN60" s="101"/>
      <c r="BO60" s="154">
        <f>(BL60*'1. UC Assumptions'!$C$23)-'3.  UC Calculations by Hospital'!BM60</f>
        <v>0</v>
      </c>
      <c r="BP60" s="13"/>
    </row>
    <row r="61" spans="2:68">
      <c r="B61" s="129" t="s">
        <v>357</v>
      </c>
      <c r="C61" s="91" t="s">
        <v>357</v>
      </c>
      <c r="D61" s="91" t="s">
        <v>214</v>
      </c>
      <c r="E61" s="91" t="s">
        <v>149</v>
      </c>
      <c r="F61" s="91"/>
      <c r="G61" s="91" t="s">
        <v>209</v>
      </c>
      <c r="H61" s="91" t="s">
        <v>209</v>
      </c>
      <c r="I61" s="150" t="s">
        <v>210</v>
      </c>
      <c r="J61" s="129" t="s">
        <v>358</v>
      </c>
      <c r="K61" s="91" t="s">
        <v>11</v>
      </c>
      <c r="L61" s="91" t="s">
        <v>359</v>
      </c>
      <c r="M61" s="151">
        <v>-5501631.748537343</v>
      </c>
      <c r="N61" s="151">
        <v>4944521.3494662847</v>
      </c>
      <c r="O61" s="131">
        <v>2957176.7901779711</v>
      </c>
      <c r="P61" s="131">
        <f t="shared" si="0"/>
        <v>1987344.5592883136</v>
      </c>
      <c r="Q61" s="131">
        <v>4059665.3204570622</v>
      </c>
      <c r="R61" s="131">
        <v>0</v>
      </c>
      <c r="S61" s="131">
        <f t="shared" si="1"/>
        <v>0</v>
      </c>
      <c r="T61" s="131">
        <f t="shared" si="2"/>
        <v>4059665.3204570622</v>
      </c>
      <c r="U61" s="131">
        <v>522687</v>
      </c>
      <c r="V61" s="131">
        <v>0</v>
      </c>
      <c r="W61" s="131">
        <v>136637</v>
      </c>
      <c r="X61" s="131">
        <v>0</v>
      </c>
      <c r="Y61" s="131">
        <v>1024936.8410294619</v>
      </c>
      <c r="Z61" s="131">
        <f t="shared" si="3"/>
        <v>1684260.8410294619</v>
      </c>
      <c r="AA61" s="131">
        <v>0</v>
      </c>
      <c r="AB61" s="152">
        <f t="shared" si="4"/>
        <v>5743926.1614865242</v>
      </c>
      <c r="AC61" s="133">
        <f>IF(D61="Physician Group Practice",(AB61/$AB$393)*'1. UC Assumptions'!$C$15,IF(E61="Rural Hospital",AB61*'1. UC Assumptions'!$C$7/'1. UC Assumptions'!$E$7,(AB61/$AB$397)*('1. UC Assumptions'!$C$9)))</f>
        <v>5361584.7313435441</v>
      </c>
      <c r="AD61" s="133">
        <f t="shared" si="5"/>
        <v>0</v>
      </c>
      <c r="AE61" s="133">
        <f t="shared" si="6"/>
        <v>382341.43014298007</v>
      </c>
      <c r="AF61" s="133">
        <f t="shared" si="7"/>
        <v>0</v>
      </c>
      <c r="AG61" s="133">
        <f t="shared" si="8"/>
        <v>382341.43014298007</v>
      </c>
      <c r="AH61" s="133">
        <f t="shared" si="9"/>
        <v>5361584.7313435441</v>
      </c>
      <c r="AI61" s="131">
        <f>AH61*'1. UC Assumptions'!$C$23</f>
        <v>1769322.9613433694</v>
      </c>
      <c r="AJ61" s="131">
        <v>1240938.3799999999</v>
      </c>
      <c r="AK61" s="131">
        <f>AJ61*(1-'1. UC Assumptions'!$C$22)</f>
        <v>409509.66539999994</v>
      </c>
      <c r="AL61" s="131"/>
      <c r="AM61" s="131">
        <f>AL61*'1. UC Assumptions'!$C$23</f>
        <v>0</v>
      </c>
      <c r="AN61" s="153">
        <f t="shared" si="10"/>
        <v>5743926.1614865242</v>
      </c>
      <c r="AO61" s="151">
        <f>AN61*'1. UC Assumptions'!$C$23</f>
        <v>1895495.6332905528</v>
      </c>
      <c r="AP61" s="151">
        <f t="shared" si="11"/>
        <v>4502987.7814865243</v>
      </c>
      <c r="AQ61" s="151">
        <f t="shared" si="12"/>
        <v>1485985.9678905527</v>
      </c>
      <c r="AR61" s="151">
        <f t="shared" si="13"/>
        <v>1485985.9678905527</v>
      </c>
      <c r="AS61" s="151">
        <f t="shared" si="14"/>
        <v>1895495.6332905525</v>
      </c>
      <c r="AT61" s="151">
        <f>IF(K61="Bexar",(AG61/$AT$1)*'1. UC Assumptions'!$E$44-(AH61/$AT$2)*'1. UC Assumptions'!$E$42,0)</f>
        <v>0</v>
      </c>
      <c r="AU61" s="151">
        <f>IF(K61="Dallas",(AG61/$AU$1)*'1. UC Assumptions'!$F$44-(AH61/$AU$2)*'1. UC Assumptions'!$F$42,0)</f>
        <v>0</v>
      </c>
      <c r="AV61" s="151">
        <f>IF(K61="El Paso",(AG61/$AV$1)*'1. UC Assumptions'!$G$44-(AH61/$AV$2)*'1. UC Assumptions'!$G$42,0)</f>
        <v>0</v>
      </c>
      <c r="AW61" s="151">
        <f>IF(K61="Harris",(AG61/$AW$1)*'1. UC Assumptions'!$H$44-(AH61/$AW$2)*'1. UC Assumptions'!$H$42,0)</f>
        <v>0</v>
      </c>
      <c r="AX61" s="151">
        <f>IF(K61="Hidalgo",(AG61/$AX$1)*'1. UC Assumptions'!$I$44-(AH61/$AX$2)*'1. UC Assumptions'!$I$42,0)</f>
        <v>0</v>
      </c>
      <c r="AY61" s="151">
        <f>IF(K61="Jefferson",(AG61/$AY$1)*'1. UC Assumptions'!$J$44-(AH61/$AY$2)*'1. UC Assumptions'!$J$42,0)</f>
        <v>0</v>
      </c>
      <c r="AZ61" s="151">
        <f>IF(K61="Lubbock",(AG61/$AZ$1)*'1. UC Assumptions'!$K$44-(AH61/$AZ$2)*'1. UC Assumptions'!$K$42,0)</f>
        <v>0</v>
      </c>
      <c r="BA61" s="151">
        <f>IF(K61="MRSA Central",(AG61/$BA$1)*'1. UC Assumptions'!$L$44-(AH61/$BA$2)*'1. UC Assumptions'!$L$42,0)</f>
        <v>0</v>
      </c>
      <c r="BB61" s="151">
        <f>IF(K61="MRSA Northeast",(AG61/$BB$1)*'1. UC Assumptions'!$M$44-(AH61/$BB$2)*'1. UC Assumptions'!$M$42,0)</f>
        <v>0</v>
      </c>
      <c r="BC61" s="151">
        <f>IF(K61="MRSA West",(AG61/$BC$1)*'1. UC Assumptions'!$N$44-(AH61/$BC$2)*'1. UC Assumptions'!$N$42,0)</f>
        <v>0</v>
      </c>
      <c r="BD61" s="151">
        <f>IF(K61="Nueces",(AG61/$BD$1)*'1. UC Assumptions'!$O$44-(AH61/$BD$2)*'1. UC Assumptions'!$O$42,0)</f>
        <v>0</v>
      </c>
      <c r="BE61" s="151">
        <f>IF(K61="Tarrant",(AG61/$BE$1)*'1. UC Assumptions'!$P$44-(AH61/$BE$2)*'1. UC Assumptions'!$P$42,0)</f>
        <v>0</v>
      </c>
      <c r="BF61" s="151">
        <f>IF(K61="Travis",(AG61/$BF$1)*'1. UC Assumptions'!$Q$44-(AH61/$BF$2)*'1. UC Assumptions'!$Q$42,0)</f>
        <v>0</v>
      </c>
      <c r="BG61" s="151">
        <f t="shared" si="15"/>
        <v>0</v>
      </c>
      <c r="BH61" s="151">
        <f t="shared" si="16"/>
        <v>5361584.7313435441</v>
      </c>
      <c r="BI61" s="151">
        <f>ROUNDDOWN(BH61*'1. UC Assumptions'!$C$23,2)</f>
        <v>1769322.96</v>
      </c>
      <c r="BJ61" s="154">
        <f t="shared" si="17"/>
        <v>4120646.3513435442</v>
      </c>
      <c r="BK61" s="154">
        <f t="shared" si="18"/>
        <v>1359813.2946000001</v>
      </c>
      <c r="BL61" s="154">
        <f t="shared" si="19"/>
        <v>3804263.48</v>
      </c>
      <c r="BM61" s="154">
        <f t="shared" si="20"/>
        <v>1255406.94</v>
      </c>
      <c r="BN61" s="101"/>
      <c r="BO61" s="154">
        <f>(BL61*'1. UC Assumptions'!$C$23)-'3.  UC Calculations by Hospital'!BM61</f>
        <v>8.3999999333173037E-3</v>
      </c>
      <c r="BP61" s="13"/>
    </row>
    <row r="62" spans="2:68">
      <c r="B62" s="129" t="s">
        <v>360</v>
      </c>
      <c r="C62" s="91" t="s">
        <v>360</v>
      </c>
      <c r="D62" s="91" t="s">
        <v>208</v>
      </c>
      <c r="E62" s="91" t="s">
        <v>149</v>
      </c>
      <c r="F62" s="91"/>
      <c r="G62" s="91" t="s">
        <v>209</v>
      </c>
      <c r="H62" s="91" t="s">
        <v>209</v>
      </c>
      <c r="I62" s="150" t="s">
        <v>210</v>
      </c>
      <c r="J62" s="129" t="s">
        <v>361</v>
      </c>
      <c r="K62" s="91" t="s">
        <v>12</v>
      </c>
      <c r="L62" s="91" t="s">
        <v>362</v>
      </c>
      <c r="M62" s="151">
        <v>396502.43849735678</v>
      </c>
      <c r="N62" s="151">
        <v>0</v>
      </c>
      <c r="O62" s="131">
        <v>0</v>
      </c>
      <c r="P62" s="131">
        <f t="shared" si="0"/>
        <v>0</v>
      </c>
      <c r="Q62" s="131">
        <v>1224072.2883234047</v>
      </c>
      <c r="R62" s="131">
        <v>0</v>
      </c>
      <c r="S62" s="131">
        <f t="shared" si="1"/>
        <v>0</v>
      </c>
      <c r="T62" s="131">
        <f t="shared" si="2"/>
        <v>1224072.2883234047</v>
      </c>
      <c r="U62" s="131">
        <v>0</v>
      </c>
      <c r="V62" s="131">
        <v>0</v>
      </c>
      <c r="W62" s="131">
        <v>0</v>
      </c>
      <c r="X62" s="131">
        <v>0</v>
      </c>
      <c r="Y62" s="131">
        <v>0</v>
      </c>
      <c r="Z62" s="131">
        <f t="shared" si="3"/>
        <v>0</v>
      </c>
      <c r="AA62" s="131">
        <v>0</v>
      </c>
      <c r="AB62" s="152">
        <f t="shared" si="4"/>
        <v>1224072.2883234047</v>
      </c>
      <c r="AC62" s="133">
        <f>IF(D62="Physician Group Practice",(AB62/$AB$393)*'1. UC Assumptions'!$C$15,IF(E62="Rural Hospital",AB62*'1. UC Assumptions'!$C$7/'1. UC Assumptions'!$E$7,(AB62/$AB$397)*('1. UC Assumptions'!$C$9)))</f>
        <v>1142592.5589261106</v>
      </c>
      <c r="AD62" s="133">
        <f t="shared" si="5"/>
        <v>0</v>
      </c>
      <c r="AE62" s="133">
        <f t="shared" si="6"/>
        <v>81479.729397294112</v>
      </c>
      <c r="AF62" s="133">
        <f t="shared" si="7"/>
        <v>0</v>
      </c>
      <c r="AG62" s="133">
        <f t="shared" si="8"/>
        <v>81479.729397294112</v>
      </c>
      <c r="AH62" s="133">
        <f t="shared" si="9"/>
        <v>1142592.5589261106</v>
      </c>
      <c r="AI62" s="131">
        <f>AH62*'1. UC Assumptions'!$C$23</f>
        <v>377055.54444561648</v>
      </c>
      <c r="AJ62" s="131">
        <v>571150.93000000005</v>
      </c>
      <c r="AK62" s="131">
        <f>AJ62*(1-'1. UC Assumptions'!$C$22)</f>
        <v>188479.8069</v>
      </c>
      <c r="AL62" s="131"/>
      <c r="AM62" s="131">
        <f>AL62*'1. UC Assumptions'!$C$23</f>
        <v>0</v>
      </c>
      <c r="AN62" s="153">
        <f t="shared" si="10"/>
        <v>1224072.2883234047</v>
      </c>
      <c r="AO62" s="151">
        <f>AN62*'1. UC Assumptions'!$C$23</f>
        <v>403943.85514672351</v>
      </c>
      <c r="AP62" s="151">
        <f t="shared" si="11"/>
        <v>652921.35832340468</v>
      </c>
      <c r="AQ62" s="151">
        <f t="shared" si="12"/>
        <v>215464.04824672351</v>
      </c>
      <c r="AR62" s="151">
        <f t="shared" si="13"/>
        <v>215464.04824672351</v>
      </c>
      <c r="AS62" s="151">
        <f t="shared" si="14"/>
        <v>403943.85514672351</v>
      </c>
      <c r="AT62" s="151">
        <f>IF(K62="Bexar",(AG62/$AT$1)*'1. UC Assumptions'!$E$44-(AH62/$AT$2)*'1. UC Assumptions'!$E$42,0)</f>
        <v>0</v>
      </c>
      <c r="AU62" s="151">
        <f>IF(K62="Dallas",(AG62/$AU$1)*'1. UC Assumptions'!$F$44-(AH62/$AU$2)*'1. UC Assumptions'!$F$42,0)</f>
        <v>0</v>
      </c>
      <c r="AV62" s="151">
        <f>IF(K62="El Paso",(AG62/$AV$1)*'1. UC Assumptions'!$G$44-(AH62/$AV$2)*'1. UC Assumptions'!$G$42,0)</f>
        <v>0</v>
      </c>
      <c r="AW62" s="151">
        <f>IF(K62="Harris",(AG62/$AW$1)*'1. UC Assumptions'!$H$44-(AH62/$AW$2)*'1. UC Assumptions'!$H$42,0)</f>
        <v>0</v>
      </c>
      <c r="AX62" s="151">
        <f>IF(K62="Hidalgo",(AG62/$AX$1)*'1. UC Assumptions'!$I$44-(AH62/$AX$2)*'1. UC Assumptions'!$I$42,0)</f>
        <v>0</v>
      </c>
      <c r="AY62" s="151">
        <f>IF(K62="Jefferson",(AG62/$AY$1)*'1. UC Assumptions'!$J$44-(AH62/$AY$2)*'1. UC Assumptions'!$J$42,0)</f>
        <v>0</v>
      </c>
      <c r="AZ62" s="151">
        <f>IF(K62="Lubbock",(AG62/$AZ$1)*'1. UC Assumptions'!$K$44-(AH62/$AZ$2)*'1. UC Assumptions'!$K$42,0)</f>
        <v>0</v>
      </c>
      <c r="BA62" s="151">
        <f>IF(K62="MRSA Central",(AG62/$BA$1)*'1. UC Assumptions'!$L$44-(AH62/$BA$2)*'1. UC Assumptions'!$L$42,0)</f>
        <v>0</v>
      </c>
      <c r="BB62" s="151">
        <f>IF(K62="MRSA Northeast",(AG62/$BB$1)*'1. UC Assumptions'!$M$44-(AH62/$BB$2)*'1. UC Assumptions'!$M$42,0)</f>
        <v>0</v>
      </c>
      <c r="BC62" s="151">
        <f>IF(K62="MRSA West",(AG62/$BC$1)*'1. UC Assumptions'!$N$44-(AH62/$BC$2)*'1. UC Assumptions'!$N$42,0)</f>
        <v>0</v>
      </c>
      <c r="BD62" s="151">
        <f>IF(K62="Nueces",(AG62/$BD$1)*'1. UC Assumptions'!$O$44-(AH62/$BD$2)*'1. UC Assumptions'!$O$42,0)</f>
        <v>0</v>
      </c>
      <c r="BE62" s="151">
        <f>IF(K62="Tarrant",(AG62/$BE$1)*'1. UC Assumptions'!$P$44-(AH62/$BE$2)*'1. UC Assumptions'!$P$42,0)</f>
        <v>0</v>
      </c>
      <c r="BF62" s="151">
        <f>IF(K62="Travis",(AG62/$BF$1)*'1. UC Assumptions'!$Q$44-(AH62/$BF$2)*'1. UC Assumptions'!$Q$42,0)</f>
        <v>0</v>
      </c>
      <c r="BG62" s="151">
        <f t="shared" si="15"/>
        <v>0</v>
      </c>
      <c r="BH62" s="151">
        <f t="shared" si="16"/>
        <v>1142592.5589261106</v>
      </c>
      <c r="BI62" s="151">
        <f>ROUNDDOWN(BH62*'1. UC Assumptions'!$C$23,2)</f>
        <v>377055.54</v>
      </c>
      <c r="BJ62" s="154">
        <f t="shared" si="17"/>
        <v>571441.62892611057</v>
      </c>
      <c r="BK62" s="154">
        <f t="shared" si="18"/>
        <v>188575.73309999998</v>
      </c>
      <c r="BL62" s="154">
        <f t="shared" si="19"/>
        <v>527566.39</v>
      </c>
      <c r="BM62" s="154">
        <f t="shared" si="20"/>
        <v>174096.9</v>
      </c>
      <c r="BN62" s="101"/>
      <c r="BO62" s="154">
        <f>(BL62*'1. UC Assumptions'!$C$23)-'3.  UC Calculations by Hospital'!BM62</f>
        <v>8.6999999766703695E-3</v>
      </c>
      <c r="BP62" s="13"/>
    </row>
    <row r="63" spans="2:68">
      <c r="B63" s="129" t="s">
        <v>363</v>
      </c>
      <c r="C63" s="91" t="s">
        <v>363</v>
      </c>
      <c r="D63" s="91" t="s">
        <v>214</v>
      </c>
      <c r="E63" s="91" t="s">
        <v>149</v>
      </c>
      <c r="F63" s="91"/>
      <c r="G63" s="91" t="s">
        <v>209</v>
      </c>
      <c r="H63" s="91" t="s">
        <v>209</v>
      </c>
      <c r="I63" s="150" t="s">
        <v>210</v>
      </c>
      <c r="J63" s="129" t="s">
        <v>364</v>
      </c>
      <c r="K63" s="91" t="s">
        <v>14</v>
      </c>
      <c r="L63" s="91" t="s">
        <v>365</v>
      </c>
      <c r="M63" s="151">
        <v>-7173732.7450455306</v>
      </c>
      <c r="N63" s="151">
        <v>6699453.1172150746</v>
      </c>
      <c r="O63" s="131">
        <v>4395050.0027811332</v>
      </c>
      <c r="P63" s="131">
        <f t="shared" si="0"/>
        <v>2304403.1144339414</v>
      </c>
      <c r="Q63" s="131">
        <v>5107787.7854169598</v>
      </c>
      <c r="R63" s="131">
        <v>0</v>
      </c>
      <c r="S63" s="131">
        <f t="shared" si="1"/>
        <v>0</v>
      </c>
      <c r="T63" s="131">
        <f t="shared" si="2"/>
        <v>5107787.7854169598</v>
      </c>
      <c r="U63" s="131">
        <v>2108786</v>
      </c>
      <c r="V63" s="131">
        <v>0</v>
      </c>
      <c r="W63" s="131">
        <v>707075</v>
      </c>
      <c r="X63" s="131">
        <v>0</v>
      </c>
      <c r="Y63" s="131">
        <v>2343590.8958777934</v>
      </c>
      <c r="Z63" s="131">
        <f t="shared" si="3"/>
        <v>5159451.8958777934</v>
      </c>
      <c r="AA63" s="131">
        <v>0</v>
      </c>
      <c r="AB63" s="152">
        <f t="shared" si="4"/>
        <v>10267239.681294754</v>
      </c>
      <c r="AC63" s="133">
        <f>IF(D63="Physician Group Practice",(AB63/$AB$393)*'1. UC Assumptions'!$C$15,IF(E63="Rural Hospital",AB63*'1. UC Assumptions'!$C$7/'1. UC Assumptions'!$E$7,(AB63/$AB$397)*('1. UC Assumptions'!$C$9)))</f>
        <v>9583806.2608430106</v>
      </c>
      <c r="AD63" s="133">
        <f t="shared" si="5"/>
        <v>0</v>
      </c>
      <c r="AE63" s="133">
        <f t="shared" si="6"/>
        <v>683433.42045174353</v>
      </c>
      <c r="AF63" s="133">
        <f t="shared" si="7"/>
        <v>0</v>
      </c>
      <c r="AG63" s="133">
        <f t="shared" si="8"/>
        <v>683433.42045174353</v>
      </c>
      <c r="AH63" s="133">
        <f t="shared" si="9"/>
        <v>9583806.2608430106</v>
      </c>
      <c r="AI63" s="131">
        <f>AH63*'1. UC Assumptions'!$C$23</f>
        <v>3162656.066078193</v>
      </c>
      <c r="AJ63" s="131">
        <v>3359413.56</v>
      </c>
      <c r="AK63" s="131">
        <f>AJ63*(1-'1. UC Assumptions'!$C$22)</f>
        <v>1108606.4748</v>
      </c>
      <c r="AL63" s="131"/>
      <c r="AM63" s="131">
        <f>AL63*'1. UC Assumptions'!$C$23</f>
        <v>0</v>
      </c>
      <c r="AN63" s="153">
        <f t="shared" si="10"/>
        <v>10267239.681294754</v>
      </c>
      <c r="AO63" s="151">
        <f>AN63*'1. UC Assumptions'!$C$23</f>
        <v>3388189.0948272683</v>
      </c>
      <c r="AP63" s="151">
        <f t="shared" si="11"/>
        <v>6907826.1212947536</v>
      </c>
      <c r="AQ63" s="151">
        <f t="shared" si="12"/>
        <v>2279582.6200272683</v>
      </c>
      <c r="AR63" s="151">
        <f t="shared" si="13"/>
        <v>2279582.6200272683</v>
      </c>
      <c r="AS63" s="151">
        <f t="shared" si="14"/>
        <v>3388189.0948272683</v>
      </c>
      <c r="AT63" s="151">
        <f>IF(K63="Bexar",(AG63/$AT$1)*'1. UC Assumptions'!$E$44-(AH63/$AT$2)*'1. UC Assumptions'!$E$42,0)</f>
        <v>0</v>
      </c>
      <c r="AU63" s="151">
        <f>IF(K63="Dallas",(AG63/$AU$1)*'1. UC Assumptions'!$F$44-(AH63/$AU$2)*'1. UC Assumptions'!$F$42,0)</f>
        <v>0</v>
      </c>
      <c r="AV63" s="151">
        <f>IF(K63="El Paso",(AG63/$AV$1)*'1. UC Assumptions'!$G$44-(AH63/$AV$2)*'1. UC Assumptions'!$G$42,0)</f>
        <v>0</v>
      </c>
      <c r="AW63" s="151">
        <f>IF(K63="Harris",(AG63/$AW$1)*'1. UC Assumptions'!$H$44-(AH63/$AW$2)*'1. UC Assumptions'!$H$42,0)</f>
        <v>0</v>
      </c>
      <c r="AX63" s="151">
        <f>IF(K63="Hidalgo",(AG63/$AX$1)*'1. UC Assumptions'!$I$44-(AH63/$AX$2)*'1. UC Assumptions'!$I$42,0)</f>
        <v>0</v>
      </c>
      <c r="AY63" s="151">
        <f>IF(K63="Jefferson",(AG63/$AY$1)*'1. UC Assumptions'!$J$44-(AH63/$AY$2)*'1. UC Assumptions'!$J$42,0)</f>
        <v>0</v>
      </c>
      <c r="AZ63" s="151">
        <f>IF(K63="Lubbock",(AG63/$AZ$1)*'1. UC Assumptions'!$K$44-(AH63/$AZ$2)*'1. UC Assumptions'!$K$42,0)</f>
        <v>0</v>
      </c>
      <c r="BA63" s="151">
        <f>IF(K63="MRSA Central",(AG63/$BA$1)*'1. UC Assumptions'!$L$44-(AH63/$BA$2)*'1. UC Assumptions'!$L$42,0)</f>
        <v>0</v>
      </c>
      <c r="BB63" s="151">
        <f>IF(K63="MRSA Northeast",(AG63/$BB$1)*'1. UC Assumptions'!$M$44-(AH63/$BB$2)*'1. UC Assumptions'!$M$42,0)</f>
        <v>0</v>
      </c>
      <c r="BC63" s="151">
        <f>IF(K63="MRSA West",(AG63/$BC$1)*'1. UC Assumptions'!$N$44-(AH63/$BC$2)*'1. UC Assumptions'!$N$42,0)</f>
        <v>0</v>
      </c>
      <c r="BD63" s="151">
        <f>IF(K63="Nueces",(AG63/$BD$1)*'1. UC Assumptions'!$O$44-(AH63/$BD$2)*'1. UC Assumptions'!$O$42,0)</f>
        <v>0</v>
      </c>
      <c r="BE63" s="151">
        <f>IF(K63="Tarrant",(AG63/$BE$1)*'1. UC Assumptions'!$P$44-(AH63/$BE$2)*'1. UC Assumptions'!$P$42,0)</f>
        <v>0</v>
      </c>
      <c r="BF63" s="151">
        <f>IF(K63="Travis",(AG63/$BF$1)*'1. UC Assumptions'!$Q$44-(AH63/$BF$2)*'1. UC Assumptions'!$Q$42,0)</f>
        <v>0</v>
      </c>
      <c r="BG63" s="151">
        <f t="shared" si="15"/>
        <v>0</v>
      </c>
      <c r="BH63" s="151">
        <f t="shared" si="16"/>
        <v>9583806.2608430106</v>
      </c>
      <c r="BI63" s="151">
        <f>ROUNDDOWN(BH63*'1. UC Assumptions'!$C$23,2)</f>
        <v>3162656.06</v>
      </c>
      <c r="BJ63" s="154">
        <f t="shared" si="17"/>
        <v>6224392.7008430101</v>
      </c>
      <c r="BK63" s="154">
        <f t="shared" si="18"/>
        <v>2054049.5852000001</v>
      </c>
      <c r="BL63" s="154">
        <f t="shared" si="19"/>
        <v>5746484.3600000003</v>
      </c>
      <c r="BM63" s="154">
        <f t="shared" si="20"/>
        <v>1896339.83</v>
      </c>
      <c r="BN63" s="101"/>
      <c r="BO63" s="154">
        <f>(BL63*'1. UC Assumptions'!$C$23)-'3.  UC Calculations by Hospital'!BM63</f>
        <v>8.7999997194856405E-3</v>
      </c>
      <c r="BP63" s="13"/>
    </row>
    <row r="64" spans="2:68">
      <c r="B64" s="129" t="s">
        <v>366</v>
      </c>
      <c r="C64" s="91" t="s">
        <v>366</v>
      </c>
      <c r="D64" s="91" t="s">
        <v>208</v>
      </c>
      <c r="E64" s="91" t="s">
        <v>149</v>
      </c>
      <c r="F64" s="91"/>
      <c r="G64" s="91" t="s">
        <v>209</v>
      </c>
      <c r="H64" s="91" t="s">
        <v>209</v>
      </c>
      <c r="I64" s="150" t="s">
        <v>210</v>
      </c>
      <c r="J64" s="129" t="s">
        <v>367</v>
      </c>
      <c r="K64" s="91" t="s">
        <v>9</v>
      </c>
      <c r="L64" s="91" t="s">
        <v>368</v>
      </c>
      <c r="M64" s="151">
        <v>327238.12223280646</v>
      </c>
      <c r="N64" s="151">
        <v>0</v>
      </c>
      <c r="O64" s="131">
        <v>0</v>
      </c>
      <c r="P64" s="131">
        <f t="shared" si="0"/>
        <v>0</v>
      </c>
      <c r="Q64" s="131">
        <v>575619.64113776642</v>
      </c>
      <c r="R64" s="131">
        <v>0</v>
      </c>
      <c r="S64" s="131">
        <f t="shared" si="1"/>
        <v>0</v>
      </c>
      <c r="T64" s="131">
        <f t="shared" si="2"/>
        <v>575619.64113776642</v>
      </c>
      <c r="U64" s="131">
        <v>0</v>
      </c>
      <c r="V64" s="131">
        <v>0</v>
      </c>
      <c r="W64" s="131">
        <v>0</v>
      </c>
      <c r="X64" s="131">
        <v>0</v>
      </c>
      <c r="Y64" s="131">
        <v>0</v>
      </c>
      <c r="Z64" s="131">
        <f t="shared" si="3"/>
        <v>0</v>
      </c>
      <c r="AA64" s="131">
        <v>0</v>
      </c>
      <c r="AB64" s="152">
        <f t="shared" si="4"/>
        <v>575619.64113776642</v>
      </c>
      <c r="AC64" s="133">
        <f>IF(D64="Physician Group Practice",(AB64/$AB$393)*'1. UC Assumptions'!$C$15,IF(E64="Rural Hospital",AB64*'1. UC Assumptions'!$C$7/'1. UC Assumptions'!$E$7,(AB64/$AB$397)*('1. UC Assumptions'!$C$9)))</f>
        <v>537303.82184909272</v>
      </c>
      <c r="AD64" s="133">
        <f t="shared" si="5"/>
        <v>0</v>
      </c>
      <c r="AE64" s="133">
        <f t="shared" si="6"/>
        <v>38315.819288673694</v>
      </c>
      <c r="AF64" s="133">
        <f t="shared" si="7"/>
        <v>0</v>
      </c>
      <c r="AG64" s="133">
        <f t="shared" si="8"/>
        <v>38315.819288673694</v>
      </c>
      <c r="AH64" s="133">
        <f t="shared" si="9"/>
        <v>537303.82184909272</v>
      </c>
      <c r="AI64" s="131">
        <f>AH64*'1. UC Assumptions'!$C$23</f>
        <v>177310.26121020058</v>
      </c>
      <c r="AJ64" s="131">
        <v>158640.29999999999</v>
      </c>
      <c r="AK64" s="131">
        <f>AJ64*(1-'1. UC Assumptions'!$C$22)</f>
        <v>52351.298999999992</v>
      </c>
      <c r="AL64" s="131"/>
      <c r="AM64" s="131">
        <f>AL64*'1. UC Assumptions'!$C$23</f>
        <v>0</v>
      </c>
      <c r="AN64" s="153">
        <f t="shared" si="10"/>
        <v>575619.64113776642</v>
      </c>
      <c r="AO64" s="151">
        <f>AN64*'1. UC Assumptions'!$C$23</f>
        <v>189954.48157546291</v>
      </c>
      <c r="AP64" s="151">
        <f t="shared" si="11"/>
        <v>416979.34113776643</v>
      </c>
      <c r="AQ64" s="151">
        <f t="shared" si="12"/>
        <v>137603.18257546291</v>
      </c>
      <c r="AR64" s="151">
        <f t="shared" si="13"/>
        <v>137603.18257546291</v>
      </c>
      <c r="AS64" s="151">
        <f t="shared" si="14"/>
        <v>189954.48157546291</v>
      </c>
      <c r="AT64" s="151">
        <f>IF(K64="Bexar",(AG64/$AT$1)*'1. UC Assumptions'!$E$44-(AH64/$AT$2)*'1. UC Assumptions'!$E$42,0)</f>
        <v>0</v>
      </c>
      <c r="AU64" s="151">
        <f>IF(K64="Dallas",(AG64/$AU$1)*'1. UC Assumptions'!$F$44-(AH64/$AU$2)*'1. UC Assumptions'!$F$42,0)</f>
        <v>0</v>
      </c>
      <c r="AV64" s="151">
        <f>IF(K64="El Paso",(AG64/$AV$1)*'1. UC Assumptions'!$G$44-(AH64/$AV$2)*'1. UC Assumptions'!$G$42,0)</f>
        <v>0</v>
      </c>
      <c r="AW64" s="151">
        <f>IF(K64="Harris",(AG64/$AW$1)*'1. UC Assumptions'!$H$44-(AH64/$AW$2)*'1. UC Assumptions'!$H$42,0)</f>
        <v>0</v>
      </c>
      <c r="AX64" s="151">
        <f>IF(K64="Hidalgo",(AG64/$AX$1)*'1. UC Assumptions'!$I$44-(AH64/$AX$2)*'1. UC Assumptions'!$I$42,0)</f>
        <v>0</v>
      </c>
      <c r="AY64" s="151">
        <f>IF(K64="Jefferson",(AG64/$AY$1)*'1. UC Assumptions'!$J$44-(AH64/$AY$2)*'1. UC Assumptions'!$J$42,0)</f>
        <v>0</v>
      </c>
      <c r="AZ64" s="151">
        <f>IF(K64="Lubbock",(AG64/$AZ$1)*'1. UC Assumptions'!$K$44-(AH64/$AZ$2)*'1. UC Assumptions'!$K$42,0)</f>
        <v>0</v>
      </c>
      <c r="BA64" s="151">
        <f>IF(K64="MRSA Central",(AG64/$BA$1)*'1. UC Assumptions'!$L$44-(AH64/$BA$2)*'1. UC Assumptions'!$L$42,0)</f>
        <v>0</v>
      </c>
      <c r="BB64" s="151">
        <f>IF(K64="MRSA Northeast",(AG64/$BB$1)*'1. UC Assumptions'!$M$44-(AH64/$BB$2)*'1. UC Assumptions'!$M$42,0)</f>
        <v>0</v>
      </c>
      <c r="BC64" s="151">
        <f>IF(K64="MRSA West",(AG64/$BC$1)*'1. UC Assumptions'!$N$44-(AH64/$BC$2)*'1. UC Assumptions'!$N$42,0)</f>
        <v>0</v>
      </c>
      <c r="BD64" s="151">
        <f>IF(K64="Nueces",(AG64/$BD$1)*'1. UC Assumptions'!$O$44-(AH64/$BD$2)*'1. UC Assumptions'!$O$42,0)</f>
        <v>0</v>
      </c>
      <c r="BE64" s="151">
        <f>IF(K64="Tarrant",(AG64/$BE$1)*'1. UC Assumptions'!$P$44-(AH64/$BE$2)*'1. UC Assumptions'!$P$42,0)</f>
        <v>0</v>
      </c>
      <c r="BF64" s="151">
        <f>IF(K64="Travis",(AG64/$BF$1)*'1. UC Assumptions'!$Q$44-(AH64/$BF$2)*'1. UC Assumptions'!$Q$42,0)</f>
        <v>0</v>
      </c>
      <c r="BG64" s="151">
        <f t="shared" si="15"/>
        <v>0</v>
      </c>
      <c r="BH64" s="151">
        <f t="shared" si="16"/>
        <v>537303.82184909272</v>
      </c>
      <c r="BI64" s="151">
        <f>ROUNDDOWN(BH64*'1. UC Assumptions'!$C$23,2)</f>
        <v>177310.26</v>
      </c>
      <c r="BJ64" s="154">
        <f t="shared" si="17"/>
        <v>378663.52184909274</v>
      </c>
      <c r="BK64" s="154">
        <f t="shared" si="18"/>
        <v>124958.96100000001</v>
      </c>
      <c r="BL64" s="154">
        <f t="shared" si="19"/>
        <v>349589.77</v>
      </c>
      <c r="BM64" s="154">
        <f t="shared" si="20"/>
        <v>115364.62</v>
      </c>
      <c r="BN64" s="101"/>
      <c r="BO64" s="154">
        <f>(BL64*'1. UC Assumptions'!$C$23)-'3.  UC Calculations by Hospital'!BM64</f>
        <v>4.0999999910127372E-3</v>
      </c>
      <c r="BP64" s="13"/>
    </row>
    <row r="65" spans="2:68">
      <c r="B65" s="129" t="s">
        <v>369</v>
      </c>
      <c r="C65" s="91" t="s">
        <v>369</v>
      </c>
      <c r="D65" s="91" t="s">
        <v>214</v>
      </c>
      <c r="E65" s="91"/>
      <c r="F65" s="91"/>
      <c r="G65" s="91" t="s">
        <v>209</v>
      </c>
      <c r="H65" s="91" t="s">
        <v>209</v>
      </c>
      <c r="I65" s="150" t="s">
        <v>210</v>
      </c>
      <c r="J65" s="129" t="s">
        <v>370</v>
      </c>
      <c r="K65" s="91" t="s">
        <v>7</v>
      </c>
      <c r="L65" s="91" t="s">
        <v>371</v>
      </c>
      <c r="M65" s="151">
        <v>358337.89332143479</v>
      </c>
      <c r="N65" s="151">
        <v>14208557.065558534</v>
      </c>
      <c r="O65" s="131">
        <v>6986220.8177904738</v>
      </c>
      <c r="P65" s="131">
        <f t="shared" si="0"/>
        <v>7222336.2477680603</v>
      </c>
      <c r="Q65" s="131">
        <v>9369683.6952667851</v>
      </c>
      <c r="R65" s="131">
        <v>5007663.3599999994</v>
      </c>
      <c r="S65" s="131">
        <f t="shared" si="1"/>
        <v>0</v>
      </c>
      <c r="T65" s="131">
        <f t="shared" si="2"/>
        <v>9369683.6952667851</v>
      </c>
      <c r="U65" s="131">
        <v>8086</v>
      </c>
      <c r="V65" s="131">
        <v>0</v>
      </c>
      <c r="W65" s="131">
        <v>0</v>
      </c>
      <c r="X65" s="131">
        <v>0</v>
      </c>
      <c r="Y65" s="131">
        <v>754758.60491996468</v>
      </c>
      <c r="Z65" s="131">
        <f t="shared" si="3"/>
        <v>762844.60491996468</v>
      </c>
      <c r="AA65" s="131">
        <v>0</v>
      </c>
      <c r="AB65" s="152">
        <f t="shared" si="4"/>
        <v>10132528.30018675</v>
      </c>
      <c r="AC65" s="133">
        <f>IF(D65="Physician Group Practice",(AB65/$AB$393)*'1. UC Assumptions'!$C$15,IF(E65="Rural Hospital",AB65*'1. UC Assumptions'!$C$7/'1. UC Assumptions'!$E$7,(AB65/$AB$397)*('1. UC Assumptions'!$C$9)))</f>
        <v>4763763.6652361378</v>
      </c>
      <c r="AD65" s="133">
        <f t="shared" si="5"/>
        <v>0</v>
      </c>
      <c r="AE65" s="133">
        <f t="shared" si="6"/>
        <v>5368764.6349506117</v>
      </c>
      <c r="AF65" s="133">
        <f t="shared" si="7"/>
        <v>0</v>
      </c>
      <c r="AG65" s="133">
        <f t="shared" si="8"/>
        <v>5368764.6349506117</v>
      </c>
      <c r="AH65" s="133">
        <f t="shared" si="9"/>
        <v>4763763.6652361378</v>
      </c>
      <c r="AI65" s="131">
        <f>AH65*'1. UC Assumptions'!$C$23</f>
        <v>1572042.0095279254</v>
      </c>
      <c r="AJ65" s="131">
        <v>4756777.3099999996</v>
      </c>
      <c r="AK65" s="131">
        <f>AJ65*(1-'1. UC Assumptions'!$C$22)</f>
        <v>1569736.5122999996</v>
      </c>
      <c r="AL65" s="131"/>
      <c r="AM65" s="131">
        <f>AL65*'1. UC Assumptions'!$C$23</f>
        <v>0</v>
      </c>
      <c r="AN65" s="153">
        <f t="shared" si="10"/>
        <v>10132528.30018675</v>
      </c>
      <c r="AO65" s="151">
        <f>AN65*'1. UC Assumptions'!$C$23</f>
        <v>3343734.3390616272</v>
      </c>
      <c r="AP65" s="151">
        <f t="shared" si="11"/>
        <v>5375750.99018675</v>
      </c>
      <c r="AQ65" s="151">
        <f t="shared" si="12"/>
        <v>1773997.8267616276</v>
      </c>
      <c r="AR65" s="151">
        <f t="shared" si="13"/>
        <v>1773997.8267616276</v>
      </c>
      <c r="AS65" s="151">
        <f t="shared" si="14"/>
        <v>3343734.3390616272</v>
      </c>
      <c r="AT65" s="151">
        <f>IF(K65="Bexar",(AG65/$AT$1)*'1. UC Assumptions'!$E$44-(AH65/$AT$2)*'1. UC Assumptions'!$E$42,0)</f>
        <v>0</v>
      </c>
      <c r="AU65" s="151">
        <f>IF(K65="Dallas",(AG65/$AU$1)*'1. UC Assumptions'!$F$44-(AH65/$AU$2)*'1. UC Assumptions'!$F$42,0)</f>
        <v>0</v>
      </c>
      <c r="AV65" s="151">
        <f>IF(K65="El Paso",(AG65/$AV$1)*'1. UC Assumptions'!$G$44-(AH65/$AV$2)*'1. UC Assumptions'!$G$42,0)</f>
        <v>0</v>
      </c>
      <c r="AW65" s="151">
        <f>IF(K65="Harris",(AG65/$AW$1)*'1. UC Assumptions'!$H$44-(AH65/$AW$2)*'1. UC Assumptions'!$H$42,0)</f>
        <v>0</v>
      </c>
      <c r="AX65" s="151">
        <f>IF(K65="Hidalgo",(AG65/$AX$1)*'1. UC Assumptions'!$I$44-(AH65/$AX$2)*'1. UC Assumptions'!$I$42,0)</f>
        <v>0</v>
      </c>
      <c r="AY65" s="151">
        <f>IF(K65="Jefferson",(AG65/$AY$1)*'1. UC Assumptions'!$J$44-(AH65/$AY$2)*'1. UC Assumptions'!$J$42,0)</f>
        <v>0</v>
      </c>
      <c r="AZ65" s="151">
        <f>IF(K65="Lubbock",(AG65/$AZ$1)*'1. UC Assumptions'!$K$44-(AH65/$AZ$2)*'1. UC Assumptions'!$K$42,0)</f>
        <v>0</v>
      </c>
      <c r="BA65" s="151">
        <f>IF(K65="MRSA Central",(AG65/$BA$1)*'1. UC Assumptions'!$L$44-(AH65/$BA$2)*'1. UC Assumptions'!$L$42,0)</f>
        <v>0</v>
      </c>
      <c r="BB65" s="151">
        <f>IF(K65="MRSA Northeast",(AG65/$BB$1)*'1. UC Assumptions'!$M$44-(AH65/$BB$2)*'1. UC Assumptions'!$M$42,0)</f>
        <v>0</v>
      </c>
      <c r="BC65" s="151">
        <f>IF(K65="MRSA West",(AG65/$BC$1)*'1. UC Assumptions'!$N$44-(AH65/$BC$2)*'1. UC Assumptions'!$N$42,0)</f>
        <v>0</v>
      </c>
      <c r="BD65" s="151">
        <f>IF(K65="Nueces",(AG65/$BD$1)*'1. UC Assumptions'!$O$44-(AH65/$BD$2)*'1. UC Assumptions'!$O$42,0)</f>
        <v>0</v>
      </c>
      <c r="BE65" s="151">
        <f>IF(K65="Tarrant",(AG65/$BE$1)*'1. UC Assumptions'!$P$44-(AH65/$BE$2)*'1. UC Assumptions'!$P$42,0)</f>
        <v>0</v>
      </c>
      <c r="BF65" s="151">
        <f>IF(K65="Travis",(AG65/$BF$1)*'1. UC Assumptions'!$Q$44-(AH65/$BF$2)*'1. UC Assumptions'!$Q$42,0)</f>
        <v>0</v>
      </c>
      <c r="BG65" s="151">
        <f t="shared" si="15"/>
        <v>0</v>
      </c>
      <c r="BH65" s="151">
        <f t="shared" si="16"/>
        <v>4763763.6652361378</v>
      </c>
      <c r="BI65" s="151">
        <f>ROUNDDOWN(BH65*'1. UC Assumptions'!$C$23,2)</f>
        <v>1572042</v>
      </c>
      <c r="BJ65" s="154">
        <f t="shared" si="17"/>
        <v>6986.3552361382172</v>
      </c>
      <c r="BK65" s="154">
        <f t="shared" si="18"/>
        <v>2305.4877000004053</v>
      </c>
      <c r="BL65" s="154">
        <f t="shared" si="19"/>
        <v>6449.94</v>
      </c>
      <c r="BM65" s="154">
        <f t="shared" si="20"/>
        <v>2128.4699999999998</v>
      </c>
      <c r="BN65" s="101"/>
      <c r="BO65" s="154">
        <f>(BL65*'1. UC Assumptions'!$C$23)-'3.  UC Calculations by Hospital'!BM65</f>
        <v>1.0199999999713327E-2</v>
      </c>
      <c r="BP65" s="13"/>
    </row>
    <row r="66" spans="2:68">
      <c r="B66" s="129" t="s">
        <v>372</v>
      </c>
      <c r="C66" s="91" t="s">
        <v>372</v>
      </c>
      <c r="D66" s="91" t="s">
        <v>214</v>
      </c>
      <c r="E66" s="91"/>
      <c r="F66" s="91"/>
      <c r="G66" s="91" t="s">
        <v>209</v>
      </c>
      <c r="H66" s="91" t="s">
        <v>209</v>
      </c>
      <c r="I66" s="150" t="s">
        <v>210</v>
      </c>
      <c r="J66" s="129" t="s">
        <v>373</v>
      </c>
      <c r="K66" s="91" t="s">
        <v>6</v>
      </c>
      <c r="L66" s="91" t="s">
        <v>6</v>
      </c>
      <c r="M66" s="151">
        <v>-6817213.4754722444</v>
      </c>
      <c r="N66" s="151">
        <v>22109293.047157876</v>
      </c>
      <c r="O66" s="131">
        <v>18725442.166211031</v>
      </c>
      <c r="P66" s="131">
        <f t="shared" si="0"/>
        <v>3383850.8809468448</v>
      </c>
      <c r="Q66" s="131">
        <v>22148501.139335196</v>
      </c>
      <c r="R66" s="131">
        <v>6879848.4099999992</v>
      </c>
      <c r="S66" s="131">
        <f t="shared" si="1"/>
        <v>6879848.4099999992</v>
      </c>
      <c r="T66" s="131">
        <f t="shared" si="2"/>
        <v>15268652.729335196</v>
      </c>
      <c r="U66" s="131">
        <v>826699</v>
      </c>
      <c r="V66" s="131">
        <v>0</v>
      </c>
      <c r="W66" s="131">
        <v>0</v>
      </c>
      <c r="X66" s="131">
        <v>0</v>
      </c>
      <c r="Y66" s="131">
        <v>1276058.9645193857</v>
      </c>
      <c r="Z66" s="131">
        <f t="shared" si="3"/>
        <v>2102757.9645193857</v>
      </c>
      <c r="AA66" s="131">
        <v>0</v>
      </c>
      <c r="AB66" s="152">
        <f t="shared" si="4"/>
        <v>17371410.693854582</v>
      </c>
      <c r="AC66" s="133">
        <f>IF(D66="Physician Group Practice",(AB66/$AB$393)*'1. UC Assumptions'!$C$15,IF(E66="Rural Hospital",AB66*'1. UC Assumptions'!$C$7/'1. UC Assumptions'!$E$7,(AB66/$AB$397)*('1. UC Assumptions'!$C$9)))</f>
        <v>8167092.4201370096</v>
      </c>
      <c r="AD66" s="133">
        <f t="shared" si="5"/>
        <v>0</v>
      </c>
      <c r="AE66" s="133">
        <f t="shared" si="6"/>
        <v>9204318.273717571</v>
      </c>
      <c r="AF66" s="133">
        <f t="shared" si="7"/>
        <v>0</v>
      </c>
      <c r="AG66" s="133">
        <f t="shared" si="8"/>
        <v>9204318.273717571</v>
      </c>
      <c r="AH66" s="133">
        <f t="shared" si="9"/>
        <v>8167092.4201370096</v>
      </c>
      <c r="AI66" s="131">
        <f>AH66*'1. UC Assumptions'!$C$23</f>
        <v>2695140.498645213</v>
      </c>
      <c r="AJ66" s="131">
        <v>8320974.4900000002</v>
      </c>
      <c r="AK66" s="131">
        <f>AJ66*(1-'1. UC Assumptions'!$C$22)</f>
        <v>2745921.5816999995</v>
      </c>
      <c r="AL66" s="131"/>
      <c r="AM66" s="131">
        <f>AL66*'1. UC Assumptions'!$C$23</f>
        <v>0</v>
      </c>
      <c r="AN66" s="153">
        <f t="shared" si="10"/>
        <v>17371410.693854582</v>
      </c>
      <c r="AO66" s="151">
        <f>AN66*'1. UC Assumptions'!$C$23</f>
        <v>5732565.5289720111</v>
      </c>
      <c r="AP66" s="151">
        <f t="shared" si="11"/>
        <v>9050436.2038545813</v>
      </c>
      <c r="AQ66" s="151">
        <f t="shared" si="12"/>
        <v>2986643.9472720115</v>
      </c>
      <c r="AR66" s="151">
        <f t="shared" si="13"/>
        <v>2986643.9472720115</v>
      </c>
      <c r="AS66" s="151">
        <f t="shared" si="14"/>
        <v>5732565.5289720111</v>
      </c>
      <c r="AT66" s="151">
        <f>IF(K66="Bexar",(AG66/$AT$1)*'1. UC Assumptions'!$E$44-(AH66/$AT$2)*'1. UC Assumptions'!$E$42,0)</f>
        <v>0</v>
      </c>
      <c r="AU66" s="151">
        <f>IF(K66="Dallas",(AG66/$AU$1)*'1. UC Assumptions'!$F$44-(AH66/$AU$2)*'1. UC Assumptions'!$F$42,0)</f>
        <v>0</v>
      </c>
      <c r="AV66" s="151">
        <f>IF(K66="El Paso",(AG66/$AV$1)*'1. UC Assumptions'!$G$44-(AH66/$AV$2)*'1. UC Assumptions'!$G$42,0)</f>
        <v>0</v>
      </c>
      <c r="AW66" s="151">
        <f>IF(K66="Harris",(AG66/$AW$1)*'1. UC Assumptions'!$H$44-(AH66/$AW$2)*'1. UC Assumptions'!$H$42,0)</f>
        <v>0</v>
      </c>
      <c r="AX66" s="151">
        <f>IF(K66="Hidalgo",(AG66/$AX$1)*'1. UC Assumptions'!$I$44-(AH66/$AX$2)*'1. UC Assumptions'!$I$42,0)</f>
        <v>0</v>
      </c>
      <c r="AY66" s="151">
        <f>IF(K66="Jefferson",(AG66/$AY$1)*'1. UC Assumptions'!$J$44-(AH66/$AY$2)*'1. UC Assumptions'!$J$42,0)</f>
        <v>0</v>
      </c>
      <c r="AZ66" s="151">
        <f>IF(K66="Lubbock",(AG66/$AZ$1)*'1. UC Assumptions'!$K$44-(AH66/$AZ$2)*'1. UC Assumptions'!$K$42,0)</f>
        <v>0</v>
      </c>
      <c r="BA66" s="151">
        <f>IF(K66="MRSA Central",(AG66/$BA$1)*'1. UC Assumptions'!$L$44-(AH66/$BA$2)*'1. UC Assumptions'!$L$42,0)</f>
        <v>0</v>
      </c>
      <c r="BB66" s="151">
        <f>IF(K66="MRSA Northeast",(AG66/$BB$1)*'1. UC Assumptions'!$M$44-(AH66/$BB$2)*'1. UC Assumptions'!$M$42,0)</f>
        <v>0</v>
      </c>
      <c r="BC66" s="151">
        <f>IF(K66="MRSA West",(AG66/$BC$1)*'1. UC Assumptions'!$N$44-(AH66/$BC$2)*'1. UC Assumptions'!$N$42,0)</f>
        <v>0</v>
      </c>
      <c r="BD66" s="151">
        <f>IF(K66="Nueces",(AG66/$BD$1)*'1. UC Assumptions'!$O$44-(AH66/$BD$2)*'1. UC Assumptions'!$O$42,0)</f>
        <v>0</v>
      </c>
      <c r="BE66" s="151">
        <f>IF(K66="Tarrant",(AG66/$BE$1)*'1. UC Assumptions'!$P$44-(AH66/$BE$2)*'1. UC Assumptions'!$P$42,0)</f>
        <v>0</v>
      </c>
      <c r="BF66" s="151">
        <f>IF(K66="Travis",(AG66/$BF$1)*'1. UC Assumptions'!$Q$44-(AH66/$BF$2)*'1. UC Assumptions'!$Q$42,0)</f>
        <v>0</v>
      </c>
      <c r="BG66" s="151">
        <f t="shared" si="15"/>
        <v>0</v>
      </c>
      <c r="BH66" s="151">
        <f t="shared" si="16"/>
        <v>8167092.4201370096</v>
      </c>
      <c r="BI66" s="151">
        <f>ROUNDDOWN(BH66*'1. UC Assumptions'!$C$23,2)</f>
        <v>2695140.49</v>
      </c>
      <c r="BJ66" s="154">
        <f t="shared" si="17"/>
        <v>-153882.06986299064</v>
      </c>
      <c r="BK66" s="154">
        <f t="shared" si="18"/>
        <v>-50781.091699999291</v>
      </c>
      <c r="BL66" s="154">
        <f t="shared" si="19"/>
        <v>0</v>
      </c>
      <c r="BM66" s="154">
        <f t="shared" si="20"/>
        <v>0</v>
      </c>
      <c r="BN66" s="101"/>
      <c r="BO66" s="154">
        <f>(BL66*'1. UC Assumptions'!$C$23)-'3.  UC Calculations by Hospital'!BM66</f>
        <v>0</v>
      </c>
      <c r="BP66" s="13"/>
    </row>
    <row r="67" spans="2:68">
      <c r="B67" s="129" t="s">
        <v>374</v>
      </c>
      <c r="C67" s="91" t="s">
        <v>374</v>
      </c>
      <c r="D67" s="91" t="s">
        <v>214</v>
      </c>
      <c r="E67" s="91"/>
      <c r="F67" s="91"/>
      <c r="G67" s="91" t="s">
        <v>209</v>
      </c>
      <c r="H67" s="91" t="s">
        <v>209</v>
      </c>
      <c r="I67" s="150" t="s">
        <v>210</v>
      </c>
      <c r="J67" s="129" t="s">
        <v>375</v>
      </c>
      <c r="K67" s="91" t="s">
        <v>14</v>
      </c>
      <c r="L67" s="91" t="s">
        <v>248</v>
      </c>
      <c r="M67" s="151">
        <v>-1935501.7694240264</v>
      </c>
      <c r="N67" s="151">
        <v>0</v>
      </c>
      <c r="O67" s="131">
        <v>0</v>
      </c>
      <c r="P67" s="131">
        <f t="shared" si="0"/>
        <v>0</v>
      </c>
      <c r="Q67" s="131">
        <v>14466673.102710707</v>
      </c>
      <c r="R67" s="131">
        <v>0</v>
      </c>
      <c r="S67" s="131">
        <f t="shared" si="1"/>
        <v>0</v>
      </c>
      <c r="T67" s="131">
        <f t="shared" si="2"/>
        <v>14466673.102710707</v>
      </c>
      <c r="U67" s="131">
        <v>257684</v>
      </c>
      <c r="V67" s="131">
        <v>0</v>
      </c>
      <c r="W67" s="131">
        <v>16539</v>
      </c>
      <c r="X67" s="131">
        <v>0</v>
      </c>
      <c r="Y67" s="131">
        <v>1930906</v>
      </c>
      <c r="Z67" s="131">
        <f t="shared" si="3"/>
        <v>2205129</v>
      </c>
      <c r="AA67" s="131">
        <v>0</v>
      </c>
      <c r="AB67" s="152">
        <f t="shared" si="4"/>
        <v>16671802.102710707</v>
      </c>
      <c r="AC67" s="133">
        <f>IF(D67="Physician Group Practice",(AB67/$AB$393)*'1. UC Assumptions'!$C$15,IF(E67="Rural Hospital",AB67*'1. UC Assumptions'!$C$7/'1. UC Assumptions'!$E$7,(AB67/$AB$397)*('1. UC Assumptions'!$C$9)))</f>
        <v>7838174.5145914806</v>
      </c>
      <c r="AD67" s="133">
        <f t="shared" si="5"/>
        <v>0</v>
      </c>
      <c r="AE67" s="133">
        <f t="shared" si="6"/>
        <v>8833627.5881192274</v>
      </c>
      <c r="AF67" s="133">
        <f t="shared" si="7"/>
        <v>0</v>
      </c>
      <c r="AG67" s="133">
        <f t="shared" si="8"/>
        <v>8833627.5881192274</v>
      </c>
      <c r="AH67" s="133">
        <f t="shared" si="9"/>
        <v>7838174.5145914806</v>
      </c>
      <c r="AI67" s="131">
        <f>AH67*'1. UC Assumptions'!$C$23</f>
        <v>2586597.5898151882</v>
      </c>
      <c r="AJ67" s="131">
        <v>6927836.2300000004</v>
      </c>
      <c r="AK67" s="131">
        <f>AJ67*(1-'1. UC Assumptions'!$C$22)</f>
        <v>2286185.9558999999</v>
      </c>
      <c r="AL67" s="131"/>
      <c r="AM67" s="131">
        <f>AL67*'1. UC Assumptions'!$C$23</f>
        <v>0</v>
      </c>
      <c r="AN67" s="153">
        <f t="shared" si="10"/>
        <v>16671802.102710707</v>
      </c>
      <c r="AO67" s="151">
        <f>AN67*'1. UC Assumptions'!$C$23</f>
        <v>5501694.6938945325</v>
      </c>
      <c r="AP67" s="151">
        <f t="shared" si="11"/>
        <v>9743965.8727107067</v>
      </c>
      <c r="AQ67" s="151">
        <f t="shared" si="12"/>
        <v>3215508.7379945326</v>
      </c>
      <c r="AR67" s="151">
        <f t="shared" si="13"/>
        <v>3215508.7379945326</v>
      </c>
      <c r="AS67" s="151">
        <f t="shared" si="14"/>
        <v>5501694.6938945325</v>
      </c>
      <c r="AT67" s="151">
        <f>IF(K67="Bexar",(AG67/$AT$1)*'1. UC Assumptions'!$E$44-(AH67/$AT$2)*'1. UC Assumptions'!$E$42,0)</f>
        <v>0</v>
      </c>
      <c r="AU67" s="151">
        <f>IF(K67="Dallas",(AG67/$AU$1)*'1. UC Assumptions'!$F$44-(AH67/$AU$2)*'1. UC Assumptions'!$F$42,0)</f>
        <v>0</v>
      </c>
      <c r="AV67" s="151">
        <f>IF(K67="El Paso",(AG67/$AV$1)*'1. UC Assumptions'!$G$44-(AH67/$AV$2)*'1. UC Assumptions'!$G$42,0)</f>
        <v>0</v>
      </c>
      <c r="AW67" s="151">
        <f>IF(K67="Harris",(AG67/$AW$1)*'1. UC Assumptions'!$H$44-(AH67/$AW$2)*'1. UC Assumptions'!$H$42,0)</f>
        <v>0</v>
      </c>
      <c r="AX67" s="151">
        <f>IF(K67="Hidalgo",(AG67/$AX$1)*'1. UC Assumptions'!$I$44-(AH67/$AX$2)*'1. UC Assumptions'!$I$42,0)</f>
        <v>0</v>
      </c>
      <c r="AY67" s="151">
        <f>IF(K67="Jefferson",(AG67/$AY$1)*'1. UC Assumptions'!$J$44-(AH67/$AY$2)*'1. UC Assumptions'!$J$42,0)</f>
        <v>0</v>
      </c>
      <c r="AZ67" s="151">
        <f>IF(K67="Lubbock",(AG67/$AZ$1)*'1. UC Assumptions'!$K$44-(AH67/$AZ$2)*'1. UC Assumptions'!$K$42,0)</f>
        <v>0</v>
      </c>
      <c r="BA67" s="151">
        <f>IF(K67="MRSA Central",(AG67/$BA$1)*'1. UC Assumptions'!$L$44-(AH67/$BA$2)*'1. UC Assumptions'!$L$42,0)</f>
        <v>0</v>
      </c>
      <c r="BB67" s="151">
        <f>IF(K67="MRSA Northeast",(AG67/$BB$1)*'1. UC Assumptions'!$M$44-(AH67/$BB$2)*'1. UC Assumptions'!$M$42,0)</f>
        <v>0</v>
      </c>
      <c r="BC67" s="151">
        <f>IF(K67="MRSA West",(AG67/$BC$1)*'1. UC Assumptions'!$N$44-(AH67/$BC$2)*'1. UC Assumptions'!$N$42,0)</f>
        <v>0</v>
      </c>
      <c r="BD67" s="151">
        <f>IF(K67="Nueces",(AG67/$BD$1)*'1. UC Assumptions'!$O$44-(AH67/$BD$2)*'1. UC Assumptions'!$O$42,0)</f>
        <v>0</v>
      </c>
      <c r="BE67" s="151">
        <f>IF(K67="Tarrant",(AG67/$BE$1)*'1. UC Assumptions'!$P$44-(AH67/$BE$2)*'1. UC Assumptions'!$P$42,0)</f>
        <v>0</v>
      </c>
      <c r="BF67" s="151">
        <f>IF(K67="Travis",(AG67/$BF$1)*'1. UC Assumptions'!$Q$44-(AH67/$BF$2)*'1. UC Assumptions'!$Q$42,0)</f>
        <v>0</v>
      </c>
      <c r="BG67" s="151">
        <f t="shared" si="15"/>
        <v>0</v>
      </c>
      <c r="BH67" s="151">
        <f t="shared" si="16"/>
        <v>7838174.5145914806</v>
      </c>
      <c r="BI67" s="151">
        <f>ROUNDDOWN(BH67*'1. UC Assumptions'!$C$23,2)</f>
        <v>2586597.58</v>
      </c>
      <c r="BJ67" s="154">
        <f t="shared" si="17"/>
        <v>910338.28459148016</v>
      </c>
      <c r="BK67" s="154">
        <f t="shared" si="18"/>
        <v>300411.62410000013</v>
      </c>
      <c r="BL67" s="154">
        <f t="shared" si="19"/>
        <v>840442.59</v>
      </c>
      <c r="BM67" s="154">
        <f t="shared" si="20"/>
        <v>277346.03999999998</v>
      </c>
      <c r="BN67" s="101"/>
      <c r="BO67" s="154">
        <f>(BL67*'1. UC Assumptions'!$C$23)-'3.  UC Calculations by Hospital'!BM67</f>
        <v>1.4699999999720603E-2</v>
      </c>
      <c r="BP67" s="13"/>
    </row>
    <row r="68" spans="2:68">
      <c r="B68" s="129" t="s">
        <v>376</v>
      </c>
      <c r="C68" s="91" t="s">
        <v>376</v>
      </c>
      <c r="D68" s="91" t="s">
        <v>214</v>
      </c>
      <c r="E68" s="91"/>
      <c r="F68" s="91"/>
      <c r="G68" s="91" t="s">
        <v>209</v>
      </c>
      <c r="H68" s="91" t="s">
        <v>209</v>
      </c>
      <c r="I68" s="150" t="s">
        <v>210</v>
      </c>
      <c r="J68" s="129" t="s">
        <v>377</v>
      </c>
      <c r="K68" s="91" t="s">
        <v>14</v>
      </c>
      <c r="L68" s="91" t="s">
        <v>14</v>
      </c>
      <c r="M68" s="151">
        <v>-2323781.8528356226</v>
      </c>
      <c r="N68" s="151">
        <v>0</v>
      </c>
      <c r="O68" s="131">
        <v>0</v>
      </c>
      <c r="P68" s="131">
        <f t="shared" ref="P68:P131" si="21">IF(N68-O68&gt;0,N68-O68,0)</f>
        <v>0</v>
      </c>
      <c r="Q68" s="131">
        <v>14084700.241335841</v>
      </c>
      <c r="R68" s="131">
        <v>0</v>
      </c>
      <c r="S68" s="131">
        <f t="shared" ref="S68:S131" si="22">IF(R68&gt;0,IF(M68+P68&lt;R68,(IF((R68-M68-P68)&gt;R68,R68,R68-M68-P68)),0),0)</f>
        <v>0</v>
      </c>
      <c r="T68" s="131">
        <f t="shared" ref="T68:T131" si="23">IF(Q68-S68&gt;0,Q68-S68,0)</f>
        <v>14084700.241335841</v>
      </c>
      <c r="U68" s="131">
        <v>211563</v>
      </c>
      <c r="V68" s="131">
        <v>0</v>
      </c>
      <c r="W68" s="131">
        <v>65926</v>
      </c>
      <c r="X68" s="131">
        <v>0</v>
      </c>
      <c r="Y68" s="131">
        <v>1624102.2623106048</v>
      </c>
      <c r="Z68" s="131">
        <f t="shared" ref="Z68:Z131" si="24">SUM(U68:Y68)</f>
        <v>1901591.2623106048</v>
      </c>
      <c r="AA68" s="131">
        <v>0</v>
      </c>
      <c r="AB68" s="152">
        <f t="shared" ref="AB68:AB131" si="25">IF(I68="Yes",Z68-Y68,T68+Z68+AA68)</f>
        <v>15986291.503646446</v>
      </c>
      <c r="AC68" s="133">
        <f>IF(D68="Physician Group Practice",(AB68/$AB$393)*'1. UC Assumptions'!$C$15,IF(E68="Rural Hospital",AB68*'1. UC Assumptions'!$C$7/'1. UC Assumptions'!$E$7,(AB68/$AB$397)*('1. UC Assumptions'!$C$9)))</f>
        <v>7515884.7180856671</v>
      </c>
      <c r="AD68" s="133">
        <f t="shared" ref="AD68:AD131" si="26">IF((AC68)&gt;AB68-AA68,(AC68)-(AB68-AA68),0)</f>
        <v>0</v>
      </c>
      <c r="AE68" s="133">
        <f t="shared" ref="AE68:AE131" si="27">IF(AD68&gt;0,0,AB68-AA68-AC68)</f>
        <v>8470406.7855607793</v>
      </c>
      <c r="AF68" s="133">
        <f t="shared" ref="AF68:AF131" si="28">(AE68/$AE$390)*$AD$390</f>
        <v>0</v>
      </c>
      <c r="AG68" s="133">
        <f t="shared" ref="AG68:AG131" si="29">AE68-AF68</f>
        <v>8470406.7855607793</v>
      </c>
      <c r="AH68" s="133">
        <f t="shared" ref="AH68:AH131" si="30">AC68-AD68+AF68</f>
        <v>7515884.7180856671</v>
      </c>
      <c r="AI68" s="131">
        <f>AH68*'1. UC Assumptions'!$C$23</f>
        <v>2480241.9569682698</v>
      </c>
      <c r="AJ68" s="131">
        <v>8572844</v>
      </c>
      <c r="AK68" s="131">
        <f>AJ68*(1-'1. UC Assumptions'!$C$22)</f>
        <v>2829038.5199999996</v>
      </c>
      <c r="AL68" s="131"/>
      <c r="AM68" s="131">
        <f>AL68*'1. UC Assumptions'!$C$23</f>
        <v>0</v>
      </c>
      <c r="AN68" s="153">
        <f t="shared" ref="AN68:AN131" si="31">AB68-AA68</f>
        <v>15986291.503646446</v>
      </c>
      <c r="AO68" s="151">
        <f>AN68*'1. UC Assumptions'!$C$23</f>
        <v>5275476.1962033268</v>
      </c>
      <c r="AP68" s="151">
        <f t="shared" ref="AP68:AP131" si="32">IF(I68="Yes",AN68-AL68,AN68-AJ68)</f>
        <v>7413447.5036464464</v>
      </c>
      <c r="AQ68" s="151">
        <f t="shared" ref="AQ68:AQ131" si="33">IF(I68="Yes",AO68-AM68,AO68-AK68)</f>
        <v>2446437.6762033273</v>
      </c>
      <c r="AR68" s="151">
        <f t="shared" ref="AR68:AR131" si="34">AQ68</f>
        <v>2446437.6762033273</v>
      </c>
      <c r="AS68" s="151">
        <f t="shared" ref="AS68:AS131" si="35">IF(I68="Yes",AR68+AM68,AR68+AK68)</f>
        <v>5275476.1962033268</v>
      </c>
      <c r="AT68" s="151">
        <f>IF(K68="Bexar",(AG68/$AT$1)*'1. UC Assumptions'!$E$44-(AH68/$AT$2)*'1. UC Assumptions'!$E$42,0)</f>
        <v>0</v>
      </c>
      <c r="AU68" s="151">
        <f>IF(K68="Dallas",(AG68/$AU$1)*'1. UC Assumptions'!$F$44-(AH68/$AU$2)*'1. UC Assumptions'!$F$42,0)</f>
        <v>0</v>
      </c>
      <c r="AV68" s="151">
        <f>IF(K68="El Paso",(AG68/$AV$1)*'1. UC Assumptions'!$G$44-(AH68/$AV$2)*'1. UC Assumptions'!$G$42,0)</f>
        <v>0</v>
      </c>
      <c r="AW68" s="151">
        <f>IF(K68="Harris",(AG68/$AW$1)*'1. UC Assumptions'!$H$44-(AH68/$AW$2)*'1. UC Assumptions'!$H$42,0)</f>
        <v>0</v>
      </c>
      <c r="AX68" s="151">
        <f>IF(K68="Hidalgo",(AG68/$AX$1)*'1. UC Assumptions'!$I$44-(AH68/$AX$2)*'1. UC Assumptions'!$I$42,0)</f>
        <v>0</v>
      </c>
      <c r="AY68" s="151">
        <f>IF(K68="Jefferson",(AG68/$AY$1)*'1. UC Assumptions'!$J$44-(AH68/$AY$2)*'1. UC Assumptions'!$J$42,0)</f>
        <v>0</v>
      </c>
      <c r="AZ68" s="151">
        <f>IF(K68="Lubbock",(AG68/$AZ$1)*'1. UC Assumptions'!$K$44-(AH68/$AZ$2)*'1. UC Assumptions'!$K$42,0)</f>
        <v>0</v>
      </c>
      <c r="BA68" s="151">
        <f>IF(K68="MRSA Central",(AG68/$BA$1)*'1. UC Assumptions'!$L$44-(AH68/$BA$2)*'1. UC Assumptions'!$L$42,0)</f>
        <v>0</v>
      </c>
      <c r="BB68" s="151">
        <f>IF(K68="MRSA Northeast",(AG68/$BB$1)*'1. UC Assumptions'!$M$44-(AH68/$BB$2)*'1. UC Assumptions'!$M$42,0)</f>
        <v>0</v>
      </c>
      <c r="BC68" s="151">
        <f>IF(K68="MRSA West",(AG68/$BC$1)*'1. UC Assumptions'!$N$44-(AH68/$BC$2)*'1. UC Assumptions'!$N$42,0)</f>
        <v>0</v>
      </c>
      <c r="BD68" s="151">
        <f>IF(K68="Nueces",(AG68/$BD$1)*'1. UC Assumptions'!$O$44-(AH68/$BD$2)*'1. UC Assumptions'!$O$42,0)</f>
        <v>0</v>
      </c>
      <c r="BE68" s="151">
        <f>IF(K68="Tarrant",(AG68/$BE$1)*'1. UC Assumptions'!$P$44-(AH68/$BE$2)*'1. UC Assumptions'!$P$42,0)</f>
        <v>0</v>
      </c>
      <c r="BF68" s="151">
        <f>IF(K68="Travis",(AG68/$BF$1)*'1. UC Assumptions'!$Q$44-(AH68/$BF$2)*'1. UC Assumptions'!$Q$42,0)</f>
        <v>0</v>
      </c>
      <c r="BG68" s="151">
        <f t="shared" ref="BG68:BG131" si="36">SUM(AT68:BF68)</f>
        <v>0</v>
      </c>
      <c r="BH68" s="151">
        <f t="shared" ref="BH68:BH131" si="37">AH68+BG68</f>
        <v>7515884.7180856671</v>
      </c>
      <c r="BI68" s="151">
        <f>ROUNDDOWN(BH68*'1. UC Assumptions'!$C$23,2)</f>
        <v>2480241.9500000002</v>
      </c>
      <c r="BJ68" s="154">
        <f t="shared" ref="BJ68:BJ131" si="38">IF(I68="Yes",BH68-AL68,BH68-AJ68)</f>
        <v>-1056959.2819143329</v>
      </c>
      <c r="BK68" s="154">
        <f t="shared" ref="BK68:BK131" si="39">IF(I68="Yes",BI68-AM68,BI68-AK68)</f>
        <v>-348796.56999999937</v>
      </c>
      <c r="BL68" s="154">
        <f t="shared" ref="BL68:BL131" si="40">ROUND(IF(BJ68&gt;0,(BJ68/$BJ$393)*$BJ$398,0),2)</f>
        <v>0</v>
      </c>
      <c r="BM68" s="154">
        <f t="shared" ref="BM68:BM131" si="41">ROUND(IF(BK68&gt;0,(BK68/$BK$393)*$BK$398,0),2)</f>
        <v>0</v>
      </c>
      <c r="BN68" s="101"/>
      <c r="BO68" s="154">
        <f>(BL68*'1. UC Assumptions'!$C$23)-'3.  UC Calculations by Hospital'!BM68</f>
        <v>0</v>
      </c>
      <c r="BP68" s="13"/>
    </row>
    <row r="69" spans="2:68">
      <c r="B69" s="129" t="s">
        <v>378</v>
      </c>
      <c r="C69" s="91" t="s">
        <v>378</v>
      </c>
      <c r="D69" s="91" t="s">
        <v>214</v>
      </c>
      <c r="E69" s="91"/>
      <c r="F69" s="91"/>
      <c r="G69" s="91" t="s">
        <v>209</v>
      </c>
      <c r="H69" s="91" t="s">
        <v>209</v>
      </c>
      <c r="I69" s="150" t="s">
        <v>210</v>
      </c>
      <c r="J69" s="129" t="s">
        <v>379</v>
      </c>
      <c r="K69" s="91" t="s">
        <v>4</v>
      </c>
      <c r="L69" s="91" t="s">
        <v>260</v>
      </c>
      <c r="M69" s="151">
        <v>-854809.21258862037</v>
      </c>
      <c r="N69" s="151">
        <v>23538231.710062791</v>
      </c>
      <c r="O69" s="131">
        <v>16491702.930372454</v>
      </c>
      <c r="P69" s="131">
        <f t="shared" si="21"/>
        <v>7046528.7796903364</v>
      </c>
      <c r="Q69" s="131">
        <v>21760942.039694771</v>
      </c>
      <c r="R69" s="131">
        <v>0</v>
      </c>
      <c r="S69" s="131">
        <f t="shared" si="22"/>
        <v>0</v>
      </c>
      <c r="T69" s="131">
        <f t="shared" si="23"/>
        <v>21760942.039694771</v>
      </c>
      <c r="U69" s="131">
        <v>0</v>
      </c>
      <c r="V69" s="131">
        <v>0</v>
      </c>
      <c r="W69" s="131">
        <v>0</v>
      </c>
      <c r="X69" s="131">
        <v>0</v>
      </c>
      <c r="Y69" s="131">
        <v>0</v>
      </c>
      <c r="Z69" s="131">
        <f t="shared" si="24"/>
        <v>0</v>
      </c>
      <c r="AA69" s="131">
        <v>0</v>
      </c>
      <c r="AB69" s="152">
        <f t="shared" si="25"/>
        <v>21760942.039694771</v>
      </c>
      <c r="AC69" s="133">
        <f>IF(D69="Physician Group Practice",(AB69/$AB$393)*'1. UC Assumptions'!$C$15,IF(E69="Rural Hospital",AB69*'1. UC Assumptions'!$C$7/'1. UC Assumptions'!$E$7,(AB69/$AB$397)*('1. UC Assumptions'!$C$9)))</f>
        <v>10230811.297916329</v>
      </c>
      <c r="AD69" s="133">
        <f t="shared" si="26"/>
        <v>0</v>
      </c>
      <c r="AE69" s="133">
        <f t="shared" si="27"/>
        <v>11530130.741778443</v>
      </c>
      <c r="AF69" s="133">
        <f t="shared" si="28"/>
        <v>0</v>
      </c>
      <c r="AG69" s="133">
        <f t="shared" si="29"/>
        <v>11530130.741778443</v>
      </c>
      <c r="AH69" s="133">
        <f t="shared" si="30"/>
        <v>10230811.297916329</v>
      </c>
      <c r="AI69" s="131">
        <f>AH69*'1. UC Assumptions'!$C$23</f>
        <v>3376167.7283123881</v>
      </c>
      <c r="AJ69" s="131">
        <v>10603085.210000001</v>
      </c>
      <c r="AK69" s="131">
        <f>AJ69*(1-'1. UC Assumptions'!$C$22)</f>
        <v>3499018.1192999999</v>
      </c>
      <c r="AL69" s="131"/>
      <c r="AM69" s="131">
        <f>AL69*'1. UC Assumptions'!$C$23</f>
        <v>0</v>
      </c>
      <c r="AN69" s="153">
        <f t="shared" si="31"/>
        <v>21760942.039694771</v>
      </c>
      <c r="AO69" s="151">
        <f>AN69*'1. UC Assumptions'!$C$23</f>
        <v>7181110.873099274</v>
      </c>
      <c r="AP69" s="151">
        <f t="shared" si="32"/>
        <v>11157856.82969477</v>
      </c>
      <c r="AQ69" s="151">
        <f t="shared" si="33"/>
        <v>3682092.7537992741</v>
      </c>
      <c r="AR69" s="151">
        <f t="shared" si="34"/>
        <v>3682092.7537992741</v>
      </c>
      <c r="AS69" s="151">
        <f t="shared" si="35"/>
        <v>7181110.873099274</v>
      </c>
      <c r="AT69" s="151">
        <f>IF(K69="Bexar",(AG69/$AT$1)*'1. UC Assumptions'!$E$44-(AH69/$AT$2)*'1. UC Assumptions'!$E$42,0)</f>
        <v>0</v>
      </c>
      <c r="AU69" s="151">
        <f>IF(K69="Dallas",(AG69/$AU$1)*'1. UC Assumptions'!$F$44-(AH69/$AU$2)*'1. UC Assumptions'!$F$42,0)</f>
        <v>0</v>
      </c>
      <c r="AV69" s="151">
        <f>IF(K69="El Paso",(AG69/$AV$1)*'1. UC Assumptions'!$G$44-(AH69/$AV$2)*'1. UC Assumptions'!$G$42,0)</f>
        <v>0</v>
      </c>
      <c r="AW69" s="151">
        <f>IF(K69="Harris",(AG69/$AW$1)*'1. UC Assumptions'!$H$44-(AH69/$AW$2)*'1. UC Assumptions'!$H$42,0)</f>
        <v>0</v>
      </c>
      <c r="AX69" s="151">
        <f>IF(K69="Hidalgo",(AG69/$AX$1)*'1. UC Assumptions'!$I$44-(AH69/$AX$2)*'1. UC Assumptions'!$I$42,0)</f>
        <v>0</v>
      </c>
      <c r="AY69" s="151">
        <f>IF(K69="Jefferson",(AG69/$AY$1)*'1. UC Assumptions'!$J$44-(AH69/$AY$2)*'1. UC Assumptions'!$J$42,0)</f>
        <v>0</v>
      </c>
      <c r="AZ69" s="151">
        <f>IF(K69="Lubbock",(AG69/$AZ$1)*'1. UC Assumptions'!$K$44-(AH69/$AZ$2)*'1. UC Assumptions'!$K$42,0)</f>
        <v>0</v>
      </c>
      <c r="BA69" s="151">
        <f>IF(K69="MRSA Central",(AG69/$BA$1)*'1. UC Assumptions'!$L$44-(AH69/$BA$2)*'1. UC Assumptions'!$L$42,0)</f>
        <v>0</v>
      </c>
      <c r="BB69" s="151">
        <f>IF(K69="MRSA Northeast",(AG69/$BB$1)*'1. UC Assumptions'!$M$44-(AH69/$BB$2)*'1. UC Assumptions'!$M$42,0)</f>
        <v>0</v>
      </c>
      <c r="BC69" s="151">
        <f>IF(K69="MRSA West",(AG69/$BC$1)*'1. UC Assumptions'!$N$44-(AH69/$BC$2)*'1. UC Assumptions'!$N$42,0)</f>
        <v>0</v>
      </c>
      <c r="BD69" s="151">
        <f>IF(K69="Nueces",(AG69/$BD$1)*'1. UC Assumptions'!$O$44-(AH69/$BD$2)*'1. UC Assumptions'!$O$42,0)</f>
        <v>0</v>
      </c>
      <c r="BE69" s="151">
        <f>IF(K69="Tarrant",(AG69/$BE$1)*'1. UC Assumptions'!$P$44-(AH69/$BE$2)*'1. UC Assumptions'!$P$42,0)</f>
        <v>0</v>
      </c>
      <c r="BF69" s="151">
        <f>IF(K69="Travis",(AG69/$BF$1)*'1. UC Assumptions'!$Q$44-(AH69/$BF$2)*'1. UC Assumptions'!$Q$42,0)</f>
        <v>0</v>
      </c>
      <c r="BG69" s="151">
        <f t="shared" si="36"/>
        <v>0</v>
      </c>
      <c r="BH69" s="151">
        <f t="shared" si="37"/>
        <v>10230811.297916329</v>
      </c>
      <c r="BI69" s="151">
        <f>ROUNDDOWN(BH69*'1. UC Assumptions'!$C$23,2)</f>
        <v>3376167.72</v>
      </c>
      <c r="BJ69" s="154">
        <f t="shared" si="38"/>
        <v>-372273.91208367236</v>
      </c>
      <c r="BK69" s="154">
        <f t="shared" si="39"/>
        <v>-122850.3992999997</v>
      </c>
      <c r="BL69" s="154">
        <f t="shared" si="40"/>
        <v>0</v>
      </c>
      <c r="BM69" s="154">
        <f t="shared" si="41"/>
        <v>0</v>
      </c>
      <c r="BN69" s="101"/>
      <c r="BO69" s="154">
        <f>(BL69*'1. UC Assumptions'!$C$23)-'3.  UC Calculations by Hospital'!BM69</f>
        <v>0</v>
      </c>
      <c r="BP69" s="13"/>
    </row>
    <row r="70" spans="2:68">
      <c r="B70" s="129" t="s">
        <v>380</v>
      </c>
      <c r="C70" s="91" t="s">
        <v>380</v>
      </c>
      <c r="D70" s="91" t="s">
        <v>214</v>
      </c>
      <c r="E70" s="91"/>
      <c r="F70" s="91"/>
      <c r="G70" s="91" t="s">
        <v>209</v>
      </c>
      <c r="H70" s="91" t="s">
        <v>209</v>
      </c>
      <c r="I70" s="150" t="s">
        <v>210</v>
      </c>
      <c r="J70" s="129" t="s">
        <v>381</v>
      </c>
      <c r="K70" s="91" t="s">
        <v>15</v>
      </c>
      <c r="L70" s="91" t="s">
        <v>15</v>
      </c>
      <c r="M70" s="151">
        <v>-15315238.900403155</v>
      </c>
      <c r="N70" s="151">
        <v>24635701.881288044</v>
      </c>
      <c r="O70" s="131">
        <v>19025837.666412886</v>
      </c>
      <c r="P70" s="131">
        <f t="shared" si="21"/>
        <v>5609864.2148751579</v>
      </c>
      <c r="Q70" s="131">
        <v>28121809.630385801</v>
      </c>
      <c r="R70" s="131">
        <v>9119496.0500000007</v>
      </c>
      <c r="S70" s="131">
        <f t="shared" si="22"/>
        <v>9119496.0500000007</v>
      </c>
      <c r="T70" s="131">
        <f t="shared" si="23"/>
        <v>19002313.5803858</v>
      </c>
      <c r="U70" s="131">
        <v>1013870</v>
      </c>
      <c r="V70" s="131">
        <v>0</v>
      </c>
      <c r="W70" s="131">
        <v>0</v>
      </c>
      <c r="X70" s="131">
        <v>0</v>
      </c>
      <c r="Y70" s="131">
        <v>5284734.1691463506</v>
      </c>
      <c r="Z70" s="131">
        <f t="shared" si="24"/>
        <v>6298604.1691463506</v>
      </c>
      <c r="AA70" s="131">
        <v>0</v>
      </c>
      <c r="AB70" s="152">
        <f t="shared" si="25"/>
        <v>25300917.749532152</v>
      </c>
      <c r="AC70" s="133">
        <f>IF(D70="Physician Group Practice",(AB70/$AB$393)*'1. UC Assumptions'!$C$15,IF(E70="Rural Hospital",AB70*'1. UC Assumptions'!$C$7/'1. UC Assumptions'!$E$7,(AB70/$AB$397)*('1. UC Assumptions'!$C$9)))</f>
        <v>11895115.32576997</v>
      </c>
      <c r="AD70" s="133">
        <f t="shared" si="26"/>
        <v>0</v>
      </c>
      <c r="AE70" s="133">
        <f t="shared" si="27"/>
        <v>13405802.423762182</v>
      </c>
      <c r="AF70" s="133">
        <f t="shared" si="28"/>
        <v>0</v>
      </c>
      <c r="AG70" s="133">
        <f t="shared" si="29"/>
        <v>13405802.423762182</v>
      </c>
      <c r="AH70" s="133">
        <f t="shared" si="30"/>
        <v>11895115.32576997</v>
      </c>
      <c r="AI70" s="131">
        <f>AH70*'1. UC Assumptions'!$C$23</f>
        <v>3925388.0575040895</v>
      </c>
      <c r="AJ70" s="131">
        <v>9920678.2400000002</v>
      </c>
      <c r="AK70" s="131">
        <f>AJ70*(1-'1. UC Assumptions'!$C$22)</f>
        <v>3273823.8191999998</v>
      </c>
      <c r="AL70" s="131"/>
      <c r="AM70" s="131">
        <f>AL70*'1. UC Assumptions'!$C$23</f>
        <v>0</v>
      </c>
      <c r="AN70" s="153">
        <f t="shared" si="31"/>
        <v>25300917.749532152</v>
      </c>
      <c r="AO70" s="151">
        <f>AN70*'1. UC Assumptions'!$C$23</f>
        <v>8349302.857345609</v>
      </c>
      <c r="AP70" s="151">
        <f t="shared" si="32"/>
        <v>15380239.509532152</v>
      </c>
      <c r="AQ70" s="151">
        <f t="shared" si="33"/>
        <v>5075479.0381456092</v>
      </c>
      <c r="AR70" s="151">
        <f t="shared" si="34"/>
        <v>5075479.0381456092</v>
      </c>
      <c r="AS70" s="151">
        <f t="shared" si="35"/>
        <v>8349302.857345609</v>
      </c>
      <c r="AT70" s="151">
        <f>IF(K70="Bexar",(AG70/$AT$1)*'1. UC Assumptions'!$E$44-(AH70/$AT$2)*'1. UC Assumptions'!$E$42,0)</f>
        <v>0</v>
      </c>
      <c r="AU70" s="151">
        <f>IF(K70="Dallas",(AG70/$AU$1)*'1. UC Assumptions'!$F$44-(AH70/$AU$2)*'1. UC Assumptions'!$F$42,0)</f>
        <v>0</v>
      </c>
      <c r="AV70" s="151">
        <f>IF(K70="El Paso",(AG70/$AV$1)*'1. UC Assumptions'!$G$44-(AH70/$AV$2)*'1. UC Assumptions'!$G$42,0)</f>
        <v>0</v>
      </c>
      <c r="AW70" s="151">
        <f>IF(K70="Harris",(AG70/$AW$1)*'1. UC Assumptions'!$H$44-(AH70/$AW$2)*'1. UC Assumptions'!$H$42,0)</f>
        <v>0</v>
      </c>
      <c r="AX70" s="151">
        <f>IF(K70="Hidalgo",(AG70/$AX$1)*'1. UC Assumptions'!$I$44-(AH70/$AX$2)*'1. UC Assumptions'!$I$42,0)</f>
        <v>0</v>
      </c>
      <c r="AY70" s="151">
        <f>IF(K70="Jefferson",(AG70/$AY$1)*'1. UC Assumptions'!$J$44-(AH70/$AY$2)*'1. UC Assumptions'!$J$42,0)</f>
        <v>0</v>
      </c>
      <c r="AZ70" s="151">
        <f>IF(K70="Lubbock",(AG70/$AZ$1)*'1. UC Assumptions'!$K$44-(AH70/$AZ$2)*'1. UC Assumptions'!$K$42,0)</f>
        <v>0</v>
      </c>
      <c r="BA70" s="151">
        <f>IF(K70="MRSA Central",(AG70/$BA$1)*'1. UC Assumptions'!$L$44-(AH70/$BA$2)*'1. UC Assumptions'!$L$42,0)</f>
        <v>0</v>
      </c>
      <c r="BB70" s="151">
        <f>IF(K70="MRSA Northeast",(AG70/$BB$1)*'1. UC Assumptions'!$M$44-(AH70/$BB$2)*'1. UC Assumptions'!$M$42,0)</f>
        <v>0</v>
      </c>
      <c r="BC70" s="151">
        <f>IF(K70="MRSA West",(AG70/$BC$1)*'1. UC Assumptions'!$N$44-(AH70/$BC$2)*'1. UC Assumptions'!$N$42,0)</f>
        <v>0</v>
      </c>
      <c r="BD70" s="151">
        <f>IF(K70="Nueces",(AG70/$BD$1)*'1. UC Assumptions'!$O$44-(AH70/$BD$2)*'1. UC Assumptions'!$O$42,0)</f>
        <v>0</v>
      </c>
      <c r="BE70" s="151">
        <f>IF(K70="Tarrant",(AG70/$BE$1)*'1. UC Assumptions'!$P$44-(AH70/$BE$2)*'1. UC Assumptions'!$P$42,0)</f>
        <v>0</v>
      </c>
      <c r="BF70" s="151">
        <f>IF(K70="Travis",(AG70/$BF$1)*'1. UC Assumptions'!$Q$44-(AH70/$BF$2)*'1. UC Assumptions'!$Q$42,0)</f>
        <v>0</v>
      </c>
      <c r="BG70" s="151">
        <f t="shared" si="36"/>
        <v>0</v>
      </c>
      <c r="BH70" s="151">
        <f t="shared" si="37"/>
        <v>11895115.32576997</v>
      </c>
      <c r="BI70" s="151">
        <f>ROUNDDOWN(BH70*'1. UC Assumptions'!$C$23,2)</f>
        <v>3925388.05</v>
      </c>
      <c r="BJ70" s="154">
        <f t="shared" si="38"/>
        <v>1974437.08576997</v>
      </c>
      <c r="BK70" s="154">
        <f t="shared" si="39"/>
        <v>651564.23080000002</v>
      </c>
      <c r="BL70" s="154">
        <f t="shared" si="40"/>
        <v>1822839.98</v>
      </c>
      <c r="BM70" s="154">
        <f t="shared" si="41"/>
        <v>601537.18000000005</v>
      </c>
      <c r="BN70" s="101"/>
      <c r="BO70" s="154">
        <f>(BL70*'1. UC Assumptions'!$C$23)-'3.  UC Calculations by Hospital'!BM70</f>
        <v>1.3399999821558595E-2</v>
      </c>
      <c r="BP70" s="13"/>
    </row>
    <row r="71" spans="2:68">
      <c r="B71" s="129" t="s">
        <v>382</v>
      </c>
      <c r="C71" s="91" t="s">
        <v>382</v>
      </c>
      <c r="D71" s="91" t="s">
        <v>214</v>
      </c>
      <c r="E71" s="91"/>
      <c r="F71" s="91"/>
      <c r="G71" s="91" t="s">
        <v>209</v>
      </c>
      <c r="H71" s="91" t="s">
        <v>209</v>
      </c>
      <c r="I71" s="150" t="s">
        <v>210</v>
      </c>
      <c r="J71" s="129" t="s">
        <v>383</v>
      </c>
      <c r="K71" s="91" t="s">
        <v>6</v>
      </c>
      <c r="L71" s="91" t="s">
        <v>384</v>
      </c>
      <c r="M71" s="151">
        <v>14995724.734622996</v>
      </c>
      <c r="N71" s="151">
        <v>0</v>
      </c>
      <c r="O71" s="131">
        <v>0</v>
      </c>
      <c r="P71" s="131">
        <f t="shared" si="21"/>
        <v>0</v>
      </c>
      <c r="Q71" s="131">
        <v>20772783.719894167</v>
      </c>
      <c r="R71" s="131">
        <v>0</v>
      </c>
      <c r="S71" s="131">
        <f t="shared" si="22"/>
        <v>0</v>
      </c>
      <c r="T71" s="131">
        <f t="shared" si="23"/>
        <v>20772783.719894167</v>
      </c>
      <c r="U71" s="131">
        <v>0</v>
      </c>
      <c r="V71" s="131">
        <v>0</v>
      </c>
      <c r="W71" s="131">
        <v>0</v>
      </c>
      <c r="X71" s="131">
        <v>0</v>
      </c>
      <c r="Y71" s="131">
        <v>3068085.0912141092</v>
      </c>
      <c r="Z71" s="131">
        <f t="shared" si="24"/>
        <v>3068085.0912141092</v>
      </c>
      <c r="AA71" s="131">
        <v>0</v>
      </c>
      <c r="AB71" s="152">
        <f t="shared" si="25"/>
        <v>23840868.811108276</v>
      </c>
      <c r="AC71" s="133">
        <f>IF(D71="Physician Group Practice",(AB71/$AB$393)*'1. UC Assumptions'!$C$15,IF(E71="Rural Hospital",AB71*'1. UC Assumptions'!$C$7/'1. UC Assumptions'!$E$7,(AB71/$AB$397)*('1. UC Assumptions'!$C$9)))</f>
        <v>11208679.731782826</v>
      </c>
      <c r="AD71" s="133">
        <f t="shared" si="26"/>
        <v>0</v>
      </c>
      <c r="AE71" s="133">
        <f t="shared" si="27"/>
        <v>12632189.079325451</v>
      </c>
      <c r="AF71" s="133">
        <f t="shared" si="28"/>
        <v>0</v>
      </c>
      <c r="AG71" s="133">
        <f t="shared" si="29"/>
        <v>12632189.079325451</v>
      </c>
      <c r="AH71" s="133">
        <f t="shared" si="30"/>
        <v>11208679.731782826</v>
      </c>
      <c r="AI71" s="131">
        <f>AH71*'1. UC Assumptions'!$C$23</f>
        <v>3698864.3114883322</v>
      </c>
      <c r="AJ71" s="131">
        <v>9117069.2699999996</v>
      </c>
      <c r="AK71" s="131">
        <f>AJ71*(1-'1. UC Assumptions'!$C$22)</f>
        <v>3008632.8590999995</v>
      </c>
      <c r="AL71" s="131"/>
      <c r="AM71" s="131">
        <f>AL71*'1. UC Assumptions'!$C$23</f>
        <v>0</v>
      </c>
      <c r="AN71" s="153">
        <f t="shared" si="31"/>
        <v>23840868.811108276</v>
      </c>
      <c r="AO71" s="151">
        <f>AN71*'1. UC Assumptions'!$C$23</f>
        <v>7867486.7076657303</v>
      </c>
      <c r="AP71" s="151">
        <f t="shared" si="32"/>
        <v>14723799.541108277</v>
      </c>
      <c r="AQ71" s="151">
        <f t="shared" si="33"/>
        <v>4858853.8485657312</v>
      </c>
      <c r="AR71" s="151">
        <f t="shared" si="34"/>
        <v>4858853.8485657312</v>
      </c>
      <c r="AS71" s="151">
        <f t="shared" si="35"/>
        <v>7867486.7076657303</v>
      </c>
      <c r="AT71" s="151">
        <f>IF(K71="Bexar",(AG71/$AT$1)*'1. UC Assumptions'!$E$44-(AH71/$AT$2)*'1. UC Assumptions'!$E$42,0)</f>
        <v>0</v>
      </c>
      <c r="AU71" s="151">
        <f>IF(K71="Dallas",(AG71/$AU$1)*'1. UC Assumptions'!$F$44-(AH71/$AU$2)*'1. UC Assumptions'!$F$42,0)</f>
        <v>0</v>
      </c>
      <c r="AV71" s="151">
        <f>IF(K71="El Paso",(AG71/$AV$1)*'1. UC Assumptions'!$G$44-(AH71/$AV$2)*'1. UC Assumptions'!$G$42,0)</f>
        <v>0</v>
      </c>
      <c r="AW71" s="151">
        <f>IF(K71="Harris",(AG71/$AW$1)*'1. UC Assumptions'!$H$44-(AH71/$AW$2)*'1. UC Assumptions'!$H$42,0)</f>
        <v>0</v>
      </c>
      <c r="AX71" s="151">
        <f>IF(K71="Hidalgo",(AG71/$AX$1)*'1. UC Assumptions'!$I$44-(AH71/$AX$2)*'1. UC Assumptions'!$I$42,0)</f>
        <v>0</v>
      </c>
      <c r="AY71" s="151">
        <f>IF(K71="Jefferson",(AG71/$AY$1)*'1. UC Assumptions'!$J$44-(AH71/$AY$2)*'1. UC Assumptions'!$J$42,0)</f>
        <v>0</v>
      </c>
      <c r="AZ71" s="151">
        <f>IF(K71="Lubbock",(AG71/$AZ$1)*'1. UC Assumptions'!$K$44-(AH71/$AZ$2)*'1. UC Assumptions'!$K$42,0)</f>
        <v>0</v>
      </c>
      <c r="BA71" s="151">
        <f>IF(K71="MRSA Central",(AG71/$BA$1)*'1. UC Assumptions'!$L$44-(AH71/$BA$2)*'1. UC Assumptions'!$L$42,0)</f>
        <v>0</v>
      </c>
      <c r="BB71" s="151">
        <f>IF(K71="MRSA Northeast",(AG71/$BB$1)*'1. UC Assumptions'!$M$44-(AH71/$BB$2)*'1. UC Assumptions'!$M$42,0)</f>
        <v>0</v>
      </c>
      <c r="BC71" s="151">
        <f>IF(K71="MRSA West",(AG71/$BC$1)*'1. UC Assumptions'!$N$44-(AH71/$BC$2)*'1. UC Assumptions'!$N$42,0)</f>
        <v>0</v>
      </c>
      <c r="BD71" s="151">
        <f>IF(K71="Nueces",(AG71/$BD$1)*'1. UC Assumptions'!$O$44-(AH71/$BD$2)*'1. UC Assumptions'!$O$42,0)</f>
        <v>0</v>
      </c>
      <c r="BE71" s="151">
        <f>IF(K71="Tarrant",(AG71/$BE$1)*'1. UC Assumptions'!$P$44-(AH71/$BE$2)*'1. UC Assumptions'!$P$42,0)</f>
        <v>0</v>
      </c>
      <c r="BF71" s="151">
        <f>IF(K71="Travis",(AG71/$BF$1)*'1. UC Assumptions'!$Q$44-(AH71/$BF$2)*'1. UC Assumptions'!$Q$42,0)</f>
        <v>0</v>
      </c>
      <c r="BG71" s="151">
        <f t="shared" si="36"/>
        <v>0</v>
      </c>
      <c r="BH71" s="151">
        <f t="shared" si="37"/>
        <v>11208679.731782826</v>
      </c>
      <c r="BI71" s="151">
        <f>ROUNDDOWN(BH71*'1. UC Assumptions'!$C$23,2)</f>
        <v>3698864.31</v>
      </c>
      <c r="BJ71" s="154">
        <f t="shared" si="38"/>
        <v>2091610.4617828261</v>
      </c>
      <c r="BK71" s="154">
        <f t="shared" si="39"/>
        <v>690231.45090000052</v>
      </c>
      <c r="BL71" s="154">
        <f t="shared" si="40"/>
        <v>1931016.79</v>
      </c>
      <c r="BM71" s="154">
        <f t="shared" si="41"/>
        <v>637235.54</v>
      </c>
      <c r="BN71" s="101"/>
      <c r="BO71" s="154">
        <f>(BL71*'1. UC Assumptions'!$C$23)-'3.  UC Calculations by Hospital'!BM71</f>
        <v>6.9999985862523317E-4</v>
      </c>
      <c r="BP71" s="13"/>
    </row>
    <row r="72" spans="2:68">
      <c r="B72" s="129" t="s">
        <v>385</v>
      </c>
      <c r="C72" s="91" t="s">
        <v>385</v>
      </c>
      <c r="D72" s="91" t="s">
        <v>214</v>
      </c>
      <c r="E72" s="91" t="s">
        <v>149</v>
      </c>
      <c r="F72" s="91"/>
      <c r="G72" s="91" t="s">
        <v>209</v>
      </c>
      <c r="H72" s="91" t="s">
        <v>209</v>
      </c>
      <c r="I72" s="150" t="s">
        <v>210</v>
      </c>
      <c r="J72" s="129" t="s">
        <v>386</v>
      </c>
      <c r="K72" s="91" t="s">
        <v>13</v>
      </c>
      <c r="L72" s="91" t="s">
        <v>387</v>
      </c>
      <c r="M72" s="151">
        <v>1170014.9930796544</v>
      </c>
      <c r="N72" s="151">
        <v>8927833.7682614904</v>
      </c>
      <c r="O72" s="131">
        <v>5123593.8279685378</v>
      </c>
      <c r="P72" s="131">
        <f t="shared" si="21"/>
        <v>3804239.9402929526</v>
      </c>
      <c r="Q72" s="131">
        <v>8130401.9737181701</v>
      </c>
      <c r="R72" s="131">
        <v>1080453.47</v>
      </c>
      <c r="S72" s="131">
        <f t="shared" si="22"/>
        <v>0</v>
      </c>
      <c r="T72" s="131">
        <f t="shared" si="23"/>
        <v>8130401.9737181701</v>
      </c>
      <c r="U72" s="131">
        <v>175455</v>
      </c>
      <c r="V72" s="131">
        <v>0</v>
      </c>
      <c r="W72" s="131">
        <v>4214</v>
      </c>
      <c r="X72" s="131">
        <v>0</v>
      </c>
      <c r="Y72" s="131">
        <v>1098500.6189323624</v>
      </c>
      <c r="Z72" s="131">
        <f t="shared" si="24"/>
        <v>1278169.6189323624</v>
      </c>
      <c r="AA72" s="131">
        <v>0</v>
      </c>
      <c r="AB72" s="152">
        <f t="shared" si="25"/>
        <v>9408571.5926505327</v>
      </c>
      <c r="AC72" s="133">
        <f>IF(D72="Physician Group Practice",(AB72/$AB$393)*'1. UC Assumptions'!$C$15,IF(E72="Rural Hospital",AB72*'1. UC Assumptions'!$C$7/'1. UC Assumptions'!$E$7,(AB72/$AB$397)*('1. UC Assumptions'!$C$9)))</f>
        <v>8782294.9628329854</v>
      </c>
      <c r="AD72" s="133">
        <f t="shared" si="26"/>
        <v>0</v>
      </c>
      <c r="AE72" s="133">
        <f t="shared" si="27"/>
        <v>626276.62981754728</v>
      </c>
      <c r="AF72" s="133">
        <f t="shared" si="28"/>
        <v>0</v>
      </c>
      <c r="AG72" s="133">
        <f t="shared" si="29"/>
        <v>626276.62981754728</v>
      </c>
      <c r="AH72" s="133">
        <f t="shared" si="30"/>
        <v>8782294.9628329854</v>
      </c>
      <c r="AI72" s="131">
        <f>AH72*'1. UC Assumptions'!$C$23</f>
        <v>2898157.337734885</v>
      </c>
      <c r="AJ72" s="131">
        <v>4117729.14</v>
      </c>
      <c r="AK72" s="131">
        <f>AJ72*(1-'1. UC Assumptions'!$C$22)</f>
        <v>1358850.6161999998</v>
      </c>
      <c r="AL72" s="131"/>
      <c r="AM72" s="131">
        <f>AL72*'1. UC Assumptions'!$C$23</f>
        <v>0</v>
      </c>
      <c r="AN72" s="153">
        <f t="shared" si="31"/>
        <v>9408571.5926505327</v>
      </c>
      <c r="AO72" s="151">
        <f>AN72*'1. UC Assumptions'!$C$23</f>
        <v>3104828.6255746754</v>
      </c>
      <c r="AP72" s="151">
        <f t="shared" si="32"/>
        <v>5290842.4526505321</v>
      </c>
      <c r="AQ72" s="151">
        <f t="shared" si="33"/>
        <v>1745978.0093746756</v>
      </c>
      <c r="AR72" s="151">
        <f t="shared" si="34"/>
        <v>1745978.0093746756</v>
      </c>
      <c r="AS72" s="151">
        <f t="shared" si="35"/>
        <v>3104828.6255746754</v>
      </c>
      <c r="AT72" s="151">
        <f>IF(K72="Bexar",(AG72/$AT$1)*'1. UC Assumptions'!$E$44-(AH72/$AT$2)*'1. UC Assumptions'!$E$42,0)</f>
        <v>0</v>
      </c>
      <c r="AU72" s="151">
        <f>IF(K72="Dallas",(AG72/$AU$1)*'1. UC Assumptions'!$F$44-(AH72/$AU$2)*'1. UC Assumptions'!$F$42,0)</f>
        <v>0</v>
      </c>
      <c r="AV72" s="151">
        <f>IF(K72="El Paso",(AG72/$AV$1)*'1. UC Assumptions'!$G$44-(AH72/$AV$2)*'1. UC Assumptions'!$G$42,0)</f>
        <v>0</v>
      </c>
      <c r="AW72" s="151">
        <f>IF(K72="Harris",(AG72/$AW$1)*'1. UC Assumptions'!$H$44-(AH72/$AW$2)*'1. UC Assumptions'!$H$42,0)</f>
        <v>0</v>
      </c>
      <c r="AX72" s="151">
        <f>IF(K72="Hidalgo",(AG72/$AX$1)*'1. UC Assumptions'!$I$44-(AH72/$AX$2)*'1. UC Assumptions'!$I$42,0)</f>
        <v>0</v>
      </c>
      <c r="AY72" s="151">
        <f>IF(K72="Jefferson",(AG72/$AY$1)*'1. UC Assumptions'!$J$44-(AH72/$AY$2)*'1. UC Assumptions'!$J$42,0)</f>
        <v>0</v>
      </c>
      <c r="AZ72" s="151">
        <f>IF(K72="Lubbock",(AG72/$AZ$1)*'1. UC Assumptions'!$K$44-(AH72/$AZ$2)*'1. UC Assumptions'!$K$42,0)</f>
        <v>0</v>
      </c>
      <c r="BA72" s="151">
        <f>IF(K72="MRSA Central",(AG72/$BA$1)*'1. UC Assumptions'!$L$44-(AH72/$BA$2)*'1. UC Assumptions'!$L$42,0)</f>
        <v>0</v>
      </c>
      <c r="BB72" s="151">
        <f>IF(K72="MRSA Northeast",(AG72/$BB$1)*'1. UC Assumptions'!$M$44-(AH72/$BB$2)*'1. UC Assumptions'!$M$42,0)</f>
        <v>0</v>
      </c>
      <c r="BC72" s="151">
        <f>IF(K72="MRSA West",(AG72/$BC$1)*'1. UC Assumptions'!$N$44-(AH72/$BC$2)*'1. UC Assumptions'!$N$42,0)</f>
        <v>0</v>
      </c>
      <c r="BD72" s="151">
        <f>IF(K72="Nueces",(AG72/$BD$1)*'1. UC Assumptions'!$O$44-(AH72/$BD$2)*'1. UC Assumptions'!$O$42,0)</f>
        <v>0</v>
      </c>
      <c r="BE72" s="151">
        <f>IF(K72="Tarrant",(AG72/$BE$1)*'1. UC Assumptions'!$P$44-(AH72/$BE$2)*'1. UC Assumptions'!$P$42,0)</f>
        <v>0</v>
      </c>
      <c r="BF72" s="151">
        <f>IF(K72="Travis",(AG72/$BF$1)*'1. UC Assumptions'!$Q$44-(AH72/$BF$2)*'1. UC Assumptions'!$Q$42,0)</f>
        <v>0</v>
      </c>
      <c r="BG72" s="151">
        <f t="shared" si="36"/>
        <v>0</v>
      </c>
      <c r="BH72" s="151">
        <f t="shared" si="37"/>
        <v>8782294.9628329854</v>
      </c>
      <c r="BI72" s="151">
        <f>ROUNDDOWN(BH72*'1. UC Assumptions'!$C$23,2)</f>
        <v>2898157.33</v>
      </c>
      <c r="BJ72" s="154">
        <f t="shared" si="38"/>
        <v>4664565.8228329848</v>
      </c>
      <c r="BK72" s="154">
        <f t="shared" si="39"/>
        <v>1539306.7138000003</v>
      </c>
      <c r="BL72" s="154">
        <f t="shared" si="40"/>
        <v>4306420.8600000003</v>
      </c>
      <c r="BM72" s="154">
        <f t="shared" si="41"/>
        <v>1421118.87</v>
      </c>
      <c r="BN72" s="101"/>
      <c r="BO72" s="154">
        <f>(BL72*'1. UC Assumptions'!$C$23)-'3.  UC Calculations by Hospital'!BM72</f>
        <v>1.3799999840557575E-2</v>
      </c>
      <c r="BP72" s="13"/>
    </row>
    <row r="73" spans="2:68">
      <c r="B73" s="129" t="s">
        <v>388</v>
      </c>
      <c r="C73" s="91" t="s">
        <v>388</v>
      </c>
      <c r="D73" s="91" t="s">
        <v>214</v>
      </c>
      <c r="E73" s="91" t="s">
        <v>149</v>
      </c>
      <c r="F73" s="91"/>
      <c r="G73" s="91" t="s">
        <v>209</v>
      </c>
      <c r="H73" s="91" t="s">
        <v>209</v>
      </c>
      <c r="I73" s="150" t="s">
        <v>210</v>
      </c>
      <c r="J73" s="129" t="s">
        <v>389</v>
      </c>
      <c r="K73" s="91" t="s">
        <v>12</v>
      </c>
      <c r="L73" s="91" t="s">
        <v>390</v>
      </c>
      <c r="M73" s="151">
        <v>512903.1318295807</v>
      </c>
      <c r="N73" s="151">
        <v>2145499.4465063522</v>
      </c>
      <c r="O73" s="131">
        <v>954717.50516083196</v>
      </c>
      <c r="P73" s="131">
        <f t="shared" si="21"/>
        <v>1190781.9413455203</v>
      </c>
      <c r="Q73" s="131">
        <v>2059947.2757760512</v>
      </c>
      <c r="R73" s="131">
        <v>240219.78999999998</v>
      </c>
      <c r="S73" s="131">
        <f t="shared" si="22"/>
        <v>0</v>
      </c>
      <c r="T73" s="131">
        <f t="shared" si="23"/>
        <v>2059947.2757760512</v>
      </c>
      <c r="U73" s="131">
        <v>0</v>
      </c>
      <c r="V73" s="131">
        <v>0</v>
      </c>
      <c r="W73" s="131">
        <v>0</v>
      </c>
      <c r="X73" s="131">
        <v>0</v>
      </c>
      <c r="Y73" s="131">
        <v>0</v>
      </c>
      <c r="Z73" s="131">
        <f t="shared" si="24"/>
        <v>0</v>
      </c>
      <c r="AA73" s="131">
        <v>0</v>
      </c>
      <c r="AB73" s="152">
        <f t="shared" si="25"/>
        <v>2059947.2757760512</v>
      </c>
      <c r="AC73" s="133">
        <f>IF(D73="Physician Group Practice",(AB73/$AB$393)*'1. UC Assumptions'!$C$15,IF(E73="Rural Hospital",AB73*'1. UC Assumptions'!$C$7/'1. UC Assumptions'!$E$7,(AB73/$AB$397)*('1. UC Assumptions'!$C$9)))</f>
        <v>1922827.9665620343</v>
      </c>
      <c r="AD73" s="133">
        <f t="shared" si="26"/>
        <v>0</v>
      </c>
      <c r="AE73" s="133">
        <f t="shared" si="27"/>
        <v>137119.30921401689</v>
      </c>
      <c r="AF73" s="133">
        <f t="shared" si="28"/>
        <v>0</v>
      </c>
      <c r="AG73" s="133">
        <f t="shared" si="29"/>
        <v>137119.30921401689</v>
      </c>
      <c r="AH73" s="133">
        <f t="shared" si="30"/>
        <v>1922827.9665620343</v>
      </c>
      <c r="AI73" s="131">
        <f>AH73*'1. UC Assumptions'!$C$23</f>
        <v>634533.22896547127</v>
      </c>
      <c r="AJ73" s="131">
        <v>715712.78</v>
      </c>
      <c r="AK73" s="131">
        <f>AJ73*(1-'1. UC Assumptions'!$C$22)</f>
        <v>236185.21739999999</v>
      </c>
      <c r="AL73" s="131"/>
      <c r="AM73" s="131">
        <f>AL73*'1. UC Assumptions'!$C$23</f>
        <v>0</v>
      </c>
      <c r="AN73" s="153">
        <f t="shared" si="31"/>
        <v>2059947.2757760512</v>
      </c>
      <c r="AO73" s="151">
        <f>AN73*'1. UC Assumptions'!$C$23</f>
        <v>679782.60100609681</v>
      </c>
      <c r="AP73" s="151">
        <f t="shared" si="32"/>
        <v>1344234.4957760512</v>
      </c>
      <c r="AQ73" s="151">
        <f t="shared" si="33"/>
        <v>443597.38360609685</v>
      </c>
      <c r="AR73" s="151">
        <f t="shared" si="34"/>
        <v>443597.38360609685</v>
      </c>
      <c r="AS73" s="151">
        <f t="shared" si="35"/>
        <v>679782.60100609681</v>
      </c>
      <c r="AT73" s="151">
        <f>IF(K73="Bexar",(AG73/$AT$1)*'1. UC Assumptions'!$E$44-(AH73/$AT$2)*'1. UC Assumptions'!$E$42,0)</f>
        <v>0</v>
      </c>
      <c r="AU73" s="151">
        <f>IF(K73="Dallas",(AG73/$AU$1)*'1. UC Assumptions'!$F$44-(AH73/$AU$2)*'1. UC Assumptions'!$F$42,0)</f>
        <v>0</v>
      </c>
      <c r="AV73" s="151">
        <f>IF(K73="El Paso",(AG73/$AV$1)*'1. UC Assumptions'!$G$44-(AH73/$AV$2)*'1. UC Assumptions'!$G$42,0)</f>
        <v>0</v>
      </c>
      <c r="AW73" s="151">
        <f>IF(K73="Harris",(AG73/$AW$1)*'1. UC Assumptions'!$H$44-(AH73/$AW$2)*'1. UC Assumptions'!$H$42,0)</f>
        <v>0</v>
      </c>
      <c r="AX73" s="151">
        <f>IF(K73="Hidalgo",(AG73/$AX$1)*'1. UC Assumptions'!$I$44-(AH73/$AX$2)*'1. UC Assumptions'!$I$42,0)</f>
        <v>0</v>
      </c>
      <c r="AY73" s="151">
        <f>IF(K73="Jefferson",(AG73/$AY$1)*'1. UC Assumptions'!$J$44-(AH73/$AY$2)*'1. UC Assumptions'!$J$42,0)</f>
        <v>0</v>
      </c>
      <c r="AZ73" s="151">
        <f>IF(K73="Lubbock",(AG73/$AZ$1)*'1. UC Assumptions'!$K$44-(AH73/$AZ$2)*'1. UC Assumptions'!$K$42,0)</f>
        <v>0</v>
      </c>
      <c r="BA73" s="151">
        <f>IF(K73="MRSA Central",(AG73/$BA$1)*'1. UC Assumptions'!$L$44-(AH73/$BA$2)*'1. UC Assumptions'!$L$42,0)</f>
        <v>0</v>
      </c>
      <c r="BB73" s="151">
        <f>IF(K73="MRSA Northeast",(AG73/$BB$1)*'1. UC Assumptions'!$M$44-(AH73/$BB$2)*'1. UC Assumptions'!$M$42,0)</f>
        <v>0</v>
      </c>
      <c r="BC73" s="151">
        <f>IF(K73="MRSA West",(AG73/$BC$1)*'1. UC Assumptions'!$N$44-(AH73/$BC$2)*'1. UC Assumptions'!$N$42,0)</f>
        <v>0</v>
      </c>
      <c r="BD73" s="151">
        <f>IF(K73="Nueces",(AG73/$BD$1)*'1. UC Assumptions'!$O$44-(AH73/$BD$2)*'1. UC Assumptions'!$O$42,0)</f>
        <v>0</v>
      </c>
      <c r="BE73" s="151">
        <f>IF(K73="Tarrant",(AG73/$BE$1)*'1. UC Assumptions'!$P$44-(AH73/$BE$2)*'1. UC Assumptions'!$P$42,0)</f>
        <v>0</v>
      </c>
      <c r="BF73" s="151">
        <f>IF(K73="Travis",(AG73/$BF$1)*'1. UC Assumptions'!$Q$44-(AH73/$BF$2)*'1. UC Assumptions'!$Q$42,0)</f>
        <v>0</v>
      </c>
      <c r="BG73" s="151">
        <f t="shared" si="36"/>
        <v>0</v>
      </c>
      <c r="BH73" s="151">
        <f t="shared" si="37"/>
        <v>1922827.9665620343</v>
      </c>
      <c r="BI73" s="151">
        <f>ROUNDDOWN(BH73*'1. UC Assumptions'!$C$23,2)</f>
        <v>634533.22</v>
      </c>
      <c r="BJ73" s="154">
        <f t="shared" si="38"/>
        <v>1207115.1865620343</v>
      </c>
      <c r="BK73" s="154">
        <f t="shared" si="39"/>
        <v>398348.00260000001</v>
      </c>
      <c r="BL73" s="154">
        <f t="shared" si="40"/>
        <v>1114432.99</v>
      </c>
      <c r="BM73" s="154">
        <f t="shared" si="41"/>
        <v>367762.88</v>
      </c>
      <c r="BN73" s="101"/>
      <c r="BO73" s="154">
        <f>(BL73*'1. UC Assumptions'!$C$23)-'3.  UC Calculations by Hospital'!BM73</f>
        <v>6.6999999689869583E-3</v>
      </c>
      <c r="BP73" s="13"/>
    </row>
    <row r="74" spans="2:68">
      <c r="B74" s="129" t="s">
        <v>391</v>
      </c>
      <c r="C74" s="91" t="s">
        <v>391</v>
      </c>
      <c r="D74" s="91" t="s">
        <v>214</v>
      </c>
      <c r="E74" s="91"/>
      <c r="F74" s="91"/>
      <c r="G74" s="91" t="s">
        <v>209</v>
      </c>
      <c r="H74" s="91" t="s">
        <v>209</v>
      </c>
      <c r="I74" s="150" t="s">
        <v>210</v>
      </c>
      <c r="J74" s="129" t="s">
        <v>392</v>
      </c>
      <c r="K74" s="91" t="s">
        <v>11</v>
      </c>
      <c r="L74" s="91" t="s">
        <v>253</v>
      </c>
      <c r="M74" s="151">
        <v>78572.440474572795</v>
      </c>
      <c r="N74" s="151">
        <v>0</v>
      </c>
      <c r="O74" s="131">
        <v>0</v>
      </c>
      <c r="P74" s="131">
        <f t="shared" si="21"/>
        <v>0</v>
      </c>
      <c r="Q74" s="131">
        <v>997817.75002918404</v>
      </c>
      <c r="R74" s="131">
        <v>0</v>
      </c>
      <c r="S74" s="131">
        <f t="shared" si="22"/>
        <v>0</v>
      </c>
      <c r="T74" s="131">
        <f t="shared" si="23"/>
        <v>997817.75002918404</v>
      </c>
      <c r="U74" s="131">
        <v>0</v>
      </c>
      <c r="V74" s="131">
        <v>0</v>
      </c>
      <c r="W74" s="131">
        <v>0</v>
      </c>
      <c r="X74" s="131">
        <v>0</v>
      </c>
      <c r="Y74" s="131">
        <v>0</v>
      </c>
      <c r="Z74" s="131">
        <f t="shared" si="24"/>
        <v>0</v>
      </c>
      <c r="AA74" s="131">
        <v>0</v>
      </c>
      <c r="AB74" s="152">
        <f t="shared" si="25"/>
        <v>997817.75002918404</v>
      </c>
      <c r="AC74" s="133">
        <f>IF(D74="Physician Group Practice",(AB74/$AB$393)*'1. UC Assumptions'!$C$15,IF(E74="Rural Hospital",AB74*'1. UC Assumptions'!$C$7/'1. UC Assumptions'!$E$7,(AB74/$AB$397)*('1. UC Assumptions'!$C$9)))</f>
        <v>469119.63147727848</v>
      </c>
      <c r="AD74" s="133">
        <f t="shared" si="26"/>
        <v>0</v>
      </c>
      <c r="AE74" s="133">
        <f t="shared" si="27"/>
        <v>528698.1185519055</v>
      </c>
      <c r="AF74" s="133">
        <f t="shared" si="28"/>
        <v>0</v>
      </c>
      <c r="AG74" s="133">
        <f t="shared" si="29"/>
        <v>528698.1185519055</v>
      </c>
      <c r="AH74" s="133">
        <f t="shared" si="30"/>
        <v>469119.63147727848</v>
      </c>
      <c r="AI74" s="131">
        <f>AH74*'1. UC Assumptions'!$C$23</f>
        <v>154809.47838750188</v>
      </c>
      <c r="AJ74" s="131">
        <v>0</v>
      </c>
      <c r="AK74" s="131">
        <f>AJ74*(1-'1. UC Assumptions'!$C$22)</f>
        <v>0</v>
      </c>
      <c r="AL74" s="131"/>
      <c r="AM74" s="131">
        <f>AL74*'1. UC Assumptions'!$C$23</f>
        <v>0</v>
      </c>
      <c r="AN74" s="153">
        <f t="shared" si="31"/>
        <v>997817.75002918404</v>
      </c>
      <c r="AO74" s="151">
        <f>AN74*'1. UC Assumptions'!$C$23</f>
        <v>329279.85750963067</v>
      </c>
      <c r="AP74" s="151">
        <f t="shared" si="32"/>
        <v>997817.75002918404</v>
      </c>
      <c r="AQ74" s="151">
        <f t="shared" si="33"/>
        <v>329279.85750963067</v>
      </c>
      <c r="AR74" s="151">
        <f t="shared" si="34"/>
        <v>329279.85750963067</v>
      </c>
      <c r="AS74" s="151">
        <f t="shared" si="35"/>
        <v>329279.85750963067</v>
      </c>
      <c r="AT74" s="151">
        <f>IF(K74="Bexar",(AG74/$AT$1)*'1. UC Assumptions'!$E$44-(AH74/$AT$2)*'1. UC Assumptions'!$E$42,0)</f>
        <v>0</v>
      </c>
      <c r="AU74" s="151">
        <f>IF(K74="Dallas",(AG74/$AU$1)*'1. UC Assumptions'!$F$44-(AH74/$AU$2)*'1. UC Assumptions'!$F$42,0)</f>
        <v>0</v>
      </c>
      <c r="AV74" s="151">
        <f>IF(K74="El Paso",(AG74/$AV$1)*'1. UC Assumptions'!$G$44-(AH74/$AV$2)*'1. UC Assumptions'!$G$42,0)</f>
        <v>0</v>
      </c>
      <c r="AW74" s="151">
        <f>IF(K74="Harris",(AG74/$AW$1)*'1. UC Assumptions'!$H$44-(AH74/$AW$2)*'1. UC Assumptions'!$H$42,0)</f>
        <v>0</v>
      </c>
      <c r="AX74" s="151">
        <f>IF(K74="Hidalgo",(AG74/$AX$1)*'1. UC Assumptions'!$I$44-(AH74/$AX$2)*'1. UC Assumptions'!$I$42,0)</f>
        <v>0</v>
      </c>
      <c r="AY74" s="151">
        <f>IF(K74="Jefferson",(AG74/$AY$1)*'1. UC Assumptions'!$J$44-(AH74/$AY$2)*'1. UC Assumptions'!$J$42,0)</f>
        <v>0</v>
      </c>
      <c r="AZ74" s="151">
        <f>IF(K74="Lubbock",(AG74/$AZ$1)*'1. UC Assumptions'!$K$44-(AH74/$AZ$2)*'1. UC Assumptions'!$K$42,0)</f>
        <v>0</v>
      </c>
      <c r="BA74" s="151">
        <f>IF(K74="MRSA Central",(AG74/$BA$1)*'1. UC Assumptions'!$L$44-(AH74/$BA$2)*'1. UC Assumptions'!$L$42,0)</f>
        <v>0</v>
      </c>
      <c r="BB74" s="151">
        <f>IF(K74="MRSA Northeast",(AG74/$BB$1)*'1. UC Assumptions'!$M$44-(AH74/$BB$2)*'1. UC Assumptions'!$M$42,0)</f>
        <v>0</v>
      </c>
      <c r="BC74" s="151">
        <f>IF(K74="MRSA West",(AG74/$BC$1)*'1. UC Assumptions'!$N$44-(AH74/$BC$2)*'1. UC Assumptions'!$N$42,0)</f>
        <v>0</v>
      </c>
      <c r="BD74" s="151">
        <f>IF(K74="Nueces",(AG74/$BD$1)*'1. UC Assumptions'!$O$44-(AH74/$BD$2)*'1. UC Assumptions'!$O$42,0)</f>
        <v>0</v>
      </c>
      <c r="BE74" s="151">
        <f>IF(K74="Tarrant",(AG74/$BE$1)*'1. UC Assumptions'!$P$44-(AH74/$BE$2)*'1. UC Assumptions'!$P$42,0)</f>
        <v>0</v>
      </c>
      <c r="BF74" s="151">
        <f>IF(K74="Travis",(AG74/$BF$1)*'1. UC Assumptions'!$Q$44-(AH74/$BF$2)*'1. UC Assumptions'!$Q$42,0)</f>
        <v>0</v>
      </c>
      <c r="BG74" s="151">
        <f t="shared" si="36"/>
        <v>0</v>
      </c>
      <c r="BH74" s="151">
        <f t="shared" si="37"/>
        <v>469119.63147727848</v>
      </c>
      <c r="BI74" s="151">
        <f>ROUNDDOWN(BH74*'1. UC Assumptions'!$C$23,2)</f>
        <v>154809.47</v>
      </c>
      <c r="BJ74" s="154">
        <f t="shared" si="38"/>
        <v>469119.63147727848</v>
      </c>
      <c r="BK74" s="154">
        <f t="shared" si="39"/>
        <v>154809.47</v>
      </c>
      <c r="BL74" s="154">
        <f t="shared" si="40"/>
        <v>433100.67</v>
      </c>
      <c r="BM74" s="154">
        <f t="shared" si="41"/>
        <v>142923.21</v>
      </c>
      <c r="BN74" s="101"/>
      <c r="BO74" s="154">
        <f>(BL74*'1. UC Assumptions'!$C$23)-'3.  UC Calculations by Hospital'!BM74</f>
        <v>1.1099999974248931E-2</v>
      </c>
      <c r="BP74" s="13"/>
    </row>
    <row r="75" spans="2:68">
      <c r="B75" s="129" t="s">
        <v>393</v>
      </c>
      <c r="C75" s="91" t="s">
        <v>393</v>
      </c>
      <c r="D75" s="91" t="s">
        <v>286</v>
      </c>
      <c r="E75" s="91"/>
      <c r="F75" s="91"/>
      <c r="G75" s="91" t="s">
        <v>287</v>
      </c>
      <c r="H75" s="91" t="s">
        <v>209</v>
      </c>
      <c r="I75" s="150" t="s">
        <v>210</v>
      </c>
      <c r="J75" s="129" t="s">
        <v>346</v>
      </c>
      <c r="K75" s="91" t="s">
        <v>15</v>
      </c>
      <c r="L75" s="91" t="s">
        <v>15</v>
      </c>
      <c r="M75" s="151">
        <v>74925.893444005356</v>
      </c>
      <c r="N75" s="151">
        <v>669859.53667268879</v>
      </c>
      <c r="O75" s="131">
        <v>67158.501163324676</v>
      </c>
      <c r="P75" s="131">
        <f t="shared" si="21"/>
        <v>602701.0355093641</v>
      </c>
      <c r="Q75" s="131">
        <v>90051.435402905612</v>
      </c>
      <c r="R75" s="131">
        <v>0</v>
      </c>
      <c r="S75" s="131">
        <f t="shared" si="22"/>
        <v>0</v>
      </c>
      <c r="T75" s="131">
        <f t="shared" si="23"/>
        <v>90051.435402905612</v>
      </c>
      <c r="U75" s="131">
        <v>0</v>
      </c>
      <c r="V75" s="131">
        <v>0</v>
      </c>
      <c r="W75" s="131">
        <v>0</v>
      </c>
      <c r="X75" s="131">
        <v>0</v>
      </c>
      <c r="Y75" s="131">
        <v>9331</v>
      </c>
      <c r="Z75" s="131">
        <f t="shared" si="24"/>
        <v>9331</v>
      </c>
      <c r="AA75" s="131">
        <v>0</v>
      </c>
      <c r="AB75" s="152">
        <f t="shared" si="25"/>
        <v>99382.435402905612</v>
      </c>
      <c r="AC75" s="133">
        <f>IF(D75="Physician Group Practice",(AB75/$AB$393)*'1. UC Assumptions'!$C$15,IF(E75="Rural Hospital",AB75*'1. UC Assumptions'!$C$7/'1. UC Assumptions'!$E$7,(AB75/$AB$397)*('1. UC Assumptions'!$C$9)))</f>
        <v>46724.215389194978</v>
      </c>
      <c r="AD75" s="133">
        <f t="shared" si="26"/>
        <v>0</v>
      </c>
      <c r="AE75" s="133">
        <f t="shared" si="27"/>
        <v>52658.220013710634</v>
      </c>
      <c r="AF75" s="133">
        <f t="shared" si="28"/>
        <v>0</v>
      </c>
      <c r="AG75" s="133">
        <f t="shared" si="29"/>
        <v>52658.220013710634</v>
      </c>
      <c r="AH75" s="133">
        <f t="shared" si="30"/>
        <v>46724.215389194978</v>
      </c>
      <c r="AI75" s="131">
        <f>AH75*'1. UC Assumptions'!$C$23</f>
        <v>15418.991078434341</v>
      </c>
      <c r="AJ75" s="131">
        <v>31312.17</v>
      </c>
      <c r="AK75" s="131">
        <f>AJ75*(1-'1. UC Assumptions'!$C$22)</f>
        <v>10333.016099999999</v>
      </c>
      <c r="AL75" s="131"/>
      <c r="AM75" s="131">
        <f>AL75*'1. UC Assumptions'!$C$23</f>
        <v>0</v>
      </c>
      <c r="AN75" s="153">
        <f t="shared" si="31"/>
        <v>99382.435402905612</v>
      </c>
      <c r="AO75" s="151">
        <f>AN75*'1. UC Assumptions'!$C$23</f>
        <v>32796.203682958847</v>
      </c>
      <c r="AP75" s="151">
        <f t="shared" si="32"/>
        <v>68070.265402905614</v>
      </c>
      <c r="AQ75" s="151">
        <f t="shared" si="33"/>
        <v>22463.187582958846</v>
      </c>
      <c r="AR75" s="151">
        <f t="shared" si="34"/>
        <v>22463.187582958846</v>
      </c>
      <c r="AS75" s="151">
        <f t="shared" si="35"/>
        <v>32796.203682958847</v>
      </c>
      <c r="AT75" s="151">
        <f>IF(K75="Bexar",(AG75/$AT$1)*'1. UC Assumptions'!$E$44-(AH75/$AT$2)*'1. UC Assumptions'!$E$42,0)</f>
        <v>0</v>
      </c>
      <c r="AU75" s="151">
        <f>IF(K75="Dallas",(AG75/$AU$1)*'1. UC Assumptions'!$F$44-(AH75/$AU$2)*'1. UC Assumptions'!$F$42,0)</f>
        <v>0</v>
      </c>
      <c r="AV75" s="151">
        <f>IF(K75="El Paso",(AG75/$AV$1)*'1. UC Assumptions'!$G$44-(AH75/$AV$2)*'1. UC Assumptions'!$G$42,0)</f>
        <v>0</v>
      </c>
      <c r="AW75" s="151">
        <f>IF(K75="Harris",(AG75/$AW$1)*'1. UC Assumptions'!$H$44-(AH75/$AW$2)*'1. UC Assumptions'!$H$42,0)</f>
        <v>0</v>
      </c>
      <c r="AX75" s="151">
        <f>IF(K75="Hidalgo",(AG75/$AX$1)*'1. UC Assumptions'!$I$44-(AH75/$AX$2)*'1. UC Assumptions'!$I$42,0)</f>
        <v>0</v>
      </c>
      <c r="AY75" s="151">
        <f>IF(K75="Jefferson",(AG75/$AY$1)*'1. UC Assumptions'!$J$44-(AH75/$AY$2)*'1. UC Assumptions'!$J$42,0)</f>
        <v>0</v>
      </c>
      <c r="AZ75" s="151">
        <f>IF(K75="Lubbock",(AG75/$AZ$1)*'1. UC Assumptions'!$K$44-(AH75/$AZ$2)*'1. UC Assumptions'!$K$42,0)</f>
        <v>0</v>
      </c>
      <c r="BA75" s="151">
        <f>IF(K75="MRSA Central",(AG75/$BA$1)*'1. UC Assumptions'!$L$44-(AH75/$BA$2)*'1. UC Assumptions'!$L$42,0)</f>
        <v>0</v>
      </c>
      <c r="BB75" s="151">
        <f>IF(K75="MRSA Northeast",(AG75/$BB$1)*'1. UC Assumptions'!$M$44-(AH75/$BB$2)*'1. UC Assumptions'!$M$42,0)</f>
        <v>0</v>
      </c>
      <c r="BC75" s="151">
        <f>IF(K75="MRSA West",(AG75/$BC$1)*'1. UC Assumptions'!$N$44-(AH75/$BC$2)*'1. UC Assumptions'!$N$42,0)</f>
        <v>0</v>
      </c>
      <c r="BD75" s="151">
        <f>IF(K75="Nueces",(AG75/$BD$1)*'1. UC Assumptions'!$O$44-(AH75/$BD$2)*'1. UC Assumptions'!$O$42,0)</f>
        <v>0</v>
      </c>
      <c r="BE75" s="151">
        <f>IF(K75="Tarrant",(AG75/$BE$1)*'1. UC Assumptions'!$P$44-(AH75/$BE$2)*'1. UC Assumptions'!$P$42,0)</f>
        <v>0</v>
      </c>
      <c r="BF75" s="151">
        <f>IF(K75="Travis",(AG75/$BF$1)*'1. UC Assumptions'!$Q$44-(AH75/$BF$2)*'1. UC Assumptions'!$Q$42,0)</f>
        <v>0</v>
      </c>
      <c r="BG75" s="151">
        <f t="shared" si="36"/>
        <v>0</v>
      </c>
      <c r="BH75" s="151">
        <f t="shared" si="37"/>
        <v>46724.215389194978</v>
      </c>
      <c r="BI75" s="151">
        <f>ROUNDDOWN(BH75*'1. UC Assumptions'!$C$23,2)</f>
        <v>15418.99</v>
      </c>
      <c r="BJ75" s="154">
        <f t="shared" si="38"/>
        <v>15412.04538919498</v>
      </c>
      <c r="BK75" s="154">
        <f t="shared" si="39"/>
        <v>5085.9739000000009</v>
      </c>
      <c r="BL75" s="154">
        <f t="shared" si="40"/>
        <v>14228.71</v>
      </c>
      <c r="BM75" s="154">
        <f t="shared" si="41"/>
        <v>4695.47</v>
      </c>
      <c r="BN75" s="101"/>
      <c r="BO75" s="154">
        <f>(BL75*'1. UC Assumptions'!$C$23)-'3.  UC Calculations by Hospital'!BM75</f>
        <v>4.299999998693238E-3</v>
      </c>
      <c r="BP75" s="13"/>
    </row>
    <row r="76" spans="2:68">
      <c r="B76" s="129" t="s">
        <v>394</v>
      </c>
      <c r="C76" s="91" t="s">
        <v>394</v>
      </c>
      <c r="D76" s="91" t="s">
        <v>208</v>
      </c>
      <c r="E76" s="91" t="s">
        <v>149</v>
      </c>
      <c r="F76" s="91"/>
      <c r="G76" s="91" t="s">
        <v>209</v>
      </c>
      <c r="H76" s="91" t="s">
        <v>209</v>
      </c>
      <c r="I76" s="150" t="s">
        <v>210</v>
      </c>
      <c r="J76" s="129" t="s">
        <v>395</v>
      </c>
      <c r="K76" s="91" t="s">
        <v>12</v>
      </c>
      <c r="L76" s="91" t="s">
        <v>396</v>
      </c>
      <c r="M76" s="151">
        <v>82467.470901222463</v>
      </c>
      <c r="N76" s="151">
        <v>0</v>
      </c>
      <c r="O76" s="131">
        <v>0</v>
      </c>
      <c r="P76" s="131">
        <f t="shared" si="21"/>
        <v>0</v>
      </c>
      <c r="Q76" s="131">
        <v>181340.35350394878</v>
      </c>
      <c r="R76" s="131">
        <v>0</v>
      </c>
      <c r="S76" s="131">
        <f t="shared" si="22"/>
        <v>0</v>
      </c>
      <c r="T76" s="131">
        <f t="shared" si="23"/>
        <v>181340.35350394878</v>
      </c>
      <c r="U76" s="131">
        <v>0</v>
      </c>
      <c r="V76" s="131">
        <v>0</v>
      </c>
      <c r="W76" s="131">
        <v>0</v>
      </c>
      <c r="X76" s="131">
        <v>0</v>
      </c>
      <c r="Y76" s="131">
        <v>0</v>
      </c>
      <c r="Z76" s="131">
        <f t="shared" si="24"/>
        <v>0</v>
      </c>
      <c r="AA76" s="131">
        <v>0</v>
      </c>
      <c r="AB76" s="152">
        <f t="shared" si="25"/>
        <v>181340.35350394878</v>
      </c>
      <c r="AC76" s="133">
        <f>IF(D76="Physician Group Practice",(AB76/$AB$393)*'1. UC Assumptions'!$C$15,IF(E76="Rural Hospital",AB76*'1. UC Assumptions'!$C$7/'1. UC Assumptions'!$E$7,(AB76/$AB$397)*('1. UC Assumptions'!$C$9)))</f>
        <v>169269.52805249664</v>
      </c>
      <c r="AD76" s="133">
        <f t="shared" si="26"/>
        <v>0</v>
      </c>
      <c r="AE76" s="133">
        <f t="shared" si="27"/>
        <v>12070.82545145214</v>
      </c>
      <c r="AF76" s="133">
        <f t="shared" si="28"/>
        <v>0</v>
      </c>
      <c r="AG76" s="133">
        <f t="shared" si="29"/>
        <v>12070.82545145214</v>
      </c>
      <c r="AH76" s="133">
        <f t="shared" si="30"/>
        <v>169269.52805249664</v>
      </c>
      <c r="AI76" s="131">
        <f>AH76*'1. UC Assumptions'!$C$23</f>
        <v>55858.944257323885</v>
      </c>
      <c r="AJ76" s="131">
        <v>53020.59</v>
      </c>
      <c r="AK76" s="131">
        <f>AJ76*(1-'1. UC Assumptions'!$C$22)</f>
        <v>17496.794699999995</v>
      </c>
      <c r="AL76" s="131"/>
      <c r="AM76" s="131">
        <f>AL76*'1. UC Assumptions'!$C$23</f>
        <v>0</v>
      </c>
      <c r="AN76" s="153">
        <f t="shared" si="31"/>
        <v>181340.35350394878</v>
      </c>
      <c r="AO76" s="151">
        <f>AN76*'1. UC Assumptions'!$C$23</f>
        <v>59842.31665630309</v>
      </c>
      <c r="AP76" s="151">
        <f t="shared" si="32"/>
        <v>128319.76350394878</v>
      </c>
      <c r="AQ76" s="151">
        <f t="shared" si="33"/>
        <v>42345.521956303099</v>
      </c>
      <c r="AR76" s="151">
        <f t="shared" si="34"/>
        <v>42345.521956303099</v>
      </c>
      <c r="AS76" s="151">
        <f t="shared" si="35"/>
        <v>59842.316656303097</v>
      </c>
      <c r="AT76" s="151">
        <f>IF(K76="Bexar",(AG76/$AT$1)*'1. UC Assumptions'!$E$44-(AH76/$AT$2)*'1. UC Assumptions'!$E$42,0)</f>
        <v>0</v>
      </c>
      <c r="AU76" s="151">
        <f>IF(K76="Dallas",(AG76/$AU$1)*'1. UC Assumptions'!$F$44-(AH76/$AU$2)*'1. UC Assumptions'!$F$42,0)</f>
        <v>0</v>
      </c>
      <c r="AV76" s="151">
        <f>IF(K76="El Paso",(AG76/$AV$1)*'1. UC Assumptions'!$G$44-(AH76/$AV$2)*'1. UC Assumptions'!$G$42,0)</f>
        <v>0</v>
      </c>
      <c r="AW76" s="151">
        <f>IF(K76="Harris",(AG76/$AW$1)*'1. UC Assumptions'!$H$44-(AH76/$AW$2)*'1. UC Assumptions'!$H$42,0)</f>
        <v>0</v>
      </c>
      <c r="AX76" s="151">
        <f>IF(K76="Hidalgo",(AG76/$AX$1)*'1. UC Assumptions'!$I$44-(AH76/$AX$2)*'1. UC Assumptions'!$I$42,0)</f>
        <v>0</v>
      </c>
      <c r="AY76" s="151">
        <f>IF(K76="Jefferson",(AG76/$AY$1)*'1. UC Assumptions'!$J$44-(AH76/$AY$2)*'1. UC Assumptions'!$J$42,0)</f>
        <v>0</v>
      </c>
      <c r="AZ76" s="151">
        <f>IF(K76="Lubbock",(AG76/$AZ$1)*'1. UC Assumptions'!$K$44-(AH76/$AZ$2)*'1. UC Assumptions'!$K$42,0)</f>
        <v>0</v>
      </c>
      <c r="BA76" s="151">
        <f>IF(K76="MRSA Central",(AG76/$BA$1)*'1. UC Assumptions'!$L$44-(AH76/$BA$2)*'1. UC Assumptions'!$L$42,0)</f>
        <v>0</v>
      </c>
      <c r="BB76" s="151">
        <f>IF(K76="MRSA Northeast",(AG76/$BB$1)*'1. UC Assumptions'!$M$44-(AH76/$BB$2)*'1. UC Assumptions'!$M$42,0)</f>
        <v>0</v>
      </c>
      <c r="BC76" s="151">
        <f>IF(K76="MRSA West",(AG76/$BC$1)*'1. UC Assumptions'!$N$44-(AH76/$BC$2)*'1. UC Assumptions'!$N$42,0)</f>
        <v>0</v>
      </c>
      <c r="BD76" s="151">
        <f>IF(K76="Nueces",(AG76/$BD$1)*'1. UC Assumptions'!$O$44-(AH76/$BD$2)*'1. UC Assumptions'!$O$42,0)</f>
        <v>0</v>
      </c>
      <c r="BE76" s="151">
        <f>IF(K76="Tarrant",(AG76/$BE$1)*'1. UC Assumptions'!$P$44-(AH76/$BE$2)*'1. UC Assumptions'!$P$42,0)</f>
        <v>0</v>
      </c>
      <c r="BF76" s="151">
        <f>IF(K76="Travis",(AG76/$BF$1)*'1. UC Assumptions'!$Q$44-(AH76/$BF$2)*'1. UC Assumptions'!$Q$42,0)</f>
        <v>0</v>
      </c>
      <c r="BG76" s="151">
        <f t="shared" si="36"/>
        <v>0</v>
      </c>
      <c r="BH76" s="151">
        <f t="shared" si="37"/>
        <v>169269.52805249664</v>
      </c>
      <c r="BI76" s="151">
        <f>ROUNDDOWN(BH76*'1. UC Assumptions'!$C$23,2)</f>
        <v>55858.94</v>
      </c>
      <c r="BJ76" s="154">
        <f t="shared" si="38"/>
        <v>116248.93805249664</v>
      </c>
      <c r="BK76" s="154">
        <f t="shared" si="39"/>
        <v>38362.145300000004</v>
      </c>
      <c r="BL76" s="154">
        <f t="shared" si="40"/>
        <v>107323.35</v>
      </c>
      <c r="BM76" s="154">
        <f t="shared" si="41"/>
        <v>35416.699999999997</v>
      </c>
      <c r="BN76" s="101"/>
      <c r="BO76" s="154">
        <f>(BL76*'1. UC Assumptions'!$C$23)-'3.  UC Calculations by Hospital'!BM76</f>
        <v>5.4999999993015081E-3</v>
      </c>
      <c r="BP76" s="13"/>
    </row>
    <row r="77" spans="2:68">
      <c r="B77" s="129" t="s">
        <v>108</v>
      </c>
      <c r="C77" s="91" t="s">
        <v>108</v>
      </c>
      <c r="D77" s="91" t="s">
        <v>281</v>
      </c>
      <c r="E77" s="91"/>
      <c r="F77" s="91"/>
      <c r="G77" s="91" t="s">
        <v>282</v>
      </c>
      <c r="H77" s="91" t="s">
        <v>209</v>
      </c>
      <c r="I77" s="150" t="s">
        <v>283</v>
      </c>
      <c r="J77" s="129" t="s">
        <v>397</v>
      </c>
      <c r="K77" s="91" t="s">
        <v>10</v>
      </c>
      <c r="L77" s="91" t="s">
        <v>398</v>
      </c>
      <c r="M77" s="151">
        <v>12557586.743861375</v>
      </c>
      <c r="N77" s="151">
        <v>2302338.5056358399</v>
      </c>
      <c r="O77" s="131">
        <v>0</v>
      </c>
      <c r="P77" s="131">
        <f t="shared" si="21"/>
        <v>2302338.5056358399</v>
      </c>
      <c r="Q77" s="131">
        <v>10479.13724928</v>
      </c>
      <c r="R77" s="131">
        <v>0</v>
      </c>
      <c r="S77" s="131">
        <f t="shared" si="22"/>
        <v>0</v>
      </c>
      <c r="T77" s="131">
        <f t="shared" si="23"/>
        <v>10479.13724928</v>
      </c>
      <c r="U77" s="131">
        <v>151</v>
      </c>
      <c r="V77" s="131">
        <v>0</v>
      </c>
      <c r="W77" s="131">
        <v>18809</v>
      </c>
      <c r="X77" s="131">
        <v>0</v>
      </c>
      <c r="Y77" s="131">
        <v>1101400</v>
      </c>
      <c r="Z77" s="131">
        <f t="shared" si="24"/>
        <v>1120360</v>
      </c>
      <c r="AA77" s="131">
        <v>0</v>
      </c>
      <c r="AB77" s="152">
        <f t="shared" si="25"/>
        <v>18960</v>
      </c>
      <c r="AC77" s="133">
        <f>IF(D77="Physician Group Practice",(AB77/$AB$393)*'1. UC Assumptions'!$C$15,IF(E77="Rural Hospital",AB77*'1. UC Assumptions'!$C$7/'1. UC Assumptions'!$E$7,(AB77/$AB$397)*('1. UC Assumptions'!$C$9)))</f>
        <v>8913.9607032938166</v>
      </c>
      <c r="AD77" s="133">
        <f t="shared" si="26"/>
        <v>0</v>
      </c>
      <c r="AE77" s="133">
        <f t="shared" si="27"/>
        <v>10046.039296706183</v>
      </c>
      <c r="AF77" s="133">
        <f t="shared" si="28"/>
        <v>0</v>
      </c>
      <c r="AG77" s="133">
        <f t="shared" si="29"/>
        <v>10046.039296706183</v>
      </c>
      <c r="AH77" s="133">
        <f t="shared" si="30"/>
        <v>8913.9607032938166</v>
      </c>
      <c r="AI77" s="131">
        <f>AH77*'1. UC Assumptions'!$C$23</f>
        <v>2941.607032086959</v>
      </c>
      <c r="AJ77" s="131">
        <v>1158572.68</v>
      </c>
      <c r="AK77" s="131">
        <f>AJ77*(1-'1. UC Assumptions'!$C$22)</f>
        <v>382328.98439999996</v>
      </c>
      <c r="AL77" s="131"/>
      <c r="AM77" s="131">
        <f>AL77*'1. UC Assumptions'!$C$23</f>
        <v>0</v>
      </c>
      <c r="AN77" s="153">
        <f t="shared" si="31"/>
        <v>18960</v>
      </c>
      <c r="AO77" s="151">
        <f>AN77*'1. UC Assumptions'!$C$23</f>
        <v>6256.7999999999993</v>
      </c>
      <c r="AP77" s="151">
        <f t="shared" si="32"/>
        <v>18960</v>
      </c>
      <c r="AQ77" s="151">
        <f t="shared" si="33"/>
        <v>6256.7999999999993</v>
      </c>
      <c r="AR77" s="151">
        <f t="shared" si="34"/>
        <v>6256.7999999999993</v>
      </c>
      <c r="AS77" s="151">
        <f t="shared" si="35"/>
        <v>6256.7999999999993</v>
      </c>
      <c r="AT77" s="151">
        <f>IF(K77="Bexar",(AG77/$AT$1)*'1. UC Assumptions'!$E$44-(AH77/$AT$2)*'1. UC Assumptions'!$E$42,0)</f>
        <v>0</v>
      </c>
      <c r="AU77" s="151">
        <f>IF(K77="Dallas",(AG77/$AU$1)*'1. UC Assumptions'!$F$44-(AH77/$AU$2)*'1. UC Assumptions'!$F$42,0)</f>
        <v>0</v>
      </c>
      <c r="AV77" s="151">
        <f>IF(K77="El Paso",(AG77/$AV$1)*'1. UC Assumptions'!$G$44-(AH77/$AV$2)*'1. UC Assumptions'!$G$42,0)</f>
        <v>0</v>
      </c>
      <c r="AW77" s="151">
        <f>IF(K77="Harris",(AG77/$AW$1)*'1. UC Assumptions'!$H$44-(AH77/$AW$2)*'1. UC Assumptions'!$H$42,0)</f>
        <v>0</v>
      </c>
      <c r="AX77" s="151">
        <f>IF(K77="Hidalgo",(AG77/$AX$1)*'1. UC Assumptions'!$I$44-(AH77/$AX$2)*'1. UC Assumptions'!$I$42,0)</f>
        <v>0</v>
      </c>
      <c r="AY77" s="151">
        <f>IF(K77="Jefferson",(AG77/$AY$1)*'1. UC Assumptions'!$J$44-(AH77/$AY$2)*'1. UC Assumptions'!$J$42,0)</f>
        <v>0</v>
      </c>
      <c r="AZ77" s="151">
        <f>IF(K77="Lubbock",(AG77/$AZ$1)*'1. UC Assumptions'!$K$44-(AH77/$AZ$2)*'1. UC Assumptions'!$K$42,0)</f>
        <v>0</v>
      </c>
      <c r="BA77" s="151">
        <f>IF(K77="MRSA Central",(AG77/$BA$1)*'1. UC Assumptions'!$L$44-(AH77/$BA$2)*'1. UC Assumptions'!$L$42,0)</f>
        <v>0</v>
      </c>
      <c r="BB77" s="151">
        <f>IF(K77="MRSA Northeast",(AG77/$BB$1)*'1. UC Assumptions'!$M$44-(AH77/$BB$2)*'1. UC Assumptions'!$M$42,0)</f>
        <v>0</v>
      </c>
      <c r="BC77" s="151">
        <f>IF(K77="MRSA West",(AG77/$BC$1)*'1. UC Assumptions'!$N$44-(AH77/$BC$2)*'1. UC Assumptions'!$N$42,0)</f>
        <v>0</v>
      </c>
      <c r="BD77" s="151">
        <f>IF(K77="Nueces",(AG77/$BD$1)*'1. UC Assumptions'!$O$44-(AH77/$BD$2)*'1. UC Assumptions'!$O$42,0)</f>
        <v>0</v>
      </c>
      <c r="BE77" s="151">
        <f>IF(K77="Tarrant",(AG77/$BE$1)*'1. UC Assumptions'!$P$44-(AH77/$BE$2)*'1. UC Assumptions'!$P$42,0)</f>
        <v>0</v>
      </c>
      <c r="BF77" s="151">
        <f>IF(K77="Travis",(AG77/$BF$1)*'1. UC Assumptions'!$Q$44-(AH77/$BF$2)*'1. UC Assumptions'!$Q$42,0)</f>
        <v>0</v>
      </c>
      <c r="BG77" s="151">
        <f t="shared" si="36"/>
        <v>0</v>
      </c>
      <c r="BH77" s="151">
        <f t="shared" si="37"/>
        <v>8913.9607032938166</v>
      </c>
      <c r="BI77" s="151">
        <f>ROUNDDOWN(BH77*'1. UC Assumptions'!$C$23,2)</f>
        <v>2941.6</v>
      </c>
      <c r="BJ77" s="154">
        <f t="shared" si="38"/>
        <v>8913.9607032938166</v>
      </c>
      <c r="BK77" s="154">
        <f t="shared" si="39"/>
        <v>2941.6</v>
      </c>
      <c r="BL77" s="154">
        <f t="shared" si="40"/>
        <v>8229.5499999999993</v>
      </c>
      <c r="BM77" s="154">
        <f t="shared" si="41"/>
        <v>2715.74</v>
      </c>
      <c r="BN77" s="101"/>
      <c r="BO77" s="154">
        <f>(BL77*'1. UC Assumptions'!$C$23)-'3.  UC Calculations by Hospital'!BM77</f>
        <v>1.1499999999614374E-2</v>
      </c>
      <c r="BP77" s="13"/>
    </row>
    <row r="78" spans="2:68">
      <c r="B78" s="129" t="s">
        <v>399</v>
      </c>
      <c r="C78" s="91" t="s">
        <v>399</v>
      </c>
      <c r="D78" s="91" t="s">
        <v>214</v>
      </c>
      <c r="E78" s="91" t="s">
        <v>149</v>
      </c>
      <c r="F78" s="91"/>
      <c r="G78" s="91" t="s">
        <v>209</v>
      </c>
      <c r="H78" s="91" t="s">
        <v>209</v>
      </c>
      <c r="I78" s="150" t="s">
        <v>210</v>
      </c>
      <c r="J78" s="129" t="s">
        <v>400</v>
      </c>
      <c r="K78" s="91" t="s">
        <v>7</v>
      </c>
      <c r="L78" s="91" t="s">
        <v>401</v>
      </c>
      <c r="M78" s="151">
        <v>-7650156.5337895937</v>
      </c>
      <c r="N78" s="151">
        <v>4950798.295566964</v>
      </c>
      <c r="O78" s="131">
        <v>2854683.8438952961</v>
      </c>
      <c r="P78" s="131">
        <f t="shared" si="21"/>
        <v>2096114.4516716679</v>
      </c>
      <c r="Q78" s="131">
        <v>4140690.4668403454</v>
      </c>
      <c r="R78" s="131">
        <v>0</v>
      </c>
      <c r="S78" s="131">
        <f t="shared" si="22"/>
        <v>0</v>
      </c>
      <c r="T78" s="131">
        <f t="shared" si="23"/>
        <v>4140690.4668403454</v>
      </c>
      <c r="U78" s="131">
        <v>230595</v>
      </c>
      <c r="V78" s="131">
        <v>0</v>
      </c>
      <c r="W78" s="131">
        <v>0</v>
      </c>
      <c r="X78" s="131">
        <v>0</v>
      </c>
      <c r="Y78" s="131">
        <v>148279.9969236019</v>
      </c>
      <c r="Z78" s="131">
        <f t="shared" si="24"/>
        <v>378874.9969236019</v>
      </c>
      <c r="AA78" s="131">
        <v>0</v>
      </c>
      <c r="AB78" s="152">
        <f t="shared" si="25"/>
        <v>4519565.4637639476</v>
      </c>
      <c r="AC78" s="133">
        <f>IF(D78="Physician Group Practice",(AB78/$AB$393)*'1. UC Assumptions'!$C$15,IF(E78="Rural Hospital",AB78*'1. UC Assumptions'!$C$7/'1. UC Assumptions'!$E$7,(AB78/$AB$397)*('1. UC Assumptions'!$C$9)))</f>
        <v>4218722.9608385414</v>
      </c>
      <c r="AD78" s="133">
        <f t="shared" si="26"/>
        <v>0</v>
      </c>
      <c r="AE78" s="133">
        <f t="shared" si="27"/>
        <v>300842.50292540621</v>
      </c>
      <c r="AF78" s="133">
        <f t="shared" si="28"/>
        <v>0</v>
      </c>
      <c r="AG78" s="133">
        <f t="shared" si="29"/>
        <v>300842.50292540621</v>
      </c>
      <c r="AH78" s="133">
        <f t="shared" si="30"/>
        <v>4218722.9608385414</v>
      </c>
      <c r="AI78" s="131">
        <f>AH78*'1. UC Assumptions'!$C$23</f>
        <v>1392178.5770767184</v>
      </c>
      <c r="AJ78" s="131">
        <v>2197330.52</v>
      </c>
      <c r="AK78" s="131">
        <f>AJ78*(1-'1. UC Assumptions'!$C$22)</f>
        <v>725119.07159999991</v>
      </c>
      <c r="AL78" s="131"/>
      <c r="AM78" s="131">
        <f>AL78*'1. UC Assumptions'!$C$23</f>
        <v>0</v>
      </c>
      <c r="AN78" s="153">
        <f t="shared" si="31"/>
        <v>4519565.4637639476</v>
      </c>
      <c r="AO78" s="151">
        <f>AN78*'1. UC Assumptions'!$C$23</f>
        <v>1491456.6030421024</v>
      </c>
      <c r="AP78" s="151">
        <f t="shared" si="32"/>
        <v>2322234.9437639476</v>
      </c>
      <c r="AQ78" s="151">
        <f t="shared" si="33"/>
        <v>766337.53144210251</v>
      </c>
      <c r="AR78" s="151">
        <f t="shared" si="34"/>
        <v>766337.53144210251</v>
      </c>
      <c r="AS78" s="151">
        <f t="shared" si="35"/>
        <v>1491456.6030421024</v>
      </c>
      <c r="AT78" s="151">
        <f>IF(K78="Bexar",(AG78/$AT$1)*'1. UC Assumptions'!$E$44-(AH78/$AT$2)*'1. UC Assumptions'!$E$42,0)</f>
        <v>0</v>
      </c>
      <c r="AU78" s="151">
        <f>IF(K78="Dallas",(AG78/$AU$1)*'1. UC Assumptions'!$F$44-(AH78/$AU$2)*'1. UC Assumptions'!$F$42,0)</f>
        <v>0</v>
      </c>
      <c r="AV78" s="151">
        <f>IF(K78="El Paso",(AG78/$AV$1)*'1. UC Assumptions'!$G$44-(AH78/$AV$2)*'1. UC Assumptions'!$G$42,0)</f>
        <v>0</v>
      </c>
      <c r="AW78" s="151">
        <f>IF(K78="Harris",(AG78/$AW$1)*'1. UC Assumptions'!$H$44-(AH78/$AW$2)*'1. UC Assumptions'!$H$42,0)</f>
        <v>0</v>
      </c>
      <c r="AX78" s="151">
        <f>IF(K78="Hidalgo",(AG78/$AX$1)*'1. UC Assumptions'!$I$44-(AH78/$AX$2)*'1. UC Assumptions'!$I$42,0)</f>
        <v>0</v>
      </c>
      <c r="AY78" s="151">
        <f>IF(K78="Jefferson",(AG78/$AY$1)*'1. UC Assumptions'!$J$44-(AH78/$AY$2)*'1. UC Assumptions'!$J$42,0)</f>
        <v>0</v>
      </c>
      <c r="AZ78" s="151">
        <f>IF(K78="Lubbock",(AG78/$AZ$1)*'1. UC Assumptions'!$K$44-(AH78/$AZ$2)*'1. UC Assumptions'!$K$42,0)</f>
        <v>0</v>
      </c>
      <c r="BA78" s="151">
        <f>IF(K78="MRSA Central",(AG78/$BA$1)*'1. UC Assumptions'!$L$44-(AH78/$BA$2)*'1. UC Assumptions'!$L$42,0)</f>
        <v>0</v>
      </c>
      <c r="BB78" s="151">
        <f>IF(K78="MRSA Northeast",(AG78/$BB$1)*'1. UC Assumptions'!$M$44-(AH78/$BB$2)*'1. UC Assumptions'!$M$42,0)</f>
        <v>0</v>
      </c>
      <c r="BC78" s="151">
        <f>IF(K78="MRSA West",(AG78/$BC$1)*'1. UC Assumptions'!$N$44-(AH78/$BC$2)*'1. UC Assumptions'!$N$42,0)</f>
        <v>0</v>
      </c>
      <c r="BD78" s="151">
        <f>IF(K78="Nueces",(AG78/$BD$1)*'1. UC Assumptions'!$O$44-(AH78/$BD$2)*'1. UC Assumptions'!$O$42,0)</f>
        <v>0</v>
      </c>
      <c r="BE78" s="151">
        <f>IF(K78="Tarrant",(AG78/$BE$1)*'1. UC Assumptions'!$P$44-(AH78/$BE$2)*'1. UC Assumptions'!$P$42,0)</f>
        <v>0</v>
      </c>
      <c r="BF78" s="151">
        <f>IF(K78="Travis",(AG78/$BF$1)*'1. UC Assumptions'!$Q$44-(AH78/$BF$2)*'1. UC Assumptions'!$Q$42,0)</f>
        <v>0</v>
      </c>
      <c r="BG78" s="151">
        <f t="shared" si="36"/>
        <v>0</v>
      </c>
      <c r="BH78" s="151">
        <f t="shared" si="37"/>
        <v>4218722.9608385414</v>
      </c>
      <c r="BI78" s="151">
        <f>ROUNDDOWN(BH78*'1. UC Assumptions'!$C$23,2)</f>
        <v>1392178.57</v>
      </c>
      <c r="BJ78" s="154">
        <f t="shared" si="38"/>
        <v>2021392.4408385414</v>
      </c>
      <c r="BK78" s="154">
        <f t="shared" si="39"/>
        <v>667059.49840000016</v>
      </c>
      <c r="BL78" s="154">
        <f t="shared" si="40"/>
        <v>1866190.1</v>
      </c>
      <c r="BM78" s="154">
        <f t="shared" si="41"/>
        <v>615842.73</v>
      </c>
      <c r="BN78" s="101"/>
      <c r="BO78" s="154">
        <f>(BL78*'1. UC Assumptions'!$C$23)-'3.  UC Calculations by Hospital'!BM78</f>
        <v>3.0000000260770321E-3</v>
      </c>
      <c r="BP78" s="13"/>
    </row>
    <row r="79" spans="2:68">
      <c r="B79" s="129" t="s">
        <v>402</v>
      </c>
      <c r="C79" s="91" t="s">
        <v>402</v>
      </c>
      <c r="D79" s="91" t="s">
        <v>214</v>
      </c>
      <c r="E79" s="91"/>
      <c r="F79" s="91"/>
      <c r="G79" s="91" t="s">
        <v>209</v>
      </c>
      <c r="H79" s="91" t="s">
        <v>209</v>
      </c>
      <c r="I79" s="150" t="s">
        <v>210</v>
      </c>
      <c r="J79" s="129" t="s">
        <v>403</v>
      </c>
      <c r="K79" s="91" t="s">
        <v>11</v>
      </c>
      <c r="L79" s="91" t="s">
        <v>404</v>
      </c>
      <c r="M79" s="151">
        <v>-1760935.006780541</v>
      </c>
      <c r="N79" s="151">
        <v>7803169.7792462483</v>
      </c>
      <c r="O79" s="131">
        <v>5515377.4945296384</v>
      </c>
      <c r="P79" s="131">
        <f t="shared" si="21"/>
        <v>2287792.2847166099</v>
      </c>
      <c r="Q79" s="131">
        <v>5949566.4204754177</v>
      </c>
      <c r="R79" s="131">
        <v>4582308.6300000008</v>
      </c>
      <c r="S79" s="131">
        <f t="shared" si="22"/>
        <v>4055451.3520639315</v>
      </c>
      <c r="T79" s="131">
        <f t="shared" si="23"/>
        <v>1894115.0684114862</v>
      </c>
      <c r="U79" s="131">
        <v>1256362</v>
      </c>
      <c r="V79" s="131">
        <v>0</v>
      </c>
      <c r="W79" s="131">
        <v>402117</v>
      </c>
      <c r="X79" s="131">
        <v>0</v>
      </c>
      <c r="Y79" s="131">
        <v>2165279.0770846624</v>
      </c>
      <c r="Z79" s="131">
        <f t="shared" si="24"/>
        <v>3823758.0770846624</v>
      </c>
      <c r="AA79" s="131">
        <v>0</v>
      </c>
      <c r="AB79" s="152">
        <f t="shared" si="25"/>
        <v>5717873.1454961486</v>
      </c>
      <c r="AC79" s="133">
        <f>IF(D79="Physician Group Practice",(AB79/$AB$393)*'1. UC Assumptions'!$C$15,IF(E79="Rural Hospital",AB79*'1. UC Assumptions'!$C$7/'1. UC Assumptions'!$E$7,(AB79/$AB$397)*('1. UC Assumptions'!$C$9)))</f>
        <v>2688232.9391018818</v>
      </c>
      <c r="AD79" s="133">
        <f t="shared" si="26"/>
        <v>0</v>
      </c>
      <c r="AE79" s="133">
        <f t="shared" si="27"/>
        <v>3029640.2063942668</v>
      </c>
      <c r="AF79" s="133">
        <f t="shared" si="28"/>
        <v>0</v>
      </c>
      <c r="AG79" s="133">
        <f t="shared" si="29"/>
        <v>3029640.2063942668</v>
      </c>
      <c r="AH79" s="133">
        <f t="shared" si="30"/>
        <v>2688232.9391018818</v>
      </c>
      <c r="AI79" s="131">
        <f>AH79*'1. UC Assumptions'!$C$23</f>
        <v>887116.86990362091</v>
      </c>
      <c r="AJ79" s="131">
        <v>3679191.99</v>
      </c>
      <c r="AK79" s="131">
        <f>AJ79*(1-'1. UC Assumptions'!$C$22)</f>
        <v>1214133.3566999999</v>
      </c>
      <c r="AL79" s="131"/>
      <c r="AM79" s="131">
        <f>AL79*'1. UC Assumptions'!$C$23</f>
        <v>0</v>
      </c>
      <c r="AN79" s="153">
        <f t="shared" si="31"/>
        <v>5717873.1454961486</v>
      </c>
      <c r="AO79" s="151">
        <f>AN79*'1. UC Assumptions'!$C$23</f>
        <v>1886898.1380137289</v>
      </c>
      <c r="AP79" s="151">
        <f t="shared" si="32"/>
        <v>2038681.1554961484</v>
      </c>
      <c r="AQ79" s="151">
        <f t="shared" si="33"/>
        <v>672764.78131372901</v>
      </c>
      <c r="AR79" s="151">
        <f t="shared" si="34"/>
        <v>672764.78131372901</v>
      </c>
      <c r="AS79" s="151">
        <f t="shared" si="35"/>
        <v>1886898.1380137289</v>
      </c>
      <c r="AT79" s="151">
        <f>IF(K79="Bexar",(AG79/$AT$1)*'1. UC Assumptions'!$E$44-(AH79/$AT$2)*'1. UC Assumptions'!$E$42,0)</f>
        <v>0</v>
      </c>
      <c r="AU79" s="151">
        <f>IF(K79="Dallas",(AG79/$AU$1)*'1. UC Assumptions'!$F$44-(AH79/$AU$2)*'1. UC Assumptions'!$F$42,0)</f>
        <v>0</v>
      </c>
      <c r="AV79" s="151">
        <f>IF(K79="El Paso",(AG79/$AV$1)*'1. UC Assumptions'!$G$44-(AH79/$AV$2)*'1. UC Assumptions'!$G$42,0)</f>
        <v>0</v>
      </c>
      <c r="AW79" s="151">
        <f>IF(K79="Harris",(AG79/$AW$1)*'1. UC Assumptions'!$H$44-(AH79/$AW$2)*'1. UC Assumptions'!$H$42,0)</f>
        <v>0</v>
      </c>
      <c r="AX79" s="151">
        <f>IF(K79="Hidalgo",(AG79/$AX$1)*'1. UC Assumptions'!$I$44-(AH79/$AX$2)*'1. UC Assumptions'!$I$42,0)</f>
        <v>0</v>
      </c>
      <c r="AY79" s="151">
        <f>IF(K79="Jefferson",(AG79/$AY$1)*'1. UC Assumptions'!$J$44-(AH79/$AY$2)*'1. UC Assumptions'!$J$42,0)</f>
        <v>0</v>
      </c>
      <c r="AZ79" s="151">
        <f>IF(K79="Lubbock",(AG79/$AZ$1)*'1. UC Assumptions'!$K$44-(AH79/$AZ$2)*'1. UC Assumptions'!$K$42,0)</f>
        <v>0</v>
      </c>
      <c r="BA79" s="151">
        <f>IF(K79="MRSA Central",(AG79/$BA$1)*'1. UC Assumptions'!$L$44-(AH79/$BA$2)*'1. UC Assumptions'!$L$42,0)</f>
        <v>0</v>
      </c>
      <c r="BB79" s="151">
        <f>IF(K79="MRSA Northeast",(AG79/$BB$1)*'1. UC Assumptions'!$M$44-(AH79/$BB$2)*'1. UC Assumptions'!$M$42,0)</f>
        <v>0</v>
      </c>
      <c r="BC79" s="151">
        <f>IF(K79="MRSA West",(AG79/$BC$1)*'1. UC Assumptions'!$N$44-(AH79/$BC$2)*'1. UC Assumptions'!$N$42,0)</f>
        <v>0</v>
      </c>
      <c r="BD79" s="151">
        <f>IF(K79="Nueces",(AG79/$BD$1)*'1. UC Assumptions'!$O$44-(AH79/$BD$2)*'1. UC Assumptions'!$O$42,0)</f>
        <v>0</v>
      </c>
      <c r="BE79" s="151">
        <f>IF(K79="Tarrant",(AG79/$BE$1)*'1. UC Assumptions'!$P$44-(AH79/$BE$2)*'1. UC Assumptions'!$P$42,0)</f>
        <v>0</v>
      </c>
      <c r="BF79" s="151">
        <f>IF(K79="Travis",(AG79/$BF$1)*'1. UC Assumptions'!$Q$44-(AH79/$BF$2)*'1. UC Assumptions'!$Q$42,0)</f>
        <v>0</v>
      </c>
      <c r="BG79" s="151">
        <f t="shared" si="36"/>
        <v>0</v>
      </c>
      <c r="BH79" s="151">
        <f t="shared" si="37"/>
        <v>2688232.9391018818</v>
      </c>
      <c r="BI79" s="151">
        <f>ROUNDDOWN(BH79*'1. UC Assumptions'!$C$23,2)</f>
        <v>887116.86</v>
      </c>
      <c r="BJ79" s="154">
        <f t="shared" si="38"/>
        <v>-990959.05089811841</v>
      </c>
      <c r="BK79" s="154">
        <f t="shared" si="39"/>
        <v>-327016.4966999999</v>
      </c>
      <c r="BL79" s="154">
        <f t="shared" si="40"/>
        <v>0</v>
      </c>
      <c r="BM79" s="154">
        <f t="shared" si="41"/>
        <v>0</v>
      </c>
      <c r="BN79" s="101"/>
      <c r="BO79" s="154">
        <f>(BL79*'1. UC Assumptions'!$C$23)-'3.  UC Calculations by Hospital'!BM79</f>
        <v>0</v>
      </c>
      <c r="BP79" s="13"/>
    </row>
    <row r="80" spans="2:68">
      <c r="B80" s="129" t="s">
        <v>405</v>
      </c>
      <c r="C80" s="91" t="s">
        <v>405</v>
      </c>
      <c r="D80" s="91" t="s">
        <v>208</v>
      </c>
      <c r="E80" s="91" t="s">
        <v>149</v>
      </c>
      <c r="F80" s="91"/>
      <c r="G80" s="91" t="s">
        <v>209</v>
      </c>
      <c r="H80" s="91" t="s">
        <v>209</v>
      </c>
      <c r="I80" s="150" t="s">
        <v>210</v>
      </c>
      <c r="J80" s="129" t="s">
        <v>406</v>
      </c>
      <c r="K80" s="91" t="s">
        <v>12</v>
      </c>
      <c r="L80" s="91" t="s">
        <v>407</v>
      </c>
      <c r="M80" s="151">
        <v>405188.45083799039</v>
      </c>
      <c r="N80" s="151">
        <v>358131.41160548234</v>
      </c>
      <c r="O80" s="131">
        <v>127716.117982208</v>
      </c>
      <c r="P80" s="131">
        <f t="shared" si="21"/>
        <v>230415.29362327434</v>
      </c>
      <c r="Q80" s="131">
        <v>1020585.7192824832</v>
      </c>
      <c r="R80" s="131">
        <v>0</v>
      </c>
      <c r="S80" s="131">
        <f t="shared" si="22"/>
        <v>0</v>
      </c>
      <c r="T80" s="131">
        <f t="shared" si="23"/>
        <v>1020585.7192824832</v>
      </c>
      <c r="U80" s="131">
        <v>0</v>
      </c>
      <c r="V80" s="131">
        <v>0</v>
      </c>
      <c r="W80" s="131">
        <v>0</v>
      </c>
      <c r="X80" s="131">
        <v>0</v>
      </c>
      <c r="Y80" s="131">
        <v>0</v>
      </c>
      <c r="Z80" s="131">
        <f t="shared" si="24"/>
        <v>0</v>
      </c>
      <c r="AA80" s="131">
        <v>0</v>
      </c>
      <c r="AB80" s="152">
        <f t="shared" si="25"/>
        <v>1020585.7192824832</v>
      </c>
      <c r="AC80" s="133">
        <f>IF(D80="Physician Group Practice",(AB80/$AB$393)*'1. UC Assumptions'!$C$15,IF(E80="Rural Hospital",AB80*'1. UC Assumptions'!$C$7/'1. UC Assumptions'!$E$7,(AB80/$AB$397)*('1. UC Assumptions'!$C$9)))</f>
        <v>952650.96655004553</v>
      </c>
      <c r="AD80" s="133">
        <f t="shared" si="26"/>
        <v>0</v>
      </c>
      <c r="AE80" s="133">
        <f t="shared" si="27"/>
        <v>67934.752732437686</v>
      </c>
      <c r="AF80" s="133">
        <f t="shared" si="28"/>
        <v>0</v>
      </c>
      <c r="AG80" s="133">
        <f t="shared" si="29"/>
        <v>67934.752732437686</v>
      </c>
      <c r="AH80" s="133">
        <f t="shared" si="30"/>
        <v>952650.96655004553</v>
      </c>
      <c r="AI80" s="131">
        <f>AH80*'1. UC Assumptions'!$C$23</f>
        <v>314374.81896151497</v>
      </c>
      <c r="AJ80" s="131">
        <v>456790.12</v>
      </c>
      <c r="AK80" s="131">
        <f>AJ80*(1-'1. UC Assumptions'!$C$22)</f>
        <v>150740.73959999997</v>
      </c>
      <c r="AL80" s="131"/>
      <c r="AM80" s="131">
        <f>AL80*'1. UC Assumptions'!$C$23</f>
        <v>0</v>
      </c>
      <c r="AN80" s="153">
        <f t="shared" si="31"/>
        <v>1020585.7192824832</v>
      </c>
      <c r="AO80" s="151">
        <f>AN80*'1. UC Assumptions'!$C$23</f>
        <v>336793.28736321942</v>
      </c>
      <c r="AP80" s="151">
        <f t="shared" si="32"/>
        <v>563795.59928248322</v>
      </c>
      <c r="AQ80" s="151">
        <f t="shared" si="33"/>
        <v>186052.54776321945</v>
      </c>
      <c r="AR80" s="151">
        <f t="shared" si="34"/>
        <v>186052.54776321945</v>
      </c>
      <c r="AS80" s="151">
        <f t="shared" si="35"/>
        <v>336793.28736321942</v>
      </c>
      <c r="AT80" s="151">
        <f>IF(K80="Bexar",(AG80/$AT$1)*'1. UC Assumptions'!$E$44-(AH80/$AT$2)*'1. UC Assumptions'!$E$42,0)</f>
        <v>0</v>
      </c>
      <c r="AU80" s="151">
        <f>IF(K80="Dallas",(AG80/$AU$1)*'1. UC Assumptions'!$F$44-(AH80/$AU$2)*'1. UC Assumptions'!$F$42,0)</f>
        <v>0</v>
      </c>
      <c r="AV80" s="151">
        <f>IF(K80="El Paso",(AG80/$AV$1)*'1. UC Assumptions'!$G$44-(AH80/$AV$2)*'1. UC Assumptions'!$G$42,0)</f>
        <v>0</v>
      </c>
      <c r="AW80" s="151">
        <f>IF(K80="Harris",(AG80/$AW$1)*'1. UC Assumptions'!$H$44-(AH80/$AW$2)*'1. UC Assumptions'!$H$42,0)</f>
        <v>0</v>
      </c>
      <c r="AX80" s="151">
        <f>IF(K80="Hidalgo",(AG80/$AX$1)*'1. UC Assumptions'!$I$44-(AH80/$AX$2)*'1. UC Assumptions'!$I$42,0)</f>
        <v>0</v>
      </c>
      <c r="AY80" s="151">
        <f>IF(K80="Jefferson",(AG80/$AY$1)*'1. UC Assumptions'!$J$44-(AH80/$AY$2)*'1. UC Assumptions'!$J$42,0)</f>
        <v>0</v>
      </c>
      <c r="AZ80" s="151">
        <f>IF(K80="Lubbock",(AG80/$AZ$1)*'1. UC Assumptions'!$K$44-(AH80/$AZ$2)*'1. UC Assumptions'!$K$42,0)</f>
        <v>0</v>
      </c>
      <c r="BA80" s="151">
        <f>IF(K80="MRSA Central",(AG80/$BA$1)*'1. UC Assumptions'!$L$44-(AH80/$BA$2)*'1. UC Assumptions'!$L$42,0)</f>
        <v>0</v>
      </c>
      <c r="BB80" s="151">
        <f>IF(K80="MRSA Northeast",(AG80/$BB$1)*'1. UC Assumptions'!$M$44-(AH80/$BB$2)*'1. UC Assumptions'!$M$42,0)</f>
        <v>0</v>
      </c>
      <c r="BC80" s="151">
        <f>IF(K80="MRSA West",(AG80/$BC$1)*'1. UC Assumptions'!$N$44-(AH80/$BC$2)*'1. UC Assumptions'!$N$42,0)</f>
        <v>0</v>
      </c>
      <c r="BD80" s="151">
        <f>IF(K80="Nueces",(AG80/$BD$1)*'1. UC Assumptions'!$O$44-(AH80/$BD$2)*'1. UC Assumptions'!$O$42,0)</f>
        <v>0</v>
      </c>
      <c r="BE80" s="151">
        <f>IF(K80="Tarrant",(AG80/$BE$1)*'1. UC Assumptions'!$P$44-(AH80/$BE$2)*'1. UC Assumptions'!$P$42,0)</f>
        <v>0</v>
      </c>
      <c r="BF80" s="151">
        <f>IF(K80="Travis",(AG80/$BF$1)*'1. UC Assumptions'!$Q$44-(AH80/$BF$2)*'1. UC Assumptions'!$Q$42,0)</f>
        <v>0</v>
      </c>
      <c r="BG80" s="151">
        <f t="shared" si="36"/>
        <v>0</v>
      </c>
      <c r="BH80" s="151">
        <f t="shared" si="37"/>
        <v>952650.96655004553</v>
      </c>
      <c r="BI80" s="151">
        <f>ROUNDDOWN(BH80*'1. UC Assumptions'!$C$23,2)</f>
        <v>314374.81</v>
      </c>
      <c r="BJ80" s="154">
        <f t="shared" si="38"/>
        <v>495860.84655004553</v>
      </c>
      <c r="BK80" s="154">
        <f t="shared" si="39"/>
        <v>163634.07040000003</v>
      </c>
      <c r="BL80" s="154">
        <f t="shared" si="40"/>
        <v>457788.69</v>
      </c>
      <c r="BM80" s="154">
        <f t="shared" si="41"/>
        <v>151070.26</v>
      </c>
      <c r="BN80" s="101"/>
      <c r="BO80" s="154">
        <f>(BL80*'1. UC Assumptions'!$C$23)-'3.  UC Calculations by Hospital'!BM80</f>
        <v>7.6999999873805791E-3</v>
      </c>
      <c r="BP80" s="13"/>
    </row>
    <row r="81" spans="2:68">
      <c r="B81" s="129" t="s">
        <v>408</v>
      </c>
      <c r="C81" s="91" t="s">
        <v>408</v>
      </c>
      <c r="D81" s="91" t="s">
        <v>214</v>
      </c>
      <c r="E81" s="91"/>
      <c r="F81" s="91"/>
      <c r="G81" s="91" t="s">
        <v>209</v>
      </c>
      <c r="H81" s="91" t="s">
        <v>209</v>
      </c>
      <c r="I81" s="150" t="s">
        <v>210</v>
      </c>
      <c r="J81" s="129" t="s">
        <v>409</v>
      </c>
      <c r="K81" s="91" t="s">
        <v>10</v>
      </c>
      <c r="L81" s="91" t="s">
        <v>398</v>
      </c>
      <c r="M81" s="151">
        <v>-985657.07059233752</v>
      </c>
      <c r="N81" s="151">
        <v>26419111.969179161</v>
      </c>
      <c r="O81" s="131">
        <v>20756900.616501331</v>
      </c>
      <c r="P81" s="131">
        <f t="shared" si="21"/>
        <v>5662211.3526778296</v>
      </c>
      <c r="Q81" s="131">
        <v>25108075.392374214</v>
      </c>
      <c r="R81" s="131">
        <v>3338071.05</v>
      </c>
      <c r="S81" s="131">
        <f t="shared" si="22"/>
        <v>0</v>
      </c>
      <c r="T81" s="131">
        <f t="shared" si="23"/>
        <v>25108075.392374214</v>
      </c>
      <c r="U81" s="131">
        <v>125869</v>
      </c>
      <c r="V81" s="131">
        <v>0</v>
      </c>
      <c r="W81" s="131">
        <v>0</v>
      </c>
      <c r="X81" s="131">
        <v>0</v>
      </c>
      <c r="Y81" s="131">
        <v>2528910</v>
      </c>
      <c r="Z81" s="131">
        <f t="shared" si="24"/>
        <v>2654779</v>
      </c>
      <c r="AA81" s="131">
        <v>0</v>
      </c>
      <c r="AB81" s="152">
        <f t="shared" si="25"/>
        <v>27762854.392374214</v>
      </c>
      <c r="AC81" s="133">
        <f>IF(D81="Physician Group Practice",(AB81/$AB$393)*'1. UC Assumptions'!$C$15,IF(E81="Rural Hospital",AB81*'1. UC Assumptions'!$C$7/'1. UC Assumptions'!$E$7,(AB81/$AB$397)*('1. UC Assumptions'!$C$9)))</f>
        <v>13052584.02240991</v>
      </c>
      <c r="AD81" s="133">
        <f t="shared" si="26"/>
        <v>0</v>
      </c>
      <c r="AE81" s="133">
        <f t="shared" si="27"/>
        <v>14710270.369964303</v>
      </c>
      <c r="AF81" s="133">
        <f t="shared" si="28"/>
        <v>0</v>
      </c>
      <c r="AG81" s="133">
        <f t="shared" si="29"/>
        <v>14710270.369964303</v>
      </c>
      <c r="AH81" s="133">
        <f t="shared" si="30"/>
        <v>13052584.02240991</v>
      </c>
      <c r="AI81" s="131">
        <f>AH81*'1. UC Assumptions'!$C$23</f>
        <v>4307352.72739527</v>
      </c>
      <c r="AJ81" s="131">
        <v>10836580.779999999</v>
      </c>
      <c r="AK81" s="131">
        <f>AJ81*(1-'1. UC Assumptions'!$C$22)</f>
        <v>3576071.6573999994</v>
      </c>
      <c r="AL81" s="131"/>
      <c r="AM81" s="131">
        <f>AL81*'1. UC Assumptions'!$C$23</f>
        <v>0</v>
      </c>
      <c r="AN81" s="153">
        <f t="shared" si="31"/>
        <v>27762854.392374214</v>
      </c>
      <c r="AO81" s="151">
        <f>AN81*'1. UC Assumptions'!$C$23</f>
        <v>9161741.9494834896</v>
      </c>
      <c r="AP81" s="151">
        <f t="shared" si="32"/>
        <v>16926273.612374216</v>
      </c>
      <c r="AQ81" s="151">
        <f t="shared" si="33"/>
        <v>5585670.2920834906</v>
      </c>
      <c r="AR81" s="151">
        <f t="shared" si="34"/>
        <v>5585670.2920834906</v>
      </c>
      <c r="AS81" s="151">
        <f t="shared" si="35"/>
        <v>9161741.9494834896</v>
      </c>
      <c r="AT81" s="151">
        <f>IF(K81="Bexar",(AG81/$AT$1)*'1. UC Assumptions'!$E$44-(AH81/$AT$2)*'1. UC Assumptions'!$E$42,0)</f>
        <v>0</v>
      </c>
      <c r="AU81" s="151">
        <f>IF(K81="Dallas",(AG81/$AU$1)*'1. UC Assumptions'!$F$44-(AH81/$AU$2)*'1. UC Assumptions'!$F$42,0)</f>
        <v>0</v>
      </c>
      <c r="AV81" s="151">
        <f>IF(K81="El Paso",(AG81/$AV$1)*'1. UC Assumptions'!$G$44-(AH81/$AV$2)*'1. UC Assumptions'!$G$42,0)</f>
        <v>0</v>
      </c>
      <c r="AW81" s="151">
        <f>IF(K81="Harris",(AG81/$AW$1)*'1. UC Assumptions'!$H$44-(AH81/$AW$2)*'1. UC Assumptions'!$H$42,0)</f>
        <v>0</v>
      </c>
      <c r="AX81" s="151">
        <f>IF(K81="Hidalgo",(AG81/$AX$1)*'1. UC Assumptions'!$I$44-(AH81/$AX$2)*'1. UC Assumptions'!$I$42,0)</f>
        <v>0</v>
      </c>
      <c r="AY81" s="151">
        <f>IF(K81="Jefferson",(AG81/$AY$1)*'1. UC Assumptions'!$J$44-(AH81/$AY$2)*'1. UC Assumptions'!$J$42,0)</f>
        <v>0</v>
      </c>
      <c r="AZ81" s="151">
        <f>IF(K81="Lubbock",(AG81/$AZ$1)*'1. UC Assumptions'!$K$44-(AH81/$AZ$2)*'1. UC Assumptions'!$K$42,0)</f>
        <v>0</v>
      </c>
      <c r="BA81" s="151">
        <f>IF(K81="MRSA Central",(AG81/$BA$1)*'1. UC Assumptions'!$L$44-(AH81/$BA$2)*'1. UC Assumptions'!$L$42,0)</f>
        <v>0</v>
      </c>
      <c r="BB81" s="151">
        <f>IF(K81="MRSA Northeast",(AG81/$BB$1)*'1. UC Assumptions'!$M$44-(AH81/$BB$2)*'1. UC Assumptions'!$M$42,0)</f>
        <v>0</v>
      </c>
      <c r="BC81" s="151">
        <f>IF(K81="MRSA West",(AG81/$BC$1)*'1. UC Assumptions'!$N$44-(AH81/$BC$2)*'1. UC Assumptions'!$N$42,0)</f>
        <v>0</v>
      </c>
      <c r="BD81" s="151">
        <f>IF(K81="Nueces",(AG81/$BD$1)*'1. UC Assumptions'!$O$44-(AH81/$BD$2)*'1. UC Assumptions'!$O$42,0)</f>
        <v>0</v>
      </c>
      <c r="BE81" s="151">
        <f>IF(K81="Tarrant",(AG81/$BE$1)*'1. UC Assumptions'!$P$44-(AH81/$BE$2)*'1. UC Assumptions'!$P$42,0)</f>
        <v>0</v>
      </c>
      <c r="BF81" s="151">
        <f>IF(K81="Travis",(AG81/$BF$1)*'1. UC Assumptions'!$Q$44-(AH81/$BF$2)*'1. UC Assumptions'!$Q$42,0)</f>
        <v>0</v>
      </c>
      <c r="BG81" s="151">
        <f t="shared" si="36"/>
        <v>0</v>
      </c>
      <c r="BH81" s="151">
        <f t="shared" si="37"/>
        <v>13052584.02240991</v>
      </c>
      <c r="BI81" s="151">
        <f>ROUNDDOWN(BH81*'1. UC Assumptions'!$C$23,2)</f>
        <v>4307352.72</v>
      </c>
      <c r="BJ81" s="154">
        <f t="shared" si="38"/>
        <v>2216003.242409911</v>
      </c>
      <c r="BK81" s="154">
        <f t="shared" si="39"/>
        <v>731281.0626000003</v>
      </c>
      <c r="BL81" s="154">
        <f t="shared" si="40"/>
        <v>2045858.7</v>
      </c>
      <c r="BM81" s="154">
        <f t="shared" si="41"/>
        <v>675133.36</v>
      </c>
      <c r="BN81" s="101"/>
      <c r="BO81" s="154">
        <f>(BL81*'1. UC Assumptions'!$C$23)-'3.  UC Calculations by Hospital'!BM81</f>
        <v>1.0999999940395355E-2</v>
      </c>
      <c r="BP81" s="13"/>
    </row>
    <row r="82" spans="2:68">
      <c r="B82" s="129" t="s">
        <v>410</v>
      </c>
      <c r="C82" s="91" t="s">
        <v>410</v>
      </c>
      <c r="D82" s="91" t="s">
        <v>214</v>
      </c>
      <c r="E82" s="91"/>
      <c r="F82" s="91"/>
      <c r="G82" s="91" t="s">
        <v>209</v>
      </c>
      <c r="H82" s="91" t="s">
        <v>209</v>
      </c>
      <c r="I82" s="150" t="s">
        <v>210</v>
      </c>
      <c r="J82" s="129" t="s">
        <v>411</v>
      </c>
      <c r="K82" s="91" t="s">
        <v>14</v>
      </c>
      <c r="L82" s="91" t="s">
        <v>248</v>
      </c>
      <c r="M82" s="151">
        <v>-3162817.6604231447</v>
      </c>
      <c r="N82" s="151">
        <v>0</v>
      </c>
      <c r="O82" s="131">
        <v>0</v>
      </c>
      <c r="P82" s="131">
        <f t="shared" si="21"/>
        <v>0</v>
      </c>
      <c r="Q82" s="131">
        <v>18922603.564193457</v>
      </c>
      <c r="R82" s="131">
        <v>0</v>
      </c>
      <c r="S82" s="131">
        <f t="shared" si="22"/>
        <v>0</v>
      </c>
      <c r="T82" s="131">
        <f t="shared" si="23"/>
        <v>18922603.564193457</v>
      </c>
      <c r="U82" s="131">
        <v>803439</v>
      </c>
      <c r="V82" s="131">
        <v>0</v>
      </c>
      <c r="W82" s="131">
        <v>0</v>
      </c>
      <c r="X82" s="131">
        <v>0</v>
      </c>
      <c r="Y82" s="131">
        <v>0</v>
      </c>
      <c r="Z82" s="131">
        <f t="shared" si="24"/>
        <v>803439</v>
      </c>
      <c r="AA82" s="131">
        <v>0</v>
      </c>
      <c r="AB82" s="152">
        <f t="shared" si="25"/>
        <v>19726042.564193457</v>
      </c>
      <c r="AC82" s="133">
        <f>IF(D82="Physician Group Practice",(AB82/$AB$393)*'1. UC Assumptions'!$C$15,IF(E82="Rural Hospital",AB82*'1. UC Assumptions'!$C$7/'1. UC Assumptions'!$E$7,(AB82/$AB$397)*('1. UC Assumptions'!$C$9)))</f>
        <v>9274112.2494051512</v>
      </c>
      <c r="AD82" s="133">
        <f t="shared" si="26"/>
        <v>0</v>
      </c>
      <c r="AE82" s="133">
        <f t="shared" si="27"/>
        <v>10451930.314788306</v>
      </c>
      <c r="AF82" s="133">
        <f t="shared" si="28"/>
        <v>0</v>
      </c>
      <c r="AG82" s="133">
        <f t="shared" si="29"/>
        <v>10451930.314788306</v>
      </c>
      <c r="AH82" s="133">
        <f t="shared" si="30"/>
        <v>9274112.2494051512</v>
      </c>
      <c r="AI82" s="131">
        <f>AH82*'1. UC Assumptions'!$C$23</f>
        <v>3060457.0423036995</v>
      </c>
      <c r="AJ82" s="131">
        <v>9688084.1400000006</v>
      </c>
      <c r="AK82" s="131">
        <f>AJ82*(1-'1. UC Assumptions'!$C$22)</f>
        <v>3197067.7662</v>
      </c>
      <c r="AL82" s="131"/>
      <c r="AM82" s="131">
        <f>AL82*'1. UC Assumptions'!$C$23</f>
        <v>0</v>
      </c>
      <c r="AN82" s="153">
        <f t="shared" si="31"/>
        <v>19726042.564193457</v>
      </c>
      <c r="AO82" s="151">
        <f>AN82*'1. UC Assumptions'!$C$23</f>
        <v>6509594.0461838404</v>
      </c>
      <c r="AP82" s="151">
        <f t="shared" si="32"/>
        <v>10037958.424193457</v>
      </c>
      <c r="AQ82" s="151">
        <f t="shared" si="33"/>
        <v>3312526.2799838404</v>
      </c>
      <c r="AR82" s="151">
        <f t="shared" si="34"/>
        <v>3312526.2799838404</v>
      </c>
      <c r="AS82" s="151">
        <f t="shared" si="35"/>
        <v>6509594.0461838404</v>
      </c>
      <c r="AT82" s="151">
        <f>IF(K82="Bexar",(AG82/$AT$1)*'1. UC Assumptions'!$E$44-(AH82/$AT$2)*'1. UC Assumptions'!$E$42,0)</f>
        <v>0</v>
      </c>
      <c r="AU82" s="151">
        <f>IF(K82="Dallas",(AG82/$AU$1)*'1. UC Assumptions'!$F$44-(AH82/$AU$2)*'1. UC Assumptions'!$F$42,0)</f>
        <v>0</v>
      </c>
      <c r="AV82" s="151">
        <f>IF(K82="El Paso",(AG82/$AV$1)*'1. UC Assumptions'!$G$44-(AH82/$AV$2)*'1. UC Assumptions'!$G$42,0)</f>
        <v>0</v>
      </c>
      <c r="AW82" s="151">
        <f>IF(K82="Harris",(AG82/$AW$1)*'1. UC Assumptions'!$H$44-(AH82/$AW$2)*'1. UC Assumptions'!$H$42,0)</f>
        <v>0</v>
      </c>
      <c r="AX82" s="151">
        <f>IF(K82="Hidalgo",(AG82/$AX$1)*'1. UC Assumptions'!$I$44-(AH82/$AX$2)*'1. UC Assumptions'!$I$42,0)</f>
        <v>0</v>
      </c>
      <c r="AY82" s="151">
        <f>IF(K82="Jefferson",(AG82/$AY$1)*'1. UC Assumptions'!$J$44-(AH82/$AY$2)*'1. UC Assumptions'!$J$42,0)</f>
        <v>0</v>
      </c>
      <c r="AZ82" s="151">
        <f>IF(K82="Lubbock",(AG82/$AZ$1)*'1. UC Assumptions'!$K$44-(AH82/$AZ$2)*'1. UC Assumptions'!$K$42,0)</f>
        <v>0</v>
      </c>
      <c r="BA82" s="151">
        <f>IF(K82="MRSA Central",(AG82/$BA$1)*'1. UC Assumptions'!$L$44-(AH82/$BA$2)*'1. UC Assumptions'!$L$42,0)</f>
        <v>0</v>
      </c>
      <c r="BB82" s="151">
        <f>IF(K82="MRSA Northeast",(AG82/$BB$1)*'1. UC Assumptions'!$M$44-(AH82/$BB$2)*'1. UC Assumptions'!$M$42,0)</f>
        <v>0</v>
      </c>
      <c r="BC82" s="151">
        <f>IF(K82="MRSA West",(AG82/$BC$1)*'1. UC Assumptions'!$N$44-(AH82/$BC$2)*'1. UC Assumptions'!$N$42,0)</f>
        <v>0</v>
      </c>
      <c r="BD82" s="151">
        <f>IF(K82="Nueces",(AG82/$BD$1)*'1. UC Assumptions'!$O$44-(AH82/$BD$2)*'1. UC Assumptions'!$O$42,0)</f>
        <v>0</v>
      </c>
      <c r="BE82" s="151">
        <f>IF(K82="Tarrant",(AG82/$BE$1)*'1. UC Assumptions'!$P$44-(AH82/$BE$2)*'1. UC Assumptions'!$P$42,0)</f>
        <v>0</v>
      </c>
      <c r="BF82" s="151">
        <f>IF(K82="Travis",(AG82/$BF$1)*'1. UC Assumptions'!$Q$44-(AH82/$BF$2)*'1. UC Assumptions'!$Q$42,0)</f>
        <v>0</v>
      </c>
      <c r="BG82" s="151">
        <f t="shared" si="36"/>
        <v>0</v>
      </c>
      <c r="BH82" s="151">
        <f t="shared" si="37"/>
        <v>9274112.2494051512</v>
      </c>
      <c r="BI82" s="151">
        <f>ROUNDDOWN(BH82*'1. UC Assumptions'!$C$23,2)</f>
        <v>3060457.04</v>
      </c>
      <c r="BJ82" s="154">
        <f t="shared" si="38"/>
        <v>-413971.89059484936</v>
      </c>
      <c r="BK82" s="154">
        <f t="shared" si="39"/>
        <v>-136610.72619999992</v>
      </c>
      <c r="BL82" s="154">
        <f t="shared" si="40"/>
        <v>0</v>
      </c>
      <c r="BM82" s="154">
        <f t="shared" si="41"/>
        <v>0</v>
      </c>
      <c r="BN82" s="155"/>
      <c r="BO82" s="154">
        <f>(BL82*'1. UC Assumptions'!$C$23)-'3.  UC Calculations by Hospital'!BM82</f>
        <v>0</v>
      </c>
      <c r="BP82" s="13"/>
    </row>
    <row r="83" spans="2:68">
      <c r="B83" s="129" t="s">
        <v>412</v>
      </c>
      <c r="C83" s="91" t="s">
        <v>412</v>
      </c>
      <c r="D83" s="91" t="s">
        <v>214</v>
      </c>
      <c r="E83" s="91" t="s">
        <v>149</v>
      </c>
      <c r="F83" s="91"/>
      <c r="G83" s="91" t="s">
        <v>209</v>
      </c>
      <c r="H83" s="91" t="s">
        <v>209</v>
      </c>
      <c r="I83" s="150" t="s">
        <v>210</v>
      </c>
      <c r="J83" s="129" t="s">
        <v>413</v>
      </c>
      <c r="K83" s="91" t="s">
        <v>10</v>
      </c>
      <c r="L83" s="91" t="s">
        <v>414</v>
      </c>
      <c r="M83" s="151">
        <v>606576.27453498868</v>
      </c>
      <c r="N83" s="151">
        <v>358407.26943354652</v>
      </c>
      <c r="O83" s="131">
        <v>71602.033972403195</v>
      </c>
      <c r="P83" s="131">
        <f t="shared" si="21"/>
        <v>286805.23546114331</v>
      </c>
      <c r="Q83" s="131">
        <v>730194.88973724167</v>
      </c>
      <c r="R83" s="131">
        <v>49926.11</v>
      </c>
      <c r="S83" s="131">
        <f t="shared" si="22"/>
        <v>0</v>
      </c>
      <c r="T83" s="131">
        <f t="shared" si="23"/>
        <v>730194.88973724167</v>
      </c>
      <c r="U83" s="131">
        <v>79220</v>
      </c>
      <c r="V83" s="131">
        <v>0</v>
      </c>
      <c r="W83" s="131">
        <v>79220</v>
      </c>
      <c r="X83" s="131">
        <v>0</v>
      </c>
      <c r="Y83" s="131">
        <v>693184.80520747579</v>
      </c>
      <c r="Z83" s="131">
        <f t="shared" si="24"/>
        <v>851624.80520747579</v>
      </c>
      <c r="AA83" s="131">
        <v>0</v>
      </c>
      <c r="AB83" s="152">
        <f t="shared" si="25"/>
        <v>1581819.6949447175</v>
      </c>
      <c r="AC83" s="133">
        <f>IF(D83="Physician Group Practice",(AB83/$AB$393)*'1. UC Assumptions'!$C$15,IF(E83="Rural Hospital",AB83*'1. UC Assumptions'!$C$7/'1. UC Assumptions'!$E$7,(AB83/$AB$397)*('1. UC Assumptions'!$C$9)))</f>
        <v>1476526.6971954263</v>
      </c>
      <c r="AD83" s="133">
        <f t="shared" si="26"/>
        <v>0</v>
      </c>
      <c r="AE83" s="133">
        <f t="shared" si="27"/>
        <v>105292.99774929113</v>
      </c>
      <c r="AF83" s="133">
        <f t="shared" si="28"/>
        <v>0</v>
      </c>
      <c r="AG83" s="133">
        <f t="shared" si="29"/>
        <v>105292.99774929113</v>
      </c>
      <c r="AH83" s="133">
        <f t="shared" si="30"/>
        <v>1476526.6971954263</v>
      </c>
      <c r="AI83" s="131">
        <f>AH83*'1. UC Assumptions'!$C$23</f>
        <v>487253.81007449061</v>
      </c>
      <c r="AJ83" s="131">
        <v>511650.78</v>
      </c>
      <c r="AK83" s="131">
        <f>AJ83*(1-'1. UC Assumptions'!$C$22)</f>
        <v>168844.7574</v>
      </c>
      <c r="AL83" s="131"/>
      <c r="AM83" s="131">
        <f>AL83*'1. UC Assumptions'!$C$23</f>
        <v>0</v>
      </c>
      <c r="AN83" s="153">
        <f t="shared" si="31"/>
        <v>1581819.6949447175</v>
      </c>
      <c r="AO83" s="151">
        <f>AN83*'1. UC Assumptions'!$C$23</f>
        <v>522000.49933175667</v>
      </c>
      <c r="AP83" s="151">
        <f t="shared" si="32"/>
        <v>1070168.9149447174</v>
      </c>
      <c r="AQ83" s="151">
        <f t="shared" si="33"/>
        <v>353155.74193175667</v>
      </c>
      <c r="AR83" s="151">
        <f t="shared" si="34"/>
        <v>353155.74193175667</v>
      </c>
      <c r="AS83" s="151">
        <f t="shared" si="35"/>
        <v>522000.49933175667</v>
      </c>
      <c r="AT83" s="151">
        <f>IF(K83="Bexar",(AG83/$AT$1)*'1. UC Assumptions'!$E$44-(AH83/$AT$2)*'1. UC Assumptions'!$E$42,0)</f>
        <v>0</v>
      </c>
      <c r="AU83" s="151">
        <f>IF(K83="Dallas",(AG83/$AU$1)*'1. UC Assumptions'!$F$44-(AH83/$AU$2)*'1. UC Assumptions'!$F$42,0)</f>
        <v>0</v>
      </c>
      <c r="AV83" s="151">
        <f>IF(K83="El Paso",(AG83/$AV$1)*'1. UC Assumptions'!$G$44-(AH83/$AV$2)*'1. UC Assumptions'!$G$42,0)</f>
        <v>0</v>
      </c>
      <c r="AW83" s="151">
        <f>IF(K83="Harris",(AG83/$AW$1)*'1. UC Assumptions'!$H$44-(AH83/$AW$2)*'1. UC Assumptions'!$H$42,0)</f>
        <v>0</v>
      </c>
      <c r="AX83" s="151">
        <f>IF(K83="Hidalgo",(AG83/$AX$1)*'1. UC Assumptions'!$I$44-(AH83/$AX$2)*'1. UC Assumptions'!$I$42,0)</f>
        <v>0</v>
      </c>
      <c r="AY83" s="151">
        <f>IF(K83="Jefferson",(AG83/$AY$1)*'1. UC Assumptions'!$J$44-(AH83/$AY$2)*'1. UC Assumptions'!$J$42,0)</f>
        <v>0</v>
      </c>
      <c r="AZ83" s="151">
        <f>IF(K83="Lubbock",(AG83/$AZ$1)*'1. UC Assumptions'!$K$44-(AH83/$AZ$2)*'1. UC Assumptions'!$K$42,0)</f>
        <v>0</v>
      </c>
      <c r="BA83" s="151">
        <f>IF(K83="MRSA Central",(AG83/$BA$1)*'1. UC Assumptions'!$L$44-(AH83/$BA$2)*'1. UC Assumptions'!$L$42,0)</f>
        <v>0</v>
      </c>
      <c r="BB83" s="151">
        <f>IF(K83="MRSA Northeast",(AG83/$BB$1)*'1. UC Assumptions'!$M$44-(AH83/$BB$2)*'1. UC Assumptions'!$M$42,0)</f>
        <v>0</v>
      </c>
      <c r="BC83" s="151">
        <f>IF(K83="MRSA West",(AG83/$BC$1)*'1. UC Assumptions'!$N$44-(AH83/$BC$2)*'1. UC Assumptions'!$N$42,0)</f>
        <v>0</v>
      </c>
      <c r="BD83" s="151">
        <f>IF(K83="Nueces",(AG83/$BD$1)*'1. UC Assumptions'!$O$44-(AH83/$BD$2)*'1. UC Assumptions'!$O$42,0)</f>
        <v>0</v>
      </c>
      <c r="BE83" s="151">
        <f>IF(K83="Tarrant",(AG83/$BE$1)*'1. UC Assumptions'!$P$44-(AH83/$BE$2)*'1. UC Assumptions'!$P$42,0)</f>
        <v>0</v>
      </c>
      <c r="BF83" s="151">
        <f>IF(K83="Travis",(AG83/$BF$1)*'1. UC Assumptions'!$Q$44-(AH83/$BF$2)*'1. UC Assumptions'!$Q$42,0)</f>
        <v>0</v>
      </c>
      <c r="BG83" s="151">
        <f t="shared" si="36"/>
        <v>0</v>
      </c>
      <c r="BH83" s="151">
        <f t="shared" si="37"/>
        <v>1476526.6971954263</v>
      </c>
      <c r="BI83" s="151">
        <f>ROUNDDOWN(BH83*'1. UC Assumptions'!$C$23,2)</f>
        <v>487253.81</v>
      </c>
      <c r="BJ83" s="154">
        <f t="shared" si="38"/>
        <v>964875.9171954263</v>
      </c>
      <c r="BK83" s="154">
        <f t="shared" si="39"/>
        <v>318409.0526</v>
      </c>
      <c r="BL83" s="154">
        <f t="shared" si="40"/>
        <v>890792.83</v>
      </c>
      <c r="BM83" s="154">
        <f t="shared" si="41"/>
        <v>293961.63</v>
      </c>
      <c r="BN83" s="101"/>
      <c r="BO83" s="154">
        <f>(BL83*'1. UC Assumptions'!$C$23)-'3.  UC Calculations by Hospital'!BM83</f>
        <v>3.8999999524094164E-3</v>
      </c>
      <c r="BP83" s="13"/>
    </row>
    <row r="84" spans="2:68">
      <c r="B84" s="129" t="s">
        <v>415</v>
      </c>
      <c r="C84" s="91" t="s">
        <v>415</v>
      </c>
      <c r="D84" s="91" t="s">
        <v>214</v>
      </c>
      <c r="E84" s="91"/>
      <c r="F84" s="91"/>
      <c r="G84" s="91" t="s">
        <v>209</v>
      </c>
      <c r="H84" s="91" t="s">
        <v>209</v>
      </c>
      <c r="I84" s="150" t="s">
        <v>210</v>
      </c>
      <c r="J84" s="129" t="s">
        <v>416</v>
      </c>
      <c r="K84" s="91" t="s">
        <v>11</v>
      </c>
      <c r="L84" s="91" t="s">
        <v>404</v>
      </c>
      <c r="M84" s="151">
        <v>-5951818.4796880409</v>
      </c>
      <c r="N84" s="151">
        <v>45917066.447626412</v>
      </c>
      <c r="O84" s="131">
        <v>27867365.446155302</v>
      </c>
      <c r="P84" s="131">
        <f t="shared" si="21"/>
        <v>18049701.00147111</v>
      </c>
      <c r="Q84" s="131">
        <v>45634213.807111487</v>
      </c>
      <c r="R84" s="131">
        <v>17803519.43</v>
      </c>
      <c r="S84" s="131">
        <f t="shared" si="22"/>
        <v>5705636.9082169309</v>
      </c>
      <c r="T84" s="131">
        <f t="shared" si="23"/>
        <v>39928576.898894556</v>
      </c>
      <c r="U84" s="131">
        <v>2948886</v>
      </c>
      <c r="V84" s="131">
        <v>0</v>
      </c>
      <c r="W84" s="131">
        <v>9933750.873561997</v>
      </c>
      <c r="X84" s="131">
        <v>0</v>
      </c>
      <c r="Y84" s="131">
        <v>13726950.280764006</v>
      </c>
      <c r="Z84" s="131">
        <f t="shared" si="24"/>
        <v>26609587.154326003</v>
      </c>
      <c r="AA84" s="131">
        <v>0</v>
      </c>
      <c r="AB84" s="152">
        <f t="shared" si="25"/>
        <v>66538164.053220555</v>
      </c>
      <c r="AC84" s="133">
        <f>IF(D84="Physician Group Practice",(AB84/$AB$393)*'1. UC Assumptions'!$C$15,IF(E84="Rural Hospital",AB84*'1. UC Assumptions'!$C$7/'1. UC Assumptions'!$E$7,(AB84/$AB$397)*('1. UC Assumptions'!$C$9)))</f>
        <v>31282625.508424331</v>
      </c>
      <c r="AD84" s="133">
        <f t="shared" si="26"/>
        <v>0</v>
      </c>
      <c r="AE84" s="133">
        <f t="shared" si="27"/>
        <v>35255538.544796228</v>
      </c>
      <c r="AF84" s="133">
        <f t="shared" si="28"/>
        <v>0</v>
      </c>
      <c r="AG84" s="133">
        <f t="shared" si="29"/>
        <v>35255538.544796228</v>
      </c>
      <c r="AH84" s="133">
        <f t="shared" si="30"/>
        <v>31282625.508424331</v>
      </c>
      <c r="AI84" s="131">
        <f>AH84*'1. UC Assumptions'!$C$23</f>
        <v>10323266.417780029</v>
      </c>
      <c r="AJ84" s="131">
        <v>32481273.289999999</v>
      </c>
      <c r="AK84" s="131">
        <f>AJ84*(1-'1. UC Assumptions'!$C$22)</f>
        <v>10718820.185699999</v>
      </c>
      <c r="AL84" s="131"/>
      <c r="AM84" s="131">
        <f>AL84*'1. UC Assumptions'!$C$23</f>
        <v>0</v>
      </c>
      <c r="AN84" s="153">
        <f t="shared" si="31"/>
        <v>66538164.053220555</v>
      </c>
      <c r="AO84" s="151">
        <f>AN84*'1. UC Assumptions'!$C$23</f>
        <v>21957594.137562782</v>
      </c>
      <c r="AP84" s="151">
        <f t="shared" si="32"/>
        <v>34056890.763220556</v>
      </c>
      <c r="AQ84" s="151">
        <f t="shared" si="33"/>
        <v>11238773.951862782</v>
      </c>
      <c r="AR84" s="151">
        <f t="shared" si="34"/>
        <v>11238773.951862782</v>
      </c>
      <c r="AS84" s="151">
        <f t="shared" si="35"/>
        <v>21957594.137562782</v>
      </c>
      <c r="AT84" s="151">
        <f>IF(K84="Bexar",(AG84/$AT$1)*'1. UC Assumptions'!$E$44-(AH84/$AT$2)*'1. UC Assumptions'!$E$42,0)</f>
        <v>0</v>
      </c>
      <c r="AU84" s="151">
        <f>IF(K84="Dallas",(AG84/$AU$1)*'1. UC Assumptions'!$F$44-(AH84/$AU$2)*'1. UC Assumptions'!$F$42,0)</f>
        <v>0</v>
      </c>
      <c r="AV84" s="151">
        <f>IF(K84="El Paso",(AG84/$AV$1)*'1. UC Assumptions'!$G$44-(AH84/$AV$2)*'1. UC Assumptions'!$G$42,0)</f>
        <v>0</v>
      </c>
      <c r="AW84" s="151">
        <f>IF(K84="Harris",(AG84/$AW$1)*'1. UC Assumptions'!$H$44-(AH84/$AW$2)*'1. UC Assumptions'!$H$42,0)</f>
        <v>0</v>
      </c>
      <c r="AX84" s="151">
        <f>IF(K84="Hidalgo",(AG84/$AX$1)*'1. UC Assumptions'!$I$44-(AH84/$AX$2)*'1. UC Assumptions'!$I$42,0)</f>
        <v>0</v>
      </c>
      <c r="AY84" s="151">
        <f>IF(K84="Jefferson",(AG84/$AY$1)*'1. UC Assumptions'!$J$44-(AH84/$AY$2)*'1. UC Assumptions'!$J$42,0)</f>
        <v>0</v>
      </c>
      <c r="AZ84" s="151">
        <f>IF(K84="Lubbock",(AG84/$AZ$1)*'1. UC Assumptions'!$K$44-(AH84/$AZ$2)*'1. UC Assumptions'!$K$42,0)</f>
        <v>0</v>
      </c>
      <c r="BA84" s="151">
        <f>IF(K84="MRSA Central",(AG84/$BA$1)*'1. UC Assumptions'!$L$44-(AH84/$BA$2)*'1. UC Assumptions'!$L$42,0)</f>
        <v>0</v>
      </c>
      <c r="BB84" s="151">
        <f>IF(K84="MRSA Northeast",(AG84/$BB$1)*'1. UC Assumptions'!$M$44-(AH84/$BB$2)*'1. UC Assumptions'!$M$42,0)</f>
        <v>0</v>
      </c>
      <c r="BC84" s="151">
        <f>IF(K84="MRSA West",(AG84/$BC$1)*'1. UC Assumptions'!$N$44-(AH84/$BC$2)*'1. UC Assumptions'!$N$42,0)</f>
        <v>0</v>
      </c>
      <c r="BD84" s="151">
        <f>IF(K84="Nueces",(AG84/$BD$1)*'1. UC Assumptions'!$O$44-(AH84/$BD$2)*'1. UC Assumptions'!$O$42,0)</f>
        <v>0</v>
      </c>
      <c r="BE84" s="151">
        <f>IF(K84="Tarrant",(AG84/$BE$1)*'1. UC Assumptions'!$P$44-(AH84/$BE$2)*'1. UC Assumptions'!$P$42,0)</f>
        <v>0</v>
      </c>
      <c r="BF84" s="151">
        <f>IF(K84="Travis",(AG84/$BF$1)*'1. UC Assumptions'!$Q$44-(AH84/$BF$2)*'1. UC Assumptions'!$Q$42,0)</f>
        <v>0</v>
      </c>
      <c r="BG84" s="151">
        <f t="shared" si="36"/>
        <v>0</v>
      </c>
      <c r="BH84" s="151">
        <f t="shared" si="37"/>
        <v>31282625.508424331</v>
      </c>
      <c r="BI84" s="151">
        <f>ROUNDDOWN(BH84*'1. UC Assumptions'!$C$23,2)</f>
        <v>10323266.41</v>
      </c>
      <c r="BJ84" s="154">
        <f t="shared" si="38"/>
        <v>-1198647.7815756686</v>
      </c>
      <c r="BK84" s="154">
        <f t="shared" si="39"/>
        <v>-395553.77569999918</v>
      </c>
      <c r="BL84" s="154">
        <f t="shared" si="40"/>
        <v>0</v>
      </c>
      <c r="BM84" s="154">
        <f t="shared" si="41"/>
        <v>0</v>
      </c>
      <c r="BN84" s="101"/>
      <c r="BO84" s="154">
        <f>(BL84*'1. UC Assumptions'!$C$23)-'3.  UC Calculations by Hospital'!BM84</f>
        <v>0</v>
      </c>
      <c r="BP84" s="13"/>
    </row>
    <row r="85" spans="2:68">
      <c r="B85" s="129" t="s">
        <v>417</v>
      </c>
      <c r="C85" s="91" t="s">
        <v>417</v>
      </c>
      <c r="D85" s="91" t="s">
        <v>214</v>
      </c>
      <c r="E85" s="91"/>
      <c r="F85" s="91"/>
      <c r="G85" s="91" t="s">
        <v>209</v>
      </c>
      <c r="H85" s="91" t="s">
        <v>209</v>
      </c>
      <c r="I85" s="150" t="s">
        <v>210</v>
      </c>
      <c r="J85" s="129" t="s">
        <v>418</v>
      </c>
      <c r="K85" s="91" t="s">
        <v>6</v>
      </c>
      <c r="L85" s="91" t="s">
        <v>263</v>
      </c>
      <c r="M85" s="151">
        <v>519361.49664191745</v>
      </c>
      <c r="N85" s="151">
        <v>8612751.2020184975</v>
      </c>
      <c r="O85" s="131">
        <v>0</v>
      </c>
      <c r="P85" s="131">
        <f t="shared" si="21"/>
        <v>8612751.2020184975</v>
      </c>
      <c r="Q85" s="131">
        <v>6344833.5287588062</v>
      </c>
      <c r="R85" s="131">
        <v>0</v>
      </c>
      <c r="S85" s="131">
        <f t="shared" si="22"/>
        <v>0</v>
      </c>
      <c r="T85" s="131">
        <f t="shared" si="23"/>
        <v>6344833.5287588062</v>
      </c>
      <c r="U85" s="131">
        <v>0</v>
      </c>
      <c r="V85" s="131">
        <v>0</v>
      </c>
      <c r="W85" s="131">
        <v>0</v>
      </c>
      <c r="X85" s="131">
        <v>0</v>
      </c>
      <c r="Y85" s="131">
        <v>0</v>
      </c>
      <c r="Z85" s="131">
        <f t="shared" si="24"/>
        <v>0</v>
      </c>
      <c r="AA85" s="131">
        <v>0</v>
      </c>
      <c r="AB85" s="152">
        <f t="shared" si="25"/>
        <v>6344833.5287588062</v>
      </c>
      <c r="AC85" s="133">
        <f>IF(D85="Physician Group Practice",(AB85/$AB$393)*'1. UC Assumptions'!$C$15,IF(E85="Rural Hospital",AB85*'1. UC Assumptions'!$C$7/'1. UC Assumptions'!$E$7,(AB85/$AB$397)*('1. UC Assumptions'!$C$9)))</f>
        <v>2982995.6088764262</v>
      </c>
      <c r="AD85" s="133">
        <f t="shared" si="26"/>
        <v>0</v>
      </c>
      <c r="AE85" s="133">
        <f t="shared" si="27"/>
        <v>3361837.9198823799</v>
      </c>
      <c r="AF85" s="133">
        <f t="shared" si="28"/>
        <v>0</v>
      </c>
      <c r="AG85" s="133">
        <f t="shared" si="29"/>
        <v>3361837.9198823799</v>
      </c>
      <c r="AH85" s="133">
        <f t="shared" si="30"/>
        <v>2982995.6088764262</v>
      </c>
      <c r="AI85" s="131">
        <f>AH85*'1. UC Assumptions'!$C$23</f>
        <v>984388.55092922051</v>
      </c>
      <c r="AJ85" s="131">
        <v>3036554.25</v>
      </c>
      <c r="AK85" s="131">
        <f>AJ85*(1-'1. UC Assumptions'!$C$22)</f>
        <v>1002062.9024999999</v>
      </c>
      <c r="AL85" s="131"/>
      <c r="AM85" s="131">
        <f>AL85*'1. UC Assumptions'!$C$23</f>
        <v>0</v>
      </c>
      <c r="AN85" s="153">
        <f t="shared" si="31"/>
        <v>6344833.5287588062</v>
      </c>
      <c r="AO85" s="151">
        <f>AN85*'1. UC Assumptions'!$C$23</f>
        <v>2093795.0644904058</v>
      </c>
      <c r="AP85" s="151">
        <f t="shared" si="32"/>
        <v>3308279.2787588062</v>
      </c>
      <c r="AQ85" s="151">
        <f t="shared" si="33"/>
        <v>1091732.161990406</v>
      </c>
      <c r="AR85" s="151">
        <f t="shared" si="34"/>
        <v>1091732.161990406</v>
      </c>
      <c r="AS85" s="151">
        <f t="shared" si="35"/>
        <v>2093795.0644904058</v>
      </c>
      <c r="AT85" s="151">
        <f>IF(K85="Bexar",(AG85/$AT$1)*'1. UC Assumptions'!$E$44-(AH85/$AT$2)*'1. UC Assumptions'!$E$42,0)</f>
        <v>0</v>
      </c>
      <c r="AU85" s="151">
        <f>IF(K85="Dallas",(AG85/$AU$1)*'1. UC Assumptions'!$F$44-(AH85/$AU$2)*'1. UC Assumptions'!$F$42,0)</f>
        <v>0</v>
      </c>
      <c r="AV85" s="151">
        <f>IF(K85="El Paso",(AG85/$AV$1)*'1. UC Assumptions'!$G$44-(AH85/$AV$2)*'1. UC Assumptions'!$G$42,0)</f>
        <v>0</v>
      </c>
      <c r="AW85" s="151">
        <f>IF(K85="Harris",(AG85/$AW$1)*'1. UC Assumptions'!$H$44-(AH85/$AW$2)*'1. UC Assumptions'!$H$42,0)</f>
        <v>0</v>
      </c>
      <c r="AX85" s="151">
        <f>IF(K85="Hidalgo",(AG85/$AX$1)*'1. UC Assumptions'!$I$44-(AH85/$AX$2)*'1. UC Assumptions'!$I$42,0)</f>
        <v>0</v>
      </c>
      <c r="AY85" s="151">
        <f>IF(K85="Jefferson",(AG85/$AY$1)*'1. UC Assumptions'!$J$44-(AH85/$AY$2)*'1. UC Assumptions'!$J$42,0)</f>
        <v>0</v>
      </c>
      <c r="AZ85" s="151">
        <f>IF(K85="Lubbock",(AG85/$AZ$1)*'1. UC Assumptions'!$K$44-(AH85/$AZ$2)*'1. UC Assumptions'!$K$42,0)</f>
        <v>0</v>
      </c>
      <c r="BA85" s="151">
        <f>IF(K85="MRSA Central",(AG85/$BA$1)*'1. UC Assumptions'!$L$44-(AH85/$BA$2)*'1. UC Assumptions'!$L$42,0)</f>
        <v>0</v>
      </c>
      <c r="BB85" s="151">
        <f>IF(K85="MRSA Northeast",(AG85/$BB$1)*'1. UC Assumptions'!$M$44-(AH85/$BB$2)*'1. UC Assumptions'!$M$42,0)</f>
        <v>0</v>
      </c>
      <c r="BC85" s="151">
        <f>IF(K85="MRSA West",(AG85/$BC$1)*'1. UC Assumptions'!$N$44-(AH85/$BC$2)*'1. UC Assumptions'!$N$42,0)</f>
        <v>0</v>
      </c>
      <c r="BD85" s="151">
        <f>IF(K85="Nueces",(AG85/$BD$1)*'1. UC Assumptions'!$O$44-(AH85/$BD$2)*'1. UC Assumptions'!$O$42,0)</f>
        <v>0</v>
      </c>
      <c r="BE85" s="151">
        <f>IF(K85="Tarrant",(AG85/$BE$1)*'1. UC Assumptions'!$P$44-(AH85/$BE$2)*'1. UC Assumptions'!$P$42,0)</f>
        <v>0</v>
      </c>
      <c r="BF85" s="151">
        <f>IF(K85="Travis",(AG85/$BF$1)*'1. UC Assumptions'!$Q$44-(AH85/$BF$2)*'1. UC Assumptions'!$Q$42,0)</f>
        <v>0</v>
      </c>
      <c r="BG85" s="151">
        <f t="shared" si="36"/>
        <v>0</v>
      </c>
      <c r="BH85" s="151">
        <f t="shared" si="37"/>
        <v>2982995.6088764262</v>
      </c>
      <c r="BI85" s="151">
        <f>ROUNDDOWN(BH85*'1. UC Assumptions'!$C$23,2)</f>
        <v>984388.55</v>
      </c>
      <c r="BJ85" s="154">
        <f t="shared" si="38"/>
        <v>-53558.641123573761</v>
      </c>
      <c r="BK85" s="154">
        <f t="shared" si="39"/>
        <v>-17674.352499999804</v>
      </c>
      <c r="BL85" s="154">
        <f t="shared" si="40"/>
        <v>0</v>
      </c>
      <c r="BM85" s="154">
        <f t="shared" si="41"/>
        <v>0</v>
      </c>
      <c r="BN85" s="101"/>
      <c r="BO85" s="154">
        <f>(BL85*'1. UC Assumptions'!$C$23)-'3.  UC Calculations by Hospital'!BM85</f>
        <v>0</v>
      </c>
      <c r="BP85" s="13"/>
    </row>
    <row r="86" spans="2:68">
      <c r="B86" s="129" t="s">
        <v>109</v>
      </c>
      <c r="C86" s="91" t="s">
        <v>109</v>
      </c>
      <c r="D86" s="91" t="s">
        <v>281</v>
      </c>
      <c r="E86" s="91"/>
      <c r="F86" s="91"/>
      <c r="G86" s="91" t="s">
        <v>209</v>
      </c>
      <c r="H86" s="91" t="s">
        <v>209</v>
      </c>
      <c r="I86" s="150" t="s">
        <v>283</v>
      </c>
      <c r="J86" s="129" t="s">
        <v>419</v>
      </c>
      <c r="K86" s="91" t="s">
        <v>6</v>
      </c>
      <c r="L86" s="91" t="s">
        <v>6</v>
      </c>
      <c r="M86" s="151">
        <v>28739606.803575449</v>
      </c>
      <c r="N86" s="151">
        <v>36149333.144411787</v>
      </c>
      <c r="O86" s="131">
        <v>47890725.199506015</v>
      </c>
      <c r="P86" s="131">
        <f t="shared" si="21"/>
        <v>0</v>
      </c>
      <c r="Q86" s="131">
        <v>53226974.831074685</v>
      </c>
      <c r="R86" s="131">
        <v>56852145</v>
      </c>
      <c r="S86" s="131">
        <f t="shared" si="22"/>
        <v>28112538.196424551</v>
      </c>
      <c r="T86" s="131">
        <f t="shared" si="23"/>
        <v>25114436.634650134</v>
      </c>
      <c r="U86" s="131">
        <v>7952625</v>
      </c>
      <c r="V86" s="131">
        <v>1372897</v>
      </c>
      <c r="W86" s="131">
        <v>0</v>
      </c>
      <c r="X86" s="131">
        <v>0</v>
      </c>
      <c r="Y86" s="131">
        <v>0</v>
      </c>
      <c r="Z86" s="131">
        <f t="shared" si="24"/>
        <v>9325522</v>
      </c>
      <c r="AA86" s="131">
        <v>0</v>
      </c>
      <c r="AB86" s="152">
        <f t="shared" si="25"/>
        <v>9325522</v>
      </c>
      <c r="AC86" s="133">
        <f>IF(D86="Physician Group Practice",(AB86/$AB$393)*'1. UC Assumptions'!$C$15,IF(E86="Rural Hospital",AB86*'1. UC Assumptions'!$C$7/'1. UC Assumptions'!$E$7,(AB86/$AB$397)*('1. UC Assumptions'!$C$9)))</f>
        <v>4384353.1986129722</v>
      </c>
      <c r="AD86" s="133">
        <f t="shared" si="26"/>
        <v>0</v>
      </c>
      <c r="AE86" s="133">
        <f t="shared" si="27"/>
        <v>4941168.8013870278</v>
      </c>
      <c r="AF86" s="133">
        <f t="shared" si="28"/>
        <v>0</v>
      </c>
      <c r="AG86" s="133">
        <f t="shared" si="29"/>
        <v>4941168.8013870278</v>
      </c>
      <c r="AH86" s="133">
        <f t="shared" si="30"/>
        <v>4384353.1986129722</v>
      </c>
      <c r="AI86" s="131">
        <f>AH86*'1. UC Assumptions'!$C$23</f>
        <v>1446836.5555422807</v>
      </c>
      <c r="AJ86" s="131">
        <v>16361543.689999999</v>
      </c>
      <c r="AK86" s="131">
        <f>AJ86*(1-'1. UC Assumptions'!$C$22)</f>
        <v>5399309.4176999992</v>
      </c>
      <c r="AL86" s="131"/>
      <c r="AM86" s="131">
        <f>AL86*'1. UC Assumptions'!$C$23</f>
        <v>0</v>
      </c>
      <c r="AN86" s="153">
        <f t="shared" si="31"/>
        <v>9325522</v>
      </c>
      <c r="AO86" s="151">
        <f>AN86*'1. UC Assumptions'!$C$23</f>
        <v>3077422.26</v>
      </c>
      <c r="AP86" s="151">
        <f t="shared" si="32"/>
        <v>9325522</v>
      </c>
      <c r="AQ86" s="151">
        <f t="shared" si="33"/>
        <v>3077422.26</v>
      </c>
      <c r="AR86" s="151">
        <f t="shared" si="34"/>
        <v>3077422.26</v>
      </c>
      <c r="AS86" s="151">
        <f t="shared" si="35"/>
        <v>3077422.26</v>
      </c>
      <c r="AT86" s="151">
        <f>IF(K86="Bexar",(AG86/$AT$1)*'1. UC Assumptions'!$E$44-(AH86/$AT$2)*'1. UC Assumptions'!$E$42,0)</f>
        <v>0</v>
      </c>
      <c r="AU86" s="151">
        <f>IF(K86="Dallas",(AG86/$AU$1)*'1. UC Assumptions'!$F$44-(AH86/$AU$2)*'1. UC Assumptions'!$F$42,0)</f>
        <v>0</v>
      </c>
      <c r="AV86" s="151">
        <f>IF(K86="El Paso",(AG86/$AV$1)*'1. UC Assumptions'!$G$44-(AH86/$AV$2)*'1. UC Assumptions'!$G$42,0)</f>
        <v>0</v>
      </c>
      <c r="AW86" s="151">
        <f>IF(K86="Harris",(AG86/$AW$1)*'1. UC Assumptions'!$H$44-(AH86/$AW$2)*'1. UC Assumptions'!$H$42,0)</f>
        <v>0</v>
      </c>
      <c r="AX86" s="151">
        <f>IF(K86="Hidalgo",(AG86/$AX$1)*'1. UC Assumptions'!$I$44-(AH86/$AX$2)*'1. UC Assumptions'!$I$42,0)</f>
        <v>0</v>
      </c>
      <c r="AY86" s="151">
        <f>IF(K86="Jefferson",(AG86/$AY$1)*'1. UC Assumptions'!$J$44-(AH86/$AY$2)*'1. UC Assumptions'!$J$42,0)</f>
        <v>0</v>
      </c>
      <c r="AZ86" s="151">
        <f>IF(K86="Lubbock",(AG86/$AZ$1)*'1. UC Assumptions'!$K$44-(AH86/$AZ$2)*'1. UC Assumptions'!$K$42,0)</f>
        <v>0</v>
      </c>
      <c r="BA86" s="151">
        <f>IF(K86="MRSA Central",(AG86/$BA$1)*'1. UC Assumptions'!$L$44-(AH86/$BA$2)*'1. UC Assumptions'!$L$42,0)</f>
        <v>0</v>
      </c>
      <c r="BB86" s="151">
        <f>IF(K86="MRSA Northeast",(AG86/$BB$1)*'1. UC Assumptions'!$M$44-(AH86/$BB$2)*'1. UC Assumptions'!$M$42,0)</f>
        <v>0</v>
      </c>
      <c r="BC86" s="151">
        <f>IF(K86="MRSA West",(AG86/$BC$1)*'1. UC Assumptions'!$N$44-(AH86/$BC$2)*'1. UC Assumptions'!$N$42,0)</f>
        <v>0</v>
      </c>
      <c r="BD86" s="151">
        <f>IF(K86="Nueces",(AG86/$BD$1)*'1. UC Assumptions'!$O$44-(AH86/$BD$2)*'1. UC Assumptions'!$O$42,0)</f>
        <v>0</v>
      </c>
      <c r="BE86" s="151">
        <f>IF(K86="Tarrant",(AG86/$BE$1)*'1. UC Assumptions'!$P$44-(AH86/$BE$2)*'1. UC Assumptions'!$P$42,0)</f>
        <v>0</v>
      </c>
      <c r="BF86" s="151">
        <f>IF(K86="Travis",(AG86/$BF$1)*'1. UC Assumptions'!$Q$44-(AH86/$BF$2)*'1. UC Assumptions'!$Q$42,0)</f>
        <v>0</v>
      </c>
      <c r="BG86" s="151">
        <f t="shared" si="36"/>
        <v>0</v>
      </c>
      <c r="BH86" s="151">
        <f t="shared" si="37"/>
        <v>4384353.1986129722</v>
      </c>
      <c r="BI86" s="151">
        <f>ROUNDDOWN(BH86*'1. UC Assumptions'!$C$23,2)</f>
        <v>1446836.55</v>
      </c>
      <c r="BJ86" s="154">
        <f t="shared" si="38"/>
        <v>4384353.1986129722</v>
      </c>
      <c r="BK86" s="154">
        <f t="shared" si="39"/>
        <v>1446836.55</v>
      </c>
      <c r="BL86" s="154">
        <f t="shared" si="40"/>
        <v>4047722.94</v>
      </c>
      <c r="BM86" s="154">
        <f t="shared" si="41"/>
        <v>1335748.56</v>
      </c>
      <c r="BN86" s="101"/>
      <c r="BO86" s="154">
        <f>(BL86*'1. UC Assumptions'!$C$23)-'3.  UC Calculations by Hospital'!BM86</f>
        <v>1.0199999669566751E-2</v>
      </c>
      <c r="BP86" s="13"/>
    </row>
    <row r="87" spans="2:68">
      <c r="B87" s="129" t="s">
        <v>420</v>
      </c>
      <c r="C87" s="91" t="s">
        <v>420</v>
      </c>
      <c r="D87" s="91" t="s">
        <v>208</v>
      </c>
      <c r="E87" s="91" t="s">
        <v>149</v>
      </c>
      <c r="F87" s="91"/>
      <c r="G87" s="91" t="s">
        <v>209</v>
      </c>
      <c r="H87" s="91" t="s">
        <v>209</v>
      </c>
      <c r="I87" s="150" t="s">
        <v>210</v>
      </c>
      <c r="J87" s="129" t="s">
        <v>421</v>
      </c>
      <c r="K87" s="91" t="s">
        <v>10</v>
      </c>
      <c r="L87" s="91" t="s">
        <v>422</v>
      </c>
      <c r="M87" s="151">
        <v>895200.5983712509</v>
      </c>
      <c r="N87" s="151">
        <v>2020660.1314377056</v>
      </c>
      <c r="O87" s="131">
        <v>1562115.9516523008</v>
      </c>
      <c r="P87" s="131">
        <f t="shared" si="21"/>
        <v>458544.17978540482</v>
      </c>
      <c r="Q87" s="131">
        <v>1328621.5704138498</v>
      </c>
      <c r="R87" s="131">
        <v>0</v>
      </c>
      <c r="S87" s="131">
        <f t="shared" si="22"/>
        <v>0</v>
      </c>
      <c r="T87" s="131">
        <f t="shared" si="23"/>
        <v>1328621.5704138498</v>
      </c>
      <c r="U87" s="131">
        <v>6410</v>
      </c>
      <c r="V87" s="131">
        <v>0</v>
      </c>
      <c r="W87" s="131">
        <v>0</v>
      </c>
      <c r="X87" s="131">
        <v>0</v>
      </c>
      <c r="Y87" s="131">
        <v>1315.749095045599</v>
      </c>
      <c r="Z87" s="131">
        <f t="shared" si="24"/>
        <v>7725.7490950455995</v>
      </c>
      <c r="AA87" s="131">
        <v>0</v>
      </c>
      <c r="AB87" s="152">
        <f t="shared" si="25"/>
        <v>1336347.3195088953</v>
      </c>
      <c r="AC87" s="133">
        <f>IF(D87="Physician Group Practice",(AB87/$AB$393)*'1. UC Assumptions'!$C$15,IF(E87="Rural Hospital",AB87*'1. UC Assumptions'!$C$7/'1. UC Assumptions'!$E$7,(AB87/$AB$397)*('1. UC Assumptions'!$C$9)))</f>
        <v>1247394.0615901796</v>
      </c>
      <c r="AD87" s="133">
        <f t="shared" si="26"/>
        <v>0</v>
      </c>
      <c r="AE87" s="133">
        <f t="shared" si="27"/>
        <v>88953.25791871571</v>
      </c>
      <c r="AF87" s="133">
        <f t="shared" si="28"/>
        <v>0</v>
      </c>
      <c r="AG87" s="133">
        <f t="shared" si="29"/>
        <v>88953.25791871571</v>
      </c>
      <c r="AH87" s="133">
        <f t="shared" si="30"/>
        <v>1247394.0615901796</v>
      </c>
      <c r="AI87" s="131">
        <f>AH87*'1. UC Assumptions'!$C$23</f>
        <v>411640.0403247592</v>
      </c>
      <c r="AJ87" s="131">
        <v>794303.56</v>
      </c>
      <c r="AK87" s="131">
        <f>AJ87*(1-'1. UC Assumptions'!$C$22)</f>
        <v>262120.17479999998</v>
      </c>
      <c r="AL87" s="131"/>
      <c r="AM87" s="131">
        <f>AL87*'1. UC Assumptions'!$C$23</f>
        <v>0</v>
      </c>
      <c r="AN87" s="153">
        <f t="shared" si="31"/>
        <v>1336347.3195088953</v>
      </c>
      <c r="AO87" s="151">
        <f>AN87*'1. UC Assumptions'!$C$23</f>
        <v>440994.6154379354</v>
      </c>
      <c r="AP87" s="151">
        <f t="shared" si="32"/>
        <v>542043.75950889522</v>
      </c>
      <c r="AQ87" s="151">
        <f t="shared" si="33"/>
        <v>178874.44063793542</v>
      </c>
      <c r="AR87" s="151">
        <f t="shared" si="34"/>
        <v>178874.44063793542</v>
      </c>
      <c r="AS87" s="151">
        <f t="shared" si="35"/>
        <v>440994.6154379354</v>
      </c>
      <c r="AT87" s="151">
        <f>IF(K87="Bexar",(AG87/$AT$1)*'1. UC Assumptions'!$E$44-(AH87/$AT$2)*'1. UC Assumptions'!$E$42,0)</f>
        <v>0</v>
      </c>
      <c r="AU87" s="151">
        <f>IF(K87="Dallas",(AG87/$AU$1)*'1. UC Assumptions'!$F$44-(AH87/$AU$2)*'1. UC Assumptions'!$F$42,0)</f>
        <v>0</v>
      </c>
      <c r="AV87" s="151">
        <f>IF(K87="El Paso",(AG87/$AV$1)*'1. UC Assumptions'!$G$44-(AH87/$AV$2)*'1. UC Assumptions'!$G$42,0)</f>
        <v>0</v>
      </c>
      <c r="AW87" s="151">
        <f>IF(K87="Harris",(AG87/$AW$1)*'1. UC Assumptions'!$H$44-(AH87/$AW$2)*'1. UC Assumptions'!$H$42,0)</f>
        <v>0</v>
      </c>
      <c r="AX87" s="151">
        <f>IF(K87="Hidalgo",(AG87/$AX$1)*'1. UC Assumptions'!$I$44-(AH87/$AX$2)*'1. UC Assumptions'!$I$42,0)</f>
        <v>0</v>
      </c>
      <c r="AY87" s="151">
        <f>IF(K87="Jefferson",(AG87/$AY$1)*'1. UC Assumptions'!$J$44-(AH87/$AY$2)*'1. UC Assumptions'!$J$42,0)</f>
        <v>0</v>
      </c>
      <c r="AZ87" s="151">
        <f>IF(K87="Lubbock",(AG87/$AZ$1)*'1. UC Assumptions'!$K$44-(AH87/$AZ$2)*'1. UC Assumptions'!$K$42,0)</f>
        <v>0</v>
      </c>
      <c r="BA87" s="151">
        <f>IF(K87="MRSA Central",(AG87/$BA$1)*'1. UC Assumptions'!$L$44-(AH87/$BA$2)*'1. UC Assumptions'!$L$42,0)</f>
        <v>0</v>
      </c>
      <c r="BB87" s="151">
        <f>IF(K87="MRSA Northeast",(AG87/$BB$1)*'1. UC Assumptions'!$M$44-(AH87/$BB$2)*'1. UC Assumptions'!$M$42,0)</f>
        <v>0</v>
      </c>
      <c r="BC87" s="151">
        <f>IF(K87="MRSA West",(AG87/$BC$1)*'1. UC Assumptions'!$N$44-(AH87/$BC$2)*'1. UC Assumptions'!$N$42,0)</f>
        <v>0</v>
      </c>
      <c r="BD87" s="151">
        <f>IF(K87="Nueces",(AG87/$BD$1)*'1. UC Assumptions'!$O$44-(AH87/$BD$2)*'1. UC Assumptions'!$O$42,0)</f>
        <v>0</v>
      </c>
      <c r="BE87" s="151">
        <f>IF(K87="Tarrant",(AG87/$BE$1)*'1. UC Assumptions'!$P$44-(AH87/$BE$2)*'1. UC Assumptions'!$P$42,0)</f>
        <v>0</v>
      </c>
      <c r="BF87" s="151">
        <f>IF(K87="Travis",(AG87/$BF$1)*'1. UC Assumptions'!$Q$44-(AH87/$BF$2)*'1. UC Assumptions'!$Q$42,0)</f>
        <v>0</v>
      </c>
      <c r="BG87" s="151">
        <f t="shared" si="36"/>
        <v>0</v>
      </c>
      <c r="BH87" s="151">
        <f t="shared" si="37"/>
        <v>1247394.0615901796</v>
      </c>
      <c r="BI87" s="151">
        <f>ROUNDDOWN(BH87*'1. UC Assumptions'!$C$23,2)</f>
        <v>411640.04</v>
      </c>
      <c r="BJ87" s="154">
        <f t="shared" si="38"/>
        <v>453090.50159017951</v>
      </c>
      <c r="BK87" s="154">
        <f t="shared" si="39"/>
        <v>149519.8652</v>
      </c>
      <c r="BL87" s="154">
        <f t="shared" si="40"/>
        <v>418302.25</v>
      </c>
      <c r="BM87" s="154">
        <f t="shared" si="41"/>
        <v>138039.74</v>
      </c>
      <c r="BN87" s="101"/>
      <c r="BO87" s="154">
        <f>(BL87*'1. UC Assumptions'!$C$23)-'3.  UC Calculations by Hospital'!BM87</f>
        <v>2.5000000023283064E-3</v>
      </c>
      <c r="BP87" s="13"/>
    </row>
    <row r="88" spans="2:68">
      <c r="B88" s="129" t="s">
        <v>423</v>
      </c>
      <c r="C88" s="91" t="s">
        <v>423</v>
      </c>
      <c r="D88" s="91" t="s">
        <v>214</v>
      </c>
      <c r="E88" s="91"/>
      <c r="F88" s="91"/>
      <c r="G88" s="91" t="s">
        <v>209</v>
      </c>
      <c r="H88" s="91" t="s">
        <v>209</v>
      </c>
      <c r="I88" s="150" t="s">
        <v>210</v>
      </c>
      <c r="J88" s="129" t="s">
        <v>424</v>
      </c>
      <c r="K88" s="91" t="s">
        <v>14</v>
      </c>
      <c r="L88" s="91" t="s">
        <v>14</v>
      </c>
      <c r="M88" s="151">
        <v>-18073585.851785466</v>
      </c>
      <c r="N88" s="151">
        <v>63250878.294489376</v>
      </c>
      <c r="O88" s="131">
        <v>47313756.655599475</v>
      </c>
      <c r="P88" s="131">
        <f t="shared" si="21"/>
        <v>15937121.638889901</v>
      </c>
      <c r="Q88" s="131">
        <v>61875390.10437458</v>
      </c>
      <c r="R88" s="131">
        <v>12333122.379999999</v>
      </c>
      <c r="S88" s="131">
        <f t="shared" si="22"/>
        <v>12333122.379999999</v>
      </c>
      <c r="T88" s="131">
        <f t="shared" si="23"/>
        <v>49542267.724374577</v>
      </c>
      <c r="U88" s="131">
        <v>2152741</v>
      </c>
      <c r="V88" s="131">
        <v>0</v>
      </c>
      <c r="W88" s="131">
        <v>0</v>
      </c>
      <c r="X88" s="131">
        <v>0</v>
      </c>
      <c r="Y88" s="131">
        <v>0</v>
      </c>
      <c r="Z88" s="131">
        <f t="shared" si="24"/>
        <v>2152741</v>
      </c>
      <c r="AA88" s="131">
        <v>0</v>
      </c>
      <c r="AB88" s="152">
        <f t="shared" si="25"/>
        <v>51695008.724374577</v>
      </c>
      <c r="AC88" s="133">
        <f>IF(D88="Physician Group Practice",(AB88/$AB$393)*'1. UC Assumptions'!$C$15,IF(E88="Rural Hospital",AB88*'1. UC Assumptions'!$C$7/'1. UC Assumptions'!$E$7,(AB88/$AB$397)*('1. UC Assumptions'!$C$9)))</f>
        <v>24304181.24079673</v>
      </c>
      <c r="AD88" s="133">
        <f t="shared" si="26"/>
        <v>0</v>
      </c>
      <c r="AE88" s="133">
        <f t="shared" si="27"/>
        <v>27390827.483577847</v>
      </c>
      <c r="AF88" s="133">
        <f t="shared" si="28"/>
        <v>0</v>
      </c>
      <c r="AG88" s="133">
        <f t="shared" si="29"/>
        <v>27390827.483577847</v>
      </c>
      <c r="AH88" s="133">
        <f t="shared" si="30"/>
        <v>24304181.24079673</v>
      </c>
      <c r="AI88" s="131">
        <f>AH88*'1. UC Assumptions'!$C$23</f>
        <v>8020379.8094629198</v>
      </c>
      <c r="AJ88" s="131">
        <v>29762729.82</v>
      </c>
      <c r="AK88" s="131">
        <f>AJ88*(1-'1. UC Assumptions'!$C$22)</f>
        <v>9821700.8405999988</v>
      </c>
      <c r="AL88" s="131"/>
      <c r="AM88" s="131">
        <f>AL88*'1. UC Assumptions'!$C$23</f>
        <v>0</v>
      </c>
      <c r="AN88" s="153">
        <f t="shared" si="31"/>
        <v>51695008.724374577</v>
      </c>
      <c r="AO88" s="151">
        <f>AN88*'1. UC Assumptions'!$C$23</f>
        <v>17059352.879043609</v>
      </c>
      <c r="AP88" s="151">
        <f t="shared" si="32"/>
        <v>21932278.904374577</v>
      </c>
      <c r="AQ88" s="151">
        <f t="shared" si="33"/>
        <v>7237652.0384436101</v>
      </c>
      <c r="AR88" s="151">
        <f t="shared" si="34"/>
        <v>7237652.0384436101</v>
      </c>
      <c r="AS88" s="151">
        <f t="shared" si="35"/>
        <v>17059352.879043609</v>
      </c>
      <c r="AT88" s="151">
        <f>IF(K88="Bexar",(AG88/$AT$1)*'1. UC Assumptions'!$E$44-(AH88/$AT$2)*'1. UC Assumptions'!$E$42,0)</f>
        <v>0</v>
      </c>
      <c r="AU88" s="151">
        <f>IF(K88="Dallas",(AG88/$AU$1)*'1. UC Assumptions'!$F$44-(AH88/$AU$2)*'1. UC Assumptions'!$F$42,0)</f>
        <v>0</v>
      </c>
      <c r="AV88" s="151">
        <f>IF(K88="El Paso",(AG88/$AV$1)*'1. UC Assumptions'!$G$44-(AH88/$AV$2)*'1. UC Assumptions'!$G$42,0)</f>
        <v>0</v>
      </c>
      <c r="AW88" s="151">
        <f>IF(K88="Harris",(AG88/$AW$1)*'1. UC Assumptions'!$H$44-(AH88/$AW$2)*'1. UC Assumptions'!$H$42,0)</f>
        <v>0</v>
      </c>
      <c r="AX88" s="151">
        <f>IF(K88="Hidalgo",(AG88/$AX$1)*'1. UC Assumptions'!$I$44-(AH88/$AX$2)*'1. UC Assumptions'!$I$42,0)</f>
        <v>0</v>
      </c>
      <c r="AY88" s="151">
        <f>IF(K88="Jefferson",(AG88/$AY$1)*'1. UC Assumptions'!$J$44-(AH88/$AY$2)*'1. UC Assumptions'!$J$42,0)</f>
        <v>0</v>
      </c>
      <c r="AZ88" s="151">
        <f>IF(K88="Lubbock",(AG88/$AZ$1)*'1. UC Assumptions'!$K$44-(AH88/$AZ$2)*'1. UC Assumptions'!$K$42,0)</f>
        <v>0</v>
      </c>
      <c r="BA88" s="151">
        <f>IF(K88="MRSA Central",(AG88/$BA$1)*'1. UC Assumptions'!$L$44-(AH88/$BA$2)*'1. UC Assumptions'!$L$42,0)</f>
        <v>0</v>
      </c>
      <c r="BB88" s="151">
        <f>IF(K88="MRSA Northeast",(AG88/$BB$1)*'1. UC Assumptions'!$M$44-(AH88/$BB$2)*'1. UC Assumptions'!$M$42,0)</f>
        <v>0</v>
      </c>
      <c r="BC88" s="151">
        <f>IF(K88="MRSA West",(AG88/$BC$1)*'1. UC Assumptions'!$N$44-(AH88/$BC$2)*'1. UC Assumptions'!$N$42,0)</f>
        <v>0</v>
      </c>
      <c r="BD88" s="151">
        <f>IF(K88="Nueces",(AG88/$BD$1)*'1. UC Assumptions'!$O$44-(AH88/$BD$2)*'1. UC Assumptions'!$O$42,0)</f>
        <v>0</v>
      </c>
      <c r="BE88" s="151">
        <f>IF(K88="Tarrant",(AG88/$BE$1)*'1. UC Assumptions'!$P$44-(AH88/$BE$2)*'1. UC Assumptions'!$P$42,0)</f>
        <v>0</v>
      </c>
      <c r="BF88" s="151">
        <f>IF(K88="Travis",(AG88/$BF$1)*'1. UC Assumptions'!$Q$44-(AH88/$BF$2)*'1. UC Assumptions'!$Q$42,0)</f>
        <v>0</v>
      </c>
      <c r="BG88" s="151">
        <f t="shared" si="36"/>
        <v>0</v>
      </c>
      <c r="BH88" s="151">
        <f t="shared" si="37"/>
        <v>24304181.24079673</v>
      </c>
      <c r="BI88" s="151">
        <f>ROUNDDOWN(BH88*'1. UC Assumptions'!$C$23,2)</f>
        <v>8020379.7999999998</v>
      </c>
      <c r="BJ88" s="154">
        <f t="shared" si="38"/>
        <v>-5458548.5792032704</v>
      </c>
      <c r="BK88" s="154">
        <f t="shared" si="39"/>
        <v>-1801321.040599999</v>
      </c>
      <c r="BL88" s="154">
        <f t="shared" si="40"/>
        <v>0</v>
      </c>
      <c r="BM88" s="154">
        <f t="shared" si="41"/>
        <v>0</v>
      </c>
      <c r="BN88" s="101"/>
      <c r="BO88" s="154">
        <f>(BL88*'1. UC Assumptions'!$C$23)-'3.  UC Calculations by Hospital'!BM88</f>
        <v>0</v>
      </c>
      <c r="BP88" s="13"/>
    </row>
    <row r="89" spans="2:68">
      <c r="B89" s="129" t="s">
        <v>425</v>
      </c>
      <c r="C89" s="91" t="s">
        <v>425</v>
      </c>
      <c r="D89" s="91" t="s">
        <v>214</v>
      </c>
      <c r="E89" s="91"/>
      <c r="F89" s="91"/>
      <c r="G89" s="91" t="s">
        <v>209</v>
      </c>
      <c r="H89" s="91" t="s">
        <v>209</v>
      </c>
      <c r="I89" s="150" t="s">
        <v>210</v>
      </c>
      <c r="J89" s="129" t="s">
        <v>426</v>
      </c>
      <c r="K89" s="91" t="s">
        <v>7</v>
      </c>
      <c r="L89" s="91" t="s">
        <v>7</v>
      </c>
      <c r="M89" s="151">
        <v>-3716384.1430160408</v>
      </c>
      <c r="N89" s="151">
        <v>13348183.477785049</v>
      </c>
      <c r="O89" s="131">
        <v>4929277.3718726533</v>
      </c>
      <c r="P89" s="131">
        <f t="shared" si="21"/>
        <v>8418906.1059123948</v>
      </c>
      <c r="Q89" s="131">
        <v>8135658.7592475889</v>
      </c>
      <c r="R89" s="131">
        <v>4689347.71</v>
      </c>
      <c r="S89" s="131">
        <f t="shared" si="22"/>
        <v>0</v>
      </c>
      <c r="T89" s="131">
        <f t="shared" si="23"/>
        <v>8135658.7592475889</v>
      </c>
      <c r="U89" s="131">
        <v>473156</v>
      </c>
      <c r="V89" s="131">
        <v>0</v>
      </c>
      <c r="W89" s="131">
        <v>0</v>
      </c>
      <c r="X89" s="131">
        <v>0</v>
      </c>
      <c r="Y89" s="131">
        <v>0</v>
      </c>
      <c r="Z89" s="131">
        <f t="shared" si="24"/>
        <v>473156</v>
      </c>
      <c r="AA89" s="131">
        <v>0</v>
      </c>
      <c r="AB89" s="152">
        <f t="shared" si="25"/>
        <v>8608814.7592475899</v>
      </c>
      <c r="AC89" s="133">
        <f>IF(D89="Physician Group Practice",(AB89/$AB$393)*'1. UC Assumptions'!$C$15,IF(E89="Rural Hospital",AB89*'1. UC Assumptions'!$C$7/'1. UC Assumptions'!$E$7,(AB89/$AB$397)*('1. UC Assumptions'!$C$9)))</f>
        <v>4047396.4380732505</v>
      </c>
      <c r="AD89" s="133">
        <f t="shared" si="26"/>
        <v>0</v>
      </c>
      <c r="AE89" s="133">
        <f t="shared" si="27"/>
        <v>4561418.3211743394</v>
      </c>
      <c r="AF89" s="133">
        <f t="shared" si="28"/>
        <v>0</v>
      </c>
      <c r="AG89" s="133">
        <f t="shared" si="29"/>
        <v>4561418.3211743394</v>
      </c>
      <c r="AH89" s="133">
        <f t="shared" si="30"/>
        <v>4047396.4380732505</v>
      </c>
      <c r="AI89" s="131">
        <f>AH89*'1. UC Assumptions'!$C$23</f>
        <v>1335640.8245641724</v>
      </c>
      <c r="AJ89" s="131">
        <v>1065988.6599999999</v>
      </c>
      <c r="AK89" s="131">
        <f>AJ89*(1-'1. UC Assumptions'!$C$22)</f>
        <v>351776.2577999999</v>
      </c>
      <c r="AL89" s="131"/>
      <c r="AM89" s="131">
        <f>AL89*'1. UC Assumptions'!$C$23</f>
        <v>0</v>
      </c>
      <c r="AN89" s="153">
        <f t="shared" si="31"/>
        <v>8608814.7592475899</v>
      </c>
      <c r="AO89" s="151">
        <f>AN89*'1. UC Assumptions'!$C$23</f>
        <v>2840908.8705517044</v>
      </c>
      <c r="AP89" s="151">
        <f t="shared" si="32"/>
        <v>7542826.0992475897</v>
      </c>
      <c r="AQ89" s="151">
        <f t="shared" si="33"/>
        <v>2489132.6127517046</v>
      </c>
      <c r="AR89" s="151">
        <f t="shared" si="34"/>
        <v>2489132.6127517046</v>
      </c>
      <c r="AS89" s="151">
        <f t="shared" si="35"/>
        <v>2840908.8705517044</v>
      </c>
      <c r="AT89" s="151">
        <f>IF(K89="Bexar",(AG89/$AT$1)*'1. UC Assumptions'!$E$44-(AH89/$AT$2)*'1. UC Assumptions'!$E$42,0)</f>
        <v>0</v>
      </c>
      <c r="AU89" s="151">
        <f>IF(K89="Dallas",(AG89/$AU$1)*'1. UC Assumptions'!$F$44-(AH89/$AU$2)*'1. UC Assumptions'!$F$42,0)</f>
        <v>0</v>
      </c>
      <c r="AV89" s="151">
        <f>IF(K89="El Paso",(AG89/$AV$1)*'1. UC Assumptions'!$G$44-(AH89/$AV$2)*'1. UC Assumptions'!$G$42,0)</f>
        <v>0</v>
      </c>
      <c r="AW89" s="151">
        <f>IF(K89="Harris",(AG89/$AW$1)*'1. UC Assumptions'!$H$44-(AH89/$AW$2)*'1. UC Assumptions'!$H$42,0)</f>
        <v>0</v>
      </c>
      <c r="AX89" s="151">
        <f>IF(K89="Hidalgo",(AG89/$AX$1)*'1. UC Assumptions'!$I$44-(AH89/$AX$2)*'1. UC Assumptions'!$I$42,0)</f>
        <v>0</v>
      </c>
      <c r="AY89" s="151">
        <f>IF(K89="Jefferson",(AG89/$AY$1)*'1. UC Assumptions'!$J$44-(AH89/$AY$2)*'1. UC Assumptions'!$J$42,0)</f>
        <v>0</v>
      </c>
      <c r="AZ89" s="151">
        <f>IF(K89="Lubbock",(AG89/$AZ$1)*'1. UC Assumptions'!$K$44-(AH89/$AZ$2)*'1. UC Assumptions'!$K$42,0)</f>
        <v>0</v>
      </c>
      <c r="BA89" s="151">
        <f>IF(K89="MRSA Central",(AG89/$BA$1)*'1. UC Assumptions'!$L$44-(AH89/$BA$2)*'1. UC Assumptions'!$L$42,0)</f>
        <v>0</v>
      </c>
      <c r="BB89" s="151">
        <f>IF(K89="MRSA Northeast",(AG89/$BB$1)*'1. UC Assumptions'!$M$44-(AH89/$BB$2)*'1. UC Assumptions'!$M$42,0)</f>
        <v>0</v>
      </c>
      <c r="BC89" s="151">
        <f>IF(K89="MRSA West",(AG89/$BC$1)*'1. UC Assumptions'!$N$44-(AH89/$BC$2)*'1. UC Assumptions'!$N$42,0)</f>
        <v>0</v>
      </c>
      <c r="BD89" s="151">
        <f>IF(K89="Nueces",(AG89/$BD$1)*'1. UC Assumptions'!$O$44-(AH89/$BD$2)*'1. UC Assumptions'!$O$42,0)</f>
        <v>0</v>
      </c>
      <c r="BE89" s="151">
        <f>IF(K89="Tarrant",(AG89/$BE$1)*'1. UC Assumptions'!$P$44-(AH89/$BE$2)*'1. UC Assumptions'!$P$42,0)</f>
        <v>0</v>
      </c>
      <c r="BF89" s="151">
        <f>IF(K89="Travis",(AG89/$BF$1)*'1. UC Assumptions'!$Q$44-(AH89/$BF$2)*'1. UC Assumptions'!$Q$42,0)</f>
        <v>0</v>
      </c>
      <c r="BG89" s="151">
        <f t="shared" si="36"/>
        <v>0</v>
      </c>
      <c r="BH89" s="151">
        <f t="shared" si="37"/>
        <v>4047396.4380732505</v>
      </c>
      <c r="BI89" s="151">
        <f>ROUNDDOWN(BH89*'1. UC Assumptions'!$C$23,2)</f>
        <v>1335640.82</v>
      </c>
      <c r="BJ89" s="154">
        <f t="shared" si="38"/>
        <v>2981407.7780732503</v>
      </c>
      <c r="BK89" s="154">
        <f t="shared" si="39"/>
        <v>983864.56220000016</v>
      </c>
      <c r="BL89" s="154">
        <f t="shared" si="40"/>
        <v>2752495.54</v>
      </c>
      <c r="BM89" s="154">
        <f t="shared" si="41"/>
        <v>908323.52</v>
      </c>
      <c r="BN89" s="101"/>
      <c r="BO89" s="154">
        <f>(BL89*'1. UC Assumptions'!$C$23)-'3.  UC Calculations by Hospital'!BM89</f>
        <v>8.1999999238178134E-3</v>
      </c>
      <c r="BP89" s="13"/>
    </row>
    <row r="90" spans="2:68">
      <c r="B90" s="129" t="s">
        <v>427</v>
      </c>
      <c r="C90" s="91" t="s">
        <v>427</v>
      </c>
      <c r="D90" s="91" t="s">
        <v>208</v>
      </c>
      <c r="E90" s="91" t="s">
        <v>149</v>
      </c>
      <c r="F90" s="91"/>
      <c r="G90" s="91" t="s">
        <v>209</v>
      </c>
      <c r="H90" s="91" t="s">
        <v>209</v>
      </c>
      <c r="I90" s="150" t="s">
        <v>210</v>
      </c>
      <c r="J90" s="129" t="s">
        <v>428</v>
      </c>
      <c r="K90" s="91" t="s">
        <v>12</v>
      </c>
      <c r="L90" s="91" t="s">
        <v>429</v>
      </c>
      <c r="M90" s="151">
        <v>1608724.5269790469</v>
      </c>
      <c r="N90" s="151">
        <v>3172071.2251685574</v>
      </c>
      <c r="O90" s="131">
        <v>389807.49383582722</v>
      </c>
      <c r="P90" s="131">
        <f t="shared" si="21"/>
        <v>2782263.73133273</v>
      </c>
      <c r="Q90" s="131">
        <v>963425.6703217664</v>
      </c>
      <c r="R90" s="131">
        <v>1955171.72</v>
      </c>
      <c r="S90" s="131">
        <f t="shared" si="22"/>
        <v>0</v>
      </c>
      <c r="T90" s="131">
        <f t="shared" si="23"/>
        <v>963425.6703217664</v>
      </c>
      <c r="U90" s="131">
        <v>0</v>
      </c>
      <c r="V90" s="131">
        <v>0</v>
      </c>
      <c r="W90" s="131">
        <v>0</v>
      </c>
      <c r="X90" s="131">
        <v>0</v>
      </c>
      <c r="Y90" s="131">
        <v>0</v>
      </c>
      <c r="Z90" s="131">
        <f t="shared" si="24"/>
        <v>0</v>
      </c>
      <c r="AA90" s="131">
        <v>0</v>
      </c>
      <c r="AB90" s="152">
        <f t="shared" si="25"/>
        <v>963425.6703217664</v>
      </c>
      <c r="AC90" s="133">
        <f>IF(D90="Physician Group Practice",(AB90/$AB$393)*'1. UC Assumptions'!$C$15,IF(E90="Rural Hospital",AB90*'1. UC Assumptions'!$C$7/'1. UC Assumptions'!$E$7,(AB90/$AB$397)*('1. UC Assumptions'!$C$9)))</f>
        <v>899295.74624698458</v>
      </c>
      <c r="AD90" s="133">
        <f t="shared" si="26"/>
        <v>0</v>
      </c>
      <c r="AE90" s="133">
        <f t="shared" si="27"/>
        <v>64129.924074781826</v>
      </c>
      <c r="AF90" s="133">
        <f t="shared" si="28"/>
        <v>0</v>
      </c>
      <c r="AG90" s="133">
        <f t="shared" si="29"/>
        <v>64129.924074781826</v>
      </c>
      <c r="AH90" s="133">
        <f t="shared" si="30"/>
        <v>899295.74624698458</v>
      </c>
      <c r="AI90" s="131">
        <f>AH90*'1. UC Assumptions'!$C$23</f>
        <v>296767.59626150486</v>
      </c>
      <c r="AJ90" s="131">
        <v>506152.34</v>
      </c>
      <c r="AK90" s="131">
        <f>AJ90*(1-'1. UC Assumptions'!$C$22)</f>
        <v>167030.27219999998</v>
      </c>
      <c r="AL90" s="131"/>
      <c r="AM90" s="131">
        <f>AL90*'1. UC Assumptions'!$C$23</f>
        <v>0</v>
      </c>
      <c r="AN90" s="153">
        <f t="shared" si="31"/>
        <v>963425.6703217664</v>
      </c>
      <c r="AO90" s="151">
        <f>AN90*'1. UC Assumptions'!$C$23</f>
        <v>317930.47120618285</v>
      </c>
      <c r="AP90" s="151">
        <f t="shared" si="32"/>
        <v>457273.33032176638</v>
      </c>
      <c r="AQ90" s="151">
        <f t="shared" si="33"/>
        <v>150900.19900618287</v>
      </c>
      <c r="AR90" s="151">
        <f t="shared" si="34"/>
        <v>150900.19900618287</v>
      </c>
      <c r="AS90" s="151">
        <f t="shared" si="35"/>
        <v>317930.47120618285</v>
      </c>
      <c r="AT90" s="151">
        <f>IF(K90="Bexar",(AG90/$AT$1)*'1. UC Assumptions'!$E$44-(AH90/$AT$2)*'1. UC Assumptions'!$E$42,0)</f>
        <v>0</v>
      </c>
      <c r="AU90" s="151">
        <f>IF(K90="Dallas",(AG90/$AU$1)*'1. UC Assumptions'!$F$44-(AH90/$AU$2)*'1. UC Assumptions'!$F$42,0)</f>
        <v>0</v>
      </c>
      <c r="AV90" s="151">
        <f>IF(K90="El Paso",(AG90/$AV$1)*'1. UC Assumptions'!$G$44-(AH90/$AV$2)*'1. UC Assumptions'!$G$42,0)</f>
        <v>0</v>
      </c>
      <c r="AW90" s="151">
        <f>IF(K90="Harris",(AG90/$AW$1)*'1. UC Assumptions'!$H$44-(AH90/$AW$2)*'1. UC Assumptions'!$H$42,0)</f>
        <v>0</v>
      </c>
      <c r="AX90" s="151">
        <f>IF(K90="Hidalgo",(AG90/$AX$1)*'1. UC Assumptions'!$I$44-(AH90/$AX$2)*'1. UC Assumptions'!$I$42,0)</f>
        <v>0</v>
      </c>
      <c r="AY90" s="151">
        <f>IF(K90="Jefferson",(AG90/$AY$1)*'1. UC Assumptions'!$J$44-(AH90/$AY$2)*'1. UC Assumptions'!$J$42,0)</f>
        <v>0</v>
      </c>
      <c r="AZ90" s="151">
        <f>IF(K90="Lubbock",(AG90/$AZ$1)*'1. UC Assumptions'!$K$44-(AH90/$AZ$2)*'1. UC Assumptions'!$K$42,0)</f>
        <v>0</v>
      </c>
      <c r="BA90" s="151">
        <f>IF(K90="MRSA Central",(AG90/$BA$1)*'1. UC Assumptions'!$L$44-(AH90/$BA$2)*'1. UC Assumptions'!$L$42,0)</f>
        <v>0</v>
      </c>
      <c r="BB90" s="151">
        <f>IF(K90="MRSA Northeast",(AG90/$BB$1)*'1. UC Assumptions'!$M$44-(AH90/$BB$2)*'1. UC Assumptions'!$M$42,0)</f>
        <v>0</v>
      </c>
      <c r="BC90" s="151">
        <f>IF(K90="MRSA West",(AG90/$BC$1)*'1. UC Assumptions'!$N$44-(AH90/$BC$2)*'1. UC Assumptions'!$N$42,0)</f>
        <v>0</v>
      </c>
      <c r="BD90" s="151">
        <f>IF(K90="Nueces",(AG90/$BD$1)*'1. UC Assumptions'!$O$44-(AH90/$BD$2)*'1. UC Assumptions'!$O$42,0)</f>
        <v>0</v>
      </c>
      <c r="BE90" s="151">
        <f>IF(K90="Tarrant",(AG90/$BE$1)*'1. UC Assumptions'!$P$44-(AH90/$BE$2)*'1. UC Assumptions'!$P$42,0)</f>
        <v>0</v>
      </c>
      <c r="BF90" s="151">
        <f>IF(K90="Travis",(AG90/$BF$1)*'1. UC Assumptions'!$Q$44-(AH90/$BF$2)*'1. UC Assumptions'!$Q$42,0)</f>
        <v>0</v>
      </c>
      <c r="BG90" s="151">
        <f t="shared" si="36"/>
        <v>0</v>
      </c>
      <c r="BH90" s="151">
        <f t="shared" si="37"/>
        <v>899295.74624698458</v>
      </c>
      <c r="BI90" s="151">
        <f>ROUNDDOWN(BH90*'1. UC Assumptions'!$C$23,2)</f>
        <v>296767.59000000003</v>
      </c>
      <c r="BJ90" s="154">
        <f t="shared" si="38"/>
        <v>393143.40624698455</v>
      </c>
      <c r="BK90" s="154">
        <f t="shared" si="39"/>
        <v>129737.31780000005</v>
      </c>
      <c r="BL90" s="154">
        <f t="shared" si="40"/>
        <v>362957.89</v>
      </c>
      <c r="BM90" s="154">
        <f t="shared" si="41"/>
        <v>119776.1</v>
      </c>
      <c r="BN90" s="101"/>
      <c r="BO90" s="154">
        <f>(BL90*'1. UC Assumptions'!$C$23)-'3.  UC Calculations by Hospital'!BM90</f>
        <v>3.6999999865656719E-3</v>
      </c>
      <c r="BP90" s="13"/>
    </row>
    <row r="91" spans="2:68">
      <c r="B91" s="129" t="s">
        <v>430</v>
      </c>
      <c r="C91" s="91" t="s">
        <v>430</v>
      </c>
      <c r="D91" s="91" t="s">
        <v>214</v>
      </c>
      <c r="E91" s="91" t="s">
        <v>149</v>
      </c>
      <c r="F91" s="91"/>
      <c r="G91" s="91" t="s">
        <v>209</v>
      </c>
      <c r="H91" s="91" t="s">
        <v>209</v>
      </c>
      <c r="I91" s="150" t="s">
        <v>210</v>
      </c>
      <c r="J91" s="129" t="s">
        <v>431</v>
      </c>
      <c r="K91" s="91" t="s">
        <v>12</v>
      </c>
      <c r="L91" s="91" t="s">
        <v>432</v>
      </c>
      <c r="M91" s="151">
        <v>1078751.4936441605</v>
      </c>
      <c r="N91" s="151">
        <v>2576511.6043415493</v>
      </c>
      <c r="O91" s="131">
        <v>751945.72536115197</v>
      </c>
      <c r="P91" s="131">
        <f t="shared" si="21"/>
        <v>1824565.8789803972</v>
      </c>
      <c r="Q91" s="131">
        <v>1679492.506740429</v>
      </c>
      <c r="R91" s="131">
        <v>240734</v>
      </c>
      <c r="S91" s="131">
        <f t="shared" si="22"/>
        <v>0</v>
      </c>
      <c r="T91" s="131">
        <f t="shared" si="23"/>
        <v>1679492.506740429</v>
      </c>
      <c r="U91" s="131">
        <v>21785</v>
      </c>
      <c r="V91" s="131">
        <v>0</v>
      </c>
      <c r="W91" s="131">
        <v>0</v>
      </c>
      <c r="X91" s="131">
        <v>0</v>
      </c>
      <c r="Y91" s="131">
        <v>0</v>
      </c>
      <c r="Z91" s="131">
        <f t="shared" si="24"/>
        <v>21785</v>
      </c>
      <c r="AA91" s="131">
        <v>0</v>
      </c>
      <c r="AB91" s="152">
        <f t="shared" si="25"/>
        <v>1701277.506740429</v>
      </c>
      <c r="AC91" s="133">
        <f>IF(D91="Physician Group Practice",(AB91/$AB$393)*'1. UC Assumptions'!$C$15,IF(E91="Rural Hospital",AB91*'1. UC Assumptions'!$C$7/'1. UC Assumptions'!$E$7,(AB91/$AB$397)*('1. UC Assumptions'!$C$9)))</f>
        <v>1588032.8624484001</v>
      </c>
      <c r="AD91" s="133">
        <f t="shared" si="26"/>
        <v>0</v>
      </c>
      <c r="AE91" s="133">
        <f t="shared" si="27"/>
        <v>113244.64429202885</v>
      </c>
      <c r="AF91" s="133">
        <f t="shared" si="28"/>
        <v>0</v>
      </c>
      <c r="AG91" s="133">
        <f t="shared" si="29"/>
        <v>113244.64429202885</v>
      </c>
      <c r="AH91" s="133">
        <f t="shared" si="30"/>
        <v>1588032.8624484001</v>
      </c>
      <c r="AI91" s="131">
        <f>AH91*'1. UC Assumptions'!$C$23</f>
        <v>524050.84460797196</v>
      </c>
      <c r="AJ91" s="131">
        <v>679845.38</v>
      </c>
      <c r="AK91" s="131">
        <f>AJ91*(1-'1. UC Assumptions'!$C$22)</f>
        <v>224348.97539999997</v>
      </c>
      <c r="AL91" s="131"/>
      <c r="AM91" s="131">
        <f>AL91*'1. UC Assumptions'!$C$23</f>
        <v>0</v>
      </c>
      <c r="AN91" s="153">
        <f t="shared" si="31"/>
        <v>1701277.506740429</v>
      </c>
      <c r="AO91" s="151">
        <f>AN91*'1. UC Assumptions'!$C$23</f>
        <v>561421.57722434145</v>
      </c>
      <c r="AP91" s="151">
        <f t="shared" si="32"/>
        <v>1021432.126740429</v>
      </c>
      <c r="AQ91" s="151">
        <f t="shared" si="33"/>
        <v>337072.60182434146</v>
      </c>
      <c r="AR91" s="151">
        <f t="shared" si="34"/>
        <v>337072.60182434146</v>
      </c>
      <c r="AS91" s="151">
        <f t="shared" si="35"/>
        <v>561421.57722434145</v>
      </c>
      <c r="AT91" s="151">
        <f>IF(K91="Bexar",(AG91/$AT$1)*'1. UC Assumptions'!$E$44-(AH91/$AT$2)*'1. UC Assumptions'!$E$42,0)</f>
        <v>0</v>
      </c>
      <c r="AU91" s="151">
        <f>IF(K91="Dallas",(AG91/$AU$1)*'1. UC Assumptions'!$F$44-(AH91/$AU$2)*'1. UC Assumptions'!$F$42,0)</f>
        <v>0</v>
      </c>
      <c r="AV91" s="151">
        <f>IF(K91="El Paso",(AG91/$AV$1)*'1. UC Assumptions'!$G$44-(AH91/$AV$2)*'1. UC Assumptions'!$G$42,0)</f>
        <v>0</v>
      </c>
      <c r="AW91" s="151">
        <f>IF(K91="Harris",(AG91/$AW$1)*'1. UC Assumptions'!$H$44-(AH91/$AW$2)*'1. UC Assumptions'!$H$42,0)</f>
        <v>0</v>
      </c>
      <c r="AX91" s="151">
        <f>IF(K91="Hidalgo",(AG91/$AX$1)*'1. UC Assumptions'!$I$44-(AH91/$AX$2)*'1. UC Assumptions'!$I$42,0)</f>
        <v>0</v>
      </c>
      <c r="AY91" s="151">
        <f>IF(K91="Jefferson",(AG91/$AY$1)*'1. UC Assumptions'!$J$44-(AH91/$AY$2)*'1. UC Assumptions'!$J$42,0)</f>
        <v>0</v>
      </c>
      <c r="AZ91" s="151">
        <f>IF(K91="Lubbock",(AG91/$AZ$1)*'1. UC Assumptions'!$K$44-(AH91/$AZ$2)*'1. UC Assumptions'!$K$42,0)</f>
        <v>0</v>
      </c>
      <c r="BA91" s="151">
        <f>IF(K91="MRSA Central",(AG91/$BA$1)*'1. UC Assumptions'!$L$44-(AH91/$BA$2)*'1. UC Assumptions'!$L$42,0)</f>
        <v>0</v>
      </c>
      <c r="BB91" s="151">
        <f>IF(K91="MRSA Northeast",(AG91/$BB$1)*'1. UC Assumptions'!$M$44-(AH91/$BB$2)*'1. UC Assumptions'!$M$42,0)</f>
        <v>0</v>
      </c>
      <c r="BC91" s="151">
        <f>IF(K91="MRSA West",(AG91/$BC$1)*'1. UC Assumptions'!$N$44-(AH91/$BC$2)*'1. UC Assumptions'!$N$42,0)</f>
        <v>0</v>
      </c>
      <c r="BD91" s="151">
        <f>IF(K91="Nueces",(AG91/$BD$1)*'1. UC Assumptions'!$O$44-(AH91/$BD$2)*'1. UC Assumptions'!$O$42,0)</f>
        <v>0</v>
      </c>
      <c r="BE91" s="151">
        <f>IF(K91="Tarrant",(AG91/$BE$1)*'1. UC Assumptions'!$P$44-(AH91/$BE$2)*'1. UC Assumptions'!$P$42,0)</f>
        <v>0</v>
      </c>
      <c r="BF91" s="151">
        <f>IF(K91="Travis",(AG91/$BF$1)*'1. UC Assumptions'!$Q$44-(AH91/$BF$2)*'1. UC Assumptions'!$Q$42,0)</f>
        <v>0</v>
      </c>
      <c r="BG91" s="151">
        <f t="shared" si="36"/>
        <v>0</v>
      </c>
      <c r="BH91" s="151">
        <f t="shared" si="37"/>
        <v>1588032.8624484001</v>
      </c>
      <c r="BI91" s="151">
        <f>ROUNDDOWN(BH91*'1. UC Assumptions'!$C$23,2)</f>
        <v>524050.84</v>
      </c>
      <c r="BJ91" s="154">
        <f t="shared" si="38"/>
        <v>908187.48244840011</v>
      </c>
      <c r="BK91" s="154">
        <f t="shared" si="39"/>
        <v>299701.86460000009</v>
      </c>
      <c r="BL91" s="154">
        <f t="shared" si="40"/>
        <v>838456.93</v>
      </c>
      <c r="BM91" s="154">
        <f t="shared" si="41"/>
        <v>276690.78000000003</v>
      </c>
      <c r="BN91" s="101"/>
      <c r="BO91" s="154">
        <f>(BL91*'1. UC Assumptions'!$C$23)-'3.  UC Calculations by Hospital'!BM91</f>
        <v>6.8999999784864485E-3</v>
      </c>
      <c r="BP91" s="13"/>
    </row>
    <row r="92" spans="2:68">
      <c r="B92" s="129" t="s">
        <v>433</v>
      </c>
      <c r="C92" s="91" t="s">
        <v>433</v>
      </c>
      <c r="D92" s="91" t="s">
        <v>208</v>
      </c>
      <c r="E92" s="91" t="s">
        <v>149</v>
      </c>
      <c r="F92" s="91"/>
      <c r="G92" s="91" t="s">
        <v>209</v>
      </c>
      <c r="H92" s="91" t="s">
        <v>209</v>
      </c>
      <c r="I92" s="150" t="s">
        <v>210</v>
      </c>
      <c r="J92" s="129" t="s">
        <v>434</v>
      </c>
      <c r="K92" s="91" t="s">
        <v>12</v>
      </c>
      <c r="L92" s="91" t="s">
        <v>435</v>
      </c>
      <c r="M92" s="151">
        <v>184403.38383272963</v>
      </c>
      <c r="N92" s="151">
        <v>496484.90528452606</v>
      </c>
      <c r="O92" s="131">
        <v>5013.4265674751996</v>
      </c>
      <c r="P92" s="131">
        <f t="shared" si="21"/>
        <v>491471.47871705086</v>
      </c>
      <c r="Q92" s="131">
        <v>575229.65458846721</v>
      </c>
      <c r="R92" s="131">
        <v>0</v>
      </c>
      <c r="S92" s="131">
        <f t="shared" si="22"/>
        <v>0</v>
      </c>
      <c r="T92" s="131">
        <f t="shared" si="23"/>
        <v>575229.65458846721</v>
      </c>
      <c r="U92" s="131">
        <v>0</v>
      </c>
      <c r="V92" s="131">
        <v>0</v>
      </c>
      <c r="W92" s="131">
        <v>0</v>
      </c>
      <c r="X92" s="131">
        <v>0</v>
      </c>
      <c r="Y92" s="131">
        <v>0</v>
      </c>
      <c r="Z92" s="131">
        <f t="shared" si="24"/>
        <v>0</v>
      </c>
      <c r="AA92" s="131">
        <v>0</v>
      </c>
      <c r="AB92" s="152">
        <f t="shared" si="25"/>
        <v>575229.65458846721</v>
      </c>
      <c r="AC92" s="133">
        <f>IF(D92="Physician Group Practice",(AB92/$AB$393)*'1. UC Assumptions'!$C$15,IF(E92="Rural Hospital",AB92*'1. UC Assumptions'!$C$7/'1. UC Assumptions'!$E$7,(AB92/$AB$397)*('1. UC Assumptions'!$C$9)))</f>
        <v>536939.79454975668</v>
      </c>
      <c r="AD92" s="133">
        <f t="shared" si="26"/>
        <v>0</v>
      </c>
      <c r="AE92" s="133">
        <f t="shared" si="27"/>
        <v>38289.860038710525</v>
      </c>
      <c r="AF92" s="133">
        <f t="shared" si="28"/>
        <v>0</v>
      </c>
      <c r="AG92" s="133">
        <f t="shared" si="29"/>
        <v>38289.860038710525</v>
      </c>
      <c r="AH92" s="133">
        <f t="shared" si="30"/>
        <v>536939.79454975668</v>
      </c>
      <c r="AI92" s="131">
        <f>AH92*'1. UC Assumptions'!$C$23</f>
        <v>177190.13220141968</v>
      </c>
      <c r="AJ92" s="131">
        <v>403304.79</v>
      </c>
      <c r="AK92" s="131">
        <f>AJ92*(1-'1. UC Assumptions'!$C$22)</f>
        <v>133090.58069999999</v>
      </c>
      <c r="AL92" s="131"/>
      <c r="AM92" s="131">
        <f>AL92*'1. UC Assumptions'!$C$23</f>
        <v>0</v>
      </c>
      <c r="AN92" s="153">
        <f t="shared" si="31"/>
        <v>575229.65458846721</v>
      </c>
      <c r="AO92" s="151">
        <f>AN92*'1. UC Assumptions'!$C$23</f>
        <v>189825.78601419416</v>
      </c>
      <c r="AP92" s="151">
        <f t="shared" si="32"/>
        <v>171924.86458846723</v>
      </c>
      <c r="AQ92" s="151">
        <f t="shared" si="33"/>
        <v>56735.205314194172</v>
      </c>
      <c r="AR92" s="151">
        <f t="shared" si="34"/>
        <v>56735.205314194172</v>
      </c>
      <c r="AS92" s="151">
        <f t="shared" si="35"/>
        <v>189825.78601419416</v>
      </c>
      <c r="AT92" s="151">
        <f>IF(K92="Bexar",(AG92/$AT$1)*'1. UC Assumptions'!$E$44-(AH92/$AT$2)*'1. UC Assumptions'!$E$42,0)</f>
        <v>0</v>
      </c>
      <c r="AU92" s="151">
        <f>IF(K92="Dallas",(AG92/$AU$1)*'1. UC Assumptions'!$F$44-(AH92/$AU$2)*'1. UC Assumptions'!$F$42,0)</f>
        <v>0</v>
      </c>
      <c r="AV92" s="151">
        <f>IF(K92="El Paso",(AG92/$AV$1)*'1. UC Assumptions'!$G$44-(AH92/$AV$2)*'1. UC Assumptions'!$G$42,0)</f>
        <v>0</v>
      </c>
      <c r="AW92" s="151">
        <f>IF(K92="Harris",(AG92/$AW$1)*'1. UC Assumptions'!$H$44-(AH92/$AW$2)*'1. UC Assumptions'!$H$42,0)</f>
        <v>0</v>
      </c>
      <c r="AX92" s="151">
        <f>IF(K92="Hidalgo",(AG92/$AX$1)*'1. UC Assumptions'!$I$44-(AH92/$AX$2)*'1. UC Assumptions'!$I$42,0)</f>
        <v>0</v>
      </c>
      <c r="AY92" s="151">
        <f>IF(K92="Jefferson",(AG92/$AY$1)*'1. UC Assumptions'!$J$44-(AH92/$AY$2)*'1. UC Assumptions'!$J$42,0)</f>
        <v>0</v>
      </c>
      <c r="AZ92" s="151">
        <f>IF(K92="Lubbock",(AG92/$AZ$1)*'1. UC Assumptions'!$K$44-(AH92/$AZ$2)*'1. UC Assumptions'!$K$42,0)</f>
        <v>0</v>
      </c>
      <c r="BA92" s="151">
        <f>IF(K92="MRSA Central",(AG92/$BA$1)*'1. UC Assumptions'!$L$44-(AH92/$BA$2)*'1. UC Assumptions'!$L$42,0)</f>
        <v>0</v>
      </c>
      <c r="BB92" s="151">
        <f>IF(K92="MRSA Northeast",(AG92/$BB$1)*'1. UC Assumptions'!$M$44-(AH92/$BB$2)*'1. UC Assumptions'!$M$42,0)</f>
        <v>0</v>
      </c>
      <c r="BC92" s="151">
        <f>IF(K92="MRSA West",(AG92/$BC$1)*'1. UC Assumptions'!$N$44-(AH92/$BC$2)*'1. UC Assumptions'!$N$42,0)</f>
        <v>0</v>
      </c>
      <c r="BD92" s="151">
        <f>IF(K92="Nueces",(AG92/$BD$1)*'1. UC Assumptions'!$O$44-(AH92/$BD$2)*'1. UC Assumptions'!$O$42,0)</f>
        <v>0</v>
      </c>
      <c r="BE92" s="151">
        <f>IF(K92="Tarrant",(AG92/$BE$1)*'1. UC Assumptions'!$P$44-(AH92/$BE$2)*'1. UC Assumptions'!$P$42,0)</f>
        <v>0</v>
      </c>
      <c r="BF92" s="151">
        <f>IF(K92="Travis",(AG92/$BF$1)*'1. UC Assumptions'!$Q$44-(AH92/$BF$2)*'1. UC Assumptions'!$Q$42,0)</f>
        <v>0</v>
      </c>
      <c r="BG92" s="151">
        <f t="shared" si="36"/>
        <v>0</v>
      </c>
      <c r="BH92" s="151">
        <f t="shared" si="37"/>
        <v>536939.79454975668</v>
      </c>
      <c r="BI92" s="151">
        <f>ROUNDDOWN(BH92*'1. UC Assumptions'!$C$23,2)</f>
        <v>177190.13</v>
      </c>
      <c r="BJ92" s="154">
        <f t="shared" si="38"/>
        <v>133635.0045497567</v>
      </c>
      <c r="BK92" s="154">
        <f t="shared" si="39"/>
        <v>44099.549300000013</v>
      </c>
      <c r="BL92" s="154">
        <f t="shared" si="40"/>
        <v>123374.52</v>
      </c>
      <c r="BM92" s="154">
        <f t="shared" si="41"/>
        <v>40713.589999999997</v>
      </c>
      <c r="BN92" s="101"/>
      <c r="BO92" s="154">
        <f>(BL92*'1. UC Assumptions'!$C$23)-'3.  UC Calculations by Hospital'!BM92</f>
        <v>1.6000000032363459E-3</v>
      </c>
      <c r="BP92" s="13"/>
    </row>
    <row r="93" spans="2:68">
      <c r="B93" s="129" t="s">
        <v>436</v>
      </c>
      <c r="C93" s="91" t="s">
        <v>436</v>
      </c>
      <c r="D93" s="91" t="s">
        <v>214</v>
      </c>
      <c r="E93" s="91" t="s">
        <v>149</v>
      </c>
      <c r="F93" s="91"/>
      <c r="G93" s="91" t="s">
        <v>209</v>
      </c>
      <c r="H93" s="91" t="s">
        <v>209</v>
      </c>
      <c r="I93" s="150" t="s">
        <v>210</v>
      </c>
      <c r="J93" s="129" t="s">
        <v>437</v>
      </c>
      <c r="K93" s="91" t="s">
        <v>8</v>
      </c>
      <c r="L93" s="91" t="s">
        <v>438</v>
      </c>
      <c r="M93" s="151">
        <v>-2167928.8650704389</v>
      </c>
      <c r="N93" s="151">
        <v>5452057.5332666812</v>
      </c>
      <c r="O93" s="131">
        <v>3656710.7124049151</v>
      </c>
      <c r="P93" s="131">
        <f t="shared" si="21"/>
        <v>1795346.8208617661</v>
      </c>
      <c r="Q93" s="131">
        <v>4780311.5862028804</v>
      </c>
      <c r="R93" s="131">
        <v>1685206.9900000002</v>
      </c>
      <c r="S93" s="131">
        <f t="shared" si="22"/>
        <v>1685206.9900000002</v>
      </c>
      <c r="T93" s="131">
        <f t="shared" si="23"/>
        <v>3095104.5962028801</v>
      </c>
      <c r="U93" s="131">
        <v>0</v>
      </c>
      <c r="V93" s="131">
        <v>0</v>
      </c>
      <c r="W93" s="131">
        <v>0</v>
      </c>
      <c r="X93" s="131">
        <v>0</v>
      </c>
      <c r="Y93" s="131">
        <v>0</v>
      </c>
      <c r="Z93" s="131">
        <f t="shared" si="24"/>
        <v>0</v>
      </c>
      <c r="AA93" s="131">
        <v>0</v>
      </c>
      <c r="AB93" s="152">
        <f t="shared" si="25"/>
        <v>3095104.5962028801</v>
      </c>
      <c r="AC93" s="133">
        <f>IF(D93="Physician Group Practice",(AB93/$AB$393)*'1. UC Assumptions'!$C$15,IF(E93="Rural Hospital",AB93*'1. UC Assumptions'!$C$7/'1. UC Assumptions'!$E$7,(AB93/$AB$397)*('1. UC Assumptions'!$C$9)))</f>
        <v>2889080.5832744022</v>
      </c>
      <c r="AD93" s="133">
        <f t="shared" si="26"/>
        <v>0</v>
      </c>
      <c r="AE93" s="133">
        <f t="shared" si="27"/>
        <v>206024.01292847795</v>
      </c>
      <c r="AF93" s="133">
        <f t="shared" si="28"/>
        <v>0</v>
      </c>
      <c r="AG93" s="133">
        <f t="shared" si="29"/>
        <v>206024.01292847795</v>
      </c>
      <c r="AH93" s="133">
        <f t="shared" si="30"/>
        <v>2889080.5832744022</v>
      </c>
      <c r="AI93" s="131">
        <f>AH93*'1. UC Assumptions'!$C$23</f>
        <v>953396.59248055262</v>
      </c>
      <c r="AJ93" s="131">
        <v>1672163.62</v>
      </c>
      <c r="AK93" s="131">
        <f>AJ93*(1-'1. UC Assumptions'!$C$22)</f>
        <v>551813.99459999998</v>
      </c>
      <c r="AL93" s="131"/>
      <c r="AM93" s="131">
        <f>AL93*'1. UC Assumptions'!$C$23</f>
        <v>0</v>
      </c>
      <c r="AN93" s="153">
        <f t="shared" si="31"/>
        <v>3095104.5962028801</v>
      </c>
      <c r="AO93" s="151">
        <f>AN93*'1. UC Assumptions'!$C$23</f>
        <v>1021384.5167469503</v>
      </c>
      <c r="AP93" s="151">
        <f t="shared" si="32"/>
        <v>1422940.97620288</v>
      </c>
      <c r="AQ93" s="151">
        <f t="shared" si="33"/>
        <v>469570.52214695036</v>
      </c>
      <c r="AR93" s="151">
        <f t="shared" si="34"/>
        <v>469570.52214695036</v>
      </c>
      <c r="AS93" s="151">
        <f t="shared" si="35"/>
        <v>1021384.5167469503</v>
      </c>
      <c r="AT93" s="151">
        <f>IF(K93="Bexar",(AG93/$AT$1)*'1. UC Assumptions'!$E$44-(AH93/$AT$2)*'1. UC Assumptions'!$E$42,0)</f>
        <v>0</v>
      </c>
      <c r="AU93" s="151">
        <f>IF(K93="Dallas",(AG93/$AU$1)*'1. UC Assumptions'!$F$44-(AH93/$AU$2)*'1. UC Assumptions'!$F$42,0)</f>
        <v>0</v>
      </c>
      <c r="AV93" s="151">
        <f>IF(K93="El Paso",(AG93/$AV$1)*'1. UC Assumptions'!$G$44-(AH93/$AV$2)*'1. UC Assumptions'!$G$42,0)</f>
        <v>0</v>
      </c>
      <c r="AW93" s="151">
        <f>IF(K93="Harris",(AG93/$AW$1)*'1. UC Assumptions'!$H$44-(AH93/$AW$2)*'1. UC Assumptions'!$H$42,0)</f>
        <v>0</v>
      </c>
      <c r="AX93" s="151">
        <f>IF(K93="Hidalgo",(AG93/$AX$1)*'1. UC Assumptions'!$I$44-(AH93/$AX$2)*'1. UC Assumptions'!$I$42,0)</f>
        <v>0</v>
      </c>
      <c r="AY93" s="151">
        <f>IF(K93="Jefferson",(AG93/$AY$1)*'1. UC Assumptions'!$J$44-(AH93/$AY$2)*'1. UC Assumptions'!$J$42,0)</f>
        <v>0</v>
      </c>
      <c r="AZ93" s="151">
        <f>IF(K93="Lubbock",(AG93/$AZ$1)*'1. UC Assumptions'!$K$44-(AH93/$AZ$2)*'1. UC Assumptions'!$K$42,0)</f>
        <v>0</v>
      </c>
      <c r="BA93" s="151">
        <f>IF(K93="MRSA Central",(AG93/$BA$1)*'1. UC Assumptions'!$L$44-(AH93/$BA$2)*'1. UC Assumptions'!$L$42,0)</f>
        <v>0</v>
      </c>
      <c r="BB93" s="151">
        <f>IF(K93="MRSA Northeast",(AG93/$BB$1)*'1. UC Assumptions'!$M$44-(AH93/$BB$2)*'1. UC Assumptions'!$M$42,0)</f>
        <v>0</v>
      </c>
      <c r="BC93" s="151">
        <f>IF(K93="MRSA West",(AG93/$BC$1)*'1. UC Assumptions'!$N$44-(AH93/$BC$2)*'1. UC Assumptions'!$N$42,0)</f>
        <v>0</v>
      </c>
      <c r="BD93" s="151">
        <f>IF(K93="Nueces",(AG93/$BD$1)*'1. UC Assumptions'!$O$44-(AH93/$BD$2)*'1. UC Assumptions'!$O$42,0)</f>
        <v>0</v>
      </c>
      <c r="BE93" s="151">
        <f>IF(K93="Tarrant",(AG93/$BE$1)*'1. UC Assumptions'!$P$44-(AH93/$BE$2)*'1. UC Assumptions'!$P$42,0)</f>
        <v>0</v>
      </c>
      <c r="BF93" s="151">
        <f>IF(K93="Travis",(AG93/$BF$1)*'1. UC Assumptions'!$Q$44-(AH93/$BF$2)*'1. UC Assumptions'!$Q$42,0)</f>
        <v>0</v>
      </c>
      <c r="BG93" s="151">
        <f t="shared" si="36"/>
        <v>0</v>
      </c>
      <c r="BH93" s="151">
        <f t="shared" si="37"/>
        <v>2889080.5832744022</v>
      </c>
      <c r="BI93" s="151">
        <f>ROUNDDOWN(BH93*'1. UC Assumptions'!$C$23,2)</f>
        <v>953396.59</v>
      </c>
      <c r="BJ93" s="154">
        <f t="shared" si="38"/>
        <v>1216916.9632744021</v>
      </c>
      <c r="BK93" s="154">
        <f t="shared" si="39"/>
        <v>401582.59539999999</v>
      </c>
      <c r="BL93" s="154">
        <f t="shared" si="40"/>
        <v>1123482.18</v>
      </c>
      <c r="BM93" s="154">
        <f t="shared" si="41"/>
        <v>370749.12</v>
      </c>
      <c r="BN93" s="101"/>
      <c r="BO93" s="154">
        <f>(BL93*'1. UC Assumptions'!$C$23)-'3.  UC Calculations by Hospital'!BM93</f>
        <v>-6.000000867061317E-4</v>
      </c>
      <c r="BP93" s="13"/>
    </row>
    <row r="94" spans="2:68">
      <c r="B94" s="129" t="s">
        <v>439</v>
      </c>
      <c r="C94" s="91" t="s">
        <v>439</v>
      </c>
      <c r="D94" s="91" t="s">
        <v>214</v>
      </c>
      <c r="E94" s="91"/>
      <c r="F94" s="91"/>
      <c r="G94" s="91" t="s">
        <v>209</v>
      </c>
      <c r="H94" s="91" t="s">
        <v>209</v>
      </c>
      <c r="I94" s="150" t="s">
        <v>210</v>
      </c>
      <c r="J94" s="129" t="s">
        <v>440</v>
      </c>
      <c r="K94" s="91" t="s">
        <v>4</v>
      </c>
      <c r="L94" s="91" t="s">
        <v>260</v>
      </c>
      <c r="M94" s="151">
        <v>-2003825.5020093215</v>
      </c>
      <c r="N94" s="151">
        <v>0</v>
      </c>
      <c r="O94" s="131">
        <v>0</v>
      </c>
      <c r="P94" s="131">
        <f t="shared" si="21"/>
        <v>0</v>
      </c>
      <c r="Q94" s="131">
        <v>19310639.738321792</v>
      </c>
      <c r="R94" s="131">
        <v>0</v>
      </c>
      <c r="S94" s="131">
        <f t="shared" si="22"/>
        <v>0</v>
      </c>
      <c r="T94" s="131">
        <f t="shared" si="23"/>
        <v>19310639.738321792</v>
      </c>
      <c r="U94" s="131">
        <v>1090571</v>
      </c>
      <c r="V94" s="131">
        <v>0</v>
      </c>
      <c r="W94" s="131">
        <v>0</v>
      </c>
      <c r="X94" s="131">
        <v>0</v>
      </c>
      <c r="Y94" s="131">
        <v>646913.33250148129</v>
      </c>
      <c r="Z94" s="131">
        <f t="shared" si="24"/>
        <v>1737484.3325014813</v>
      </c>
      <c r="AA94" s="131">
        <v>0</v>
      </c>
      <c r="AB94" s="152">
        <f t="shared" si="25"/>
        <v>21048124.070823275</v>
      </c>
      <c r="AC94" s="133">
        <f>IF(D94="Physician Group Practice",(AB94/$AB$393)*'1. UC Assumptions'!$C$15,IF(E94="Rural Hospital",AB94*'1. UC Assumptions'!$C$7/'1. UC Assumptions'!$E$7,(AB94/$AB$397)*('1. UC Assumptions'!$C$9)))</f>
        <v>9895683.0614647344</v>
      </c>
      <c r="AD94" s="133">
        <f t="shared" si="26"/>
        <v>0</v>
      </c>
      <c r="AE94" s="133">
        <f t="shared" si="27"/>
        <v>11152441.00935854</v>
      </c>
      <c r="AF94" s="133">
        <f t="shared" si="28"/>
        <v>0</v>
      </c>
      <c r="AG94" s="133">
        <f t="shared" si="29"/>
        <v>11152441.00935854</v>
      </c>
      <c r="AH94" s="133">
        <f t="shared" si="30"/>
        <v>9895683.0614647344</v>
      </c>
      <c r="AI94" s="131">
        <f>AH94*'1. UC Assumptions'!$C$23</f>
        <v>3265575.410283362</v>
      </c>
      <c r="AJ94" s="131">
        <v>9918503.0299999993</v>
      </c>
      <c r="AK94" s="131">
        <f>AJ94*(1-'1. UC Assumptions'!$C$22)</f>
        <v>3273105.9998999992</v>
      </c>
      <c r="AL94" s="131"/>
      <c r="AM94" s="131">
        <f>AL94*'1. UC Assumptions'!$C$23</f>
        <v>0</v>
      </c>
      <c r="AN94" s="153">
        <f t="shared" si="31"/>
        <v>21048124.070823275</v>
      </c>
      <c r="AO94" s="151">
        <f>AN94*'1. UC Assumptions'!$C$23</f>
        <v>6945880.9433716796</v>
      </c>
      <c r="AP94" s="151">
        <f t="shared" si="32"/>
        <v>11129621.040823275</v>
      </c>
      <c r="AQ94" s="151">
        <f t="shared" si="33"/>
        <v>3672774.9434716804</v>
      </c>
      <c r="AR94" s="151">
        <f t="shared" si="34"/>
        <v>3672774.9434716804</v>
      </c>
      <c r="AS94" s="151">
        <f t="shared" si="35"/>
        <v>6945880.9433716796</v>
      </c>
      <c r="AT94" s="151">
        <f>IF(K94="Bexar",(AG94/$AT$1)*'1. UC Assumptions'!$E$44-(AH94/$AT$2)*'1. UC Assumptions'!$E$42,0)</f>
        <v>0</v>
      </c>
      <c r="AU94" s="151">
        <f>IF(K94="Dallas",(AG94/$AU$1)*'1. UC Assumptions'!$F$44-(AH94/$AU$2)*'1. UC Assumptions'!$F$42,0)</f>
        <v>0</v>
      </c>
      <c r="AV94" s="151">
        <f>IF(K94="El Paso",(AG94/$AV$1)*'1. UC Assumptions'!$G$44-(AH94/$AV$2)*'1. UC Assumptions'!$G$42,0)</f>
        <v>0</v>
      </c>
      <c r="AW94" s="151">
        <f>IF(K94="Harris",(AG94/$AW$1)*'1. UC Assumptions'!$H$44-(AH94/$AW$2)*'1. UC Assumptions'!$H$42,0)</f>
        <v>0</v>
      </c>
      <c r="AX94" s="151">
        <f>IF(K94="Hidalgo",(AG94/$AX$1)*'1. UC Assumptions'!$I$44-(AH94/$AX$2)*'1. UC Assumptions'!$I$42,0)</f>
        <v>0</v>
      </c>
      <c r="AY94" s="151">
        <f>IF(K94="Jefferson",(AG94/$AY$1)*'1. UC Assumptions'!$J$44-(AH94/$AY$2)*'1. UC Assumptions'!$J$42,0)</f>
        <v>0</v>
      </c>
      <c r="AZ94" s="151">
        <f>IF(K94="Lubbock",(AG94/$AZ$1)*'1. UC Assumptions'!$K$44-(AH94/$AZ$2)*'1. UC Assumptions'!$K$42,0)</f>
        <v>0</v>
      </c>
      <c r="BA94" s="151">
        <f>IF(K94="MRSA Central",(AG94/$BA$1)*'1. UC Assumptions'!$L$44-(AH94/$BA$2)*'1. UC Assumptions'!$L$42,0)</f>
        <v>0</v>
      </c>
      <c r="BB94" s="151">
        <f>IF(K94="MRSA Northeast",(AG94/$BB$1)*'1. UC Assumptions'!$M$44-(AH94/$BB$2)*'1. UC Assumptions'!$M$42,0)</f>
        <v>0</v>
      </c>
      <c r="BC94" s="151">
        <f>IF(K94="MRSA West",(AG94/$BC$1)*'1. UC Assumptions'!$N$44-(AH94/$BC$2)*'1. UC Assumptions'!$N$42,0)</f>
        <v>0</v>
      </c>
      <c r="BD94" s="151">
        <f>IF(K94="Nueces",(AG94/$BD$1)*'1. UC Assumptions'!$O$44-(AH94/$BD$2)*'1. UC Assumptions'!$O$42,0)</f>
        <v>0</v>
      </c>
      <c r="BE94" s="151">
        <f>IF(K94="Tarrant",(AG94/$BE$1)*'1. UC Assumptions'!$P$44-(AH94/$BE$2)*'1. UC Assumptions'!$P$42,0)</f>
        <v>0</v>
      </c>
      <c r="BF94" s="151">
        <f>IF(K94="Travis",(AG94/$BF$1)*'1. UC Assumptions'!$Q$44-(AH94/$BF$2)*'1. UC Assumptions'!$Q$42,0)</f>
        <v>0</v>
      </c>
      <c r="BG94" s="151">
        <f t="shared" si="36"/>
        <v>0</v>
      </c>
      <c r="BH94" s="151">
        <f t="shared" si="37"/>
        <v>9895683.0614647344</v>
      </c>
      <c r="BI94" s="151">
        <f>ROUNDDOWN(BH94*'1. UC Assumptions'!$C$23,2)</f>
        <v>3265575.41</v>
      </c>
      <c r="BJ94" s="154">
        <f t="shared" si="38"/>
        <v>-22819.968535264954</v>
      </c>
      <c r="BK94" s="154">
        <f t="shared" si="39"/>
        <v>-7530.5898999990895</v>
      </c>
      <c r="BL94" s="154">
        <f t="shared" si="40"/>
        <v>0</v>
      </c>
      <c r="BM94" s="154">
        <f t="shared" si="41"/>
        <v>0</v>
      </c>
      <c r="BN94" s="101"/>
      <c r="BO94" s="154">
        <f>(BL94*'1. UC Assumptions'!$C$23)-'3.  UC Calculations by Hospital'!BM94</f>
        <v>0</v>
      </c>
      <c r="BP94" s="13"/>
    </row>
    <row r="95" spans="2:68">
      <c r="B95" s="129" t="s">
        <v>441</v>
      </c>
      <c r="C95" s="91" t="s">
        <v>441</v>
      </c>
      <c r="D95" s="91" t="s">
        <v>214</v>
      </c>
      <c r="E95" s="91" t="s">
        <v>149</v>
      </c>
      <c r="F95" s="91"/>
      <c r="G95" s="91" t="s">
        <v>209</v>
      </c>
      <c r="H95" s="91" t="s">
        <v>209</v>
      </c>
      <c r="I95" s="150" t="s">
        <v>210</v>
      </c>
      <c r="J95" s="129" t="s">
        <v>442</v>
      </c>
      <c r="K95" s="91" t="s">
        <v>4</v>
      </c>
      <c r="L95" s="91" t="s">
        <v>443</v>
      </c>
      <c r="M95" s="151">
        <v>-6804175.1410864899</v>
      </c>
      <c r="N95" s="151">
        <v>4157268.6818892453</v>
      </c>
      <c r="O95" s="131">
        <v>2537465.6434822911</v>
      </c>
      <c r="P95" s="131">
        <f t="shared" si="21"/>
        <v>1619803.0384069541</v>
      </c>
      <c r="Q95" s="131">
        <v>3365898.4209765377</v>
      </c>
      <c r="R95" s="131">
        <v>0</v>
      </c>
      <c r="S95" s="131">
        <f t="shared" si="22"/>
        <v>0</v>
      </c>
      <c r="T95" s="131">
        <f t="shared" si="23"/>
        <v>3365898.4209765377</v>
      </c>
      <c r="U95" s="131">
        <v>1380112</v>
      </c>
      <c r="V95" s="131">
        <v>0</v>
      </c>
      <c r="W95" s="131">
        <v>437755</v>
      </c>
      <c r="X95" s="131">
        <v>0</v>
      </c>
      <c r="Y95" s="131">
        <v>1121214.7924388491</v>
      </c>
      <c r="Z95" s="131">
        <f t="shared" si="24"/>
        <v>2939081.7924388489</v>
      </c>
      <c r="AA95" s="131">
        <v>0</v>
      </c>
      <c r="AB95" s="152">
        <f t="shared" si="25"/>
        <v>6304980.2134153862</v>
      </c>
      <c r="AC95" s="133">
        <f>IF(D95="Physician Group Practice",(AB95/$AB$393)*'1. UC Assumptions'!$C$15,IF(E95="Rural Hospital",AB95*'1. UC Assumptions'!$C$7/'1. UC Assumptions'!$E$7,(AB95/$AB$397)*('1. UC Assumptions'!$C$9)))</f>
        <v>5885292.5147844274</v>
      </c>
      <c r="AD95" s="133">
        <f t="shared" si="26"/>
        <v>0</v>
      </c>
      <c r="AE95" s="133">
        <f t="shared" si="27"/>
        <v>419687.6986309588</v>
      </c>
      <c r="AF95" s="133">
        <f t="shared" si="28"/>
        <v>0</v>
      </c>
      <c r="AG95" s="133">
        <f t="shared" si="29"/>
        <v>419687.6986309588</v>
      </c>
      <c r="AH95" s="133">
        <f t="shared" si="30"/>
        <v>5885292.5147844274</v>
      </c>
      <c r="AI95" s="131">
        <f>AH95*'1. UC Assumptions'!$C$23</f>
        <v>1942146.5298788608</v>
      </c>
      <c r="AJ95" s="131">
        <v>1814735.28</v>
      </c>
      <c r="AK95" s="131">
        <f>AJ95*(1-'1. UC Assumptions'!$C$22)</f>
        <v>598862.6423999999</v>
      </c>
      <c r="AL95" s="131"/>
      <c r="AM95" s="131">
        <f>AL95*'1. UC Assumptions'!$C$23</f>
        <v>0</v>
      </c>
      <c r="AN95" s="153">
        <f t="shared" si="31"/>
        <v>6304980.2134153862</v>
      </c>
      <c r="AO95" s="151">
        <f>AN95*'1. UC Assumptions'!$C$23</f>
        <v>2080643.4704270773</v>
      </c>
      <c r="AP95" s="151">
        <f t="shared" si="32"/>
        <v>4490244.9334153859</v>
      </c>
      <c r="AQ95" s="151">
        <f t="shared" si="33"/>
        <v>1481780.8280270775</v>
      </c>
      <c r="AR95" s="151">
        <f t="shared" si="34"/>
        <v>1481780.8280270775</v>
      </c>
      <c r="AS95" s="151">
        <f t="shared" si="35"/>
        <v>2080643.4704270773</v>
      </c>
      <c r="AT95" s="151">
        <f>IF(K95="Bexar",(AG95/$AT$1)*'1. UC Assumptions'!$E$44-(AH95/$AT$2)*'1. UC Assumptions'!$E$42,0)</f>
        <v>0</v>
      </c>
      <c r="AU95" s="151">
        <f>IF(K95="Dallas",(AG95/$AU$1)*'1. UC Assumptions'!$F$44-(AH95/$AU$2)*'1. UC Assumptions'!$F$42,0)</f>
        <v>0</v>
      </c>
      <c r="AV95" s="151">
        <f>IF(K95="El Paso",(AG95/$AV$1)*'1. UC Assumptions'!$G$44-(AH95/$AV$2)*'1. UC Assumptions'!$G$42,0)</f>
        <v>0</v>
      </c>
      <c r="AW95" s="151">
        <f>IF(K95="Harris",(AG95/$AW$1)*'1. UC Assumptions'!$H$44-(AH95/$AW$2)*'1. UC Assumptions'!$H$42,0)</f>
        <v>0</v>
      </c>
      <c r="AX95" s="151">
        <f>IF(K95="Hidalgo",(AG95/$AX$1)*'1. UC Assumptions'!$I$44-(AH95/$AX$2)*'1. UC Assumptions'!$I$42,0)</f>
        <v>0</v>
      </c>
      <c r="AY95" s="151">
        <f>IF(K95="Jefferson",(AG95/$AY$1)*'1. UC Assumptions'!$J$44-(AH95/$AY$2)*'1. UC Assumptions'!$J$42,0)</f>
        <v>0</v>
      </c>
      <c r="AZ95" s="151">
        <f>IF(K95="Lubbock",(AG95/$AZ$1)*'1. UC Assumptions'!$K$44-(AH95/$AZ$2)*'1. UC Assumptions'!$K$42,0)</f>
        <v>0</v>
      </c>
      <c r="BA95" s="151">
        <f>IF(K95="MRSA Central",(AG95/$BA$1)*'1. UC Assumptions'!$L$44-(AH95/$BA$2)*'1. UC Assumptions'!$L$42,0)</f>
        <v>0</v>
      </c>
      <c r="BB95" s="151">
        <f>IF(K95="MRSA Northeast",(AG95/$BB$1)*'1. UC Assumptions'!$M$44-(AH95/$BB$2)*'1. UC Assumptions'!$M$42,0)</f>
        <v>0</v>
      </c>
      <c r="BC95" s="151">
        <f>IF(K95="MRSA West",(AG95/$BC$1)*'1. UC Assumptions'!$N$44-(AH95/$BC$2)*'1. UC Assumptions'!$N$42,0)</f>
        <v>0</v>
      </c>
      <c r="BD95" s="151">
        <f>IF(K95="Nueces",(AG95/$BD$1)*'1. UC Assumptions'!$O$44-(AH95/$BD$2)*'1. UC Assumptions'!$O$42,0)</f>
        <v>0</v>
      </c>
      <c r="BE95" s="151">
        <f>IF(K95="Tarrant",(AG95/$BE$1)*'1. UC Assumptions'!$P$44-(AH95/$BE$2)*'1. UC Assumptions'!$P$42,0)</f>
        <v>0</v>
      </c>
      <c r="BF95" s="151">
        <f>IF(K95="Travis",(AG95/$BF$1)*'1. UC Assumptions'!$Q$44-(AH95/$BF$2)*'1. UC Assumptions'!$Q$42,0)</f>
        <v>0</v>
      </c>
      <c r="BG95" s="151">
        <f t="shared" si="36"/>
        <v>0</v>
      </c>
      <c r="BH95" s="151">
        <f t="shared" si="37"/>
        <v>5885292.5147844274</v>
      </c>
      <c r="BI95" s="151">
        <f>ROUNDDOWN(BH95*'1. UC Assumptions'!$C$23,2)</f>
        <v>1942146.52</v>
      </c>
      <c r="BJ95" s="154">
        <f t="shared" si="38"/>
        <v>4070557.2347844271</v>
      </c>
      <c r="BK95" s="154">
        <f t="shared" si="39"/>
        <v>1343283.8776000002</v>
      </c>
      <c r="BL95" s="154">
        <f t="shared" si="40"/>
        <v>3758020.2</v>
      </c>
      <c r="BM95" s="154">
        <f t="shared" si="41"/>
        <v>1240146.6499999999</v>
      </c>
      <c r="BN95" s="101"/>
      <c r="BO95" s="154">
        <f>(BL95*'1. UC Assumptions'!$C$23)-'3.  UC Calculations by Hospital'!BM95</f>
        <v>1.600000006146729E-2</v>
      </c>
      <c r="BP95" s="13"/>
    </row>
    <row r="96" spans="2:68">
      <c r="B96" s="129" t="s">
        <v>444</v>
      </c>
      <c r="C96" s="91" t="s">
        <v>444</v>
      </c>
      <c r="D96" s="91" t="s">
        <v>208</v>
      </c>
      <c r="E96" s="91" t="s">
        <v>149</v>
      </c>
      <c r="F96" s="91"/>
      <c r="G96" s="91" t="s">
        <v>209</v>
      </c>
      <c r="H96" s="91" t="s">
        <v>209</v>
      </c>
      <c r="I96" s="150" t="s">
        <v>210</v>
      </c>
      <c r="J96" s="129" t="s">
        <v>445</v>
      </c>
      <c r="K96" s="91" t="s">
        <v>12</v>
      </c>
      <c r="L96" s="91" t="s">
        <v>446</v>
      </c>
      <c r="M96" s="151">
        <v>295057.0583204609</v>
      </c>
      <c r="N96" s="151">
        <v>0</v>
      </c>
      <c r="O96" s="131">
        <v>0</v>
      </c>
      <c r="P96" s="131">
        <f t="shared" si="21"/>
        <v>0</v>
      </c>
      <c r="Q96" s="131">
        <v>510026.04614366719</v>
      </c>
      <c r="R96" s="131">
        <v>0</v>
      </c>
      <c r="S96" s="131">
        <f t="shared" si="22"/>
        <v>0</v>
      </c>
      <c r="T96" s="131">
        <f t="shared" si="23"/>
        <v>510026.04614366719</v>
      </c>
      <c r="U96" s="131">
        <v>0</v>
      </c>
      <c r="V96" s="131">
        <v>0</v>
      </c>
      <c r="W96" s="131">
        <v>0</v>
      </c>
      <c r="X96" s="131">
        <v>0</v>
      </c>
      <c r="Y96" s="131">
        <v>0</v>
      </c>
      <c r="Z96" s="131">
        <f t="shared" si="24"/>
        <v>0</v>
      </c>
      <c r="AA96" s="131">
        <v>0</v>
      </c>
      <c r="AB96" s="152">
        <f t="shared" si="25"/>
        <v>510026.04614366719</v>
      </c>
      <c r="AC96" s="133">
        <f>IF(D96="Physician Group Practice",(AB96/$AB$393)*'1. UC Assumptions'!$C$15,IF(E96="Rural Hospital",AB96*'1. UC Assumptions'!$C$7/'1. UC Assumptions'!$E$7,(AB96/$AB$397)*('1. UC Assumptions'!$C$9)))</f>
        <v>476076.43007787288</v>
      </c>
      <c r="AD96" s="133">
        <f t="shared" si="26"/>
        <v>0</v>
      </c>
      <c r="AE96" s="133">
        <f t="shared" si="27"/>
        <v>33949.616065794311</v>
      </c>
      <c r="AF96" s="133">
        <f t="shared" si="28"/>
        <v>0</v>
      </c>
      <c r="AG96" s="133">
        <f t="shared" si="29"/>
        <v>33949.616065794311</v>
      </c>
      <c r="AH96" s="133">
        <f t="shared" si="30"/>
        <v>476076.43007787288</v>
      </c>
      <c r="AI96" s="131">
        <f>AH96*'1. UC Assumptions'!$C$23</f>
        <v>157105.22192569802</v>
      </c>
      <c r="AJ96" s="131">
        <v>259119.32</v>
      </c>
      <c r="AK96" s="131">
        <f>AJ96*(1-'1. UC Assumptions'!$C$22)</f>
        <v>85509.375599999985</v>
      </c>
      <c r="AL96" s="131"/>
      <c r="AM96" s="131">
        <f>AL96*'1. UC Assumptions'!$C$23</f>
        <v>0</v>
      </c>
      <c r="AN96" s="153">
        <f t="shared" si="31"/>
        <v>510026.04614366719</v>
      </c>
      <c r="AO96" s="151">
        <f>AN96*'1. UC Assumptions'!$C$23</f>
        <v>168308.59522741014</v>
      </c>
      <c r="AP96" s="151">
        <f t="shared" si="32"/>
        <v>250906.72614366718</v>
      </c>
      <c r="AQ96" s="151">
        <f t="shared" si="33"/>
        <v>82799.219627410159</v>
      </c>
      <c r="AR96" s="151">
        <f t="shared" si="34"/>
        <v>82799.219627410159</v>
      </c>
      <c r="AS96" s="151">
        <f t="shared" si="35"/>
        <v>168308.59522741014</v>
      </c>
      <c r="AT96" s="151">
        <f>IF(K96="Bexar",(AG96/$AT$1)*'1. UC Assumptions'!$E$44-(AH96/$AT$2)*'1. UC Assumptions'!$E$42,0)</f>
        <v>0</v>
      </c>
      <c r="AU96" s="151">
        <f>IF(K96="Dallas",(AG96/$AU$1)*'1. UC Assumptions'!$F$44-(AH96/$AU$2)*'1. UC Assumptions'!$F$42,0)</f>
        <v>0</v>
      </c>
      <c r="AV96" s="151">
        <f>IF(K96="El Paso",(AG96/$AV$1)*'1. UC Assumptions'!$G$44-(AH96/$AV$2)*'1. UC Assumptions'!$G$42,0)</f>
        <v>0</v>
      </c>
      <c r="AW96" s="151">
        <f>IF(K96="Harris",(AG96/$AW$1)*'1. UC Assumptions'!$H$44-(AH96/$AW$2)*'1. UC Assumptions'!$H$42,0)</f>
        <v>0</v>
      </c>
      <c r="AX96" s="151">
        <f>IF(K96="Hidalgo",(AG96/$AX$1)*'1. UC Assumptions'!$I$44-(AH96/$AX$2)*'1. UC Assumptions'!$I$42,0)</f>
        <v>0</v>
      </c>
      <c r="AY96" s="151">
        <f>IF(K96="Jefferson",(AG96/$AY$1)*'1. UC Assumptions'!$J$44-(AH96/$AY$2)*'1. UC Assumptions'!$J$42,0)</f>
        <v>0</v>
      </c>
      <c r="AZ96" s="151">
        <f>IF(K96="Lubbock",(AG96/$AZ$1)*'1. UC Assumptions'!$K$44-(AH96/$AZ$2)*'1. UC Assumptions'!$K$42,0)</f>
        <v>0</v>
      </c>
      <c r="BA96" s="151">
        <f>IF(K96="MRSA Central",(AG96/$BA$1)*'1. UC Assumptions'!$L$44-(AH96/$BA$2)*'1. UC Assumptions'!$L$42,0)</f>
        <v>0</v>
      </c>
      <c r="BB96" s="151">
        <f>IF(K96="MRSA Northeast",(AG96/$BB$1)*'1. UC Assumptions'!$M$44-(AH96/$BB$2)*'1. UC Assumptions'!$M$42,0)</f>
        <v>0</v>
      </c>
      <c r="BC96" s="151">
        <f>IF(K96="MRSA West",(AG96/$BC$1)*'1. UC Assumptions'!$N$44-(AH96/$BC$2)*'1. UC Assumptions'!$N$42,0)</f>
        <v>0</v>
      </c>
      <c r="BD96" s="151">
        <f>IF(K96="Nueces",(AG96/$BD$1)*'1. UC Assumptions'!$O$44-(AH96/$BD$2)*'1. UC Assumptions'!$O$42,0)</f>
        <v>0</v>
      </c>
      <c r="BE96" s="151">
        <f>IF(K96="Tarrant",(AG96/$BE$1)*'1. UC Assumptions'!$P$44-(AH96/$BE$2)*'1. UC Assumptions'!$P$42,0)</f>
        <v>0</v>
      </c>
      <c r="BF96" s="151">
        <f>IF(K96="Travis",(AG96/$BF$1)*'1. UC Assumptions'!$Q$44-(AH96/$BF$2)*'1. UC Assumptions'!$Q$42,0)</f>
        <v>0</v>
      </c>
      <c r="BG96" s="151">
        <f t="shared" si="36"/>
        <v>0</v>
      </c>
      <c r="BH96" s="151">
        <f t="shared" si="37"/>
        <v>476076.43007787288</v>
      </c>
      <c r="BI96" s="151">
        <f>ROUNDDOWN(BH96*'1. UC Assumptions'!$C$23,2)</f>
        <v>157105.22</v>
      </c>
      <c r="BJ96" s="154">
        <f t="shared" si="38"/>
        <v>216957.11007787287</v>
      </c>
      <c r="BK96" s="154">
        <f t="shared" si="39"/>
        <v>71595.844400000016</v>
      </c>
      <c r="BL96" s="154">
        <f t="shared" si="40"/>
        <v>200299.16</v>
      </c>
      <c r="BM96" s="154">
        <f t="shared" si="41"/>
        <v>66098.720000000001</v>
      </c>
      <c r="BN96" s="101"/>
      <c r="BO96" s="154">
        <f>(BL96*'1. UC Assumptions'!$C$23)-'3.  UC Calculations by Hospital'!BM96</f>
        <v>2.7999999874737114E-3</v>
      </c>
      <c r="BP96" s="13"/>
    </row>
    <row r="97" spans="2:68">
      <c r="B97" s="129" t="s">
        <v>447</v>
      </c>
      <c r="C97" s="91" t="s">
        <v>447</v>
      </c>
      <c r="D97" s="91" t="s">
        <v>208</v>
      </c>
      <c r="E97" s="91" t="s">
        <v>149</v>
      </c>
      <c r="F97" s="91"/>
      <c r="G97" s="91" t="s">
        <v>209</v>
      </c>
      <c r="H97" s="91" t="s">
        <v>209</v>
      </c>
      <c r="I97" s="150" t="s">
        <v>210</v>
      </c>
      <c r="J97" s="129" t="s">
        <v>448</v>
      </c>
      <c r="K97" s="91" t="s">
        <v>12</v>
      </c>
      <c r="L97" s="91" t="s">
        <v>449</v>
      </c>
      <c r="M97" s="151">
        <v>550929.03250810876</v>
      </c>
      <c r="N97" s="151">
        <v>992523.24444619962</v>
      </c>
      <c r="O97" s="131">
        <v>352789.02505226241</v>
      </c>
      <c r="P97" s="131">
        <f t="shared" si="21"/>
        <v>639734.21939393715</v>
      </c>
      <c r="Q97" s="131">
        <v>444807.63755025918</v>
      </c>
      <c r="R97" s="131">
        <v>791423</v>
      </c>
      <c r="S97" s="131">
        <f t="shared" si="22"/>
        <v>0</v>
      </c>
      <c r="T97" s="131">
        <f t="shared" si="23"/>
        <v>444807.63755025918</v>
      </c>
      <c r="U97" s="131">
        <v>0</v>
      </c>
      <c r="V97" s="131">
        <v>0</v>
      </c>
      <c r="W97" s="131">
        <v>0</v>
      </c>
      <c r="X97" s="131">
        <v>0</v>
      </c>
      <c r="Y97" s="131">
        <v>0</v>
      </c>
      <c r="Z97" s="131">
        <f t="shared" si="24"/>
        <v>0</v>
      </c>
      <c r="AA97" s="131">
        <v>0</v>
      </c>
      <c r="AB97" s="152">
        <f t="shared" si="25"/>
        <v>444807.63755025918</v>
      </c>
      <c r="AC97" s="133">
        <f>IF(D97="Physician Group Practice",(AB97/$AB$393)*'1. UC Assumptions'!$C$15,IF(E97="Rural Hospital",AB97*'1. UC Assumptions'!$C$7/'1. UC Assumptions'!$E$7,(AB97/$AB$397)*('1. UC Assumptions'!$C$9)))</f>
        <v>415199.25062150502</v>
      </c>
      <c r="AD97" s="133">
        <f t="shared" si="26"/>
        <v>0</v>
      </c>
      <c r="AE97" s="133">
        <f t="shared" si="27"/>
        <v>29608.38692875416</v>
      </c>
      <c r="AF97" s="133">
        <f t="shared" si="28"/>
        <v>0</v>
      </c>
      <c r="AG97" s="133">
        <f t="shared" si="29"/>
        <v>29608.38692875416</v>
      </c>
      <c r="AH97" s="133">
        <f t="shared" si="30"/>
        <v>415199.25062150502</v>
      </c>
      <c r="AI97" s="131">
        <f>AH97*'1. UC Assumptions'!$C$23</f>
        <v>137015.75270509665</v>
      </c>
      <c r="AJ97" s="131">
        <v>397161.91</v>
      </c>
      <c r="AK97" s="131">
        <f>AJ97*(1-'1. UC Assumptions'!$C$22)</f>
        <v>131063.43029999998</v>
      </c>
      <c r="AL97" s="131"/>
      <c r="AM97" s="131">
        <f>AL97*'1. UC Assumptions'!$C$23</f>
        <v>0</v>
      </c>
      <c r="AN97" s="153">
        <f t="shared" si="31"/>
        <v>444807.63755025918</v>
      </c>
      <c r="AO97" s="151">
        <f>AN97*'1. UC Assumptions'!$C$23</f>
        <v>146786.52039158551</v>
      </c>
      <c r="AP97" s="151">
        <f t="shared" si="32"/>
        <v>47645.727550259209</v>
      </c>
      <c r="AQ97" s="151">
        <f t="shared" si="33"/>
        <v>15723.090091585531</v>
      </c>
      <c r="AR97" s="151">
        <f t="shared" si="34"/>
        <v>15723.090091585531</v>
      </c>
      <c r="AS97" s="151">
        <f t="shared" si="35"/>
        <v>146786.52039158551</v>
      </c>
      <c r="AT97" s="151">
        <f>IF(K97="Bexar",(AG97/$AT$1)*'1. UC Assumptions'!$E$44-(AH97/$AT$2)*'1. UC Assumptions'!$E$42,0)</f>
        <v>0</v>
      </c>
      <c r="AU97" s="151">
        <f>IF(K97="Dallas",(AG97/$AU$1)*'1. UC Assumptions'!$F$44-(AH97/$AU$2)*'1. UC Assumptions'!$F$42,0)</f>
        <v>0</v>
      </c>
      <c r="AV97" s="151">
        <f>IF(K97="El Paso",(AG97/$AV$1)*'1. UC Assumptions'!$G$44-(AH97/$AV$2)*'1. UC Assumptions'!$G$42,0)</f>
        <v>0</v>
      </c>
      <c r="AW97" s="151">
        <f>IF(K97="Harris",(AG97/$AW$1)*'1. UC Assumptions'!$H$44-(AH97/$AW$2)*'1. UC Assumptions'!$H$42,0)</f>
        <v>0</v>
      </c>
      <c r="AX97" s="151">
        <f>IF(K97="Hidalgo",(AG97/$AX$1)*'1. UC Assumptions'!$I$44-(AH97/$AX$2)*'1. UC Assumptions'!$I$42,0)</f>
        <v>0</v>
      </c>
      <c r="AY97" s="151">
        <f>IF(K97="Jefferson",(AG97/$AY$1)*'1. UC Assumptions'!$J$44-(AH97/$AY$2)*'1. UC Assumptions'!$J$42,0)</f>
        <v>0</v>
      </c>
      <c r="AZ97" s="151">
        <f>IF(K97="Lubbock",(AG97/$AZ$1)*'1. UC Assumptions'!$K$44-(AH97/$AZ$2)*'1. UC Assumptions'!$K$42,0)</f>
        <v>0</v>
      </c>
      <c r="BA97" s="151">
        <f>IF(K97="MRSA Central",(AG97/$BA$1)*'1. UC Assumptions'!$L$44-(AH97/$BA$2)*'1. UC Assumptions'!$L$42,0)</f>
        <v>0</v>
      </c>
      <c r="BB97" s="151">
        <f>IF(K97="MRSA Northeast",(AG97/$BB$1)*'1. UC Assumptions'!$M$44-(AH97/$BB$2)*'1. UC Assumptions'!$M$42,0)</f>
        <v>0</v>
      </c>
      <c r="BC97" s="151">
        <f>IF(K97="MRSA West",(AG97/$BC$1)*'1. UC Assumptions'!$N$44-(AH97/$BC$2)*'1. UC Assumptions'!$N$42,0)</f>
        <v>0</v>
      </c>
      <c r="BD97" s="151">
        <f>IF(K97="Nueces",(AG97/$BD$1)*'1. UC Assumptions'!$O$44-(AH97/$BD$2)*'1. UC Assumptions'!$O$42,0)</f>
        <v>0</v>
      </c>
      <c r="BE97" s="151">
        <f>IF(K97="Tarrant",(AG97/$BE$1)*'1. UC Assumptions'!$P$44-(AH97/$BE$2)*'1. UC Assumptions'!$P$42,0)</f>
        <v>0</v>
      </c>
      <c r="BF97" s="151">
        <f>IF(K97="Travis",(AG97/$BF$1)*'1. UC Assumptions'!$Q$44-(AH97/$BF$2)*'1. UC Assumptions'!$Q$42,0)</f>
        <v>0</v>
      </c>
      <c r="BG97" s="151">
        <f t="shared" si="36"/>
        <v>0</v>
      </c>
      <c r="BH97" s="151">
        <f t="shared" si="37"/>
        <v>415199.25062150502</v>
      </c>
      <c r="BI97" s="151">
        <f>ROUNDDOWN(BH97*'1. UC Assumptions'!$C$23,2)</f>
        <v>137015.75</v>
      </c>
      <c r="BJ97" s="154">
        <f t="shared" si="38"/>
        <v>18037.340621505049</v>
      </c>
      <c r="BK97" s="154">
        <f t="shared" si="39"/>
        <v>5952.3197000000218</v>
      </c>
      <c r="BL97" s="154">
        <f t="shared" si="40"/>
        <v>16652.439999999999</v>
      </c>
      <c r="BM97" s="154">
        <f t="shared" si="41"/>
        <v>5495.3</v>
      </c>
      <c r="BN97" s="101"/>
      <c r="BO97" s="154">
        <f>(BL97*'1. UC Assumptions'!$C$23)-'3.  UC Calculations by Hospital'!BM97</f>
        <v>5.1999999986946932E-3</v>
      </c>
      <c r="BP97" s="13"/>
    </row>
    <row r="98" spans="2:68">
      <c r="B98" s="129" t="s">
        <v>450</v>
      </c>
      <c r="C98" s="91" t="s">
        <v>450</v>
      </c>
      <c r="D98" s="91" t="s">
        <v>214</v>
      </c>
      <c r="E98" s="91" t="s">
        <v>149</v>
      </c>
      <c r="F98" s="91"/>
      <c r="G98" s="91" t="s">
        <v>209</v>
      </c>
      <c r="H98" s="91" t="s">
        <v>209</v>
      </c>
      <c r="I98" s="150" t="s">
        <v>210</v>
      </c>
      <c r="J98" s="129" t="s">
        <v>451</v>
      </c>
      <c r="K98" s="91" t="s">
        <v>8</v>
      </c>
      <c r="L98" s="91" t="s">
        <v>452</v>
      </c>
      <c r="M98" s="151">
        <v>701398.77255329315</v>
      </c>
      <c r="N98" s="151">
        <v>0</v>
      </c>
      <c r="O98" s="131">
        <v>0</v>
      </c>
      <c r="P98" s="131">
        <f t="shared" si="21"/>
        <v>0</v>
      </c>
      <c r="Q98" s="131">
        <v>3990434.4072325379</v>
      </c>
      <c r="R98" s="131">
        <v>0</v>
      </c>
      <c r="S98" s="131">
        <f t="shared" si="22"/>
        <v>0</v>
      </c>
      <c r="T98" s="131">
        <f t="shared" si="23"/>
        <v>3990434.4072325379</v>
      </c>
      <c r="U98" s="131">
        <v>0</v>
      </c>
      <c r="V98" s="131">
        <v>0</v>
      </c>
      <c r="W98" s="131">
        <v>0</v>
      </c>
      <c r="X98" s="131">
        <v>0</v>
      </c>
      <c r="Y98" s="131">
        <v>552358.71462493064</v>
      </c>
      <c r="Z98" s="131">
        <f t="shared" si="24"/>
        <v>552358.71462493064</v>
      </c>
      <c r="AA98" s="131">
        <v>0</v>
      </c>
      <c r="AB98" s="152">
        <f t="shared" si="25"/>
        <v>4542793.121857468</v>
      </c>
      <c r="AC98" s="133">
        <f>IF(D98="Physician Group Practice",(AB98/$AB$393)*'1. UC Assumptions'!$C$15,IF(E98="Rural Hospital",AB98*'1. UC Assumptions'!$C$7/'1. UC Assumptions'!$E$7,(AB98/$AB$397)*('1. UC Assumptions'!$C$9)))</f>
        <v>4240404.4820624935</v>
      </c>
      <c r="AD98" s="133">
        <f t="shared" si="26"/>
        <v>0</v>
      </c>
      <c r="AE98" s="133">
        <f t="shared" si="27"/>
        <v>302388.63979497459</v>
      </c>
      <c r="AF98" s="133">
        <f t="shared" si="28"/>
        <v>0</v>
      </c>
      <c r="AG98" s="133">
        <f t="shared" si="29"/>
        <v>302388.63979497459</v>
      </c>
      <c r="AH98" s="133">
        <f t="shared" si="30"/>
        <v>4240404.4820624935</v>
      </c>
      <c r="AI98" s="131">
        <f>AH98*'1. UC Assumptions'!$C$23</f>
        <v>1399333.4790806228</v>
      </c>
      <c r="AJ98" s="131">
        <v>2703762.29</v>
      </c>
      <c r="AK98" s="131">
        <f>AJ98*(1-'1. UC Assumptions'!$C$22)</f>
        <v>892241.55569999991</v>
      </c>
      <c r="AL98" s="131"/>
      <c r="AM98" s="131">
        <f>AL98*'1. UC Assumptions'!$C$23</f>
        <v>0</v>
      </c>
      <c r="AN98" s="153">
        <f t="shared" si="31"/>
        <v>4542793.121857468</v>
      </c>
      <c r="AO98" s="151">
        <f>AN98*'1. UC Assumptions'!$C$23</f>
        <v>1499121.7302129644</v>
      </c>
      <c r="AP98" s="151">
        <f t="shared" si="32"/>
        <v>1839030.831857468</v>
      </c>
      <c r="AQ98" s="151">
        <f t="shared" si="33"/>
        <v>606880.17451296444</v>
      </c>
      <c r="AR98" s="151">
        <f t="shared" si="34"/>
        <v>606880.17451296444</v>
      </c>
      <c r="AS98" s="151">
        <f t="shared" si="35"/>
        <v>1499121.7302129644</v>
      </c>
      <c r="AT98" s="151">
        <f>IF(K98="Bexar",(AG98/$AT$1)*'1. UC Assumptions'!$E$44-(AH98/$AT$2)*'1. UC Assumptions'!$E$42,0)</f>
        <v>0</v>
      </c>
      <c r="AU98" s="151">
        <f>IF(K98="Dallas",(AG98/$AU$1)*'1. UC Assumptions'!$F$44-(AH98/$AU$2)*'1. UC Assumptions'!$F$42,0)</f>
        <v>0</v>
      </c>
      <c r="AV98" s="151">
        <f>IF(K98="El Paso",(AG98/$AV$1)*'1. UC Assumptions'!$G$44-(AH98/$AV$2)*'1. UC Assumptions'!$G$42,0)</f>
        <v>0</v>
      </c>
      <c r="AW98" s="151">
        <f>IF(K98="Harris",(AG98/$AW$1)*'1. UC Assumptions'!$H$44-(AH98/$AW$2)*'1. UC Assumptions'!$H$42,0)</f>
        <v>0</v>
      </c>
      <c r="AX98" s="151">
        <f>IF(K98="Hidalgo",(AG98/$AX$1)*'1. UC Assumptions'!$I$44-(AH98/$AX$2)*'1. UC Assumptions'!$I$42,0)</f>
        <v>0</v>
      </c>
      <c r="AY98" s="151">
        <f>IF(K98="Jefferson",(AG98/$AY$1)*'1. UC Assumptions'!$J$44-(AH98/$AY$2)*'1. UC Assumptions'!$J$42,0)</f>
        <v>0</v>
      </c>
      <c r="AZ98" s="151">
        <f>IF(K98="Lubbock",(AG98/$AZ$1)*'1. UC Assumptions'!$K$44-(AH98/$AZ$2)*'1. UC Assumptions'!$K$42,0)</f>
        <v>0</v>
      </c>
      <c r="BA98" s="151">
        <f>IF(K98="MRSA Central",(AG98/$BA$1)*'1. UC Assumptions'!$L$44-(AH98/$BA$2)*'1. UC Assumptions'!$L$42,0)</f>
        <v>0</v>
      </c>
      <c r="BB98" s="151">
        <f>IF(K98="MRSA Northeast",(AG98/$BB$1)*'1. UC Assumptions'!$M$44-(AH98/$BB$2)*'1. UC Assumptions'!$M$42,0)</f>
        <v>0</v>
      </c>
      <c r="BC98" s="151">
        <f>IF(K98="MRSA West",(AG98/$BC$1)*'1. UC Assumptions'!$N$44-(AH98/$BC$2)*'1. UC Assumptions'!$N$42,0)</f>
        <v>0</v>
      </c>
      <c r="BD98" s="151">
        <f>IF(K98="Nueces",(AG98/$BD$1)*'1. UC Assumptions'!$O$44-(AH98/$BD$2)*'1. UC Assumptions'!$O$42,0)</f>
        <v>0</v>
      </c>
      <c r="BE98" s="151">
        <f>IF(K98="Tarrant",(AG98/$BE$1)*'1. UC Assumptions'!$P$44-(AH98/$BE$2)*'1. UC Assumptions'!$P$42,0)</f>
        <v>0</v>
      </c>
      <c r="BF98" s="151">
        <f>IF(K98="Travis",(AG98/$BF$1)*'1. UC Assumptions'!$Q$44-(AH98/$BF$2)*'1. UC Assumptions'!$Q$42,0)</f>
        <v>0</v>
      </c>
      <c r="BG98" s="151">
        <f t="shared" si="36"/>
        <v>0</v>
      </c>
      <c r="BH98" s="151">
        <f t="shared" si="37"/>
        <v>4240404.4820624935</v>
      </c>
      <c r="BI98" s="151">
        <f>ROUNDDOWN(BH98*'1. UC Assumptions'!$C$23,2)</f>
        <v>1399333.47</v>
      </c>
      <c r="BJ98" s="154">
        <f t="shared" si="38"/>
        <v>1536642.1920624934</v>
      </c>
      <c r="BK98" s="154">
        <f t="shared" si="39"/>
        <v>507091.91430000006</v>
      </c>
      <c r="BL98" s="154">
        <f t="shared" si="40"/>
        <v>1418658.94</v>
      </c>
      <c r="BM98" s="154">
        <f t="shared" si="41"/>
        <v>468157.44</v>
      </c>
      <c r="BN98" s="101"/>
      <c r="BO98" s="154">
        <f>(BL98*'1. UC Assumptions'!$C$23)-'3.  UC Calculations by Hospital'!BM98</f>
        <v>1.0199999902397394E-2</v>
      </c>
      <c r="BP98" s="13"/>
    </row>
    <row r="99" spans="2:68">
      <c r="B99" s="129" t="s">
        <v>453</v>
      </c>
      <c r="C99" s="91" t="s">
        <v>453</v>
      </c>
      <c r="D99" s="91" t="s">
        <v>208</v>
      </c>
      <c r="E99" s="91" t="s">
        <v>149</v>
      </c>
      <c r="F99" s="91"/>
      <c r="G99" s="91" t="s">
        <v>209</v>
      </c>
      <c r="H99" s="91" t="s">
        <v>209</v>
      </c>
      <c r="I99" s="150" t="s">
        <v>210</v>
      </c>
      <c r="J99" s="129" t="s">
        <v>454</v>
      </c>
      <c r="K99" s="91" t="s">
        <v>12</v>
      </c>
      <c r="L99" s="91" t="s">
        <v>293</v>
      </c>
      <c r="M99" s="151">
        <v>7018.9573099519894</v>
      </c>
      <c r="N99" s="151">
        <v>0</v>
      </c>
      <c r="O99" s="131">
        <v>0</v>
      </c>
      <c r="P99" s="131">
        <f t="shared" si="21"/>
        <v>0</v>
      </c>
      <c r="Q99" s="131">
        <v>392330.10279518721</v>
      </c>
      <c r="R99" s="131">
        <v>0</v>
      </c>
      <c r="S99" s="131">
        <f t="shared" si="22"/>
        <v>0</v>
      </c>
      <c r="T99" s="131">
        <f t="shared" si="23"/>
        <v>392330.10279518721</v>
      </c>
      <c r="U99" s="131">
        <v>1859.1399999999994</v>
      </c>
      <c r="V99" s="131">
        <v>0</v>
      </c>
      <c r="W99" s="131">
        <v>0</v>
      </c>
      <c r="X99" s="131">
        <v>0</v>
      </c>
      <c r="Y99" s="131">
        <v>989281</v>
      </c>
      <c r="Z99" s="131">
        <f t="shared" si="24"/>
        <v>991140.14</v>
      </c>
      <c r="AA99" s="131">
        <v>0</v>
      </c>
      <c r="AB99" s="152">
        <f t="shared" si="25"/>
        <v>1383470.2427951873</v>
      </c>
      <c r="AC99" s="133">
        <f>IF(D99="Physician Group Practice",(AB99/$AB$393)*'1. UC Assumptions'!$C$15,IF(E99="Rural Hospital",AB99*'1. UC Assumptions'!$C$7/'1. UC Assumptions'!$E$7,(AB99/$AB$397)*('1. UC Assumptions'!$C$9)))</f>
        <v>1291380.2722211794</v>
      </c>
      <c r="AD99" s="133">
        <f t="shared" si="26"/>
        <v>0</v>
      </c>
      <c r="AE99" s="133">
        <f t="shared" si="27"/>
        <v>92089.970574007835</v>
      </c>
      <c r="AF99" s="133">
        <f t="shared" si="28"/>
        <v>0</v>
      </c>
      <c r="AG99" s="133">
        <f t="shared" si="29"/>
        <v>92089.970574007835</v>
      </c>
      <c r="AH99" s="133">
        <f t="shared" si="30"/>
        <v>1291380.2722211794</v>
      </c>
      <c r="AI99" s="131">
        <f>AH99*'1. UC Assumptions'!$C$23</f>
        <v>426155.48983298917</v>
      </c>
      <c r="AJ99" s="131">
        <v>335464.09000000003</v>
      </c>
      <c r="AK99" s="131">
        <f>AJ99*(1-'1. UC Assumptions'!$C$22)</f>
        <v>110703.14969999999</v>
      </c>
      <c r="AL99" s="131"/>
      <c r="AM99" s="131">
        <f>AL99*'1. UC Assumptions'!$C$23</f>
        <v>0</v>
      </c>
      <c r="AN99" s="153">
        <f t="shared" si="31"/>
        <v>1383470.2427951873</v>
      </c>
      <c r="AO99" s="151">
        <f>AN99*'1. UC Assumptions'!$C$23</f>
        <v>456545.18012241175</v>
      </c>
      <c r="AP99" s="151">
        <f t="shared" si="32"/>
        <v>1048006.1527951872</v>
      </c>
      <c r="AQ99" s="151">
        <f t="shared" si="33"/>
        <v>345842.03042241174</v>
      </c>
      <c r="AR99" s="151">
        <f t="shared" si="34"/>
        <v>345842.03042241174</v>
      </c>
      <c r="AS99" s="151">
        <f t="shared" si="35"/>
        <v>456545.18012241175</v>
      </c>
      <c r="AT99" s="151">
        <f>IF(K99="Bexar",(AG99/$AT$1)*'1. UC Assumptions'!$E$44-(AH99/$AT$2)*'1. UC Assumptions'!$E$42,0)</f>
        <v>0</v>
      </c>
      <c r="AU99" s="151">
        <f>IF(K99="Dallas",(AG99/$AU$1)*'1. UC Assumptions'!$F$44-(AH99/$AU$2)*'1. UC Assumptions'!$F$42,0)</f>
        <v>0</v>
      </c>
      <c r="AV99" s="151">
        <f>IF(K99="El Paso",(AG99/$AV$1)*'1. UC Assumptions'!$G$44-(AH99/$AV$2)*'1. UC Assumptions'!$G$42,0)</f>
        <v>0</v>
      </c>
      <c r="AW99" s="151">
        <f>IF(K99="Harris",(AG99/$AW$1)*'1. UC Assumptions'!$H$44-(AH99/$AW$2)*'1. UC Assumptions'!$H$42,0)</f>
        <v>0</v>
      </c>
      <c r="AX99" s="151">
        <f>IF(K99="Hidalgo",(AG99/$AX$1)*'1. UC Assumptions'!$I$44-(AH99/$AX$2)*'1. UC Assumptions'!$I$42,0)</f>
        <v>0</v>
      </c>
      <c r="AY99" s="151">
        <f>IF(K99="Jefferson",(AG99/$AY$1)*'1. UC Assumptions'!$J$44-(AH99/$AY$2)*'1. UC Assumptions'!$J$42,0)</f>
        <v>0</v>
      </c>
      <c r="AZ99" s="151">
        <f>IF(K99="Lubbock",(AG99/$AZ$1)*'1. UC Assumptions'!$K$44-(AH99/$AZ$2)*'1. UC Assumptions'!$K$42,0)</f>
        <v>0</v>
      </c>
      <c r="BA99" s="151">
        <f>IF(K99="MRSA Central",(AG99/$BA$1)*'1. UC Assumptions'!$L$44-(AH99/$BA$2)*'1. UC Assumptions'!$L$42,0)</f>
        <v>0</v>
      </c>
      <c r="BB99" s="151">
        <f>IF(K99="MRSA Northeast",(AG99/$BB$1)*'1. UC Assumptions'!$M$44-(AH99/$BB$2)*'1. UC Assumptions'!$M$42,0)</f>
        <v>0</v>
      </c>
      <c r="BC99" s="151">
        <f>IF(K99="MRSA West",(AG99/$BC$1)*'1. UC Assumptions'!$N$44-(AH99/$BC$2)*'1. UC Assumptions'!$N$42,0)</f>
        <v>0</v>
      </c>
      <c r="BD99" s="151">
        <f>IF(K99="Nueces",(AG99/$BD$1)*'1. UC Assumptions'!$O$44-(AH99/$BD$2)*'1. UC Assumptions'!$O$42,0)</f>
        <v>0</v>
      </c>
      <c r="BE99" s="151">
        <f>IF(K99="Tarrant",(AG99/$BE$1)*'1. UC Assumptions'!$P$44-(AH99/$BE$2)*'1. UC Assumptions'!$P$42,0)</f>
        <v>0</v>
      </c>
      <c r="BF99" s="151">
        <f>IF(K99="Travis",(AG99/$BF$1)*'1. UC Assumptions'!$Q$44-(AH99/$BF$2)*'1. UC Assumptions'!$Q$42,0)</f>
        <v>0</v>
      </c>
      <c r="BG99" s="151">
        <f t="shared" si="36"/>
        <v>0</v>
      </c>
      <c r="BH99" s="151">
        <f t="shared" si="37"/>
        <v>1291380.2722211794</v>
      </c>
      <c r="BI99" s="151">
        <f>ROUNDDOWN(BH99*'1. UC Assumptions'!$C$23,2)</f>
        <v>426155.48</v>
      </c>
      <c r="BJ99" s="154">
        <f t="shared" si="38"/>
        <v>955916.18222117936</v>
      </c>
      <c r="BK99" s="154">
        <f t="shared" si="39"/>
        <v>315452.33029999997</v>
      </c>
      <c r="BL99" s="154">
        <f t="shared" si="40"/>
        <v>882521.02</v>
      </c>
      <c r="BM99" s="154">
        <f t="shared" si="41"/>
        <v>291231.93</v>
      </c>
      <c r="BN99" s="101"/>
      <c r="BO99" s="154">
        <f>(BL99*'1. UC Assumptions'!$C$23)-'3.  UC Calculations by Hospital'!BM99</f>
        <v>6.5999999642372131E-3</v>
      </c>
      <c r="BP99" s="13"/>
    </row>
    <row r="100" spans="2:68">
      <c r="B100" s="129" t="s">
        <v>455</v>
      </c>
      <c r="C100" s="91" t="s">
        <v>455</v>
      </c>
      <c r="D100" s="91" t="s">
        <v>214</v>
      </c>
      <c r="E100" s="91"/>
      <c r="F100" s="91"/>
      <c r="G100" s="91" t="s">
        <v>209</v>
      </c>
      <c r="H100" s="91" t="s">
        <v>209</v>
      </c>
      <c r="I100" s="150" t="s">
        <v>210</v>
      </c>
      <c r="J100" s="129" t="s">
        <v>456</v>
      </c>
      <c r="K100" s="91" t="s">
        <v>12</v>
      </c>
      <c r="L100" s="91" t="s">
        <v>457</v>
      </c>
      <c r="M100" s="151">
        <v>-10346595.00824804</v>
      </c>
      <c r="N100" s="151">
        <v>7497493.4948564246</v>
      </c>
      <c r="O100" s="131">
        <v>5304758.4020562433</v>
      </c>
      <c r="P100" s="131">
        <f t="shared" si="21"/>
        <v>2192735.0928001814</v>
      </c>
      <c r="Q100" s="131">
        <v>6604999.0494906874</v>
      </c>
      <c r="R100" s="131">
        <v>0</v>
      </c>
      <c r="S100" s="131">
        <f t="shared" si="22"/>
        <v>0</v>
      </c>
      <c r="T100" s="131">
        <f t="shared" si="23"/>
        <v>6604999.0494906874</v>
      </c>
      <c r="U100" s="131">
        <v>1589680</v>
      </c>
      <c r="V100" s="131">
        <v>0</v>
      </c>
      <c r="W100" s="131">
        <v>1103737.3600000001</v>
      </c>
      <c r="X100" s="131">
        <v>0</v>
      </c>
      <c r="Y100" s="131">
        <v>4191322.3586954493</v>
      </c>
      <c r="Z100" s="131">
        <f t="shared" si="24"/>
        <v>6884739.7186954496</v>
      </c>
      <c r="AA100" s="131">
        <v>0</v>
      </c>
      <c r="AB100" s="152">
        <f t="shared" si="25"/>
        <v>13489738.768186137</v>
      </c>
      <c r="AC100" s="133">
        <f>IF(D100="Physician Group Practice",(AB100/$AB$393)*'1. UC Assumptions'!$C$15,IF(E100="Rural Hospital",AB100*'1. UC Assumptions'!$C$7/'1. UC Assumptions'!$E$7,(AB100/$AB$397)*('1. UC Assumptions'!$C$9)))</f>
        <v>6342141.4175796602</v>
      </c>
      <c r="AD100" s="133">
        <f t="shared" si="26"/>
        <v>0</v>
      </c>
      <c r="AE100" s="133">
        <f t="shared" si="27"/>
        <v>7147597.3506064769</v>
      </c>
      <c r="AF100" s="133">
        <f t="shared" si="28"/>
        <v>0</v>
      </c>
      <c r="AG100" s="133">
        <f t="shared" si="29"/>
        <v>7147597.3506064769</v>
      </c>
      <c r="AH100" s="133">
        <f t="shared" si="30"/>
        <v>6342141.4175796602</v>
      </c>
      <c r="AI100" s="131">
        <f>AH100*'1. UC Assumptions'!$C$23</f>
        <v>2092906.6678012877</v>
      </c>
      <c r="AJ100" s="131">
        <v>6149043.1699999999</v>
      </c>
      <c r="AK100" s="131">
        <f>AJ100*(1-'1. UC Assumptions'!$C$22)</f>
        <v>2029184.2460999996</v>
      </c>
      <c r="AL100" s="131"/>
      <c r="AM100" s="131">
        <f>AL100*'1. UC Assumptions'!$C$23</f>
        <v>0</v>
      </c>
      <c r="AN100" s="153">
        <f t="shared" si="31"/>
        <v>13489738.768186137</v>
      </c>
      <c r="AO100" s="151">
        <f>AN100*'1. UC Assumptions'!$C$23</f>
        <v>4451613.7935014246</v>
      </c>
      <c r="AP100" s="151">
        <f t="shared" si="32"/>
        <v>7340695.5981861372</v>
      </c>
      <c r="AQ100" s="151">
        <f t="shared" si="33"/>
        <v>2422429.547401425</v>
      </c>
      <c r="AR100" s="151">
        <f t="shared" si="34"/>
        <v>2422429.547401425</v>
      </c>
      <c r="AS100" s="151">
        <f t="shared" si="35"/>
        <v>4451613.7935014246</v>
      </c>
      <c r="AT100" s="151">
        <f>IF(K100="Bexar",(AG100/$AT$1)*'1. UC Assumptions'!$E$44-(AH100/$AT$2)*'1. UC Assumptions'!$E$42,0)</f>
        <v>0</v>
      </c>
      <c r="AU100" s="151">
        <f>IF(K100="Dallas",(AG100/$AU$1)*'1. UC Assumptions'!$F$44-(AH100/$AU$2)*'1. UC Assumptions'!$F$42,0)</f>
        <v>0</v>
      </c>
      <c r="AV100" s="151">
        <f>IF(K100="El Paso",(AG100/$AV$1)*'1. UC Assumptions'!$G$44-(AH100/$AV$2)*'1. UC Assumptions'!$G$42,0)</f>
        <v>0</v>
      </c>
      <c r="AW100" s="151">
        <f>IF(K100="Harris",(AG100/$AW$1)*'1. UC Assumptions'!$H$44-(AH100/$AW$2)*'1. UC Assumptions'!$H$42,0)</f>
        <v>0</v>
      </c>
      <c r="AX100" s="151">
        <f>IF(K100="Hidalgo",(AG100/$AX$1)*'1. UC Assumptions'!$I$44-(AH100/$AX$2)*'1. UC Assumptions'!$I$42,0)</f>
        <v>0</v>
      </c>
      <c r="AY100" s="151">
        <f>IF(K100="Jefferson",(AG100/$AY$1)*'1. UC Assumptions'!$J$44-(AH100/$AY$2)*'1. UC Assumptions'!$J$42,0)</f>
        <v>0</v>
      </c>
      <c r="AZ100" s="151">
        <f>IF(K100="Lubbock",(AG100/$AZ$1)*'1. UC Assumptions'!$K$44-(AH100/$AZ$2)*'1. UC Assumptions'!$K$42,0)</f>
        <v>0</v>
      </c>
      <c r="BA100" s="151">
        <f>IF(K100="MRSA Central",(AG100/$BA$1)*'1. UC Assumptions'!$L$44-(AH100/$BA$2)*'1. UC Assumptions'!$L$42,0)</f>
        <v>0</v>
      </c>
      <c r="BB100" s="151">
        <f>IF(K100="MRSA Northeast",(AG100/$BB$1)*'1. UC Assumptions'!$M$44-(AH100/$BB$2)*'1. UC Assumptions'!$M$42,0)</f>
        <v>0</v>
      </c>
      <c r="BC100" s="151">
        <f>IF(K100="MRSA West",(AG100/$BC$1)*'1. UC Assumptions'!$N$44-(AH100/$BC$2)*'1. UC Assumptions'!$N$42,0)</f>
        <v>0</v>
      </c>
      <c r="BD100" s="151">
        <f>IF(K100="Nueces",(AG100/$BD$1)*'1. UC Assumptions'!$O$44-(AH100/$BD$2)*'1. UC Assumptions'!$O$42,0)</f>
        <v>0</v>
      </c>
      <c r="BE100" s="151">
        <f>IF(K100="Tarrant",(AG100/$BE$1)*'1. UC Assumptions'!$P$44-(AH100/$BE$2)*'1. UC Assumptions'!$P$42,0)</f>
        <v>0</v>
      </c>
      <c r="BF100" s="151">
        <f>IF(K100="Travis",(AG100/$BF$1)*'1. UC Assumptions'!$Q$44-(AH100/$BF$2)*'1. UC Assumptions'!$Q$42,0)</f>
        <v>0</v>
      </c>
      <c r="BG100" s="151">
        <f t="shared" si="36"/>
        <v>0</v>
      </c>
      <c r="BH100" s="151">
        <f t="shared" si="37"/>
        <v>6342141.4175796602</v>
      </c>
      <c r="BI100" s="151">
        <f>ROUNDDOWN(BH100*'1. UC Assumptions'!$C$23,2)</f>
        <v>2092906.66</v>
      </c>
      <c r="BJ100" s="154">
        <f t="shared" si="38"/>
        <v>193098.24757966027</v>
      </c>
      <c r="BK100" s="154">
        <f t="shared" si="39"/>
        <v>63722.413900000276</v>
      </c>
      <c r="BL100" s="154">
        <f t="shared" si="40"/>
        <v>178272.18</v>
      </c>
      <c r="BM100" s="154">
        <f t="shared" si="41"/>
        <v>58829.81</v>
      </c>
      <c r="BN100" s="101"/>
      <c r="BO100" s="154">
        <f>(BL100*'1. UC Assumptions'!$C$23)-'3.  UC Calculations by Hospital'!BM100</f>
        <v>9.3999999953666702E-3</v>
      </c>
      <c r="BP100" s="13"/>
    </row>
    <row r="101" spans="2:68">
      <c r="B101" s="129" t="s">
        <v>458</v>
      </c>
      <c r="C101" s="91" t="s">
        <v>458</v>
      </c>
      <c r="D101" s="91" t="s">
        <v>214</v>
      </c>
      <c r="E101" s="91"/>
      <c r="F101" s="91"/>
      <c r="G101" s="91" t="s">
        <v>209</v>
      </c>
      <c r="H101" s="91" t="s">
        <v>209</v>
      </c>
      <c r="I101" s="150" t="s">
        <v>210</v>
      </c>
      <c r="J101" s="129" t="s">
        <v>459</v>
      </c>
      <c r="K101" s="91" t="s">
        <v>6</v>
      </c>
      <c r="L101" s="91" t="s">
        <v>6</v>
      </c>
      <c r="M101" s="151">
        <v>-40022191.816785887</v>
      </c>
      <c r="N101" s="151">
        <v>3736695.9793118355</v>
      </c>
      <c r="O101" s="131">
        <v>1574828.8231507966</v>
      </c>
      <c r="P101" s="131">
        <f t="shared" si="21"/>
        <v>2161867.1561610391</v>
      </c>
      <c r="Q101" s="131">
        <v>5145026.991090388</v>
      </c>
      <c r="R101" s="131">
        <v>0</v>
      </c>
      <c r="S101" s="131">
        <f t="shared" si="22"/>
        <v>0</v>
      </c>
      <c r="T101" s="131">
        <f t="shared" si="23"/>
        <v>5145026.991090388</v>
      </c>
      <c r="U101" s="131">
        <v>68411</v>
      </c>
      <c r="V101" s="131">
        <v>0</v>
      </c>
      <c r="W101" s="131">
        <v>0</v>
      </c>
      <c r="X101" s="131">
        <v>0</v>
      </c>
      <c r="Y101" s="131">
        <v>547807</v>
      </c>
      <c r="Z101" s="131">
        <f t="shared" si="24"/>
        <v>616218</v>
      </c>
      <c r="AA101" s="131">
        <v>0</v>
      </c>
      <c r="AB101" s="152">
        <f t="shared" si="25"/>
        <v>5761244.991090388</v>
      </c>
      <c r="AC101" s="133">
        <f>IF(D101="Physician Group Practice",(AB101/$AB$393)*'1. UC Assumptions'!$C$15,IF(E101="Rural Hospital",AB101*'1. UC Assumptions'!$C$7/'1. UC Assumptions'!$E$7,(AB101/$AB$397)*('1. UC Assumptions'!$C$9)))</f>
        <v>2708624.0217630831</v>
      </c>
      <c r="AD101" s="133">
        <f t="shared" si="26"/>
        <v>0</v>
      </c>
      <c r="AE101" s="133">
        <f t="shared" si="27"/>
        <v>3052620.969327305</v>
      </c>
      <c r="AF101" s="133">
        <f t="shared" si="28"/>
        <v>0</v>
      </c>
      <c r="AG101" s="133">
        <f t="shared" si="29"/>
        <v>3052620.969327305</v>
      </c>
      <c r="AH101" s="133">
        <f t="shared" si="30"/>
        <v>2708624.0217630831</v>
      </c>
      <c r="AI101" s="131">
        <f>AH101*'1. UC Assumptions'!$C$23</f>
        <v>893845.92718181736</v>
      </c>
      <c r="AJ101" s="131">
        <v>2353570.64</v>
      </c>
      <c r="AK101" s="131">
        <f>AJ101*(1-'1. UC Assumptions'!$C$22)</f>
        <v>776678.3112</v>
      </c>
      <c r="AL101" s="131"/>
      <c r="AM101" s="131">
        <f>AL101*'1. UC Assumptions'!$C$23</f>
        <v>0</v>
      </c>
      <c r="AN101" s="153">
        <f t="shared" si="31"/>
        <v>5761244.991090388</v>
      </c>
      <c r="AO101" s="151">
        <f>AN101*'1. UC Assumptions'!$C$23</f>
        <v>1901210.8470598278</v>
      </c>
      <c r="AP101" s="151">
        <f t="shared" si="32"/>
        <v>3407674.3510903879</v>
      </c>
      <c r="AQ101" s="151">
        <f t="shared" si="33"/>
        <v>1124532.5358598279</v>
      </c>
      <c r="AR101" s="151">
        <f t="shared" si="34"/>
        <v>1124532.5358598279</v>
      </c>
      <c r="AS101" s="151">
        <f t="shared" si="35"/>
        <v>1901210.8470598278</v>
      </c>
      <c r="AT101" s="151">
        <f>IF(K101="Bexar",(AG101/$AT$1)*'1. UC Assumptions'!$E$44-(AH101/$AT$2)*'1. UC Assumptions'!$E$42,0)</f>
        <v>0</v>
      </c>
      <c r="AU101" s="151">
        <f>IF(K101="Dallas",(AG101/$AU$1)*'1. UC Assumptions'!$F$44-(AH101/$AU$2)*'1. UC Assumptions'!$F$42,0)</f>
        <v>0</v>
      </c>
      <c r="AV101" s="151">
        <f>IF(K101="El Paso",(AG101/$AV$1)*'1. UC Assumptions'!$G$44-(AH101/$AV$2)*'1. UC Assumptions'!$G$42,0)</f>
        <v>0</v>
      </c>
      <c r="AW101" s="151">
        <f>IF(K101="Harris",(AG101/$AW$1)*'1. UC Assumptions'!$H$44-(AH101/$AW$2)*'1. UC Assumptions'!$H$42,0)</f>
        <v>0</v>
      </c>
      <c r="AX101" s="151">
        <f>IF(K101="Hidalgo",(AG101/$AX$1)*'1. UC Assumptions'!$I$44-(AH101/$AX$2)*'1. UC Assumptions'!$I$42,0)</f>
        <v>0</v>
      </c>
      <c r="AY101" s="151">
        <f>IF(K101="Jefferson",(AG101/$AY$1)*'1. UC Assumptions'!$J$44-(AH101/$AY$2)*'1. UC Assumptions'!$J$42,0)</f>
        <v>0</v>
      </c>
      <c r="AZ101" s="151">
        <f>IF(K101="Lubbock",(AG101/$AZ$1)*'1. UC Assumptions'!$K$44-(AH101/$AZ$2)*'1. UC Assumptions'!$K$42,0)</f>
        <v>0</v>
      </c>
      <c r="BA101" s="151">
        <f>IF(K101="MRSA Central",(AG101/$BA$1)*'1. UC Assumptions'!$L$44-(AH101/$BA$2)*'1. UC Assumptions'!$L$42,0)</f>
        <v>0</v>
      </c>
      <c r="BB101" s="151">
        <f>IF(K101="MRSA Northeast",(AG101/$BB$1)*'1. UC Assumptions'!$M$44-(AH101/$BB$2)*'1. UC Assumptions'!$M$42,0)</f>
        <v>0</v>
      </c>
      <c r="BC101" s="151">
        <f>IF(K101="MRSA West",(AG101/$BC$1)*'1. UC Assumptions'!$N$44-(AH101/$BC$2)*'1. UC Assumptions'!$N$42,0)</f>
        <v>0</v>
      </c>
      <c r="BD101" s="151">
        <f>IF(K101="Nueces",(AG101/$BD$1)*'1. UC Assumptions'!$O$44-(AH101/$BD$2)*'1. UC Assumptions'!$O$42,0)</f>
        <v>0</v>
      </c>
      <c r="BE101" s="151">
        <f>IF(K101="Tarrant",(AG101/$BE$1)*'1. UC Assumptions'!$P$44-(AH101/$BE$2)*'1. UC Assumptions'!$P$42,0)</f>
        <v>0</v>
      </c>
      <c r="BF101" s="151">
        <f>IF(K101="Travis",(AG101/$BF$1)*'1. UC Assumptions'!$Q$44-(AH101/$BF$2)*'1. UC Assumptions'!$Q$42,0)</f>
        <v>0</v>
      </c>
      <c r="BG101" s="151">
        <f t="shared" si="36"/>
        <v>0</v>
      </c>
      <c r="BH101" s="151">
        <f t="shared" si="37"/>
        <v>2708624.0217630831</v>
      </c>
      <c r="BI101" s="151">
        <f>ROUNDDOWN(BH101*'1. UC Assumptions'!$C$23,2)</f>
        <v>893845.92</v>
      </c>
      <c r="BJ101" s="154">
        <f t="shared" si="38"/>
        <v>355053.38176308293</v>
      </c>
      <c r="BK101" s="154">
        <f t="shared" si="39"/>
        <v>117167.60880000005</v>
      </c>
      <c r="BL101" s="154">
        <f t="shared" si="40"/>
        <v>327792.40999999997</v>
      </c>
      <c r="BM101" s="154">
        <f t="shared" si="41"/>
        <v>108171.49</v>
      </c>
      <c r="BN101" s="101"/>
      <c r="BO101" s="154">
        <f>(BL101*'1. UC Assumptions'!$C$23)-'3.  UC Calculations by Hospital'!BM101</f>
        <v>5.2999999752501026E-3</v>
      </c>
      <c r="BP101" s="13"/>
    </row>
    <row r="102" spans="2:68">
      <c r="B102" s="129" t="s">
        <v>460</v>
      </c>
      <c r="C102" s="91" t="s">
        <v>460</v>
      </c>
      <c r="D102" s="91" t="s">
        <v>214</v>
      </c>
      <c r="E102" s="91"/>
      <c r="F102" s="91"/>
      <c r="G102" s="91" t="s">
        <v>209</v>
      </c>
      <c r="H102" s="91" t="s">
        <v>209</v>
      </c>
      <c r="I102" s="150" t="s">
        <v>210</v>
      </c>
      <c r="J102" s="129" t="s">
        <v>461</v>
      </c>
      <c r="K102" s="91" t="s">
        <v>7</v>
      </c>
      <c r="L102" s="91" t="s">
        <v>7</v>
      </c>
      <c r="M102" s="151">
        <v>-8852319.1743401755</v>
      </c>
      <c r="N102" s="151">
        <v>26290017.489859562</v>
      </c>
      <c r="O102" s="131">
        <v>12046301.997409979</v>
      </c>
      <c r="P102" s="131">
        <f t="shared" si="21"/>
        <v>14243715.492449583</v>
      </c>
      <c r="Q102" s="131">
        <v>25920470.876862645</v>
      </c>
      <c r="R102" s="131">
        <v>9841357.0399999991</v>
      </c>
      <c r="S102" s="131">
        <f t="shared" si="22"/>
        <v>4449960.7218905892</v>
      </c>
      <c r="T102" s="131">
        <f t="shared" si="23"/>
        <v>21470510.154972054</v>
      </c>
      <c r="U102" s="131">
        <v>2098553</v>
      </c>
      <c r="V102" s="131">
        <v>0</v>
      </c>
      <c r="W102" s="131">
        <v>0</v>
      </c>
      <c r="X102" s="131">
        <v>0</v>
      </c>
      <c r="Y102" s="131">
        <v>1949839.2209421543</v>
      </c>
      <c r="Z102" s="131">
        <f t="shared" si="24"/>
        <v>4048392.2209421545</v>
      </c>
      <c r="AA102" s="131">
        <v>0</v>
      </c>
      <c r="AB102" s="152">
        <f t="shared" si="25"/>
        <v>25518902.375914209</v>
      </c>
      <c r="AC102" s="133">
        <f>IF(D102="Physician Group Practice",(AB102/$AB$393)*'1. UC Assumptions'!$C$15,IF(E102="Rural Hospital",AB102*'1. UC Assumptions'!$C$7/'1. UC Assumptions'!$E$7,(AB102/$AB$397)*('1. UC Assumptions'!$C$9)))</f>
        <v>11997599.840194644</v>
      </c>
      <c r="AD102" s="133">
        <f t="shared" si="26"/>
        <v>0</v>
      </c>
      <c r="AE102" s="133">
        <f t="shared" si="27"/>
        <v>13521302.535719564</v>
      </c>
      <c r="AF102" s="133">
        <f t="shared" si="28"/>
        <v>0</v>
      </c>
      <c r="AG102" s="133">
        <f t="shared" si="29"/>
        <v>13521302.535719564</v>
      </c>
      <c r="AH102" s="133">
        <f t="shared" si="30"/>
        <v>11997599.840194644</v>
      </c>
      <c r="AI102" s="131">
        <f>AH102*'1. UC Assumptions'!$C$23</f>
        <v>3959207.9472642322</v>
      </c>
      <c r="AJ102" s="131">
        <v>12208746.59</v>
      </c>
      <c r="AK102" s="131">
        <f>AJ102*(1-'1. UC Assumptions'!$C$22)</f>
        <v>4028886.3746999996</v>
      </c>
      <c r="AL102" s="131"/>
      <c r="AM102" s="131">
        <f>AL102*'1. UC Assumptions'!$C$23</f>
        <v>0</v>
      </c>
      <c r="AN102" s="153">
        <f t="shared" si="31"/>
        <v>25518902.375914209</v>
      </c>
      <c r="AO102" s="151">
        <f>AN102*'1. UC Assumptions'!$C$23</f>
        <v>8421237.7840516884</v>
      </c>
      <c r="AP102" s="151">
        <f t="shared" si="32"/>
        <v>13310155.785914209</v>
      </c>
      <c r="AQ102" s="151">
        <f t="shared" si="33"/>
        <v>4392351.4093516888</v>
      </c>
      <c r="AR102" s="151">
        <f t="shared" si="34"/>
        <v>4392351.4093516888</v>
      </c>
      <c r="AS102" s="151">
        <f t="shared" si="35"/>
        <v>8421237.7840516884</v>
      </c>
      <c r="AT102" s="151">
        <f>IF(K102="Bexar",(AG102/$AT$1)*'1. UC Assumptions'!$E$44-(AH102/$AT$2)*'1. UC Assumptions'!$E$42,0)</f>
        <v>0</v>
      </c>
      <c r="AU102" s="151">
        <f>IF(K102="Dallas",(AG102/$AU$1)*'1. UC Assumptions'!$F$44-(AH102/$AU$2)*'1. UC Assumptions'!$F$42,0)</f>
        <v>0</v>
      </c>
      <c r="AV102" s="151">
        <f>IF(K102="El Paso",(AG102/$AV$1)*'1. UC Assumptions'!$G$44-(AH102/$AV$2)*'1. UC Assumptions'!$G$42,0)</f>
        <v>0</v>
      </c>
      <c r="AW102" s="151">
        <f>IF(K102="Harris",(AG102/$AW$1)*'1. UC Assumptions'!$H$44-(AH102/$AW$2)*'1. UC Assumptions'!$H$42,0)</f>
        <v>0</v>
      </c>
      <c r="AX102" s="151">
        <f>IF(K102="Hidalgo",(AG102/$AX$1)*'1. UC Assumptions'!$I$44-(AH102/$AX$2)*'1. UC Assumptions'!$I$42,0)</f>
        <v>0</v>
      </c>
      <c r="AY102" s="151">
        <f>IF(K102="Jefferson",(AG102/$AY$1)*'1. UC Assumptions'!$J$44-(AH102/$AY$2)*'1. UC Assumptions'!$J$42,0)</f>
        <v>0</v>
      </c>
      <c r="AZ102" s="151">
        <f>IF(K102="Lubbock",(AG102/$AZ$1)*'1. UC Assumptions'!$K$44-(AH102/$AZ$2)*'1. UC Assumptions'!$K$42,0)</f>
        <v>0</v>
      </c>
      <c r="BA102" s="151">
        <f>IF(K102="MRSA Central",(AG102/$BA$1)*'1. UC Assumptions'!$L$44-(AH102/$BA$2)*'1. UC Assumptions'!$L$42,0)</f>
        <v>0</v>
      </c>
      <c r="BB102" s="151">
        <f>IF(K102="MRSA Northeast",(AG102/$BB$1)*'1. UC Assumptions'!$M$44-(AH102/$BB$2)*'1. UC Assumptions'!$M$42,0)</f>
        <v>0</v>
      </c>
      <c r="BC102" s="151">
        <f>IF(K102="MRSA West",(AG102/$BC$1)*'1. UC Assumptions'!$N$44-(AH102/$BC$2)*'1. UC Assumptions'!$N$42,0)</f>
        <v>0</v>
      </c>
      <c r="BD102" s="151">
        <f>IF(K102="Nueces",(AG102/$BD$1)*'1. UC Assumptions'!$O$44-(AH102/$BD$2)*'1. UC Assumptions'!$O$42,0)</f>
        <v>0</v>
      </c>
      <c r="BE102" s="151">
        <f>IF(K102="Tarrant",(AG102/$BE$1)*'1. UC Assumptions'!$P$44-(AH102/$BE$2)*'1. UC Assumptions'!$P$42,0)</f>
        <v>0</v>
      </c>
      <c r="BF102" s="151">
        <f>IF(K102="Travis",(AG102/$BF$1)*'1. UC Assumptions'!$Q$44-(AH102/$BF$2)*'1. UC Assumptions'!$Q$42,0)</f>
        <v>0</v>
      </c>
      <c r="BG102" s="151">
        <f t="shared" si="36"/>
        <v>0</v>
      </c>
      <c r="BH102" s="151">
        <f t="shared" si="37"/>
        <v>11997599.840194644</v>
      </c>
      <c r="BI102" s="151">
        <f>ROUNDDOWN(BH102*'1. UC Assumptions'!$C$23,2)</f>
        <v>3959207.94</v>
      </c>
      <c r="BJ102" s="154">
        <f t="shared" si="38"/>
        <v>-211146.74980535544</v>
      </c>
      <c r="BK102" s="154">
        <f t="shared" si="39"/>
        <v>-69678.434699999634</v>
      </c>
      <c r="BL102" s="154">
        <f t="shared" si="40"/>
        <v>0</v>
      </c>
      <c r="BM102" s="154">
        <f t="shared" si="41"/>
        <v>0</v>
      </c>
      <c r="BN102" s="101"/>
      <c r="BO102" s="154">
        <f>(BL102*'1. UC Assumptions'!$C$23)-'3.  UC Calculations by Hospital'!BM102</f>
        <v>0</v>
      </c>
      <c r="BP102" s="13"/>
    </row>
    <row r="103" spans="2:68">
      <c r="B103" s="129" t="s">
        <v>462</v>
      </c>
      <c r="C103" s="91" t="s">
        <v>462</v>
      </c>
      <c r="D103" s="91" t="s">
        <v>214</v>
      </c>
      <c r="E103" s="91"/>
      <c r="F103" s="91"/>
      <c r="G103" s="91" t="s">
        <v>209</v>
      </c>
      <c r="H103" s="91" t="s">
        <v>209</v>
      </c>
      <c r="I103" s="150" t="s">
        <v>210</v>
      </c>
      <c r="J103" s="129" t="s">
        <v>463</v>
      </c>
      <c r="K103" s="91" t="s">
        <v>15</v>
      </c>
      <c r="L103" s="91" t="s">
        <v>15</v>
      </c>
      <c r="M103" s="151">
        <v>-6840256.6828794703</v>
      </c>
      <c r="N103" s="151">
        <v>0</v>
      </c>
      <c r="O103" s="131">
        <v>0</v>
      </c>
      <c r="P103" s="131">
        <f t="shared" si="21"/>
        <v>0</v>
      </c>
      <c r="Q103" s="131">
        <v>44036838.649453349</v>
      </c>
      <c r="R103" s="131">
        <v>0</v>
      </c>
      <c r="S103" s="131">
        <f t="shared" si="22"/>
        <v>0</v>
      </c>
      <c r="T103" s="131">
        <f t="shared" si="23"/>
        <v>44036838.649453349</v>
      </c>
      <c r="U103" s="131">
        <v>2226927</v>
      </c>
      <c r="V103" s="131">
        <v>0</v>
      </c>
      <c r="W103" s="131">
        <v>0</v>
      </c>
      <c r="X103" s="131">
        <v>0</v>
      </c>
      <c r="Y103" s="131">
        <v>7595477.7045074953</v>
      </c>
      <c r="Z103" s="131">
        <f t="shared" si="24"/>
        <v>9822404.7045074962</v>
      </c>
      <c r="AA103" s="131">
        <v>0</v>
      </c>
      <c r="AB103" s="152">
        <f t="shared" si="25"/>
        <v>53859243.353960842</v>
      </c>
      <c r="AC103" s="133">
        <f>IF(D103="Physician Group Practice",(AB103/$AB$393)*'1. UC Assumptions'!$C$15,IF(E103="Rural Hospital",AB103*'1. UC Assumptions'!$C$7/'1. UC Assumptions'!$E$7,(AB103/$AB$397)*('1. UC Assumptions'!$C$9)))</f>
        <v>25321686.6437946</v>
      </c>
      <c r="AD103" s="133">
        <f t="shared" si="26"/>
        <v>0</v>
      </c>
      <c r="AE103" s="133">
        <f t="shared" si="27"/>
        <v>28537556.710166242</v>
      </c>
      <c r="AF103" s="133">
        <f t="shared" si="28"/>
        <v>0</v>
      </c>
      <c r="AG103" s="133">
        <f t="shared" si="29"/>
        <v>28537556.710166242</v>
      </c>
      <c r="AH103" s="133">
        <f t="shared" si="30"/>
        <v>25321686.6437946</v>
      </c>
      <c r="AI103" s="131">
        <f>AH103*'1. UC Assumptions'!$C$23</f>
        <v>8356156.5924522169</v>
      </c>
      <c r="AJ103" s="131">
        <v>19108654.25</v>
      </c>
      <c r="AK103" s="131">
        <f>AJ103*(1-'1. UC Assumptions'!$C$22)</f>
        <v>6305855.9024999989</v>
      </c>
      <c r="AL103" s="131"/>
      <c r="AM103" s="131">
        <f>AL103*'1. UC Assumptions'!$C$23</f>
        <v>0</v>
      </c>
      <c r="AN103" s="153">
        <f t="shared" si="31"/>
        <v>53859243.353960842</v>
      </c>
      <c r="AO103" s="151">
        <f>AN103*'1. UC Assumptions'!$C$23</f>
        <v>17773550.306807075</v>
      </c>
      <c r="AP103" s="151">
        <f t="shared" si="32"/>
        <v>34750589.103960842</v>
      </c>
      <c r="AQ103" s="151">
        <f t="shared" si="33"/>
        <v>11467694.404307075</v>
      </c>
      <c r="AR103" s="151">
        <f t="shared" si="34"/>
        <v>11467694.404307075</v>
      </c>
      <c r="AS103" s="151">
        <f t="shared" si="35"/>
        <v>17773550.306807075</v>
      </c>
      <c r="AT103" s="151">
        <f>IF(K103="Bexar",(AG103/$AT$1)*'1. UC Assumptions'!$E$44-(AH103/$AT$2)*'1. UC Assumptions'!$E$42,0)</f>
        <v>0</v>
      </c>
      <c r="AU103" s="151">
        <f>IF(K103="Dallas",(AG103/$AU$1)*'1. UC Assumptions'!$F$44-(AH103/$AU$2)*'1. UC Assumptions'!$F$42,0)</f>
        <v>0</v>
      </c>
      <c r="AV103" s="151">
        <f>IF(K103="El Paso",(AG103/$AV$1)*'1. UC Assumptions'!$G$44-(AH103/$AV$2)*'1. UC Assumptions'!$G$42,0)</f>
        <v>0</v>
      </c>
      <c r="AW103" s="151">
        <f>IF(K103="Harris",(AG103/$AW$1)*'1. UC Assumptions'!$H$44-(AH103/$AW$2)*'1. UC Assumptions'!$H$42,0)</f>
        <v>0</v>
      </c>
      <c r="AX103" s="151">
        <f>IF(K103="Hidalgo",(AG103/$AX$1)*'1. UC Assumptions'!$I$44-(AH103/$AX$2)*'1. UC Assumptions'!$I$42,0)</f>
        <v>0</v>
      </c>
      <c r="AY103" s="151">
        <f>IF(K103="Jefferson",(AG103/$AY$1)*'1. UC Assumptions'!$J$44-(AH103/$AY$2)*'1. UC Assumptions'!$J$42,0)</f>
        <v>0</v>
      </c>
      <c r="AZ103" s="151">
        <f>IF(K103="Lubbock",(AG103/$AZ$1)*'1. UC Assumptions'!$K$44-(AH103/$AZ$2)*'1. UC Assumptions'!$K$42,0)</f>
        <v>0</v>
      </c>
      <c r="BA103" s="151">
        <f>IF(K103="MRSA Central",(AG103/$BA$1)*'1. UC Assumptions'!$L$44-(AH103/$BA$2)*'1. UC Assumptions'!$L$42,0)</f>
        <v>0</v>
      </c>
      <c r="BB103" s="151">
        <f>IF(K103="MRSA Northeast",(AG103/$BB$1)*'1. UC Assumptions'!$M$44-(AH103/$BB$2)*'1. UC Assumptions'!$M$42,0)</f>
        <v>0</v>
      </c>
      <c r="BC103" s="151">
        <f>IF(K103="MRSA West",(AG103/$BC$1)*'1. UC Assumptions'!$N$44-(AH103/$BC$2)*'1. UC Assumptions'!$N$42,0)</f>
        <v>0</v>
      </c>
      <c r="BD103" s="151">
        <f>IF(K103="Nueces",(AG103/$BD$1)*'1. UC Assumptions'!$O$44-(AH103/$BD$2)*'1. UC Assumptions'!$O$42,0)</f>
        <v>0</v>
      </c>
      <c r="BE103" s="151">
        <f>IF(K103="Tarrant",(AG103/$BE$1)*'1. UC Assumptions'!$P$44-(AH103/$BE$2)*'1. UC Assumptions'!$P$42,0)</f>
        <v>0</v>
      </c>
      <c r="BF103" s="151">
        <f>IF(K103="Travis",(AG103/$BF$1)*'1. UC Assumptions'!$Q$44-(AH103/$BF$2)*'1. UC Assumptions'!$Q$42,0)</f>
        <v>0</v>
      </c>
      <c r="BG103" s="151">
        <f t="shared" si="36"/>
        <v>0</v>
      </c>
      <c r="BH103" s="151">
        <f t="shared" si="37"/>
        <v>25321686.6437946</v>
      </c>
      <c r="BI103" s="151">
        <f>ROUNDDOWN(BH103*'1. UC Assumptions'!$C$23,2)</f>
        <v>8356156.5899999999</v>
      </c>
      <c r="BJ103" s="154">
        <f t="shared" si="38"/>
        <v>6213032.3937945999</v>
      </c>
      <c r="BK103" s="154">
        <f t="shared" si="39"/>
        <v>2050300.6875000009</v>
      </c>
      <c r="BL103" s="154">
        <f t="shared" si="40"/>
        <v>5735996.2999999998</v>
      </c>
      <c r="BM103" s="154">
        <f t="shared" si="41"/>
        <v>1892878.77</v>
      </c>
      <c r="BN103" s="101"/>
      <c r="BO103" s="154">
        <f>(BL103*'1. UC Assumptions'!$C$23)-'3.  UC Calculations by Hospital'!BM103</f>
        <v>8.999999612569809E-3</v>
      </c>
      <c r="BP103" s="13"/>
    </row>
    <row r="104" spans="2:68">
      <c r="B104" s="129" t="s">
        <v>464</v>
      </c>
      <c r="C104" s="91" t="s">
        <v>464</v>
      </c>
      <c r="D104" s="91" t="s">
        <v>214</v>
      </c>
      <c r="E104" s="91"/>
      <c r="F104" s="91"/>
      <c r="G104" s="91" t="s">
        <v>209</v>
      </c>
      <c r="H104" s="91" t="s">
        <v>209</v>
      </c>
      <c r="I104" s="150" t="s">
        <v>210</v>
      </c>
      <c r="J104" s="129" t="s">
        <v>465</v>
      </c>
      <c r="K104" s="91" t="s">
        <v>6</v>
      </c>
      <c r="L104" s="91" t="s">
        <v>6</v>
      </c>
      <c r="M104" s="151">
        <v>-13573771.032863051</v>
      </c>
      <c r="N104" s="151">
        <v>49816888.165555611</v>
      </c>
      <c r="O104" s="131">
        <v>47160377.831027053</v>
      </c>
      <c r="P104" s="131">
        <f t="shared" si="21"/>
        <v>2656510.334528558</v>
      </c>
      <c r="Q104" s="131">
        <v>47806779.789493077</v>
      </c>
      <c r="R104" s="131">
        <v>11300158.6</v>
      </c>
      <c r="S104" s="131">
        <f t="shared" si="22"/>
        <v>11300158.6</v>
      </c>
      <c r="T104" s="131">
        <f t="shared" si="23"/>
        <v>36506621.189493075</v>
      </c>
      <c r="U104" s="131">
        <v>1455452</v>
      </c>
      <c r="V104" s="131">
        <v>0</v>
      </c>
      <c r="W104" s="131">
        <v>0</v>
      </c>
      <c r="X104" s="131">
        <v>0</v>
      </c>
      <c r="Y104" s="131">
        <v>9173902.2554768715</v>
      </c>
      <c r="Z104" s="131">
        <f t="shared" si="24"/>
        <v>10629354.255476872</v>
      </c>
      <c r="AA104" s="131">
        <v>0</v>
      </c>
      <c r="AB104" s="152">
        <f t="shared" si="25"/>
        <v>47135975.444969945</v>
      </c>
      <c r="AC104" s="133">
        <f>IF(D104="Physician Group Practice",(AB104/$AB$393)*'1. UC Assumptions'!$C$15,IF(E104="Rural Hospital",AB104*'1. UC Assumptions'!$C$7/'1. UC Assumptions'!$E$7,(AB104/$AB$397)*('1. UC Assumptions'!$C$9)))</f>
        <v>22160771.773622591</v>
      </c>
      <c r="AD104" s="133">
        <f t="shared" si="26"/>
        <v>0</v>
      </c>
      <c r="AE104" s="133">
        <f t="shared" si="27"/>
        <v>24975203.671347354</v>
      </c>
      <c r="AF104" s="133">
        <f t="shared" si="28"/>
        <v>0</v>
      </c>
      <c r="AG104" s="133">
        <f t="shared" si="29"/>
        <v>24975203.671347354</v>
      </c>
      <c r="AH104" s="133">
        <f t="shared" si="30"/>
        <v>22160771.773622591</v>
      </c>
      <c r="AI104" s="131">
        <f>AH104*'1. UC Assumptions'!$C$23</f>
        <v>7313054.6852954542</v>
      </c>
      <c r="AJ104" s="131">
        <v>16847535.050000001</v>
      </c>
      <c r="AK104" s="131">
        <f>AJ104*(1-'1. UC Assumptions'!$C$22)</f>
        <v>5559686.5664999997</v>
      </c>
      <c r="AL104" s="131"/>
      <c r="AM104" s="131">
        <f>AL104*'1. UC Assumptions'!$C$23</f>
        <v>0</v>
      </c>
      <c r="AN104" s="153">
        <f t="shared" si="31"/>
        <v>47135975.444969945</v>
      </c>
      <c r="AO104" s="151">
        <f>AN104*'1. UC Assumptions'!$C$23</f>
        <v>15554871.896840081</v>
      </c>
      <c r="AP104" s="151">
        <f t="shared" si="32"/>
        <v>30288440.394969944</v>
      </c>
      <c r="AQ104" s="151">
        <f t="shared" si="33"/>
        <v>9995185.33034008</v>
      </c>
      <c r="AR104" s="151">
        <f t="shared" si="34"/>
        <v>9995185.33034008</v>
      </c>
      <c r="AS104" s="151">
        <f t="shared" si="35"/>
        <v>15554871.896840081</v>
      </c>
      <c r="AT104" s="151">
        <f>IF(K104="Bexar",(AG104/$AT$1)*'1. UC Assumptions'!$E$44-(AH104/$AT$2)*'1. UC Assumptions'!$E$42,0)</f>
        <v>0</v>
      </c>
      <c r="AU104" s="151">
        <f>IF(K104="Dallas",(AG104/$AU$1)*'1. UC Assumptions'!$F$44-(AH104/$AU$2)*'1. UC Assumptions'!$F$42,0)</f>
        <v>0</v>
      </c>
      <c r="AV104" s="151">
        <f>IF(K104="El Paso",(AG104/$AV$1)*'1. UC Assumptions'!$G$44-(AH104/$AV$2)*'1. UC Assumptions'!$G$42,0)</f>
        <v>0</v>
      </c>
      <c r="AW104" s="151">
        <f>IF(K104="Harris",(AG104/$AW$1)*'1. UC Assumptions'!$H$44-(AH104/$AW$2)*'1. UC Assumptions'!$H$42,0)</f>
        <v>0</v>
      </c>
      <c r="AX104" s="151">
        <f>IF(K104="Hidalgo",(AG104/$AX$1)*'1. UC Assumptions'!$I$44-(AH104/$AX$2)*'1. UC Assumptions'!$I$42,0)</f>
        <v>0</v>
      </c>
      <c r="AY104" s="151">
        <f>IF(K104="Jefferson",(AG104/$AY$1)*'1. UC Assumptions'!$J$44-(AH104/$AY$2)*'1. UC Assumptions'!$J$42,0)</f>
        <v>0</v>
      </c>
      <c r="AZ104" s="151">
        <f>IF(K104="Lubbock",(AG104/$AZ$1)*'1. UC Assumptions'!$K$44-(AH104/$AZ$2)*'1. UC Assumptions'!$K$42,0)</f>
        <v>0</v>
      </c>
      <c r="BA104" s="151">
        <f>IF(K104="MRSA Central",(AG104/$BA$1)*'1. UC Assumptions'!$L$44-(AH104/$BA$2)*'1. UC Assumptions'!$L$42,0)</f>
        <v>0</v>
      </c>
      <c r="BB104" s="151">
        <f>IF(K104="MRSA Northeast",(AG104/$BB$1)*'1. UC Assumptions'!$M$44-(AH104/$BB$2)*'1. UC Assumptions'!$M$42,0)</f>
        <v>0</v>
      </c>
      <c r="BC104" s="151">
        <f>IF(K104="MRSA West",(AG104/$BC$1)*'1. UC Assumptions'!$N$44-(AH104/$BC$2)*'1. UC Assumptions'!$N$42,0)</f>
        <v>0</v>
      </c>
      <c r="BD104" s="151">
        <f>IF(K104="Nueces",(AG104/$BD$1)*'1. UC Assumptions'!$O$44-(AH104/$BD$2)*'1. UC Assumptions'!$O$42,0)</f>
        <v>0</v>
      </c>
      <c r="BE104" s="151">
        <f>IF(K104="Tarrant",(AG104/$BE$1)*'1. UC Assumptions'!$P$44-(AH104/$BE$2)*'1. UC Assumptions'!$P$42,0)</f>
        <v>0</v>
      </c>
      <c r="BF104" s="151">
        <f>IF(K104="Travis",(AG104/$BF$1)*'1. UC Assumptions'!$Q$44-(AH104/$BF$2)*'1. UC Assumptions'!$Q$42,0)</f>
        <v>0</v>
      </c>
      <c r="BG104" s="151">
        <f t="shared" si="36"/>
        <v>0</v>
      </c>
      <c r="BH104" s="151">
        <f t="shared" si="37"/>
        <v>22160771.773622591</v>
      </c>
      <c r="BI104" s="151">
        <f>ROUNDDOWN(BH104*'1. UC Assumptions'!$C$23,2)</f>
        <v>7313054.6799999997</v>
      </c>
      <c r="BJ104" s="154">
        <f t="shared" si="38"/>
        <v>5313236.7236225903</v>
      </c>
      <c r="BK104" s="154">
        <f t="shared" si="39"/>
        <v>1753368.1135</v>
      </c>
      <c r="BL104" s="154">
        <f t="shared" si="40"/>
        <v>4905286.8600000003</v>
      </c>
      <c r="BM104" s="154">
        <f t="shared" si="41"/>
        <v>1618744.66</v>
      </c>
      <c r="BN104" s="101"/>
      <c r="BO104" s="154">
        <f>(BL104*'1. UC Assumptions'!$C$23)-'3.  UC Calculations by Hospital'!BM104</f>
        <v>3.8000000640749931E-3</v>
      </c>
      <c r="BP104" s="13"/>
    </row>
    <row r="105" spans="2:68">
      <c r="B105" s="129" t="s">
        <v>466</v>
      </c>
      <c r="C105" s="91" t="s">
        <v>466</v>
      </c>
      <c r="D105" s="91" t="s">
        <v>214</v>
      </c>
      <c r="E105" s="91" t="s">
        <v>149</v>
      </c>
      <c r="F105" s="91"/>
      <c r="G105" s="91" t="s">
        <v>209</v>
      </c>
      <c r="H105" s="91" t="s">
        <v>209</v>
      </c>
      <c r="I105" s="150" t="s">
        <v>210</v>
      </c>
      <c r="J105" s="129" t="s">
        <v>467</v>
      </c>
      <c r="K105" s="91" t="s">
        <v>10</v>
      </c>
      <c r="L105" s="91" t="s">
        <v>468</v>
      </c>
      <c r="M105" s="151">
        <v>398653.35831534083</v>
      </c>
      <c r="N105" s="151">
        <v>0</v>
      </c>
      <c r="O105" s="131">
        <v>0</v>
      </c>
      <c r="P105" s="131">
        <f t="shared" si="21"/>
        <v>0</v>
      </c>
      <c r="Q105" s="131">
        <v>1070137.2172551423</v>
      </c>
      <c r="R105" s="131">
        <v>0</v>
      </c>
      <c r="S105" s="131">
        <f t="shared" si="22"/>
        <v>0</v>
      </c>
      <c r="T105" s="131">
        <f t="shared" si="23"/>
        <v>1070137.2172551423</v>
      </c>
      <c r="U105" s="131">
        <v>0</v>
      </c>
      <c r="V105" s="131">
        <v>0</v>
      </c>
      <c r="W105" s="131">
        <v>0</v>
      </c>
      <c r="X105" s="131">
        <v>0</v>
      </c>
      <c r="Y105" s="131">
        <v>0</v>
      </c>
      <c r="Z105" s="131">
        <f t="shared" si="24"/>
        <v>0</v>
      </c>
      <c r="AA105" s="131">
        <v>0</v>
      </c>
      <c r="AB105" s="152">
        <f t="shared" si="25"/>
        <v>1070137.2172551423</v>
      </c>
      <c r="AC105" s="133">
        <f>IF(D105="Physician Group Practice",(AB105/$AB$393)*'1. UC Assumptions'!$C$15,IF(E105="Rural Hospital",AB105*'1. UC Assumptions'!$C$7/'1. UC Assumptions'!$E$7,(AB105/$AB$397)*('1. UC Assumptions'!$C$9)))</f>
        <v>998904.09506809281</v>
      </c>
      <c r="AD105" s="133">
        <f t="shared" si="26"/>
        <v>0</v>
      </c>
      <c r="AE105" s="133">
        <f t="shared" si="27"/>
        <v>71233.122187049477</v>
      </c>
      <c r="AF105" s="133">
        <f t="shared" si="28"/>
        <v>0</v>
      </c>
      <c r="AG105" s="133">
        <f t="shared" si="29"/>
        <v>71233.122187049477</v>
      </c>
      <c r="AH105" s="133">
        <f t="shared" si="30"/>
        <v>998904.09506809281</v>
      </c>
      <c r="AI105" s="131">
        <f>AH105*'1. UC Assumptions'!$C$23</f>
        <v>329638.35137247061</v>
      </c>
      <c r="AJ105" s="131">
        <v>477181.4</v>
      </c>
      <c r="AK105" s="131">
        <f>AJ105*(1-'1. UC Assumptions'!$C$22)</f>
        <v>157469.86199999999</v>
      </c>
      <c r="AL105" s="131"/>
      <c r="AM105" s="131">
        <f>AL105*'1. UC Assumptions'!$C$23</f>
        <v>0</v>
      </c>
      <c r="AN105" s="153">
        <f t="shared" si="31"/>
        <v>1070137.2172551423</v>
      </c>
      <c r="AO105" s="151">
        <f>AN105*'1. UC Assumptions'!$C$23</f>
        <v>353145.28169419692</v>
      </c>
      <c r="AP105" s="151">
        <f t="shared" si="32"/>
        <v>592955.81725514226</v>
      </c>
      <c r="AQ105" s="151">
        <f t="shared" si="33"/>
        <v>195675.41969419693</v>
      </c>
      <c r="AR105" s="151">
        <f t="shared" si="34"/>
        <v>195675.41969419693</v>
      </c>
      <c r="AS105" s="151">
        <f t="shared" si="35"/>
        <v>353145.28169419692</v>
      </c>
      <c r="AT105" s="151">
        <f>IF(K105="Bexar",(AG105/$AT$1)*'1. UC Assumptions'!$E$44-(AH105/$AT$2)*'1. UC Assumptions'!$E$42,0)</f>
        <v>0</v>
      </c>
      <c r="AU105" s="151">
        <f>IF(K105="Dallas",(AG105/$AU$1)*'1. UC Assumptions'!$F$44-(AH105/$AU$2)*'1. UC Assumptions'!$F$42,0)</f>
        <v>0</v>
      </c>
      <c r="AV105" s="151">
        <f>IF(K105="El Paso",(AG105/$AV$1)*'1. UC Assumptions'!$G$44-(AH105/$AV$2)*'1. UC Assumptions'!$G$42,0)</f>
        <v>0</v>
      </c>
      <c r="AW105" s="151">
        <f>IF(K105="Harris",(AG105/$AW$1)*'1. UC Assumptions'!$H$44-(AH105/$AW$2)*'1. UC Assumptions'!$H$42,0)</f>
        <v>0</v>
      </c>
      <c r="AX105" s="151">
        <f>IF(K105="Hidalgo",(AG105/$AX$1)*'1. UC Assumptions'!$I$44-(AH105/$AX$2)*'1. UC Assumptions'!$I$42,0)</f>
        <v>0</v>
      </c>
      <c r="AY105" s="151">
        <f>IF(K105="Jefferson",(AG105/$AY$1)*'1. UC Assumptions'!$J$44-(AH105/$AY$2)*'1. UC Assumptions'!$J$42,0)</f>
        <v>0</v>
      </c>
      <c r="AZ105" s="151">
        <f>IF(K105="Lubbock",(AG105/$AZ$1)*'1. UC Assumptions'!$K$44-(AH105/$AZ$2)*'1. UC Assumptions'!$K$42,0)</f>
        <v>0</v>
      </c>
      <c r="BA105" s="151">
        <f>IF(K105="MRSA Central",(AG105/$BA$1)*'1. UC Assumptions'!$L$44-(AH105/$BA$2)*'1. UC Assumptions'!$L$42,0)</f>
        <v>0</v>
      </c>
      <c r="BB105" s="151">
        <f>IF(K105="MRSA Northeast",(AG105/$BB$1)*'1. UC Assumptions'!$M$44-(AH105/$BB$2)*'1. UC Assumptions'!$M$42,0)</f>
        <v>0</v>
      </c>
      <c r="BC105" s="151">
        <f>IF(K105="MRSA West",(AG105/$BC$1)*'1. UC Assumptions'!$N$44-(AH105/$BC$2)*'1. UC Assumptions'!$N$42,0)</f>
        <v>0</v>
      </c>
      <c r="BD105" s="151">
        <f>IF(K105="Nueces",(AG105/$BD$1)*'1. UC Assumptions'!$O$44-(AH105/$BD$2)*'1. UC Assumptions'!$O$42,0)</f>
        <v>0</v>
      </c>
      <c r="BE105" s="151">
        <f>IF(K105="Tarrant",(AG105/$BE$1)*'1. UC Assumptions'!$P$44-(AH105/$BE$2)*'1. UC Assumptions'!$P$42,0)</f>
        <v>0</v>
      </c>
      <c r="BF105" s="151">
        <f>IF(K105="Travis",(AG105/$BF$1)*'1. UC Assumptions'!$Q$44-(AH105/$BF$2)*'1. UC Assumptions'!$Q$42,0)</f>
        <v>0</v>
      </c>
      <c r="BG105" s="151">
        <f t="shared" si="36"/>
        <v>0</v>
      </c>
      <c r="BH105" s="151">
        <f t="shared" si="37"/>
        <v>998904.09506809281</v>
      </c>
      <c r="BI105" s="151">
        <f>ROUNDDOWN(BH105*'1. UC Assumptions'!$C$23,2)</f>
        <v>329638.34999999998</v>
      </c>
      <c r="BJ105" s="154">
        <f t="shared" si="38"/>
        <v>521722.69506809278</v>
      </c>
      <c r="BK105" s="154">
        <f t="shared" si="39"/>
        <v>172168.48799999998</v>
      </c>
      <c r="BL105" s="154">
        <f t="shared" si="40"/>
        <v>481664.87</v>
      </c>
      <c r="BM105" s="154">
        <f t="shared" si="41"/>
        <v>158949.41</v>
      </c>
      <c r="BN105" s="101"/>
      <c r="BO105" s="154">
        <f>(BL105*'1. UC Assumptions'!$C$23)-'3.  UC Calculations by Hospital'!BM105</f>
        <v>-2.900000021327287E-3</v>
      </c>
      <c r="BP105" s="13"/>
    </row>
    <row r="106" spans="2:68">
      <c r="B106" s="129" t="s">
        <v>469</v>
      </c>
      <c r="C106" s="91" t="s">
        <v>469</v>
      </c>
      <c r="D106" s="91" t="s">
        <v>208</v>
      </c>
      <c r="E106" s="91" t="s">
        <v>149</v>
      </c>
      <c r="F106" s="91"/>
      <c r="G106" s="91" t="s">
        <v>209</v>
      </c>
      <c r="H106" s="91" t="s">
        <v>209</v>
      </c>
      <c r="I106" s="150" t="s">
        <v>210</v>
      </c>
      <c r="J106" s="129" t="s">
        <v>470</v>
      </c>
      <c r="K106" s="91" t="s">
        <v>12</v>
      </c>
      <c r="L106" s="91" t="s">
        <v>471</v>
      </c>
      <c r="M106" s="151">
        <v>133937.80550743043</v>
      </c>
      <c r="N106" s="151">
        <v>584684.65915672318</v>
      </c>
      <c r="O106" s="131">
        <v>319848.98213112319</v>
      </c>
      <c r="P106" s="131">
        <f t="shared" si="21"/>
        <v>264835.67702559999</v>
      </c>
      <c r="Q106" s="131">
        <v>866638.3130013952</v>
      </c>
      <c r="R106" s="131">
        <v>0</v>
      </c>
      <c r="S106" s="131">
        <f t="shared" si="22"/>
        <v>0</v>
      </c>
      <c r="T106" s="131">
        <f t="shared" si="23"/>
        <v>866638.3130013952</v>
      </c>
      <c r="U106" s="131">
        <v>0</v>
      </c>
      <c r="V106" s="131">
        <v>0</v>
      </c>
      <c r="W106" s="131">
        <v>0</v>
      </c>
      <c r="X106" s="131">
        <v>0</v>
      </c>
      <c r="Y106" s="131">
        <v>0</v>
      </c>
      <c r="Z106" s="131">
        <f t="shared" si="24"/>
        <v>0</v>
      </c>
      <c r="AA106" s="131">
        <v>0</v>
      </c>
      <c r="AB106" s="152">
        <f t="shared" si="25"/>
        <v>866638.3130013952</v>
      </c>
      <c r="AC106" s="133">
        <f>IF(D106="Physician Group Practice",(AB106/$AB$393)*'1. UC Assumptions'!$C$15,IF(E106="Rural Hospital",AB106*'1. UC Assumptions'!$C$7/'1. UC Assumptions'!$E$7,(AB106/$AB$397)*('1. UC Assumptions'!$C$9)))</f>
        <v>808950.98856616963</v>
      </c>
      <c r="AD106" s="133">
        <f t="shared" si="26"/>
        <v>0</v>
      </c>
      <c r="AE106" s="133">
        <f t="shared" si="27"/>
        <v>57687.324435225572</v>
      </c>
      <c r="AF106" s="133">
        <f t="shared" si="28"/>
        <v>0</v>
      </c>
      <c r="AG106" s="133">
        <f t="shared" si="29"/>
        <v>57687.324435225572</v>
      </c>
      <c r="AH106" s="133">
        <f t="shared" si="30"/>
        <v>808950.98856616963</v>
      </c>
      <c r="AI106" s="131">
        <f>AH106*'1. UC Assumptions'!$C$23</f>
        <v>266953.82622683595</v>
      </c>
      <c r="AJ106" s="131">
        <v>504928.11</v>
      </c>
      <c r="AK106" s="131">
        <f>AJ106*(1-'1. UC Assumptions'!$C$22)</f>
        <v>166626.27629999997</v>
      </c>
      <c r="AL106" s="131"/>
      <c r="AM106" s="131">
        <f>AL106*'1. UC Assumptions'!$C$23</f>
        <v>0</v>
      </c>
      <c r="AN106" s="153">
        <f t="shared" si="31"/>
        <v>866638.3130013952</v>
      </c>
      <c r="AO106" s="151">
        <f>AN106*'1. UC Assumptions'!$C$23</f>
        <v>285990.6432904604</v>
      </c>
      <c r="AP106" s="151">
        <f t="shared" si="32"/>
        <v>361710.20300139522</v>
      </c>
      <c r="AQ106" s="151">
        <f t="shared" si="33"/>
        <v>119364.36699046043</v>
      </c>
      <c r="AR106" s="151">
        <f t="shared" si="34"/>
        <v>119364.36699046043</v>
      </c>
      <c r="AS106" s="151">
        <f t="shared" si="35"/>
        <v>285990.6432904604</v>
      </c>
      <c r="AT106" s="151">
        <f>IF(K106="Bexar",(AG106/$AT$1)*'1. UC Assumptions'!$E$44-(AH106/$AT$2)*'1. UC Assumptions'!$E$42,0)</f>
        <v>0</v>
      </c>
      <c r="AU106" s="151">
        <f>IF(K106="Dallas",(AG106/$AU$1)*'1. UC Assumptions'!$F$44-(AH106/$AU$2)*'1. UC Assumptions'!$F$42,0)</f>
        <v>0</v>
      </c>
      <c r="AV106" s="151">
        <f>IF(K106="El Paso",(AG106/$AV$1)*'1. UC Assumptions'!$G$44-(AH106/$AV$2)*'1. UC Assumptions'!$G$42,0)</f>
        <v>0</v>
      </c>
      <c r="AW106" s="151">
        <f>IF(K106="Harris",(AG106/$AW$1)*'1. UC Assumptions'!$H$44-(AH106/$AW$2)*'1. UC Assumptions'!$H$42,0)</f>
        <v>0</v>
      </c>
      <c r="AX106" s="151">
        <f>IF(K106="Hidalgo",(AG106/$AX$1)*'1. UC Assumptions'!$I$44-(AH106/$AX$2)*'1. UC Assumptions'!$I$42,0)</f>
        <v>0</v>
      </c>
      <c r="AY106" s="151">
        <f>IF(K106="Jefferson",(AG106/$AY$1)*'1. UC Assumptions'!$J$44-(AH106/$AY$2)*'1. UC Assumptions'!$J$42,0)</f>
        <v>0</v>
      </c>
      <c r="AZ106" s="151">
        <f>IF(K106="Lubbock",(AG106/$AZ$1)*'1. UC Assumptions'!$K$44-(AH106/$AZ$2)*'1. UC Assumptions'!$K$42,0)</f>
        <v>0</v>
      </c>
      <c r="BA106" s="151">
        <f>IF(K106="MRSA Central",(AG106/$BA$1)*'1. UC Assumptions'!$L$44-(AH106/$BA$2)*'1. UC Assumptions'!$L$42,0)</f>
        <v>0</v>
      </c>
      <c r="BB106" s="151">
        <f>IF(K106="MRSA Northeast",(AG106/$BB$1)*'1. UC Assumptions'!$M$44-(AH106/$BB$2)*'1. UC Assumptions'!$M$42,0)</f>
        <v>0</v>
      </c>
      <c r="BC106" s="151">
        <f>IF(K106="MRSA West",(AG106/$BC$1)*'1. UC Assumptions'!$N$44-(AH106/$BC$2)*'1. UC Assumptions'!$N$42,0)</f>
        <v>0</v>
      </c>
      <c r="BD106" s="151">
        <f>IF(K106="Nueces",(AG106/$BD$1)*'1. UC Assumptions'!$O$44-(AH106/$BD$2)*'1. UC Assumptions'!$O$42,0)</f>
        <v>0</v>
      </c>
      <c r="BE106" s="151">
        <f>IF(K106="Tarrant",(AG106/$BE$1)*'1. UC Assumptions'!$P$44-(AH106/$BE$2)*'1. UC Assumptions'!$P$42,0)</f>
        <v>0</v>
      </c>
      <c r="BF106" s="151">
        <f>IF(K106="Travis",(AG106/$BF$1)*'1. UC Assumptions'!$Q$44-(AH106/$BF$2)*'1. UC Assumptions'!$Q$42,0)</f>
        <v>0</v>
      </c>
      <c r="BG106" s="151">
        <f t="shared" si="36"/>
        <v>0</v>
      </c>
      <c r="BH106" s="151">
        <f t="shared" si="37"/>
        <v>808950.98856616963</v>
      </c>
      <c r="BI106" s="151">
        <f>ROUNDDOWN(BH106*'1. UC Assumptions'!$C$23,2)</f>
        <v>266953.82</v>
      </c>
      <c r="BJ106" s="154">
        <f t="shared" si="38"/>
        <v>304022.87856616965</v>
      </c>
      <c r="BK106" s="154">
        <f t="shared" si="39"/>
        <v>100327.54370000004</v>
      </c>
      <c r="BL106" s="154">
        <f t="shared" si="40"/>
        <v>280680.03000000003</v>
      </c>
      <c r="BM106" s="154">
        <f t="shared" si="41"/>
        <v>92624.4</v>
      </c>
      <c r="BN106" s="101"/>
      <c r="BO106" s="154">
        <f>(BL106*'1. UC Assumptions'!$C$23)-'3.  UC Calculations by Hospital'!BM106</f>
        <v>9.9000000045634806E-3</v>
      </c>
      <c r="BP106" s="13"/>
    </row>
    <row r="107" spans="2:68">
      <c r="B107" s="129" t="s">
        <v>472</v>
      </c>
      <c r="C107" s="91" t="s">
        <v>472</v>
      </c>
      <c r="D107" s="91" t="s">
        <v>286</v>
      </c>
      <c r="E107" s="91"/>
      <c r="F107" s="91"/>
      <c r="G107" s="91" t="s">
        <v>287</v>
      </c>
      <c r="H107" s="91" t="s">
        <v>209</v>
      </c>
      <c r="I107" s="150" t="s">
        <v>210</v>
      </c>
      <c r="J107" s="129" t="s">
        <v>473</v>
      </c>
      <c r="K107" s="91" t="s">
        <v>3</v>
      </c>
      <c r="L107" s="91" t="s">
        <v>3</v>
      </c>
      <c r="M107" s="151">
        <v>3105533.4482228234</v>
      </c>
      <c r="N107" s="151">
        <v>1571579.2183379002</v>
      </c>
      <c r="O107" s="131">
        <v>71133.338020684794</v>
      </c>
      <c r="P107" s="131">
        <f t="shared" si="21"/>
        <v>1500445.8803172153</v>
      </c>
      <c r="Q107" s="131">
        <v>1927739.8341200384</v>
      </c>
      <c r="R107" s="131">
        <v>4417545.62</v>
      </c>
      <c r="S107" s="131">
        <f t="shared" si="22"/>
        <v>0</v>
      </c>
      <c r="T107" s="131">
        <f t="shared" si="23"/>
        <v>1927739.8341200384</v>
      </c>
      <c r="U107" s="131">
        <v>26223</v>
      </c>
      <c r="V107" s="131">
        <v>0</v>
      </c>
      <c r="W107" s="131">
        <v>0</v>
      </c>
      <c r="X107" s="131">
        <v>0</v>
      </c>
      <c r="Y107" s="131">
        <v>0</v>
      </c>
      <c r="Z107" s="131">
        <f t="shared" si="24"/>
        <v>26223</v>
      </c>
      <c r="AA107" s="131">
        <v>0</v>
      </c>
      <c r="AB107" s="152">
        <f t="shared" si="25"/>
        <v>1953962.8341200384</v>
      </c>
      <c r="AC107" s="133">
        <f>IF(D107="Physician Group Practice",(AB107/$AB$393)*'1. UC Assumptions'!$C$15,IF(E107="Rural Hospital",AB107*'1. UC Assumptions'!$C$7/'1. UC Assumptions'!$E$7,(AB107/$AB$397)*('1. UC Assumptions'!$C$9)))</f>
        <v>918647.04214359901</v>
      </c>
      <c r="AD107" s="133">
        <f t="shared" si="26"/>
        <v>0</v>
      </c>
      <c r="AE107" s="133">
        <f t="shared" si="27"/>
        <v>1035315.7919764394</v>
      </c>
      <c r="AF107" s="133">
        <f t="shared" si="28"/>
        <v>0</v>
      </c>
      <c r="AG107" s="133">
        <f t="shared" si="29"/>
        <v>1035315.7919764394</v>
      </c>
      <c r="AH107" s="133">
        <f t="shared" si="30"/>
        <v>918647.04214359901</v>
      </c>
      <c r="AI107" s="131">
        <f>AH107*'1. UC Assumptions'!$C$23</f>
        <v>303153.52390738763</v>
      </c>
      <c r="AJ107" s="131">
        <v>956240.32</v>
      </c>
      <c r="AK107" s="131">
        <f>AJ107*(1-'1. UC Assumptions'!$C$22)</f>
        <v>315559.30559999996</v>
      </c>
      <c r="AL107" s="131"/>
      <c r="AM107" s="131">
        <f>AL107*'1. UC Assumptions'!$C$23</f>
        <v>0</v>
      </c>
      <c r="AN107" s="153">
        <f t="shared" si="31"/>
        <v>1953962.8341200384</v>
      </c>
      <c r="AO107" s="151">
        <f>AN107*'1. UC Assumptions'!$C$23</f>
        <v>644807.73525961256</v>
      </c>
      <c r="AP107" s="151">
        <f t="shared" si="32"/>
        <v>997722.51412003848</v>
      </c>
      <c r="AQ107" s="151">
        <f t="shared" si="33"/>
        <v>329248.42965961259</v>
      </c>
      <c r="AR107" s="151">
        <f t="shared" si="34"/>
        <v>329248.42965961259</v>
      </c>
      <c r="AS107" s="151">
        <f t="shared" si="35"/>
        <v>644807.73525961256</v>
      </c>
      <c r="AT107" s="151">
        <f>IF(K107="Bexar",(AG107/$AT$1)*'1. UC Assumptions'!$E$44-(AH107/$AT$2)*'1. UC Assumptions'!$E$42,0)</f>
        <v>0</v>
      </c>
      <c r="AU107" s="151">
        <f>IF(K107="Dallas",(AG107/$AU$1)*'1. UC Assumptions'!$F$44-(AH107/$AU$2)*'1. UC Assumptions'!$F$42,0)</f>
        <v>0</v>
      </c>
      <c r="AV107" s="151">
        <f>IF(K107="El Paso",(AG107/$AV$1)*'1. UC Assumptions'!$G$44-(AH107/$AV$2)*'1. UC Assumptions'!$G$42,0)</f>
        <v>0</v>
      </c>
      <c r="AW107" s="151">
        <f>IF(K107="Harris",(AG107/$AW$1)*'1. UC Assumptions'!$H$44-(AH107/$AW$2)*'1. UC Assumptions'!$H$42,0)</f>
        <v>0</v>
      </c>
      <c r="AX107" s="151">
        <f>IF(K107="Hidalgo",(AG107/$AX$1)*'1. UC Assumptions'!$I$44-(AH107/$AX$2)*'1. UC Assumptions'!$I$42,0)</f>
        <v>0</v>
      </c>
      <c r="AY107" s="151">
        <f>IF(K107="Jefferson",(AG107/$AY$1)*'1. UC Assumptions'!$J$44-(AH107/$AY$2)*'1. UC Assumptions'!$J$42,0)</f>
        <v>0</v>
      </c>
      <c r="AZ107" s="151">
        <f>IF(K107="Lubbock",(AG107/$AZ$1)*'1. UC Assumptions'!$K$44-(AH107/$AZ$2)*'1. UC Assumptions'!$K$42,0)</f>
        <v>0</v>
      </c>
      <c r="BA107" s="151">
        <f>IF(K107="MRSA Central",(AG107/$BA$1)*'1. UC Assumptions'!$L$44-(AH107/$BA$2)*'1. UC Assumptions'!$L$42,0)</f>
        <v>0</v>
      </c>
      <c r="BB107" s="151">
        <f>IF(K107="MRSA Northeast",(AG107/$BB$1)*'1. UC Assumptions'!$M$44-(AH107/$BB$2)*'1. UC Assumptions'!$M$42,0)</f>
        <v>0</v>
      </c>
      <c r="BC107" s="151">
        <f>IF(K107="MRSA West",(AG107/$BC$1)*'1. UC Assumptions'!$N$44-(AH107/$BC$2)*'1. UC Assumptions'!$N$42,0)</f>
        <v>0</v>
      </c>
      <c r="BD107" s="151">
        <f>IF(K107="Nueces",(AG107/$BD$1)*'1. UC Assumptions'!$O$44-(AH107/$BD$2)*'1. UC Assumptions'!$O$42,0)</f>
        <v>0</v>
      </c>
      <c r="BE107" s="151">
        <f>IF(K107="Tarrant",(AG107/$BE$1)*'1. UC Assumptions'!$P$44-(AH107/$BE$2)*'1. UC Assumptions'!$P$42,0)</f>
        <v>0</v>
      </c>
      <c r="BF107" s="151">
        <f>IF(K107="Travis",(AG107/$BF$1)*'1. UC Assumptions'!$Q$44-(AH107/$BF$2)*'1. UC Assumptions'!$Q$42,0)</f>
        <v>0</v>
      </c>
      <c r="BG107" s="151">
        <f t="shared" si="36"/>
        <v>0</v>
      </c>
      <c r="BH107" s="151">
        <f t="shared" si="37"/>
        <v>918647.04214359901</v>
      </c>
      <c r="BI107" s="151">
        <f>ROUNDDOWN(BH107*'1. UC Assumptions'!$C$23,2)</f>
        <v>303153.52</v>
      </c>
      <c r="BJ107" s="154">
        <f t="shared" si="38"/>
        <v>-37593.277856400935</v>
      </c>
      <c r="BK107" s="154">
        <f t="shared" si="39"/>
        <v>-12405.785599999945</v>
      </c>
      <c r="BL107" s="154">
        <f t="shared" si="40"/>
        <v>0</v>
      </c>
      <c r="BM107" s="154">
        <f t="shared" si="41"/>
        <v>0</v>
      </c>
      <c r="BN107" s="101"/>
      <c r="BO107" s="154">
        <f>(BL107*'1. UC Assumptions'!$C$23)-'3.  UC Calculations by Hospital'!BM107</f>
        <v>0</v>
      </c>
      <c r="BP107" s="13"/>
    </row>
    <row r="108" spans="2:68">
      <c r="B108" s="129" t="s">
        <v>474</v>
      </c>
      <c r="C108" s="91" t="s">
        <v>474</v>
      </c>
      <c r="D108" s="91" t="s">
        <v>286</v>
      </c>
      <c r="E108" s="91"/>
      <c r="F108" s="91"/>
      <c r="G108" s="91" t="s">
        <v>287</v>
      </c>
      <c r="H108" s="91" t="s">
        <v>209</v>
      </c>
      <c r="I108" s="150" t="s">
        <v>210</v>
      </c>
      <c r="J108" s="129" t="s">
        <v>475</v>
      </c>
      <c r="K108" s="91" t="s">
        <v>12</v>
      </c>
      <c r="L108" s="91" t="s">
        <v>476</v>
      </c>
      <c r="M108" s="151">
        <v>-265383.75227981218</v>
      </c>
      <c r="N108" s="151">
        <v>4071552.2783617871</v>
      </c>
      <c r="O108" s="131">
        <v>40229.788126183943</v>
      </c>
      <c r="P108" s="131">
        <f t="shared" si="21"/>
        <v>4031322.4902356029</v>
      </c>
      <c r="Q108" s="131">
        <v>48548.722117632518</v>
      </c>
      <c r="R108" s="131">
        <v>2498983.65</v>
      </c>
      <c r="S108" s="131">
        <f t="shared" si="22"/>
        <v>0</v>
      </c>
      <c r="T108" s="131">
        <f t="shared" si="23"/>
        <v>48548.722117632518</v>
      </c>
      <c r="U108" s="131">
        <v>0</v>
      </c>
      <c r="V108" s="131">
        <v>0</v>
      </c>
      <c r="W108" s="131">
        <v>0</v>
      </c>
      <c r="X108" s="131">
        <v>0</v>
      </c>
      <c r="Y108" s="131">
        <v>0</v>
      </c>
      <c r="Z108" s="131">
        <f t="shared" si="24"/>
        <v>0</v>
      </c>
      <c r="AA108" s="131">
        <v>0</v>
      </c>
      <c r="AB108" s="152">
        <f t="shared" si="25"/>
        <v>48548.722117632518</v>
      </c>
      <c r="AC108" s="133">
        <f>IF(D108="Physician Group Practice",(AB108/$AB$393)*'1. UC Assumptions'!$C$15,IF(E108="Rural Hospital",AB108*'1. UC Assumptions'!$C$7/'1. UC Assumptions'!$E$7,(AB108/$AB$397)*('1. UC Assumptions'!$C$9)))</f>
        <v>22824.968415174455</v>
      </c>
      <c r="AD108" s="133">
        <f t="shared" si="26"/>
        <v>0</v>
      </c>
      <c r="AE108" s="133">
        <f t="shared" si="27"/>
        <v>25723.753702458063</v>
      </c>
      <c r="AF108" s="133">
        <f t="shared" si="28"/>
        <v>0</v>
      </c>
      <c r="AG108" s="133">
        <f t="shared" si="29"/>
        <v>25723.753702458063</v>
      </c>
      <c r="AH108" s="133">
        <f t="shared" si="30"/>
        <v>22824.968415174455</v>
      </c>
      <c r="AI108" s="131">
        <f>AH108*'1. UC Assumptions'!$C$23</f>
        <v>7532.2395770075691</v>
      </c>
      <c r="AJ108" s="131">
        <v>5458.12</v>
      </c>
      <c r="AK108" s="131">
        <f>AJ108*(1-'1. UC Assumptions'!$C$22)</f>
        <v>1801.1795999999997</v>
      </c>
      <c r="AL108" s="131"/>
      <c r="AM108" s="131">
        <f>AL108*'1. UC Assumptions'!$C$23</f>
        <v>0</v>
      </c>
      <c r="AN108" s="153">
        <f t="shared" si="31"/>
        <v>48548.722117632518</v>
      </c>
      <c r="AO108" s="151">
        <f>AN108*'1. UC Assumptions'!$C$23</f>
        <v>16021.078298818729</v>
      </c>
      <c r="AP108" s="151">
        <f t="shared" si="32"/>
        <v>43090.602117632516</v>
      </c>
      <c r="AQ108" s="151">
        <f t="shared" si="33"/>
        <v>14219.89869881873</v>
      </c>
      <c r="AR108" s="151">
        <f t="shared" si="34"/>
        <v>14219.89869881873</v>
      </c>
      <c r="AS108" s="151">
        <f t="shared" si="35"/>
        <v>16021.078298818729</v>
      </c>
      <c r="AT108" s="151">
        <f>IF(K108="Bexar",(AG108/$AT$1)*'1. UC Assumptions'!$E$44-(AH108/$AT$2)*'1. UC Assumptions'!$E$42,0)</f>
        <v>0</v>
      </c>
      <c r="AU108" s="151">
        <f>IF(K108="Dallas",(AG108/$AU$1)*'1. UC Assumptions'!$F$44-(AH108/$AU$2)*'1. UC Assumptions'!$F$42,0)</f>
        <v>0</v>
      </c>
      <c r="AV108" s="151">
        <f>IF(K108="El Paso",(AG108/$AV$1)*'1. UC Assumptions'!$G$44-(AH108/$AV$2)*'1. UC Assumptions'!$G$42,0)</f>
        <v>0</v>
      </c>
      <c r="AW108" s="151">
        <f>IF(K108="Harris",(AG108/$AW$1)*'1. UC Assumptions'!$H$44-(AH108/$AW$2)*'1. UC Assumptions'!$H$42,0)</f>
        <v>0</v>
      </c>
      <c r="AX108" s="151">
        <f>IF(K108="Hidalgo",(AG108/$AX$1)*'1. UC Assumptions'!$I$44-(AH108/$AX$2)*'1. UC Assumptions'!$I$42,0)</f>
        <v>0</v>
      </c>
      <c r="AY108" s="151">
        <f>IF(K108="Jefferson",(AG108/$AY$1)*'1. UC Assumptions'!$J$44-(AH108/$AY$2)*'1. UC Assumptions'!$J$42,0)</f>
        <v>0</v>
      </c>
      <c r="AZ108" s="151">
        <f>IF(K108="Lubbock",(AG108/$AZ$1)*'1. UC Assumptions'!$K$44-(AH108/$AZ$2)*'1. UC Assumptions'!$K$42,0)</f>
        <v>0</v>
      </c>
      <c r="BA108" s="151">
        <f>IF(K108="MRSA Central",(AG108/$BA$1)*'1. UC Assumptions'!$L$44-(AH108/$BA$2)*'1. UC Assumptions'!$L$42,0)</f>
        <v>0</v>
      </c>
      <c r="BB108" s="151">
        <f>IF(K108="MRSA Northeast",(AG108/$BB$1)*'1. UC Assumptions'!$M$44-(AH108/$BB$2)*'1. UC Assumptions'!$M$42,0)</f>
        <v>0</v>
      </c>
      <c r="BC108" s="151">
        <f>IF(K108="MRSA West",(AG108/$BC$1)*'1. UC Assumptions'!$N$44-(AH108/$BC$2)*'1. UC Assumptions'!$N$42,0)</f>
        <v>0</v>
      </c>
      <c r="BD108" s="151">
        <f>IF(K108="Nueces",(AG108/$BD$1)*'1. UC Assumptions'!$O$44-(AH108/$BD$2)*'1. UC Assumptions'!$O$42,0)</f>
        <v>0</v>
      </c>
      <c r="BE108" s="151">
        <f>IF(K108="Tarrant",(AG108/$BE$1)*'1. UC Assumptions'!$P$44-(AH108/$BE$2)*'1. UC Assumptions'!$P$42,0)</f>
        <v>0</v>
      </c>
      <c r="BF108" s="151">
        <f>IF(K108="Travis",(AG108/$BF$1)*'1. UC Assumptions'!$Q$44-(AH108/$BF$2)*'1. UC Assumptions'!$Q$42,0)</f>
        <v>0</v>
      </c>
      <c r="BG108" s="151">
        <f t="shared" si="36"/>
        <v>0</v>
      </c>
      <c r="BH108" s="151">
        <f t="shared" si="37"/>
        <v>22824.968415174455</v>
      </c>
      <c r="BI108" s="151">
        <f>ROUNDDOWN(BH108*'1. UC Assumptions'!$C$23,2)</f>
        <v>7532.23</v>
      </c>
      <c r="BJ108" s="154">
        <f t="shared" si="38"/>
        <v>17366.848415174456</v>
      </c>
      <c r="BK108" s="154">
        <f t="shared" si="39"/>
        <v>5731.0504000000001</v>
      </c>
      <c r="BL108" s="154">
        <f t="shared" si="40"/>
        <v>16033.42</v>
      </c>
      <c r="BM108" s="154">
        <f t="shared" si="41"/>
        <v>5291.02</v>
      </c>
      <c r="BN108" s="101"/>
      <c r="BO108" s="154">
        <f>(BL108*'1. UC Assumptions'!$C$23)-'3.  UC Calculations by Hospital'!BM108</f>
        <v>8.5999999992054654E-3</v>
      </c>
      <c r="BP108" s="13"/>
    </row>
    <row r="109" spans="2:68">
      <c r="B109" s="129" t="s">
        <v>477</v>
      </c>
      <c r="C109" s="91" t="s">
        <v>477</v>
      </c>
      <c r="D109" s="91" t="s">
        <v>286</v>
      </c>
      <c r="E109" s="91"/>
      <c r="F109" s="91"/>
      <c r="G109" s="91" t="s">
        <v>287</v>
      </c>
      <c r="H109" s="91" t="s">
        <v>209</v>
      </c>
      <c r="I109" s="150" t="s">
        <v>210</v>
      </c>
      <c r="J109" s="129" t="s">
        <v>478</v>
      </c>
      <c r="K109" s="91" t="s">
        <v>4</v>
      </c>
      <c r="L109" s="91" t="s">
        <v>479</v>
      </c>
      <c r="M109" s="151">
        <v>-96209.098133299165</v>
      </c>
      <c r="N109" s="151">
        <v>3029655.5689255092</v>
      </c>
      <c r="O109" s="131">
        <v>637.30177279999998</v>
      </c>
      <c r="P109" s="131">
        <f t="shared" si="21"/>
        <v>3029018.2671527094</v>
      </c>
      <c r="Q109" s="131">
        <v>637.30177279999998</v>
      </c>
      <c r="R109" s="131">
        <v>0</v>
      </c>
      <c r="S109" s="131">
        <f t="shared" si="22"/>
        <v>0</v>
      </c>
      <c r="T109" s="131">
        <f t="shared" si="23"/>
        <v>637.30177279999998</v>
      </c>
      <c r="U109" s="131">
        <v>0</v>
      </c>
      <c r="V109" s="131">
        <v>0</v>
      </c>
      <c r="W109" s="131">
        <v>0</v>
      </c>
      <c r="X109" s="131">
        <v>0</v>
      </c>
      <c r="Y109" s="131">
        <v>0</v>
      </c>
      <c r="Z109" s="131">
        <f t="shared" si="24"/>
        <v>0</v>
      </c>
      <c r="AA109" s="131">
        <v>0</v>
      </c>
      <c r="AB109" s="152">
        <f t="shared" si="25"/>
        <v>637.30177279999998</v>
      </c>
      <c r="AC109" s="133">
        <f>IF(D109="Physician Group Practice",(AB109/$AB$393)*'1. UC Assumptions'!$C$15,IF(E109="Rural Hospital",AB109*'1. UC Assumptions'!$C$7/'1. UC Assumptions'!$E$7,(AB109/$AB$397)*('1. UC Assumptions'!$C$9)))</f>
        <v>299.62462863284196</v>
      </c>
      <c r="AD109" s="133">
        <f t="shared" si="26"/>
        <v>0</v>
      </c>
      <c r="AE109" s="133">
        <f t="shared" si="27"/>
        <v>337.67714416715802</v>
      </c>
      <c r="AF109" s="133">
        <f t="shared" si="28"/>
        <v>0</v>
      </c>
      <c r="AG109" s="133">
        <f t="shared" si="29"/>
        <v>337.67714416715802</v>
      </c>
      <c r="AH109" s="133">
        <f t="shared" si="30"/>
        <v>299.62462863284196</v>
      </c>
      <c r="AI109" s="131">
        <f>AH109*'1. UC Assumptions'!$C$23</f>
        <v>98.876127448837835</v>
      </c>
      <c r="AJ109" s="131">
        <v>2238.06</v>
      </c>
      <c r="AK109" s="131">
        <f>AJ109*(1-'1. UC Assumptions'!$C$22)</f>
        <v>738.55979999999988</v>
      </c>
      <c r="AL109" s="131"/>
      <c r="AM109" s="131">
        <f>AL109*'1. UC Assumptions'!$C$23</f>
        <v>0</v>
      </c>
      <c r="AN109" s="153">
        <f t="shared" si="31"/>
        <v>637.30177279999998</v>
      </c>
      <c r="AO109" s="151">
        <f>AN109*'1. UC Assumptions'!$C$23</f>
        <v>210.30958502399997</v>
      </c>
      <c r="AP109" s="151">
        <f t="shared" si="32"/>
        <v>-1600.7582272</v>
      </c>
      <c r="AQ109" s="151">
        <f t="shared" si="33"/>
        <v>-528.25021497599994</v>
      </c>
      <c r="AR109" s="151">
        <f t="shared" si="34"/>
        <v>-528.25021497599994</v>
      </c>
      <c r="AS109" s="151">
        <f t="shared" si="35"/>
        <v>210.30958502399994</v>
      </c>
      <c r="AT109" s="151">
        <f>IF(K109="Bexar",(AG109/$AT$1)*'1. UC Assumptions'!$E$44-(AH109/$AT$2)*'1. UC Assumptions'!$E$42,0)</f>
        <v>0</v>
      </c>
      <c r="AU109" s="151">
        <f>IF(K109="Dallas",(AG109/$AU$1)*'1. UC Assumptions'!$F$44-(AH109/$AU$2)*'1. UC Assumptions'!$F$42,0)</f>
        <v>0</v>
      </c>
      <c r="AV109" s="151">
        <f>IF(K109="El Paso",(AG109/$AV$1)*'1. UC Assumptions'!$G$44-(AH109/$AV$2)*'1. UC Assumptions'!$G$42,0)</f>
        <v>0</v>
      </c>
      <c r="AW109" s="151">
        <f>IF(K109="Harris",(AG109/$AW$1)*'1. UC Assumptions'!$H$44-(AH109/$AW$2)*'1. UC Assumptions'!$H$42,0)</f>
        <v>0</v>
      </c>
      <c r="AX109" s="151">
        <f>IF(K109="Hidalgo",(AG109/$AX$1)*'1. UC Assumptions'!$I$44-(AH109/$AX$2)*'1. UC Assumptions'!$I$42,0)</f>
        <v>0</v>
      </c>
      <c r="AY109" s="151">
        <f>IF(K109="Jefferson",(AG109/$AY$1)*'1. UC Assumptions'!$J$44-(AH109/$AY$2)*'1. UC Assumptions'!$J$42,0)</f>
        <v>0</v>
      </c>
      <c r="AZ109" s="151">
        <f>IF(K109="Lubbock",(AG109/$AZ$1)*'1. UC Assumptions'!$K$44-(AH109/$AZ$2)*'1. UC Assumptions'!$K$42,0)</f>
        <v>0</v>
      </c>
      <c r="BA109" s="151">
        <f>IF(K109="MRSA Central",(AG109/$BA$1)*'1. UC Assumptions'!$L$44-(AH109/$BA$2)*'1. UC Assumptions'!$L$42,0)</f>
        <v>0</v>
      </c>
      <c r="BB109" s="151">
        <f>IF(K109="MRSA Northeast",(AG109/$BB$1)*'1. UC Assumptions'!$M$44-(AH109/$BB$2)*'1. UC Assumptions'!$M$42,0)</f>
        <v>0</v>
      </c>
      <c r="BC109" s="151">
        <f>IF(K109="MRSA West",(AG109/$BC$1)*'1. UC Assumptions'!$N$44-(AH109/$BC$2)*'1. UC Assumptions'!$N$42,0)</f>
        <v>0</v>
      </c>
      <c r="BD109" s="151">
        <f>IF(K109="Nueces",(AG109/$BD$1)*'1. UC Assumptions'!$O$44-(AH109/$BD$2)*'1. UC Assumptions'!$O$42,0)</f>
        <v>0</v>
      </c>
      <c r="BE109" s="151">
        <f>IF(K109="Tarrant",(AG109/$BE$1)*'1. UC Assumptions'!$P$44-(AH109/$BE$2)*'1. UC Assumptions'!$P$42,0)</f>
        <v>0</v>
      </c>
      <c r="BF109" s="151">
        <f>IF(K109="Travis",(AG109/$BF$1)*'1. UC Assumptions'!$Q$44-(AH109/$BF$2)*'1. UC Assumptions'!$Q$42,0)</f>
        <v>0</v>
      </c>
      <c r="BG109" s="151">
        <f t="shared" si="36"/>
        <v>0</v>
      </c>
      <c r="BH109" s="151">
        <f t="shared" si="37"/>
        <v>299.62462863284196</v>
      </c>
      <c r="BI109" s="151">
        <f>ROUNDDOWN(BH109*'1. UC Assumptions'!$C$23,2)</f>
        <v>98.87</v>
      </c>
      <c r="BJ109" s="154">
        <f t="shared" si="38"/>
        <v>-1938.435371367158</v>
      </c>
      <c r="BK109" s="154">
        <f t="shared" si="39"/>
        <v>-639.68979999999988</v>
      </c>
      <c r="BL109" s="154">
        <f t="shared" si="40"/>
        <v>0</v>
      </c>
      <c r="BM109" s="154">
        <f t="shared" si="41"/>
        <v>0</v>
      </c>
      <c r="BN109" s="101"/>
      <c r="BO109" s="154">
        <f>(BL109*'1. UC Assumptions'!$C$23)-'3.  UC Calculations by Hospital'!BM109</f>
        <v>0</v>
      </c>
      <c r="BP109" s="13"/>
    </row>
    <row r="110" spans="2:68">
      <c r="B110" s="129" t="s">
        <v>110</v>
      </c>
      <c r="C110" s="91" t="s">
        <v>110</v>
      </c>
      <c r="D110" s="91" t="s">
        <v>281</v>
      </c>
      <c r="E110" s="91"/>
      <c r="F110" s="91"/>
      <c r="G110" s="91" t="s">
        <v>282</v>
      </c>
      <c r="H110" s="91" t="s">
        <v>209</v>
      </c>
      <c r="I110" s="150" t="s">
        <v>283</v>
      </c>
      <c r="J110" s="129" t="s">
        <v>480</v>
      </c>
      <c r="K110" s="91" t="s">
        <v>5</v>
      </c>
      <c r="L110" s="91" t="s">
        <v>5</v>
      </c>
      <c r="M110" s="151">
        <v>3482217.518614016</v>
      </c>
      <c r="N110" s="151">
        <v>11690986.057999359</v>
      </c>
      <c r="O110" s="131">
        <v>0</v>
      </c>
      <c r="P110" s="131">
        <f t="shared" si="21"/>
        <v>11690986.057999359</v>
      </c>
      <c r="Q110" s="131">
        <v>0</v>
      </c>
      <c r="R110" s="131">
        <v>13137867</v>
      </c>
      <c r="S110" s="131">
        <f t="shared" si="22"/>
        <v>0</v>
      </c>
      <c r="T110" s="131">
        <f t="shared" si="23"/>
        <v>0</v>
      </c>
      <c r="U110" s="131">
        <v>0</v>
      </c>
      <c r="V110" s="131">
        <v>0</v>
      </c>
      <c r="W110" s="131">
        <v>6840</v>
      </c>
      <c r="X110" s="131">
        <v>0</v>
      </c>
      <c r="Y110" s="131">
        <v>299577</v>
      </c>
      <c r="Z110" s="131">
        <f t="shared" si="24"/>
        <v>306417</v>
      </c>
      <c r="AA110" s="131">
        <v>0</v>
      </c>
      <c r="AB110" s="152">
        <f t="shared" si="25"/>
        <v>6840</v>
      </c>
      <c r="AC110" s="133">
        <f>IF(D110="Physician Group Practice",(AB110/$AB$393)*'1. UC Assumptions'!$C$15,IF(E110="Rural Hospital",AB110*'1. UC Assumptions'!$C$7/'1. UC Assumptions'!$E$7,(AB110/$AB$397)*('1. UC Assumptions'!$C$9)))</f>
        <v>3215.795949922453</v>
      </c>
      <c r="AD110" s="133">
        <f t="shared" si="26"/>
        <v>0</v>
      </c>
      <c r="AE110" s="133">
        <f t="shared" si="27"/>
        <v>3624.204050077547</v>
      </c>
      <c r="AF110" s="133">
        <f t="shared" si="28"/>
        <v>0</v>
      </c>
      <c r="AG110" s="133">
        <f t="shared" si="29"/>
        <v>3624.204050077547</v>
      </c>
      <c r="AH110" s="133">
        <f t="shared" si="30"/>
        <v>3215.795949922453</v>
      </c>
      <c r="AI110" s="131">
        <f>AH110*'1. UC Assumptions'!$C$23</f>
        <v>1061.2126634744093</v>
      </c>
      <c r="AJ110" s="131">
        <v>275273.83</v>
      </c>
      <c r="AK110" s="131">
        <f>AJ110*(1-'1. UC Assumptions'!$C$22)</f>
        <v>90840.363899999997</v>
      </c>
      <c r="AL110" s="131"/>
      <c r="AM110" s="131">
        <f>AL110*'1. UC Assumptions'!$C$23</f>
        <v>0</v>
      </c>
      <c r="AN110" s="153">
        <f t="shared" si="31"/>
        <v>6840</v>
      </c>
      <c r="AO110" s="151">
        <f>AN110*'1. UC Assumptions'!$C$23</f>
        <v>2257.1999999999998</v>
      </c>
      <c r="AP110" s="151">
        <f t="shared" si="32"/>
        <v>6840</v>
      </c>
      <c r="AQ110" s="151">
        <f t="shared" si="33"/>
        <v>2257.1999999999998</v>
      </c>
      <c r="AR110" s="151">
        <f t="shared" si="34"/>
        <v>2257.1999999999998</v>
      </c>
      <c r="AS110" s="151">
        <f t="shared" si="35"/>
        <v>2257.1999999999998</v>
      </c>
      <c r="AT110" s="151">
        <f>IF(K110="Bexar",(AG110/$AT$1)*'1. UC Assumptions'!$E$44-(AH110/$AT$2)*'1. UC Assumptions'!$E$42,0)</f>
        <v>0</v>
      </c>
      <c r="AU110" s="151">
        <f>IF(K110="Dallas",(AG110/$AU$1)*'1. UC Assumptions'!$F$44-(AH110/$AU$2)*'1. UC Assumptions'!$F$42,0)</f>
        <v>0</v>
      </c>
      <c r="AV110" s="151">
        <f>IF(K110="El Paso",(AG110/$AV$1)*'1. UC Assumptions'!$G$44-(AH110/$AV$2)*'1. UC Assumptions'!$G$42,0)</f>
        <v>0</v>
      </c>
      <c r="AW110" s="151">
        <f>IF(K110="Harris",(AG110/$AW$1)*'1. UC Assumptions'!$H$44-(AH110/$AW$2)*'1. UC Assumptions'!$H$42,0)</f>
        <v>0</v>
      </c>
      <c r="AX110" s="151">
        <f>IF(K110="Hidalgo",(AG110/$AX$1)*'1. UC Assumptions'!$I$44-(AH110/$AX$2)*'1. UC Assumptions'!$I$42,0)</f>
        <v>0</v>
      </c>
      <c r="AY110" s="151">
        <f>IF(K110="Jefferson",(AG110/$AY$1)*'1. UC Assumptions'!$J$44-(AH110/$AY$2)*'1. UC Assumptions'!$J$42,0)</f>
        <v>0</v>
      </c>
      <c r="AZ110" s="151">
        <f>IF(K110="Lubbock",(AG110/$AZ$1)*'1. UC Assumptions'!$K$44-(AH110/$AZ$2)*'1. UC Assumptions'!$K$42,0)</f>
        <v>0</v>
      </c>
      <c r="BA110" s="151">
        <f>IF(K110="MRSA Central",(AG110/$BA$1)*'1. UC Assumptions'!$L$44-(AH110/$BA$2)*'1. UC Assumptions'!$L$42,0)</f>
        <v>0</v>
      </c>
      <c r="BB110" s="151">
        <f>IF(K110="MRSA Northeast",(AG110/$BB$1)*'1. UC Assumptions'!$M$44-(AH110/$BB$2)*'1. UC Assumptions'!$M$42,0)</f>
        <v>0</v>
      </c>
      <c r="BC110" s="151">
        <f>IF(K110="MRSA West",(AG110/$BC$1)*'1. UC Assumptions'!$N$44-(AH110/$BC$2)*'1. UC Assumptions'!$N$42,0)</f>
        <v>0</v>
      </c>
      <c r="BD110" s="151">
        <f>IF(K110="Nueces",(AG110/$BD$1)*'1. UC Assumptions'!$O$44-(AH110/$BD$2)*'1. UC Assumptions'!$O$42,0)</f>
        <v>0</v>
      </c>
      <c r="BE110" s="151">
        <f>IF(K110="Tarrant",(AG110/$BE$1)*'1. UC Assumptions'!$P$44-(AH110/$BE$2)*'1. UC Assumptions'!$P$42,0)</f>
        <v>0</v>
      </c>
      <c r="BF110" s="151">
        <f>IF(K110="Travis",(AG110/$BF$1)*'1. UC Assumptions'!$Q$44-(AH110/$BF$2)*'1. UC Assumptions'!$Q$42,0)</f>
        <v>0</v>
      </c>
      <c r="BG110" s="151">
        <f t="shared" si="36"/>
        <v>0</v>
      </c>
      <c r="BH110" s="151">
        <f t="shared" si="37"/>
        <v>3215.795949922453</v>
      </c>
      <c r="BI110" s="151">
        <f>ROUNDDOWN(BH110*'1. UC Assumptions'!$C$23,2)</f>
        <v>1061.21</v>
      </c>
      <c r="BJ110" s="154">
        <f t="shared" si="38"/>
        <v>3215.795949922453</v>
      </c>
      <c r="BK110" s="154">
        <f t="shared" si="39"/>
        <v>1061.21</v>
      </c>
      <c r="BL110" s="154">
        <f t="shared" si="40"/>
        <v>2968.89</v>
      </c>
      <c r="BM110" s="154">
        <f t="shared" si="41"/>
        <v>979.73</v>
      </c>
      <c r="BN110" s="101"/>
      <c r="BO110" s="154">
        <f>(BL110*'1. UC Assumptions'!$C$23)-'3.  UC Calculations by Hospital'!BM110</f>
        <v>3.6999999998670319E-3</v>
      </c>
      <c r="BP110" s="13"/>
    </row>
    <row r="111" spans="2:68">
      <c r="B111" s="129" t="s">
        <v>481</v>
      </c>
      <c r="C111" s="91" t="s">
        <v>481</v>
      </c>
      <c r="D111" s="91" t="s">
        <v>208</v>
      </c>
      <c r="E111" s="91" t="s">
        <v>149</v>
      </c>
      <c r="F111" s="91"/>
      <c r="G111" s="91" t="s">
        <v>209</v>
      </c>
      <c r="H111" s="91" t="s">
        <v>209</v>
      </c>
      <c r="I111" s="150" t="s">
        <v>210</v>
      </c>
      <c r="J111" s="129" t="s">
        <v>482</v>
      </c>
      <c r="K111" s="91" t="s">
        <v>12</v>
      </c>
      <c r="L111" s="91" t="s">
        <v>483</v>
      </c>
      <c r="M111" s="151">
        <v>965052.66487902717</v>
      </c>
      <c r="N111" s="151">
        <v>1533439.3672679083</v>
      </c>
      <c r="O111" s="131">
        <v>601652.83919139835</v>
      </c>
      <c r="P111" s="131">
        <f t="shared" si="21"/>
        <v>931786.52807650995</v>
      </c>
      <c r="Q111" s="131">
        <v>1564026.6455706367</v>
      </c>
      <c r="R111" s="131">
        <v>848646.62999999989</v>
      </c>
      <c r="S111" s="131">
        <f t="shared" si="22"/>
        <v>0</v>
      </c>
      <c r="T111" s="131">
        <f t="shared" si="23"/>
        <v>1564026.6455706367</v>
      </c>
      <c r="U111" s="131">
        <v>0</v>
      </c>
      <c r="V111" s="131">
        <v>0</v>
      </c>
      <c r="W111" s="131">
        <v>0</v>
      </c>
      <c r="X111" s="131">
        <v>0</v>
      </c>
      <c r="Y111" s="131">
        <v>0</v>
      </c>
      <c r="Z111" s="131">
        <f t="shared" si="24"/>
        <v>0</v>
      </c>
      <c r="AA111" s="131">
        <v>0</v>
      </c>
      <c r="AB111" s="152">
        <f t="shared" si="25"/>
        <v>1564026.6455706367</v>
      </c>
      <c r="AC111" s="133">
        <f>IF(D111="Physician Group Practice",(AB111/$AB$393)*'1. UC Assumptions'!$C$15,IF(E111="Rural Hospital",AB111*'1. UC Assumptions'!$C$7/'1. UC Assumptions'!$E$7,(AB111/$AB$397)*('1. UC Assumptions'!$C$9)))</f>
        <v>1459918.0328139497</v>
      </c>
      <c r="AD111" s="133">
        <f t="shared" si="26"/>
        <v>0</v>
      </c>
      <c r="AE111" s="133">
        <f t="shared" si="27"/>
        <v>104108.61275668698</v>
      </c>
      <c r="AF111" s="133">
        <f t="shared" si="28"/>
        <v>0</v>
      </c>
      <c r="AG111" s="133">
        <f t="shared" si="29"/>
        <v>104108.61275668698</v>
      </c>
      <c r="AH111" s="133">
        <f t="shared" si="30"/>
        <v>1459918.0328139497</v>
      </c>
      <c r="AI111" s="131">
        <f>AH111*'1. UC Assumptions'!$C$23</f>
        <v>481772.95082860335</v>
      </c>
      <c r="AJ111" s="131">
        <v>380406.22</v>
      </c>
      <c r="AK111" s="131">
        <f>AJ111*(1-'1. UC Assumptions'!$C$22)</f>
        <v>125534.05259999998</v>
      </c>
      <c r="AL111" s="131"/>
      <c r="AM111" s="131">
        <f>AL111*'1. UC Assumptions'!$C$23</f>
        <v>0</v>
      </c>
      <c r="AN111" s="153">
        <f t="shared" si="31"/>
        <v>1564026.6455706367</v>
      </c>
      <c r="AO111" s="151">
        <f>AN111*'1. UC Assumptions'!$C$23</f>
        <v>516128.79303831008</v>
      </c>
      <c r="AP111" s="151">
        <f t="shared" si="32"/>
        <v>1183620.4255706368</v>
      </c>
      <c r="AQ111" s="151">
        <f t="shared" si="33"/>
        <v>390594.74043831008</v>
      </c>
      <c r="AR111" s="151">
        <f t="shared" si="34"/>
        <v>390594.74043831008</v>
      </c>
      <c r="AS111" s="151">
        <f t="shared" si="35"/>
        <v>516128.79303831008</v>
      </c>
      <c r="AT111" s="151">
        <f>IF(K111="Bexar",(AG111/$AT$1)*'1. UC Assumptions'!$E$44-(AH111/$AT$2)*'1. UC Assumptions'!$E$42,0)</f>
        <v>0</v>
      </c>
      <c r="AU111" s="151">
        <f>IF(K111="Dallas",(AG111/$AU$1)*'1. UC Assumptions'!$F$44-(AH111/$AU$2)*'1. UC Assumptions'!$F$42,0)</f>
        <v>0</v>
      </c>
      <c r="AV111" s="151">
        <f>IF(K111="El Paso",(AG111/$AV$1)*'1. UC Assumptions'!$G$44-(AH111/$AV$2)*'1. UC Assumptions'!$G$42,0)</f>
        <v>0</v>
      </c>
      <c r="AW111" s="151">
        <f>IF(K111="Harris",(AG111/$AW$1)*'1. UC Assumptions'!$H$44-(AH111/$AW$2)*'1. UC Assumptions'!$H$42,0)</f>
        <v>0</v>
      </c>
      <c r="AX111" s="151">
        <f>IF(K111="Hidalgo",(AG111/$AX$1)*'1. UC Assumptions'!$I$44-(AH111/$AX$2)*'1. UC Assumptions'!$I$42,0)</f>
        <v>0</v>
      </c>
      <c r="AY111" s="151">
        <f>IF(K111="Jefferson",(AG111/$AY$1)*'1. UC Assumptions'!$J$44-(AH111/$AY$2)*'1. UC Assumptions'!$J$42,0)</f>
        <v>0</v>
      </c>
      <c r="AZ111" s="151">
        <f>IF(K111="Lubbock",(AG111/$AZ$1)*'1. UC Assumptions'!$K$44-(AH111/$AZ$2)*'1. UC Assumptions'!$K$42,0)</f>
        <v>0</v>
      </c>
      <c r="BA111" s="151">
        <f>IF(K111="MRSA Central",(AG111/$BA$1)*'1. UC Assumptions'!$L$44-(AH111/$BA$2)*'1. UC Assumptions'!$L$42,0)</f>
        <v>0</v>
      </c>
      <c r="BB111" s="151">
        <f>IF(K111="MRSA Northeast",(AG111/$BB$1)*'1. UC Assumptions'!$M$44-(AH111/$BB$2)*'1. UC Assumptions'!$M$42,0)</f>
        <v>0</v>
      </c>
      <c r="BC111" s="151">
        <f>IF(K111="MRSA West",(AG111/$BC$1)*'1. UC Assumptions'!$N$44-(AH111/$BC$2)*'1. UC Assumptions'!$N$42,0)</f>
        <v>0</v>
      </c>
      <c r="BD111" s="151">
        <f>IF(K111="Nueces",(AG111/$BD$1)*'1. UC Assumptions'!$O$44-(AH111/$BD$2)*'1. UC Assumptions'!$O$42,0)</f>
        <v>0</v>
      </c>
      <c r="BE111" s="151">
        <f>IF(K111="Tarrant",(AG111/$BE$1)*'1. UC Assumptions'!$P$44-(AH111/$BE$2)*'1. UC Assumptions'!$P$42,0)</f>
        <v>0</v>
      </c>
      <c r="BF111" s="151">
        <f>IF(K111="Travis",(AG111/$BF$1)*'1. UC Assumptions'!$Q$44-(AH111/$BF$2)*'1. UC Assumptions'!$Q$42,0)</f>
        <v>0</v>
      </c>
      <c r="BG111" s="151">
        <f t="shared" si="36"/>
        <v>0</v>
      </c>
      <c r="BH111" s="151">
        <f t="shared" si="37"/>
        <v>1459918.0328139497</v>
      </c>
      <c r="BI111" s="151">
        <f>ROUNDDOWN(BH111*'1. UC Assumptions'!$C$23,2)</f>
        <v>481772.95</v>
      </c>
      <c r="BJ111" s="154">
        <f t="shared" si="38"/>
        <v>1079511.8128139498</v>
      </c>
      <c r="BK111" s="154">
        <f t="shared" si="39"/>
        <v>356238.89740000002</v>
      </c>
      <c r="BL111" s="154">
        <f t="shared" si="40"/>
        <v>996626.99</v>
      </c>
      <c r="BM111" s="154">
        <f t="shared" si="41"/>
        <v>328886.90000000002</v>
      </c>
      <c r="BN111" s="101"/>
      <c r="BO111" s="154">
        <f>(BL111*'1. UC Assumptions'!$C$23)-'3.  UC Calculations by Hospital'!BM111</f>
        <v>6.6999999107792974E-3</v>
      </c>
      <c r="BP111" s="13"/>
    </row>
    <row r="112" spans="2:68">
      <c r="B112" s="129" t="s">
        <v>484</v>
      </c>
      <c r="C112" s="91" t="s">
        <v>484</v>
      </c>
      <c r="D112" s="91" t="s">
        <v>208</v>
      </c>
      <c r="E112" s="91" t="s">
        <v>149</v>
      </c>
      <c r="F112" s="91"/>
      <c r="G112" s="91" t="s">
        <v>209</v>
      </c>
      <c r="H112" s="91" t="s">
        <v>209</v>
      </c>
      <c r="I112" s="150" t="s">
        <v>210</v>
      </c>
      <c r="J112" s="129" t="s">
        <v>485</v>
      </c>
      <c r="K112" s="91" t="s">
        <v>12</v>
      </c>
      <c r="L112" s="91" t="s">
        <v>486</v>
      </c>
      <c r="M112" s="151">
        <v>882564.06294712273</v>
      </c>
      <c r="N112" s="151">
        <v>5648616.9661143068</v>
      </c>
      <c r="O112" s="131">
        <v>352502.74488235521</v>
      </c>
      <c r="P112" s="131">
        <f t="shared" si="21"/>
        <v>5296114.2212319514</v>
      </c>
      <c r="Q112" s="131">
        <v>7526856.7274824446</v>
      </c>
      <c r="R112" s="131">
        <v>2939805.74</v>
      </c>
      <c r="S112" s="131">
        <f t="shared" si="22"/>
        <v>0</v>
      </c>
      <c r="T112" s="131">
        <f t="shared" si="23"/>
        <v>7526856.7274824446</v>
      </c>
      <c r="U112" s="131">
        <v>466884</v>
      </c>
      <c r="V112" s="131">
        <v>0</v>
      </c>
      <c r="W112" s="131">
        <v>0</v>
      </c>
      <c r="X112" s="131">
        <v>0</v>
      </c>
      <c r="Y112" s="131">
        <v>0</v>
      </c>
      <c r="Z112" s="131">
        <f t="shared" si="24"/>
        <v>466884</v>
      </c>
      <c r="AA112" s="131">
        <v>0</v>
      </c>
      <c r="AB112" s="152">
        <f t="shared" si="25"/>
        <v>7993740.7274824446</v>
      </c>
      <c r="AC112" s="133">
        <f>IF(D112="Physician Group Practice",(AB112/$AB$393)*'1. UC Assumptions'!$C$15,IF(E112="Rural Hospital",AB112*'1. UC Assumptions'!$C$7/'1. UC Assumptions'!$E$7,(AB112/$AB$397)*('1. UC Assumptions'!$C$9)))</f>
        <v>7461641.5716070067</v>
      </c>
      <c r="AD112" s="133">
        <f t="shared" si="26"/>
        <v>0</v>
      </c>
      <c r="AE112" s="133">
        <f t="shared" si="27"/>
        <v>532099.15587543789</v>
      </c>
      <c r="AF112" s="133">
        <f t="shared" si="28"/>
        <v>0</v>
      </c>
      <c r="AG112" s="133">
        <f t="shared" si="29"/>
        <v>532099.15587543789</v>
      </c>
      <c r="AH112" s="133">
        <f t="shared" si="30"/>
        <v>7461641.5716070067</v>
      </c>
      <c r="AI112" s="131">
        <f>AH112*'1. UC Assumptions'!$C$23</f>
        <v>2462341.718630312</v>
      </c>
      <c r="AJ112" s="131">
        <v>2099453.2799999998</v>
      </c>
      <c r="AK112" s="131">
        <f>AJ112*(1-'1. UC Assumptions'!$C$22)</f>
        <v>692819.58239999984</v>
      </c>
      <c r="AL112" s="131"/>
      <c r="AM112" s="131">
        <f>AL112*'1. UC Assumptions'!$C$23</f>
        <v>0</v>
      </c>
      <c r="AN112" s="153">
        <f t="shared" si="31"/>
        <v>7993740.7274824446</v>
      </c>
      <c r="AO112" s="151">
        <f>AN112*'1. UC Assumptions'!$C$23</f>
        <v>2637934.4400692065</v>
      </c>
      <c r="AP112" s="151">
        <f t="shared" si="32"/>
        <v>5894287.4474824443</v>
      </c>
      <c r="AQ112" s="151">
        <f t="shared" si="33"/>
        <v>1945114.8576692068</v>
      </c>
      <c r="AR112" s="151">
        <f t="shared" si="34"/>
        <v>1945114.8576692068</v>
      </c>
      <c r="AS112" s="151">
        <f t="shared" si="35"/>
        <v>2637934.4400692065</v>
      </c>
      <c r="AT112" s="151">
        <f>IF(K112="Bexar",(AG112/$AT$1)*'1. UC Assumptions'!$E$44-(AH112/$AT$2)*'1. UC Assumptions'!$E$42,0)</f>
        <v>0</v>
      </c>
      <c r="AU112" s="151">
        <f>IF(K112="Dallas",(AG112/$AU$1)*'1. UC Assumptions'!$F$44-(AH112/$AU$2)*'1. UC Assumptions'!$F$42,0)</f>
        <v>0</v>
      </c>
      <c r="AV112" s="151">
        <f>IF(K112="El Paso",(AG112/$AV$1)*'1. UC Assumptions'!$G$44-(AH112/$AV$2)*'1. UC Assumptions'!$G$42,0)</f>
        <v>0</v>
      </c>
      <c r="AW112" s="151">
        <f>IF(K112="Harris",(AG112/$AW$1)*'1. UC Assumptions'!$H$44-(AH112/$AW$2)*'1. UC Assumptions'!$H$42,0)</f>
        <v>0</v>
      </c>
      <c r="AX112" s="151">
        <f>IF(K112="Hidalgo",(AG112/$AX$1)*'1. UC Assumptions'!$I$44-(AH112/$AX$2)*'1. UC Assumptions'!$I$42,0)</f>
        <v>0</v>
      </c>
      <c r="AY112" s="151">
        <f>IF(K112="Jefferson",(AG112/$AY$1)*'1. UC Assumptions'!$J$44-(AH112/$AY$2)*'1. UC Assumptions'!$J$42,0)</f>
        <v>0</v>
      </c>
      <c r="AZ112" s="151">
        <f>IF(K112="Lubbock",(AG112/$AZ$1)*'1. UC Assumptions'!$K$44-(AH112/$AZ$2)*'1. UC Assumptions'!$K$42,0)</f>
        <v>0</v>
      </c>
      <c r="BA112" s="151">
        <f>IF(K112="MRSA Central",(AG112/$BA$1)*'1. UC Assumptions'!$L$44-(AH112/$BA$2)*'1. UC Assumptions'!$L$42,0)</f>
        <v>0</v>
      </c>
      <c r="BB112" s="151">
        <f>IF(K112="MRSA Northeast",(AG112/$BB$1)*'1. UC Assumptions'!$M$44-(AH112/$BB$2)*'1. UC Assumptions'!$M$42,0)</f>
        <v>0</v>
      </c>
      <c r="BC112" s="151">
        <f>IF(K112="MRSA West",(AG112/$BC$1)*'1. UC Assumptions'!$N$44-(AH112/$BC$2)*'1. UC Assumptions'!$N$42,0)</f>
        <v>0</v>
      </c>
      <c r="BD112" s="151">
        <f>IF(K112="Nueces",(AG112/$BD$1)*'1. UC Assumptions'!$O$44-(AH112/$BD$2)*'1. UC Assumptions'!$O$42,0)</f>
        <v>0</v>
      </c>
      <c r="BE112" s="151">
        <f>IF(K112="Tarrant",(AG112/$BE$1)*'1. UC Assumptions'!$P$44-(AH112/$BE$2)*'1. UC Assumptions'!$P$42,0)</f>
        <v>0</v>
      </c>
      <c r="BF112" s="151">
        <f>IF(K112="Travis",(AG112/$BF$1)*'1. UC Assumptions'!$Q$44-(AH112/$BF$2)*'1. UC Assumptions'!$Q$42,0)</f>
        <v>0</v>
      </c>
      <c r="BG112" s="151">
        <f t="shared" si="36"/>
        <v>0</v>
      </c>
      <c r="BH112" s="151">
        <f t="shared" si="37"/>
        <v>7461641.5716070067</v>
      </c>
      <c r="BI112" s="151">
        <f>ROUNDDOWN(BH112*'1. UC Assumptions'!$C$23,2)</f>
        <v>2462341.71</v>
      </c>
      <c r="BJ112" s="154">
        <f t="shared" si="38"/>
        <v>5362188.2916070074</v>
      </c>
      <c r="BK112" s="154">
        <f t="shared" si="39"/>
        <v>1769522.1276000002</v>
      </c>
      <c r="BL112" s="154">
        <f t="shared" si="40"/>
        <v>4950479.93</v>
      </c>
      <c r="BM112" s="154">
        <f t="shared" si="41"/>
        <v>1633658.37</v>
      </c>
      <c r="BN112" s="101"/>
      <c r="BO112" s="154">
        <f>(BL112*'1. UC Assumptions'!$C$23)-'3.  UC Calculations by Hospital'!BM112</f>
        <v>6.899999687448144E-3</v>
      </c>
      <c r="BP112" s="13"/>
    </row>
    <row r="113" spans="1:68">
      <c r="B113" s="129" t="s">
        <v>487</v>
      </c>
      <c r="C113" s="91" t="s">
        <v>487</v>
      </c>
      <c r="D113" s="91" t="s">
        <v>214</v>
      </c>
      <c r="E113" s="91" t="s">
        <v>209</v>
      </c>
      <c r="F113" s="91"/>
      <c r="G113" s="91" t="s">
        <v>209</v>
      </c>
      <c r="H113" s="91" t="s">
        <v>209</v>
      </c>
      <c r="I113" s="150" t="s">
        <v>210</v>
      </c>
      <c r="J113" s="129" t="s">
        <v>488</v>
      </c>
      <c r="K113" s="91" t="s">
        <v>14</v>
      </c>
      <c r="L113" s="91" t="s">
        <v>14</v>
      </c>
      <c r="M113" s="151">
        <v>-7030239.1748027746</v>
      </c>
      <c r="N113" s="151">
        <v>45182.31781487487</v>
      </c>
      <c r="O113" s="131">
        <v>0</v>
      </c>
      <c r="P113" s="131">
        <f t="shared" si="21"/>
        <v>45182.31781487487</v>
      </c>
      <c r="Q113" s="131">
        <v>13449277.76755265</v>
      </c>
      <c r="R113" s="131">
        <v>0</v>
      </c>
      <c r="S113" s="131">
        <f t="shared" si="22"/>
        <v>0</v>
      </c>
      <c r="T113" s="131">
        <f t="shared" si="23"/>
        <v>13449277.76755265</v>
      </c>
      <c r="U113" s="131">
        <v>0</v>
      </c>
      <c r="V113" s="131">
        <v>0</v>
      </c>
      <c r="W113" s="131">
        <v>0</v>
      </c>
      <c r="X113" s="131">
        <v>0</v>
      </c>
      <c r="Y113" s="131">
        <v>0</v>
      </c>
      <c r="Z113" s="131">
        <f t="shared" si="24"/>
        <v>0</v>
      </c>
      <c r="AA113" s="131">
        <v>0</v>
      </c>
      <c r="AB113" s="152">
        <f t="shared" si="25"/>
        <v>13449277.76755265</v>
      </c>
      <c r="AC113" s="133">
        <f>IF(D113="Physician Group Practice",(AB113/$AB$393)*'1. UC Assumptions'!$C$15,IF(E113="Rural Hospital",AB113*'1. UC Assumptions'!$C$7/'1. UC Assumptions'!$E$7,(AB113/$AB$397)*('1. UC Assumptions'!$C$9)))</f>
        <v>6323118.8558885818</v>
      </c>
      <c r="AD113" s="133">
        <f t="shared" si="26"/>
        <v>0</v>
      </c>
      <c r="AE113" s="133">
        <f t="shared" si="27"/>
        <v>7126158.9116640678</v>
      </c>
      <c r="AF113" s="133">
        <f t="shared" si="28"/>
        <v>0</v>
      </c>
      <c r="AG113" s="133">
        <f t="shared" si="29"/>
        <v>7126158.9116640678</v>
      </c>
      <c r="AH113" s="133">
        <f t="shared" si="30"/>
        <v>6323118.8558885818</v>
      </c>
      <c r="AI113" s="131">
        <f>AH113*'1. UC Assumptions'!$C$23</f>
        <v>2086629.2224432318</v>
      </c>
      <c r="AJ113" s="131">
        <v>6912798.25</v>
      </c>
      <c r="AK113" s="131">
        <f>AJ113*(1-'1. UC Assumptions'!$C$22)</f>
        <v>2281223.4224999999</v>
      </c>
      <c r="AL113" s="131"/>
      <c r="AM113" s="131">
        <f>AL113*'1. UC Assumptions'!$C$23</f>
        <v>0</v>
      </c>
      <c r="AN113" s="153">
        <f t="shared" si="31"/>
        <v>13449277.76755265</v>
      </c>
      <c r="AO113" s="151">
        <f>AN113*'1. UC Assumptions'!$C$23</f>
        <v>4438261.6632923735</v>
      </c>
      <c r="AP113" s="151">
        <f t="shared" si="32"/>
        <v>6536479.5175526496</v>
      </c>
      <c r="AQ113" s="151">
        <f t="shared" si="33"/>
        <v>2157038.2407923737</v>
      </c>
      <c r="AR113" s="151">
        <f t="shared" si="34"/>
        <v>2157038.2407923737</v>
      </c>
      <c r="AS113" s="151">
        <f t="shared" si="35"/>
        <v>4438261.6632923735</v>
      </c>
      <c r="AT113" s="151">
        <f>IF(K113="Bexar",(AG113/$AT$1)*'1. UC Assumptions'!$E$44-(AH113/$AT$2)*'1. UC Assumptions'!$E$42,0)</f>
        <v>0</v>
      </c>
      <c r="AU113" s="151">
        <f>IF(K113="Dallas",(AG113/$AU$1)*'1. UC Assumptions'!$F$44-(AH113/$AU$2)*'1. UC Assumptions'!$F$42,0)</f>
        <v>0</v>
      </c>
      <c r="AV113" s="151">
        <f>IF(K113="El Paso",(AG113/$AV$1)*'1. UC Assumptions'!$G$44-(AH113/$AV$2)*'1. UC Assumptions'!$G$42,0)</f>
        <v>0</v>
      </c>
      <c r="AW113" s="151">
        <f>IF(K113="Harris",(AG113/$AW$1)*'1. UC Assumptions'!$H$44-(AH113/$AW$2)*'1. UC Assumptions'!$H$42,0)</f>
        <v>0</v>
      </c>
      <c r="AX113" s="151">
        <f>IF(K113="Hidalgo",(AG113/$AX$1)*'1. UC Assumptions'!$I$44-(AH113/$AX$2)*'1. UC Assumptions'!$I$42,0)</f>
        <v>0</v>
      </c>
      <c r="AY113" s="151">
        <f>IF(K113="Jefferson",(AG113/$AY$1)*'1. UC Assumptions'!$J$44-(AH113/$AY$2)*'1. UC Assumptions'!$J$42,0)</f>
        <v>0</v>
      </c>
      <c r="AZ113" s="151">
        <f>IF(K113="Lubbock",(AG113/$AZ$1)*'1. UC Assumptions'!$K$44-(AH113/$AZ$2)*'1. UC Assumptions'!$K$42,0)</f>
        <v>0</v>
      </c>
      <c r="BA113" s="151">
        <f>IF(K113="MRSA Central",(AG113/$BA$1)*'1. UC Assumptions'!$L$44-(AH113/$BA$2)*'1. UC Assumptions'!$L$42,0)</f>
        <v>0</v>
      </c>
      <c r="BB113" s="151">
        <f>IF(K113="MRSA Northeast",(AG113/$BB$1)*'1. UC Assumptions'!$M$44-(AH113/$BB$2)*'1. UC Assumptions'!$M$42,0)</f>
        <v>0</v>
      </c>
      <c r="BC113" s="151">
        <f>IF(K113="MRSA West",(AG113/$BC$1)*'1. UC Assumptions'!$N$44-(AH113/$BC$2)*'1. UC Assumptions'!$N$42,0)</f>
        <v>0</v>
      </c>
      <c r="BD113" s="151">
        <f>IF(K113="Nueces",(AG113/$BD$1)*'1. UC Assumptions'!$O$44-(AH113/$BD$2)*'1. UC Assumptions'!$O$42,0)</f>
        <v>0</v>
      </c>
      <c r="BE113" s="151">
        <f>IF(K113="Tarrant",(AG113/$BE$1)*'1. UC Assumptions'!$P$44-(AH113/$BE$2)*'1. UC Assumptions'!$P$42,0)</f>
        <v>0</v>
      </c>
      <c r="BF113" s="151">
        <f>IF(K113="Travis",(AG113/$BF$1)*'1. UC Assumptions'!$Q$44-(AH113/$BF$2)*'1. UC Assumptions'!$Q$42,0)</f>
        <v>0</v>
      </c>
      <c r="BG113" s="151">
        <f t="shared" si="36"/>
        <v>0</v>
      </c>
      <c r="BH113" s="151">
        <f t="shared" si="37"/>
        <v>6323118.8558885818</v>
      </c>
      <c r="BI113" s="151">
        <f>ROUNDDOWN(BH113*'1. UC Assumptions'!$C$23,2)</f>
        <v>2086629.22</v>
      </c>
      <c r="BJ113" s="154">
        <f t="shared" si="38"/>
        <v>-589679.39411141817</v>
      </c>
      <c r="BK113" s="154">
        <f t="shared" si="39"/>
        <v>-194594.2024999999</v>
      </c>
      <c r="BL113" s="154">
        <f t="shared" si="40"/>
        <v>0</v>
      </c>
      <c r="BM113" s="154">
        <f t="shared" si="41"/>
        <v>0</v>
      </c>
      <c r="BN113" s="101"/>
      <c r="BO113" s="154">
        <f>(BL113*'1. UC Assumptions'!$C$23)-'3.  UC Calculations by Hospital'!BM113</f>
        <v>0</v>
      </c>
      <c r="BP113" s="13"/>
    </row>
    <row r="114" spans="1:68">
      <c r="B114" s="129" t="s">
        <v>489</v>
      </c>
      <c r="C114" s="91" t="s">
        <v>489</v>
      </c>
      <c r="D114" s="91" t="s">
        <v>208</v>
      </c>
      <c r="E114" s="91" t="s">
        <v>149</v>
      </c>
      <c r="F114" s="91"/>
      <c r="G114" s="91" t="s">
        <v>209</v>
      </c>
      <c r="H114" s="91" t="s">
        <v>209</v>
      </c>
      <c r="I114" s="150" t="s">
        <v>210</v>
      </c>
      <c r="J114" s="129" t="s">
        <v>490</v>
      </c>
      <c r="K114" s="91" t="s">
        <v>11</v>
      </c>
      <c r="L114" s="91" t="s">
        <v>491</v>
      </c>
      <c r="M114" s="151">
        <v>34182.918318976001</v>
      </c>
      <c r="N114" s="151">
        <v>0</v>
      </c>
      <c r="O114" s="131">
        <v>0</v>
      </c>
      <c r="P114" s="131">
        <f t="shared" si="21"/>
        <v>0</v>
      </c>
      <c r="Q114" s="131">
        <v>263801.43031961599</v>
      </c>
      <c r="R114" s="131">
        <v>0</v>
      </c>
      <c r="S114" s="131">
        <f t="shared" si="22"/>
        <v>0</v>
      </c>
      <c r="T114" s="131">
        <f t="shared" si="23"/>
        <v>263801.43031961599</v>
      </c>
      <c r="U114" s="131">
        <v>0</v>
      </c>
      <c r="V114" s="131">
        <v>0</v>
      </c>
      <c r="W114" s="131">
        <v>0</v>
      </c>
      <c r="X114" s="131">
        <v>0</v>
      </c>
      <c r="Y114" s="131">
        <v>0</v>
      </c>
      <c r="Z114" s="131">
        <f t="shared" si="24"/>
        <v>0</v>
      </c>
      <c r="AA114" s="131">
        <v>0</v>
      </c>
      <c r="AB114" s="152">
        <f t="shared" si="25"/>
        <v>263801.43031961599</v>
      </c>
      <c r="AC114" s="133">
        <f>IF(D114="Physician Group Practice",(AB114/$AB$393)*'1. UC Assumptions'!$C$15,IF(E114="Rural Hospital",AB114*'1. UC Assumptions'!$C$7/'1. UC Assumptions'!$E$7,(AB114/$AB$397)*('1. UC Assumptions'!$C$9)))</f>
        <v>246241.62657101371</v>
      </c>
      <c r="AD114" s="133">
        <f t="shared" si="26"/>
        <v>0</v>
      </c>
      <c r="AE114" s="133">
        <f t="shared" si="27"/>
        <v>17559.80374860228</v>
      </c>
      <c r="AF114" s="133">
        <f t="shared" si="28"/>
        <v>0</v>
      </c>
      <c r="AG114" s="133">
        <f t="shared" si="29"/>
        <v>17559.80374860228</v>
      </c>
      <c r="AH114" s="133">
        <f t="shared" si="30"/>
        <v>246241.62657101371</v>
      </c>
      <c r="AI114" s="131">
        <f>AH114*'1. UC Assumptions'!$C$23</f>
        <v>81259.736768434508</v>
      </c>
      <c r="AJ114" s="131">
        <v>77839.62</v>
      </c>
      <c r="AK114" s="131">
        <f>AJ114*(1-'1. UC Assumptions'!$C$22)</f>
        <v>25687.074599999996</v>
      </c>
      <c r="AL114" s="131"/>
      <c r="AM114" s="131">
        <f>AL114*'1. UC Assumptions'!$C$23</f>
        <v>0</v>
      </c>
      <c r="AN114" s="153">
        <f t="shared" si="31"/>
        <v>263801.43031961599</v>
      </c>
      <c r="AO114" s="151">
        <f>AN114*'1. UC Assumptions'!$C$23</f>
        <v>87054.472005473261</v>
      </c>
      <c r="AP114" s="151">
        <f t="shared" si="32"/>
        <v>185961.81031961599</v>
      </c>
      <c r="AQ114" s="151">
        <f t="shared" si="33"/>
        <v>61367.397405473268</v>
      </c>
      <c r="AR114" s="151">
        <f t="shared" si="34"/>
        <v>61367.397405473268</v>
      </c>
      <c r="AS114" s="151">
        <f t="shared" si="35"/>
        <v>87054.472005473261</v>
      </c>
      <c r="AT114" s="151">
        <f>IF(K114="Bexar",(AG114/$AT$1)*'1. UC Assumptions'!$E$44-(AH114/$AT$2)*'1. UC Assumptions'!$E$42,0)</f>
        <v>0</v>
      </c>
      <c r="AU114" s="151">
        <f>IF(K114="Dallas",(AG114/$AU$1)*'1. UC Assumptions'!$F$44-(AH114/$AU$2)*'1. UC Assumptions'!$F$42,0)</f>
        <v>0</v>
      </c>
      <c r="AV114" s="151">
        <f>IF(K114="El Paso",(AG114/$AV$1)*'1. UC Assumptions'!$G$44-(AH114/$AV$2)*'1. UC Assumptions'!$G$42,0)</f>
        <v>0</v>
      </c>
      <c r="AW114" s="151">
        <f>IF(K114="Harris",(AG114/$AW$1)*'1. UC Assumptions'!$H$44-(AH114/$AW$2)*'1. UC Assumptions'!$H$42,0)</f>
        <v>0</v>
      </c>
      <c r="AX114" s="151">
        <f>IF(K114="Hidalgo",(AG114/$AX$1)*'1. UC Assumptions'!$I$44-(AH114/$AX$2)*'1. UC Assumptions'!$I$42,0)</f>
        <v>0</v>
      </c>
      <c r="AY114" s="151">
        <f>IF(K114="Jefferson",(AG114/$AY$1)*'1. UC Assumptions'!$J$44-(AH114/$AY$2)*'1. UC Assumptions'!$J$42,0)</f>
        <v>0</v>
      </c>
      <c r="AZ114" s="151">
        <f>IF(K114="Lubbock",(AG114/$AZ$1)*'1. UC Assumptions'!$K$44-(AH114/$AZ$2)*'1. UC Assumptions'!$K$42,0)</f>
        <v>0</v>
      </c>
      <c r="BA114" s="151">
        <f>IF(K114="MRSA Central",(AG114/$BA$1)*'1. UC Assumptions'!$L$44-(AH114/$BA$2)*'1. UC Assumptions'!$L$42,0)</f>
        <v>0</v>
      </c>
      <c r="BB114" s="151">
        <f>IF(K114="MRSA Northeast",(AG114/$BB$1)*'1. UC Assumptions'!$M$44-(AH114/$BB$2)*'1. UC Assumptions'!$M$42,0)</f>
        <v>0</v>
      </c>
      <c r="BC114" s="151">
        <f>IF(K114="MRSA West",(AG114/$BC$1)*'1. UC Assumptions'!$N$44-(AH114/$BC$2)*'1. UC Assumptions'!$N$42,0)</f>
        <v>0</v>
      </c>
      <c r="BD114" s="151">
        <f>IF(K114="Nueces",(AG114/$BD$1)*'1. UC Assumptions'!$O$44-(AH114/$BD$2)*'1. UC Assumptions'!$O$42,0)</f>
        <v>0</v>
      </c>
      <c r="BE114" s="151">
        <f>IF(K114="Tarrant",(AG114/$BE$1)*'1. UC Assumptions'!$P$44-(AH114/$BE$2)*'1. UC Assumptions'!$P$42,0)</f>
        <v>0</v>
      </c>
      <c r="BF114" s="151">
        <f>IF(K114="Travis",(AG114/$BF$1)*'1. UC Assumptions'!$Q$44-(AH114/$BF$2)*'1. UC Assumptions'!$Q$42,0)</f>
        <v>0</v>
      </c>
      <c r="BG114" s="151">
        <f t="shared" si="36"/>
        <v>0</v>
      </c>
      <c r="BH114" s="151">
        <f t="shared" si="37"/>
        <v>246241.62657101371</v>
      </c>
      <c r="BI114" s="151">
        <f>ROUNDDOWN(BH114*'1. UC Assumptions'!$C$23,2)</f>
        <v>81259.73</v>
      </c>
      <c r="BJ114" s="154">
        <f t="shared" si="38"/>
        <v>168402.00657101371</v>
      </c>
      <c r="BK114" s="154">
        <f t="shared" si="39"/>
        <v>55572.655400000003</v>
      </c>
      <c r="BL114" s="154">
        <f t="shared" si="40"/>
        <v>155472.10999999999</v>
      </c>
      <c r="BM114" s="154">
        <f t="shared" si="41"/>
        <v>51305.79</v>
      </c>
      <c r="BN114" s="101"/>
      <c r="BO114" s="154">
        <f>(BL114*'1. UC Assumptions'!$C$23)-'3.  UC Calculations by Hospital'!BM114</f>
        <v>6.2999999863677658E-3</v>
      </c>
      <c r="BP114" s="13"/>
    </row>
    <row r="115" spans="1:68" ht="15">
      <c r="A115" s="98"/>
      <c r="B115" s="129" t="s">
        <v>492</v>
      </c>
      <c r="C115" s="91" t="s">
        <v>492</v>
      </c>
      <c r="D115" s="91" t="s">
        <v>208</v>
      </c>
      <c r="E115" s="91" t="s">
        <v>149</v>
      </c>
      <c r="F115" s="91"/>
      <c r="G115" s="91" t="s">
        <v>209</v>
      </c>
      <c r="H115" s="91" t="s">
        <v>209</v>
      </c>
      <c r="I115" s="150" t="s">
        <v>210</v>
      </c>
      <c r="J115" s="129" t="s">
        <v>493</v>
      </c>
      <c r="K115" s="91" t="s">
        <v>12</v>
      </c>
      <c r="L115" s="91" t="s">
        <v>494</v>
      </c>
      <c r="M115" s="151">
        <v>353998.55007964146</v>
      </c>
      <c r="N115" s="151">
        <v>460674.7798034391</v>
      </c>
      <c r="O115" s="131">
        <v>388584.0219068416</v>
      </c>
      <c r="P115" s="131">
        <f t="shared" si="21"/>
        <v>72090.757896597497</v>
      </c>
      <c r="Q115" s="131">
        <v>720643.83241177595</v>
      </c>
      <c r="R115" s="131">
        <v>189990.08000000002</v>
      </c>
      <c r="S115" s="131">
        <f t="shared" si="22"/>
        <v>0</v>
      </c>
      <c r="T115" s="131">
        <f t="shared" si="23"/>
        <v>720643.83241177595</v>
      </c>
      <c r="U115" s="131">
        <v>0</v>
      </c>
      <c r="V115" s="131">
        <v>0</v>
      </c>
      <c r="W115" s="131">
        <v>0</v>
      </c>
      <c r="X115" s="131">
        <v>0</v>
      </c>
      <c r="Y115" s="131">
        <v>0</v>
      </c>
      <c r="Z115" s="131">
        <f t="shared" si="24"/>
        <v>0</v>
      </c>
      <c r="AA115" s="131">
        <v>0</v>
      </c>
      <c r="AB115" s="152">
        <f t="shared" si="25"/>
        <v>720643.83241177595</v>
      </c>
      <c r="AC115" s="133">
        <f>IF(D115="Physician Group Practice",(AB115/$AB$393)*'1. UC Assumptions'!$C$15,IF(E115="Rural Hospital",AB115*'1. UC Assumptions'!$C$7/'1. UC Assumptions'!$E$7,(AB115/$AB$397)*('1. UC Assumptions'!$C$9)))</f>
        <v>672674.55394933687</v>
      </c>
      <c r="AD115" s="133">
        <f t="shared" si="26"/>
        <v>0</v>
      </c>
      <c r="AE115" s="133">
        <f t="shared" si="27"/>
        <v>47969.278462439077</v>
      </c>
      <c r="AF115" s="133">
        <f t="shared" si="28"/>
        <v>0</v>
      </c>
      <c r="AG115" s="133">
        <f t="shared" si="29"/>
        <v>47969.278462439077</v>
      </c>
      <c r="AH115" s="133">
        <f t="shared" si="30"/>
        <v>672674.55394933687</v>
      </c>
      <c r="AI115" s="131">
        <f>AH115*'1. UC Assumptions'!$C$23</f>
        <v>221982.60280328113</v>
      </c>
      <c r="AJ115" s="99">
        <v>89693.27</v>
      </c>
      <c r="AK115" s="131">
        <f>AJ115*(1-'1. UC Assumptions'!$C$22)</f>
        <v>29598.779099999996</v>
      </c>
      <c r="AL115" s="131"/>
      <c r="AM115" s="131">
        <f>AL115*'1. UC Assumptions'!$C$23</f>
        <v>0</v>
      </c>
      <c r="AN115" s="153">
        <f t="shared" si="31"/>
        <v>720643.83241177595</v>
      </c>
      <c r="AO115" s="151">
        <f>AN115*'1. UC Assumptions'!$C$23</f>
        <v>237812.46469588604</v>
      </c>
      <c r="AP115" s="151">
        <f t="shared" si="32"/>
        <v>630950.56241177593</v>
      </c>
      <c r="AQ115" s="151">
        <f t="shared" si="33"/>
        <v>208213.68559588605</v>
      </c>
      <c r="AR115" s="151">
        <f t="shared" si="34"/>
        <v>208213.68559588605</v>
      </c>
      <c r="AS115" s="151">
        <f t="shared" si="35"/>
        <v>237812.46469588604</v>
      </c>
      <c r="AT115" s="151">
        <f>IF(K115="Bexar",(AG115/$AT$1)*'1. UC Assumptions'!$E$44-(AH115/$AT$2)*'1. UC Assumptions'!$E$42,0)</f>
        <v>0</v>
      </c>
      <c r="AU115" s="151">
        <f>IF(K115="Dallas",(AG115/$AU$1)*'1. UC Assumptions'!$F$44-(AH115/$AU$2)*'1. UC Assumptions'!$F$42,0)</f>
        <v>0</v>
      </c>
      <c r="AV115" s="151">
        <f>IF(K115="El Paso",(AG115/$AV$1)*'1. UC Assumptions'!$G$44-(AH115/$AV$2)*'1. UC Assumptions'!$G$42,0)</f>
        <v>0</v>
      </c>
      <c r="AW115" s="151">
        <f>IF(K115="Harris",(AG115/$AW$1)*'1. UC Assumptions'!$H$44-(AH115/$AW$2)*'1. UC Assumptions'!$H$42,0)</f>
        <v>0</v>
      </c>
      <c r="AX115" s="151">
        <f>IF(K115="Hidalgo",(AG115/$AX$1)*'1. UC Assumptions'!$I$44-(AH115/$AX$2)*'1. UC Assumptions'!$I$42,0)</f>
        <v>0</v>
      </c>
      <c r="AY115" s="151">
        <f>IF(K115="Jefferson",(AG115/$AY$1)*'1. UC Assumptions'!$J$44-(AH115/$AY$2)*'1. UC Assumptions'!$J$42,0)</f>
        <v>0</v>
      </c>
      <c r="AZ115" s="151">
        <f>IF(K115="Lubbock",(AG115/$AZ$1)*'1. UC Assumptions'!$K$44-(AH115/$AZ$2)*'1. UC Assumptions'!$K$42,0)</f>
        <v>0</v>
      </c>
      <c r="BA115" s="151">
        <f>IF(K115="MRSA Central",(AG115/$BA$1)*'1. UC Assumptions'!$L$44-(AH115/$BA$2)*'1. UC Assumptions'!$L$42,0)</f>
        <v>0</v>
      </c>
      <c r="BB115" s="151">
        <f>IF(K115="MRSA Northeast",(AG115/$BB$1)*'1. UC Assumptions'!$M$44-(AH115/$BB$2)*'1. UC Assumptions'!$M$42,0)</f>
        <v>0</v>
      </c>
      <c r="BC115" s="151">
        <f>IF(K115="MRSA West",(AG115/$BC$1)*'1. UC Assumptions'!$N$44-(AH115/$BC$2)*'1. UC Assumptions'!$N$42,0)</f>
        <v>0</v>
      </c>
      <c r="BD115" s="151">
        <f>IF(K115="Nueces",(AG115/$BD$1)*'1. UC Assumptions'!$O$44-(AH115/$BD$2)*'1. UC Assumptions'!$O$42,0)</f>
        <v>0</v>
      </c>
      <c r="BE115" s="151">
        <f>IF(K115="Tarrant",(AG115/$BE$1)*'1. UC Assumptions'!$P$44-(AH115/$BE$2)*'1. UC Assumptions'!$P$42,0)</f>
        <v>0</v>
      </c>
      <c r="BF115" s="151">
        <f>IF(K115="Travis",(AG115/$BF$1)*'1. UC Assumptions'!$Q$44-(AH115/$BF$2)*'1. UC Assumptions'!$Q$42,0)</f>
        <v>0</v>
      </c>
      <c r="BG115" s="151">
        <f t="shared" si="36"/>
        <v>0</v>
      </c>
      <c r="BH115" s="151">
        <f t="shared" si="37"/>
        <v>672674.55394933687</v>
      </c>
      <c r="BI115" s="151">
        <f>ROUNDDOWN(BH115*'1. UC Assumptions'!$C$23,2)</f>
        <v>221982.6</v>
      </c>
      <c r="BJ115" s="154">
        <f t="shared" si="38"/>
        <v>582981.28394933685</v>
      </c>
      <c r="BK115" s="154">
        <f t="shared" si="39"/>
        <v>192383.82090000002</v>
      </c>
      <c r="BL115" s="154">
        <f t="shared" si="40"/>
        <v>538220.03</v>
      </c>
      <c r="BM115" s="154">
        <f t="shared" si="41"/>
        <v>177612.61</v>
      </c>
      <c r="BN115" s="101"/>
      <c r="BO115" s="154">
        <f>(BL115*'1. UC Assumptions'!$C$23)-'3.  UC Calculations by Hospital'!BM115</f>
        <v>-1.0000000474974513E-4</v>
      </c>
      <c r="BP115" s="13"/>
    </row>
    <row r="116" spans="1:68">
      <c r="B116" s="129" t="s">
        <v>495</v>
      </c>
      <c r="C116" s="91" t="s">
        <v>495</v>
      </c>
      <c r="D116" s="91" t="s">
        <v>208</v>
      </c>
      <c r="E116" s="91" t="s">
        <v>149</v>
      </c>
      <c r="F116" s="91"/>
      <c r="G116" s="91" t="s">
        <v>209</v>
      </c>
      <c r="H116" s="91" t="s">
        <v>209</v>
      </c>
      <c r="I116" s="150" t="s">
        <v>210</v>
      </c>
      <c r="J116" s="129" t="s">
        <v>496</v>
      </c>
      <c r="K116" s="91" t="s">
        <v>12</v>
      </c>
      <c r="L116" s="91" t="s">
        <v>497</v>
      </c>
      <c r="M116" s="151">
        <v>664396.14677578246</v>
      </c>
      <c r="N116" s="151">
        <v>420822.3262247832</v>
      </c>
      <c r="O116" s="131">
        <v>359409.5686820352</v>
      </c>
      <c r="P116" s="131">
        <f t="shared" si="21"/>
        <v>61412.757542748004</v>
      </c>
      <c r="Q116" s="131">
        <v>589456.21053311997</v>
      </c>
      <c r="R116" s="131">
        <v>274426.25</v>
      </c>
      <c r="S116" s="131">
        <f t="shared" si="22"/>
        <v>0</v>
      </c>
      <c r="T116" s="131">
        <f t="shared" si="23"/>
        <v>589456.21053311997</v>
      </c>
      <c r="U116" s="131">
        <v>0</v>
      </c>
      <c r="V116" s="131">
        <v>0</v>
      </c>
      <c r="W116" s="131">
        <v>0</v>
      </c>
      <c r="X116" s="131">
        <v>0</v>
      </c>
      <c r="Y116" s="131">
        <v>0</v>
      </c>
      <c r="Z116" s="131">
        <f t="shared" si="24"/>
        <v>0</v>
      </c>
      <c r="AA116" s="131">
        <v>0</v>
      </c>
      <c r="AB116" s="152">
        <f t="shared" si="25"/>
        <v>589456.21053311997</v>
      </c>
      <c r="AC116" s="133">
        <f>IF(D116="Physician Group Practice",(AB116/$AB$393)*'1. UC Assumptions'!$C$15,IF(E116="Rural Hospital",AB116*'1. UC Assumptions'!$C$7/'1. UC Assumptions'!$E$7,(AB116/$AB$397)*('1. UC Assumptions'!$C$9)))</f>
        <v>550219.36726500106</v>
      </c>
      <c r="AD116" s="133">
        <f t="shared" si="26"/>
        <v>0</v>
      </c>
      <c r="AE116" s="133">
        <f t="shared" si="27"/>
        <v>39236.843268118915</v>
      </c>
      <c r="AF116" s="133">
        <f t="shared" si="28"/>
        <v>0</v>
      </c>
      <c r="AG116" s="133">
        <f t="shared" si="29"/>
        <v>39236.843268118915</v>
      </c>
      <c r="AH116" s="133">
        <f t="shared" si="30"/>
        <v>550219.36726500106</v>
      </c>
      <c r="AI116" s="131">
        <f>AH116*'1. UC Assumptions'!$C$23</f>
        <v>181572.39119745031</v>
      </c>
      <c r="AJ116" s="131">
        <v>114119.17</v>
      </c>
      <c r="AK116" s="131">
        <f>AJ116*(1-'1. UC Assumptions'!$C$22)</f>
        <v>37659.326099999998</v>
      </c>
      <c r="AL116" s="131"/>
      <c r="AM116" s="131">
        <f>AL116*'1. UC Assumptions'!$C$23</f>
        <v>0</v>
      </c>
      <c r="AN116" s="153">
        <f t="shared" si="31"/>
        <v>589456.21053311997</v>
      </c>
      <c r="AO116" s="151">
        <f>AN116*'1. UC Assumptions'!$C$23</f>
        <v>194520.54947592955</v>
      </c>
      <c r="AP116" s="151">
        <f t="shared" si="32"/>
        <v>475337.04053311999</v>
      </c>
      <c r="AQ116" s="151">
        <f t="shared" si="33"/>
        <v>156861.22337592955</v>
      </c>
      <c r="AR116" s="151">
        <f t="shared" si="34"/>
        <v>156861.22337592955</v>
      </c>
      <c r="AS116" s="151">
        <f t="shared" si="35"/>
        <v>194520.54947592955</v>
      </c>
      <c r="AT116" s="151">
        <f>IF(K116="Bexar",(AG116/$AT$1)*'1. UC Assumptions'!$E$44-(AH116/$AT$2)*'1. UC Assumptions'!$E$42,0)</f>
        <v>0</v>
      </c>
      <c r="AU116" s="151">
        <f>IF(K116="Dallas",(AG116/$AU$1)*'1. UC Assumptions'!$F$44-(AH116/$AU$2)*'1. UC Assumptions'!$F$42,0)</f>
        <v>0</v>
      </c>
      <c r="AV116" s="151">
        <f>IF(K116="El Paso",(AG116/$AV$1)*'1. UC Assumptions'!$G$44-(AH116/$AV$2)*'1. UC Assumptions'!$G$42,0)</f>
        <v>0</v>
      </c>
      <c r="AW116" s="151">
        <f>IF(K116="Harris",(AG116/$AW$1)*'1. UC Assumptions'!$H$44-(AH116/$AW$2)*'1. UC Assumptions'!$H$42,0)</f>
        <v>0</v>
      </c>
      <c r="AX116" s="151">
        <f>IF(K116="Hidalgo",(AG116/$AX$1)*'1. UC Assumptions'!$I$44-(AH116/$AX$2)*'1. UC Assumptions'!$I$42,0)</f>
        <v>0</v>
      </c>
      <c r="AY116" s="151">
        <f>IF(K116="Jefferson",(AG116/$AY$1)*'1. UC Assumptions'!$J$44-(AH116/$AY$2)*'1. UC Assumptions'!$J$42,0)</f>
        <v>0</v>
      </c>
      <c r="AZ116" s="151">
        <f>IF(K116="Lubbock",(AG116/$AZ$1)*'1. UC Assumptions'!$K$44-(AH116/$AZ$2)*'1. UC Assumptions'!$K$42,0)</f>
        <v>0</v>
      </c>
      <c r="BA116" s="151">
        <f>IF(K116="MRSA Central",(AG116/$BA$1)*'1. UC Assumptions'!$L$44-(AH116/$BA$2)*'1. UC Assumptions'!$L$42,0)</f>
        <v>0</v>
      </c>
      <c r="BB116" s="151">
        <f>IF(K116="MRSA Northeast",(AG116/$BB$1)*'1. UC Assumptions'!$M$44-(AH116/$BB$2)*'1. UC Assumptions'!$M$42,0)</f>
        <v>0</v>
      </c>
      <c r="BC116" s="151">
        <f>IF(K116="MRSA West",(AG116/$BC$1)*'1. UC Assumptions'!$N$44-(AH116/$BC$2)*'1. UC Assumptions'!$N$42,0)</f>
        <v>0</v>
      </c>
      <c r="BD116" s="151">
        <f>IF(K116="Nueces",(AG116/$BD$1)*'1. UC Assumptions'!$O$44-(AH116/$BD$2)*'1. UC Assumptions'!$O$42,0)</f>
        <v>0</v>
      </c>
      <c r="BE116" s="151">
        <f>IF(K116="Tarrant",(AG116/$BE$1)*'1. UC Assumptions'!$P$44-(AH116/$BE$2)*'1. UC Assumptions'!$P$42,0)</f>
        <v>0</v>
      </c>
      <c r="BF116" s="151">
        <f>IF(K116="Travis",(AG116/$BF$1)*'1. UC Assumptions'!$Q$44-(AH116/$BF$2)*'1. UC Assumptions'!$Q$42,0)</f>
        <v>0</v>
      </c>
      <c r="BG116" s="151">
        <f t="shared" si="36"/>
        <v>0</v>
      </c>
      <c r="BH116" s="151">
        <f t="shared" si="37"/>
        <v>550219.36726500106</v>
      </c>
      <c r="BI116" s="151">
        <f>ROUNDDOWN(BH116*'1. UC Assumptions'!$C$23,2)</f>
        <v>181572.39</v>
      </c>
      <c r="BJ116" s="154">
        <f t="shared" si="38"/>
        <v>436100.19726500107</v>
      </c>
      <c r="BK116" s="154">
        <f t="shared" si="39"/>
        <v>143913.06390000001</v>
      </c>
      <c r="BL116" s="154">
        <f t="shared" si="40"/>
        <v>402616.46</v>
      </c>
      <c r="BM116" s="154">
        <f t="shared" si="41"/>
        <v>132863.43</v>
      </c>
      <c r="BN116" s="101"/>
      <c r="BO116" s="154">
        <f>(BL116*'1. UC Assumptions'!$C$23)-'3.  UC Calculations by Hospital'!BM116</f>
        <v>1.799999998183921E-3</v>
      </c>
      <c r="BP116" s="13"/>
    </row>
    <row r="117" spans="1:68">
      <c r="B117" s="129" t="s">
        <v>498</v>
      </c>
      <c r="C117" s="91" t="s">
        <v>498</v>
      </c>
      <c r="D117" s="91" t="s">
        <v>208</v>
      </c>
      <c r="E117" s="91" t="s">
        <v>209</v>
      </c>
      <c r="F117" s="91"/>
      <c r="G117" s="91" t="s">
        <v>209</v>
      </c>
      <c r="H117" s="91" t="s">
        <v>209</v>
      </c>
      <c r="I117" s="150" t="s">
        <v>210</v>
      </c>
      <c r="J117" s="129" t="s">
        <v>499</v>
      </c>
      <c r="K117" s="91" t="s">
        <v>13</v>
      </c>
      <c r="L117" s="91" t="s">
        <v>13</v>
      </c>
      <c r="M117" s="151">
        <v>26066255.855173275</v>
      </c>
      <c r="N117" s="151">
        <v>91982878.35251455</v>
      </c>
      <c r="O117" s="131">
        <v>54740464.488919735</v>
      </c>
      <c r="P117" s="131">
        <f t="shared" si="21"/>
        <v>37242413.863594815</v>
      </c>
      <c r="Q117" s="131">
        <v>85709652.099031463</v>
      </c>
      <c r="R117" s="131">
        <v>35605255.509999998</v>
      </c>
      <c r="S117" s="131">
        <f t="shared" si="22"/>
        <v>0</v>
      </c>
      <c r="T117" s="131">
        <f t="shared" si="23"/>
        <v>85709652.099031463</v>
      </c>
      <c r="U117" s="131">
        <v>592378</v>
      </c>
      <c r="V117" s="131">
        <v>0</v>
      </c>
      <c r="W117" s="131">
        <v>5424240.7488688184</v>
      </c>
      <c r="X117" s="131">
        <v>0</v>
      </c>
      <c r="Y117" s="131">
        <v>13554631.759670392</v>
      </c>
      <c r="Z117" s="131">
        <f t="shared" si="24"/>
        <v>19571250.508539211</v>
      </c>
      <c r="AA117" s="131">
        <v>0</v>
      </c>
      <c r="AB117" s="152">
        <f t="shared" si="25"/>
        <v>105280902.60757068</v>
      </c>
      <c r="AC117" s="133">
        <f>IF(D117="Physician Group Practice",(AB117/$AB$393)*'1. UC Assumptions'!$C$15,IF(E117="Rural Hospital",AB117*'1. UC Assumptions'!$C$7/'1. UC Assumptions'!$E$7,(AB117/$AB$397)*('1. UC Assumptions'!$C$9)))</f>
        <v>49497353.831813745</v>
      </c>
      <c r="AD117" s="133">
        <f t="shared" si="26"/>
        <v>0</v>
      </c>
      <c r="AE117" s="133">
        <f t="shared" si="27"/>
        <v>55783548.775756933</v>
      </c>
      <c r="AF117" s="133">
        <f t="shared" si="28"/>
        <v>0</v>
      </c>
      <c r="AG117" s="133">
        <f t="shared" si="29"/>
        <v>55783548.775756933</v>
      </c>
      <c r="AH117" s="133">
        <f t="shared" si="30"/>
        <v>49497353.831813745</v>
      </c>
      <c r="AI117" s="131">
        <f>AH117*'1. UC Assumptions'!$C$23</f>
        <v>16334126.764498534</v>
      </c>
      <c r="AJ117" s="131">
        <v>47405870.060000002</v>
      </c>
      <c r="AK117" s="131">
        <f>AJ117*(1-'1. UC Assumptions'!$C$22)</f>
        <v>15643937.1198</v>
      </c>
      <c r="AL117" s="131"/>
      <c r="AM117" s="131">
        <f>AL117*'1. UC Assumptions'!$C$23</f>
        <v>0</v>
      </c>
      <c r="AN117" s="153">
        <f t="shared" si="31"/>
        <v>105280902.60757068</v>
      </c>
      <c r="AO117" s="151">
        <f>AN117*'1. UC Assumptions'!$C$23</f>
        <v>34742697.860498317</v>
      </c>
      <c r="AP117" s="151">
        <f t="shared" si="32"/>
        <v>57875032.547570676</v>
      </c>
      <c r="AQ117" s="151">
        <f t="shared" si="33"/>
        <v>19098760.740698315</v>
      </c>
      <c r="AR117" s="151">
        <f t="shared" si="34"/>
        <v>19098760.740698315</v>
      </c>
      <c r="AS117" s="151">
        <f t="shared" si="35"/>
        <v>34742697.860498317</v>
      </c>
      <c r="AT117" s="151">
        <f>IF(K117="Bexar",(AG117/$AT$1)*'1. UC Assumptions'!$E$44-(AH117/$AT$2)*'1. UC Assumptions'!$E$42,0)</f>
        <v>0</v>
      </c>
      <c r="AU117" s="151">
        <f>IF(K117="Dallas",(AG117/$AU$1)*'1. UC Assumptions'!$F$44-(AH117/$AU$2)*'1. UC Assumptions'!$F$42,0)</f>
        <v>0</v>
      </c>
      <c r="AV117" s="151">
        <f>IF(K117="El Paso",(AG117/$AV$1)*'1. UC Assumptions'!$G$44-(AH117/$AV$2)*'1. UC Assumptions'!$G$42,0)</f>
        <v>0</v>
      </c>
      <c r="AW117" s="151">
        <f>IF(K117="Harris",(AG117/$AW$1)*'1. UC Assumptions'!$H$44-(AH117/$AW$2)*'1. UC Assumptions'!$H$42,0)</f>
        <v>0</v>
      </c>
      <c r="AX117" s="151">
        <f>IF(K117="Hidalgo",(AG117/$AX$1)*'1. UC Assumptions'!$I$44-(AH117/$AX$2)*'1. UC Assumptions'!$I$42,0)</f>
        <v>0</v>
      </c>
      <c r="AY117" s="151">
        <f>IF(K117="Jefferson",(AG117/$AY$1)*'1. UC Assumptions'!$J$44-(AH117/$AY$2)*'1. UC Assumptions'!$J$42,0)</f>
        <v>0</v>
      </c>
      <c r="AZ117" s="151">
        <f>IF(K117="Lubbock",(AG117/$AZ$1)*'1. UC Assumptions'!$K$44-(AH117/$AZ$2)*'1. UC Assumptions'!$K$42,0)</f>
        <v>0</v>
      </c>
      <c r="BA117" s="151">
        <f>IF(K117="MRSA Central",(AG117/$BA$1)*'1. UC Assumptions'!$L$44-(AH117/$BA$2)*'1. UC Assumptions'!$L$42,0)</f>
        <v>0</v>
      </c>
      <c r="BB117" s="151">
        <f>IF(K117="MRSA Northeast",(AG117/$BB$1)*'1. UC Assumptions'!$M$44-(AH117/$BB$2)*'1. UC Assumptions'!$M$42,0)</f>
        <v>0</v>
      </c>
      <c r="BC117" s="151">
        <f>IF(K117="MRSA West",(AG117/$BC$1)*'1. UC Assumptions'!$N$44-(AH117/$BC$2)*'1. UC Assumptions'!$N$42,0)</f>
        <v>0</v>
      </c>
      <c r="BD117" s="151">
        <f>IF(K117="Nueces",(AG117/$BD$1)*'1. UC Assumptions'!$O$44-(AH117/$BD$2)*'1. UC Assumptions'!$O$42,0)</f>
        <v>0</v>
      </c>
      <c r="BE117" s="151">
        <f>IF(K117="Tarrant",(AG117/$BE$1)*'1. UC Assumptions'!$P$44-(AH117/$BE$2)*'1. UC Assumptions'!$P$42,0)</f>
        <v>0</v>
      </c>
      <c r="BF117" s="151">
        <f>IF(K117="Travis",(AG117/$BF$1)*'1. UC Assumptions'!$Q$44-(AH117/$BF$2)*'1. UC Assumptions'!$Q$42,0)</f>
        <v>0</v>
      </c>
      <c r="BG117" s="151">
        <f t="shared" si="36"/>
        <v>0</v>
      </c>
      <c r="BH117" s="151">
        <f t="shared" si="37"/>
        <v>49497353.831813745</v>
      </c>
      <c r="BI117" s="151">
        <f>ROUNDDOWN(BH117*'1. UC Assumptions'!$C$23,2)</f>
        <v>16334126.76</v>
      </c>
      <c r="BJ117" s="154">
        <f t="shared" si="38"/>
        <v>2091483.7718137428</v>
      </c>
      <c r="BK117" s="154">
        <f t="shared" si="39"/>
        <v>690189.64020000026</v>
      </c>
      <c r="BL117" s="154">
        <f t="shared" si="40"/>
        <v>1930899.83</v>
      </c>
      <c r="BM117" s="154">
        <f t="shared" si="41"/>
        <v>637196.93999999994</v>
      </c>
      <c r="BN117" s="101"/>
      <c r="BO117" s="154">
        <f>(BL117*'1. UC Assumptions'!$C$23)-'3.  UC Calculations by Hospital'!BM117</f>
        <v>3.9000000106170774E-3</v>
      </c>
      <c r="BP117" s="13"/>
    </row>
    <row r="118" spans="1:68">
      <c r="B118" s="129" t="s">
        <v>500</v>
      </c>
      <c r="C118" s="91" t="s">
        <v>500</v>
      </c>
      <c r="D118" s="91" t="s">
        <v>214</v>
      </c>
      <c r="E118" s="91" t="s">
        <v>209</v>
      </c>
      <c r="F118" s="91"/>
      <c r="G118" s="91" t="s">
        <v>209</v>
      </c>
      <c r="H118" s="91" t="s">
        <v>209</v>
      </c>
      <c r="I118" s="150" t="s">
        <v>210</v>
      </c>
      <c r="J118" s="129" t="s">
        <v>501</v>
      </c>
      <c r="K118" s="91" t="s">
        <v>4</v>
      </c>
      <c r="L118" s="91" t="s">
        <v>4</v>
      </c>
      <c r="M118" s="151">
        <v>2597072.465707087</v>
      </c>
      <c r="N118" s="151">
        <v>0</v>
      </c>
      <c r="O118" s="131">
        <v>0</v>
      </c>
      <c r="P118" s="131">
        <f t="shared" si="21"/>
        <v>0</v>
      </c>
      <c r="Q118" s="131">
        <v>23369052.362785101</v>
      </c>
      <c r="R118" s="131">
        <v>0</v>
      </c>
      <c r="S118" s="131">
        <f t="shared" si="22"/>
        <v>0</v>
      </c>
      <c r="T118" s="131">
        <f t="shared" si="23"/>
        <v>23369052.362785101</v>
      </c>
      <c r="U118" s="131">
        <v>0</v>
      </c>
      <c r="V118" s="131">
        <v>0</v>
      </c>
      <c r="W118" s="131">
        <v>0</v>
      </c>
      <c r="X118" s="131">
        <v>0</v>
      </c>
      <c r="Y118" s="131">
        <v>0</v>
      </c>
      <c r="Z118" s="131">
        <f t="shared" si="24"/>
        <v>0</v>
      </c>
      <c r="AA118" s="131">
        <v>0</v>
      </c>
      <c r="AB118" s="152">
        <f t="shared" si="25"/>
        <v>23369052.362785101</v>
      </c>
      <c r="AC118" s="133">
        <f>IF(D118="Physician Group Practice",(AB118/$AB$393)*'1. UC Assumptions'!$C$15,IF(E118="Rural Hospital",AB118*'1. UC Assumptions'!$C$7/'1. UC Assumptions'!$E$7,(AB118/$AB$397)*('1. UC Assumptions'!$C$9)))</f>
        <v>10986857.30142837</v>
      </c>
      <c r="AD118" s="133">
        <f t="shared" si="26"/>
        <v>0</v>
      </c>
      <c r="AE118" s="133">
        <f t="shared" si="27"/>
        <v>12382195.061356731</v>
      </c>
      <c r="AF118" s="133">
        <f t="shared" si="28"/>
        <v>0</v>
      </c>
      <c r="AG118" s="133">
        <f t="shared" si="29"/>
        <v>12382195.061356731</v>
      </c>
      <c r="AH118" s="133">
        <f t="shared" si="30"/>
        <v>10986857.30142837</v>
      </c>
      <c r="AI118" s="131">
        <f>AH118*'1. UC Assumptions'!$C$23</f>
        <v>3625662.9094713619</v>
      </c>
      <c r="AJ118" s="131">
        <v>8644909.3100000005</v>
      </c>
      <c r="AK118" s="131">
        <f>AJ118*(1-'1. UC Assumptions'!$C$22)</f>
        <v>2852820.0722999997</v>
      </c>
      <c r="AL118" s="131"/>
      <c r="AM118" s="131">
        <f>AL118*'1. UC Assumptions'!$C$23</f>
        <v>0</v>
      </c>
      <c r="AN118" s="153">
        <f t="shared" si="31"/>
        <v>23369052.362785101</v>
      </c>
      <c r="AO118" s="151">
        <f>AN118*'1. UC Assumptions'!$C$23</f>
        <v>7711787.2797190826</v>
      </c>
      <c r="AP118" s="151">
        <f t="shared" si="32"/>
        <v>14724143.0527851</v>
      </c>
      <c r="AQ118" s="151">
        <f t="shared" si="33"/>
        <v>4858967.2074190825</v>
      </c>
      <c r="AR118" s="151">
        <f t="shared" si="34"/>
        <v>4858967.2074190825</v>
      </c>
      <c r="AS118" s="151">
        <f t="shared" si="35"/>
        <v>7711787.2797190826</v>
      </c>
      <c r="AT118" s="151">
        <f>IF(K118="Bexar",(AG118/$AT$1)*'1. UC Assumptions'!$E$44-(AH118/$AT$2)*'1. UC Assumptions'!$E$42,0)</f>
        <v>0</v>
      </c>
      <c r="AU118" s="151">
        <f>IF(K118="Dallas",(AG118/$AU$1)*'1. UC Assumptions'!$F$44-(AH118/$AU$2)*'1. UC Assumptions'!$F$42,0)</f>
        <v>0</v>
      </c>
      <c r="AV118" s="151">
        <f>IF(K118="El Paso",(AG118/$AV$1)*'1. UC Assumptions'!$G$44-(AH118/$AV$2)*'1. UC Assumptions'!$G$42,0)</f>
        <v>0</v>
      </c>
      <c r="AW118" s="151">
        <f>IF(K118="Harris",(AG118/$AW$1)*'1. UC Assumptions'!$H$44-(AH118/$AW$2)*'1. UC Assumptions'!$H$42,0)</f>
        <v>0</v>
      </c>
      <c r="AX118" s="151">
        <f>IF(K118="Hidalgo",(AG118/$AX$1)*'1. UC Assumptions'!$I$44-(AH118/$AX$2)*'1. UC Assumptions'!$I$42,0)</f>
        <v>0</v>
      </c>
      <c r="AY118" s="151">
        <f>IF(K118="Jefferson",(AG118/$AY$1)*'1. UC Assumptions'!$J$44-(AH118/$AY$2)*'1. UC Assumptions'!$J$42,0)</f>
        <v>0</v>
      </c>
      <c r="AZ118" s="151">
        <f>IF(K118="Lubbock",(AG118/$AZ$1)*'1. UC Assumptions'!$K$44-(AH118/$AZ$2)*'1. UC Assumptions'!$K$42,0)</f>
        <v>0</v>
      </c>
      <c r="BA118" s="151">
        <f>IF(K118="MRSA Central",(AG118/$BA$1)*'1. UC Assumptions'!$L$44-(AH118/$BA$2)*'1. UC Assumptions'!$L$42,0)</f>
        <v>0</v>
      </c>
      <c r="BB118" s="151">
        <f>IF(K118="MRSA Northeast",(AG118/$BB$1)*'1. UC Assumptions'!$M$44-(AH118/$BB$2)*'1. UC Assumptions'!$M$42,0)</f>
        <v>0</v>
      </c>
      <c r="BC118" s="151">
        <f>IF(K118="MRSA West",(AG118/$BC$1)*'1. UC Assumptions'!$N$44-(AH118/$BC$2)*'1. UC Assumptions'!$N$42,0)</f>
        <v>0</v>
      </c>
      <c r="BD118" s="151">
        <f>IF(K118="Nueces",(AG118/$BD$1)*'1. UC Assumptions'!$O$44-(AH118/$BD$2)*'1. UC Assumptions'!$O$42,0)</f>
        <v>0</v>
      </c>
      <c r="BE118" s="151">
        <f>IF(K118="Tarrant",(AG118/$BE$1)*'1. UC Assumptions'!$P$44-(AH118/$BE$2)*'1. UC Assumptions'!$P$42,0)</f>
        <v>0</v>
      </c>
      <c r="BF118" s="151">
        <f>IF(K118="Travis",(AG118/$BF$1)*'1. UC Assumptions'!$Q$44-(AH118/$BF$2)*'1. UC Assumptions'!$Q$42,0)</f>
        <v>0</v>
      </c>
      <c r="BG118" s="151">
        <f t="shared" si="36"/>
        <v>0</v>
      </c>
      <c r="BH118" s="151">
        <f t="shared" si="37"/>
        <v>10986857.30142837</v>
      </c>
      <c r="BI118" s="151">
        <f>ROUNDDOWN(BH118*'1. UC Assumptions'!$C$23,2)</f>
        <v>3625662.9</v>
      </c>
      <c r="BJ118" s="154">
        <f t="shared" si="38"/>
        <v>2341947.9914283697</v>
      </c>
      <c r="BK118" s="154">
        <f t="shared" si="39"/>
        <v>772842.82770000026</v>
      </c>
      <c r="BL118" s="154">
        <f t="shared" si="40"/>
        <v>2162133.4300000002</v>
      </c>
      <c r="BM118" s="154">
        <f t="shared" si="41"/>
        <v>713504.02</v>
      </c>
      <c r="BN118" s="101"/>
      <c r="BO118" s="154">
        <f>(BL118*'1. UC Assumptions'!$C$23)-'3.  UC Calculations by Hospital'!BM118</f>
        <v>1.18999999249354E-2</v>
      </c>
      <c r="BP118" s="13"/>
    </row>
    <row r="119" spans="1:68">
      <c r="B119" s="129" t="s">
        <v>502</v>
      </c>
      <c r="C119" s="91" t="s">
        <v>502</v>
      </c>
      <c r="D119" s="91" t="s">
        <v>208</v>
      </c>
      <c r="E119" s="91" t="s">
        <v>149</v>
      </c>
      <c r="F119" s="91"/>
      <c r="G119" s="91" t="s">
        <v>209</v>
      </c>
      <c r="H119" s="91" t="s">
        <v>209</v>
      </c>
      <c r="I119" s="150" t="s">
        <v>210</v>
      </c>
      <c r="J119" s="129" t="s">
        <v>503</v>
      </c>
      <c r="K119" s="91" t="s">
        <v>12</v>
      </c>
      <c r="L119" s="91" t="s">
        <v>504</v>
      </c>
      <c r="M119" s="151">
        <v>205306.83984491523</v>
      </c>
      <c r="N119" s="151">
        <v>700081.84322014253</v>
      </c>
      <c r="O119" s="131">
        <v>732831.02268346888</v>
      </c>
      <c r="P119" s="131">
        <f t="shared" si="21"/>
        <v>0</v>
      </c>
      <c r="Q119" s="131">
        <v>825468.35513067513</v>
      </c>
      <c r="R119" s="131">
        <v>158491.09000000003</v>
      </c>
      <c r="S119" s="131">
        <f t="shared" si="22"/>
        <v>0</v>
      </c>
      <c r="T119" s="131">
        <f t="shared" si="23"/>
        <v>825468.35513067513</v>
      </c>
      <c r="U119" s="131">
        <v>32392.1</v>
      </c>
      <c r="V119" s="131">
        <v>0</v>
      </c>
      <c r="W119" s="131">
        <v>0</v>
      </c>
      <c r="X119" s="131">
        <v>0</v>
      </c>
      <c r="Y119" s="131">
        <v>0</v>
      </c>
      <c r="Z119" s="131">
        <f t="shared" si="24"/>
        <v>32392.1</v>
      </c>
      <c r="AA119" s="131">
        <v>0</v>
      </c>
      <c r="AB119" s="152">
        <f t="shared" si="25"/>
        <v>857860.45513067511</v>
      </c>
      <c r="AC119" s="133">
        <f>IF(D119="Physician Group Practice",(AB119/$AB$393)*'1. UC Assumptions'!$C$15,IF(E119="Rural Hospital",AB119*'1. UC Assumptions'!$C$7/'1. UC Assumptions'!$E$7,(AB119/$AB$397)*('1. UC Assumptions'!$C$9)))</f>
        <v>800757.42419740744</v>
      </c>
      <c r="AD119" s="133">
        <f t="shared" si="26"/>
        <v>0</v>
      </c>
      <c r="AE119" s="133">
        <f t="shared" si="27"/>
        <v>57103.03093326767</v>
      </c>
      <c r="AF119" s="133">
        <f t="shared" si="28"/>
        <v>0</v>
      </c>
      <c r="AG119" s="133">
        <f t="shared" si="29"/>
        <v>57103.03093326767</v>
      </c>
      <c r="AH119" s="133">
        <f t="shared" si="30"/>
        <v>800757.42419740744</v>
      </c>
      <c r="AI119" s="131">
        <f>AH119*'1. UC Assumptions'!$C$23</f>
        <v>264249.94998514443</v>
      </c>
      <c r="AJ119" s="131">
        <v>326694.92</v>
      </c>
      <c r="AK119" s="131">
        <f>AJ119*(1-'1. UC Assumptions'!$C$22)</f>
        <v>107809.32359999999</v>
      </c>
      <c r="AL119" s="131"/>
      <c r="AM119" s="131">
        <f>AL119*'1. UC Assumptions'!$C$23</f>
        <v>0</v>
      </c>
      <c r="AN119" s="153">
        <f t="shared" si="31"/>
        <v>857860.45513067511</v>
      </c>
      <c r="AO119" s="151">
        <f>AN119*'1. UC Assumptions'!$C$23</f>
        <v>283093.95019312273</v>
      </c>
      <c r="AP119" s="151">
        <f t="shared" si="32"/>
        <v>531165.53513067518</v>
      </c>
      <c r="AQ119" s="151">
        <f t="shared" si="33"/>
        <v>175284.62659312272</v>
      </c>
      <c r="AR119" s="151">
        <f t="shared" si="34"/>
        <v>175284.62659312272</v>
      </c>
      <c r="AS119" s="151">
        <f t="shared" si="35"/>
        <v>283093.95019312273</v>
      </c>
      <c r="AT119" s="151">
        <f>IF(K119="Bexar",(AG119/$AT$1)*'1. UC Assumptions'!$E$44-(AH119/$AT$2)*'1. UC Assumptions'!$E$42,0)</f>
        <v>0</v>
      </c>
      <c r="AU119" s="151">
        <f>IF(K119="Dallas",(AG119/$AU$1)*'1. UC Assumptions'!$F$44-(AH119/$AU$2)*'1. UC Assumptions'!$F$42,0)</f>
        <v>0</v>
      </c>
      <c r="AV119" s="151">
        <f>IF(K119="El Paso",(AG119/$AV$1)*'1. UC Assumptions'!$G$44-(AH119/$AV$2)*'1. UC Assumptions'!$G$42,0)</f>
        <v>0</v>
      </c>
      <c r="AW119" s="151">
        <f>IF(K119="Harris",(AG119/$AW$1)*'1. UC Assumptions'!$H$44-(AH119/$AW$2)*'1. UC Assumptions'!$H$42,0)</f>
        <v>0</v>
      </c>
      <c r="AX119" s="151">
        <f>IF(K119="Hidalgo",(AG119/$AX$1)*'1. UC Assumptions'!$I$44-(AH119/$AX$2)*'1. UC Assumptions'!$I$42,0)</f>
        <v>0</v>
      </c>
      <c r="AY119" s="151">
        <f>IF(K119="Jefferson",(AG119/$AY$1)*'1. UC Assumptions'!$J$44-(AH119/$AY$2)*'1. UC Assumptions'!$J$42,0)</f>
        <v>0</v>
      </c>
      <c r="AZ119" s="151">
        <f>IF(K119="Lubbock",(AG119/$AZ$1)*'1. UC Assumptions'!$K$44-(AH119/$AZ$2)*'1. UC Assumptions'!$K$42,0)</f>
        <v>0</v>
      </c>
      <c r="BA119" s="151">
        <f>IF(K119="MRSA Central",(AG119/$BA$1)*'1. UC Assumptions'!$L$44-(AH119/$BA$2)*'1. UC Assumptions'!$L$42,0)</f>
        <v>0</v>
      </c>
      <c r="BB119" s="151">
        <f>IF(K119="MRSA Northeast",(AG119/$BB$1)*'1. UC Assumptions'!$M$44-(AH119/$BB$2)*'1. UC Assumptions'!$M$42,0)</f>
        <v>0</v>
      </c>
      <c r="BC119" s="151">
        <f>IF(K119="MRSA West",(AG119/$BC$1)*'1. UC Assumptions'!$N$44-(AH119/$BC$2)*'1. UC Assumptions'!$N$42,0)</f>
        <v>0</v>
      </c>
      <c r="BD119" s="151">
        <f>IF(K119="Nueces",(AG119/$BD$1)*'1. UC Assumptions'!$O$44-(AH119/$BD$2)*'1. UC Assumptions'!$O$42,0)</f>
        <v>0</v>
      </c>
      <c r="BE119" s="151">
        <f>IF(K119="Tarrant",(AG119/$BE$1)*'1. UC Assumptions'!$P$44-(AH119/$BE$2)*'1. UC Assumptions'!$P$42,0)</f>
        <v>0</v>
      </c>
      <c r="BF119" s="151">
        <f>IF(K119="Travis",(AG119/$BF$1)*'1. UC Assumptions'!$Q$44-(AH119/$BF$2)*'1. UC Assumptions'!$Q$42,0)</f>
        <v>0</v>
      </c>
      <c r="BG119" s="151">
        <f t="shared" si="36"/>
        <v>0</v>
      </c>
      <c r="BH119" s="151">
        <f t="shared" si="37"/>
        <v>800757.42419740744</v>
      </c>
      <c r="BI119" s="151">
        <f>ROUNDDOWN(BH119*'1. UC Assumptions'!$C$23,2)</f>
        <v>264249.94</v>
      </c>
      <c r="BJ119" s="154">
        <f t="shared" si="38"/>
        <v>474062.50419740746</v>
      </c>
      <c r="BK119" s="154">
        <f t="shared" si="39"/>
        <v>156440.6164</v>
      </c>
      <c r="BL119" s="154">
        <f t="shared" si="40"/>
        <v>437664.03</v>
      </c>
      <c r="BM119" s="154">
        <f t="shared" si="41"/>
        <v>144429.12</v>
      </c>
      <c r="BN119" s="101"/>
      <c r="BO119" s="154">
        <f>(BL119*'1. UC Assumptions'!$C$23)-'3.  UC Calculations by Hospital'!BM119</f>
        <v>9.9000000045634806E-3</v>
      </c>
      <c r="BP119" s="13"/>
    </row>
    <row r="120" spans="1:68">
      <c r="B120" s="129" t="s">
        <v>505</v>
      </c>
      <c r="C120" s="91" t="s">
        <v>505</v>
      </c>
      <c r="D120" s="91" t="s">
        <v>208</v>
      </c>
      <c r="E120" s="91" t="s">
        <v>149</v>
      </c>
      <c r="F120" s="91"/>
      <c r="G120" s="91" t="s">
        <v>209</v>
      </c>
      <c r="H120" s="91" t="s">
        <v>209</v>
      </c>
      <c r="I120" s="150" t="s">
        <v>210</v>
      </c>
      <c r="J120" s="129" t="s">
        <v>506</v>
      </c>
      <c r="K120" s="91" t="s">
        <v>12</v>
      </c>
      <c r="L120" s="91" t="s">
        <v>507</v>
      </c>
      <c r="M120" s="151">
        <v>-2989397.430003711</v>
      </c>
      <c r="N120" s="151">
        <v>5291141.8054470727</v>
      </c>
      <c r="O120" s="131">
        <v>2317302.6251429375</v>
      </c>
      <c r="P120" s="131">
        <f t="shared" si="21"/>
        <v>2973839.1803041352</v>
      </c>
      <c r="Q120" s="131">
        <v>5969130.7527212035</v>
      </c>
      <c r="R120" s="131">
        <v>2231841.91</v>
      </c>
      <c r="S120" s="131">
        <f t="shared" si="22"/>
        <v>2231841.91</v>
      </c>
      <c r="T120" s="131">
        <f t="shared" si="23"/>
        <v>3737288.8427212033</v>
      </c>
      <c r="U120" s="131">
        <v>289526</v>
      </c>
      <c r="V120" s="131">
        <v>0</v>
      </c>
      <c r="W120" s="131">
        <v>0</v>
      </c>
      <c r="X120" s="131">
        <v>0</v>
      </c>
      <c r="Y120" s="131">
        <v>0</v>
      </c>
      <c r="Z120" s="131">
        <f t="shared" si="24"/>
        <v>289526</v>
      </c>
      <c r="AA120" s="131">
        <v>0</v>
      </c>
      <c r="AB120" s="152">
        <f t="shared" si="25"/>
        <v>4026814.8427212033</v>
      </c>
      <c r="AC120" s="133">
        <f>IF(D120="Physician Group Practice",(AB120/$AB$393)*'1. UC Assumptions'!$C$15,IF(E120="Rural Hospital",AB120*'1. UC Assumptions'!$C$7/'1. UC Assumptions'!$E$7,(AB120/$AB$397)*('1. UC Assumptions'!$C$9)))</f>
        <v>3758772.026257046</v>
      </c>
      <c r="AD120" s="133">
        <f t="shared" si="26"/>
        <v>0</v>
      </c>
      <c r="AE120" s="133">
        <f t="shared" si="27"/>
        <v>268042.81646415731</v>
      </c>
      <c r="AF120" s="133">
        <f t="shared" si="28"/>
        <v>0</v>
      </c>
      <c r="AG120" s="133">
        <f t="shared" si="29"/>
        <v>268042.81646415731</v>
      </c>
      <c r="AH120" s="133">
        <f t="shared" si="30"/>
        <v>3758772.026257046</v>
      </c>
      <c r="AI120" s="131">
        <f>AH120*'1. UC Assumptions'!$C$23</f>
        <v>1240394.768664825</v>
      </c>
      <c r="AJ120" s="131">
        <v>2456082.35</v>
      </c>
      <c r="AK120" s="131">
        <f>AJ120*(1-'1. UC Assumptions'!$C$22)</f>
        <v>810507.1754999999</v>
      </c>
      <c r="AL120" s="131"/>
      <c r="AM120" s="131">
        <f>AL120*'1. UC Assumptions'!$C$23</f>
        <v>0</v>
      </c>
      <c r="AN120" s="153">
        <f t="shared" si="31"/>
        <v>4026814.8427212033</v>
      </c>
      <c r="AO120" s="151">
        <f>AN120*'1. UC Assumptions'!$C$23</f>
        <v>1328848.8980979968</v>
      </c>
      <c r="AP120" s="151">
        <f t="shared" si="32"/>
        <v>1570732.4927212032</v>
      </c>
      <c r="AQ120" s="151">
        <f t="shared" si="33"/>
        <v>518341.72259799694</v>
      </c>
      <c r="AR120" s="151">
        <f t="shared" si="34"/>
        <v>518341.72259799694</v>
      </c>
      <c r="AS120" s="151">
        <f t="shared" si="35"/>
        <v>1328848.8980979968</v>
      </c>
      <c r="AT120" s="151">
        <f>IF(K120="Bexar",(AG120/$AT$1)*'1. UC Assumptions'!$E$44-(AH120/$AT$2)*'1. UC Assumptions'!$E$42,0)</f>
        <v>0</v>
      </c>
      <c r="AU120" s="151">
        <f>IF(K120="Dallas",(AG120/$AU$1)*'1. UC Assumptions'!$F$44-(AH120/$AU$2)*'1. UC Assumptions'!$F$42,0)</f>
        <v>0</v>
      </c>
      <c r="AV120" s="151">
        <f>IF(K120="El Paso",(AG120/$AV$1)*'1. UC Assumptions'!$G$44-(AH120/$AV$2)*'1. UC Assumptions'!$G$42,0)</f>
        <v>0</v>
      </c>
      <c r="AW120" s="151">
        <f>IF(K120="Harris",(AG120/$AW$1)*'1. UC Assumptions'!$H$44-(AH120/$AW$2)*'1. UC Assumptions'!$H$42,0)</f>
        <v>0</v>
      </c>
      <c r="AX120" s="151">
        <f>IF(K120="Hidalgo",(AG120/$AX$1)*'1. UC Assumptions'!$I$44-(AH120/$AX$2)*'1. UC Assumptions'!$I$42,0)</f>
        <v>0</v>
      </c>
      <c r="AY120" s="151">
        <f>IF(K120="Jefferson",(AG120/$AY$1)*'1. UC Assumptions'!$J$44-(AH120/$AY$2)*'1. UC Assumptions'!$J$42,0)</f>
        <v>0</v>
      </c>
      <c r="AZ120" s="151">
        <f>IF(K120="Lubbock",(AG120/$AZ$1)*'1. UC Assumptions'!$K$44-(AH120/$AZ$2)*'1. UC Assumptions'!$K$42,0)</f>
        <v>0</v>
      </c>
      <c r="BA120" s="151">
        <f>IF(K120="MRSA Central",(AG120/$BA$1)*'1. UC Assumptions'!$L$44-(AH120/$BA$2)*'1. UC Assumptions'!$L$42,0)</f>
        <v>0</v>
      </c>
      <c r="BB120" s="151">
        <f>IF(K120="MRSA Northeast",(AG120/$BB$1)*'1. UC Assumptions'!$M$44-(AH120/$BB$2)*'1. UC Assumptions'!$M$42,0)</f>
        <v>0</v>
      </c>
      <c r="BC120" s="151">
        <f>IF(K120="MRSA West",(AG120/$BC$1)*'1. UC Assumptions'!$N$44-(AH120/$BC$2)*'1. UC Assumptions'!$N$42,0)</f>
        <v>0</v>
      </c>
      <c r="BD120" s="151">
        <f>IF(K120="Nueces",(AG120/$BD$1)*'1. UC Assumptions'!$O$44-(AH120/$BD$2)*'1. UC Assumptions'!$O$42,0)</f>
        <v>0</v>
      </c>
      <c r="BE120" s="151">
        <f>IF(K120="Tarrant",(AG120/$BE$1)*'1. UC Assumptions'!$P$44-(AH120/$BE$2)*'1. UC Assumptions'!$P$42,0)</f>
        <v>0</v>
      </c>
      <c r="BF120" s="151">
        <f>IF(K120="Travis",(AG120/$BF$1)*'1. UC Assumptions'!$Q$44-(AH120/$BF$2)*'1. UC Assumptions'!$Q$42,0)</f>
        <v>0</v>
      </c>
      <c r="BG120" s="151">
        <f t="shared" si="36"/>
        <v>0</v>
      </c>
      <c r="BH120" s="151">
        <f t="shared" si="37"/>
        <v>3758772.026257046</v>
      </c>
      <c r="BI120" s="151">
        <f>ROUNDDOWN(BH120*'1. UC Assumptions'!$C$23,2)</f>
        <v>1240394.76</v>
      </c>
      <c r="BJ120" s="154">
        <f t="shared" si="38"/>
        <v>1302689.6762570459</v>
      </c>
      <c r="BK120" s="154">
        <f t="shared" si="39"/>
        <v>429887.58450000011</v>
      </c>
      <c r="BL120" s="154">
        <f t="shared" si="40"/>
        <v>1202669.27</v>
      </c>
      <c r="BM120" s="154">
        <f t="shared" si="41"/>
        <v>396880.85</v>
      </c>
      <c r="BN120" s="101"/>
      <c r="BO120" s="154">
        <f>(BL120*'1. UC Assumptions'!$C$23)-'3.  UC Calculations by Hospital'!BM120</f>
        <v>9.0999999665655196E-3</v>
      </c>
      <c r="BP120" s="13"/>
    </row>
    <row r="121" spans="1:68">
      <c r="B121" s="129" t="s">
        <v>508</v>
      </c>
      <c r="C121" s="91" t="s">
        <v>508</v>
      </c>
      <c r="D121" s="91" t="s">
        <v>208</v>
      </c>
      <c r="E121" s="91" t="s">
        <v>149</v>
      </c>
      <c r="F121" s="91"/>
      <c r="G121" s="91" t="s">
        <v>209</v>
      </c>
      <c r="H121" s="91" t="s">
        <v>209</v>
      </c>
      <c r="I121" s="150" t="s">
        <v>210</v>
      </c>
      <c r="J121" s="129" t="s">
        <v>509</v>
      </c>
      <c r="K121" s="91" t="s">
        <v>10</v>
      </c>
      <c r="L121" s="91" t="s">
        <v>510</v>
      </c>
      <c r="M121" s="151">
        <v>1152688.3906338303</v>
      </c>
      <c r="N121" s="151">
        <v>2088464.9822849778</v>
      </c>
      <c r="O121" s="131">
        <v>1206404.7346960898</v>
      </c>
      <c r="P121" s="131">
        <f t="shared" si="21"/>
        <v>882060.24758888804</v>
      </c>
      <c r="Q121" s="131">
        <v>1850970.3256276737</v>
      </c>
      <c r="R121" s="131">
        <v>1521509.6400000001</v>
      </c>
      <c r="S121" s="131">
        <f t="shared" si="22"/>
        <v>0</v>
      </c>
      <c r="T121" s="131">
        <f t="shared" si="23"/>
        <v>1850970.3256276737</v>
      </c>
      <c r="U121" s="131">
        <v>0</v>
      </c>
      <c r="V121" s="131">
        <v>0</v>
      </c>
      <c r="W121" s="131">
        <v>0</v>
      </c>
      <c r="X121" s="131">
        <v>0</v>
      </c>
      <c r="Y121" s="131">
        <v>0</v>
      </c>
      <c r="Z121" s="131">
        <f t="shared" si="24"/>
        <v>0</v>
      </c>
      <c r="AA121" s="131">
        <v>0</v>
      </c>
      <c r="AB121" s="152">
        <f t="shared" si="25"/>
        <v>1850970.3256276737</v>
      </c>
      <c r="AC121" s="133">
        <f>IF(D121="Physician Group Practice",(AB121/$AB$393)*'1. UC Assumptions'!$C$15,IF(E121="Rural Hospital",AB121*'1. UC Assumptions'!$C$7/'1. UC Assumptions'!$E$7,(AB121/$AB$397)*('1. UC Assumptions'!$C$9)))</f>
        <v>1727761.4574152122</v>
      </c>
      <c r="AD121" s="133">
        <f t="shared" si="26"/>
        <v>0</v>
      </c>
      <c r="AE121" s="133">
        <f t="shared" si="27"/>
        <v>123208.86821246147</v>
      </c>
      <c r="AF121" s="133">
        <f t="shared" si="28"/>
        <v>0</v>
      </c>
      <c r="AG121" s="133">
        <f t="shared" si="29"/>
        <v>123208.86821246147</v>
      </c>
      <c r="AH121" s="133">
        <f t="shared" si="30"/>
        <v>1727761.4574152122</v>
      </c>
      <c r="AI121" s="131">
        <f>AH121*'1. UC Assumptions'!$C$23</f>
        <v>570161.28094701993</v>
      </c>
      <c r="AJ121" s="131">
        <v>650421.37</v>
      </c>
      <c r="AK121" s="131">
        <f>AJ121*(1-'1. UC Assumptions'!$C$22)</f>
        <v>214639.05209999997</v>
      </c>
      <c r="AL121" s="131"/>
      <c r="AM121" s="131">
        <f>AL121*'1. UC Assumptions'!$C$23</f>
        <v>0</v>
      </c>
      <c r="AN121" s="153">
        <f t="shared" si="31"/>
        <v>1850970.3256276737</v>
      </c>
      <c r="AO121" s="151">
        <f>AN121*'1. UC Assumptions'!$C$23</f>
        <v>610820.20745713229</v>
      </c>
      <c r="AP121" s="151">
        <f t="shared" si="32"/>
        <v>1200548.9556276738</v>
      </c>
      <c r="AQ121" s="151">
        <f t="shared" si="33"/>
        <v>396181.15535713232</v>
      </c>
      <c r="AR121" s="151">
        <f t="shared" si="34"/>
        <v>396181.15535713232</v>
      </c>
      <c r="AS121" s="151">
        <f t="shared" si="35"/>
        <v>610820.20745713229</v>
      </c>
      <c r="AT121" s="151">
        <f>IF(K121="Bexar",(AG121/$AT$1)*'1. UC Assumptions'!$E$44-(AH121/$AT$2)*'1. UC Assumptions'!$E$42,0)</f>
        <v>0</v>
      </c>
      <c r="AU121" s="151">
        <f>IF(K121="Dallas",(AG121/$AU$1)*'1. UC Assumptions'!$F$44-(AH121/$AU$2)*'1. UC Assumptions'!$F$42,0)</f>
        <v>0</v>
      </c>
      <c r="AV121" s="151">
        <f>IF(K121="El Paso",(AG121/$AV$1)*'1. UC Assumptions'!$G$44-(AH121/$AV$2)*'1. UC Assumptions'!$G$42,0)</f>
        <v>0</v>
      </c>
      <c r="AW121" s="151">
        <f>IF(K121="Harris",(AG121/$AW$1)*'1. UC Assumptions'!$H$44-(AH121/$AW$2)*'1. UC Assumptions'!$H$42,0)</f>
        <v>0</v>
      </c>
      <c r="AX121" s="151">
        <f>IF(K121="Hidalgo",(AG121/$AX$1)*'1. UC Assumptions'!$I$44-(AH121/$AX$2)*'1. UC Assumptions'!$I$42,0)</f>
        <v>0</v>
      </c>
      <c r="AY121" s="151">
        <f>IF(K121="Jefferson",(AG121/$AY$1)*'1. UC Assumptions'!$J$44-(AH121/$AY$2)*'1. UC Assumptions'!$J$42,0)</f>
        <v>0</v>
      </c>
      <c r="AZ121" s="151">
        <f>IF(K121="Lubbock",(AG121/$AZ$1)*'1. UC Assumptions'!$K$44-(AH121/$AZ$2)*'1. UC Assumptions'!$K$42,0)</f>
        <v>0</v>
      </c>
      <c r="BA121" s="151">
        <f>IF(K121="MRSA Central",(AG121/$BA$1)*'1. UC Assumptions'!$L$44-(AH121/$BA$2)*'1. UC Assumptions'!$L$42,0)</f>
        <v>0</v>
      </c>
      <c r="BB121" s="151">
        <f>IF(K121="MRSA Northeast",(AG121/$BB$1)*'1. UC Assumptions'!$M$44-(AH121/$BB$2)*'1. UC Assumptions'!$M$42,0)</f>
        <v>0</v>
      </c>
      <c r="BC121" s="151">
        <f>IF(K121="MRSA West",(AG121/$BC$1)*'1. UC Assumptions'!$N$44-(AH121/$BC$2)*'1. UC Assumptions'!$N$42,0)</f>
        <v>0</v>
      </c>
      <c r="BD121" s="151">
        <f>IF(K121="Nueces",(AG121/$BD$1)*'1. UC Assumptions'!$O$44-(AH121/$BD$2)*'1. UC Assumptions'!$O$42,0)</f>
        <v>0</v>
      </c>
      <c r="BE121" s="151">
        <f>IF(K121="Tarrant",(AG121/$BE$1)*'1. UC Assumptions'!$P$44-(AH121/$BE$2)*'1. UC Assumptions'!$P$42,0)</f>
        <v>0</v>
      </c>
      <c r="BF121" s="151">
        <f>IF(K121="Travis",(AG121/$BF$1)*'1. UC Assumptions'!$Q$44-(AH121/$BF$2)*'1. UC Assumptions'!$Q$42,0)</f>
        <v>0</v>
      </c>
      <c r="BG121" s="151">
        <f t="shared" si="36"/>
        <v>0</v>
      </c>
      <c r="BH121" s="151">
        <f t="shared" si="37"/>
        <v>1727761.4574152122</v>
      </c>
      <c r="BI121" s="151">
        <f>ROUNDDOWN(BH121*'1. UC Assumptions'!$C$23,2)</f>
        <v>570161.28</v>
      </c>
      <c r="BJ121" s="154">
        <f t="shared" si="38"/>
        <v>1077340.0874152123</v>
      </c>
      <c r="BK121" s="154">
        <f t="shared" si="39"/>
        <v>355522.22790000006</v>
      </c>
      <c r="BL121" s="154">
        <f t="shared" si="40"/>
        <v>994622.01</v>
      </c>
      <c r="BM121" s="154">
        <f t="shared" si="41"/>
        <v>328225.26</v>
      </c>
      <c r="BN121" s="101"/>
      <c r="BO121" s="154">
        <f>(BL121*'1. UC Assumptions'!$C$23)-'3.  UC Calculations by Hospital'!BM121</f>
        <v>3.2999999821186066E-3</v>
      </c>
      <c r="BP121" s="13"/>
    </row>
    <row r="122" spans="1:68">
      <c r="B122" s="129" t="s">
        <v>511</v>
      </c>
      <c r="C122" s="91" t="s">
        <v>511</v>
      </c>
      <c r="D122" s="91" t="s">
        <v>208</v>
      </c>
      <c r="E122" s="91" t="s">
        <v>149</v>
      </c>
      <c r="F122" s="91"/>
      <c r="G122" s="91" t="s">
        <v>209</v>
      </c>
      <c r="H122" s="91" t="s">
        <v>209</v>
      </c>
      <c r="I122" s="150" t="s">
        <v>210</v>
      </c>
      <c r="J122" s="129" t="s">
        <v>512</v>
      </c>
      <c r="K122" s="91" t="s">
        <v>12</v>
      </c>
      <c r="L122" s="91" t="s">
        <v>513</v>
      </c>
      <c r="M122" s="151">
        <v>156388.66182571521</v>
      </c>
      <c r="N122" s="151">
        <v>280509.8583850612</v>
      </c>
      <c r="O122" s="131">
        <v>118033.80809328641</v>
      </c>
      <c r="P122" s="131">
        <f t="shared" si="21"/>
        <v>162476.05029177479</v>
      </c>
      <c r="Q122" s="131">
        <v>661696.70500881912</v>
      </c>
      <c r="R122" s="131">
        <v>142103.81</v>
      </c>
      <c r="S122" s="131">
        <f t="shared" si="22"/>
        <v>0</v>
      </c>
      <c r="T122" s="131">
        <f t="shared" si="23"/>
        <v>661696.70500881912</v>
      </c>
      <c r="U122" s="131">
        <v>7573</v>
      </c>
      <c r="V122" s="131">
        <v>0</v>
      </c>
      <c r="W122" s="131">
        <v>0</v>
      </c>
      <c r="X122" s="131">
        <v>0</v>
      </c>
      <c r="Y122" s="131">
        <v>0</v>
      </c>
      <c r="Z122" s="131">
        <f t="shared" si="24"/>
        <v>7573</v>
      </c>
      <c r="AA122" s="131">
        <v>0</v>
      </c>
      <c r="AB122" s="152">
        <f t="shared" si="25"/>
        <v>669269.70500881912</v>
      </c>
      <c r="AC122" s="133">
        <f>IF(D122="Physician Group Practice",(AB122/$AB$393)*'1. UC Assumptions'!$C$15,IF(E122="Rural Hospital",AB122*'1. UC Assumptions'!$C$7/'1. UC Assumptions'!$E$7,(AB122/$AB$397)*('1. UC Assumptions'!$C$9)))</f>
        <v>624720.1183723819</v>
      </c>
      <c r="AD122" s="133">
        <f t="shared" si="26"/>
        <v>0</v>
      </c>
      <c r="AE122" s="133">
        <f t="shared" si="27"/>
        <v>44549.58663643722</v>
      </c>
      <c r="AF122" s="133">
        <f t="shared" si="28"/>
        <v>0</v>
      </c>
      <c r="AG122" s="133">
        <f t="shared" si="29"/>
        <v>44549.58663643722</v>
      </c>
      <c r="AH122" s="133">
        <f t="shared" si="30"/>
        <v>624720.1183723819</v>
      </c>
      <c r="AI122" s="131">
        <f>AH122*'1. UC Assumptions'!$C$23</f>
        <v>206157.63906288601</v>
      </c>
      <c r="AJ122" s="131">
        <v>296952.51</v>
      </c>
      <c r="AK122" s="131">
        <f>AJ122*(1-'1. UC Assumptions'!$C$22)</f>
        <v>97994.328299999994</v>
      </c>
      <c r="AL122" s="131"/>
      <c r="AM122" s="131">
        <f>AL122*'1. UC Assumptions'!$C$23</f>
        <v>0</v>
      </c>
      <c r="AN122" s="153">
        <f t="shared" si="31"/>
        <v>669269.70500881912</v>
      </c>
      <c r="AO122" s="151">
        <f>AN122*'1. UC Assumptions'!$C$23</f>
        <v>220859.00265291028</v>
      </c>
      <c r="AP122" s="151">
        <f t="shared" si="32"/>
        <v>372317.19500881911</v>
      </c>
      <c r="AQ122" s="151">
        <f t="shared" si="33"/>
        <v>122864.67435291028</v>
      </c>
      <c r="AR122" s="151">
        <f t="shared" si="34"/>
        <v>122864.67435291028</v>
      </c>
      <c r="AS122" s="151">
        <f t="shared" si="35"/>
        <v>220859.00265291028</v>
      </c>
      <c r="AT122" s="151">
        <f>IF(K122="Bexar",(AG122/$AT$1)*'1. UC Assumptions'!$E$44-(AH122/$AT$2)*'1. UC Assumptions'!$E$42,0)</f>
        <v>0</v>
      </c>
      <c r="AU122" s="151">
        <f>IF(K122="Dallas",(AG122/$AU$1)*'1. UC Assumptions'!$F$44-(AH122/$AU$2)*'1. UC Assumptions'!$F$42,0)</f>
        <v>0</v>
      </c>
      <c r="AV122" s="151">
        <f>IF(K122="El Paso",(AG122/$AV$1)*'1. UC Assumptions'!$G$44-(AH122/$AV$2)*'1. UC Assumptions'!$G$42,0)</f>
        <v>0</v>
      </c>
      <c r="AW122" s="151">
        <f>IF(K122="Harris",(AG122/$AW$1)*'1. UC Assumptions'!$H$44-(AH122/$AW$2)*'1. UC Assumptions'!$H$42,0)</f>
        <v>0</v>
      </c>
      <c r="AX122" s="151">
        <f>IF(K122="Hidalgo",(AG122/$AX$1)*'1. UC Assumptions'!$I$44-(AH122/$AX$2)*'1. UC Assumptions'!$I$42,0)</f>
        <v>0</v>
      </c>
      <c r="AY122" s="151">
        <f>IF(K122="Jefferson",(AG122/$AY$1)*'1. UC Assumptions'!$J$44-(AH122/$AY$2)*'1. UC Assumptions'!$J$42,0)</f>
        <v>0</v>
      </c>
      <c r="AZ122" s="151">
        <f>IF(K122="Lubbock",(AG122/$AZ$1)*'1. UC Assumptions'!$K$44-(AH122/$AZ$2)*'1. UC Assumptions'!$K$42,0)</f>
        <v>0</v>
      </c>
      <c r="BA122" s="151">
        <f>IF(K122="MRSA Central",(AG122/$BA$1)*'1. UC Assumptions'!$L$44-(AH122/$BA$2)*'1. UC Assumptions'!$L$42,0)</f>
        <v>0</v>
      </c>
      <c r="BB122" s="151">
        <f>IF(K122="MRSA Northeast",(AG122/$BB$1)*'1. UC Assumptions'!$M$44-(AH122/$BB$2)*'1. UC Assumptions'!$M$42,0)</f>
        <v>0</v>
      </c>
      <c r="BC122" s="151">
        <f>IF(K122="MRSA West",(AG122/$BC$1)*'1. UC Assumptions'!$N$44-(AH122/$BC$2)*'1. UC Assumptions'!$N$42,0)</f>
        <v>0</v>
      </c>
      <c r="BD122" s="151">
        <f>IF(K122="Nueces",(AG122/$BD$1)*'1. UC Assumptions'!$O$44-(AH122/$BD$2)*'1. UC Assumptions'!$O$42,0)</f>
        <v>0</v>
      </c>
      <c r="BE122" s="151">
        <f>IF(K122="Tarrant",(AG122/$BE$1)*'1. UC Assumptions'!$P$44-(AH122/$BE$2)*'1. UC Assumptions'!$P$42,0)</f>
        <v>0</v>
      </c>
      <c r="BF122" s="151">
        <f>IF(K122="Travis",(AG122/$BF$1)*'1. UC Assumptions'!$Q$44-(AH122/$BF$2)*'1. UC Assumptions'!$Q$42,0)</f>
        <v>0</v>
      </c>
      <c r="BG122" s="151">
        <f t="shared" si="36"/>
        <v>0</v>
      </c>
      <c r="BH122" s="151">
        <f t="shared" si="37"/>
        <v>624720.1183723819</v>
      </c>
      <c r="BI122" s="151">
        <f>ROUNDDOWN(BH122*'1. UC Assumptions'!$C$23,2)</f>
        <v>206157.63</v>
      </c>
      <c r="BJ122" s="154">
        <f t="shared" si="38"/>
        <v>327767.60837238189</v>
      </c>
      <c r="BK122" s="154">
        <f t="shared" si="39"/>
        <v>108163.30170000001</v>
      </c>
      <c r="BL122" s="154">
        <f t="shared" si="40"/>
        <v>302601.64</v>
      </c>
      <c r="BM122" s="154">
        <f t="shared" si="41"/>
        <v>99858.53</v>
      </c>
      <c r="BN122" s="101"/>
      <c r="BO122" s="154">
        <f>(BL122*'1. UC Assumptions'!$C$23)-'3.  UC Calculations by Hospital'!BM122</f>
        <v>1.1199999993550591E-2</v>
      </c>
      <c r="BP122" s="13"/>
    </row>
    <row r="123" spans="1:68">
      <c r="B123" s="129" t="s">
        <v>514</v>
      </c>
      <c r="C123" s="91" t="s">
        <v>514</v>
      </c>
      <c r="D123" s="91" t="s">
        <v>214</v>
      </c>
      <c r="E123" s="91" t="s">
        <v>149</v>
      </c>
      <c r="F123" s="91"/>
      <c r="G123" s="91" t="s">
        <v>209</v>
      </c>
      <c r="H123" s="91" t="s">
        <v>209</v>
      </c>
      <c r="I123" s="150" t="s">
        <v>210</v>
      </c>
      <c r="J123" s="129" t="s">
        <v>515</v>
      </c>
      <c r="K123" s="91" t="s">
        <v>10</v>
      </c>
      <c r="L123" s="91" t="s">
        <v>516</v>
      </c>
      <c r="M123" s="151">
        <v>-2322.5349468868935</v>
      </c>
      <c r="N123" s="151">
        <v>4312111.0670278156</v>
      </c>
      <c r="O123" s="131">
        <v>3276569.2354518087</v>
      </c>
      <c r="P123" s="131">
        <f t="shared" si="21"/>
        <v>1035541.831576007</v>
      </c>
      <c r="Q123" s="131">
        <v>3909506.4178712885</v>
      </c>
      <c r="R123" s="131">
        <v>0</v>
      </c>
      <c r="S123" s="131">
        <f t="shared" si="22"/>
        <v>0</v>
      </c>
      <c r="T123" s="131">
        <f t="shared" si="23"/>
        <v>3909506.4178712885</v>
      </c>
      <c r="U123" s="131">
        <v>0</v>
      </c>
      <c r="V123" s="131">
        <v>0</v>
      </c>
      <c r="W123" s="131">
        <v>0</v>
      </c>
      <c r="X123" s="131">
        <v>0</v>
      </c>
      <c r="Y123" s="131">
        <v>0</v>
      </c>
      <c r="Z123" s="131">
        <f t="shared" si="24"/>
        <v>0</v>
      </c>
      <c r="AA123" s="131">
        <v>0</v>
      </c>
      <c r="AB123" s="152">
        <f t="shared" si="25"/>
        <v>3909506.4178712885</v>
      </c>
      <c r="AC123" s="133">
        <f>IF(D123="Physician Group Practice",(AB123/$AB$393)*'1. UC Assumptions'!$C$15,IF(E123="Rural Hospital",AB123*'1. UC Assumptions'!$C$7/'1. UC Assumptions'!$E$7,(AB123/$AB$397)*('1. UC Assumptions'!$C$9)))</f>
        <v>3649272.1751359636</v>
      </c>
      <c r="AD123" s="133">
        <f t="shared" si="26"/>
        <v>0</v>
      </c>
      <c r="AE123" s="133">
        <f t="shared" si="27"/>
        <v>260234.24273532489</v>
      </c>
      <c r="AF123" s="133">
        <f t="shared" si="28"/>
        <v>0</v>
      </c>
      <c r="AG123" s="133">
        <f t="shared" si="29"/>
        <v>260234.24273532489</v>
      </c>
      <c r="AH123" s="133">
        <f t="shared" si="30"/>
        <v>3649272.1751359636</v>
      </c>
      <c r="AI123" s="131">
        <f>AH123*'1. UC Assumptions'!$C$23</f>
        <v>1204259.8177948678</v>
      </c>
      <c r="AJ123" s="131">
        <v>1963947.74</v>
      </c>
      <c r="AK123" s="131">
        <f>AJ123*(1-'1. UC Assumptions'!$C$22)</f>
        <v>648102.75419999997</v>
      </c>
      <c r="AL123" s="131"/>
      <c r="AM123" s="131">
        <f>AL123*'1. UC Assumptions'!$C$23</f>
        <v>0</v>
      </c>
      <c r="AN123" s="153">
        <f t="shared" si="31"/>
        <v>3909506.4178712885</v>
      </c>
      <c r="AO123" s="151">
        <f>AN123*'1. UC Assumptions'!$C$23</f>
        <v>1290137.117897525</v>
      </c>
      <c r="AP123" s="151">
        <f t="shared" si="32"/>
        <v>1945558.6778712885</v>
      </c>
      <c r="AQ123" s="151">
        <f t="shared" si="33"/>
        <v>642034.363697525</v>
      </c>
      <c r="AR123" s="151">
        <f t="shared" si="34"/>
        <v>642034.363697525</v>
      </c>
      <c r="AS123" s="151">
        <f t="shared" si="35"/>
        <v>1290137.117897525</v>
      </c>
      <c r="AT123" s="151">
        <f>IF(K123="Bexar",(AG123/$AT$1)*'1. UC Assumptions'!$E$44-(AH123/$AT$2)*'1. UC Assumptions'!$E$42,0)</f>
        <v>0</v>
      </c>
      <c r="AU123" s="151">
        <f>IF(K123="Dallas",(AG123/$AU$1)*'1. UC Assumptions'!$F$44-(AH123/$AU$2)*'1. UC Assumptions'!$F$42,0)</f>
        <v>0</v>
      </c>
      <c r="AV123" s="151">
        <f>IF(K123="El Paso",(AG123/$AV$1)*'1. UC Assumptions'!$G$44-(AH123/$AV$2)*'1. UC Assumptions'!$G$42,0)</f>
        <v>0</v>
      </c>
      <c r="AW123" s="151">
        <f>IF(K123="Harris",(AG123/$AW$1)*'1. UC Assumptions'!$H$44-(AH123/$AW$2)*'1. UC Assumptions'!$H$42,0)</f>
        <v>0</v>
      </c>
      <c r="AX123" s="151">
        <f>IF(K123="Hidalgo",(AG123/$AX$1)*'1. UC Assumptions'!$I$44-(AH123/$AX$2)*'1. UC Assumptions'!$I$42,0)</f>
        <v>0</v>
      </c>
      <c r="AY123" s="151">
        <f>IF(K123="Jefferson",(AG123/$AY$1)*'1. UC Assumptions'!$J$44-(AH123/$AY$2)*'1. UC Assumptions'!$J$42,0)</f>
        <v>0</v>
      </c>
      <c r="AZ123" s="151">
        <f>IF(K123="Lubbock",(AG123/$AZ$1)*'1. UC Assumptions'!$K$44-(AH123/$AZ$2)*'1. UC Assumptions'!$K$42,0)</f>
        <v>0</v>
      </c>
      <c r="BA123" s="151">
        <f>IF(K123="MRSA Central",(AG123/$BA$1)*'1. UC Assumptions'!$L$44-(AH123/$BA$2)*'1. UC Assumptions'!$L$42,0)</f>
        <v>0</v>
      </c>
      <c r="BB123" s="151">
        <f>IF(K123="MRSA Northeast",(AG123/$BB$1)*'1. UC Assumptions'!$M$44-(AH123/$BB$2)*'1. UC Assumptions'!$M$42,0)</f>
        <v>0</v>
      </c>
      <c r="BC123" s="151">
        <f>IF(K123="MRSA West",(AG123/$BC$1)*'1. UC Assumptions'!$N$44-(AH123/$BC$2)*'1. UC Assumptions'!$N$42,0)</f>
        <v>0</v>
      </c>
      <c r="BD123" s="151">
        <f>IF(K123="Nueces",(AG123/$BD$1)*'1. UC Assumptions'!$O$44-(AH123/$BD$2)*'1. UC Assumptions'!$O$42,0)</f>
        <v>0</v>
      </c>
      <c r="BE123" s="151">
        <f>IF(K123="Tarrant",(AG123/$BE$1)*'1. UC Assumptions'!$P$44-(AH123/$BE$2)*'1. UC Assumptions'!$P$42,0)</f>
        <v>0</v>
      </c>
      <c r="BF123" s="151">
        <f>IF(K123="Travis",(AG123/$BF$1)*'1. UC Assumptions'!$Q$44-(AH123/$BF$2)*'1. UC Assumptions'!$Q$42,0)</f>
        <v>0</v>
      </c>
      <c r="BG123" s="151">
        <f t="shared" si="36"/>
        <v>0</v>
      </c>
      <c r="BH123" s="151">
        <f t="shared" si="37"/>
        <v>3649272.1751359636</v>
      </c>
      <c r="BI123" s="151">
        <f>ROUNDDOWN(BH123*'1. UC Assumptions'!$C$23,2)</f>
        <v>1204259.81</v>
      </c>
      <c r="BJ123" s="154">
        <f t="shared" si="38"/>
        <v>1685324.4351359636</v>
      </c>
      <c r="BK123" s="154">
        <f t="shared" si="39"/>
        <v>556157.05580000009</v>
      </c>
      <c r="BL123" s="154">
        <f t="shared" si="40"/>
        <v>1555925.37</v>
      </c>
      <c r="BM123" s="154">
        <f t="shared" si="41"/>
        <v>513455.35999999999</v>
      </c>
      <c r="BN123" s="101"/>
      <c r="BO123" s="154">
        <f>(BL123*'1. UC Assumptions'!$C$23)-'3.  UC Calculations by Hospital'!BM123</f>
        <v>1.2099999992642552E-2</v>
      </c>
      <c r="BP123" s="13"/>
    </row>
    <row r="124" spans="1:68">
      <c r="B124" s="129" t="s">
        <v>517</v>
      </c>
      <c r="C124" s="91" t="s">
        <v>517</v>
      </c>
      <c r="D124" s="91" t="s">
        <v>208</v>
      </c>
      <c r="E124" s="91" t="s">
        <v>149</v>
      </c>
      <c r="F124" s="91"/>
      <c r="G124" s="91" t="s">
        <v>209</v>
      </c>
      <c r="H124" s="91" t="s">
        <v>209</v>
      </c>
      <c r="I124" s="150" t="s">
        <v>210</v>
      </c>
      <c r="J124" s="129" t="s">
        <v>518</v>
      </c>
      <c r="K124" s="91" t="s">
        <v>12</v>
      </c>
      <c r="L124" s="91" t="s">
        <v>362</v>
      </c>
      <c r="M124" s="151">
        <v>185089.11000634878</v>
      </c>
      <c r="N124" s="151">
        <v>0</v>
      </c>
      <c r="O124" s="131">
        <v>0</v>
      </c>
      <c r="P124" s="131">
        <f t="shared" si="21"/>
        <v>0</v>
      </c>
      <c r="Q124" s="131">
        <v>1152043.2410953983</v>
      </c>
      <c r="R124" s="131">
        <v>0</v>
      </c>
      <c r="S124" s="131">
        <f t="shared" si="22"/>
        <v>0</v>
      </c>
      <c r="T124" s="131">
        <f t="shared" si="23"/>
        <v>1152043.2410953983</v>
      </c>
      <c r="U124" s="131">
        <v>0</v>
      </c>
      <c r="V124" s="131">
        <v>0</v>
      </c>
      <c r="W124" s="131">
        <v>0</v>
      </c>
      <c r="X124" s="131">
        <v>0</v>
      </c>
      <c r="Y124" s="131">
        <v>0</v>
      </c>
      <c r="Z124" s="131">
        <f t="shared" si="24"/>
        <v>0</v>
      </c>
      <c r="AA124" s="131">
        <v>0</v>
      </c>
      <c r="AB124" s="152">
        <f t="shared" si="25"/>
        <v>1152043.2410953983</v>
      </c>
      <c r="AC124" s="133">
        <f>IF(D124="Physician Group Practice",(AB124/$AB$393)*'1. UC Assumptions'!$C$15,IF(E124="Rural Hospital",AB124*'1. UC Assumptions'!$C$7/'1. UC Assumptions'!$E$7,(AB124/$AB$397)*('1. UC Assumptions'!$C$9)))</f>
        <v>1075358.0874211779</v>
      </c>
      <c r="AD124" s="133">
        <f t="shared" si="26"/>
        <v>0</v>
      </c>
      <c r="AE124" s="133">
        <f t="shared" si="27"/>
        <v>76685.153674220433</v>
      </c>
      <c r="AF124" s="133">
        <f t="shared" si="28"/>
        <v>0</v>
      </c>
      <c r="AG124" s="133">
        <f t="shared" si="29"/>
        <v>76685.153674220433</v>
      </c>
      <c r="AH124" s="133">
        <f t="shared" si="30"/>
        <v>1075358.0874211779</v>
      </c>
      <c r="AI124" s="131">
        <f>AH124*'1. UC Assumptions'!$C$23</f>
        <v>354868.16884898866</v>
      </c>
      <c r="AJ124" s="131">
        <v>190393.44</v>
      </c>
      <c r="AK124" s="131">
        <f>AJ124*(1-'1. UC Assumptions'!$C$22)</f>
        <v>62829.835199999994</v>
      </c>
      <c r="AL124" s="131"/>
      <c r="AM124" s="131">
        <f>AL124*'1. UC Assumptions'!$C$23</f>
        <v>0</v>
      </c>
      <c r="AN124" s="153">
        <f t="shared" si="31"/>
        <v>1152043.2410953983</v>
      </c>
      <c r="AO124" s="151">
        <f>AN124*'1. UC Assumptions'!$C$23</f>
        <v>380174.26956148137</v>
      </c>
      <c r="AP124" s="151">
        <f t="shared" si="32"/>
        <v>961649.80109539838</v>
      </c>
      <c r="AQ124" s="151">
        <f t="shared" si="33"/>
        <v>317344.4343614814</v>
      </c>
      <c r="AR124" s="151">
        <f t="shared" si="34"/>
        <v>317344.4343614814</v>
      </c>
      <c r="AS124" s="151">
        <f t="shared" si="35"/>
        <v>380174.26956148137</v>
      </c>
      <c r="AT124" s="151">
        <f>IF(K124="Bexar",(AG124/$AT$1)*'1. UC Assumptions'!$E$44-(AH124/$AT$2)*'1. UC Assumptions'!$E$42,0)</f>
        <v>0</v>
      </c>
      <c r="AU124" s="151">
        <f>IF(K124="Dallas",(AG124/$AU$1)*'1. UC Assumptions'!$F$44-(AH124/$AU$2)*'1. UC Assumptions'!$F$42,0)</f>
        <v>0</v>
      </c>
      <c r="AV124" s="151">
        <f>IF(K124="El Paso",(AG124/$AV$1)*'1. UC Assumptions'!$G$44-(AH124/$AV$2)*'1. UC Assumptions'!$G$42,0)</f>
        <v>0</v>
      </c>
      <c r="AW124" s="151">
        <f>IF(K124="Harris",(AG124/$AW$1)*'1. UC Assumptions'!$H$44-(AH124/$AW$2)*'1. UC Assumptions'!$H$42,0)</f>
        <v>0</v>
      </c>
      <c r="AX124" s="151">
        <f>IF(K124="Hidalgo",(AG124/$AX$1)*'1. UC Assumptions'!$I$44-(AH124/$AX$2)*'1. UC Assumptions'!$I$42,0)</f>
        <v>0</v>
      </c>
      <c r="AY124" s="151">
        <f>IF(K124="Jefferson",(AG124/$AY$1)*'1. UC Assumptions'!$J$44-(AH124/$AY$2)*'1. UC Assumptions'!$J$42,0)</f>
        <v>0</v>
      </c>
      <c r="AZ124" s="151">
        <f>IF(K124="Lubbock",(AG124/$AZ$1)*'1. UC Assumptions'!$K$44-(AH124/$AZ$2)*'1. UC Assumptions'!$K$42,0)</f>
        <v>0</v>
      </c>
      <c r="BA124" s="151">
        <f>IF(K124="MRSA Central",(AG124/$BA$1)*'1. UC Assumptions'!$L$44-(AH124/$BA$2)*'1. UC Assumptions'!$L$42,0)</f>
        <v>0</v>
      </c>
      <c r="BB124" s="151">
        <f>IF(K124="MRSA Northeast",(AG124/$BB$1)*'1. UC Assumptions'!$M$44-(AH124/$BB$2)*'1. UC Assumptions'!$M$42,0)</f>
        <v>0</v>
      </c>
      <c r="BC124" s="151">
        <f>IF(K124="MRSA West",(AG124/$BC$1)*'1. UC Assumptions'!$N$44-(AH124/$BC$2)*'1. UC Assumptions'!$N$42,0)</f>
        <v>0</v>
      </c>
      <c r="BD124" s="151">
        <f>IF(K124="Nueces",(AG124/$BD$1)*'1. UC Assumptions'!$O$44-(AH124/$BD$2)*'1. UC Assumptions'!$O$42,0)</f>
        <v>0</v>
      </c>
      <c r="BE124" s="151">
        <f>IF(K124="Tarrant",(AG124/$BE$1)*'1. UC Assumptions'!$P$44-(AH124/$BE$2)*'1. UC Assumptions'!$P$42,0)</f>
        <v>0</v>
      </c>
      <c r="BF124" s="151">
        <f>IF(K124="Travis",(AG124/$BF$1)*'1. UC Assumptions'!$Q$44-(AH124/$BF$2)*'1. UC Assumptions'!$Q$42,0)</f>
        <v>0</v>
      </c>
      <c r="BG124" s="151">
        <f t="shared" si="36"/>
        <v>0</v>
      </c>
      <c r="BH124" s="151">
        <f t="shared" si="37"/>
        <v>1075358.0874211779</v>
      </c>
      <c r="BI124" s="151">
        <f>ROUNDDOWN(BH124*'1. UC Assumptions'!$C$23,2)</f>
        <v>354868.16</v>
      </c>
      <c r="BJ124" s="154">
        <f t="shared" si="38"/>
        <v>884964.64742117794</v>
      </c>
      <c r="BK124" s="154">
        <f t="shared" si="39"/>
        <v>292038.3248</v>
      </c>
      <c r="BL124" s="154">
        <f t="shared" si="40"/>
        <v>817017.14</v>
      </c>
      <c r="BM124" s="154">
        <f t="shared" si="41"/>
        <v>269615.65000000002</v>
      </c>
      <c r="BN124" s="101"/>
      <c r="BO124" s="154">
        <f>(BL124*'1. UC Assumptions'!$C$23)-'3.  UC Calculations by Hospital'!BM124</f>
        <v>6.1999999452382326E-3</v>
      </c>
      <c r="BP124" s="13"/>
    </row>
    <row r="125" spans="1:68">
      <c r="B125" s="129" t="s">
        <v>519</v>
      </c>
      <c r="C125" s="91" t="s">
        <v>519</v>
      </c>
      <c r="D125" s="91" t="s">
        <v>208</v>
      </c>
      <c r="E125" s="91" t="s">
        <v>149</v>
      </c>
      <c r="F125" s="91"/>
      <c r="G125" s="91" t="s">
        <v>209</v>
      </c>
      <c r="H125" s="91" t="s">
        <v>209</v>
      </c>
      <c r="I125" s="150" t="s">
        <v>210</v>
      </c>
      <c r="J125" s="129" t="s">
        <v>520</v>
      </c>
      <c r="K125" s="91" t="s">
        <v>12</v>
      </c>
      <c r="L125" s="91" t="s">
        <v>521</v>
      </c>
      <c r="M125" s="151">
        <v>230436.41772211198</v>
      </c>
      <c r="N125" s="151">
        <v>0</v>
      </c>
      <c r="O125" s="131">
        <v>0</v>
      </c>
      <c r="P125" s="131">
        <f t="shared" si="21"/>
        <v>0</v>
      </c>
      <c r="Q125" s="131">
        <v>778455.61460692482</v>
      </c>
      <c r="R125" s="131">
        <v>0</v>
      </c>
      <c r="S125" s="131">
        <f t="shared" si="22"/>
        <v>0</v>
      </c>
      <c r="T125" s="131">
        <f t="shared" si="23"/>
        <v>778455.61460692482</v>
      </c>
      <c r="U125" s="131">
        <v>0</v>
      </c>
      <c r="V125" s="131">
        <v>0</v>
      </c>
      <c r="W125" s="131">
        <v>0</v>
      </c>
      <c r="X125" s="131">
        <v>0</v>
      </c>
      <c r="Y125" s="131">
        <v>0</v>
      </c>
      <c r="Z125" s="131">
        <f t="shared" si="24"/>
        <v>0</v>
      </c>
      <c r="AA125" s="131">
        <v>0</v>
      </c>
      <c r="AB125" s="152">
        <f t="shared" si="25"/>
        <v>778455.61460692482</v>
      </c>
      <c r="AC125" s="133">
        <f>IF(D125="Physician Group Practice",(AB125/$AB$393)*'1. UC Assumptions'!$C$15,IF(E125="Rural Hospital",AB125*'1. UC Assumptions'!$C$7/'1. UC Assumptions'!$E$7,(AB125/$AB$397)*('1. UC Assumptions'!$C$9)))</f>
        <v>726638.12520615291</v>
      </c>
      <c r="AD125" s="133">
        <f t="shared" si="26"/>
        <v>0</v>
      </c>
      <c r="AE125" s="133">
        <f t="shared" si="27"/>
        <v>51817.489400771912</v>
      </c>
      <c r="AF125" s="133">
        <f t="shared" si="28"/>
        <v>0</v>
      </c>
      <c r="AG125" s="133">
        <f t="shared" si="29"/>
        <v>51817.489400771912</v>
      </c>
      <c r="AH125" s="133">
        <f t="shared" si="30"/>
        <v>726638.12520615291</v>
      </c>
      <c r="AI125" s="131">
        <f>AH125*'1. UC Assumptions'!$C$23</f>
        <v>239790.58131803042</v>
      </c>
      <c r="AJ125" s="131">
        <v>244753.57</v>
      </c>
      <c r="AK125" s="131">
        <f>AJ125*(1-'1. UC Assumptions'!$C$22)</f>
        <v>80768.67809999999</v>
      </c>
      <c r="AL125" s="131"/>
      <c r="AM125" s="131">
        <f>AL125*'1. UC Assumptions'!$C$23</f>
        <v>0</v>
      </c>
      <c r="AN125" s="153">
        <f t="shared" si="31"/>
        <v>778455.61460692482</v>
      </c>
      <c r="AO125" s="151">
        <f>AN125*'1. UC Assumptions'!$C$23</f>
        <v>256890.35282028516</v>
      </c>
      <c r="AP125" s="151">
        <f t="shared" si="32"/>
        <v>533702.04460692476</v>
      </c>
      <c r="AQ125" s="151">
        <f t="shared" si="33"/>
        <v>176121.67472028517</v>
      </c>
      <c r="AR125" s="151">
        <f t="shared" si="34"/>
        <v>176121.67472028517</v>
      </c>
      <c r="AS125" s="151">
        <f t="shared" si="35"/>
        <v>256890.35282028516</v>
      </c>
      <c r="AT125" s="151">
        <f>IF(K125="Bexar",(AG125/$AT$1)*'1. UC Assumptions'!$E$44-(AH125/$AT$2)*'1. UC Assumptions'!$E$42,0)</f>
        <v>0</v>
      </c>
      <c r="AU125" s="151">
        <f>IF(K125="Dallas",(AG125/$AU$1)*'1. UC Assumptions'!$F$44-(AH125/$AU$2)*'1. UC Assumptions'!$F$42,0)</f>
        <v>0</v>
      </c>
      <c r="AV125" s="151">
        <f>IF(K125="El Paso",(AG125/$AV$1)*'1. UC Assumptions'!$G$44-(AH125/$AV$2)*'1. UC Assumptions'!$G$42,0)</f>
        <v>0</v>
      </c>
      <c r="AW125" s="151">
        <f>IF(K125="Harris",(AG125/$AW$1)*'1. UC Assumptions'!$H$44-(AH125/$AW$2)*'1. UC Assumptions'!$H$42,0)</f>
        <v>0</v>
      </c>
      <c r="AX125" s="151">
        <f>IF(K125="Hidalgo",(AG125/$AX$1)*'1. UC Assumptions'!$I$44-(AH125/$AX$2)*'1. UC Assumptions'!$I$42,0)</f>
        <v>0</v>
      </c>
      <c r="AY125" s="151">
        <f>IF(K125="Jefferson",(AG125/$AY$1)*'1. UC Assumptions'!$J$44-(AH125/$AY$2)*'1. UC Assumptions'!$J$42,0)</f>
        <v>0</v>
      </c>
      <c r="AZ125" s="151">
        <f>IF(K125="Lubbock",(AG125/$AZ$1)*'1. UC Assumptions'!$K$44-(AH125/$AZ$2)*'1. UC Assumptions'!$K$42,0)</f>
        <v>0</v>
      </c>
      <c r="BA125" s="151">
        <f>IF(K125="MRSA Central",(AG125/$BA$1)*'1. UC Assumptions'!$L$44-(AH125/$BA$2)*'1. UC Assumptions'!$L$42,0)</f>
        <v>0</v>
      </c>
      <c r="BB125" s="151">
        <f>IF(K125="MRSA Northeast",(AG125/$BB$1)*'1. UC Assumptions'!$M$44-(AH125/$BB$2)*'1. UC Assumptions'!$M$42,0)</f>
        <v>0</v>
      </c>
      <c r="BC125" s="151">
        <f>IF(K125="MRSA West",(AG125/$BC$1)*'1. UC Assumptions'!$N$44-(AH125/$BC$2)*'1. UC Assumptions'!$N$42,0)</f>
        <v>0</v>
      </c>
      <c r="BD125" s="151">
        <f>IF(K125="Nueces",(AG125/$BD$1)*'1. UC Assumptions'!$O$44-(AH125/$BD$2)*'1. UC Assumptions'!$O$42,0)</f>
        <v>0</v>
      </c>
      <c r="BE125" s="151">
        <f>IF(K125="Tarrant",(AG125/$BE$1)*'1. UC Assumptions'!$P$44-(AH125/$BE$2)*'1. UC Assumptions'!$P$42,0)</f>
        <v>0</v>
      </c>
      <c r="BF125" s="151">
        <f>IF(K125="Travis",(AG125/$BF$1)*'1. UC Assumptions'!$Q$44-(AH125/$BF$2)*'1. UC Assumptions'!$Q$42,0)</f>
        <v>0</v>
      </c>
      <c r="BG125" s="151">
        <f t="shared" si="36"/>
        <v>0</v>
      </c>
      <c r="BH125" s="151">
        <f t="shared" si="37"/>
        <v>726638.12520615291</v>
      </c>
      <c r="BI125" s="151">
        <f>ROUNDDOWN(BH125*'1. UC Assumptions'!$C$23,2)</f>
        <v>239790.58</v>
      </c>
      <c r="BJ125" s="154">
        <f t="shared" si="38"/>
        <v>481884.5552061529</v>
      </c>
      <c r="BK125" s="154">
        <f t="shared" si="39"/>
        <v>159021.9019</v>
      </c>
      <c r="BL125" s="154">
        <f t="shared" si="40"/>
        <v>444885.5</v>
      </c>
      <c r="BM125" s="154">
        <f t="shared" si="41"/>
        <v>146812.21</v>
      </c>
      <c r="BN125" s="101"/>
      <c r="BO125" s="154">
        <f>(BL125*'1. UC Assumptions'!$C$23)-'3.  UC Calculations by Hospital'!BM125</f>
        <v>5.0000000046566129E-3</v>
      </c>
      <c r="BP125" s="13"/>
    </row>
    <row r="126" spans="1:68">
      <c r="B126" s="129" t="s">
        <v>522</v>
      </c>
      <c r="C126" s="91" t="s">
        <v>522</v>
      </c>
      <c r="D126" s="91" t="s">
        <v>214</v>
      </c>
      <c r="E126" s="91" t="s">
        <v>209</v>
      </c>
      <c r="F126" s="91"/>
      <c r="G126" s="91" t="s">
        <v>209</v>
      </c>
      <c r="H126" s="91" t="s">
        <v>209</v>
      </c>
      <c r="I126" s="150" t="s">
        <v>210</v>
      </c>
      <c r="J126" s="129" t="s">
        <v>523</v>
      </c>
      <c r="K126" s="91" t="s">
        <v>6</v>
      </c>
      <c r="L126" s="91" t="s">
        <v>6</v>
      </c>
      <c r="M126" s="151">
        <v>-22428134.639778994</v>
      </c>
      <c r="N126" s="151">
        <v>41282094.522734188</v>
      </c>
      <c r="O126" s="131">
        <v>33497802.223406121</v>
      </c>
      <c r="P126" s="131">
        <f t="shared" si="21"/>
        <v>7784292.2993280664</v>
      </c>
      <c r="Q126" s="131">
        <v>41845101.705029562</v>
      </c>
      <c r="R126" s="131">
        <v>13909533.569999998</v>
      </c>
      <c r="S126" s="131">
        <f t="shared" si="22"/>
        <v>13909533.569999998</v>
      </c>
      <c r="T126" s="131">
        <f t="shared" si="23"/>
        <v>27935568.135029562</v>
      </c>
      <c r="U126" s="131">
        <v>1330032</v>
      </c>
      <c r="V126" s="131">
        <v>0</v>
      </c>
      <c r="W126" s="131">
        <v>0</v>
      </c>
      <c r="X126" s="131">
        <v>0</v>
      </c>
      <c r="Y126" s="131">
        <v>5244623.4115972705</v>
      </c>
      <c r="Z126" s="131">
        <f t="shared" si="24"/>
        <v>6574655.4115972705</v>
      </c>
      <c r="AA126" s="131">
        <v>0</v>
      </c>
      <c r="AB126" s="152">
        <f t="shared" si="25"/>
        <v>34510223.546626836</v>
      </c>
      <c r="AC126" s="133">
        <f>IF(D126="Physician Group Practice",(AB126/$AB$393)*'1. UC Assumptions'!$C$15,IF(E126="Rural Hospital",AB126*'1. UC Assumptions'!$C$7/'1. UC Assumptions'!$E$7,(AB126/$AB$397)*('1. UC Assumptions'!$C$9)))</f>
        <v>16224829.987158047</v>
      </c>
      <c r="AD126" s="133">
        <f t="shared" si="26"/>
        <v>0</v>
      </c>
      <c r="AE126" s="133">
        <f t="shared" si="27"/>
        <v>18285393.559468791</v>
      </c>
      <c r="AF126" s="133">
        <f t="shared" si="28"/>
        <v>0</v>
      </c>
      <c r="AG126" s="133">
        <f t="shared" si="29"/>
        <v>18285393.559468791</v>
      </c>
      <c r="AH126" s="133">
        <f t="shared" si="30"/>
        <v>16224829.987158047</v>
      </c>
      <c r="AI126" s="131">
        <f>AH126*'1. UC Assumptions'!$C$23</f>
        <v>5354193.8957621548</v>
      </c>
      <c r="AJ126" s="131">
        <v>15909551.970000001</v>
      </c>
      <c r="AK126" s="131">
        <f>AJ126*(1-'1. UC Assumptions'!$C$22)</f>
        <v>5250152.1500999993</v>
      </c>
      <c r="AL126" s="131"/>
      <c r="AM126" s="131">
        <f>AL126*'1. UC Assumptions'!$C$23</f>
        <v>0</v>
      </c>
      <c r="AN126" s="153">
        <f t="shared" si="31"/>
        <v>34510223.546626836</v>
      </c>
      <c r="AO126" s="151">
        <f>AN126*'1. UC Assumptions'!$C$23</f>
        <v>11388373.770386854</v>
      </c>
      <c r="AP126" s="151">
        <f t="shared" si="32"/>
        <v>18600671.576626837</v>
      </c>
      <c r="AQ126" s="151">
        <f t="shared" si="33"/>
        <v>6138221.6202868549</v>
      </c>
      <c r="AR126" s="151">
        <f t="shared" si="34"/>
        <v>6138221.6202868549</v>
      </c>
      <c r="AS126" s="151">
        <f t="shared" si="35"/>
        <v>11388373.770386854</v>
      </c>
      <c r="AT126" s="151">
        <f>IF(K126="Bexar",(AG126/$AT$1)*'1. UC Assumptions'!$E$44-(AH126/$AT$2)*'1. UC Assumptions'!$E$42,0)</f>
        <v>0</v>
      </c>
      <c r="AU126" s="151">
        <f>IF(K126="Dallas",(AG126/$AU$1)*'1. UC Assumptions'!$F$44-(AH126/$AU$2)*'1. UC Assumptions'!$F$42,0)</f>
        <v>0</v>
      </c>
      <c r="AV126" s="151">
        <f>IF(K126="El Paso",(AG126/$AV$1)*'1. UC Assumptions'!$G$44-(AH126/$AV$2)*'1. UC Assumptions'!$G$42,0)</f>
        <v>0</v>
      </c>
      <c r="AW126" s="151">
        <f>IF(K126="Harris",(AG126/$AW$1)*'1. UC Assumptions'!$H$44-(AH126/$AW$2)*'1. UC Assumptions'!$H$42,0)</f>
        <v>0</v>
      </c>
      <c r="AX126" s="151">
        <f>IF(K126="Hidalgo",(AG126/$AX$1)*'1. UC Assumptions'!$I$44-(AH126/$AX$2)*'1. UC Assumptions'!$I$42,0)</f>
        <v>0</v>
      </c>
      <c r="AY126" s="151">
        <f>IF(K126="Jefferson",(AG126/$AY$1)*'1. UC Assumptions'!$J$44-(AH126/$AY$2)*'1. UC Assumptions'!$J$42,0)</f>
        <v>0</v>
      </c>
      <c r="AZ126" s="151">
        <f>IF(K126="Lubbock",(AG126/$AZ$1)*'1. UC Assumptions'!$K$44-(AH126/$AZ$2)*'1. UC Assumptions'!$K$42,0)</f>
        <v>0</v>
      </c>
      <c r="BA126" s="151">
        <f>IF(K126="MRSA Central",(AG126/$BA$1)*'1. UC Assumptions'!$L$44-(AH126/$BA$2)*'1. UC Assumptions'!$L$42,0)</f>
        <v>0</v>
      </c>
      <c r="BB126" s="151">
        <f>IF(K126="MRSA Northeast",(AG126/$BB$1)*'1. UC Assumptions'!$M$44-(AH126/$BB$2)*'1. UC Assumptions'!$M$42,0)</f>
        <v>0</v>
      </c>
      <c r="BC126" s="151">
        <f>IF(K126="MRSA West",(AG126/$BC$1)*'1. UC Assumptions'!$N$44-(AH126/$BC$2)*'1. UC Assumptions'!$N$42,0)</f>
        <v>0</v>
      </c>
      <c r="BD126" s="151">
        <f>IF(K126="Nueces",(AG126/$BD$1)*'1. UC Assumptions'!$O$44-(AH126/$BD$2)*'1. UC Assumptions'!$O$42,0)</f>
        <v>0</v>
      </c>
      <c r="BE126" s="151">
        <f>IF(K126="Tarrant",(AG126/$BE$1)*'1. UC Assumptions'!$P$44-(AH126/$BE$2)*'1. UC Assumptions'!$P$42,0)</f>
        <v>0</v>
      </c>
      <c r="BF126" s="151">
        <f>IF(K126="Travis",(AG126/$BF$1)*'1. UC Assumptions'!$Q$44-(AH126/$BF$2)*'1. UC Assumptions'!$Q$42,0)</f>
        <v>0</v>
      </c>
      <c r="BG126" s="151">
        <f t="shared" si="36"/>
        <v>0</v>
      </c>
      <c r="BH126" s="151">
        <f t="shared" si="37"/>
        <v>16224829.987158047</v>
      </c>
      <c r="BI126" s="151">
        <f>ROUNDDOWN(BH126*'1. UC Assumptions'!$C$23,2)</f>
        <v>5354193.8899999997</v>
      </c>
      <c r="BJ126" s="154">
        <f t="shared" si="38"/>
        <v>315278.01715804636</v>
      </c>
      <c r="BK126" s="154">
        <f t="shared" si="39"/>
        <v>104041.73990000039</v>
      </c>
      <c r="BL126" s="154">
        <f t="shared" si="40"/>
        <v>291071</v>
      </c>
      <c r="BM126" s="154">
        <f t="shared" si="41"/>
        <v>96053.42</v>
      </c>
      <c r="BN126" s="101"/>
      <c r="BO126" s="154">
        <f>(BL126*'1. UC Assumptions'!$C$23)-'3.  UC Calculations by Hospital'!BM126</f>
        <v>9.9999999947613105E-3</v>
      </c>
      <c r="BP126" s="13"/>
    </row>
    <row r="127" spans="1:68">
      <c r="B127" s="129" t="s">
        <v>524</v>
      </c>
      <c r="C127" s="91" t="s">
        <v>524</v>
      </c>
      <c r="D127" s="91" t="s">
        <v>208</v>
      </c>
      <c r="E127" s="91" t="s">
        <v>149</v>
      </c>
      <c r="F127" s="91"/>
      <c r="G127" s="91" t="s">
        <v>209</v>
      </c>
      <c r="H127" s="91" t="s">
        <v>209</v>
      </c>
      <c r="I127" s="150" t="s">
        <v>210</v>
      </c>
      <c r="J127" s="129" t="s">
        <v>525</v>
      </c>
      <c r="K127" s="91" t="s">
        <v>10</v>
      </c>
      <c r="L127" s="91" t="s">
        <v>526</v>
      </c>
      <c r="M127" s="151">
        <v>384073.11568765459</v>
      </c>
      <c r="N127" s="151">
        <v>1588948.7341524728</v>
      </c>
      <c r="O127" s="131">
        <v>771349.41542453761</v>
      </c>
      <c r="P127" s="131">
        <f t="shared" si="21"/>
        <v>817599.3187279352</v>
      </c>
      <c r="Q127" s="131">
        <v>1290015.0088159489</v>
      </c>
      <c r="R127" s="131">
        <v>500796.14</v>
      </c>
      <c r="S127" s="131">
        <f t="shared" si="22"/>
        <v>0</v>
      </c>
      <c r="T127" s="131">
        <f t="shared" si="23"/>
        <v>1290015.0088159489</v>
      </c>
      <c r="U127" s="131">
        <v>0</v>
      </c>
      <c r="V127" s="131">
        <v>0</v>
      </c>
      <c r="W127" s="131">
        <v>0</v>
      </c>
      <c r="X127" s="131">
        <v>0</v>
      </c>
      <c r="Y127" s="131">
        <v>0</v>
      </c>
      <c r="Z127" s="131">
        <f t="shared" si="24"/>
        <v>0</v>
      </c>
      <c r="AA127" s="131">
        <v>0</v>
      </c>
      <c r="AB127" s="152">
        <f t="shared" si="25"/>
        <v>1290015.0088159489</v>
      </c>
      <c r="AC127" s="133">
        <f>IF(D127="Physician Group Practice",(AB127/$AB$393)*'1. UC Assumptions'!$C$15,IF(E127="Rural Hospital",AB127*'1. UC Assumptions'!$C$7/'1. UC Assumptions'!$E$7,(AB127/$AB$397)*('1. UC Assumptions'!$C$9)))</f>
        <v>1204145.8368402156</v>
      </c>
      <c r="AD127" s="133">
        <f t="shared" si="26"/>
        <v>0</v>
      </c>
      <c r="AE127" s="133">
        <f t="shared" si="27"/>
        <v>85869.171975733247</v>
      </c>
      <c r="AF127" s="133">
        <f t="shared" si="28"/>
        <v>0</v>
      </c>
      <c r="AG127" s="133">
        <f t="shared" si="29"/>
        <v>85869.171975733247</v>
      </c>
      <c r="AH127" s="133">
        <f t="shared" si="30"/>
        <v>1204145.8368402156</v>
      </c>
      <c r="AI127" s="131">
        <f>AH127*'1. UC Assumptions'!$C$23</f>
        <v>397368.12615727109</v>
      </c>
      <c r="AJ127" s="131">
        <v>547356.73</v>
      </c>
      <c r="AK127" s="131">
        <f>AJ127*(1-'1. UC Assumptions'!$C$22)</f>
        <v>180627.72089999999</v>
      </c>
      <c r="AL127" s="131"/>
      <c r="AM127" s="131">
        <f>AL127*'1. UC Assumptions'!$C$23</f>
        <v>0</v>
      </c>
      <c r="AN127" s="153">
        <f t="shared" si="31"/>
        <v>1290015.0088159489</v>
      </c>
      <c r="AO127" s="151">
        <f>AN127*'1. UC Assumptions'!$C$23</f>
        <v>425704.95290926308</v>
      </c>
      <c r="AP127" s="151">
        <f t="shared" si="32"/>
        <v>742658.27881594887</v>
      </c>
      <c r="AQ127" s="151">
        <f t="shared" si="33"/>
        <v>245077.2320092631</v>
      </c>
      <c r="AR127" s="151">
        <f t="shared" si="34"/>
        <v>245077.2320092631</v>
      </c>
      <c r="AS127" s="151">
        <f t="shared" si="35"/>
        <v>425704.95290926308</v>
      </c>
      <c r="AT127" s="151">
        <f>IF(K127="Bexar",(AG127/$AT$1)*'1. UC Assumptions'!$E$44-(AH127/$AT$2)*'1. UC Assumptions'!$E$42,0)</f>
        <v>0</v>
      </c>
      <c r="AU127" s="151">
        <f>IF(K127="Dallas",(AG127/$AU$1)*'1. UC Assumptions'!$F$44-(AH127/$AU$2)*'1. UC Assumptions'!$F$42,0)</f>
        <v>0</v>
      </c>
      <c r="AV127" s="151">
        <f>IF(K127="El Paso",(AG127/$AV$1)*'1. UC Assumptions'!$G$44-(AH127/$AV$2)*'1. UC Assumptions'!$G$42,0)</f>
        <v>0</v>
      </c>
      <c r="AW127" s="151">
        <f>IF(K127="Harris",(AG127/$AW$1)*'1. UC Assumptions'!$H$44-(AH127/$AW$2)*'1. UC Assumptions'!$H$42,0)</f>
        <v>0</v>
      </c>
      <c r="AX127" s="151">
        <f>IF(K127="Hidalgo",(AG127/$AX$1)*'1. UC Assumptions'!$I$44-(AH127/$AX$2)*'1. UC Assumptions'!$I$42,0)</f>
        <v>0</v>
      </c>
      <c r="AY127" s="151">
        <f>IF(K127="Jefferson",(AG127/$AY$1)*'1. UC Assumptions'!$J$44-(AH127/$AY$2)*'1. UC Assumptions'!$J$42,0)</f>
        <v>0</v>
      </c>
      <c r="AZ127" s="151">
        <f>IF(K127="Lubbock",(AG127/$AZ$1)*'1. UC Assumptions'!$K$44-(AH127/$AZ$2)*'1. UC Assumptions'!$K$42,0)</f>
        <v>0</v>
      </c>
      <c r="BA127" s="151">
        <f>IF(K127="MRSA Central",(AG127/$BA$1)*'1. UC Assumptions'!$L$44-(AH127/$BA$2)*'1. UC Assumptions'!$L$42,0)</f>
        <v>0</v>
      </c>
      <c r="BB127" s="151">
        <f>IF(K127="MRSA Northeast",(AG127/$BB$1)*'1. UC Assumptions'!$M$44-(AH127/$BB$2)*'1. UC Assumptions'!$M$42,0)</f>
        <v>0</v>
      </c>
      <c r="BC127" s="151">
        <f>IF(K127="MRSA West",(AG127/$BC$1)*'1. UC Assumptions'!$N$44-(AH127/$BC$2)*'1. UC Assumptions'!$N$42,0)</f>
        <v>0</v>
      </c>
      <c r="BD127" s="151">
        <f>IF(K127="Nueces",(AG127/$BD$1)*'1. UC Assumptions'!$O$44-(AH127/$BD$2)*'1. UC Assumptions'!$O$42,0)</f>
        <v>0</v>
      </c>
      <c r="BE127" s="151">
        <f>IF(K127="Tarrant",(AG127/$BE$1)*'1. UC Assumptions'!$P$44-(AH127/$BE$2)*'1. UC Assumptions'!$P$42,0)</f>
        <v>0</v>
      </c>
      <c r="BF127" s="151">
        <f>IF(K127="Travis",(AG127/$BF$1)*'1. UC Assumptions'!$Q$44-(AH127/$BF$2)*'1. UC Assumptions'!$Q$42,0)</f>
        <v>0</v>
      </c>
      <c r="BG127" s="151">
        <f t="shared" si="36"/>
        <v>0</v>
      </c>
      <c r="BH127" s="151">
        <f t="shared" si="37"/>
        <v>1204145.8368402156</v>
      </c>
      <c r="BI127" s="151">
        <f>ROUNDDOWN(BH127*'1. UC Assumptions'!$C$23,2)</f>
        <v>397368.12</v>
      </c>
      <c r="BJ127" s="154">
        <f t="shared" si="38"/>
        <v>656789.10684021562</v>
      </c>
      <c r="BK127" s="154">
        <f t="shared" si="39"/>
        <v>216740.39910000001</v>
      </c>
      <c r="BL127" s="154">
        <f t="shared" si="40"/>
        <v>606360.9</v>
      </c>
      <c r="BM127" s="154">
        <f t="shared" si="41"/>
        <v>200099.09</v>
      </c>
      <c r="BN127" s="101"/>
      <c r="BO127" s="154">
        <f>(BL127*'1. UC Assumptions'!$C$23)-'3.  UC Calculations by Hospital'!BM127</f>
        <v>6.9999999832361937E-3</v>
      </c>
      <c r="BP127" s="13"/>
    </row>
    <row r="128" spans="1:68">
      <c r="B128" s="129" t="s">
        <v>527</v>
      </c>
      <c r="C128" s="91" t="s">
        <v>527</v>
      </c>
      <c r="D128" s="91" t="s">
        <v>214</v>
      </c>
      <c r="E128" s="91" t="s">
        <v>149</v>
      </c>
      <c r="F128" s="91"/>
      <c r="G128" s="91" t="s">
        <v>209</v>
      </c>
      <c r="H128" s="91" t="s">
        <v>209</v>
      </c>
      <c r="I128" s="150" t="s">
        <v>210</v>
      </c>
      <c r="J128" s="129" t="s">
        <v>528</v>
      </c>
      <c r="K128" s="91" t="s">
        <v>11</v>
      </c>
      <c r="L128" s="91" t="s">
        <v>529</v>
      </c>
      <c r="M128" s="151">
        <v>-3861542.3568734201</v>
      </c>
      <c r="N128" s="151">
        <v>11648617.456969345</v>
      </c>
      <c r="O128" s="131">
        <v>2082357.6713321984</v>
      </c>
      <c r="P128" s="131">
        <f t="shared" si="21"/>
        <v>9566259.7856371459</v>
      </c>
      <c r="Q128" s="131">
        <v>2108372.9406648832</v>
      </c>
      <c r="R128" s="131">
        <v>2845592.07</v>
      </c>
      <c r="S128" s="131">
        <f t="shared" si="22"/>
        <v>0</v>
      </c>
      <c r="T128" s="131">
        <f t="shared" si="23"/>
        <v>2108372.9406648832</v>
      </c>
      <c r="U128" s="131">
        <v>1042613</v>
      </c>
      <c r="V128" s="131">
        <v>0</v>
      </c>
      <c r="W128" s="131">
        <v>0</v>
      </c>
      <c r="X128" s="131">
        <v>0</v>
      </c>
      <c r="Y128" s="131">
        <v>0</v>
      </c>
      <c r="Z128" s="131">
        <f t="shared" si="24"/>
        <v>1042613</v>
      </c>
      <c r="AA128" s="131">
        <v>0</v>
      </c>
      <c r="AB128" s="152">
        <f t="shared" si="25"/>
        <v>3150985.9406648832</v>
      </c>
      <c r="AC128" s="133">
        <f>IF(D128="Physician Group Practice",(AB128/$AB$393)*'1. UC Assumptions'!$C$15,IF(E128="Rural Hospital",AB128*'1. UC Assumptions'!$C$7/'1. UC Assumptions'!$E$7,(AB128/$AB$397)*('1. UC Assumptions'!$C$9)))</f>
        <v>2941242.2153725568</v>
      </c>
      <c r="AD128" s="133">
        <f t="shared" si="26"/>
        <v>0</v>
      </c>
      <c r="AE128" s="133">
        <f t="shared" si="27"/>
        <v>209743.72529232642</v>
      </c>
      <c r="AF128" s="133">
        <f t="shared" si="28"/>
        <v>0</v>
      </c>
      <c r="AG128" s="133">
        <f t="shared" si="29"/>
        <v>209743.72529232642</v>
      </c>
      <c r="AH128" s="133">
        <f t="shared" si="30"/>
        <v>2941242.2153725568</v>
      </c>
      <c r="AI128" s="131">
        <f>AH128*'1. UC Assumptions'!$C$23</f>
        <v>970609.93107294361</v>
      </c>
      <c r="AJ128" s="131">
        <v>1496770.33</v>
      </c>
      <c r="AK128" s="131">
        <f>AJ128*(1-'1. UC Assumptions'!$C$22)</f>
        <v>493934.20889999997</v>
      </c>
      <c r="AL128" s="131"/>
      <c r="AM128" s="131">
        <f>AL128*'1. UC Assumptions'!$C$23</f>
        <v>0</v>
      </c>
      <c r="AN128" s="153">
        <f t="shared" si="31"/>
        <v>3150985.9406648832</v>
      </c>
      <c r="AO128" s="151">
        <f>AN128*'1. UC Assumptions'!$C$23</f>
        <v>1039825.3604194113</v>
      </c>
      <c r="AP128" s="151">
        <f t="shared" si="32"/>
        <v>1654215.6106648832</v>
      </c>
      <c r="AQ128" s="151">
        <f t="shared" si="33"/>
        <v>545891.15151941136</v>
      </c>
      <c r="AR128" s="151">
        <f t="shared" si="34"/>
        <v>545891.15151941136</v>
      </c>
      <c r="AS128" s="151">
        <f t="shared" si="35"/>
        <v>1039825.3604194113</v>
      </c>
      <c r="AT128" s="151">
        <f>IF(K128="Bexar",(AG128/$AT$1)*'1. UC Assumptions'!$E$44-(AH128/$AT$2)*'1. UC Assumptions'!$E$42,0)</f>
        <v>0</v>
      </c>
      <c r="AU128" s="151">
        <f>IF(K128="Dallas",(AG128/$AU$1)*'1. UC Assumptions'!$F$44-(AH128/$AU$2)*'1. UC Assumptions'!$F$42,0)</f>
        <v>0</v>
      </c>
      <c r="AV128" s="151">
        <f>IF(K128="El Paso",(AG128/$AV$1)*'1. UC Assumptions'!$G$44-(AH128/$AV$2)*'1. UC Assumptions'!$G$42,0)</f>
        <v>0</v>
      </c>
      <c r="AW128" s="151">
        <f>IF(K128="Harris",(AG128/$AW$1)*'1. UC Assumptions'!$H$44-(AH128/$AW$2)*'1. UC Assumptions'!$H$42,0)</f>
        <v>0</v>
      </c>
      <c r="AX128" s="151">
        <f>IF(K128="Hidalgo",(AG128/$AX$1)*'1. UC Assumptions'!$I$44-(AH128/$AX$2)*'1. UC Assumptions'!$I$42,0)</f>
        <v>0</v>
      </c>
      <c r="AY128" s="151">
        <f>IF(K128="Jefferson",(AG128/$AY$1)*'1. UC Assumptions'!$J$44-(AH128/$AY$2)*'1. UC Assumptions'!$J$42,0)</f>
        <v>0</v>
      </c>
      <c r="AZ128" s="151">
        <f>IF(K128="Lubbock",(AG128/$AZ$1)*'1. UC Assumptions'!$K$44-(AH128/$AZ$2)*'1. UC Assumptions'!$K$42,0)</f>
        <v>0</v>
      </c>
      <c r="BA128" s="151">
        <f>IF(K128="MRSA Central",(AG128/$BA$1)*'1. UC Assumptions'!$L$44-(AH128/$BA$2)*'1. UC Assumptions'!$L$42,0)</f>
        <v>0</v>
      </c>
      <c r="BB128" s="151">
        <f>IF(K128="MRSA Northeast",(AG128/$BB$1)*'1. UC Assumptions'!$M$44-(AH128/$BB$2)*'1. UC Assumptions'!$M$42,0)</f>
        <v>0</v>
      </c>
      <c r="BC128" s="151">
        <f>IF(K128="MRSA West",(AG128/$BC$1)*'1. UC Assumptions'!$N$44-(AH128/$BC$2)*'1. UC Assumptions'!$N$42,0)</f>
        <v>0</v>
      </c>
      <c r="BD128" s="151">
        <f>IF(K128="Nueces",(AG128/$BD$1)*'1. UC Assumptions'!$O$44-(AH128/$BD$2)*'1. UC Assumptions'!$O$42,0)</f>
        <v>0</v>
      </c>
      <c r="BE128" s="151">
        <f>IF(K128="Tarrant",(AG128/$BE$1)*'1. UC Assumptions'!$P$44-(AH128/$BE$2)*'1. UC Assumptions'!$P$42,0)</f>
        <v>0</v>
      </c>
      <c r="BF128" s="151">
        <f>IF(K128="Travis",(AG128/$BF$1)*'1. UC Assumptions'!$Q$44-(AH128/$BF$2)*'1. UC Assumptions'!$Q$42,0)</f>
        <v>0</v>
      </c>
      <c r="BG128" s="151">
        <f t="shared" si="36"/>
        <v>0</v>
      </c>
      <c r="BH128" s="151">
        <f t="shared" si="37"/>
        <v>2941242.2153725568</v>
      </c>
      <c r="BI128" s="151">
        <f>ROUNDDOWN(BH128*'1. UC Assumptions'!$C$23,2)</f>
        <v>970609.93</v>
      </c>
      <c r="BJ128" s="154">
        <f t="shared" si="38"/>
        <v>1444471.8853725567</v>
      </c>
      <c r="BK128" s="154">
        <f t="shared" si="39"/>
        <v>476675.72110000008</v>
      </c>
      <c r="BL128" s="154">
        <f t="shared" si="40"/>
        <v>1333565.46</v>
      </c>
      <c r="BM128" s="154">
        <f t="shared" si="41"/>
        <v>440076.6</v>
      </c>
      <c r="BN128" s="101"/>
      <c r="BO128" s="154">
        <f>(BL128*'1. UC Assumptions'!$C$23)-'3.  UC Calculations by Hospital'!BM128</f>
        <v>1.7999999690800905E-3</v>
      </c>
      <c r="BP128" s="13"/>
    </row>
    <row r="129" spans="2:68">
      <c r="B129" s="129" t="s">
        <v>530</v>
      </c>
      <c r="C129" s="91" t="s">
        <v>530</v>
      </c>
      <c r="D129" s="91" t="s">
        <v>214</v>
      </c>
      <c r="E129" s="91" t="s">
        <v>209</v>
      </c>
      <c r="F129" s="91"/>
      <c r="G129" s="91" t="s">
        <v>209</v>
      </c>
      <c r="H129" s="91" t="s">
        <v>209</v>
      </c>
      <c r="I129" s="150" t="s">
        <v>210</v>
      </c>
      <c r="J129" s="129" t="s">
        <v>531</v>
      </c>
      <c r="K129" s="91" t="s">
        <v>4</v>
      </c>
      <c r="L129" s="91" t="s">
        <v>532</v>
      </c>
      <c r="M129" s="151">
        <v>694122.35586104332</v>
      </c>
      <c r="N129" s="151">
        <v>0</v>
      </c>
      <c r="O129" s="131">
        <v>0</v>
      </c>
      <c r="P129" s="131">
        <f t="shared" si="21"/>
        <v>0</v>
      </c>
      <c r="Q129" s="131">
        <v>999879.7004129024</v>
      </c>
      <c r="R129" s="131">
        <v>0</v>
      </c>
      <c r="S129" s="131">
        <f t="shared" si="22"/>
        <v>0</v>
      </c>
      <c r="T129" s="131">
        <f t="shared" si="23"/>
        <v>999879.7004129024</v>
      </c>
      <c r="U129" s="131">
        <v>173045</v>
      </c>
      <c r="V129" s="131">
        <v>0</v>
      </c>
      <c r="W129" s="131">
        <v>123604</v>
      </c>
      <c r="X129" s="131">
        <v>0</v>
      </c>
      <c r="Y129" s="131">
        <v>792348.01751970476</v>
      </c>
      <c r="Z129" s="131">
        <f t="shared" si="24"/>
        <v>1088997.0175197048</v>
      </c>
      <c r="AA129" s="131">
        <v>0</v>
      </c>
      <c r="AB129" s="152">
        <f t="shared" si="25"/>
        <v>2088876.717932607</v>
      </c>
      <c r="AC129" s="133">
        <f>IF(D129="Physician Group Practice",(AB129/$AB$393)*'1. UC Assumptions'!$C$15,IF(E129="Rural Hospital",AB129*'1. UC Assumptions'!$C$7/'1. UC Assumptions'!$E$7,(AB129/$AB$397)*('1. UC Assumptions'!$C$9)))</f>
        <v>982076.21190277534</v>
      </c>
      <c r="AD129" s="133">
        <f t="shared" si="26"/>
        <v>0</v>
      </c>
      <c r="AE129" s="133">
        <f t="shared" si="27"/>
        <v>1106800.5060298317</v>
      </c>
      <c r="AF129" s="133">
        <f t="shared" si="28"/>
        <v>0</v>
      </c>
      <c r="AG129" s="133">
        <f t="shared" si="29"/>
        <v>1106800.5060298317</v>
      </c>
      <c r="AH129" s="133">
        <f t="shared" si="30"/>
        <v>982076.21190277534</v>
      </c>
      <c r="AI129" s="131">
        <f>AH129*'1. UC Assumptions'!$C$23</f>
        <v>324085.14992791583</v>
      </c>
      <c r="AJ129" s="131">
        <v>901424.05</v>
      </c>
      <c r="AK129" s="131">
        <f>AJ129*(1-'1. UC Assumptions'!$C$22)</f>
        <v>297469.93649999995</v>
      </c>
      <c r="AL129" s="131"/>
      <c r="AM129" s="131">
        <f>AL129*'1. UC Assumptions'!$C$23</f>
        <v>0</v>
      </c>
      <c r="AN129" s="153">
        <f t="shared" si="31"/>
        <v>2088876.717932607</v>
      </c>
      <c r="AO129" s="151">
        <f>AN129*'1. UC Assumptions'!$C$23</f>
        <v>689329.3169177603</v>
      </c>
      <c r="AP129" s="151">
        <f t="shared" si="32"/>
        <v>1187452.667932607</v>
      </c>
      <c r="AQ129" s="151">
        <f t="shared" si="33"/>
        <v>391859.38041776035</v>
      </c>
      <c r="AR129" s="151">
        <f t="shared" si="34"/>
        <v>391859.38041776035</v>
      </c>
      <c r="AS129" s="151">
        <f t="shared" si="35"/>
        <v>689329.3169177603</v>
      </c>
      <c r="AT129" s="151">
        <f>IF(K129="Bexar",(AG129/$AT$1)*'1. UC Assumptions'!$E$44-(AH129/$AT$2)*'1. UC Assumptions'!$E$42,0)</f>
        <v>0</v>
      </c>
      <c r="AU129" s="151">
        <f>IF(K129="Dallas",(AG129/$AU$1)*'1. UC Assumptions'!$F$44-(AH129/$AU$2)*'1. UC Assumptions'!$F$42,0)</f>
        <v>0</v>
      </c>
      <c r="AV129" s="151">
        <f>IF(K129="El Paso",(AG129/$AV$1)*'1. UC Assumptions'!$G$44-(AH129/$AV$2)*'1. UC Assumptions'!$G$42,0)</f>
        <v>0</v>
      </c>
      <c r="AW129" s="151">
        <f>IF(K129="Harris",(AG129/$AW$1)*'1. UC Assumptions'!$H$44-(AH129/$AW$2)*'1. UC Assumptions'!$H$42,0)</f>
        <v>0</v>
      </c>
      <c r="AX129" s="151">
        <f>IF(K129="Hidalgo",(AG129/$AX$1)*'1. UC Assumptions'!$I$44-(AH129/$AX$2)*'1. UC Assumptions'!$I$42,0)</f>
        <v>0</v>
      </c>
      <c r="AY129" s="151">
        <f>IF(K129="Jefferson",(AG129/$AY$1)*'1. UC Assumptions'!$J$44-(AH129/$AY$2)*'1. UC Assumptions'!$J$42,0)</f>
        <v>0</v>
      </c>
      <c r="AZ129" s="151">
        <f>IF(K129="Lubbock",(AG129/$AZ$1)*'1. UC Assumptions'!$K$44-(AH129/$AZ$2)*'1. UC Assumptions'!$K$42,0)</f>
        <v>0</v>
      </c>
      <c r="BA129" s="151">
        <f>IF(K129="MRSA Central",(AG129/$BA$1)*'1. UC Assumptions'!$L$44-(AH129/$BA$2)*'1. UC Assumptions'!$L$42,0)</f>
        <v>0</v>
      </c>
      <c r="BB129" s="151">
        <f>IF(K129="MRSA Northeast",(AG129/$BB$1)*'1. UC Assumptions'!$M$44-(AH129/$BB$2)*'1. UC Assumptions'!$M$42,0)</f>
        <v>0</v>
      </c>
      <c r="BC129" s="151">
        <f>IF(K129="MRSA West",(AG129/$BC$1)*'1. UC Assumptions'!$N$44-(AH129/$BC$2)*'1. UC Assumptions'!$N$42,0)</f>
        <v>0</v>
      </c>
      <c r="BD129" s="151">
        <f>IF(K129="Nueces",(AG129/$BD$1)*'1. UC Assumptions'!$O$44-(AH129/$BD$2)*'1. UC Assumptions'!$O$42,0)</f>
        <v>0</v>
      </c>
      <c r="BE129" s="151">
        <f>IF(K129="Tarrant",(AG129/$BE$1)*'1. UC Assumptions'!$P$44-(AH129/$BE$2)*'1. UC Assumptions'!$P$42,0)</f>
        <v>0</v>
      </c>
      <c r="BF129" s="151">
        <f>IF(K129="Travis",(AG129/$BF$1)*'1. UC Assumptions'!$Q$44-(AH129/$BF$2)*'1. UC Assumptions'!$Q$42,0)</f>
        <v>0</v>
      </c>
      <c r="BG129" s="151">
        <f t="shared" si="36"/>
        <v>0</v>
      </c>
      <c r="BH129" s="151">
        <f t="shared" si="37"/>
        <v>982076.21190277534</v>
      </c>
      <c r="BI129" s="151">
        <f>ROUNDDOWN(BH129*'1. UC Assumptions'!$C$23,2)</f>
        <v>324085.14</v>
      </c>
      <c r="BJ129" s="154">
        <f t="shared" si="38"/>
        <v>80652.161902775289</v>
      </c>
      <c r="BK129" s="154">
        <f t="shared" si="39"/>
        <v>26615.203500000061</v>
      </c>
      <c r="BL129" s="154">
        <f t="shared" si="40"/>
        <v>74459.7</v>
      </c>
      <c r="BM129" s="154">
        <f t="shared" si="41"/>
        <v>24571.69</v>
      </c>
      <c r="BN129" s="101"/>
      <c r="BO129" s="154">
        <f>(BL129*'1. UC Assumptions'!$C$23)-'3.  UC Calculations by Hospital'!BM129</f>
        <v>1.0999999998603016E-2</v>
      </c>
      <c r="BP129" s="13"/>
    </row>
    <row r="130" spans="2:68" ht="14.45" customHeight="1">
      <c r="B130" s="129" t="s">
        <v>533</v>
      </c>
      <c r="C130" s="91" t="s">
        <v>533</v>
      </c>
      <c r="D130" s="91" t="s">
        <v>286</v>
      </c>
      <c r="E130" s="91" t="s">
        <v>209</v>
      </c>
      <c r="F130" s="91"/>
      <c r="G130" s="91" t="s">
        <v>287</v>
      </c>
      <c r="H130" s="91" t="s">
        <v>209</v>
      </c>
      <c r="I130" s="150" t="s">
        <v>210</v>
      </c>
      <c r="J130" s="129" t="s">
        <v>534</v>
      </c>
      <c r="K130" s="96" t="s">
        <v>6</v>
      </c>
      <c r="L130" s="156" t="s">
        <v>6</v>
      </c>
      <c r="M130" s="151">
        <v>-1032119.8096962507</v>
      </c>
      <c r="N130" s="151">
        <v>2060135.929383819</v>
      </c>
      <c r="O130" s="131">
        <v>115662.9826649647</v>
      </c>
      <c r="P130" s="131">
        <f t="shared" si="21"/>
        <v>1944472.9467188544</v>
      </c>
      <c r="Q130" s="131">
        <v>118739.61547983586</v>
      </c>
      <c r="R130" s="131">
        <v>943202.78</v>
      </c>
      <c r="S130" s="131">
        <f t="shared" si="22"/>
        <v>30849.642977396492</v>
      </c>
      <c r="T130" s="131">
        <f t="shared" si="23"/>
        <v>87889.97250243937</v>
      </c>
      <c r="U130" s="131">
        <v>0</v>
      </c>
      <c r="V130" s="131">
        <v>0</v>
      </c>
      <c r="W130" s="131">
        <v>0</v>
      </c>
      <c r="X130" s="131">
        <v>0</v>
      </c>
      <c r="Y130" s="131">
        <v>0</v>
      </c>
      <c r="Z130" s="131">
        <f t="shared" si="24"/>
        <v>0</v>
      </c>
      <c r="AA130" s="131">
        <v>0</v>
      </c>
      <c r="AB130" s="152">
        <f t="shared" si="25"/>
        <v>87889.97250243937</v>
      </c>
      <c r="AC130" s="133">
        <f>IF(D130="Physician Group Practice",(AB130/$AB$393)*'1. UC Assumptions'!$C$15,IF(E130="Rural Hospital",AB130*'1. UC Assumptions'!$C$7/'1. UC Assumptions'!$E$7,(AB130/$AB$397)*('1. UC Assumptions'!$C$9)))</f>
        <v>41321.084446219342</v>
      </c>
      <c r="AD130" s="133">
        <f t="shared" si="26"/>
        <v>0</v>
      </c>
      <c r="AE130" s="133">
        <f t="shared" si="27"/>
        <v>46568.888056220028</v>
      </c>
      <c r="AF130" s="133">
        <f t="shared" si="28"/>
        <v>0</v>
      </c>
      <c r="AG130" s="133">
        <f t="shared" si="29"/>
        <v>46568.888056220028</v>
      </c>
      <c r="AH130" s="133">
        <f t="shared" si="30"/>
        <v>41321.084446219342</v>
      </c>
      <c r="AI130" s="131">
        <f>AH130*'1. UC Assumptions'!$C$23</f>
        <v>13635.95786725238</v>
      </c>
      <c r="AJ130" s="131">
        <v>0</v>
      </c>
      <c r="AK130" s="131">
        <f>AJ130*(1-'1. UC Assumptions'!$C$22)</f>
        <v>0</v>
      </c>
      <c r="AL130" s="131"/>
      <c r="AM130" s="131">
        <f>AL130*'1. UC Assumptions'!$C$23</f>
        <v>0</v>
      </c>
      <c r="AN130" s="153">
        <f t="shared" si="31"/>
        <v>87889.97250243937</v>
      </c>
      <c r="AO130" s="151">
        <f>AN130*'1. UC Assumptions'!$C$23</f>
        <v>29003.690925804989</v>
      </c>
      <c r="AP130" s="151">
        <f t="shared" si="32"/>
        <v>87889.97250243937</v>
      </c>
      <c r="AQ130" s="151">
        <f t="shared" si="33"/>
        <v>29003.690925804989</v>
      </c>
      <c r="AR130" s="151">
        <f t="shared" si="34"/>
        <v>29003.690925804989</v>
      </c>
      <c r="AS130" s="151">
        <f t="shared" si="35"/>
        <v>29003.690925804989</v>
      </c>
      <c r="AT130" s="151">
        <f>IF(K130="Bexar",(AG130/$AT$1)*'1. UC Assumptions'!$E$44-(AH130/$AT$2)*'1. UC Assumptions'!$E$42,0)</f>
        <v>0</v>
      </c>
      <c r="AU130" s="151">
        <f>IF(K130="Dallas",(AG130/$AU$1)*'1. UC Assumptions'!$F$44-(AH130/$AU$2)*'1. UC Assumptions'!$F$42,0)</f>
        <v>0</v>
      </c>
      <c r="AV130" s="151">
        <f>IF(K130="El Paso",(AG130/$AV$1)*'1. UC Assumptions'!$G$44-(AH130/$AV$2)*'1. UC Assumptions'!$G$42,0)</f>
        <v>0</v>
      </c>
      <c r="AW130" s="151">
        <f>IF(K130="Harris",(AG130/$AW$1)*'1. UC Assumptions'!$H$44-(AH130/$AW$2)*'1. UC Assumptions'!$H$42,0)</f>
        <v>0</v>
      </c>
      <c r="AX130" s="151">
        <f>IF(K130="Hidalgo",(AG130/$AX$1)*'1. UC Assumptions'!$I$44-(AH130/$AX$2)*'1. UC Assumptions'!$I$42,0)</f>
        <v>0</v>
      </c>
      <c r="AY130" s="151">
        <f>IF(K130="Jefferson",(AG130/$AY$1)*'1. UC Assumptions'!$J$44-(AH130/$AY$2)*'1. UC Assumptions'!$J$42,0)</f>
        <v>0</v>
      </c>
      <c r="AZ130" s="151">
        <f>IF(K130="Lubbock",(AG130/$AZ$1)*'1. UC Assumptions'!$K$44-(AH130/$AZ$2)*'1. UC Assumptions'!$K$42,0)</f>
        <v>0</v>
      </c>
      <c r="BA130" s="151">
        <f>IF(K130="MRSA Central",(AG130/$BA$1)*'1. UC Assumptions'!$L$44-(AH130/$BA$2)*'1. UC Assumptions'!$L$42,0)</f>
        <v>0</v>
      </c>
      <c r="BB130" s="151">
        <f>IF(K130="MRSA Northeast",(AG130/$BB$1)*'1. UC Assumptions'!$M$44-(AH130/$BB$2)*'1. UC Assumptions'!$M$42,0)</f>
        <v>0</v>
      </c>
      <c r="BC130" s="151">
        <f>IF(K130="MRSA West",(AG130/$BC$1)*'1. UC Assumptions'!$N$44-(AH130/$BC$2)*'1. UC Assumptions'!$N$42,0)</f>
        <v>0</v>
      </c>
      <c r="BD130" s="151">
        <f>IF(K130="Nueces",(AG130/$BD$1)*'1. UC Assumptions'!$O$44-(AH130/$BD$2)*'1. UC Assumptions'!$O$42,0)</f>
        <v>0</v>
      </c>
      <c r="BE130" s="151">
        <f>IF(K130="Tarrant",(AG130/$BE$1)*'1. UC Assumptions'!$P$44-(AH130/$BE$2)*'1. UC Assumptions'!$P$42,0)</f>
        <v>0</v>
      </c>
      <c r="BF130" s="151">
        <f>IF(K130="Travis",(AG130/$BF$1)*'1. UC Assumptions'!$Q$44-(AH130/$BF$2)*'1. UC Assumptions'!$Q$42,0)</f>
        <v>0</v>
      </c>
      <c r="BG130" s="151">
        <f t="shared" si="36"/>
        <v>0</v>
      </c>
      <c r="BH130" s="151">
        <f t="shared" si="37"/>
        <v>41321.084446219342</v>
      </c>
      <c r="BI130" s="151">
        <f>ROUNDDOWN(BH130*'1. UC Assumptions'!$C$23,2)</f>
        <v>13635.95</v>
      </c>
      <c r="BJ130" s="154">
        <f t="shared" si="38"/>
        <v>41321.084446219342</v>
      </c>
      <c r="BK130" s="154">
        <f t="shared" si="39"/>
        <v>13635.95</v>
      </c>
      <c r="BL130" s="154">
        <f t="shared" si="40"/>
        <v>38148.46</v>
      </c>
      <c r="BM130" s="154">
        <f t="shared" si="41"/>
        <v>12588.98</v>
      </c>
      <c r="BN130" s="101"/>
      <c r="BO130" s="154">
        <f>(BL130*'1. UC Assumptions'!$C$23)-'3.  UC Calculations by Hospital'!BM130</f>
        <v>1.17999999984022E-2</v>
      </c>
      <c r="BP130" s="13"/>
    </row>
    <row r="131" spans="2:68" ht="12.6" customHeight="1">
      <c r="B131" s="129" t="s">
        <v>535</v>
      </c>
      <c r="C131" s="91" t="s">
        <v>535</v>
      </c>
      <c r="D131" s="91" t="s">
        <v>208</v>
      </c>
      <c r="E131" s="91" t="s">
        <v>149</v>
      </c>
      <c r="F131" s="91"/>
      <c r="G131" s="91" t="s">
        <v>209</v>
      </c>
      <c r="H131" s="91" t="s">
        <v>209</v>
      </c>
      <c r="I131" s="150" t="s">
        <v>210</v>
      </c>
      <c r="J131" s="129" t="s">
        <v>536</v>
      </c>
      <c r="K131" s="91" t="s">
        <v>9</v>
      </c>
      <c r="L131" s="91" t="s">
        <v>537</v>
      </c>
      <c r="M131" s="151">
        <v>243438.36407511035</v>
      </c>
      <c r="N131" s="151">
        <v>0</v>
      </c>
      <c r="O131" s="131">
        <v>0</v>
      </c>
      <c r="P131" s="131">
        <f t="shared" si="21"/>
        <v>0</v>
      </c>
      <c r="Q131" s="131">
        <v>331950.08926087676</v>
      </c>
      <c r="R131" s="131">
        <v>0</v>
      </c>
      <c r="S131" s="131">
        <f t="shared" si="22"/>
        <v>0</v>
      </c>
      <c r="T131" s="131">
        <f t="shared" si="23"/>
        <v>331950.08926087676</v>
      </c>
      <c r="U131" s="131">
        <v>0</v>
      </c>
      <c r="V131" s="131">
        <v>0</v>
      </c>
      <c r="W131" s="131">
        <v>0</v>
      </c>
      <c r="X131" s="131">
        <v>0</v>
      </c>
      <c r="Y131" s="131">
        <v>0</v>
      </c>
      <c r="Z131" s="131">
        <f t="shared" si="24"/>
        <v>0</v>
      </c>
      <c r="AA131" s="131">
        <v>0</v>
      </c>
      <c r="AB131" s="152">
        <f t="shared" si="25"/>
        <v>331950.08926087676</v>
      </c>
      <c r="AC131" s="133">
        <f>IF(D131="Physician Group Practice",(AB131/$AB$393)*'1. UC Assumptions'!$C$15,IF(E131="Rural Hospital",AB131*'1. UC Assumptions'!$C$7/'1. UC Assumptions'!$E$7,(AB131/$AB$397)*('1. UC Assumptions'!$C$9)))</f>
        <v>309854.0057988207</v>
      </c>
      <c r="AD131" s="133">
        <f t="shared" si="26"/>
        <v>0</v>
      </c>
      <c r="AE131" s="133">
        <f t="shared" si="27"/>
        <v>22096.083462056064</v>
      </c>
      <c r="AF131" s="133">
        <f t="shared" si="28"/>
        <v>0</v>
      </c>
      <c r="AG131" s="133">
        <f t="shared" si="29"/>
        <v>22096.083462056064</v>
      </c>
      <c r="AH131" s="133">
        <f t="shared" si="30"/>
        <v>309854.0057988207</v>
      </c>
      <c r="AI131" s="131">
        <f>AH131*'1. UC Assumptions'!$C$23</f>
        <v>102251.82191361082</v>
      </c>
      <c r="AJ131" s="131">
        <v>118153.3</v>
      </c>
      <c r="AK131" s="131">
        <f>AJ131*(1-'1. UC Assumptions'!$C$22)</f>
        <v>38990.588999999993</v>
      </c>
      <c r="AL131" s="131"/>
      <c r="AM131" s="131">
        <f>AL131*'1. UC Assumptions'!$C$23</f>
        <v>0</v>
      </c>
      <c r="AN131" s="153">
        <f t="shared" si="31"/>
        <v>331950.08926087676</v>
      </c>
      <c r="AO131" s="151">
        <f>AN131*'1. UC Assumptions'!$C$23</f>
        <v>109543.52945608932</v>
      </c>
      <c r="AP131" s="151">
        <f t="shared" si="32"/>
        <v>213796.78926087677</v>
      </c>
      <c r="AQ131" s="151">
        <f t="shared" si="33"/>
        <v>70552.940456089331</v>
      </c>
      <c r="AR131" s="151">
        <f t="shared" si="34"/>
        <v>70552.940456089331</v>
      </c>
      <c r="AS131" s="151">
        <f t="shared" si="35"/>
        <v>109543.52945608932</v>
      </c>
      <c r="AT131" s="151">
        <f>IF(K131="Bexar",(AG131/$AT$1)*'1. UC Assumptions'!$E$44-(AH131/$AT$2)*'1. UC Assumptions'!$E$42,0)</f>
        <v>0</v>
      </c>
      <c r="AU131" s="151">
        <f>IF(K131="Dallas",(AG131/$AU$1)*'1. UC Assumptions'!$F$44-(AH131/$AU$2)*'1. UC Assumptions'!$F$42,0)</f>
        <v>0</v>
      </c>
      <c r="AV131" s="151">
        <f>IF(K131="El Paso",(AG131/$AV$1)*'1. UC Assumptions'!$G$44-(AH131/$AV$2)*'1. UC Assumptions'!$G$42,0)</f>
        <v>0</v>
      </c>
      <c r="AW131" s="151">
        <f>IF(K131="Harris",(AG131/$AW$1)*'1. UC Assumptions'!$H$44-(AH131/$AW$2)*'1. UC Assumptions'!$H$42,0)</f>
        <v>0</v>
      </c>
      <c r="AX131" s="151">
        <f>IF(K131="Hidalgo",(AG131/$AX$1)*'1. UC Assumptions'!$I$44-(AH131/$AX$2)*'1. UC Assumptions'!$I$42,0)</f>
        <v>0</v>
      </c>
      <c r="AY131" s="151">
        <f>IF(K131="Jefferson",(AG131/$AY$1)*'1. UC Assumptions'!$J$44-(AH131/$AY$2)*'1. UC Assumptions'!$J$42,0)</f>
        <v>0</v>
      </c>
      <c r="AZ131" s="151">
        <f>IF(K131="Lubbock",(AG131/$AZ$1)*'1. UC Assumptions'!$K$44-(AH131/$AZ$2)*'1. UC Assumptions'!$K$42,0)</f>
        <v>0</v>
      </c>
      <c r="BA131" s="151">
        <f>IF(K131="MRSA Central",(AG131/$BA$1)*'1. UC Assumptions'!$L$44-(AH131/$BA$2)*'1. UC Assumptions'!$L$42,0)</f>
        <v>0</v>
      </c>
      <c r="BB131" s="151">
        <f>IF(K131="MRSA Northeast",(AG131/$BB$1)*'1. UC Assumptions'!$M$44-(AH131/$BB$2)*'1. UC Assumptions'!$M$42,0)</f>
        <v>0</v>
      </c>
      <c r="BC131" s="151">
        <f>IF(K131="MRSA West",(AG131/$BC$1)*'1. UC Assumptions'!$N$44-(AH131/$BC$2)*'1. UC Assumptions'!$N$42,0)</f>
        <v>0</v>
      </c>
      <c r="BD131" s="151">
        <f>IF(K131="Nueces",(AG131/$BD$1)*'1. UC Assumptions'!$O$44-(AH131/$BD$2)*'1. UC Assumptions'!$O$42,0)</f>
        <v>0</v>
      </c>
      <c r="BE131" s="151">
        <f>IF(K131="Tarrant",(AG131/$BE$1)*'1. UC Assumptions'!$P$44-(AH131/$BE$2)*'1. UC Assumptions'!$P$42,0)</f>
        <v>0</v>
      </c>
      <c r="BF131" s="151">
        <f>IF(K131="Travis",(AG131/$BF$1)*'1. UC Assumptions'!$Q$44-(AH131/$BF$2)*'1. UC Assumptions'!$Q$42,0)</f>
        <v>0</v>
      </c>
      <c r="BG131" s="151">
        <f t="shared" si="36"/>
        <v>0</v>
      </c>
      <c r="BH131" s="151">
        <f t="shared" si="37"/>
        <v>309854.0057988207</v>
      </c>
      <c r="BI131" s="151">
        <f>ROUNDDOWN(BH131*'1. UC Assumptions'!$C$23,2)</f>
        <v>102251.82</v>
      </c>
      <c r="BJ131" s="154">
        <f t="shared" si="38"/>
        <v>191700.70579882071</v>
      </c>
      <c r="BK131" s="154">
        <f t="shared" si="39"/>
        <v>63261.231000000014</v>
      </c>
      <c r="BL131" s="154">
        <f t="shared" si="40"/>
        <v>176981.94</v>
      </c>
      <c r="BM131" s="154">
        <f t="shared" si="41"/>
        <v>58404.04</v>
      </c>
      <c r="BN131" s="101"/>
      <c r="BO131" s="154">
        <f>(BL131*'1. UC Assumptions'!$C$23)-'3.  UC Calculations by Hospital'!BM131</f>
        <v>1.9999999494757503E-4</v>
      </c>
      <c r="BP131" s="13"/>
    </row>
    <row r="132" spans="2:68">
      <c r="B132" s="129" t="s">
        <v>538</v>
      </c>
      <c r="C132" s="91" t="s">
        <v>538</v>
      </c>
      <c r="D132" s="91" t="s">
        <v>539</v>
      </c>
      <c r="E132" s="91" t="s">
        <v>209</v>
      </c>
      <c r="F132" s="91"/>
      <c r="G132" s="91" t="s">
        <v>209</v>
      </c>
      <c r="H132" s="91" t="s">
        <v>209</v>
      </c>
      <c r="I132" s="150" t="s">
        <v>210</v>
      </c>
      <c r="J132" s="129" t="s">
        <v>540</v>
      </c>
      <c r="K132" s="91" t="s">
        <v>14</v>
      </c>
      <c r="L132" s="91" t="s">
        <v>14</v>
      </c>
      <c r="M132" s="151">
        <v>43917165.363418907</v>
      </c>
      <c r="N132" s="151">
        <v>327075348.36981493</v>
      </c>
      <c r="O132" s="131">
        <v>260261977.6557712</v>
      </c>
      <c r="P132" s="131">
        <f t="shared" ref="P132:P195" si="42">IF(N132-O132&gt;0,N132-O132,0)</f>
        <v>66813370.714043736</v>
      </c>
      <c r="Q132" s="131">
        <v>288897118.90080148</v>
      </c>
      <c r="R132" s="131">
        <v>122419747.52</v>
      </c>
      <c r="S132" s="131">
        <f t="shared" ref="S132:S195" si="43">IF(R132&gt;0,IF(M132+P132&lt;R132,(IF((R132-M132-P132)&gt;R132,R132,R132-M132-P132)),0),0)</f>
        <v>11689211.442537352</v>
      </c>
      <c r="T132" s="131">
        <f t="shared" ref="T132:T195" si="44">IF(Q132-S132&gt;0,Q132-S132,0)</f>
        <v>277207907.45826411</v>
      </c>
      <c r="U132" s="131">
        <v>57800101</v>
      </c>
      <c r="V132" s="131">
        <v>2940953</v>
      </c>
      <c r="W132" s="131">
        <v>0</v>
      </c>
      <c r="X132" s="131">
        <v>0</v>
      </c>
      <c r="Y132" s="131">
        <v>0</v>
      </c>
      <c r="Z132" s="131">
        <f t="shared" ref="Z132:Z195" si="45">SUM(U132:Y132)</f>
        <v>60741054</v>
      </c>
      <c r="AA132" s="131">
        <v>79519814.782457203</v>
      </c>
      <c r="AB132" s="152">
        <f t="shared" ref="AB132:AB195" si="46">IF(I132="Yes",Z132-Y132,T132+Z132+AA132)</f>
        <v>417468776.24072134</v>
      </c>
      <c r="AC132" s="133">
        <f>IF(D132="Physician Group Practice",(AB132/$AB$393)*'1. UC Assumptions'!$C$15,IF(E132="Rural Hospital",AB132*'1. UC Assumptions'!$C$7/'1. UC Assumptions'!$E$7,(AB132/$AB$397)*('1. UC Assumptions'!$C$9)))</f>
        <v>196271111.08976528</v>
      </c>
      <c r="AD132" s="133">
        <f t="shared" ref="AD132:AD195" si="47">IF((AC132)&gt;AB132-AA132,(AC132)-(AB132-AA132),0)</f>
        <v>0</v>
      </c>
      <c r="AE132" s="133">
        <f t="shared" ref="AE132:AE195" si="48">IF(AD132&gt;0,0,AB132-AA132-AC132)</f>
        <v>141677850.36849883</v>
      </c>
      <c r="AF132" s="133">
        <f t="shared" ref="AF132:AF195" si="49">(AE132/$AE$390)*$AD$390</f>
        <v>0</v>
      </c>
      <c r="AG132" s="133">
        <f t="shared" ref="AG132:AG195" si="50">AE132-AF132</f>
        <v>141677850.36849883</v>
      </c>
      <c r="AH132" s="133">
        <f t="shared" ref="AH132:AH195" si="51">AC132-AD132+AF132</f>
        <v>196271111.08976528</v>
      </c>
      <c r="AI132" s="131">
        <f>AH132*'1. UC Assumptions'!$C$23</f>
        <v>64769466.659622535</v>
      </c>
      <c r="AJ132" s="131">
        <v>159312733.88999999</v>
      </c>
      <c r="AK132" s="131">
        <f>AJ132*(1-'1. UC Assumptions'!$C$22)</f>
        <v>52573202.183699988</v>
      </c>
      <c r="AL132" s="131"/>
      <c r="AM132" s="131">
        <f>AL132*'1. UC Assumptions'!$C$23</f>
        <v>0</v>
      </c>
      <c r="AN132" s="153">
        <f t="shared" ref="AN132:AN195" si="52">AB132-AA132</f>
        <v>337948961.45826411</v>
      </c>
      <c r="AO132" s="151">
        <f>AN132*'1. UC Assumptions'!$C$23</f>
        <v>111523157.28122714</v>
      </c>
      <c r="AP132" s="151">
        <f t="shared" ref="AP132:AP195" si="53">IF(I132="Yes",AN132-AL132,AN132-AJ132)</f>
        <v>178636227.56826413</v>
      </c>
      <c r="AQ132" s="151">
        <f t="shared" ref="AQ132:AQ195" si="54">IF(I132="Yes",AO132-AM132,AO132-AK132)</f>
        <v>58949955.097527154</v>
      </c>
      <c r="AR132" s="151">
        <f t="shared" ref="AR132:AR195" si="55">AQ132</f>
        <v>58949955.097527154</v>
      </c>
      <c r="AS132" s="151">
        <f t="shared" ref="AS132:AS195" si="56">IF(I132="Yes",AR132+AM132,AR132+AK132)</f>
        <v>111523157.28122714</v>
      </c>
      <c r="AT132" s="151">
        <f>IF(K132="Bexar",(AG132/$AT$1)*'1. UC Assumptions'!$E$44-(AH132/$AT$2)*'1. UC Assumptions'!$E$42,0)</f>
        <v>0</v>
      </c>
      <c r="AU132" s="151">
        <f>IF(K132="Dallas",(AG132/$AU$1)*'1. UC Assumptions'!$F$44-(AH132/$AU$2)*'1. UC Assumptions'!$F$42,0)</f>
        <v>0</v>
      </c>
      <c r="AV132" s="151">
        <f>IF(K132="El Paso",(AG132/$AV$1)*'1. UC Assumptions'!$G$44-(AH132/$AV$2)*'1. UC Assumptions'!$G$42,0)</f>
        <v>0</v>
      </c>
      <c r="AW132" s="151">
        <f>IF(K132="Harris",(AG132/$AW$1)*'1. UC Assumptions'!$H$44-(AH132/$AW$2)*'1. UC Assumptions'!$H$42,0)</f>
        <v>0</v>
      </c>
      <c r="AX132" s="151">
        <f>IF(K132="Hidalgo",(AG132/$AX$1)*'1. UC Assumptions'!$I$44-(AH132/$AX$2)*'1. UC Assumptions'!$I$42,0)</f>
        <v>0</v>
      </c>
      <c r="AY132" s="151">
        <f>IF(K132="Jefferson",(AG132/$AY$1)*'1. UC Assumptions'!$J$44-(AH132/$AY$2)*'1. UC Assumptions'!$J$42,0)</f>
        <v>0</v>
      </c>
      <c r="AZ132" s="151">
        <f>IF(K132="Lubbock",(AG132/$AZ$1)*'1. UC Assumptions'!$K$44-(AH132/$AZ$2)*'1. UC Assumptions'!$K$42,0)</f>
        <v>0</v>
      </c>
      <c r="BA132" s="151">
        <f>IF(K132="MRSA Central",(AG132/$BA$1)*'1. UC Assumptions'!$L$44-(AH132/$BA$2)*'1. UC Assumptions'!$L$42,0)</f>
        <v>0</v>
      </c>
      <c r="BB132" s="151">
        <f>IF(K132="MRSA Northeast",(AG132/$BB$1)*'1. UC Assumptions'!$M$44-(AH132/$BB$2)*'1. UC Assumptions'!$M$42,0)</f>
        <v>0</v>
      </c>
      <c r="BC132" s="151">
        <f>IF(K132="MRSA West",(AG132/$BC$1)*'1. UC Assumptions'!$N$44-(AH132/$BC$2)*'1. UC Assumptions'!$N$42,0)</f>
        <v>0</v>
      </c>
      <c r="BD132" s="151">
        <f>IF(K132="Nueces",(AG132/$BD$1)*'1. UC Assumptions'!$O$44-(AH132/$BD$2)*'1. UC Assumptions'!$O$42,0)</f>
        <v>0</v>
      </c>
      <c r="BE132" s="151">
        <f>IF(K132="Tarrant",(AG132/$BE$1)*'1. UC Assumptions'!$P$44-(AH132/$BE$2)*'1. UC Assumptions'!$P$42,0)</f>
        <v>0</v>
      </c>
      <c r="BF132" s="151">
        <f>IF(K132="Travis",(AG132/$BF$1)*'1. UC Assumptions'!$Q$44-(AH132/$BF$2)*'1. UC Assumptions'!$Q$42,0)</f>
        <v>0</v>
      </c>
      <c r="BG132" s="151">
        <f t="shared" ref="BG132:BG195" si="57">SUM(AT132:BF132)</f>
        <v>0</v>
      </c>
      <c r="BH132" s="151">
        <f t="shared" ref="BH132:BH195" si="58">AH132+BG132</f>
        <v>196271111.08976528</v>
      </c>
      <c r="BI132" s="151">
        <f>ROUNDDOWN(BH132*'1. UC Assumptions'!$C$23,2)</f>
        <v>64769466.649999999</v>
      </c>
      <c r="BJ132" s="154">
        <f t="shared" ref="BJ132:BJ195" si="59">IF(I132="Yes",BH132-AL132,BH132-AJ132)</f>
        <v>36958377.199765295</v>
      </c>
      <c r="BK132" s="154">
        <f t="shared" ref="BK132:BK195" si="60">IF(I132="Yes",BI132-AM132,BI132-AK132)</f>
        <v>12196264.466300011</v>
      </c>
      <c r="BL132" s="154">
        <f t="shared" ref="BL132:BL195" si="61">ROUND(IF(BJ132&gt;0,(BJ132/$BJ$393)*$BJ$398,0),2)</f>
        <v>34120716.170000002</v>
      </c>
      <c r="BM132" s="154">
        <f t="shared" ref="BM132:BM195" si="62">ROUND(IF(BK132&gt;0,(BK132/$BK$393)*$BK$398,0),2)</f>
        <v>11259836.310000001</v>
      </c>
      <c r="BN132" s="101"/>
      <c r="BO132" s="154">
        <f>(BL132*'1. UC Assumptions'!$C$23)-'3.  UC Calculations by Hospital'!BM132</f>
        <v>2.6099998503923416E-2</v>
      </c>
      <c r="BP132" s="13"/>
    </row>
    <row r="133" spans="2:68">
      <c r="B133" s="129" t="s">
        <v>541</v>
      </c>
      <c r="C133" s="91" t="s">
        <v>541</v>
      </c>
      <c r="D133" s="91" t="s">
        <v>214</v>
      </c>
      <c r="E133" s="91" t="s">
        <v>209</v>
      </c>
      <c r="F133" s="91"/>
      <c r="G133" s="91" t="s">
        <v>209</v>
      </c>
      <c r="H133" s="91" t="s">
        <v>209</v>
      </c>
      <c r="I133" s="150" t="s">
        <v>210</v>
      </c>
      <c r="J133" s="129" t="s">
        <v>542</v>
      </c>
      <c r="K133" s="91" t="s">
        <v>4</v>
      </c>
      <c r="L133" s="91" t="s">
        <v>4</v>
      </c>
      <c r="M133" s="151">
        <v>818142.24805719091</v>
      </c>
      <c r="N133" s="151">
        <v>29217956.069285478</v>
      </c>
      <c r="O133" s="131">
        <v>0</v>
      </c>
      <c r="P133" s="131">
        <f t="shared" si="42"/>
        <v>29217956.069285478</v>
      </c>
      <c r="Q133" s="131">
        <v>21625105.026616961</v>
      </c>
      <c r="R133" s="131">
        <v>0</v>
      </c>
      <c r="S133" s="131">
        <f t="shared" si="43"/>
        <v>0</v>
      </c>
      <c r="T133" s="131">
        <f t="shared" si="44"/>
        <v>21625105.026616961</v>
      </c>
      <c r="U133" s="131">
        <v>0</v>
      </c>
      <c r="V133" s="131">
        <v>0</v>
      </c>
      <c r="W133" s="131">
        <v>0</v>
      </c>
      <c r="X133" s="131">
        <v>0</v>
      </c>
      <c r="Y133" s="131">
        <v>2429234</v>
      </c>
      <c r="Z133" s="131">
        <f t="shared" si="45"/>
        <v>2429234</v>
      </c>
      <c r="AA133" s="131">
        <v>0</v>
      </c>
      <c r="AB133" s="152">
        <f t="shared" si="46"/>
        <v>24054339.026616961</v>
      </c>
      <c r="AC133" s="133">
        <f>IF(D133="Physician Group Practice",(AB133/$AB$393)*'1. UC Assumptions'!$C$15,IF(E133="Rural Hospital",AB133*'1. UC Assumptions'!$C$7/'1. UC Assumptions'!$E$7,(AB133/$AB$397)*('1. UC Assumptions'!$C$9)))</f>
        <v>11309041.815768482</v>
      </c>
      <c r="AD133" s="133">
        <f t="shared" si="47"/>
        <v>0</v>
      </c>
      <c r="AE133" s="133">
        <f t="shared" si="48"/>
        <v>12745297.210848479</v>
      </c>
      <c r="AF133" s="133">
        <f t="shared" si="49"/>
        <v>0</v>
      </c>
      <c r="AG133" s="133">
        <f t="shared" si="50"/>
        <v>12745297.210848479</v>
      </c>
      <c r="AH133" s="133">
        <f t="shared" si="51"/>
        <v>11309041.815768482</v>
      </c>
      <c r="AI133" s="131">
        <f>AH133*'1. UC Assumptions'!$C$23</f>
        <v>3731983.7992035989</v>
      </c>
      <c r="AJ133" s="131">
        <v>11302966.119999999</v>
      </c>
      <c r="AK133" s="131">
        <f>AJ133*(1-'1. UC Assumptions'!$C$22)</f>
        <v>3729978.8195999991</v>
      </c>
      <c r="AL133" s="131"/>
      <c r="AM133" s="131">
        <f>AL133*'1. UC Assumptions'!$C$23</f>
        <v>0</v>
      </c>
      <c r="AN133" s="153">
        <f t="shared" si="52"/>
        <v>24054339.026616961</v>
      </c>
      <c r="AO133" s="151">
        <f>AN133*'1. UC Assumptions'!$C$23</f>
        <v>7937931.8787835957</v>
      </c>
      <c r="AP133" s="151">
        <f t="shared" si="53"/>
        <v>12751372.906616962</v>
      </c>
      <c r="AQ133" s="151">
        <f t="shared" si="54"/>
        <v>4207953.0591835966</v>
      </c>
      <c r="AR133" s="151">
        <f t="shared" si="55"/>
        <v>4207953.0591835966</v>
      </c>
      <c r="AS133" s="151">
        <f t="shared" si="56"/>
        <v>7937931.8787835957</v>
      </c>
      <c r="AT133" s="151">
        <f>IF(K133="Bexar",(AG133/$AT$1)*'1. UC Assumptions'!$E$44-(AH133/$AT$2)*'1. UC Assumptions'!$E$42,0)</f>
        <v>0</v>
      </c>
      <c r="AU133" s="151">
        <f>IF(K133="Dallas",(AG133/$AU$1)*'1. UC Assumptions'!$F$44-(AH133/$AU$2)*'1. UC Assumptions'!$F$42,0)</f>
        <v>0</v>
      </c>
      <c r="AV133" s="151">
        <f>IF(K133="El Paso",(AG133/$AV$1)*'1. UC Assumptions'!$G$44-(AH133/$AV$2)*'1. UC Assumptions'!$G$42,0)</f>
        <v>0</v>
      </c>
      <c r="AW133" s="151">
        <f>IF(K133="Harris",(AG133/$AW$1)*'1. UC Assumptions'!$H$44-(AH133/$AW$2)*'1. UC Assumptions'!$H$42,0)</f>
        <v>0</v>
      </c>
      <c r="AX133" s="151">
        <f>IF(K133="Hidalgo",(AG133/$AX$1)*'1. UC Assumptions'!$I$44-(AH133/$AX$2)*'1. UC Assumptions'!$I$42,0)</f>
        <v>0</v>
      </c>
      <c r="AY133" s="151">
        <f>IF(K133="Jefferson",(AG133/$AY$1)*'1. UC Assumptions'!$J$44-(AH133/$AY$2)*'1. UC Assumptions'!$J$42,0)</f>
        <v>0</v>
      </c>
      <c r="AZ133" s="151">
        <f>IF(K133="Lubbock",(AG133/$AZ$1)*'1. UC Assumptions'!$K$44-(AH133/$AZ$2)*'1. UC Assumptions'!$K$42,0)</f>
        <v>0</v>
      </c>
      <c r="BA133" s="151">
        <f>IF(K133="MRSA Central",(AG133/$BA$1)*'1. UC Assumptions'!$L$44-(AH133/$BA$2)*'1. UC Assumptions'!$L$42,0)</f>
        <v>0</v>
      </c>
      <c r="BB133" s="151">
        <f>IF(K133="MRSA Northeast",(AG133/$BB$1)*'1. UC Assumptions'!$M$44-(AH133/$BB$2)*'1. UC Assumptions'!$M$42,0)</f>
        <v>0</v>
      </c>
      <c r="BC133" s="151">
        <f>IF(K133="MRSA West",(AG133/$BC$1)*'1. UC Assumptions'!$N$44-(AH133/$BC$2)*'1. UC Assumptions'!$N$42,0)</f>
        <v>0</v>
      </c>
      <c r="BD133" s="151">
        <f>IF(K133="Nueces",(AG133/$BD$1)*'1. UC Assumptions'!$O$44-(AH133/$BD$2)*'1. UC Assumptions'!$O$42,0)</f>
        <v>0</v>
      </c>
      <c r="BE133" s="151">
        <f>IF(K133="Tarrant",(AG133/$BE$1)*'1. UC Assumptions'!$P$44-(AH133/$BE$2)*'1. UC Assumptions'!$P$42,0)</f>
        <v>0</v>
      </c>
      <c r="BF133" s="151">
        <f>IF(K133="Travis",(AG133/$BF$1)*'1. UC Assumptions'!$Q$44-(AH133/$BF$2)*'1. UC Assumptions'!$Q$42,0)</f>
        <v>0</v>
      </c>
      <c r="BG133" s="151">
        <f t="shared" si="57"/>
        <v>0</v>
      </c>
      <c r="BH133" s="151">
        <f t="shared" si="58"/>
        <v>11309041.815768482</v>
      </c>
      <c r="BI133" s="151">
        <f>ROUNDDOWN(BH133*'1. UC Assumptions'!$C$23,2)</f>
        <v>3731983.79</v>
      </c>
      <c r="BJ133" s="154">
        <f t="shared" si="59"/>
        <v>6075.6957684829831</v>
      </c>
      <c r="BK133" s="154">
        <f t="shared" si="60"/>
        <v>2004.9704000009224</v>
      </c>
      <c r="BL133" s="154">
        <f t="shared" si="61"/>
        <v>5609.2</v>
      </c>
      <c r="BM133" s="154">
        <f t="shared" si="62"/>
        <v>1851.03</v>
      </c>
      <c r="BN133" s="101"/>
      <c r="BO133" s="154">
        <f>(BL133*'1. UC Assumptions'!$C$23)-'3.  UC Calculations by Hospital'!BM133</f>
        <v>5.9999999996307452E-3</v>
      </c>
      <c r="BP133" s="13"/>
    </row>
    <row r="134" spans="2:68">
      <c r="B134" s="129" t="s">
        <v>543</v>
      </c>
      <c r="C134" s="91" t="s">
        <v>543</v>
      </c>
      <c r="D134" s="91" t="s">
        <v>214</v>
      </c>
      <c r="E134" s="91" t="s">
        <v>149</v>
      </c>
      <c r="F134" s="91"/>
      <c r="G134" s="91" t="s">
        <v>209</v>
      </c>
      <c r="H134" s="91" t="s">
        <v>209</v>
      </c>
      <c r="I134" s="150" t="s">
        <v>210</v>
      </c>
      <c r="J134" s="129" t="s">
        <v>544</v>
      </c>
      <c r="K134" s="91" t="s">
        <v>12</v>
      </c>
      <c r="L134" s="91" t="s">
        <v>545</v>
      </c>
      <c r="M134" s="151">
        <v>447137.54962813429</v>
      </c>
      <c r="N134" s="151">
        <v>0</v>
      </c>
      <c r="O134" s="131">
        <v>0</v>
      </c>
      <c r="P134" s="131">
        <f t="shared" si="42"/>
        <v>0</v>
      </c>
      <c r="Q134" s="131">
        <v>591470.65296650236</v>
      </c>
      <c r="R134" s="131">
        <v>0</v>
      </c>
      <c r="S134" s="131">
        <f t="shared" si="43"/>
        <v>0</v>
      </c>
      <c r="T134" s="131">
        <f t="shared" si="44"/>
        <v>591470.65296650236</v>
      </c>
      <c r="U134" s="131">
        <v>0</v>
      </c>
      <c r="V134" s="131">
        <v>0</v>
      </c>
      <c r="W134" s="131">
        <v>0</v>
      </c>
      <c r="X134" s="131">
        <v>0</v>
      </c>
      <c r="Y134" s="131">
        <v>0</v>
      </c>
      <c r="Z134" s="131">
        <f t="shared" si="45"/>
        <v>0</v>
      </c>
      <c r="AA134" s="131">
        <v>0</v>
      </c>
      <c r="AB134" s="152">
        <f t="shared" si="46"/>
        <v>591470.65296650236</v>
      </c>
      <c r="AC134" s="133">
        <f>IF(D134="Physician Group Practice",(AB134/$AB$393)*'1. UC Assumptions'!$C$15,IF(E134="Rural Hospital",AB134*'1. UC Assumptions'!$C$7/'1. UC Assumptions'!$E$7,(AB134/$AB$397)*('1. UC Assumptions'!$C$9)))</f>
        <v>552099.71939511935</v>
      </c>
      <c r="AD134" s="133">
        <f t="shared" si="47"/>
        <v>0</v>
      </c>
      <c r="AE134" s="133">
        <f t="shared" si="48"/>
        <v>39370.933571383008</v>
      </c>
      <c r="AF134" s="133">
        <f t="shared" si="49"/>
        <v>0</v>
      </c>
      <c r="AG134" s="133">
        <f t="shared" si="50"/>
        <v>39370.933571383008</v>
      </c>
      <c r="AH134" s="133">
        <f t="shared" si="51"/>
        <v>552099.71939511935</v>
      </c>
      <c r="AI134" s="131">
        <f>AH134*'1. UC Assumptions'!$C$23</f>
        <v>182192.90740038938</v>
      </c>
      <c r="AJ134" s="131">
        <v>242997.91</v>
      </c>
      <c r="AK134" s="131">
        <f>AJ134*(1-'1. UC Assumptions'!$C$22)</f>
        <v>80189.310299999997</v>
      </c>
      <c r="AL134" s="131"/>
      <c r="AM134" s="131">
        <f>AL134*'1. UC Assumptions'!$C$23</f>
        <v>0</v>
      </c>
      <c r="AN134" s="153">
        <f t="shared" si="52"/>
        <v>591470.65296650236</v>
      </c>
      <c r="AO134" s="151">
        <f>AN134*'1. UC Assumptions'!$C$23</f>
        <v>195185.31547894576</v>
      </c>
      <c r="AP134" s="151">
        <f t="shared" si="53"/>
        <v>348472.74296650232</v>
      </c>
      <c r="AQ134" s="151">
        <f t="shared" si="54"/>
        <v>114996.00517894576</v>
      </c>
      <c r="AR134" s="151">
        <f t="shared" si="55"/>
        <v>114996.00517894576</v>
      </c>
      <c r="AS134" s="151">
        <f t="shared" si="56"/>
        <v>195185.31547894576</v>
      </c>
      <c r="AT134" s="151">
        <f>IF(K134="Bexar",(AG134/$AT$1)*'1. UC Assumptions'!$E$44-(AH134/$AT$2)*'1. UC Assumptions'!$E$42,0)</f>
        <v>0</v>
      </c>
      <c r="AU134" s="151">
        <f>IF(K134="Dallas",(AG134/$AU$1)*'1. UC Assumptions'!$F$44-(AH134/$AU$2)*'1. UC Assumptions'!$F$42,0)</f>
        <v>0</v>
      </c>
      <c r="AV134" s="151">
        <f>IF(K134="El Paso",(AG134/$AV$1)*'1. UC Assumptions'!$G$44-(AH134/$AV$2)*'1. UC Assumptions'!$G$42,0)</f>
        <v>0</v>
      </c>
      <c r="AW134" s="151">
        <f>IF(K134="Harris",(AG134/$AW$1)*'1. UC Assumptions'!$H$44-(AH134/$AW$2)*'1. UC Assumptions'!$H$42,0)</f>
        <v>0</v>
      </c>
      <c r="AX134" s="151">
        <f>IF(K134="Hidalgo",(AG134/$AX$1)*'1. UC Assumptions'!$I$44-(AH134/$AX$2)*'1. UC Assumptions'!$I$42,0)</f>
        <v>0</v>
      </c>
      <c r="AY134" s="151">
        <f>IF(K134="Jefferson",(AG134/$AY$1)*'1. UC Assumptions'!$J$44-(AH134/$AY$2)*'1. UC Assumptions'!$J$42,0)</f>
        <v>0</v>
      </c>
      <c r="AZ134" s="151">
        <f>IF(K134="Lubbock",(AG134/$AZ$1)*'1. UC Assumptions'!$K$44-(AH134/$AZ$2)*'1. UC Assumptions'!$K$42,0)</f>
        <v>0</v>
      </c>
      <c r="BA134" s="151">
        <f>IF(K134="MRSA Central",(AG134/$BA$1)*'1. UC Assumptions'!$L$44-(AH134/$BA$2)*'1. UC Assumptions'!$L$42,0)</f>
        <v>0</v>
      </c>
      <c r="BB134" s="151">
        <f>IF(K134="MRSA Northeast",(AG134/$BB$1)*'1. UC Assumptions'!$M$44-(AH134/$BB$2)*'1. UC Assumptions'!$M$42,0)</f>
        <v>0</v>
      </c>
      <c r="BC134" s="151">
        <f>IF(K134="MRSA West",(AG134/$BC$1)*'1. UC Assumptions'!$N$44-(AH134/$BC$2)*'1. UC Assumptions'!$N$42,0)</f>
        <v>0</v>
      </c>
      <c r="BD134" s="151">
        <f>IF(K134="Nueces",(AG134/$BD$1)*'1. UC Assumptions'!$O$44-(AH134/$BD$2)*'1. UC Assumptions'!$O$42,0)</f>
        <v>0</v>
      </c>
      <c r="BE134" s="151">
        <f>IF(K134="Tarrant",(AG134/$BE$1)*'1. UC Assumptions'!$P$44-(AH134/$BE$2)*'1. UC Assumptions'!$P$42,0)</f>
        <v>0</v>
      </c>
      <c r="BF134" s="151">
        <f>IF(K134="Travis",(AG134/$BF$1)*'1. UC Assumptions'!$Q$44-(AH134/$BF$2)*'1. UC Assumptions'!$Q$42,0)</f>
        <v>0</v>
      </c>
      <c r="BG134" s="151">
        <f t="shared" si="57"/>
        <v>0</v>
      </c>
      <c r="BH134" s="151">
        <f t="shared" si="58"/>
        <v>552099.71939511935</v>
      </c>
      <c r="BI134" s="151">
        <f>ROUNDDOWN(BH134*'1. UC Assumptions'!$C$23,2)</f>
        <v>182192.9</v>
      </c>
      <c r="BJ134" s="154">
        <f t="shared" si="59"/>
        <v>309101.80939511932</v>
      </c>
      <c r="BK134" s="154">
        <f t="shared" si="60"/>
        <v>102003.5897</v>
      </c>
      <c r="BL134" s="154">
        <f t="shared" si="61"/>
        <v>285369</v>
      </c>
      <c r="BM134" s="154">
        <f t="shared" si="62"/>
        <v>94171.76</v>
      </c>
      <c r="BN134" s="101"/>
      <c r="BO134" s="154">
        <f>(BL134*'1. UC Assumptions'!$C$23)-'3.  UC Calculations by Hospital'!BM134</f>
        <v>9.9999999947613105E-3</v>
      </c>
      <c r="BP134" s="13"/>
    </row>
    <row r="135" spans="2:68">
      <c r="B135" s="129" t="s">
        <v>546</v>
      </c>
      <c r="C135" s="91" t="s">
        <v>546</v>
      </c>
      <c r="D135" s="91" t="s">
        <v>214</v>
      </c>
      <c r="E135" s="91" t="s">
        <v>209</v>
      </c>
      <c r="F135" s="91"/>
      <c r="G135" s="91" t="s">
        <v>209</v>
      </c>
      <c r="H135" s="91" t="s">
        <v>209</v>
      </c>
      <c r="I135" s="150" t="s">
        <v>210</v>
      </c>
      <c r="J135" s="129" t="s">
        <v>547</v>
      </c>
      <c r="K135" s="91" t="s">
        <v>14</v>
      </c>
      <c r="L135" s="91" t="s">
        <v>14</v>
      </c>
      <c r="M135" s="151">
        <v>4473584.7401631353</v>
      </c>
      <c r="N135" s="151">
        <v>0</v>
      </c>
      <c r="O135" s="131">
        <v>0</v>
      </c>
      <c r="P135" s="131">
        <f t="shared" si="42"/>
        <v>0</v>
      </c>
      <c r="Q135" s="131">
        <v>10853103.29251693</v>
      </c>
      <c r="R135" s="131">
        <v>0</v>
      </c>
      <c r="S135" s="131">
        <f t="shared" si="43"/>
        <v>0</v>
      </c>
      <c r="T135" s="131">
        <f t="shared" si="44"/>
        <v>10853103.29251693</v>
      </c>
      <c r="U135" s="131">
        <v>0</v>
      </c>
      <c r="V135" s="131">
        <v>0</v>
      </c>
      <c r="W135" s="131">
        <v>0</v>
      </c>
      <c r="X135" s="131">
        <v>0</v>
      </c>
      <c r="Y135" s="131">
        <v>0</v>
      </c>
      <c r="Z135" s="131">
        <f t="shared" si="45"/>
        <v>0</v>
      </c>
      <c r="AA135" s="131">
        <v>0</v>
      </c>
      <c r="AB135" s="152">
        <f t="shared" si="46"/>
        <v>10853103.29251693</v>
      </c>
      <c r="AC135" s="133">
        <f>IF(D135="Physician Group Practice",(AB135/$AB$393)*'1. UC Assumptions'!$C$15,IF(E135="Rural Hospital",AB135*'1. UC Assumptions'!$C$7/'1. UC Assumptions'!$E$7,(AB135/$AB$397)*('1. UC Assumptions'!$C$9)))</f>
        <v>5102538.8321880093</v>
      </c>
      <c r="AD135" s="133">
        <f t="shared" si="47"/>
        <v>0</v>
      </c>
      <c r="AE135" s="133">
        <f t="shared" si="48"/>
        <v>5750564.4603289207</v>
      </c>
      <c r="AF135" s="133">
        <f t="shared" si="49"/>
        <v>0</v>
      </c>
      <c r="AG135" s="133">
        <f t="shared" si="50"/>
        <v>5750564.4603289207</v>
      </c>
      <c r="AH135" s="133">
        <f t="shared" si="51"/>
        <v>5102538.8321880093</v>
      </c>
      <c r="AI135" s="131">
        <f>AH135*'1. UC Assumptions'!$C$23</f>
        <v>1683837.8146220429</v>
      </c>
      <c r="AJ135" s="131">
        <v>4194587.5</v>
      </c>
      <c r="AK135" s="131">
        <f>AJ135*(1-'1. UC Assumptions'!$C$22)</f>
        <v>1384213.8749999998</v>
      </c>
      <c r="AL135" s="131"/>
      <c r="AM135" s="131">
        <f>AL135*'1. UC Assumptions'!$C$23</f>
        <v>0</v>
      </c>
      <c r="AN135" s="153">
        <f t="shared" si="52"/>
        <v>10853103.29251693</v>
      </c>
      <c r="AO135" s="151">
        <f>AN135*'1. UC Assumptions'!$C$23</f>
        <v>3581524.0865305867</v>
      </c>
      <c r="AP135" s="151">
        <f t="shared" si="53"/>
        <v>6658515.79251693</v>
      </c>
      <c r="AQ135" s="151">
        <f t="shared" si="54"/>
        <v>2197310.2115305867</v>
      </c>
      <c r="AR135" s="151">
        <f t="shared" si="55"/>
        <v>2197310.2115305867</v>
      </c>
      <c r="AS135" s="151">
        <f t="shared" si="56"/>
        <v>3581524.0865305867</v>
      </c>
      <c r="AT135" s="151">
        <f>IF(K135="Bexar",(AG135/$AT$1)*'1. UC Assumptions'!$E$44-(AH135/$AT$2)*'1. UC Assumptions'!$E$42,0)</f>
        <v>0</v>
      </c>
      <c r="AU135" s="151">
        <f>IF(K135="Dallas",(AG135/$AU$1)*'1. UC Assumptions'!$F$44-(AH135/$AU$2)*'1. UC Assumptions'!$F$42,0)</f>
        <v>0</v>
      </c>
      <c r="AV135" s="151">
        <f>IF(K135="El Paso",(AG135/$AV$1)*'1. UC Assumptions'!$G$44-(AH135/$AV$2)*'1. UC Assumptions'!$G$42,0)</f>
        <v>0</v>
      </c>
      <c r="AW135" s="151">
        <f>IF(K135="Harris",(AG135/$AW$1)*'1. UC Assumptions'!$H$44-(AH135/$AW$2)*'1. UC Assumptions'!$H$42,0)</f>
        <v>0</v>
      </c>
      <c r="AX135" s="151">
        <f>IF(K135="Hidalgo",(AG135/$AX$1)*'1. UC Assumptions'!$I$44-(AH135/$AX$2)*'1. UC Assumptions'!$I$42,0)</f>
        <v>0</v>
      </c>
      <c r="AY135" s="151">
        <f>IF(K135="Jefferson",(AG135/$AY$1)*'1. UC Assumptions'!$J$44-(AH135/$AY$2)*'1. UC Assumptions'!$J$42,0)</f>
        <v>0</v>
      </c>
      <c r="AZ135" s="151">
        <f>IF(K135="Lubbock",(AG135/$AZ$1)*'1. UC Assumptions'!$K$44-(AH135/$AZ$2)*'1. UC Assumptions'!$K$42,0)</f>
        <v>0</v>
      </c>
      <c r="BA135" s="151">
        <f>IF(K135="MRSA Central",(AG135/$BA$1)*'1. UC Assumptions'!$L$44-(AH135/$BA$2)*'1. UC Assumptions'!$L$42,0)</f>
        <v>0</v>
      </c>
      <c r="BB135" s="151">
        <f>IF(K135="MRSA Northeast",(AG135/$BB$1)*'1. UC Assumptions'!$M$44-(AH135/$BB$2)*'1. UC Assumptions'!$M$42,0)</f>
        <v>0</v>
      </c>
      <c r="BC135" s="151">
        <f>IF(K135="MRSA West",(AG135/$BC$1)*'1. UC Assumptions'!$N$44-(AH135/$BC$2)*'1. UC Assumptions'!$N$42,0)</f>
        <v>0</v>
      </c>
      <c r="BD135" s="151">
        <f>IF(K135="Nueces",(AG135/$BD$1)*'1. UC Assumptions'!$O$44-(AH135/$BD$2)*'1. UC Assumptions'!$O$42,0)</f>
        <v>0</v>
      </c>
      <c r="BE135" s="151">
        <f>IF(K135="Tarrant",(AG135/$BE$1)*'1. UC Assumptions'!$P$44-(AH135/$BE$2)*'1. UC Assumptions'!$P$42,0)</f>
        <v>0</v>
      </c>
      <c r="BF135" s="151">
        <f>IF(K135="Travis",(AG135/$BF$1)*'1. UC Assumptions'!$Q$44-(AH135/$BF$2)*'1. UC Assumptions'!$Q$42,0)</f>
        <v>0</v>
      </c>
      <c r="BG135" s="151">
        <f t="shared" si="57"/>
        <v>0</v>
      </c>
      <c r="BH135" s="151">
        <f t="shared" si="58"/>
        <v>5102538.8321880093</v>
      </c>
      <c r="BI135" s="151">
        <f>ROUNDDOWN(BH135*'1. UC Assumptions'!$C$23,2)</f>
        <v>1683837.81</v>
      </c>
      <c r="BJ135" s="154">
        <f t="shared" si="59"/>
        <v>907951.33218800928</v>
      </c>
      <c r="BK135" s="154">
        <f t="shared" si="60"/>
        <v>299623.93500000029</v>
      </c>
      <c r="BL135" s="154">
        <f t="shared" si="61"/>
        <v>838238.91</v>
      </c>
      <c r="BM135" s="154">
        <f t="shared" si="62"/>
        <v>276618.83</v>
      </c>
      <c r="BN135" s="101"/>
      <c r="BO135" s="154">
        <f>(BL135*'1. UC Assumptions'!$C$23)-'3.  UC Calculations by Hospital'!BM135</f>
        <v>1.02999999653548E-2</v>
      </c>
      <c r="BP135" s="13"/>
    </row>
    <row r="136" spans="2:68">
      <c r="B136" s="129" t="s">
        <v>548</v>
      </c>
      <c r="C136" s="91" t="s">
        <v>548</v>
      </c>
      <c r="D136" s="91" t="s">
        <v>214</v>
      </c>
      <c r="E136" s="91" t="s">
        <v>149</v>
      </c>
      <c r="F136" s="91"/>
      <c r="G136" s="91" t="s">
        <v>209</v>
      </c>
      <c r="H136" s="91" t="s">
        <v>209</v>
      </c>
      <c r="I136" s="150" t="s">
        <v>210</v>
      </c>
      <c r="J136" s="129" t="s">
        <v>549</v>
      </c>
      <c r="K136" s="91" t="s">
        <v>9</v>
      </c>
      <c r="L136" s="91" t="s">
        <v>550</v>
      </c>
      <c r="M136" s="151">
        <v>-5406126.6213160185</v>
      </c>
      <c r="N136" s="151">
        <v>4534950.9850132242</v>
      </c>
      <c r="O136" s="131">
        <v>2598302.0809589759</v>
      </c>
      <c r="P136" s="131">
        <f t="shared" si="42"/>
        <v>1936648.9040542482</v>
      </c>
      <c r="Q136" s="131">
        <v>3967117.5684111109</v>
      </c>
      <c r="R136" s="131">
        <v>0</v>
      </c>
      <c r="S136" s="131">
        <f t="shared" si="43"/>
        <v>0</v>
      </c>
      <c r="T136" s="131">
        <f t="shared" si="44"/>
        <v>3967117.5684111109</v>
      </c>
      <c r="U136" s="131">
        <v>0</v>
      </c>
      <c r="V136" s="131">
        <v>0</v>
      </c>
      <c r="W136" s="131">
        <v>0</v>
      </c>
      <c r="X136" s="131">
        <v>0</v>
      </c>
      <c r="Y136" s="131">
        <v>0</v>
      </c>
      <c r="Z136" s="131">
        <f t="shared" si="45"/>
        <v>0</v>
      </c>
      <c r="AA136" s="131">
        <v>0</v>
      </c>
      <c r="AB136" s="152">
        <f t="shared" si="46"/>
        <v>3967117.5684111109</v>
      </c>
      <c r="AC136" s="133">
        <f>IF(D136="Physician Group Practice",(AB136/$AB$393)*'1. UC Assumptions'!$C$15,IF(E136="Rural Hospital",AB136*'1. UC Assumptions'!$C$7/'1. UC Assumptions'!$E$7,(AB136/$AB$397)*('1. UC Assumptions'!$C$9)))</f>
        <v>3703048.4696782851</v>
      </c>
      <c r="AD136" s="133">
        <f t="shared" si="47"/>
        <v>0</v>
      </c>
      <c r="AE136" s="133">
        <f t="shared" si="48"/>
        <v>264069.09873282583</v>
      </c>
      <c r="AF136" s="133">
        <f t="shared" si="49"/>
        <v>0</v>
      </c>
      <c r="AG136" s="133">
        <f t="shared" si="50"/>
        <v>264069.09873282583</v>
      </c>
      <c r="AH136" s="133">
        <f t="shared" si="51"/>
        <v>3703048.4696782851</v>
      </c>
      <c r="AI136" s="131">
        <f>AH136*'1. UC Assumptions'!$C$23</f>
        <v>1222005.9949938338</v>
      </c>
      <c r="AJ136" s="131">
        <v>0</v>
      </c>
      <c r="AK136" s="131">
        <f>AJ136*(1-'1. UC Assumptions'!$C$22)</f>
        <v>0</v>
      </c>
      <c r="AL136" s="131"/>
      <c r="AM136" s="131">
        <f>AL136*'1. UC Assumptions'!$C$23</f>
        <v>0</v>
      </c>
      <c r="AN136" s="153">
        <f t="shared" si="52"/>
        <v>3967117.5684111109</v>
      </c>
      <c r="AO136" s="151">
        <f>AN136*'1. UC Assumptions'!$C$23</f>
        <v>1309148.7975756663</v>
      </c>
      <c r="AP136" s="151">
        <f t="shared" si="53"/>
        <v>3967117.5684111109</v>
      </c>
      <c r="AQ136" s="151">
        <f t="shared" si="54"/>
        <v>1309148.7975756663</v>
      </c>
      <c r="AR136" s="151">
        <f t="shared" si="55"/>
        <v>1309148.7975756663</v>
      </c>
      <c r="AS136" s="151">
        <f t="shared" si="56"/>
        <v>1309148.7975756663</v>
      </c>
      <c r="AT136" s="151">
        <f>IF(K136="Bexar",(AG136/$AT$1)*'1. UC Assumptions'!$E$44-(AH136/$AT$2)*'1. UC Assumptions'!$E$42,0)</f>
        <v>0</v>
      </c>
      <c r="AU136" s="151">
        <f>IF(K136="Dallas",(AG136/$AU$1)*'1. UC Assumptions'!$F$44-(AH136/$AU$2)*'1. UC Assumptions'!$F$42,0)</f>
        <v>0</v>
      </c>
      <c r="AV136" s="151">
        <f>IF(K136="El Paso",(AG136/$AV$1)*'1. UC Assumptions'!$G$44-(AH136/$AV$2)*'1. UC Assumptions'!$G$42,0)</f>
        <v>0</v>
      </c>
      <c r="AW136" s="151">
        <f>IF(K136="Harris",(AG136/$AW$1)*'1. UC Assumptions'!$H$44-(AH136/$AW$2)*'1. UC Assumptions'!$H$42,0)</f>
        <v>0</v>
      </c>
      <c r="AX136" s="151">
        <f>IF(K136="Hidalgo",(AG136/$AX$1)*'1. UC Assumptions'!$I$44-(AH136/$AX$2)*'1. UC Assumptions'!$I$42,0)</f>
        <v>0</v>
      </c>
      <c r="AY136" s="151">
        <f>IF(K136="Jefferson",(AG136/$AY$1)*'1. UC Assumptions'!$J$44-(AH136/$AY$2)*'1. UC Assumptions'!$J$42,0)</f>
        <v>0</v>
      </c>
      <c r="AZ136" s="151">
        <f>IF(K136="Lubbock",(AG136/$AZ$1)*'1. UC Assumptions'!$K$44-(AH136/$AZ$2)*'1. UC Assumptions'!$K$42,0)</f>
        <v>0</v>
      </c>
      <c r="BA136" s="151">
        <f>IF(K136="MRSA Central",(AG136/$BA$1)*'1. UC Assumptions'!$L$44-(AH136/$BA$2)*'1. UC Assumptions'!$L$42,0)</f>
        <v>0</v>
      </c>
      <c r="BB136" s="151">
        <f>IF(K136="MRSA Northeast",(AG136/$BB$1)*'1. UC Assumptions'!$M$44-(AH136/$BB$2)*'1. UC Assumptions'!$M$42,0)</f>
        <v>0</v>
      </c>
      <c r="BC136" s="151">
        <f>IF(K136="MRSA West",(AG136/$BC$1)*'1. UC Assumptions'!$N$44-(AH136/$BC$2)*'1. UC Assumptions'!$N$42,0)</f>
        <v>0</v>
      </c>
      <c r="BD136" s="151">
        <f>IF(K136="Nueces",(AG136/$BD$1)*'1. UC Assumptions'!$O$44-(AH136/$BD$2)*'1. UC Assumptions'!$O$42,0)</f>
        <v>0</v>
      </c>
      <c r="BE136" s="151">
        <f>IF(K136="Tarrant",(AG136/$BE$1)*'1. UC Assumptions'!$P$44-(AH136/$BE$2)*'1. UC Assumptions'!$P$42,0)</f>
        <v>0</v>
      </c>
      <c r="BF136" s="151">
        <f>IF(K136="Travis",(AG136/$BF$1)*'1. UC Assumptions'!$Q$44-(AH136/$BF$2)*'1. UC Assumptions'!$Q$42,0)</f>
        <v>0</v>
      </c>
      <c r="BG136" s="151">
        <f t="shared" si="57"/>
        <v>0</v>
      </c>
      <c r="BH136" s="151">
        <f t="shared" si="58"/>
        <v>3703048.4696782851</v>
      </c>
      <c r="BI136" s="151">
        <f>ROUNDDOWN(BH136*'1. UC Assumptions'!$C$23,2)</f>
        <v>1222005.99</v>
      </c>
      <c r="BJ136" s="154">
        <f t="shared" si="59"/>
        <v>3703048.4696782851</v>
      </c>
      <c r="BK136" s="154">
        <f t="shared" si="60"/>
        <v>1222005.99</v>
      </c>
      <c r="BL136" s="154">
        <f t="shared" si="61"/>
        <v>3418728.73</v>
      </c>
      <c r="BM136" s="154">
        <f t="shared" si="62"/>
        <v>1128180.47</v>
      </c>
      <c r="BN136" s="155"/>
      <c r="BO136" s="154">
        <f>(BL136*'1. UC Assumptions'!$C$23)-'3.  UC Calculations by Hospital'!BM136</f>
        <v>1.0899999877437949E-2</v>
      </c>
      <c r="BP136" s="13"/>
    </row>
    <row r="137" spans="2:68">
      <c r="B137" s="129" t="s">
        <v>551</v>
      </c>
      <c r="C137" s="91" t="s">
        <v>551</v>
      </c>
      <c r="D137" s="91" t="s">
        <v>214</v>
      </c>
      <c r="E137" s="91" t="s">
        <v>209</v>
      </c>
      <c r="F137" s="91"/>
      <c r="G137" s="91" t="s">
        <v>209</v>
      </c>
      <c r="H137" s="91" t="s">
        <v>209</v>
      </c>
      <c r="I137" s="150" t="s">
        <v>210</v>
      </c>
      <c r="J137" s="129" t="s">
        <v>552</v>
      </c>
      <c r="K137" s="91" t="s">
        <v>10</v>
      </c>
      <c r="L137" s="91" t="s">
        <v>553</v>
      </c>
      <c r="M137" s="151">
        <v>6323639.3409280544</v>
      </c>
      <c r="N137" s="151">
        <v>29854790.002391197</v>
      </c>
      <c r="O137" s="131">
        <v>14075236.270501664</v>
      </c>
      <c r="P137" s="131">
        <f t="shared" si="42"/>
        <v>15779553.731889533</v>
      </c>
      <c r="Q137" s="131">
        <v>23147860.525204957</v>
      </c>
      <c r="R137" s="131">
        <v>5169952.45</v>
      </c>
      <c r="S137" s="131">
        <f t="shared" si="43"/>
        <v>0</v>
      </c>
      <c r="T137" s="131">
        <f t="shared" si="44"/>
        <v>23147860.525204957</v>
      </c>
      <c r="U137" s="131">
        <v>776576</v>
      </c>
      <c r="V137" s="131">
        <v>0</v>
      </c>
      <c r="W137" s="131">
        <v>0</v>
      </c>
      <c r="X137" s="131">
        <v>0</v>
      </c>
      <c r="Y137" s="131">
        <v>0</v>
      </c>
      <c r="Z137" s="131">
        <f t="shared" si="45"/>
        <v>776576</v>
      </c>
      <c r="AA137" s="131">
        <v>0</v>
      </c>
      <c r="AB137" s="152">
        <f t="shared" si="46"/>
        <v>23924436.525204957</v>
      </c>
      <c r="AC137" s="133">
        <f>IF(D137="Physician Group Practice",(AB137/$AB$393)*'1. UC Assumptions'!$C$15,IF(E137="Rural Hospital",AB137*'1. UC Assumptions'!$C$7/'1. UC Assumptions'!$E$7,(AB137/$AB$397)*('1. UC Assumptions'!$C$9)))</f>
        <v>11247968.725428494</v>
      </c>
      <c r="AD137" s="133">
        <f t="shared" si="47"/>
        <v>0</v>
      </c>
      <c r="AE137" s="133">
        <f t="shared" si="48"/>
        <v>12676467.799776463</v>
      </c>
      <c r="AF137" s="133">
        <f t="shared" si="49"/>
        <v>0</v>
      </c>
      <c r="AG137" s="133">
        <f t="shared" si="50"/>
        <v>12676467.799776463</v>
      </c>
      <c r="AH137" s="133">
        <f t="shared" si="51"/>
        <v>11247968.725428494</v>
      </c>
      <c r="AI137" s="131">
        <f>AH137*'1. UC Assumptions'!$C$23</f>
        <v>3711829.6793914023</v>
      </c>
      <c r="AJ137" s="131">
        <v>11870804.73</v>
      </c>
      <c r="AK137" s="131">
        <f>AJ137*(1-'1. UC Assumptions'!$C$22)</f>
        <v>3917365.5608999995</v>
      </c>
      <c r="AL137" s="131"/>
      <c r="AM137" s="131">
        <f>AL137*'1. UC Assumptions'!$C$23</f>
        <v>0</v>
      </c>
      <c r="AN137" s="153">
        <f t="shared" si="52"/>
        <v>23924436.525204957</v>
      </c>
      <c r="AO137" s="151">
        <f>AN137*'1. UC Assumptions'!$C$23</f>
        <v>7895064.0533176344</v>
      </c>
      <c r="AP137" s="151">
        <f t="shared" si="53"/>
        <v>12053631.795204956</v>
      </c>
      <c r="AQ137" s="151">
        <f t="shared" si="54"/>
        <v>3977698.4924176349</v>
      </c>
      <c r="AR137" s="151">
        <f t="shared" si="55"/>
        <v>3977698.4924176349</v>
      </c>
      <c r="AS137" s="151">
        <f t="shared" si="56"/>
        <v>7895064.0533176344</v>
      </c>
      <c r="AT137" s="151">
        <f>IF(K137="Bexar",(AG137/$AT$1)*'1. UC Assumptions'!$E$44-(AH137/$AT$2)*'1. UC Assumptions'!$E$42,0)</f>
        <v>0</v>
      </c>
      <c r="AU137" s="151">
        <f>IF(K137="Dallas",(AG137/$AU$1)*'1. UC Assumptions'!$F$44-(AH137/$AU$2)*'1. UC Assumptions'!$F$42,0)</f>
        <v>0</v>
      </c>
      <c r="AV137" s="151">
        <f>IF(K137="El Paso",(AG137/$AV$1)*'1. UC Assumptions'!$G$44-(AH137/$AV$2)*'1. UC Assumptions'!$G$42,0)</f>
        <v>0</v>
      </c>
      <c r="AW137" s="151">
        <f>IF(K137="Harris",(AG137/$AW$1)*'1. UC Assumptions'!$H$44-(AH137/$AW$2)*'1. UC Assumptions'!$H$42,0)</f>
        <v>0</v>
      </c>
      <c r="AX137" s="151">
        <f>IF(K137="Hidalgo",(AG137/$AX$1)*'1. UC Assumptions'!$I$44-(AH137/$AX$2)*'1. UC Assumptions'!$I$42,0)</f>
        <v>0</v>
      </c>
      <c r="AY137" s="151">
        <f>IF(K137="Jefferson",(AG137/$AY$1)*'1. UC Assumptions'!$J$44-(AH137/$AY$2)*'1. UC Assumptions'!$J$42,0)</f>
        <v>0</v>
      </c>
      <c r="AZ137" s="151">
        <f>IF(K137="Lubbock",(AG137/$AZ$1)*'1. UC Assumptions'!$K$44-(AH137/$AZ$2)*'1. UC Assumptions'!$K$42,0)</f>
        <v>0</v>
      </c>
      <c r="BA137" s="151">
        <f>IF(K137="MRSA Central",(AG137/$BA$1)*'1. UC Assumptions'!$L$44-(AH137/$BA$2)*'1. UC Assumptions'!$L$42,0)</f>
        <v>0</v>
      </c>
      <c r="BB137" s="151">
        <f>IF(K137="MRSA Northeast",(AG137/$BB$1)*'1. UC Assumptions'!$M$44-(AH137/$BB$2)*'1. UC Assumptions'!$M$42,0)</f>
        <v>0</v>
      </c>
      <c r="BC137" s="151">
        <f>IF(K137="MRSA West",(AG137/$BC$1)*'1. UC Assumptions'!$N$44-(AH137/$BC$2)*'1. UC Assumptions'!$N$42,0)</f>
        <v>0</v>
      </c>
      <c r="BD137" s="151">
        <f>IF(K137="Nueces",(AG137/$BD$1)*'1. UC Assumptions'!$O$44-(AH137/$BD$2)*'1. UC Assumptions'!$O$42,0)</f>
        <v>0</v>
      </c>
      <c r="BE137" s="151">
        <f>IF(K137="Tarrant",(AG137/$BE$1)*'1. UC Assumptions'!$P$44-(AH137/$BE$2)*'1. UC Assumptions'!$P$42,0)</f>
        <v>0</v>
      </c>
      <c r="BF137" s="151">
        <f>IF(K137="Travis",(AG137/$BF$1)*'1. UC Assumptions'!$Q$44-(AH137/$BF$2)*'1. UC Assumptions'!$Q$42,0)</f>
        <v>0</v>
      </c>
      <c r="BG137" s="151">
        <f t="shared" si="57"/>
        <v>0</v>
      </c>
      <c r="BH137" s="151">
        <f t="shared" si="58"/>
        <v>11247968.725428494</v>
      </c>
      <c r="BI137" s="151">
        <f>ROUNDDOWN(BH137*'1. UC Assumptions'!$C$23,2)</f>
        <v>3711829.67</v>
      </c>
      <c r="BJ137" s="154">
        <f t="shared" si="59"/>
        <v>-622836.00457150675</v>
      </c>
      <c r="BK137" s="154">
        <f t="shared" si="60"/>
        <v>-205535.89089999953</v>
      </c>
      <c r="BL137" s="154">
        <f t="shared" si="61"/>
        <v>0</v>
      </c>
      <c r="BM137" s="154">
        <f t="shared" si="62"/>
        <v>0</v>
      </c>
      <c r="BN137" s="101"/>
      <c r="BO137" s="154">
        <f>(BL137*'1. UC Assumptions'!$C$23)-'3.  UC Calculations by Hospital'!BM137</f>
        <v>0</v>
      </c>
      <c r="BP137" s="13"/>
    </row>
    <row r="138" spans="2:68">
      <c r="B138" s="129" t="s">
        <v>111</v>
      </c>
      <c r="C138" s="91" t="s">
        <v>111</v>
      </c>
      <c r="D138" s="91" t="s">
        <v>281</v>
      </c>
      <c r="E138" s="91" t="s">
        <v>209</v>
      </c>
      <c r="F138" s="91"/>
      <c r="G138" s="91" t="s">
        <v>209</v>
      </c>
      <c r="H138" s="91" t="s">
        <v>209</v>
      </c>
      <c r="I138" s="150" t="s">
        <v>283</v>
      </c>
      <c r="J138" s="129" t="s">
        <v>554</v>
      </c>
      <c r="K138" s="91" t="s">
        <v>11</v>
      </c>
      <c r="L138" s="91" t="s">
        <v>314</v>
      </c>
      <c r="M138" s="151">
        <v>7025713.9833472259</v>
      </c>
      <c r="N138" s="151">
        <v>6568811.8672992643</v>
      </c>
      <c r="O138" s="131">
        <v>3720764.0806880766</v>
      </c>
      <c r="P138" s="131">
        <f t="shared" si="42"/>
        <v>2848047.7866111877</v>
      </c>
      <c r="Q138" s="131">
        <v>3960339.8166547711</v>
      </c>
      <c r="R138" s="131">
        <v>12235072.999999998</v>
      </c>
      <c r="S138" s="131">
        <f t="shared" si="43"/>
        <v>2361311.2300415845</v>
      </c>
      <c r="T138" s="131">
        <f t="shared" si="44"/>
        <v>1599028.5866131866</v>
      </c>
      <c r="U138" s="131">
        <v>2260785.9699999997</v>
      </c>
      <c r="V138" s="131">
        <v>0</v>
      </c>
      <c r="W138" s="131">
        <v>0</v>
      </c>
      <c r="X138" s="131">
        <v>0</v>
      </c>
      <c r="Y138" s="131">
        <v>0</v>
      </c>
      <c r="Z138" s="131">
        <f t="shared" si="45"/>
        <v>2260785.9699999997</v>
      </c>
      <c r="AA138" s="131">
        <v>0</v>
      </c>
      <c r="AB138" s="152">
        <f t="shared" si="46"/>
        <v>2260785.9699999997</v>
      </c>
      <c r="AC138" s="133">
        <f>IF(D138="Physician Group Practice",(AB138/$AB$393)*'1. UC Assumptions'!$C$15,IF(E138="Rural Hospital",AB138*'1. UC Assumptions'!$C$7/'1. UC Assumptions'!$E$7,(AB138/$AB$397)*('1. UC Assumptions'!$C$9)))</f>
        <v>1062898.5915157169</v>
      </c>
      <c r="AD138" s="133">
        <f t="shared" si="47"/>
        <v>0</v>
      </c>
      <c r="AE138" s="133">
        <f t="shared" si="48"/>
        <v>1197887.3784842829</v>
      </c>
      <c r="AF138" s="133">
        <f t="shared" si="49"/>
        <v>0</v>
      </c>
      <c r="AG138" s="133">
        <f t="shared" si="50"/>
        <v>1197887.3784842829</v>
      </c>
      <c r="AH138" s="133">
        <f t="shared" si="51"/>
        <v>1062898.5915157169</v>
      </c>
      <c r="AI138" s="131">
        <f>AH138*'1. UC Assumptions'!$C$23</f>
        <v>350756.53520018654</v>
      </c>
      <c r="AJ138" s="131">
        <v>1806107.63</v>
      </c>
      <c r="AK138" s="131">
        <f>AJ138*(1-'1. UC Assumptions'!$C$22)</f>
        <v>596015.51789999986</v>
      </c>
      <c r="AL138" s="131"/>
      <c r="AM138" s="131">
        <f>AL138*'1. UC Assumptions'!$C$23</f>
        <v>0</v>
      </c>
      <c r="AN138" s="153">
        <f t="shared" si="52"/>
        <v>2260785.9699999997</v>
      </c>
      <c r="AO138" s="151">
        <f>AN138*'1. UC Assumptions'!$C$23</f>
        <v>746059.37009999983</v>
      </c>
      <c r="AP138" s="151">
        <f t="shared" si="53"/>
        <v>2260785.9699999997</v>
      </c>
      <c r="AQ138" s="151">
        <f t="shared" si="54"/>
        <v>746059.37009999983</v>
      </c>
      <c r="AR138" s="151">
        <f t="shared" si="55"/>
        <v>746059.37009999983</v>
      </c>
      <c r="AS138" s="151">
        <f t="shared" si="56"/>
        <v>746059.37009999983</v>
      </c>
      <c r="AT138" s="151">
        <f>IF(K138="Bexar",(AG138/$AT$1)*'1. UC Assumptions'!$E$44-(AH138/$AT$2)*'1. UC Assumptions'!$E$42,0)</f>
        <v>0</v>
      </c>
      <c r="AU138" s="151">
        <f>IF(K138="Dallas",(AG138/$AU$1)*'1. UC Assumptions'!$F$44-(AH138/$AU$2)*'1. UC Assumptions'!$F$42,0)</f>
        <v>0</v>
      </c>
      <c r="AV138" s="151">
        <f>IF(K138="El Paso",(AG138/$AV$1)*'1. UC Assumptions'!$G$44-(AH138/$AV$2)*'1. UC Assumptions'!$G$42,0)</f>
        <v>0</v>
      </c>
      <c r="AW138" s="151">
        <f>IF(K138="Harris",(AG138/$AW$1)*'1. UC Assumptions'!$H$44-(AH138/$AW$2)*'1. UC Assumptions'!$H$42,0)</f>
        <v>0</v>
      </c>
      <c r="AX138" s="151">
        <f>IF(K138="Hidalgo",(AG138/$AX$1)*'1. UC Assumptions'!$I$44-(AH138/$AX$2)*'1. UC Assumptions'!$I$42,0)</f>
        <v>0</v>
      </c>
      <c r="AY138" s="151">
        <f>IF(K138="Jefferson",(AG138/$AY$1)*'1. UC Assumptions'!$J$44-(AH138/$AY$2)*'1. UC Assumptions'!$J$42,0)</f>
        <v>0</v>
      </c>
      <c r="AZ138" s="151">
        <f>IF(K138="Lubbock",(AG138/$AZ$1)*'1. UC Assumptions'!$K$44-(AH138/$AZ$2)*'1. UC Assumptions'!$K$42,0)</f>
        <v>0</v>
      </c>
      <c r="BA138" s="151">
        <f>IF(K138="MRSA Central",(AG138/$BA$1)*'1. UC Assumptions'!$L$44-(AH138/$BA$2)*'1. UC Assumptions'!$L$42,0)</f>
        <v>0</v>
      </c>
      <c r="BB138" s="151">
        <f>IF(K138="MRSA Northeast",(AG138/$BB$1)*'1. UC Assumptions'!$M$44-(AH138/$BB$2)*'1. UC Assumptions'!$M$42,0)</f>
        <v>0</v>
      </c>
      <c r="BC138" s="151">
        <f>IF(K138="MRSA West",(AG138/$BC$1)*'1. UC Assumptions'!$N$44-(AH138/$BC$2)*'1. UC Assumptions'!$N$42,0)</f>
        <v>0</v>
      </c>
      <c r="BD138" s="151">
        <f>IF(K138="Nueces",(AG138/$BD$1)*'1. UC Assumptions'!$O$44-(AH138/$BD$2)*'1. UC Assumptions'!$O$42,0)</f>
        <v>0</v>
      </c>
      <c r="BE138" s="151">
        <f>IF(K138="Tarrant",(AG138/$BE$1)*'1. UC Assumptions'!$P$44-(AH138/$BE$2)*'1. UC Assumptions'!$P$42,0)</f>
        <v>0</v>
      </c>
      <c r="BF138" s="151">
        <f>IF(K138="Travis",(AG138/$BF$1)*'1. UC Assumptions'!$Q$44-(AH138/$BF$2)*'1. UC Assumptions'!$Q$42,0)</f>
        <v>0</v>
      </c>
      <c r="BG138" s="151">
        <f t="shared" si="57"/>
        <v>0</v>
      </c>
      <c r="BH138" s="151">
        <f t="shared" si="58"/>
        <v>1062898.5915157169</v>
      </c>
      <c r="BI138" s="151">
        <f>ROUNDDOWN(BH138*'1. UC Assumptions'!$C$23,2)</f>
        <v>350756.53</v>
      </c>
      <c r="BJ138" s="154">
        <f t="shared" si="59"/>
        <v>1062898.5915157169</v>
      </c>
      <c r="BK138" s="154">
        <f t="shared" si="60"/>
        <v>350756.53</v>
      </c>
      <c r="BL138" s="154">
        <f t="shared" si="61"/>
        <v>981289.33</v>
      </c>
      <c r="BM138" s="154">
        <f t="shared" si="62"/>
        <v>323825.46999999997</v>
      </c>
      <c r="BN138" s="101"/>
      <c r="BO138" s="154">
        <f>(BL138*'1. UC Assumptions'!$C$23)-'3.  UC Calculations by Hospital'!BM138</f>
        <v>8.8999999570660293E-3</v>
      </c>
      <c r="BP138" s="13"/>
    </row>
    <row r="139" spans="2:68">
      <c r="B139" s="129" t="s">
        <v>555</v>
      </c>
      <c r="C139" s="91" t="s">
        <v>555</v>
      </c>
      <c r="D139" s="91" t="s">
        <v>214</v>
      </c>
      <c r="E139" s="91" t="s">
        <v>149</v>
      </c>
      <c r="F139" s="91"/>
      <c r="G139" s="91" t="s">
        <v>209</v>
      </c>
      <c r="H139" s="91" t="s">
        <v>209</v>
      </c>
      <c r="I139" s="150" t="s">
        <v>210</v>
      </c>
      <c r="J139" s="129" t="s">
        <v>556</v>
      </c>
      <c r="K139" s="91" t="s">
        <v>12</v>
      </c>
      <c r="L139" s="91" t="s">
        <v>557</v>
      </c>
      <c r="M139" s="151">
        <v>788018.88073825324</v>
      </c>
      <c r="N139" s="151">
        <v>8773103.0456319228</v>
      </c>
      <c r="O139" s="131">
        <v>4130639.1960936706</v>
      </c>
      <c r="P139" s="131">
        <f t="shared" si="42"/>
        <v>4642463.8495382518</v>
      </c>
      <c r="Q139" s="131">
        <v>4587313.0134325754</v>
      </c>
      <c r="R139" s="131">
        <v>0</v>
      </c>
      <c r="S139" s="131">
        <f t="shared" si="43"/>
        <v>0</v>
      </c>
      <c r="T139" s="131">
        <f t="shared" si="44"/>
        <v>4587313.0134325754</v>
      </c>
      <c r="U139" s="131">
        <v>0</v>
      </c>
      <c r="V139" s="131">
        <v>0</v>
      </c>
      <c r="W139" s="131">
        <v>0</v>
      </c>
      <c r="X139" s="131">
        <v>0</v>
      </c>
      <c r="Y139" s="131">
        <v>0</v>
      </c>
      <c r="Z139" s="131">
        <f t="shared" si="45"/>
        <v>0</v>
      </c>
      <c r="AA139" s="131">
        <v>0</v>
      </c>
      <c r="AB139" s="152">
        <f t="shared" si="46"/>
        <v>4587313.0134325754</v>
      </c>
      <c r="AC139" s="133">
        <f>IF(D139="Physician Group Practice",(AB139/$AB$393)*'1. UC Assumptions'!$C$15,IF(E139="Rural Hospital",AB139*'1. UC Assumptions'!$C$7/'1. UC Assumptions'!$E$7,(AB139/$AB$397)*('1. UC Assumptions'!$C$9)))</f>
        <v>4281960.9304219186</v>
      </c>
      <c r="AD139" s="133">
        <f t="shared" si="47"/>
        <v>0</v>
      </c>
      <c r="AE139" s="133">
        <f t="shared" si="48"/>
        <v>305352.08301065676</v>
      </c>
      <c r="AF139" s="133">
        <f t="shared" si="49"/>
        <v>0</v>
      </c>
      <c r="AG139" s="133">
        <f t="shared" si="50"/>
        <v>305352.08301065676</v>
      </c>
      <c r="AH139" s="133">
        <f t="shared" si="51"/>
        <v>4281960.9304219186</v>
      </c>
      <c r="AI139" s="131">
        <f>AH139*'1. UC Assumptions'!$C$23</f>
        <v>1413047.107039233</v>
      </c>
      <c r="AJ139" s="131">
        <v>1582302.01</v>
      </c>
      <c r="AK139" s="131">
        <f>AJ139*(1-'1. UC Assumptions'!$C$22)</f>
        <v>522159.66329999996</v>
      </c>
      <c r="AL139" s="131"/>
      <c r="AM139" s="131">
        <f>AL139*'1. UC Assumptions'!$C$23</f>
        <v>0</v>
      </c>
      <c r="AN139" s="153">
        <f t="shared" si="52"/>
        <v>4587313.0134325754</v>
      </c>
      <c r="AO139" s="151">
        <f>AN139*'1. UC Assumptions'!$C$23</f>
        <v>1513813.2944327497</v>
      </c>
      <c r="AP139" s="151">
        <f t="shared" si="53"/>
        <v>3005011.0034325756</v>
      </c>
      <c r="AQ139" s="151">
        <f t="shared" si="54"/>
        <v>991653.63113274984</v>
      </c>
      <c r="AR139" s="151">
        <f t="shared" si="55"/>
        <v>991653.63113274984</v>
      </c>
      <c r="AS139" s="151">
        <f t="shared" si="56"/>
        <v>1513813.2944327497</v>
      </c>
      <c r="AT139" s="151">
        <f>IF(K139="Bexar",(AG139/$AT$1)*'1. UC Assumptions'!$E$44-(AH139/$AT$2)*'1. UC Assumptions'!$E$42,0)</f>
        <v>0</v>
      </c>
      <c r="AU139" s="151">
        <f>IF(K139="Dallas",(AG139/$AU$1)*'1. UC Assumptions'!$F$44-(AH139/$AU$2)*'1. UC Assumptions'!$F$42,0)</f>
        <v>0</v>
      </c>
      <c r="AV139" s="151">
        <f>IF(K139="El Paso",(AG139/$AV$1)*'1. UC Assumptions'!$G$44-(AH139/$AV$2)*'1. UC Assumptions'!$G$42,0)</f>
        <v>0</v>
      </c>
      <c r="AW139" s="151">
        <f>IF(K139="Harris",(AG139/$AW$1)*'1. UC Assumptions'!$H$44-(AH139/$AW$2)*'1. UC Assumptions'!$H$42,0)</f>
        <v>0</v>
      </c>
      <c r="AX139" s="151">
        <f>IF(K139="Hidalgo",(AG139/$AX$1)*'1. UC Assumptions'!$I$44-(AH139/$AX$2)*'1. UC Assumptions'!$I$42,0)</f>
        <v>0</v>
      </c>
      <c r="AY139" s="151">
        <f>IF(K139="Jefferson",(AG139/$AY$1)*'1. UC Assumptions'!$J$44-(AH139/$AY$2)*'1. UC Assumptions'!$J$42,0)</f>
        <v>0</v>
      </c>
      <c r="AZ139" s="151">
        <f>IF(K139="Lubbock",(AG139/$AZ$1)*'1. UC Assumptions'!$K$44-(AH139/$AZ$2)*'1. UC Assumptions'!$K$42,0)</f>
        <v>0</v>
      </c>
      <c r="BA139" s="151">
        <f>IF(K139="MRSA Central",(AG139/$BA$1)*'1. UC Assumptions'!$L$44-(AH139/$BA$2)*'1. UC Assumptions'!$L$42,0)</f>
        <v>0</v>
      </c>
      <c r="BB139" s="151">
        <f>IF(K139="MRSA Northeast",(AG139/$BB$1)*'1. UC Assumptions'!$M$44-(AH139/$BB$2)*'1. UC Assumptions'!$M$42,0)</f>
        <v>0</v>
      </c>
      <c r="BC139" s="151">
        <f>IF(K139="MRSA West",(AG139/$BC$1)*'1. UC Assumptions'!$N$44-(AH139/$BC$2)*'1. UC Assumptions'!$N$42,0)</f>
        <v>0</v>
      </c>
      <c r="BD139" s="151">
        <f>IF(K139="Nueces",(AG139/$BD$1)*'1. UC Assumptions'!$O$44-(AH139/$BD$2)*'1. UC Assumptions'!$O$42,0)</f>
        <v>0</v>
      </c>
      <c r="BE139" s="151">
        <f>IF(K139="Tarrant",(AG139/$BE$1)*'1. UC Assumptions'!$P$44-(AH139/$BE$2)*'1. UC Assumptions'!$P$42,0)</f>
        <v>0</v>
      </c>
      <c r="BF139" s="151">
        <f>IF(K139="Travis",(AG139/$BF$1)*'1. UC Assumptions'!$Q$44-(AH139/$BF$2)*'1. UC Assumptions'!$Q$42,0)</f>
        <v>0</v>
      </c>
      <c r="BG139" s="151">
        <f t="shared" si="57"/>
        <v>0</v>
      </c>
      <c r="BH139" s="151">
        <f t="shared" si="58"/>
        <v>4281960.9304219186</v>
      </c>
      <c r="BI139" s="151">
        <f>ROUNDDOWN(BH139*'1. UC Assumptions'!$C$23,2)</f>
        <v>1413047.1</v>
      </c>
      <c r="BJ139" s="154">
        <f t="shared" si="59"/>
        <v>2699658.9204219189</v>
      </c>
      <c r="BK139" s="154">
        <f t="shared" si="60"/>
        <v>890887.43670000019</v>
      </c>
      <c r="BL139" s="154">
        <f t="shared" si="61"/>
        <v>2492379.34</v>
      </c>
      <c r="BM139" s="154">
        <f t="shared" si="62"/>
        <v>822485.17</v>
      </c>
      <c r="BN139" s="101"/>
      <c r="BO139" s="154">
        <f>(BL139*'1. UC Assumptions'!$C$23)-'3.  UC Calculations by Hospital'!BM139</f>
        <v>1.2199999764561653E-2</v>
      </c>
      <c r="BP139" s="13"/>
    </row>
    <row r="140" spans="2:68">
      <c r="B140" s="129" t="s">
        <v>558</v>
      </c>
      <c r="C140" s="91" t="s">
        <v>558</v>
      </c>
      <c r="D140" s="91" t="s">
        <v>539</v>
      </c>
      <c r="E140" s="91" t="s">
        <v>209</v>
      </c>
      <c r="F140" s="91"/>
      <c r="G140" s="91" t="s">
        <v>209</v>
      </c>
      <c r="H140" s="91" t="s">
        <v>209</v>
      </c>
      <c r="I140" s="150" t="s">
        <v>210</v>
      </c>
      <c r="J140" s="129" t="s">
        <v>559</v>
      </c>
      <c r="K140" s="91" t="s">
        <v>4</v>
      </c>
      <c r="L140" s="91" t="s">
        <v>4</v>
      </c>
      <c r="M140" s="151">
        <v>73620008.60348396</v>
      </c>
      <c r="N140" s="151">
        <v>573662038.13214755</v>
      </c>
      <c r="O140" s="131">
        <v>411895734.98911452</v>
      </c>
      <c r="P140" s="131">
        <f t="shared" si="42"/>
        <v>161766303.14303303</v>
      </c>
      <c r="Q140" s="131">
        <v>530700319.64253604</v>
      </c>
      <c r="R140" s="131">
        <v>219274678.44999999</v>
      </c>
      <c r="S140" s="131">
        <f t="shared" si="43"/>
        <v>0</v>
      </c>
      <c r="T140" s="131">
        <f t="shared" si="44"/>
        <v>530700319.64253604</v>
      </c>
      <c r="U140" s="131">
        <v>153401988.16999999</v>
      </c>
      <c r="V140" s="131">
        <v>37658710.859999999</v>
      </c>
      <c r="W140" s="131">
        <v>0</v>
      </c>
      <c r="X140" s="131">
        <v>0</v>
      </c>
      <c r="Y140" s="131">
        <v>0</v>
      </c>
      <c r="Z140" s="131">
        <f t="shared" si="45"/>
        <v>191060699.02999997</v>
      </c>
      <c r="AA140" s="131">
        <v>140673696.30999202</v>
      </c>
      <c r="AB140" s="152">
        <f t="shared" si="46"/>
        <v>862434714.98252797</v>
      </c>
      <c r="AC140" s="133">
        <f>IF(D140="Physician Group Practice",(AB140/$AB$393)*'1. UC Assumptions'!$C$15,IF(E140="Rural Hospital",AB140*'1. UC Assumptions'!$C$7/'1. UC Assumptions'!$E$7,(AB140/$AB$397)*('1. UC Assumptions'!$C$9)))</f>
        <v>405469892.32651144</v>
      </c>
      <c r="AD140" s="133">
        <f t="shared" si="47"/>
        <v>0</v>
      </c>
      <c r="AE140" s="133">
        <f t="shared" si="48"/>
        <v>316291126.34602445</v>
      </c>
      <c r="AF140" s="133">
        <f t="shared" si="49"/>
        <v>0</v>
      </c>
      <c r="AG140" s="133">
        <f t="shared" si="50"/>
        <v>316291126.34602445</v>
      </c>
      <c r="AH140" s="133">
        <f t="shared" si="51"/>
        <v>405469892.32651144</v>
      </c>
      <c r="AI140" s="131">
        <f>AH140*'1. UC Assumptions'!$C$23</f>
        <v>133805064.46774876</v>
      </c>
      <c r="AJ140" s="131">
        <v>293642729.67000002</v>
      </c>
      <c r="AK140" s="131">
        <f>AJ140*(1-'1. UC Assumptions'!$C$22)</f>
        <v>96902100.791099995</v>
      </c>
      <c r="AL140" s="131"/>
      <c r="AM140" s="131">
        <f>AL140*'1. UC Assumptions'!$C$23</f>
        <v>0</v>
      </c>
      <c r="AN140" s="153">
        <f t="shared" si="52"/>
        <v>721761018.6725359</v>
      </c>
      <c r="AO140" s="151">
        <f>AN140*'1. UC Assumptions'!$C$23</f>
        <v>238181136.16193682</v>
      </c>
      <c r="AP140" s="151">
        <f t="shared" si="53"/>
        <v>428118289.00253588</v>
      </c>
      <c r="AQ140" s="151">
        <f t="shared" si="54"/>
        <v>141279035.37083682</v>
      </c>
      <c r="AR140" s="151">
        <f t="shared" si="55"/>
        <v>141279035.37083682</v>
      </c>
      <c r="AS140" s="151">
        <f t="shared" si="56"/>
        <v>238181136.16193682</v>
      </c>
      <c r="AT140" s="151">
        <f>IF(K140="Bexar",(AG140/$AT$1)*'1. UC Assumptions'!$E$44-(AH140/$AT$2)*'1. UC Assumptions'!$E$42,0)</f>
        <v>0</v>
      </c>
      <c r="AU140" s="151">
        <f>IF(K140="Dallas",(AG140/$AU$1)*'1. UC Assumptions'!$F$44-(AH140/$AU$2)*'1. UC Assumptions'!$F$42,0)</f>
        <v>0</v>
      </c>
      <c r="AV140" s="151">
        <f>IF(K140="El Paso",(AG140/$AV$1)*'1. UC Assumptions'!$G$44-(AH140/$AV$2)*'1. UC Assumptions'!$G$42,0)</f>
        <v>0</v>
      </c>
      <c r="AW140" s="151">
        <f>IF(K140="Harris",(AG140/$AW$1)*'1. UC Assumptions'!$H$44-(AH140/$AW$2)*'1. UC Assumptions'!$H$42,0)</f>
        <v>0</v>
      </c>
      <c r="AX140" s="151">
        <f>IF(K140="Hidalgo",(AG140/$AX$1)*'1. UC Assumptions'!$I$44-(AH140/$AX$2)*'1. UC Assumptions'!$I$42,0)</f>
        <v>0</v>
      </c>
      <c r="AY140" s="151">
        <f>IF(K140="Jefferson",(AG140/$AY$1)*'1. UC Assumptions'!$J$44-(AH140/$AY$2)*'1. UC Assumptions'!$J$42,0)</f>
        <v>0</v>
      </c>
      <c r="AZ140" s="151">
        <f>IF(K140="Lubbock",(AG140/$AZ$1)*'1. UC Assumptions'!$K$44-(AH140/$AZ$2)*'1. UC Assumptions'!$K$42,0)</f>
        <v>0</v>
      </c>
      <c r="BA140" s="151">
        <f>IF(K140="MRSA Central",(AG140/$BA$1)*'1. UC Assumptions'!$L$44-(AH140/$BA$2)*'1. UC Assumptions'!$L$42,0)</f>
        <v>0</v>
      </c>
      <c r="BB140" s="151">
        <f>IF(K140="MRSA Northeast",(AG140/$BB$1)*'1. UC Assumptions'!$M$44-(AH140/$BB$2)*'1. UC Assumptions'!$M$42,0)</f>
        <v>0</v>
      </c>
      <c r="BC140" s="151">
        <f>IF(K140="MRSA West",(AG140/$BC$1)*'1. UC Assumptions'!$N$44-(AH140/$BC$2)*'1. UC Assumptions'!$N$42,0)</f>
        <v>0</v>
      </c>
      <c r="BD140" s="151">
        <f>IF(K140="Nueces",(AG140/$BD$1)*'1. UC Assumptions'!$O$44-(AH140/$BD$2)*'1. UC Assumptions'!$O$42,0)</f>
        <v>0</v>
      </c>
      <c r="BE140" s="151">
        <f>IF(K140="Tarrant",(AG140/$BE$1)*'1. UC Assumptions'!$P$44-(AH140/$BE$2)*'1. UC Assumptions'!$P$42,0)</f>
        <v>0</v>
      </c>
      <c r="BF140" s="151">
        <f>IF(K140="Travis",(AG140/$BF$1)*'1. UC Assumptions'!$Q$44-(AH140/$BF$2)*'1. UC Assumptions'!$Q$42,0)</f>
        <v>0</v>
      </c>
      <c r="BG140" s="151">
        <f t="shared" si="57"/>
        <v>0</v>
      </c>
      <c r="BH140" s="151">
        <f t="shared" si="58"/>
        <v>405469892.32651144</v>
      </c>
      <c r="BI140" s="151">
        <f>ROUNDDOWN(BH140*'1. UC Assumptions'!$C$23,2)</f>
        <v>133805064.45999999</v>
      </c>
      <c r="BJ140" s="154">
        <f t="shared" si="59"/>
        <v>111827162.65651143</v>
      </c>
      <c r="BK140" s="154">
        <f t="shared" si="60"/>
        <v>36902963.668899998</v>
      </c>
      <c r="BL140" s="154">
        <f t="shared" si="61"/>
        <v>103241082.70999999</v>
      </c>
      <c r="BM140" s="154">
        <f t="shared" si="62"/>
        <v>34069557.229999997</v>
      </c>
      <c r="BN140" s="101"/>
      <c r="BO140" s="154">
        <f>(BL140*'1. UC Assumptions'!$C$23)-'3.  UC Calculations by Hospital'!BM140</f>
        <v>6.4300000667572021E-2</v>
      </c>
      <c r="BP140" s="13"/>
    </row>
    <row r="141" spans="2:68">
      <c r="B141" s="129" t="s">
        <v>560</v>
      </c>
      <c r="C141" s="91" t="s">
        <v>560</v>
      </c>
      <c r="D141" s="91" t="s">
        <v>208</v>
      </c>
      <c r="E141" s="91" t="s">
        <v>149</v>
      </c>
      <c r="F141" s="91"/>
      <c r="G141" s="91" t="s">
        <v>209</v>
      </c>
      <c r="H141" s="91" t="s">
        <v>209</v>
      </c>
      <c r="I141" s="150" t="s">
        <v>210</v>
      </c>
      <c r="J141" s="129" t="s">
        <v>561</v>
      </c>
      <c r="K141" s="91" t="s">
        <v>12</v>
      </c>
      <c r="L141" s="91" t="s">
        <v>562</v>
      </c>
      <c r="M141" s="151">
        <v>1668848.2187937286</v>
      </c>
      <c r="N141" s="151">
        <v>2976010.8671427881</v>
      </c>
      <c r="O141" s="131">
        <v>1788424.0864989182</v>
      </c>
      <c r="P141" s="131">
        <f t="shared" si="42"/>
        <v>1187586.7806438699</v>
      </c>
      <c r="Q141" s="131">
        <v>2898127.7682287619</v>
      </c>
      <c r="R141" s="131">
        <v>1618939.9100000001</v>
      </c>
      <c r="S141" s="131">
        <f t="shared" si="43"/>
        <v>0</v>
      </c>
      <c r="T141" s="131">
        <f t="shared" si="44"/>
        <v>2898127.7682287619</v>
      </c>
      <c r="U141" s="131">
        <v>226985</v>
      </c>
      <c r="V141" s="131">
        <v>0</v>
      </c>
      <c r="W141" s="131">
        <v>0</v>
      </c>
      <c r="X141" s="131">
        <v>0</v>
      </c>
      <c r="Y141" s="131">
        <v>0</v>
      </c>
      <c r="Z141" s="131">
        <f t="shared" si="45"/>
        <v>226985</v>
      </c>
      <c r="AA141" s="131">
        <v>0</v>
      </c>
      <c r="AB141" s="152">
        <f t="shared" si="46"/>
        <v>3125112.7682287619</v>
      </c>
      <c r="AC141" s="133">
        <f>IF(D141="Physician Group Practice",(AB141/$AB$393)*'1. UC Assumptions'!$C$15,IF(E141="Rural Hospital",AB141*'1. UC Assumptions'!$C$7/'1. UC Assumptions'!$E$7,(AB141/$AB$397)*('1. UC Assumptions'!$C$9)))</f>
        <v>2917091.2770796758</v>
      </c>
      <c r="AD141" s="133">
        <f t="shared" si="47"/>
        <v>0</v>
      </c>
      <c r="AE141" s="133">
        <f t="shared" si="48"/>
        <v>208021.49114908604</v>
      </c>
      <c r="AF141" s="133">
        <f t="shared" si="49"/>
        <v>0</v>
      </c>
      <c r="AG141" s="133">
        <f t="shared" si="50"/>
        <v>208021.49114908604</v>
      </c>
      <c r="AH141" s="133">
        <f t="shared" si="51"/>
        <v>2917091.2770796758</v>
      </c>
      <c r="AI141" s="131">
        <f>AH141*'1. UC Assumptions'!$C$23</f>
        <v>962640.12143629289</v>
      </c>
      <c r="AJ141" s="131">
        <v>1187742.1100000001</v>
      </c>
      <c r="AK141" s="131">
        <f>AJ141*(1-'1. UC Assumptions'!$C$22)</f>
        <v>391954.89629999996</v>
      </c>
      <c r="AL141" s="131"/>
      <c r="AM141" s="131">
        <f>AL141*'1. UC Assumptions'!$C$23</f>
        <v>0</v>
      </c>
      <c r="AN141" s="153">
        <f t="shared" si="52"/>
        <v>3125112.7682287619</v>
      </c>
      <c r="AO141" s="151">
        <f>AN141*'1. UC Assumptions'!$C$23</f>
        <v>1031287.2135154913</v>
      </c>
      <c r="AP141" s="151">
        <f t="shared" si="53"/>
        <v>1937370.6582287617</v>
      </c>
      <c r="AQ141" s="151">
        <f t="shared" si="54"/>
        <v>639332.31721549132</v>
      </c>
      <c r="AR141" s="151">
        <f t="shared" si="55"/>
        <v>639332.31721549132</v>
      </c>
      <c r="AS141" s="151">
        <f t="shared" si="56"/>
        <v>1031287.2135154912</v>
      </c>
      <c r="AT141" s="151">
        <f>IF(K141="Bexar",(AG141/$AT$1)*'1. UC Assumptions'!$E$44-(AH141/$AT$2)*'1. UC Assumptions'!$E$42,0)</f>
        <v>0</v>
      </c>
      <c r="AU141" s="151">
        <f>IF(K141="Dallas",(AG141/$AU$1)*'1. UC Assumptions'!$F$44-(AH141/$AU$2)*'1. UC Assumptions'!$F$42,0)</f>
        <v>0</v>
      </c>
      <c r="AV141" s="151">
        <f>IF(K141="El Paso",(AG141/$AV$1)*'1. UC Assumptions'!$G$44-(AH141/$AV$2)*'1. UC Assumptions'!$G$42,0)</f>
        <v>0</v>
      </c>
      <c r="AW141" s="151">
        <f>IF(K141="Harris",(AG141/$AW$1)*'1. UC Assumptions'!$H$44-(AH141/$AW$2)*'1. UC Assumptions'!$H$42,0)</f>
        <v>0</v>
      </c>
      <c r="AX141" s="151">
        <f>IF(K141="Hidalgo",(AG141/$AX$1)*'1. UC Assumptions'!$I$44-(AH141/$AX$2)*'1. UC Assumptions'!$I$42,0)</f>
        <v>0</v>
      </c>
      <c r="AY141" s="151">
        <f>IF(K141="Jefferson",(AG141/$AY$1)*'1. UC Assumptions'!$J$44-(AH141/$AY$2)*'1. UC Assumptions'!$J$42,0)</f>
        <v>0</v>
      </c>
      <c r="AZ141" s="151">
        <f>IF(K141="Lubbock",(AG141/$AZ$1)*'1. UC Assumptions'!$K$44-(AH141/$AZ$2)*'1. UC Assumptions'!$K$42,0)</f>
        <v>0</v>
      </c>
      <c r="BA141" s="151">
        <f>IF(K141="MRSA Central",(AG141/$BA$1)*'1. UC Assumptions'!$L$44-(AH141/$BA$2)*'1. UC Assumptions'!$L$42,0)</f>
        <v>0</v>
      </c>
      <c r="BB141" s="151">
        <f>IF(K141="MRSA Northeast",(AG141/$BB$1)*'1. UC Assumptions'!$M$44-(AH141/$BB$2)*'1. UC Assumptions'!$M$42,0)</f>
        <v>0</v>
      </c>
      <c r="BC141" s="151">
        <f>IF(K141="MRSA West",(AG141/$BC$1)*'1. UC Assumptions'!$N$44-(AH141/$BC$2)*'1. UC Assumptions'!$N$42,0)</f>
        <v>0</v>
      </c>
      <c r="BD141" s="151">
        <f>IF(K141="Nueces",(AG141/$BD$1)*'1. UC Assumptions'!$O$44-(AH141/$BD$2)*'1. UC Assumptions'!$O$42,0)</f>
        <v>0</v>
      </c>
      <c r="BE141" s="151">
        <f>IF(K141="Tarrant",(AG141/$BE$1)*'1. UC Assumptions'!$P$44-(AH141/$BE$2)*'1. UC Assumptions'!$P$42,0)</f>
        <v>0</v>
      </c>
      <c r="BF141" s="151">
        <f>IF(K141="Travis",(AG141/$BF$1)*'1. UC Assumptions'!$Q$44-(AH141/$BF$2)*'1. UC Assumptions'!$Q$42,0)</f>
        <v>0</v>
      </c>
      <c r="BG141" s="151">
        <f t="shared" si="57"/>
        <v>0</v>
      </c>
      <c r="BH141" s="151">
        <f t="shared" si="58"/>
        <v>2917091.2770796758</v>
      </c>
      <c r="BI141" s="151">
        <f>ROUNDDOWN(BH141*'1. UC Assumptions'!$C$23,2)</f>
        <v>962640.12</v>
      </c>
      <c r="BJ141" s="154">
        <f t="shared" si="59"/>
        <v>1729349.1670796757</v>
      </c>
      <c r="BK141" s="154">
        <f t="shared" si="60"/>
        <v>570685.22369999997</v>
      </c>
      <c r="BL141" s="154">
        <f t="shared" si="61"/>
        <v>1596569.89</v>
      </c>
      <c r="BM141" s="154">
        <f t="shared" si="62"/>
        <v>526868.06000000006</v>
      </c>
      <c r="BN141" s="155"/>
      <c r="BO141" s="154">
        <f>(BL141*'1. UC Assumptions'!$C$23)-'3.  UC Calculations by Hospital'!BM141</f>
        <v>3.6999998847022653E-3</v>
      </c>
      <c r="BP141" s="13"/>
    </row>
    <row r="142" spans="2:68">
      <c r="B142" s="129" t="s">
        <v>563</v>
      </c>
      <c r="C142" s="91" t="s">
        <v>563</v>
      </c>
      <c r="D142" s="91" t="s">
        <v>214</v>
      </c>
      <c r="E142" s="91" t="s">
        <v>209</v>
      </c>
      <c r="F142" s="91"/>
      <c r="G142" s="91" t="s">
        <v>209</v>
      </c>
      <c r="H142" s="91" t="s">
        <v>209</v>
      </c>
      <c r="I142" s="150" t="s">
        <v>210</v>
      </c>
      <c r="J142" s="129" t="s">
        <v>564</v>
      </c>
      <c r="K142" s="91" t="s">
        <v>6</v>
      </c>
      <c r="L142" s="91" t="s">
        <v>6</v>
      </c>
      <c r="M142" s="151">
        <v>39624967.563131705</v>
      </c>
      <c r="N142" s="151">
        <v>0</v>
      </c>
      <c r="O142" s="131">
        <v>0</v>
      </c>
      <c r="P142" s="131">
        <f t="shared" si="42"/>
        <v>0</v>
      </c>
      <c r="Q142" s="131">
        <v>39321724.27512043</v>
      </c>
      <c r="R142" s="131">
        <v>0</v>
      </c>
      <c r="S142" s="131">
        <f t="shared" si="43"/>
        <v>0</v>
      </c>
      <c r="T142" s="131">
        <f t="shared" si="44"/>
        <v>39321724.27512043</v>
      </c>
      <c r="U142" s="131">
        <v>0</v>
      </c>
      <c r="V142" s="131">
        <v>0</v>
      </c>
      <c r="W142" s="131">
        <v>0</v>
      </c>
      <c r="X142" s="131">
        <v>0</v>
      </c>
      <c r="Y142" s="131">
        <v>0</v>
      </c>
      <c r="Z142" s="131">
        <f t="shared" si="45"/>
        <v>0</v>
      </c>
      <c r="AA142" s="131">
        <v>0</v>
      </c>
      <c r="AB142" s="152">
        <f t="shared" si="46"/>
        <v>39321724.27512043</v>
      </c>
      <c r="AC142" s="133">
        <f>IF(D142="Physician Group Practice",(AB142/$AB$393)*'1. UC Assumptions'!$C$15,IF(E142="Rural Hospital",AB142*'1. UC Assumptions'!$C$7/'1. UC Assumptions'!$E$7,(AB142/$AB$397)*('1. UC Assumptions'!$C$9)))</f>
        <v>18486935.9163596</v>
      </c>
      <c r="AD142" s="133">
        <f t="shared" si="47"/>
        <v>0</v>
      </c>
      <c r="AE142" s="133">
        <f t="shared" si="48"/>
        <v>20834788.35876083</v>
      </c>
      <c r="AF142" s="133">
        <f t="shared" si="49"/>
        <v>0</v>
      </c>
      <c r="AG142" s="133">
        <f t="shared" si="50"/>
        <v>20834788.35876083</v>
      </c>
      <c r="AH142" s="133">
        <f t="shared" si="51"/>
        <v>18486935.9163596</v>
      </c>
      <c r="AI142" s="131">
        <f>AH142*'1. UC Assumptions'!$C$23</f>
        <v>6100688.8523986675</v>
      </c>
      <c r="AJ142" s="131">
        <v>16504473.49</v>
      </c>
      <c r="AK142" s="131">
        <f>AJ142*(1-'1. UC Assumptions'!$C$22)</f>
        <v>5446476.251699999</v>
      </c>
      <c r="AL142" s="131"/>
      <c r="AM142" s="131">
        <f>AL142*'1. UC Assumptions'!$C$23</f>
        <v>0</v>
      </c>
      <c r="AN142" s="153">
        <f t="shared" si="52"/>
        <v>39321724.27512043</v>
      </c>
      <c r="AO142" s="151">
        <f>AN142*'1. UC Assumptions'!$C$23</f>
        <v>12976169.010789741</v>
      </c>
      <c r="AP142" s="151">
        <f t="shared" si="53"/>
        <v>22817250.785120428</v>
      </c>
      <c r="AQ142" s="151">
        <f t="shared" si="54"/>
        <v>7529692.7590897419</v>
      </c>
      <c r="AR142" s="151">
        <f t="shared" si="55"/>
        <v>7529692.7590897419</v>
      </c>
      <c r="AS142" s="151">
        <f t="shared" si="56"/>
        <v>12976169.010789741</v>
      </c>
      <c r="AT142" s="151">
        <f>IF(K142="Bexar",(AG142/$AT$1)*'1. UC Assumptions'!$E$44-(AH142/$AT$2)*'1. UC Assumptions'!$E$42,0)</f>
        <v>0</v>
      </c>
      <c r="AU142" s="151">
        <f>IF(K142="Dallas",(AG142/$AU$1)*'1. UC Assumptions'!$F$44-(AH142/$AU$2)*'1. UC Assumptions'!$F$42,0)</f>
        <v>0</v>
      </c>
      <c r="AV142" s="151">
        <f>IF(K142="El Paso",(AG142/$AV$1)*'1. UC Assumptions'!$G$44-(AH142/$AV$2)*'1. UC Assumptions'!$G$42,0)</f>
        <v>0</v>
      </c>
      <c r="AW142" s="151">
        <f>IF(K142="Harris",(AG142/$AW$1)*'1. UC Assumptions'!$H$44-(AH142/$AW$2)*'1. UC Assumptions'!$H$42,0)</f>
        <v>0</v>
      </c>
      <c r="AX142" s="151">
        <f>IF(K142="Hidalgo",(AG142/$AX$1)*'1. UC Assumptions'!$I$44-(AH142/$AX$2)*'1. UC Assumptions'!$I$42,0)</f>
        <v>0</v>
      </c>
      <c r="AY142" s="151">
        <f>IF(K142="Jefferson",(AG142/$AY$1)*'1. UC Assumptions'!$J$44-(AH142/$AY$2)*'1. UC Assumptions'!$J$42,0)</f>
        <v>0</v>
      </c>
      <c r="AZ142" s="151">
        <f>IF(K142="Lubbock",(AG142/$AZ$1)*'1. UC Assumptions'!$K$44-(AH142/$AZ$2)*'1. UC Assumptions'!$K$42,0)</f>
        <v>0</v>
      </c>
      <c r="BA142" s="151">
        <f>IF(K142="MRSA Central",(AG142/$BA$1)*'1. UC Assumptions'!$L$44-(AH142/$BA$2)*'1. UC Assumptions'!$L$42,0)</f>
        <v>0</v>
      </c>
      <c r="BB142" s="151">
        <f>IF(K142="MRSA Northeast",(AG142/$BB$1)*'1. UC Assumptions'!$M$44-(AH142/$BB$2)*'1. UC Assumptions'!$M$42,0)</f>
        <v>0</v>
      </c>
      <c r="BC142" s="151">
        <f>IF(K142="MRSA West",(AG142/$BC$1)*'1. UC Assumptions'!$N$44-(AH142/$BC$2)*'1. UC Assumptions'!$N$42,0)</f>
        <v>0</v>
      </c>
      <c r="BD142" s="151">
        <f>IF(K142="Nueces",(AG142/$BD$1)*'1. UC Assumptions'!$O$44-(AH142/$BD$2)*'1. UC Assumptions'!$O$42,0)</f>
        <v>0</v>
      </c>
      <c r="BE142" s="151">
        <f>IF(K142="Tarrant",(AG142/$BE$1)*'1. UC Assumptions'!$P$44-(AH142/$BE$2)*'1. UC Assumptions'!$P$42,0)</f>
        <v>0</v>
      </c>
      <c r="BF142" s="151">
        <f>IF(K142="Travis",(AG142/$BF$1)*'1. UC Assumptions'!$Q$44-(AH142/$BF$2)*'1. UC Assumptions'!$Q$42,0)</f>
        <v>0</v>
      </c>
      <c r="BG142" s="151">
        <f t="shared" si="57"/>
        <v>0</v>
      </c>
      <c r="BH142" s="151">
        <f t="shared" si="58"/>
        <v>18486935.9163596</v>
      </c>
      <c r="BI142" s="151">
        <f>ROUNDDOWN(BH142*'1. UC Assumptions'!$C$23,2)</f>
        <v>6100688.8499999996</v>
      </c>
      <c r="BJ142" s="154">
        <f t="shared" si="59"/>
        <v>1982462.4263595995</v>
      </c>
      <c r="BK142" s="154">
        <f t="shared" si="60"/>
        <v>654212.59830000065</v>
      </c>
      <c r="BL142" s="154">
        <f t="shared" si="61"/>
        <v>1830249.13</v>
      </c>
      <c r="BM142" s="154">
        <f t="shared" si="62"/>
        <v>603982.21</v>
      </c>
      <c r="BN142" s="101"/>
      <c r="BO142" s="154">
        <f>(BL142*'1. UC Assumptions'!$C$23)-'3.  UC Calculations by Hospital'!BM142</f>
        <v>2.899999963119626E-3</v>
      </c>
      <c r="BP142" s="13"/>
    </row>
    <row r="143" spans="2:68">
      <c r="B143" s="129" t="s">
        <v>565</v>
      </c>
      <c r="C143" s="91" t="s">
        <v>565</v>
      </c>
      <c r="D143" s="91" t="s">
        <v>214</v>
      </c>
      <c r="E143" s="91" t="s">
        <v>149</v>
      </c>
      <c r="F143" s="91"/>
      <c r="G143" s="91" t="s">
        <v>209</v>
      </c>
      <c r="H143" s="91" t="s">
        <v>209</v>
      </c>
      <c r="I143" s="150" t="s">
        <v>210</v>
      </c>
      <c r="J143" s="129" t="s">
        <v>566</v>
      </c>
      <c r="K143" s="91" t="s">
        <v>11</v>
      </c>
      <c r="L143" s="91" t="s">
        <v>567</v>
      </c>
      <c r="M143" s="151">
        <v>669076.51206305262</v>
      </c>
      <c r="N143" s="151">
        <v>0</v>
      </c>
      <c r="O143" s="131">
        <v>0</v>
      </c>
      <c r="P143" s="131">
        <f t="shared" si="42"/>
        <v>0</v>
      </c>
      <c r="Q143" s="131">
        <v>2502453.0951960068</v>
      </c>
      <c r="R143" s="131">
        <v>0</v>
      </c>
      <c r="S143" s="131">
        <f t="shared" si="43"/>
        <v>0</v>
      </c>
      <c r="T143" s="131">
        <f t="shared" si="44"/>
        <v>2502453.0951960068</v>
      </c>
      <c r="U143" s="131">
        <v>151969</v>
      </c>
      <c r="V143" s="131">
        <v>0</v>
      </c>
      <c r="W143" s="131">
        <v>7378</v>
      </c>
      <c r="X143" s="131">
        <v>0</v>
      </c>
      <c r="Y143" s="131">
        <v>154525</v>
      </c>
      <c r="Z143" s="131">
        <f t="shared" si="45"/>
        <v>313872</v>
      </c>
      <c r="AA143" s="131">
        <v>0</v>
      </c>
      <c r="AB143" s="152">
        <f t="shared" si="46"/>
        <v>2816325.0951960068</v>
      </c>
      <c r="AC143" s="133">
        <f>IF(D143="Physician Group Practice",(AB143/$AB$393)*'1. UC Assumptions'!$C$15,IF(E143="Rural Hospital",AB143*'1. UC Assumptions'!$C$7/'1. UC Assumptions'!$E$7,(AB143/$AB$397)*('1. UC Assumptions'!$C$9)))</f>
        <v>2628857.8934299359</v>
      </c>
      <c r="AD143" s="133">
        <f t="shared" si="47"/>
        <v>0</v>
      </c>
      <c r="AE143" s="133">
        <f t="shared" si="48"/>
        <v>187467.20176607091</v>
      </c>
      <c r="AF143" s="133">
        <f t="shared" si="49"/>
        <v>0</v>
      </c>
      <c r="AG143" s="133">
        <f t="shared" si="50"/>
        <v>187467.20176607091</v>
      </c>
      <c r="AH143" s="133">
        <f t="shared" si="51"/>
        <v>2628857.8934299359</v>
      </c>
      <c r="AI143" s="131">
        <f>AH143*'1. UC Assumptions'!$C$23</f>
        <v>867523.10483187879</v>
      </c>
      <c r="AJ143" s="131">
        <v>1670591.01</v>
      </c>
      <c r="AK143" s="131">
        <f>AJ143*(1-'1. UC Assumptions'!$C$22)</f>
        <v>551295.03329999989</v>
      </c>
      <c r="AL143" s="131"/>
      <c r="AM143" s="131">
        <f>AL143*'1. UC Assumptions'!$C$23</f>
        <v>0</v>
      </c>
      <c r="AN143" s="153">
        <f t="shared" si="52"/>
        <v>2816325.0951960068</v>
      </c>
      <c r="AO143" s="151">
        <f>AN143*'1. UC Assumptions'!$C$23</f>
        <v>929387.28141468216</v>
      </c>
      <c r="AP143" s="151">
        <f t="shared" si="53"/>
        <v>1145734.0851960068</v>
      </c>
      <c r="AQ143" s="151">
        <f t="shared" si="54"/>
        <v>378092.24811468227</v>
      </c>
      <c r="AR143" s="151">
        <f t="shared" si="55"/>
        <v>378092.24811468227</v>
      </c>
      <c r="AS143" s="151">
        <f t="shared" si="56"/>
        <v>929387.28141468216</v>
      </c>
      <c r="AT143" s="151">
        <f>IF(K143="Bexar",(AG143/$AT$1)*'1. UC Assumptions'!$E$44-(AH143/$AT$2)*'1. UC Assumptions'!$E$42,0)</f>
        <v>0</v>
      </c>
      <c r="AU143" s="151">
        <f>IF(K143="Dallas",(AG143/$AU$1)*'1. UC Assumptions'!$F$44-(AH143/$AU$2)*'1. UC Assumptions'!$F$42,0)</f>
        <v>0</v>
      </c>
      <c r="AV143" s="151">
        <f>IF(K143="El Paso",(AG143/$AV$1)*'1. UC Assumptions'!$G$44-(AH143/$AV$2)*'1. UC Assumptions'!$G$42,0)</f>
        <v>0</v>
      </c>
      <c r="AW143" s="151">
        <f>IF(K143="Harris",(AG143/$AW$1)*'1. UC Assumptions'!$H$44-(AH143/$AW$2)*'1. UC Assumptions'!$H$42,0)</f>
        <v>0</v>
      </c>
      <c r="AX143" s="151">
        <f>IF(K143="Hidalgo",(AG143/$AX$1)*'1. UC Assumptions'!$I$44-(AH143/$AX$2)*'1. UC Assumptions'!$I$42,0)</f>
        <v>0</v>
      </c>
      <c r="AY143" s="151">
        <f>IF(K143="Jefferson",(AG143/$AY$1)*'1. UC Assumptions'!$J$44-(AH143/$AY$2)*'1. UC Assumptions'!$J$42,0)</f>
        <v>0</v>
      </c>
      <c r="AZ143" s="151">
        <f>IF(K143="Lubbock",(AG143/$AZ$1)*'1. UC Assumptions'!$K$44-(AH143/$AZ$2)*'1. UC Assumptions'!$K$42,0)</f>
        <v>0</v>
      </c>
      <c r="BA143" s="151">
        <f>IF(K143="MRSA Central",(AG143/$BA$1)*'1. UC Assumptions'!$L$44-(AH143/$BA$2)*'1. UC Assumptions'!$L$42,0)</f>
        <v>0</v>
      </c>
      <c r="BB143" s="151">
        <f>IF(K143="MRSA Northeast",(AG143/$BB$1)*'1. UC Assumptions'!$M$44-(AH143/$BB$2)*'1. UC Assumptions'!$M$42,0)</f>
        <v>0</v>
      </c>
      <c r="BC143" s="151">
        <f>IF(K143="MRSA West",(AG143/$BC$1)*'1. UC Assumptions'!$N$44-(AH143/$BC$2)*'1. UC Assumptions'!$N$42,0)</f>
        <v>0</v>
      </c>
      <c r="BD143" s="151">
        <f>IF(K143="Nueces",(AG143/$BD$1)*'1. UC Assumptions'!$O$44-(AH143/$BD$2)*'1. UC Assumptions'!$O$42,0)</f>
        <v>0</v>
      </c>
      <c r="BE143" s="151">
        <f>IF(K143="Tarrant",(AG143/$BE$1)*'1. UC Assumptions'!$P$44-(AH143/$BE$2)*'1. UC Assumptions'!$P$42,0)</f>
        <v>0</v>
      </c>
      <c r="BF143" s="151">
        <f>IF(K143="Travis",(AG143/$BF$1)*'1. UC Assumptions'!$Q$44-(AH143/$BF$2)*'1. UC Assumptions'!$Q$42,0)</f>
        <v>0</v>
      </c>
      <c r="BG143" s="151">
        <f t="shared" si="57"/>
        <v>0</v>
      </c>
      <c r="BH143" s="151">
        <f t="shared" si="58"/>
        <v>2628857.8934299359</v>
      </c>
      <c r="BI143" s="151">
        <f>ROUNDDOWN(BH143*'1. UC Assumptions'!$C$23,2)</f>
        <v>867523.1</v>
      </c>
      <c r="BJ143" s="154">
        <f t="shared" si="59"/>
        <v>958266.8834299359</v>
      </c>
      <c r="BK143" s="154">
        <f t="shared" si="60"/>
        <v>316228.06670000008</v>
      </c>
      <c r="BL143" s="154">
        <f t="shared" si="61"/>
        <v>884691.23</v>
      </c>
      <c r="BM143" s="154">
        <f t="shared" si="62"/>
        <v>291948.09999999998</v>
      </c>
      <c r="BN143" s="101"/>
      <c r="BO143" s="154">
        <f>(BL143*'1. UC Assumptions'!$C$23)-'3.  UC Calculations by Hospital'!BM143</f>
        <v>5.8999999891966581E-3</v>
      </c>
      <c r="BP143" s="13"/>
    </row>
    <row r="144" spans="2:68">
      <c r="B144" s="129" t="s">
        <v>568</v>
      </c>
      <c r="C144" s="91" t="s">
        <v>568</v>
      </c>
      <c r="D144" s="91" t="s">
        <v>208</v>
      </c>
      <c r="E144" s="91" t="s">
        <v>209</v>
      </c>
      <c r="F144" s="91"/>
      <c r="G144" s="91" t="s">
        <v>209</v>
      </c>
      <c r="H144" s="91" t="s">
        <v>209</v>
      </c>
      <c r="I144" s="150" t="s">
        <v>210</v>
      </c>
      <c r="J144" s="129" t="s">
        <v>569</v>
      </c>
      <c r="K144" s="91" t="s">
        <v>6</v>
      </c>
      <c r="L144" s="91" t="s">
        <v>384</v>
      </c>
      <c r="M144" s="151">
        <v>2412384.3627749342</v>
      </c>
      <c r="N144" s="151">
        <v>15655346.581744734</v>
      </c>
      <c r="O144" s="131">
        <v>6895061.842432512</v>
      </c>
      <c r="P144" s="131">
        <f t="shared" si="42"/>
        <v>8760284.7393122222</v>
      </c>
      <c r="Q144" s="131">
        <v>8895766.7673430536</v>
      </c>
      <c r="R144" s="131">
        <v>5482586.1299999999</v>
      </c>
      <c r="S144" s="131">
        <f t="shared" si="43"/>
        <v>0</v>
      </c>
      <c r="T144" s="131">
        <f t="shared" si="44"/>
        <v>8895766.7673430536</v>
      </c>
      <c r="U144" s="131">
        <v>1195836</v>
      </c>
      <c r="V144" s="131">
        <v>0</v>
      </c>
      <c r="W144" s="131">
        <v>1465783.5435263999</v>
      </c>
      <c r="X144" s="131">
        <v>0</v>
      </c>
      <c r="Y144" s="131">
        <v>10625912.389045004</v>
      </c>
      <c r="Z144" s="131">
        <f t="shared" si="45"/>
        <v>13287531.932571404</v>
      </c>
      <c r="AA144" s="131">
        <v>0</v>
      </c>
      <c r="AB144" s="152">
        <f t="shared" si="46"/>
        <v>22183298.699914455</v>
      </c>
      <c r="AC144" s="133">
        <f>IF(D144="Physician Group Practice",(AB144/$AB$393)*'1. UC Assumptions'!$C$15,IF(E144="Rural Hospital",AB144*'1. UC Assumptions'!$C$7/'1. UC Assumptions'!$E$7,(AB144/$AB$397)*('1. UC Assumptions'!$C$9)))</f>
        <v>10429380.42618493</v>
      </c>
      <c r="AD144" s="133">
        <f t="shared" si="47"/>
        <v>0</v>
      </c>
      <c r="AE144" s="133">
        <f t="shared" si="48"/>
        <v>11753918.273729526</v>
      </c>
      <c r="AF144" s="133">
        <f t="shared" si="49"/>
        <v>0</v>
      </c>
      <c r="AG144" s="133">
        <f t="shared" si="50"/>
        <v>11753918.273729526</v>
      </c>
      <c r="AH144" s="133">
        <f t="shared" si="51"/>
        <v>10429380.42618493</v>
      </c>
      <c r="AI144" s="131">
        <f>AH144*'1. UC Assumptions'!$C$23</f>
        <v>3441695.5406410266</v>
      </c>
      <c r="AJ144" s="131">
        <v>9989526.9100000001</v>
      </c>
      <c r="AK144" s="131">
        <f>AJ144*(1-'1. UC Assumptions'!$C$22)</f>
        <v>3296543.8802999998</v>
      </c>
      <c r="AL144" s="131"/>
      <c r="AM144" s="131">
        <f>AL144*'1. UC Assumptions'!$C$23</f>
        <v>0</v>
      </c>
      <c r="AN144" s="153">
        <f t="shared" si="52"/>
        <v>22183298.699914455</v>
      </c>
      <c r="AO144" s="151">
        <f>AN144*'1. UC Assumptions'!$C$23</f>
        <v>7320488.5709717693</v>
      </c>
      <c r="AP144" s="151">
        <f t="shared" si="53"/>
        <v>12193771.789914455</v>
      </c>
      <c r="AQ144" s="151">
        <f t="shared" si="54"/>
        <v>4023944.6906717694</v>
      </c>
      <c r="AR144" s="151">
        <f t="shared" si="55"/>
        <v>4023944.6906717694</v>
      </c>
      <c r="AS144" s="151">
        <f t="shared" si="56"/>
        <v>7320488.5709717693</v>
      </c>
      <c r="AT144" s="151">
        <f>IF(K144="Bexar",(AG144/$AT$1)*'1. UC Assumptions'!$E$44-(AH144/$AT$2)*'1. UC Assumptions'!$E$42,0)</f>
        <v>0</v>
      </c>
      <c r="AU144" s="151">
        <f>IF(K144="Dallas",(AG144/$AU$1)*'1. UC Assumptions'!$F$44-(AH144/$AU$2)*'1. UC Assumptions'!$F$42,0)</f>
        <v>0</v>
      </c>
      <c r="AV144" s="151">
        <f>IF(K144="El Paso",(AG144/$AV$1)*'1. UC Assumptions'!$G$44-(AH144/$AV$2)*'1. UC Assumptions'!$G$42,0)</f>
        <v>0</v>
      </c>
      <c r="AW144" s="151">
        <f>IF(K144="Harris",(AG144/$AW$1)*'1. UC Assumptions'!$H$44-(AH144/$AW$2)*'1. UC Assumptions'!$H$42,0)</f>
        <v>0</v>
      </c>
      <c r="AX144" s="151">
        <f>IF(K144="Hidalgo",(AG144/$AX$1)*'1. UC Assumptions'!$I$44-(AH144/$AX$2)*'1. UC Assumptions'!$I$42,0)</f>
        <v>0</v>
      </c>
      <c r="AY144" s="151">
        <f>IF(K144="Jefferson",(AG144/$AY$1)*'1. UC Assumptions'!$J$44-(AH144/$AY$2)*'1. UC Assumptions'!$J$42,0)</f>
        <v>0</v>
      </c>
      <c r="AZ144" s="151">
        <f>IF(K144="Lubbock",(AG144/$AZ$1)*'1. UC Assumptions'!$K$44-(AH144/$AZ$2)*'1. UC Assumptions'!$K$42,0)</f>
        <v>0</v>
      </c>
      <c r="BA144" s="151">
        <f>IF(K144="MRSA Central",(AG144/$BA$1)*'1. UC Assumptions'!$L$44-(AH144/$BA$2)*'1. UC Assumptions'!$L$42,0)</f>
        <v>0</v>
      </c>
      <c r="BB144" s="151">
        <f>IF(K144="MRSA Northeast",(AG144/$BB$1)*'1. UC Assumptions'!$M$44-(AH144/$BB$2)*'1. UC Assumptions'!$M$42,0)</f>
        <v>0</v>
      </c>
      <c r="BC144" s="151">
        <f>IF(K144="MRSA West",(AG144/$BC$1)*'1. UC Assumptions'!$N$44-(AH144/$BC$2)*'1. UC Assumptions'!$N$42,0)</f>
        <v>0</v>
      </c>
      <c r="BD144" s="151">
        <f>IF(K144="Nueces",(AG144/$BD$1)*'1. UC Assumptions'!$O$44-(AH144/$BD$2)*'1. UC Assumptions'!$O$42,0)</f>
        <v>0</v>
      </c>
      <c r="BE144" s="151">
        <f>IF(K144="Tarrant",(AG144/$BE$1)*'1. UC Assumptions'!$P$44-(AH144/$BE$2)*'1. UC Assumptions'!$P$42,0)</f>
        <v>0</v>
      </c>
      <c r="BF144" s="151">
        <f>IF(K144="Travis",(AG144/$BF$1)*'1. UC Assumptions'!$Q$44-(AH144/$BF$2)*'1. UC Assumptions'!$Q$42,0)</f>
        <v>0</v>
      </c>
      <c r="BG144" s="151">
        <f t="shared" si="57"/>
        <v>0</v>
      </c>
      <c r="BH144" s="151">
        <f t="shared" si="58"/>
        <v>10429380.42618493</v>
      </c>
      <c r="BI144" s="151">
        <f>ROUNDDOWN(BH144*'1. UC Assumptions'!$C$23,2)</f>
        <v>3441695.54</v>
      </c>
      <c r="BJ144" s="154">
        <f t="shared" si="59"/>
        <v>439853.51618492976</v>
      </c>
      <c r="BK144" s="154">
        <f t="shared" si="60"/>
        <v>145151.65970000019</v>
      </c>
      <c r="BL144" s="154">
        <f t="shared" si="61"/>
        <v>406081.6</v>
      </c>
      <c r="BM144" s="154">
        <f t="shared" si="62"/>
        <v>134006.93</v>
      </c>
      <c r="BN144" s="101"/>
      <c r="BO144" s="154">
        <f>(BL144*'1. UC Assumptions'!$C$23)-'3.  UC Calculations by Hospital'!BM144</f>
        <v>-2.0000000076834112E-3</v>
      </c>
      <c r="BP144" s="13"/>
    </row>
    <row r="145" spans="2:68">
      <c r="B145" s="129" t="s">
        <v>570</v>
      </c>
      <c r="C145" s="91" t="s">
        <v>570</v>
      </c>
      <c r="D145" s="91" t="s">
        <v>214</v>
      </c>
      <c r="E145" s="91" t="s">
        <v>209</v>
      </c>
      <c r="F145" s="91"/>
      <c r="G145" s="91" t="s">
        <v>209</v>
      </c>
      <c r="H145" s="91" t="s">
        <v>209</v>
      </c>
      <c r="I145" s="150" t="s">
        <v>210</v>
      </c>
      <c r="J145" s="129" t="s">
        <v>571</v>
      </c>
      <c r="K145" s="91" t="s">
        <v>14</v>
      </c>
      <c r="L145" s="91" t="s">
        <v>14</v>
      </c>
      <c r="M145" s="151">
        <v>-213083.7863235469</v>
      </c>
      <c r="N145" s="151">
        <v>0</v>
      </c>
      <c r="O145" s="131">
        <v>0</v>
      </c>
      <c r="P145" s="131">
        <f t="shared" si="42"/>
        <v>0</v>
      </c>
      <c r="Q145" s="131">
        <v>4440232.089600116</v>
      </c>
      <c r="R145" s="131">
        <v>0</v>
      </c>
      <c r="S145" s="131">
        <f t="shared" si="43"/>
        <v>0</v>
      </c>
      <c r="T145" s="131">
        <f t="shared" si="44"/>
        <v>4440232.089600116</v>
      </c>
      <c r="U145" s="131">
        <v>0</v>
      </c>
      <c r="V145" s="131">
        <v>0</v>
      </c>
      <c r="W145" s="131">
        <v>0</v>
      </c>
      <c r="X145" s="131">
        <v>0</v>
      </c>
      <c r="Y145" s="131">
        <v>0</v>
      </c>
      <c r="Z145" s="131">
        <f t="shared" si="45"/>
        <v>0</v>
      </c>
      <c r="AA145" s="131">
        <v>0</v>
      </c>
      <c r="AB145" s="152">
        <f t="shared" si="46"/>
        <v>4440232.089600116</v>
      </c>
      <c r="AC145" s="133">
        <f>IF(D145="Physician Group Practice",(AB145/$AB$393)*'1. UC Assumptions'!$C$15,IF(E145="Rural Hospital",AB145*'1. UC Assumptions'!$C$7/'1. UC Assumptions'!$E$7,(AB145/$AB$397)*('1. UC Assumptions'!$C$9)))</f>
        <v>2087555.60971517</v>
      </c>
      <c r="AD145" s="133">
        <f t="shared" si="47"/>
        <v>0</v>
      </c>
      <c r="AE145" s="133">
        <f t="shared" si="48"/>
        <v>2352676.4798849458</v>
      </c>
      <c r="AF145" s="133">
        <f t="shared" si="49"/>
        <v>0</v>
      </c>
      <c r="AG145" s="133">
        <f t="shared" si="50"/>
        <v>2352676.4798849458</v>
      </c>
      <c r="AH145" s="133">
        <f t="shared" si="51"/>
        <v>2087555.60971517</v>
      </c>
      <c r="AI145" s="131">
        <f>AH145*'1. UC Assumptions'!$C$23</f>
        <v>688893.35120600602</v>
      </c>
      <c r="AJ145" s="131">
        <v>2802964.56</v>
      </c>
      <c r="AK145" s="131">
        <f>AJ145*(1-'1. UC Assumptions'!$C$22)</f>
        <v>924978.30479999993</v>
      </c>
      <c r="AL145" s="131"/>
      <c r="AM145" s="131">
        <f>AL145*'1. UC Assumptions'!$C$23</f>
        <v>0</v>
      </c>
      <c r="AN145" s="153">
        <f t="shared" si="52"/>
        <v>4440232.089600116</v>
      </c>
      <c r="AO145" s="151">
        <f>AN145*'1. UC Assumptions'!$C$23</f>
        <v>1465276.589568038</v>
      </c>
      <c r="AP145" s="151">
        <f t="shared" si="53"/>
        <v>1637267.529600116</v>
      </c>
      <c r="AQ145" s="151">
        <f t="shared" si="54"/>
        <v>540298.28476803808</v>
      </c>
      <c r="AR145" s="151">
        <f t="shared" si="55"/>
        <v>540298.28476803808</v>
      </c>
      <c r="AS145" s="151">
        <f t="shared" si="56"/>
        <v>1465276.589568038</v>
      </c>
      <c r="AT145" s="151">
        <f>IF(K145="Bexar",(AG145/$AT$1)*'1. UC Assumptions'!$E$44-(AH145/$AT$2)*'1. UC Assumptions'!$E$42,0)</f>
        <v>0</v>
      </c>
      <c r="AU145" s="151">
        <f>IF(K145="Dallas",(AG145/$AU$1)*'1. UC Assumptions'!$F$44-(AH145/$AU$2)*'1. UC Assumptions'!$F$42,0)</f>
        <v>0</v>
      </c>
      <c r="AV145" s="151">
        <f>IF(K145="El Paso",(AG145/$AV$1)*'1. UC Assumptions'!$G$44-(AH145/$AV$2)*'1. UC Assumptions'!$G$42,0)</f>
        <v>0</v>
      </c>
      <c r="AW145" s="151">
        <f>IF(K145="Harris",(AG145/$AW$1)*'1. UC Assumptions'!$H$44-(AH145/$AW$2)*'1. UC Assumptions'!$H$42,0)</f>
        <v>0</v>
      </c>
      <c r="AX145" s="151">
        <f>IF(K145="Hidalgo",(AG145/$AX$1)*'1. UC Assumptions'!$I$44-(AH145/$AX$2)*'1. UC Assumptions'!$I$42,0)</f>
        <v>0</v>
      </c>
      <c r="AY145" s="151">
        <f>IF(K145="Jefferson",(AG145/$AY$1)*'1. UC Assumptions'!$J$44-(AH145/$AY$2)*'1. UC Assumptions'!$J$42,0)</f>
        <v>0</v>
      </c>
      <c r="AZ145" s="151">
        <f>IF(K145="Lubbock",(AG145/$AZ$1)*'1. UC Assumptions'!$K$44-(AH145/$AZ$2)*'1. UC Assumptions'!$K$42,0)</f>
        <v>0</v>
      </c>
      <c r="BA145" s="151">
        <f>IF(K145="MRSA Central",(AG145/$BA$1)*'1. UC Assumptions'!$L$44-(AH145/$BA$2)*'1. UC Assumptions'!$L$42,0)</f>
        <v>0</v>
      </c>
      <c r="BB145" s="151">
        <f>IF(K145="MRSA Northeast",(AG145/$BB$1)*'1. UC Assumptions'!$M$44-(AH145/$BB$2)*'1. UC Assumptions'!$M$42,0)</f>
        <v>0</v>
      </c>
      <c r="BC145" s="151">
        <f>IF(K145="MRSA West",(AG145/$BC$1)*'1. UC Assumptions'!$N$44-(AH145/$BC$2)*'1. UC Assumptions'!$N$42,0)</f>
        <v>0</v>
      </c>
      <c r="BD145" s="151">
        <f>IF(K145="Nueces",(AG145/$BD$1)*'1. UC Assumptions'!$O$44-(AH145/$BD$2)*'1. UC Assumptions'!$O$42,0)</f>
        <v>0</v>
      </c>
      <c r="BE145" s="151">
        <f>IF(K145="Tarrant",(AG145/$BE$1)*'1. UC Assumptions'!$P$44-(AH145/$BE$2)*'1. UC Assumptions'!$P$42,0)</f>
        <v>0</v>
      </c>
      <c r="BF145" s="151">
        <f>IF(K145="Travis",(AG145/$BF$1)*'1. UC Assumptions'!$Q$44-(AH145/$BF$2)*'1. UC Assumptions'!$Q$42,0)</f>
        <v>0</v>
      </c>
      <c r="BG145" s="151">
        <f t="shared" si="57"/>
        <v>0</v>
      </c>
      <c r="BH145" s="151">
        <f t="shared" si="58"/>
        <v>2087555.60971517</v>
      </c>
      <c r="BI145" s="151">
        <f>ROUNDDOWN(BH145*'1. UC Assumptions'!$C$23,2)</f>
        <v>688893.35</v>
      </c>
      <c r="BJ145" s="154">
        <f t="shared" si="59"/>
        <v>-715408.95028483006</v>
      </c>
      <c r="BK145" s="154">
        <f t="shared" si="60"/>
        <v>-236084.95479999995</v>
      </c>
      <c r="BL145" s="154">
        <f t="shared" si="61"/>
        <v>0</v>
      </c>
      <c r="BM145" s="154">
        <f t="shared" si="62"/>
        <v>0</v>
      </c>
      <c r="BN145" s="101"/>
      <c r="BO145" s="154">
        <f>(BL145*'1. UC Assumptions'!$C$23)-'3.  UC Calculations by Hospital'!BM145</f>
        <v>0</v>
      </c>
      <c r="BP145" s="13"/>
    </row>
    <row r="146" spans="2:68">
      <c r="B146" s="129" t="s">
        <v>572</v>
      </c>
      <c r="C146" s="91" t="s">
        <v>572</v>
      </c>
      <c r="D146" s="91" t="s">
        <v>208</v>
      </c>
      <c r="E146" s="91" t="s">
        <v>149</v>
      </c>
      <c r="F146" s="91"/>
      <c r="G146" s="91" t="s">
        <v>209</v>
      </c>
      <c r="H146" s="91" t="s">
        <v>209</v>
      </c>
      <c r="I146" s="150" t="s">
        <v>210</v>
      </c>
      <c r="J146" s="129" t="s">
        <v>573</v>
      </c>
      <c r="K146" s="91" t="s">
        <v>11</v>
      </c>
      <c r="L146" s="91" t="s">
        <v>574</v>
      </c>
      <c r="M146" s="151">
        <v>165695.73264437757</v>
      </c>
      <c r="N146" s="151">
        <v>579285.12761638733</v>
      </c>
      <c r="O146" s="131">
        <v>235259.4332673536</v>
      </c>
      <c r="P146" s="131">
        <f t="shared" si="42"/>
        <v>344025.69434903376</v>
      </c>
      <c r="Q146" s="131">
        <v>480092.99313095678</v>
      </c>
      <c r="R146" s="131">
        <v>0</v>
      </c>
      <c r="S146" s="131">
        <f t="shared" si="43"/>
        <v>0</v>
      </c>
      <c r="T146" s="131">
        <f t="shared" si="44"/>
        <v>480092.99313095678</v>
      </c>
      <c r="U146" s="131">
        <v>0</v>
      </c>
      <c r="V146" s="131">
        <v>0</v>
      </c>
      <c r="W146" s="131">
        <v>0</v>
      </c>
      <c r="X146" s="131">
        <v>0</v>
      </c>
      <c r="Y146" s="131">
        <v>0</v>
      </c>
      <c r="Z146" s="131">
        <f t="shared" si="45"/>
        <v>0</v>
      </c>
      <c r="AA146" s="131">
        <v>0</v>
      </c>
      <c r="AB146" s="152">
        <f t="shared" si="46"/>
        <v>480092.99313095678</v>
      </c>
      <c r="AC146" s="133">
        <f>IF(D146="Physician Group Practice",(AB146/$AB$393)*'1. UC Assumptions'!$C$15,IF(E146="Rural Hospital",AB146*'1. UC Assumptions'!$C$7/'1. UC Assumptions'!$E$7,(AB146/$AB$397)*('1. UC Assumptions'!$C$9)))</f>
        <v>448135.85502808657</v>
      </c>
      <c r="AD146" s="133">
        <f t="shared" si="47"/>
        <v>0</v>
      </c>
      <c r="AE146" s="133">
        <f t="shared" si="48"/>
        <v>31957.138102870202</v>
      </c>
      <c r="AF146" s="133">
        <f t="shared" si="49"/>
        <v>0</v>
      </c>
      <c r="AG146" s="133">
        <f t="shared" si="50"/>
        <v>31957.138102870202</v>
      </c>
      <c r="AH146" s="133">
        <f t="shared" si="51"/>
        <v>448135.85502808657</v>
      </c>
      <c r="AI146" s="131">
        <f>AH146*'1. UC Assumptions'!$C$23</f>
        <v>147884.83215926855</v>
      </c>
      <c r="AJ146" s="131">
        <v>198053.83</v>
      </c>
      <c r="AK146" s="131">
        <f>AJ146*(1-'1. UC Assumptions'!$C$22)</f>
        <v>65357.763899999991</v>
      </c>
      <c r="AL146" s="131"/>
      <c r="AM146" s="131">
        <f>AL146*'1. UC Assumptions'!$C$23</f>
        <v>0</v>
      </c>
      <c r="AN146" s="153">
        <f t="shared" si="52"/>
        <v>480092.99313095678</v>
      </c>
      <c r="AO146" s="151">
        <f>AN146*'1. UC Assumptions'!$C$23</f>
        <v>158430.68773321572</v>
      </c>
      <c r="AP146" s="151">
        <f t="shared" si="53"/>
        <v>282039.16313095682</v>
      </c>
      <c r="AQ146" s="151">
        <f t="shared" si="54"/>
        <v>93072.923833215726</v>
      </c>
      <c r="AR146" s="151">
        <f t="shared" si="55"/>
        <v>93072.923833215726</v>
      </c>
      <c r="AS146" s="151">
        <f t="shared" si="56"/>
        <v>158430.68773321572</v>
      </c>
      <c r="AT146" s="151">
        <f>IF(K146="Bexar",(AG146/$AT$1)*'1. UC Assumptions'!$E$44-(AH146/$AT$2)*'1. UC Assumptions'!$E$42,0)</f>
        <v>0</v>
      </c>
      <c r="AU146" s="151">
        <f>IF(K146="Dallas",(AG146/$AU$1)*'1. UC Assumptions'!$F$44-(AH146/$AU$2)*'1. UC Assumptions'!$F$42,0)</f>
        <v>0</v>
      </c>
      <c r="AV146" s="151">
        <f>IF(K146="El Paso",(AG146/$AV$1)*'1. UC Assumptions'!$G$44-(AH146/$AV$2)*'1. UC Assumptions'!$G$42,0)</f>
        <v>0</v>
      </c>
      <c r="AW146" s="151">
        <f>IF(K146="Harris",(AG146/$AW$1)*'1. UC Assumptions'!$H$44-(AH146/$AW$2)*'1. UC Assumptions'!$H$42,0)</f>
        <v>0</v>
      </c>
      <c r="AX146" s="151">
        <f>IF(K146="Hidalgo",(AG146/$AX$1)*'1. UC Assumptions'!$I$44-(AH146/$AX$2)*'1. UC Assumptions'!$I$42,0)</f>
        <v>0</v>
      </c>
      <c r="AY146" s="151">
        <f>IF(K146="Jefferson",(AG146/$AY$1)*'1. UC Assumptions'!$J$44-(AH146/$AY$2)*'1. UC Assumptions'!$J$42,0)</f>
        <v>0</v>
      </c>
      <c r="AZ146" s="151">
        <f>IF(K146="Lubbock",(AG146/$AZ$1)*'1. UC Assumptions'!$K$44-(AH146/$AZ$2)*'1. UC Assumptions'!$K$42,0)</f>
        <v>0</v>
      </c>
      <c r="BA146" s="151">
        <f>IF(K146="MRSA Central",(AG146/$BA$1)*'1. UC Assumptions'!$L$44-(AH146/$BA$2)*'1. UC Assumptions'!$L$42,0)</f>
        <v>0</v>
      </c>
      <c r="BB146" s="151">
        <f>IF(K146="MRSA Northeast",(AG146/$BB$1)*'1. UC Assumptions'!$M$44-(AH146/$BB$2)*'1. UC Assumptions'!$M$42,0)</f>
        <v>0</v>
      </c>
      <c r="BC146" s="151">
        <f>IF(K146="MRSA West",(AG146/$BC$1)*'1. UC Assumptions'!$N$44-(AH146/$BC$2)*'1. UC Assumptions'!$N$42,0)</f>
        <v>0</v>
      </c>
      <c r="BD146" s="151">
        <f>IF(K146="Nueces",(AG146/$BD$1)*'1. UC Assumptions'!$O$44-(AH146/$BD$2)*'1. UC Assumptions'!$O$42,0)</f>
        <v>0</v>
      </c>
      <c r="BE146" s="151">
        <f>IF(K146="Tarrant",(AG146/$BE$1)*'1. UC Assumptions'!$P$44-(AH146/$BE$2)*'1. UC Assumptions'!$P$42,0)</f>
        <v>0</v>
      </c>
      <c r="BF146" s="151">
        <f>IF(K146="Travis",(AG146/$BF$1)*'1. UC Assumptions'!$Q$44-(AH146/$BF$2)*'1. UC Assumptions'!$Q$42,0)</f>
        <v>0</v>
      </c>
      <c r="BG146" s="151">
        <f t="shared" si="57"/>
        <v>0</v>
      </c>
      <c r="BH146" s="151">
        <f t="shared" si="58"/>
        <v>448135.85502808657</v>
      </c>
      <c r="BI146" s="151">
        <f>ROUNDDOWN(BH146*'1. UC Assumptions'!$C$23,2)</f>
        <v>147884.82999999999</v>
      </c>
      <c r="BJ146" s="154">
        <f t="shared" si="59"/>
        <v>250082.02502808659</v>
      </c>
      <c r="BK146" s="154">
        <f t="shared" si="60"/>
        <v>82527.066099999996</v>
      </c>
      <c r="BL146" s="154">
        <f t="shared" si="61"/>
        <v>230880.75</v>
      </c>
      <c r="BM146" s="154">
        <f t="shared" si="62"/>
        <v>76190.64</v>
      </c>
      <c r="BN146" s="101"/>
      <c r="BO146" s="154">
        <f>(BL146*'1. UC Assumptions'!$C$23)-'3.  UC Calculations by Hospital'!BM146</f>
        <v>7.4999999924330041E-3</v>
      </c>
      <c r="BP146" s="13"/>
    </row>
    <row r="147" spans="2:68">
      <c r="B147" s="129" t="s">
        <v>575</v>
      </c>
      <c r="C147" s="91" t="s">
        <v>575</v>
      </c>
      <c r="D147" s="91" t="s">
        <v>214</v>
      </c>
      <c r="E147" s="91" t="s">
        <v>209</v>
      </c>
      <c r="F147" s="91"/>
      <c r="G147" s="91" t="s">
        <v>209</v>
      </c>
      <c r="H147" s="91" t="s">
        <v>209</v>
      </c>
      <c r="I147" s="150" t="s">
        <v>210</v>
      </c>
      <c r="J147" s="129" t="s">
        <v>576</v>
      </c>
      <c r="K147" s="91" t="s">
        <v>4</v>
      </c>
      <c r="L147" s="91" t="s">
        <v>260</v>
      </c>
      <c r="M147" s="151">
        <v>-3100239.4403326977</v>
      </c>
      <c r="N147" s="151">
        <v>0</v>
      </c>
      <c r="O147" s="131">
        <v>0</v>
      </c>
      <c r="P147" s="131">
        <f t="shared" si="42"/>
        <v>0</v>
      </c>
      <c r="Q147" s="131">
        <v>43440084.195262723</v>
      </c>
      <c r="R147" s="131">
        <v>0</v>
      </c>
      <c r="S147" s="131">
        <f t="shared" si="43"/>
        <v>0</v>
      </c>
      <c r="T147" s="131">
        <f t="shared" si="44"/>
        <v>43440084.195262723</v>
      </c>
      <c r="U147" s="131">
        <v>830481</v>
      </c>
      <c r="V147" s="131">
        <v>0</v>
      </c>
      <c r="W147" s="131">
        <v>69371</v>
      </c>
      <c r="X147" s="131">
        <v>0</v>
      </c>
      <c r="Y147" s="131">
        <v>10287427</v>
      </c>
      <c r="Z147" s="131">
        <f t="shared" si="45"/>
        <v>11187279</v>
      </c>
      <c r="AA147" s="131">
        <v>0</v>
      </c>
      <c r="AB147" s="152">
        <f t="shared" si="46"/>
        <v>54627363.195262723</v>
      </c>
      <c r="AC147" s="133">
        <f>IF(D147="Physician Group Practice",(AB147/$AB$393)*'1. UC Assumptions'!$C$15,IF(E147="Rural Hospital",AB147*'1. UC Assumptions'!$C$7/'1. UC Assumptions'!$E$7,(AB147/$AB$397)*('1. UC Assumptions'!$C$9)))</f>
        <v>25682814.812612385</v>
      </c>
      <c r="AD147" s="133">
        <f t="shared" si="47"/>
        <v>0</v>
      </c>
      <c r="AE147" s="133">
        <f t="shared" si="48"/>
        <v>28944548.382650338</v>
      </c>
      <c r="AF147" s="133">
        <f t="shared" si="49"/>
        <v>0</v>
      </c>
      <c r="AG147" s="133">
        <f t="shared" si="50"/>
        <v>28944548.382650338</v>
      </c>
      <c r="AH147" s="133">
        <f t="shared" si="51"/>
        <v>25682814.812612385</v>
      </c>
      <c r="AI147" s="131">
        <f>AH147*'1. UC Assumptions'!$C$23</f>
        <v>8475328.8881620858</v>
      </c>
      <c r="AJ147" s="131">
        <v>21254079.489999998</v>
      </c>
      <c r="AK147" s="131">
        <f>AJ147*(1-'1. UC Assumptions'!$C$22)</f>
        <v>7013846.2316999985</v>
      </c>
      <c r="AL147" s="131"/>
      <c r="AM147" s="131">
        <f>AL147*'1. UC Assumptions'!$C$23</f>
        <v>0</v>
      </c>
      <c r="AN147" s="153">
        <f t="shared" si="52"/>
        <v>54627363.195262723</v>
      </c>
      <c r="AO147" s="151">
        <f>AN147*'1. UC Assumptions'!$C$23</f>
        <v>18027029.854436696</v>
      </c>
      <c r="AP147" s="151">
        <f t="shared" si="53"/>
        <v>33373283.705262724</v>
      </c>
      <c r="AQ147" s="151">
        <f t="shared" si="54"/>
        <v>11013183.622736696</v>
      </c>
      <c r="AR147" s="151">
        <f t="shared" si="55"/>
        <v>11013183.622736696</v>
      </c>
      <c r="AS147" s="151">
        <f t="shared" si="56"/>
        <v>18027029.854436696</v>
      </c>
      <c r="AT147" s="151">
        <f>IF(K147="Bexar",(AG147/$AT$1)*'1. UC Assumptions'!$E$44-(AH147/$AT$2)*'1. UC Assumptions'!$E$42,0)</f>
        <v>0</v>
      </c>
      <c r="AU147" s="151">
        <f>IF(K147="Dallas",(AG147/$AU$1)*'1. UC Assumptions'!$F$44-(AH147/$AU$2)*'1. UC Assumptions'!$F$42,0)</f>
        <v>0</v>
      </c>
      <c r="AV147" s="151">
        <f>IF(K147="El Paso",(AG147/$AV$1)*'1. UC Assumptions'!$G$44-(AH147/$AV$2)*'1. UC Assumptions'!$G$42,0)</f>
        <v>0</v>
      </c>
      <c r="AW147" s="151">
        <f>IF(K147="Harris",(AG147/$AW$1)*'1. UC Assumptions'!$H$44-(AH147/$AW$2)*'1. UC Assumptions'!$H$42,0)</f>
        <v>0</v>
      </c>
      <c r="AX147" s="151">
        <f>IF(K147="Hidalgo",(AG147/$AX$1)*'1. UC Assumptions'!$I$44-(AH147/$AX$2)*'1. UC Assumptions'!$I$42,0)</f>
        <v>0</v>
      </c>
      <c r="AY147" s="151">
        <f>IF(K147="Jefferson",(AG147/$AY$1)*'1. UC Assumptions'!$J$44-(AH147/$AY$2)*'1. UC Assumptions'!$J$42,0)</f>
        <v>0</v>
      </c>
      <c r="AZ147" s="151">
        <f>IF(K147="Lubbock",(AG147/$AZ$1)*'1. UC Assumptions'!$K$44-(AH147/$AZ$2)*'1. UC Assumptions'!$K$42,0)</f>
        <v>0</v>
      </c>
      <c r="BA147" s="151">
        <f>IF(K147="MRSA Central",(AG147/$BA$1)*'1. UC Assumptions'!$L$44-(AH147/$BA$2)*'1. UC Assumptions'!$L$42,0)</f>
        <v>0</v>
      </c>
      <c r="BB147" s="151">
        <f>IF(K147="MRSA Northeast",(AG147/$BB$1)*'1. UC Assumptions'!$M$44-(AH147/$BB$2)*'1. UC Assumptions'!$M$42,0)</f>
        <v>0</v>
      </c>
      <c r="BC147" s="151">
        <f>IF(K147="MRSA West",(AG147/$BC$1)*'1. UC Assumptions'!$N$44-(AH147/$BC$2)*'1. UC Assumptions'!$N$42,0)</f>
        <v>0</v>
      </c>
      <c r="BD147" s="151">
        <f>IF(K147="Nueces",(AG147/$BD$1)*'1. UC Assumptions'!$O$44-(AH147/$BD$2)*'1. UC Assumptions'!$O$42,0)</f>
        <v>0</v>
      </c>
      <c r="BE147" s="151">
        <f>IF(K147="Tarrant",(AG147/$BE$1)*'1. UC Assumptions'!$P$44-(AH147/$BE$2)*'1. UC Assumptions'!$P$42,0)</f>
        <v>0</v>
      </c>
      <c r="BF147" s="151">
        <f>IF(K147="Travis",(AG147/$BF$1)*'1. UC Assumptions'!$Q$44-(AH147/$BF$2)*'1. UC Assumptions'!$Q$42,0)</f>
        <v>0</v>
      </c>
      <c r="BG147" s="151">
        <f t="shared" si="57"/>
        <v>0</v>
      </c>
      <c r="BH147" s="151">
        <f t="shared" si="58"/>
        <v>25682814.812612385</v>
      </c>
      <c r="BI147" s="151">
        <f>ROUNDDOWN(BH147*'1. UC Assumptions'!$C$23,2)</f>
        <v>8475328.8800000008</v>
      </c>
      <c r="BJ147" s="154">
        <f t="shared" si="59"/>
        <v>4428735.3226123862</v>
      </c>
      <c r="BK147" s="154">
        <f t="shared" si="60"/>
        <v>1461482.6483000023</v>
      </c>
      <c r="BL147" s="154">
        <f t="shared" si="61"/>
        <v>4088697.4</v>
      </c>
      <c r="BM147" s="154">
        <f t="shared" si="62"/>
        <v>1349270.13</v>
      </c>
      <c r="BN147" s="101"/>
      <c r="BO147" s="154">
        <f>(BL147*'1. UC Assumptions'!$C$23)-'3.  UC Calculations by Hospital'!BM147</f>
        <v>1.1999999871477485E-2</v>
      </c>
      <c r="BP147" s="13"/>
    </row>
    <row r="148" spans="2:68">
      <c r="B148" s="129" t="s">
        <v>577</v>
      </c>
      <c r="C148" s="91" t="s">
        <v>577</v>
      </c>
      <c r="D148" s="91" t="s">
        <v>208</v>
      </c>
      <c r="E148" s="91" t="s">
        <v>149</v>
      </c>
      <c r="F148" s="91"/>
      <c r="G148" s="91" t="s">
        <v>209</v>
      </c>
      <c r="H148" s="91" t="s">
        <v>209</v>
      </c>
      <c r="I148" s="150" t="s">
        <v>210</v>
      </c>
      <c r="J148" s="129" t="s">
        <v>578</v>
      </c>
      <c r="K148" s="91" t="s">
        <v>9</v>
      </c>
      <c r="L148" s="91" t="s">
        <v>579</v>
      </c>
      <c r="M148" s="151">
        <v>430074.27395448287</v>
      </c>
      <c r="N148" s="151">
        <v>1158758.0858081125</v>
      </c>
      <c r="O148" s="131">
        <v>632539.67487710726</v>
      </c>
      <c r="P148" s="131">
        <f t="shared" si="42"/>
        <v>526218.41093100526</v>
      </c>
      <c r="Q148" s="131">
        <v>823878.56635624962</v>
      </c>
      <c r="R148" s="131">
        <v>679595.98</v>
      </c>
      <c r="S148" s="131">
        <f t="shared" si="43"/>
        <v>0</v>
      </c>
      <c r="T148" s="131">
        <f t="shared" si="44"/>
        <v>823878.56635624962</v>
      </c>
      <c r="U148" s="131">
        <v>0</v>
      </c>
      <c r="V148" s="131">
        <v>0</v>
      </c>
      <c r="W148" s="131">
        <v>0</v>
      </c>
      <c r="X148" s="131">
        <v>0</v>
      </c>
      <c r="Y148" s="131">
        <v>28946</v>
      </c>
      <c r="Z148" s="131">
        <f t="shared" si="45"/>
        <v>28946</v>
      </c>
      <c r="AA148" s="131">
        <v>0</v>
      </c>
      <c r="AB148" s="152">
        <f t="shared" si="46"/>
        <v>852824.56635624962</v>
      </c>
      <c r="AC148" s="133">
        <f>IF(D148="Physician Group Practice",(AB148/$AB$393)*'1. UC Assumptions'!$C$15,IF(E148="Rural Hospital",AB148*'1. UC Assumptions'!$C$7/'1. UC Assumptions'!$E$7,(AB148/$AB$397)*('1. UC Assumptions'!$C$9)))</f>
        <v>796056.7467160807</v>
      </c>
      <c r="AD148" s="133">
        <f t="shared" si="47"/>
        <v>0</v>
      </c>
      <c r="AE148" s="133">
        <f t="shared" si="48"/>
        <v>56767.81964016892</v>
      </c>
      <c r="AF148" s="133">
        <f t="shared" si="49"/>
        <v>0</v>
      </c>
      <c r="AG148" s="133">
        <f t="shared" si="50"/>
        <v>56767.81964016892</v>
      </c>
      <c r="AH148" s="133">
        <f t="shared" si="51"/>
        <v>796056.7467160807</v>
      </c>
      <c r="AI148" s="131">
        <f>AH148*'1. UC Assumptions'!$C$23</f>
        <v>262698.72641630657</v>
      </c>
      <c r="AJ148" s="131">
        <v>328478.18</v>
      </c>
      <c r="AK148" s="131">
        <f>AJ148*(1-'1. UC Assumptions'!$C$22)</f>
        <v>108397.79939999999</v>
      </c>
      <c r="AL148" s="131"/>
      <c r="AM148" s="131">
        <f>AL148*'1. UC Assumptions'!$C$23</f>
        <v>0</v>
      </c>
      <c r="AN148" s="153">
        <f t="shared" si="52"/>
        <v>852824.56635624962</v>
      </c>
      <c r="AO148" s="151">
        <f>AN148*'1. UC Assumptions'!$C$23</f>
        <v>281432.10689756233</v>
      </c>
      <c r="AP148" s="151">
        <f t="shared" si="53"/>
        <v>524346.38635624968</v>
      </c>
      <c r="AQ148" s="151">
        <f t="shared" si="54"/>
        <v>173034.30749756235</v>
      </c>
      <c r="AR148" s="151">
        <f t="shared" si="55"/>
        <v>173034.30749756235</v>
      </c>
      <c r="AS148" s="151">
        <f t="shared" si="56"/>
        <v>281432.10689756233</v>
      </c>
      <c r="AT148" s="151">
        <f>IF(K148="Bexar",(AG148/$AT$1)*'1. UC Assumptions'!$E$44-(AH148/$AT$2)*'1. UC Assumptions'!$E$42,0)</f>
        <v>0</v>
      </c>
      <c r="AU148" s="151">
        <f>IF(K148="Dallas",(AG148/$AU$1)*'1. UC Assumptions'!$F$44-(AH148/$AU$2)*'1. UC Assumptions'!$F$42,0)</f>
        <v>0</v>
      </c>
      <c r="AV148" s="151">
        <f>IF(K148="El Paso",(AG148/$AV$1)*'1. UC Assumptions'!$G$44-(AH148/$AV$2)*'1. UC Assumptions'!$G$42,0)</f>
        <v>0</v>
      </c>
      <c r="AW148" s="151">
        <f>IF(K148="Harris",(AG148/$AW$1)*'1. UC Assumptions'!$H$44-(AH148/$AW$2)*'1. UC Assumptions'!$H$42,0)</f>
        <v>0</v>
      </c>
      <c r="AX148" s="151">
        <f>IF(K148="Hidalgo",(AG148/$AX$1)*'1. UC Assumptions'!$I$44-(AH148/$AX$2)*'1. UC Assumptions'!$I$42,0)</f>
        <v>0</v>
      </c>
      <c r="AY148" s="151">
        <f>IF(K148="Jefferson",(AG148/$AY$1)*'1. UC Assumptions'!$J$44-(AH148/$AY$2)*'1. UC Assumptions'!$J$42,0)</f>
        <v>0</v>
      </c>
      <c r="AZ148" s="151">
        <f>IF(K148="Lubbock",(AG148/$AZ$1)*'1. UC Assumptions'!$K$44-(AH148/$AZ$2)*'1. UC Assumptions'!$K$42,0)</f>
        <v>0</v>
      </c>
      <c r="BA148" s="151">
        <f>IF(K148="MRSA Central",(AG148/$BA$1)*'1. UC Assumptions'!$L$44-(AH148/$BA$2)*'1. UC Assumptions'!$L$42,0)</f>
        <v>0</v>
      </c>
      <c r="BB148" s="151">
        <f>IF(K148="MRSA Northeast",(AG148/$BB$1)*'1. UC Assumptions'!$M$44-(AH148/$BB$2)*'1. UC Assumptions'!$M$42,0)</f>
        <v>0</v>
      </c>
      <c r="BC148" s="151">
        <f>IF(K148="MRSA West",(AG148/$BC$1)*'1. UC Assumptions'!$N$44-(AH148/$BC$2)*'1. UC Assumptions'!$N$42,0)</f>
        <v>0</v>
      </c>
      <c r="BD148" s="151">
        <f>IF(K148="Nueces",(AG148/$BD$1)*'1. UC Assumptions'!$O$44-(AH148/$BD$2)*'1. UC Assumptions'!$O$42,0)</f>
        <v>0</v>
      </c>
      <c r="BE148" s="151">
        <f>IF(K148="Tarrant",(AG148/$BE$1)*'1. UC Assumptions'!$P$44-(AH148/$BE$2)*'1. UC Assumptions'!$P$42,0)</f>
        <v>0</v>
      </c>
      <c r="BF148" s="151">
        <f>IF(K148="Travis",(AG148/$BF$1)*'1. UC Assumptions'!$Q$44-(AH148/$BF$2)*'1. UC Assumptions'!$Q$42,0)</f>
        <v>0</v>
      </c>
      <c r="BG148" s="151">
        <f t="shared" si="57"/>
        <v>0</v>
      </c>
      <c r="BH148" s="151">
        <f t="shared" si="58"/>
        <v>796056.7467160807</v>
      </c>
      <c r="BI148" s="151">
        <f>ROUNDDOWN(BH148*'1. UC Assumptions'!$C$23,2)</f>
        <v>262698.71999999997</v>
      </c>
      <c r="BJ148" s="154">
        <f t="shared" si="59"/>
        <v>467578.56671608071</v>
      </c>
      <c r="BK148" s="154">
        <f t="shared" si="60"/>
        <v>154300.92059999998</v>
      </c>
      <c r="BL148" s="154">
        <f t="shared" si="61"/>
        <v>431677.92</v>
      </c>
      <c r="BM148" s="154">
        <f t="shared" si="62"/>
        <v>142453.71</v>
      </c>
      <c r="BN148" s="101"/>
      <c r="BO148" s="154">
        <f>(BL148*'1. UC Assumptions'!$C$23)-'3.  UC Calculations by Hospital'!BM148</f>
        <v>3.599999996367842E-3</v>
      </c>
      <c r="BP148" s="13"/>
    </row>
    <row r="149" spans="2:68">
      <c r="B149" s="129" t="s">
        <v>580</v>
      </c>
      <c r="C149" s="91" t="s">
        <v>580</v>
      </c>
      <c r="D149" s="91" t="s">
        <v>214</v>
      </c>
      <c r="E149" s="91" t="s">
        <v>209</v>
      </c>
      <c r="F149" s="91"/>
      <c r="G149" s="91" t="s">
        <v>209</v>
      </c>
      <c r="H149" s="91" t="s">
        <v>227</v>
      </c>
      <c r="I149" s="150" t="s">
        <v>210</v>
      </c>
      <c r="J149" s="129" t="s">
        <v>581</v>
      </c>
      <c r="K149" s="91" t="s">
        <v>9</v>
      </c>
      <c r="L149" s="91" t="s">
        <v>9</v>
      </c>
      <c r="M149" s="151">
        <v>8364194.0960245272</v>
      </c>
      <c r="N149" s="151">
        <v>8320749.5329323476</v>
      </c>
      <c r="O149" s="131">
        <v>4476168.0793501958</v>
      </c>
      <c r="P149" s="131">
        <f t="shared" si="42"/>
        <v>3844581.4535821518</v>
      </c>
      <c r="Q149" s="131">
        <v>7148730.6380568063</v>
      </c>
      <c r="R149" s="131">
        <v>8715243.9499999993</v>
      </c>
      <c r="S149" s="131">
        <f t="shared" si="43"/>
        <v>0</v>
      </c>
      <c r="T149" s="131">
        <f t="shared" si="44"/>
        <v>7148730.6380568063</v>
      </c>
      <c r="U149" s="131">
        <v>0</v>
      </c>
      <c r="V149" s="131">
        <v>0</v>
      </c>
      <c r="W149" s="131">
        <v>0</v>
      </c>
      <c r="X149" s="131">
        <v>0</v>
      </c>
      <c r="Y149" s="131">
        <v>0</v>
      </c>
      <c r="Z149" s="131">
        <f t="shared" si="45"/>
        <v>0</v>
      </c>
      <c r="AA149" s="131">
        <v>0</v>
      </c>
      <c r="AB149" s="152">
        <f t="shared" si="46"/>
        <v>7148730.6380568063</v>
      </c>
      <c r="AC149" s="133">
        <f>IF(D149="Physician Group Practice",(AB149/$AB$393)*'1. UC Assumptions'!$C$15,IF(E149="Rural Hospital",AB149*'1. UC Assumptions'!$C$7/'1. UC Assumptions'!$E$7,(AB149/$AB$397)*('1. UC Assumptions'!$C$9)))</f>
        <v>3360944.303062811</v>
      </c>
      <c r="AD149" s="133">
        <f t="shared" si="47"/>
        <v>0</v>
      </c>
      <c r="AE149" s="133">
        <f t="shared" si="48"/>
        <v>3787786.3349939953</v>
      </c>
      <c r="AF149" s="133">
        <f t="shared" si="49"/>
        <v>0</v>
      </c>
      <c r="AG149" s="133">
        <f t="shared" si="50"/>
        <v>3787786.3349939953</v>
      </c>
      <c r="AH149" s="133">
        <f t="shared" si="51"/>
        <v>3360944.303062811</v>
      </c>
      <c r="AI149" s="131">
        <f>AH149*'1. UC Assumptions'!$C$23</f>
        <v>1109111.6200107276</v>
      </c>
      <c r="AJ149" s="131">
        <v>0</v>
      </c>
      <c r="AK149" s="131">
        <f>AJ149*(1-'1. UC Assumptions'!$C$22)</f>
        <v>0</v>
      </c>
      <c r="AL149" s="131"/>
      <c r="AM149" s="131">
        <f>AL149*'1. UC Assumptions'!$C$23</f>
        <v>0</v>
      </c>
      <c r="AN149" s="153">
        <f t="shared" si="52"/>
        <v>7148730.6380568063</v>
      </c>
      <c r="AO149" s="151">
        <f>AN149*'1. UC Assumptions'!$C$23</f>
        <v>2359081.1105587459</v>
      </c>
      <c r="AP149" s="151">
        <f t="shared" si="53"/>
        <v>7148730.6380568063</v>
      </c>
      <c r="AQ149" s="151">
        <f t="shared" si="54"/>
        <v>2359081.1105587459</v>
      </c>
      <c r="AR149" s="151">
        <f t="shared" si="55"/>
        <v>2359081.1105587459</v>
      </c>
      <c r="AS149" s="151">
        <f t="shared" si="56"/>
        <v>2359081.1105587459</v>
      </c>
      <c r="AT149" s="151">
        <f>IF(K149="Bexar",(AG149/$AT$1)*'1. UC Assumptions'!$E$44-(AH149/$AT$2)*'1. UC Assumptions'!$E$42,0)</f>
        <v>0</v>
      </c>
      <c r="AU149" s="151">
        <f>IF(K149="Dallas",(AG149/$AU$1)*'1. UC Assumptions'!$F$44-(AH149/$AU$2)*'1. UC Assumptions'!$F$42,0)</f>
        <v>0</v>
      </c>
      <c r="AV149" s="151">
        <f>IF(K149="El Paso",(AG149/$AV$1)*'1. UC Assumptions'!$G$44-(AH149/$AV$2)*'1. UC Assumptions'!$G$42,0)</f>
        <v>0</v>
      </c>
      <c r="AW149" s="151">
        <f>IF(K149="Harris",(AG149/$AW$1)*'1. UC Assumptions'!$H$44-(AH149/$AW$2)*'1. UC Assumptions'!$H$42,0)</f>
        <v>0</v>
      </c>
      <c r="AX149" s="151">
        <f>IF(K149="Hidalgo",(AG149/$AX$1)*'1. UC Assumptions'!$I$44-(AH149/$AX$2)*'1. UC Assumptions'!$I$42,0)</f>
        <v>0</v>
      </c>
      <c r="AY149" s="151">
        <f>IF(K149="Jefferson",(AG149/$AY$1)*'1. UC Assumptions'!$J$44-(AH149/$AY$2)*'1. UC Assumptions'!$J$42,0)</f>
        <v>0</v>
      </c>
      <c r="AZ149" s="151">
        <f>IF(K149="Lubbock",(AG149/$AZ$1)*'1. UC Assumptions'!$K$44-(AH149/$AZ$2)*'1. UC Assumptions'!$K$42,0)</f>
        <v>0</v>
      </c>
      <c r="BA149" s="151">
        <f>IF(K149="MRSA Central",(AG149/$BA$1)*'1. UC Assumptions'!$L$44-(AH149/$BA$2)*'1. UC Assumptions'!$L$42,0)</f>
        <v>0</v>
      </c>
      <c r="BB149" s="151">
        <f>IF(K149="MRSA Northeast",(AG149/$BB$1)*'1. UC Assumptions'!$M$44-(AH149/$BB$2)*'1. UC Assumptions'!$M$42,0)</f>
        <v>0</v>
      </c>
      <c r="BC149" s="151">
        <f>IF(K149="MRSA West",(AG149/$BC$1)*'1. UC Assumptions'!$N$44-(AH149/$BC$2)*'1. UC Assumptions'!$N$42,0)</f>
        <v>0</v>
      </c>
      <c r="BD149" s="151">
        <f>IF(K149="Nueces",(AG149/$BD$1)*'1. UC Assumptions'!$O$44-(AH149/$BD$2)*'1. UC Assumptions'!$O$42,0)</f>
        <v>0</v>
      </c>
      <c r="BE149" s="151">
        <f>IF(K149="Tarrant",(AG149/$BE$1)*'1. UC Assumptions'!$P$44-(AH149/$BE$2)*'1. UC Assumptions'!$P$42,0)</f>
        <v>0</v>
      </c>
      <c r="BF149" s="151">
        <f>IF(K149="Travis",(AG149/$BF$1)*'1. UC Assumptions'!$Q$44-(AH149/$BF$2)*'1. UC Assumptions'!$Q$42,0)</f>
        <v>0</v>
      </c>
      <c r="BG149" s="151">
        <f t="shared" si="57"/>
        <v>0</v>
      </c>
      <c r="BH149" s="151">
        <f t="shared" si="58"/>
        <v>3360944.303062811</v>
      </c>
      <c r="BI149" s="151">
        <f>ROUNDDOWN(BH149*'1. UC Assumptions'!$C$23,2)</f>
        <v>1109111.6200000001</v>
      </c>
      <c r="BJ149" s="154">
        <f t="shared" si="59"/>
        <v>3360944.303062811</v>
      </c>
      <c r="BK149" s="154">
        <f t="shared" si="60"/>
        <v>1109111.6200000001</v>
      </c>
      <c r="BL149" s="154">
        <f t="shared" si="61"/>
        <v>3102891.29</v>
      </c>
      <c r="BM149" s="154">
        <f t="shared" si="62"/>
        <v>1023954.12</v>
      </c>
      <c r="BN149" s="101"/>
      <c r="BO149" s="154">
        <f>(BL149*'1. UC Assumptions'!$C$23)-'3.  UC Calculations by Hospital'!BM149</f>
        <v>5.699999863281846E-3</v>
      </c>
      <c r="BP149" s="13"/>
    </row>
    <row r="150" spans="2:68">
      <c r="B150" s="129" t="s">
        <v>112</v>
      </c>
      <c r="C150" s="91" t="s">
        <v>112</v>
      </c>
      <c r="D150" s="91" t="s">
        <v>281</v>
      </c>
      <c r="E150" s="91" t="s">
        <v>209</v>
      </c>
      <c r="F150" s="91"/>
      <c r="G150" s="91" t="s">
        <v>282</v>
      </c>
      <c r="H150" s="91" t="s">
        <v>209</v>
      </c>
      <c r="I150" s="150" t="s">
        <v>283</v>
      </c>
      <c r="J150" s="129" t="s">
        <v>582</v>
      </c>
      <c r="K150" s="91" t="s">
        <v>12</v>
      </c>
      <c r="L150" s="91" t="s">
        <v>557</v>
      </c>
      <c r="M150" s="151">
        <v>217096.58555647999</v>
      </c>
      <c r="N150" s="151">
        <v>42047549.80004096</v>
      </c>
      <c r="O150" s="131">
        <v>0</v>
      </c>
      <c r="P150" s="131">
        <f t="shared" si="42"/>
        <v>42047549.80004096</v>
      </c>
      <c r="Q150" s="131">
        <v>0</v>
      </c>
      <c r="R150" s="131">
        <v>0</v>
      </c>
      <c r="S150" s="131">
        <f t="shared" si="43"/>
        <v>0</v>
      </c>
      <c r="T150" s="131">
        <f t="shared" si="44"/>
        <v>0</v>
      </c>
      <c r="U150" s="131">
        <v>10950</v>
      </c>
      <c r="V150" s="131">
        <v>0</v>
      </c>
      <c r="W150" s="131">
        <v>0</v>
      </c>
      <c r="X150" s="131">
        <v>0</v>
      </c>
      <c r="Y150" s="131">
        <v>165447</v>
      </c>
      <c r="Z150" s="131">
        <f t="shared" si="45"/>
        <v>176397</v>
      </c>
      <c r="AA150" s="131">
        <v>0</v>
      </c>
      <c r="AB150" s="152">
        <f t="shared" si="46"/>
        <v>10950</v>
      </c>
      <c r="AC150" s="133">
        <f>IF(D150="Physician Group Practice",(AB150/$AB$393)*'1. UC Assumptions'!$C$15,IF(E150="Rural Hospital",AB150*'1. UC Assumptions'!$C$7/'1. UC Assumptions'!$E$7,(AB150/$AB$397)*('1. UC Assumptions'!$C$9)))</f>
        <v>5148.0943935162077</v>
      </c>
      <c r="AD150" s="133">
        <f t="shared" si="47"/>
        <v>0</v>
      </c>
      <c r="AE150" s="133">
        <f t="shared" si="48"/>
        <v>5801.9056064837923</v>
      </c>
      <c r="AF150" s="133">
        <f t="shared" si="49"/>
        <v>0</v>
      </c>
      <c r="AG150" s="133">
        <f t="shared" si="50"/>
        <v>5801.9056064837923</v>
      </c>
      <c r="AH150" s="133">
        <f t="shared" si="51"/>
        <v>5148.0943935162077</v>
      </c>
      <c r="AI150" s="131">
        <f>AH150*'1. UC Assumptions'!$C$23</f>
        <v>1698.8711498603484</v>
      </c>
      <c r="AJ150" s="131">
        <v>25335.46</v>
      </c>
      <c r="AK150" s="131">
        <f>AJ150*(1-'1. UC Assumptions'!$C$22)</f>
        <v>8360.7017999999989</v>
      </c>
      <c r="AL150" s="131"/>
      <c r="AM150" s="131">
        <f>AL150*'1. UC Assumptions'!$C$23</f>
        <v>0</v>
      </c>
      <c r="AN150" s="153">
        <f t="shared" si="52"/>
        <v>10950</v>
      </c>
      <c r="AO150" s="151">
        <f>AN150*'1. UC Assumptions'!$C$23</f>
        <v>3613.4999999999995</v>
      </c>
      <c r="AP150" s="151">
        <f t="shared" si="53"/>
        <v>10950</v>
      </c>
      <c r="AQ150" s="151">
        <f t="shared" si="54"/>
        <v>3613.4999999999995</v>
      </c>
      <c r="AR150" s="151">
        <f t="shared" si="55"/>
        <v>3613.4999999999995</v>
      </c>
      <c r="AS150" s="151">
        <f t="shared" si="56"/>
        <v>3613.4999999999995</v>
      </c>
      <c r="AT150" s="151">
        <f>IF(K150="Bexar",(AG150/$AT$1)*'1. UC Assumptions'!$E$44-(AH150/$AT$2)*'1. UC Assumptions'!$E$42,0)</f>
        <v>0</v>
      </c>
      <c r="AU150" s="151">
        <f>IF(K150="Dallas",(AG150/$AU$1)*'1. UC Assumptions'!$F$44-(AH150/$AU$2)*'1. UC Assumptions'!$F$42,0)</f>
        <v>0</v>
      </c>
      <c r="AV150" s="151">
        <f>IF(K150="El Paso",(AG150/$AV$1)*'1. UC Assumptions'!$G$44-(AH150/$AV$2)*'1. UC Assumptions'!$G$42,0)</f>
        <v>0</v>
      </c>
      <c r="AW150" s="151">
        <f>IF(K150="Harris",(AG150/$AW$1)*'1. UC Assumptions'!$H$44-(AH150/$AW$2)*'1. UC Assumptions'!$H$42,0)</f>
        <v>0</v>
      </c>
      <c r="AX150" s="151">
        <f>IF(K150="Hidalgo",(AG150/$AX$1)*'1. UC Assumptions'!$I$44-(AH150/$AX$2)*'1. UC Assumptions'!$I$42,0)</f>
        <v>0</v>
      </c>
      <c r="AY150" s="151">
        <f>IF(K150="Jefferson",(AG150/$AY$1)*'1. UC Assumptions'!$J$44-(AH150/$AY$2)*'1. UC Assumptions'!$J$42,0)</f>
        <v>0</v>
      </c>
      <c r="AZ150" s="151">
        <f>IF(K150="Lubbock",(AG150/$AZ$1)*'1. UC Assumptions'!$K$44-(AH150/$AZ$2)*'1. UC Assumptions'!$K$42,0)</f>
        <v>0</v>
      </c>
      <c r="BA150" s="151">
        <f>IF(K150="MRSA Central",(AG150/$BA$1)*'1. UC Assumptions'!$L$44-(AH150/$BA$2)*'1. UC Assumptions'!$L$42,0)</f>
        <v>0</v>
      </c>
      <c r="BB150" s="151">
        <f>IF(K150="MRSA Northeast",(AG150/$BB$1)*'1. UC Assumptions'!$M$44-(AH150/$BB$2)*'1. UC Assumptions'!$M$42,0)</f>
        <v>0</v>
      </c>
      <c r="BC150" s="151">
        <f>IF(K150="MRSA West",(AG150/$BC$1)*'1. UC Assumptions'!$N$44-(AH150/$BC$2)*'1. UC Assumptions'!$N$42,0)</f>
        <v>0</v>
      </c>
      <c r="BD150" s="151">
        <f>IF(K150="Nueces",(AG150/$BD$1)*'1. UC Assumptions'!$O$44-(AH150/$BD$2)*'1. UC Assumptions'!$O$42,0)</f>
        <v>0</v>
      </c>
      <c r="BE150" s="151">
        <f>IF(K150="Tarrant",(AG150/$BE$1)*'1. UC Assumptions'!$P$44-(AH150/$BE$2)*'1. UC Assumptions'!$P$42,0)</f>
        <v>0</v>
      </c>
      <c r="BF150" s="151">
        <f>IF(K150="Travis",(AG150/$BF$1)*'1. UC Assumptions'!$Q$44-(AH150/$BF$2)*'1. UC Assumptions'!$Q$42,0)</f>
        <v>0</v>
      </c>
      <c r="BG150" s="151">
        <f t="shared" si="57"/>
        <v>0</v>
      </c>
      <c r="BH150" s="151">
        <f t="shared" si="58"/>
        <v>5148.0943935162077</v>
      </c>
      <c r="BI150" s="151">
        <f>ROUNDDOWN(BH150*'1. UC Assumptions'!$C$23,2)</f>
        <v>1698.87</v>
      </c>
      <c r="BJ150" s="154">
        <f t="shared" si="59"/>
        <v>5148.0943935162077</v>
      </c>
      <c r="BK150" s="154">
        <f t="shared" si="60"/>
        <v>1698.87</v>
      </c>
      <c r="BL150" s="154">
        <f t="shared" si="61"/>
        <v>4752.82</v>
      </c>
      <c r="BM150" s="154">
        <f t="shared" si="62"/>
        <v>1568.43</v>
      </c>
      <c r="BN150" s="101"/>
      <c r="BO150" s="154">
        <f>(BL150*'1. UC Assumptions'!$C$23)-'3.  UC Calculations by Hospital'!BM150</f>
        <v>5.99999999622014E-4</v>
      </c>
      <c r="BP150" s="13"/>
    </row>
    <row r="151" spans="2:68">
      <c r="B151" s="129" t="s">
        <v>583</v>
      </c>
      <c r="C151" s="91" t="s">
        <v>583</v>
      </c>
      <c r="D151" s="91" t="s">
        <v>208</v>
      </c>
      <c r="E151" s="91" t="s">
        <v>149</v>
      </c>
      <c r="F151" s="91"/>
      <c r="G151" s="91" t="s">
        <v>209</v>
      </c>
      <c r="H151" s="91" t="s">
        <v>209</v>
      </c>
      <c r="I151" s="150" t="s">
        <v>210</v>
      </c>
      <c r="J151" s="129" t="s">
        <v>584</v>
      </c>
      <c r="K151" s="91" t="s">
        <v>12</v>
      </c>
      <c r="L151" s="91" t="s">
        <v>266</v>
      </c>
      <c r="M151" s="151">
        <v>124196.35822755848</v>
      </c>
      <c r="N151" s="151">
        <v>0</v>
      </c>
      <c r="O151" s="131">
        <v>0</v>
      </c>
      <c r="P151" s="131">
        <f t="shared" si="42"/>
        <v>0</v>
      </c>
      <c r="Q151" s="131">
        <v>343317.31969794561</v>
      </c>
      <c r="R151" s="131">
        <v>0</v>
      </c>
      <c r="S151" s="131">
        <f t="shared" si="43"/>
        <v>0</v>
      </c>
      <c r="T151" s="131">
        <f t="shared" si="44"/>
        <v>343317.31969794561</v>
      </c>
      <c r="U151" s="131">
        <v>0</v>
      </c>
      <c r="V151" s="131">
        <v>0</v>
      </c>
      <c r="W151" s="131">
        <v>0</v>
      </c>
      <c r="X151" s="131">
        <v>0</v>
      </c>
      <c r="Y151" s="131">
        <v>0</v>
      </c>
      <c r="Z151" s="131">
        <f t="shared" si="45"/>
        <v>0</v>
      </c>
      <c r="AA151" s="131">
        <v>0</v>
      </c>
      <c r="AB151" s="152">
        <f t="shared" si="46"/>
        <v>343317.31969794561</v>
      </c>
      <c r="AC151" s="133">
        <f>IF(D151="Physician Group Practice",(AB151/$AB$393)*'1. UC Assumptions'!$C$15,IF(E151="Rural Hospital",AB151*'1. UC Assumptions'!$C$7/'1. UC Assumptions'!$E$7,(AB151/$AB$397)*('1. UC Assumptions'!$C$9)))</f>
        <v>320464.58250812837</v>
      </c>
      <c r="AD151" s="133">
        <f t="shared" si="47"/>
        <v>0</v>
      </c>
      <c r="AE151" s="133">
        <f t="shared" si="48"/>
        <v>22852.737189817242</v>
      </c>
      <c r="AF151" s="133">
        <f t="shared" si="49"/>
        <v>0</v>
      </c>
      <c r="AG151" s="133">
        <f t="shared" si="50"/>
        <v>22852.737189817242</v>
      </c>
      <c r="AH151" s="133">
        <f t="shared" si="51"/>
        <v>320464.58250812837</v>
      </c>
      <c r="AI151" s="131">
        <f>AH151*'1. UC Assumptions'!$C$23</f>
        <v>105753.31222768236</v>
      </c>
      <c r="AJ151" s="131">
        <v>136900.78</v>
      </c>
      <c r="AK151" s="131">
        <f>AJ151*(1-'1. UC Assumptions'!$C$22)</f>
        <v>45177.257399999995</v>
      </c>
      <c r="AL151" s="131"/>
      <c r="AM151" s="131">
        <f>AL151*'1. UC Assumptions'!$C$23</f>
        <v>0</v>
      </c>
      <c r="AN151" s="153">
        <f t="shared" si="52"/>
        <v>343317.31969794561</v>
      </c>
      <c r="AO151" s="151">
        <f>AN151*'1. UC Assumptions'!$C$23</f>
        <v>113294.71550032204</v>
      </c>
      <c r="AP151" s="151">
        <f t="shared" si="53"/>
        <v>206416.53969794561</v>
      </c>
      <c r="AQ151" s="151">
        <f t="shared" si="54"/>
        <v>68117.458100322052</v>
      </c>
      <c r="AR151" s="151">
        <f t="shared" si="55"/>
        <v>68117.458100322052</v>
      </c>
      <c r="AS151" s="151">
        <f t="shared" si="56"/>
        <v>113294.71550032205</v>
      </c>
      <c r="AT151" s="151">
        <f>IF(K151="Bexar",(AG151/$AT$1)*'1. UC Assumptions'!$E$44-(AH151/$AT$2)*'1. UC Assumptions'!$E$42,0)</f>
        <v>0</v>
      </c>
      <c r="AU151" s="151">
        <f>IF(K151="Dallas",(AG151/$AU$1)*'1. UC Assumptions'!$F$44-(AH151/$AU$2)*'1. UC Assumptions'!$F$42,0)</f>
        <v>0</v>
      </c>
      <c r="AV151" s="151">
        <f>IF(K151="El Paso",(AG151/$AV$1)*'1. UC Assumptions'!$G$44-(AH151/$AV$2)*'1. UC Assumptions'!$G$42,0)</f>
        <v>0</v>
      </c>
      <c r="AW151" s="151">
        <f>IF(K151="Harris",(AG151/$AW$1)*'1. UC Assumptions'!$H$44-(AH151/$AW$2)*'1. UC Assumptions'!$H$42,0)</f>
        <v>0</v>
      </c>
      <c r="AX151" s="151">
        <f>IF(K151="Hidalgo",(AG151/$AX$1)*'1. UC Assumptions'!$I$44-(AH151/$AX$2)*'1. UC Assumptions'!$I$42,0)</f>
        <v>0</v>
      </c>
      <c r="AY151" s="151">
        <f>IF(K151="Jefferson",(AG151/$AY$1)*'1. UC Assumptions'!$J$44-(AH151/$AY$2)*'1. UC Assumptions'!$J$42,0)</f>
        <v>0</v>
      </c>
      <c r="AZ151" s="151">
        <f>IF(K151="Lubbock",(AG151/$AZ$1)*'1. UC Assumptions'!$K$44-(AH151/$AZ$2)*'1. UC Assumptions'!$K$42,0)</f>
        <v>0</v>
      </c>
      <c r="BA151" s="151">
        <f>IF(K151="MRSA Central",(AG151/$BA$1)*'1. UC Assumptions'!$L$44-(AH151/$BA$2)*'1. UC Assumptions'!$L$42,0)</f>
        <v>0</v>
      </c>
      <c r="BB151" s="151">
        <f>IF(K151="MRSA Northeast",(AG151/$BB$1)*'1. UC Assumptions'!$M$44-(AH151/$BB$2)*'1. UC Assumptions'!$M$42,0)</f>
        <v>0</v>
      </c>
      <c r="BC151" s="151">
        <f>IF(K151="MRSA West",(AG151/$BC$1)*'1. UC Assumptions'!$N$44-(AH151/$BC$2)*'1. UC Assumptions'!$N$42,0)</f>
        <v>0</v>
      </c>
      <c r="BD151" s="151">
        <f>IF(K151="Nueces",(AG151/$BD$1)*'1. UC Assumptions'!$O$44-(AH151/$BD$2)*'1. UC Assumptions'!$O$42,0)</f>
        <v>0</v>
      </c>
      <c r="BE151" s="151">
        <f>IF(K151="Tarrant",(AG151/$BE$1)*'1. UC Assumptions'!$P$44-(AH151/$BE$2)*'1. UC Assumptions'!$P$42,0)</f>
        <v>0</v>
      </c>
      <c r="BF151" s="151">
        <f>IF(K151="Travis",(AG151/$BF$1)*'1. UC Assumptions'!$Q$44-(AH151/$BF$2)*'1. UC Assumptions'!$Q$42,0)</f>
        <v>0</v>
      </c>
      <c r="BG151" s="151">
        <f t="shared" si="57"/>
        <v>0</v>
      </c>
      <c r="BH151" s="151">
        <f t="shared" si="58"/>
        <v>320464.58250812837</v>
      </c>
      <c r="BI151" s="151">
        <f>ROUNDDOWN(BH151*'1. UC Assumptions'!$C$23,2)</f>
        <v>105753.31</v>
      </c>
      <c r="BJ151" s="154">
        <f t="shared" si="59"/>
        <v>183563.80250812837</v>
      </c>
      <c r="BK151" s="154">
        <f t="shared" si="60"/>
        <v>60576.052600000003</v>
      </c>
      <c r="BL151" s="154">
        <f t="shared" si="61"/>
        <v>169469.79</v>
      </c>
      <c r="BM151" s="154">
        <f t="shared" si="62"/>
        <v>55925.03</v>
      </c>
      <c r="BN151" s="101"/>
      <c r="BO151" s="154">
        <f>(BL151*'1. UC Assumptions'!$C$23)-'3.  UC Calculations by Hospital'!BM151</f>
        <v>6.9999999686842784E-4</v>
      </c>
      <c r="BP151" s="13"/>
    </row>
    <row r="152" spans="2:68">
      <c r="B152" s="129" t="s">
        <v>585</v>
      </c>
      <c r="C152" s="91" t="s">
        <v>585</v>
      </c>
      <c r="D152" s="91" t="s">
        <v>214</v>
      </c>
      <c r="E152" s="91" t="s">
        <v>209</v>
      </c>
      <c r="F152" s="91"/>
      <c r="G152" s="91" t="s">
        <v>209</v>
      </c>
      <c r="H152" s="91" t="s">
        <v>209</v>
      </c>
      <c r="I152" s="150" t="s">
        <v>210</v>
      </c>
      <c r="J152" s="129" t="s">
        <v>586</v>
      </c>
      <c r="K152" s="91" t="s">
        <v>5</v>
      </c>
      <c r="L152" s="91" t="s">
        <v>5</v>
      </c>
      <c r="M152" s="151">
        <v>-20828307.033802167</v>
      </c>
      <c r="N152" s="151">
        <v>8106525.7309775641</v>
      </c>
      <c r="O152" s="131">
        <v>6304434.8395890668</v>
      </c>
      <c r="P152" s="131">
        <f t="shared" si="42"/>
        <v>1802090.8913884973</v>
      </c>
      <c r="Q152" s="131">
        <v>7934550.7521941587</v>
      </c>
      <c r="R152" s="131">
        <v>0</v>
      </c>
      <c r="S152" s="131">
        <f t="shared" si="43"/>
        <v>0</v>
      </c>
      <c r="T152" s="131">
        <f t="shared" si="44"/>
        <v>7934550.7521941587</v>
      </c>
      <c r="U152" s="131">
        <v>434411</v>
      </c>
      <c r="V152" s="131">
        <v>0</v>
      </c>
      <c r="W152" s="131">
        <v>0</v>
      </c>
      <c r="X152" s="131">
        <v>0</v>
      </c>
      <c r="Y152" s="131">
        <v>239036.52469943845</v>
      </c>
      <c r="Z152" s="131">
        <f t="shared" si="45"/>
        <v>673447.52469943848</v>
      </c>
      <c r="AA152" s="131">
        <v>0</v>
      </c>
      <c r="AB152" s="152">
        <f t="shared" si="46"/>
        <v>8607998.2768935971</v>
      </c>
      <c r="AC152" s="133">
        <f>IF(D152="Physician Group Practice",(AB152/$AB$393)*'1. UC Assumptions'!$C$15,IF(E152="Rural Hospital",AB152*'1. UC Assumptions'!$C$7/'1. UC Assumptions'!$E$7,(AB152/$AB$397)*('1. UC Assumptions'!$C$9)))</f>
        <v>4047012.5724815619</v>
      </c>
      <c r="AD152" s="133">
        <f t="shared" si="47"/>
        <v>0</v>
      </c>
      <c r="AE152" s="133">
        <f t="shared" si="48"/>
        <v>4560985.7044120356</v>
      </c>
      <c r="AF152" s="133">
        <f t="shared" si="49"/>
        <v>0</v>
      </c>
      <c r="AG152" s="133">
        <f t="shared" si="50"/>
        <v>4560985.7044120356</v>
      </c>
      <c r="AH152" s="133">
        <f t="shared" si="51"/>
        <v>4047012.5724815619</v>
      </c>
      <c r="AI152" s="131">
        <f>AH152*'1. UC Assumptions'!$C$23</f>
        <v>1335514.1489189153</v>
      </c>
      <c r="AJ152" s="131">
        <v>3681791.32</v>
      </c>
      <c r="AK152" s="131">
        <f>AJ152*(1-'1. UC Assumptions'!$C$22)</f>
        <v>1214991.1355999997</v>
      </c>
      <c r="AL152" s="131"/>
      <c r="AM152" s="131">
        <f>AL152*'1. UC Assumptions'!$C$23</f>
        <v>0</v>
      </c>
      <c r="AN152" s="153">
        <f t="shared" si="52"/>
        <v>8607998.2768935971</v>
      </c>
      <c r="AO152" s="151">
        <f>AN152*'1. UC Assumptions'!$C$23</f>
        <v>2840639.4313748865</v>
      </c>
      <c r="AP152" s="151">
        <f t="shared" si="53"/>
        <v>4926206.9568935968</v>
      </c>
      <c r="AQ152" s="151">
        <f t="shared" si="54"/>
        <v>1625648.2957748869</v>
      </c>
      <c r="AR152" s="151">
        <f t="shared" si="55"/>
        <v>1625648.2957748869</v>
      </c>
      <c r="AS152" s="151">
        <f t="shared" si="56"/>
        <v>2840639.4313748865</v>
      </c>
      <c r="AT152" s="151">
        <f>IF(K152="Bexar",(AG152/$AT$1)*'1. UC Assumptions'!$E$44-(AH152/$AT$2)*'1. UC Assumptions'!$E$42,0)</f>
        <v>0</v>
      </c>
      <c r="AU152" s="151">
        <f>IF(K152="Dallas",(AG152/$AU$1)*'1. UC Assumptions'!$F$44-(AH152/$AU$2)*'1. UC Assumptions'!$F$42,0)</f>
        <v>0</v>
      </c>
      <c r="AV152" s="151">
        <f>IF(K152="El Paso",(AG152/$AV$1)*'1. UC Assumptions'!$G$44-(AH152/$AV$2)*'1. UC Assumptions'!$G$42,0)</f>
        <v>0</v>
      </c>
      <c r="AW152" s="151">
        <f>IF(K152="Harris",(AG152/$AW$1)*'1. UC Assumptions'!$H$44-(AH152/$AW$2)*'1. UC Assumptions'!$H$42,0)</f>
        <v>0</v>
      </c>
      <c r="AX152" s="151">
        <f>IF(K152="Hidalgo",(AG152/$AX$1)*'1. UC Assumptions'!$I$44-(AH152/$AX$2)*'1. UC Assumptions'!$I$42,0)</f>
        <v>0</v>
      </c>
      <c r="AY152" s="151">
        <f>IF(K152="Jefferson",(AG152/$AY$1)*'1. UC Assumptions'!$J$44-(AH152/$AY$2)*'1. UC Assumptions'!$J$42,0)</f>
        <v>0</v>
      </c>
      <c r="AZ152" s="151">
        <f>IF(K152="Lubbock",(AG152/$AZ$1)*'1. UC Assumptions'!$K$44-(AH152/$AZ$2)*'1. UC Assumptions'!$K$42,0)</f>
        <v>0</v>
      </c>
      <c r="BA152" s="151">
        <f>IF(K152="MRSA Central",(AG152/$BA$1)*'1. UC Assumptions'!$L$44-(AH152/$BA$2)*'1. UC Assumptions'!$L$42,0)</f>
        <v>0</v>
      </c>
      <c r="BB152" s="151">
        <f>IF(K152="MRSA Northeast",(AG152/$BB$1)*'1. UC Assumptions'!$M$44-(AH152/$BB$2)*'1. UC Assumptions'!$M$42,0)</f>
        <v>0</v>
      </c>
      <c r="BC152" s="151">
        <f>IF(K152="MRSA West",(AG152/$BC$1)*'1. UC Assumptions'!$N$44-(AH152/$BC$2)*'1. UC Assumptions'!$N$42,0)</f>
        <v>0</v>
      </c>
      <c r="BD152" s="151">
        <f>IF(K152="Nueces",(AG152/$BD$1)*'1. UC Assumptions'!$O$44-(AH152/$BD$2)*'1. UC Assumptions'!$O$42,0)</f>
        <v>0</v>
      </c>
      <c r="BE152" s="151">
        <f>IF(K152="Tarrant",(AG152/$BE$1)*'1. UC Assumptions'!$P$44-(AH152/$BE$2)*'1. UC Assumptions'!$P$42,0)</f>
        <v>0</v>
      </c>
      <c r="BF152" s="151">
        <f>IF(K152="Travis",(AG152/$BF$1)*'1. UC Assumptions'!$Q$44-(AH152/$BF$2)*'1. UC Assumptions'!$Q$42,0)</f>
        <v>0</v>
      </c>
      <c r="BG152" s="151">
        <f t="shared" si="57"/>
        <v>0</v>
      </c>
      <c r="BH152" s="151">
        <f t="shared" si="58"/>
        <v>4047012.5724815619</v>
      </c>
      <c r="BI152" s="151">
        <f>ROUNDDOWN(BH152*'1. UC Assumptions'!$C$23,2)</f>
        <v>1335514.1399999999</v>
      </c>
      <c r="BJ152" s="154">
        <f t="shared" si="59"/>
        <v>365221.25248156209</v>
      </c>
      <c r="BK152" s="154">
        <f t="shared" si="60"/>
        <v>120523.00440000021</v>
      </c>
      <c r="BL152" s="154">
        <f t="shared" si="61"/>
        <v>337179.6</v>
      </c>
      <c r="BM152" s="154">
        <f t="shared" si="62"/>
        <v>111269.26</v>
      </c>
      <c r="BN152" s="155"/>
      <c r="BO152" s="154">
        <f>(BL152*'1. UC Assumptions'!$C$23)-'3.  UC Calculations by Hospital'!BM152</f>
        <v>7.9999999870778993E-3</v>
      </c>
      <c r="BP152" s="13"/>
    </row>
    <row r="153" spans="2:68" ht="14.45" customHeight="1">
      <c r="B153" s="129" t="s">
        <v>587</v>
      </c>
      <c r="C153" s="91" t="s">
        <v>587</v>
      </c>
      <c r="D153" s="91" t="s">
        <v>214</v>
      </c>
      <c r="E153" s="91" t="s">
        <v>149</v>
      </c>
      <c r="F153" s="91"/>
      <c r="G153" s="91" t="s">
        <v>209</v>
      </c>
      <c r="H153" s="91" t="s">
        <v>209</v>
      </c>
      <c r="I153" s="150" t="s">
        <v>210</v>
      </c>
      <c r="J153" s="129" t="s">
        <v>588</v>
      </c>
      <c r="K153" s="91" t="s">
        <v>11</v>
      </c>
      <c r="L153" s="91" t="s">
        <v>589</v>
      </c>
      <c r="M153" s="151">
        <v>-3345888.7569993981</v>
      </c>
      <c r="N153" s="151">
        <v>3752641.6958103799</v>
      </c>
      <c r="O153" s="131">
        <v>2517671.2189617404</v>
      </c>
      <c r="P153" s="131">
        <f t="shared" si="42"/>
        <v>1234970.4768486395</v>
      </c>
      <c r="Q153" s="131">
        <v>3491265.5710311681</v>
      </c>
      <c r="R153" s="131">
        <v>406752.94</v>
      </c>
      <c r="S153" s="131">
        <f t="shared" si="43"/>
        <v>406752.94</v>
      </c>
      <c r="T153" s="131">
        <f t="shared" si="44"/>
        <v>3084512.6310311682</v>
      </c>
      <c r="U153" s="131">
        <v>324623</v>
      </c>
      <c r="V153" s="131">
        <v>0</v>
      </c>
      <c r="W153" s="131">
        <v>0</v>
      </c>
      <c r="X153" s="131">
        <v>0</v>
      </c>
      <c r="Y153" s="131">
        <v>0</v>
      </c>
      <c r="Z153" s="131">
        <f t="shared" si="45"/>
        <v>324623</v>
      </c>
      <c r="AA153" s="131">
        <v>0</v>
      </c>
      <c r="AB153" s="152">
        <f t="shared" si="46"/>
        <v>3409135.6310311682</v>
      </c>
      <c r="AC153" s="133">
        <f>IF(D153="Physician Group Practice",(AB153/$AB$393)*'1. UC Assumptions'!$C$15,IF(E153="Rural Hospital",AB153*'1. UC Assumptions'!$C$7/'1. UC Assumptions'!$E$7,(AB153/$AB$397)*('1. UC Assumptions'!$C$9)))</f>
        <v>3182208.3070938224</v>
      </c>
      <c r="AD153" s="133">
        <f t="shared" si="47"/>
        <v>0</v>
      </c>
      <c r="AE153" s="133">
        <f t="shared" si="48"/>
        <v>226927.32393734576</v>
      </c>
      <c r="AF153" s="133">
        <f t="shared" si="49"/>
        <v>0</v>
      </c>
      <c r="AG153" s="133">
        <f t="shared" si="50"/>
        <v>226927.32393734576</v>
      </c>
      <c r="AH153" s="133">
        <f t="shared" si="51"/>
        <v>3182208.3070938224</v>
      </c>
      <c r="AI153" s="131">
        <f>AH153*'1. UC Assumptions'!$C$23</f>
        <v>1050128.7413409613</v>
      </c>
      <c r="AJ153" s="131">
        <v>0</v>
      </c>
      <c r="AK153" s="131">
        <f>AJ153*(1-'1. UC Assumptions'!$C$22)</f>
        <v>0</v>
      </c>
      <c r="AL153" s="131"/>
      <c r="AM153" s="131">
        <f>AL153*'1. UC Assumptions'!$C$23</f>
        <v>0</v>
      </c>
      <c r="AN153" s="153">
        <f t="shared" si="52"/>
        <v>3409135.6310311682</v>
      </c>
      <c r="AO153" s="151">
        <f>AN153*'1. UC Assumptions'!$C$23</f>
        <v>1125014.7582402853</v>
      </c>
      <c r="AP153" s="151">
        <f t="shared" si="53"/>
        <v>3409135.6310311682</v>
      </c>
      <c r="AQ153" s="151">
        <f t="shared" si="54"/>
        <v>1125014.7582402853</v>
      </c>
      <c r="AR153" s="151">
        <f t="shared" si="55"/>
        <v>1125014.7582402853</v>
      </c>
      <c r="AS153" s="151">
        <f t="shared" si="56"/>
        <v>1125014.7582402853</v>
      </c>
      <c r="AT153" s="151">
        <f>IF(K153="Bexar",(AG153/$AT$1)*'1. UC Assumptions'!$E$44-(AH153/$AT$2)*'1. UC Assumptions'!$E$42,0)</f>
        <v>0</v>
      </c>
      <c r="AU153" s="151">
        <f>IF(K153="Dallas",(AG153/$AU$1)*'1. UC Assumptions'!$F$44-(AH153/$AU$2)*'1. UC Assumptions'!$F$42,0)</f>
        <v>0</v>
      </c>
      <c r="AV153" s="151">
        <f>IF(K153="El Paso",(AG153/$AV$1)*'1. UC Assumptions'!$G$44-(AH153/$AV$2)*'1. UC Assumptions'!$G$42,0)</f>
        <v>0</v>
      </c>
      <c r="AW153" s="151">
        <f>IF(K153="Harris",(AG153/$AW$1)*'1. UC Assumptions'!$H$44-(AH153/$AW$2)*'1. UC Assumptions'!$H$42,0)</f>
        <v>0</v>
      </c>
      <c r="AX153" s="151">
        <f>IF(K153="Hidalgo",(AG153/$AX$1)*'1. UC Assumptions'!$I$44-(AH153/$AX$2)*'1. UC Assumptions'!$I$42,0)</f>
        <v>0</v>
      </c>
      <c r="AY153" s="151">
        <f>IF(K153="Jefferson",(AG153/$AY$1)*'1. UC Assumptions'!$J$44-(AH153/$AY$2)*'1. UC Assumptions'!$J$42,0)</f>
        <v>0</v>
      </c>
      <c r="AZ153" s="151">
        <f>IF(K153="Lubbock",(AG153/$AZ$1)*'1. UC Assumptions'!$K$44-(AH153/$AZ$2)*'1. UC Assumptions'!$K$42,0)</f>
        <v>0</v>
      </c>
      <c r="BA153" s="151">
        <f>IF(K153="MRSA Central",(AG153/$BA$1)*'1. UC Assumptions'!$L$44-(AH153/$BA$2)*'1. UC Assumptions'!$L$42,0)</f>
        <v>0</v>
      </c>
      <c r="BB153" s="151">
        <f>IF(K153="MRSA Northeast",(AG153/$BB$1)*'1. UC Assumptions'!$M$44-(AH153/$BB$2)*'1. UC Assumptions'!$M$42,0)</f>
        <v>0</v>
      </c>
      <c r="BC153" s="151">
        <f>IF(K153="MRSA West",(AG153/$BC$1)*'1. UC Assumptions'!$N$44-(AH153/$BC$2)*'1. UC Assumptions'!$N$42,0)</f>
        <v>0</v>
      </c>
      <c r="BD153" s="151">
        <f>IF(K153="Nueces",(AG153/$BD$1)*'1. UC Assumptions'!$O$44-(AH153/$BD$2)*'1. UC Assumptions'!$O$42,0)</f>
        <v>0</v>
      </c>
      <c r="BE153" s="151">
        <f>IF(K153="Tarrant",(AG153/$BE$1)*'1. UC Assumptions'!$P$44-(AH153/$BE$2)*'1. UC Assumptions'!$P$42,0)</f>
        <v>0</v>
      </c>
      <c r="BF153" s="151">
        <f>IF(K153="Travis",(AG153/$BF$1)*'1. UC Assumptions'!$Q$44-(AH153/$BF$2)*'1. UC Assumptions'!$Q$42,0)</f>
        <v>0</v>
      </c>
      <c r="BG153" s="151">
        <f t="shared" si="57"/>
        <v>0</v>
      </c>
      <c r="BH153" s="151">
        <f t="shared" si="58"/>
        <v>3182208.3070938224</v>
      </c>
      <c r="BI153" s="151">
        <f>ROUNDDOWN(BH153*'1. UC Assumptions'!$C$23,2)</f>
        <v>1050128.74</v>
      </c>
      <c r="BJ153" s="154">
        <f t="shared" si="59"/>
        <v>3182208.3070938224</v>
      </c>
      <c r="BK153" s="154">
        <f t="shared" si="60"/>
        <v>1050128.74</v>
      </c>
      <c r="BL153" s="154">
        <f t="shared" si="61"/>
        <v>2937878.63</v>
      </c>
      <c r="BM153" s="154">
        <f t="shared" si="62"/>
        <v>969499.94</v>
      </c>
      <c r="BN153" s="101"/>
      <c r="BO153" s="154">
        <f>(BL153*'1. UC Assumptions'!$C$23)-'3.  UC Calculations by Hospital'!BM153</f>
        <v>7.8999998513609171E-3</v>
      </c>
      <c r="BP153" s="13"/>
    </row>
    <row r="154" spans="2:68">
      <c r="B154" s="129" t="s">
        <v>590</v>
      </c>
      <c r="C154" s="91" t="s">
        <v>590</v>
      </c>
      <c r="D154" s="91" t="s">
        <v>208</v>
      </c>
      <c r="E154" s="91" t="s">
        <v>149</v>
      </c>
      <c r="F154" s="91"/>
      <c r="G154" s="91" t="s">
        <v>209</v>
      </c>
      <c r="H154" s="91" t="s">
        <v>209</v>
      </c>
      <c r="I154" s="150" t="s">
        <v>210</v>
      </c>
      <c r="J154" s="129" t="s">
        <v>591</v>
      </c>
      <c r="K154" s="91" t="s">
        <v>14</v>
      </c>
      <c r="L154" s="91" t="s">
        <v>592</v>
      </c>
      <c r="M154" s="151">
        <v>774140.01767979446</v>
      </c>
      <c r="N154" s="151">
        <v>12328084.976102779</v>
      </c>
      <c r="O154" s="131">
        <v>3649989.3170863362</v>
      </c>
      <c r="P154" s="131">
        <f t="shared" si="42"/>
        <v>8678095.6590164416</v>
      </c>
      <c r="Q154" s="131">
        <v>13836740.339703502</v>
      </c>
      <c r="R154" s="131">
        <v>0</v>
      </c>
      <c r="S154" s="131">
        <f t="shared" si="43"/>
        <v>0</v>
      </c>
      <c r="T154" s="131">
        <f t="shared" si="44"/>
        <v>13836740.339703502</v>
      </c>
      <c r="U154" s="131">
        <v>566766</v>
      </c>
      <c r="V154" s="131">
        <v>0</v>
      </c>
      <c r="W154" s="131">
        <v>0</v>
      </c>
      <c r="X154" s="131">
        <v>0</v>
      </c>
      <c r="Y154" s="131">
        <v>0</v>
      </c>
      <c r="Z154" s="131">
        <f t="shared" si="45"/>
        <v>566766</v>
      </c>
      <c r="AA154" s="131">
        <v>0</v>
      </c>
      <c r="AB154" s="152">
        <f t="shared" si="46"/>
        <v>14403506.339703502</v>
      </c>
      <c r="AC154" s="133">
        <f>IF(D154="Physician Group Practice",(AB154/$AB$393)*'1. UC Assumptions'!$C$15,IF(E154="Rural Hospital",AB154*'1. UC Assumptions'!$C$7/'1. UC Assumptions'!$E$7,(AB154/$AB$397)*('1. UC Assumptions'!$C$9)))</f>
        <v>13444744.500123989</v>
      </c>
      <c r="AD154" s="133">
        <f t="shared" si="47"/>
        <v>0</v>
      </c>
      <c r="AE154" s="133">
        <f t="shared" si="48"/>
        <v>958761.8395795133</v>
      </c>
      <c r="AF154" s="133">
        <f t="shared" si="49"/>
        <v>0</v>
      </c>
      <c r="AG154" s="133">
        <f t="shared" si="50"/>
        <v>958761.8395795133</v>
      </c>
      <c r="AH154" s="133">
        <f t="shared" si="51"/>
        <v>13444744.500123989</v>
      </c>
      <c r="AI154" s="131">
        <f>AH154*'1. UC Assumptions'!$C$23</f>
        <v>4436765.6850409154</v>
      </c>
      <c r="AJ154" s="131">
        <v>3989584.48</v>
      </c>
      <c r="AK154" s="131">
        <f>AJ154*(1-'1. UC Assumptions'!$C$22)</f>
        <v>1316562.8783999998</v>
      </c>
      <c r="AL154" s="131"/>
      <c r="AM154" s="131">
        <f>AL154*'1. UC Assumptions'!$C$23</f>
        <v>0</v>
      </c>
      <c r="AN154" s="153">
        <f t="shared" si="52"/>
        <v>14403506.339703502</v>
      </c>
      <c r="AO154" s="151">
        <f>AN154*'1. UC Assumptions'!$C$23</f>
        <v>4753157.0921021551</v>
      </c>
      <c r="AP154" s="151">
        <f t="shared" si="53"/>
        <v>10413921.859703502</v>
      </c>
      <c r="AQ154" s="151">
        <f t="shared" si="54"/>
        <v>3436594.2137021553</v>
      </c>
      <c r="AR154" s="151">
        <f t="shared" si="55"/>
        <v>3436594.2137021553</v>
      </c>
      <c r="AS154" s="151">
        <f t="shared" si="56"/>
        <v>4753157.0921021551</v>
      </c>
      <c r="AT154" s="151">
        <f>IF(K154="Bexar",(AG154/$AT$1)*'1. UC Assumptions'!$E$44-(AH154/$AT$2)*'1. UC Assumptions'!$E$42,0)</f>
        <v>0</v>
      </c>
      <c r="AU154" s="151">
        <f>IF(K154="Dallas",(AG154/$AU$1)*'1. UC Assumptions'!$F$44-(AH154/$AU$2)*'1. UC Assumptions'!$F$42,0)</f>
        <v>0</v>
      </c>
      <c r="AV154" s="151">
        <f>IF(K154="El Paso",(AG154/$AV$1)*'1. UC Assumptions'!$G$44-(AH154/$AV$2)*'1. UC Assumptions'!$G$42,0)</f>
        <v>0</v>
      </c>
      <c r="AW154" s="151">
        <f>IF(K154="Harris",(AG154/$AW$1)*'1. UC Assumptions'!$H$44-(AH154/$AW$2)*'1. UC Assumptions'!$H$42,0)</f>
        <v>0</v>
      </c>
      <c r="AX154" s="151">
        <f>IF(K154="Hidalgo",(AG154/$AX$1)*'1. UC Assumptions'!$I$44-(AH154/$AX$2)*'1. UC Assumptions'!$I$42,0)</f>
        <v>0</v>
      </c>
      <c r="AY154" s="151">
        <f>IF(K154="Jefferson",(AG154/$AY$1)*'1. UC Assumptions'!$J$44-(AH154/$AY$2)*'1. UC Assumptions'!$J$42,0)</f>
        <v>0</v>
      </c>
      <c r="AZ154" s="151">
        <f>IF(K154="Lubbock",(AG154/$AZ$1)*'1. UC Assumptions'!$K$44-(AH154/$AZ$2)*'1. UC Assumptions'!$K$42,0)</f>
        <v>0</v>
      </c>
      <c r="BA154" s="151">
        <f>IF(K154="MRSA Central",(AG154/$BA$1)*'1. UC Assumptions'!$L$44-(AH154/$BA$2)*'1. UC Assumptions'!$L$42,0)</f>
        <v>0</v>
      </c>
      <c r="BB154" s="151">
        <f>IF(K154="MRSA Northeast",(AG154/$BB$1)*'1. UC Assumptions'!$M$44-(AH154/$BB$2)*'1. UC Assumptions'!$M$42,0)</f>
        <v>0</v>
      </c>
      <c r="BC154" s="151">
        <f>IF(K154="MRSA West",(AG154/$BC$1)*'1. UC Assumptions'!$N$44-(AH154/$BC$2)*'1. UC Assumptions'!$N$42,0)</f>
        <v>0</v>
      </c>
      <c r="BD154" s="151">
        <f>IF(K154="Nueces",(AG154/$BD$1)*'1. UC Assumptions'!$O$44-(AH154/$BD$2)*'1. UC Assumptions'!$O$42,0)</f>
        <v>0</v>
      </c>
      <c r="BE154" s="151">
        <f>IF(K154="Tarrant",(AG154/$BE$1)*'1. UC Assumptions'!$P$44-(AH154/$BE$2)*'1. UC Assumptions'!$P$42,0)</f>
        <v>0</v>
      </c>
      <c r="BF154" s="151">
        <f>IF(K154="Travis",(AG154/$BF$1)*'1. UC Assumptions'!$Q$44-(AH154/$BF$2)*'1. UC Assumptions'!$Q$42,0)</f>
        <v>0</v>
      </c>
      <c r="BG154" s="151">
        <f t="shared" si="57"/>
        <v>0</v>
      </c>
      <c r="BH154" s="151">
        <f t="shared" si="58"/>
        <v>13444744.500123989</v>
      </c>
      <c r="BI154" s="151">
        <f>ROUNDDOWN(BH154*'1. UC Assumptions'!$C$23,2)</f>
        <v>4436765.68</v>
      </c>
      <c r="BJ154" s="154">
        <f t="shared" si="59"/>
        <v>9455160.0201239884</v>
      </c>
      <c r="BK154" s="154">
        <f t="shared" si="60"/>
        <v>3120202.8015999999</v>
      </c>
      <c r="BL154" s="154">
        <f t="shared" si="61"/>
        <v>8729193.6500000004</v>
      </c>
      <c r="BM154" s="154">
        <f t="shared" si="62"/>
        <v>2880633.89</v>
      </c>
      <c r="BN154" s="101"/>
      <c r="BO154" s="154">
        <f>(BL154*'1. UC Assumptions'!$C$23)-'3.  UC Calculations by Hospital'!BM154</f>
        <v>1.4499999582767487E-2</v>
      </c>
      <c r="BP154" s="13"/>
    </row>
    <row r="155" spans="2:68">
      <c r="B155" s="129" t="s">
        <v>593</v>
      </c>
      <c r="C155" s="91" t="s">
        <v>593</v>
      </c>
      <c r="D155" s="91" t="s">
        <v>214</v>
      </c>
      <c r="E155" s="91" t="s">
        <v>209</v>
      </c>
      <c r="F155" s="91"/>
      <c r="G155" s="91" t="s">
        <v>209</v>
      </c>
      <c r="H155" s="91" t="s">
        <v>209</v>
      </c>
      <c r="I155" s="150" t="s">
        <v>210</v>
      </c>
      <c r="J155" s="129" t="s">
        <v>594</v>
      </c>
      <c r="K155" s="91" t="s">
        <v>14</v>
      </c>
      <c r="L155" s="91" t="s">
        <v>14</v>
      </c>
      <c r="M155" s="151">
        <v>505871.92068365135</v>
      </c>
      <c r="N155" s="151">
        <v>0</v>
      </c>
      <c r="O155" s="131">
        <v>0</v>
      </c>
      <c r="P155" s="131">
        <f t="shared" si="42"/>
        <v>0</v>
      </c>
      <c r="Q155" s="131">
        <v>25157029.92668305</v>
      </c>
      <c r="R155" s="131">
        <v>0</v>
      </c>
      <c r="S155" s="131">
        <f t="shared" si="43"/>
        <v>0</v>
      </c>
      <c r="T155" s="131">
        <f t="shared" si="44"/>
        <v>25157029.92668305</v>
      </c>
      <c r="U155" s="131">
        <v>0</v>
      </c>
      <c r="V155" s="131">
        <v>0</v>
      </c>
      <c r="W155" s="131">
        <v>0</v>
      </c>
      <c r="X155" s="131">
        <v>0</v>
      </c>
      <c r="Y155" s="131">
        <v>0</v>
      </c>
      <c r="Z155" s="131">
        <f t="shared" si="45"/>
        <v>0</v>
      </c>
      <c r="AA155" s="131">
        <v>0</v>
      </c>
      <c r="AB155" s="152">
        <f t="shared" si="46"/>
        <v>25157029.92668305</v>
      </c>
      <c r="AC155" s="133">
        <f>IF(D155="Physician Group Practice",(AB155/$AB$393)*'1. UC Assumptions'!$C$15,IF(E155="Rural Hospital",AB155*'1. UC Assumptions'!$C$7/'1. UC Assumptions'!$E$7,(AB155/$AB$397)*('1. UC Assumptions'!$C$9)))</f>
        <v>11827467.09799785</v>
      </c>
      <c r="AD155" s="133">
        <f t="shared" si="47"/>
        <v>0</v>
      </c>
      <c r="AE155" s="133">
        <f t="shared" si="48"/>
        <v>13329562.8286852</v>
      </c>
      <c r="AF155" s="133">
        <f t="shared" si="49"/>
        <v>0</v>
      </c>
      <c r="AG155" s="133">
        <f t="shared" si="50"/>
        <v>13329562.8286852</v>
      </c>
      <c r="AH155" s="133">
        <f t="shared" si="51"/>
        <v>11827467.09799785</v>
      </c>
      <c r="AI155" s="131">
        <f>AH155*'1. UC Assumptions'!$C$23</f>
        <v>3903064.1423392901</v>
      </c>
      <c r="AJ155" s="131">
        <v>13774933.720000001</v>
      </c>
      <c r="AK155" s="131">
        <f>AJ155*(1-'1. UC Assumptions'!$C$22)</f>
        <v>4545728.1275999993</v>
      </c>
      <c r="AL155" s="131"/>
      <c r="AM155" s="131">
        <f>AL155*'1. UC Assumptions'!$C$23</f>
        <v>0</v>
      </c>
      <c r="AN155" s="153">
        <f t="shared" si="52"/>
        <v>25157029.92668305</v>
      </c>
      <c r="AO155" s="151">
        <f>AN155*'1. UC Assumptions'!$C$23</f>
        <v>8301819.875805405</v>
      </c>
      <c r="AP155" s="151">
        <f t="shared" si="53"/>
        <v>11382096.206683049</v>
      </c>
      <c r="AQ155" s="151">
        <f t="shared" si="54"/>
        <v>3756091.7482054057</v>
      </c>
      <c r="AR155" s="151">
        <f t="shared" si="55"/>
        <v>3756091.7482054057</v>
      </c>
      <c r="AS155" s="151">
        <f t="shared" si="56"/>
        <v>8301819.875805405</v>
      </c>
      <c r="AT155" s="151">
        <f>IF(K155="Bexar",(AG155/$AT$1)*'1. UC Assumptions'!$E$44-(AH155/$AT$2)*'1. UC Assumptions'!$E$42,0)</f>
        <v>0</v>
      </c>
      <c r="AU155" s="151">
        <f>IF(K155="Dallas",(AG155/$AU$1)*'1. UC Assumptions'!$F$44-(AH155/$AU$2)*'1. UC Assumptions'!$F$42,0)</f>
        <v>0</v>
      </c>
      <c r="AV155" s="151">
        <f>IF(K155="El Paso",(AG155/$AV$1)*'1. UC Assumptions'!$G$44-(AH155/$AV$2)*'1. UC Assumptions'!$G$42,0)</f>
        <v>0</v>
      </c>
      <c r="AW155" s="151">
        <f>IF(K155="Harris",(AG155/$AW$1)*'1. UC Assumptions'!$H$44-(AH155/$AW$2)*'1. UC Assumptions'!$H$42,0)</f>
        <v>0</v>
      </c>
      <c r="AX155" s="151">
        <f>IF(K155="Hidalgo",(AG155/$AX$1)*'1. UC Assumptions'!$I$44-(AH155/$AX$2)*'1. UC Assumptions'!$I$42,0)</f>
        <v>0</v>
      </c>
      <c r="AY155" s="151">
        <f>IF(K155="Jefferson",(AG155/$AY$1)*'1. UC Assumptions'!$J$44-(AH155/$AY$2)*'1. UC Assumptions'!$J$42,0)</f>
        <v>0</v>
      </c>
      <c r="AZ155" s="151">
        <f>IF(K155="Lubbock",(AG155/$AZ$1)*'1. UC Assumptions'!$K$44-(AH155/$AZ$2)*'1. UC Assumptions'!$K$42,0)</f>
        <v>0</v>
      </c>
      <c r="BA155" s="151">
        <f>IF(K155="MRSA Central",(AG155/$BA$1)*'1. UC Assumptions'!$L$44-(AH155/$BA$2)*'1. UC Assumptions'!$L$42,0)</f>
        <v>0</v>
      </c>
      <c r="BB155" s="151">
        <f>IF(K155="MRSA Northeast",(AG155/$BB$1)*'1. UC Assumptions'!$M$44-(AH155/$BB$2)*'1. UC Assumptions'!$M$42,0)</f>
        <v>0</v>
      </c>
      <c r="BC155" s="151">
        <f>IF(K155="MRSA West",(AG155/$BC$1)*'1. UC Assumptions'!$N$44-(AH155/$BC$2)*'1. UC Assumptions'!$N$42,0)</f>
        <v>0</v>
      </c>
      <c r="BD155" s="151">
        <f>IF(K155="Nueces",(AG155/$BD$1)*'1. UC Assumptions'!$O$44-(AH155/$BD$2)*'1. UC Assumptions'!$O$42,0)</f>
        <v>0</v>
      </c>
      <c r="BE155" s="151">
        <f>IF(K155="Tarrant",(AG155/$BE$1)*'1. UC Assumptions'!$P$44-(AH155/$BE$2)*'1. UC Assumptions'!$P$42,0)</f>
        <v>0</v>
      </c>
      <c r="BF155" s="151">
        <f>IF(K155="Travis",(AG155/$BF$1)*'1. UC Assumptions'!$Q$44-(AH155/$BF$2)*'1. UC Assumptions'!$Q$42,0)</f>
        <v>0</v>
      </c>
      <c r="BG155" s="151">
        <f t="shared" si="57"/>
        <v>0</v>
      </c>
      <c r="BH155" s="151">
        <f t="shared" si="58"/>
        <v>11827467.09799785</v>
      </c>
      <c r="BI155" s="151">
        <f>ROUNDDOWN(BH155*'1. UC Assumptions'!$C$23,2)</f>
        <v>3903064.14</v>
      </c>
      <c r="BJ155" s="154">
        <f t="shared" si="59"/>
        <v>-1947466.6220021509</v>
      </c>
      <c r="BK155" s="154">
        <f t="shared" si="60"/>
        <v>-642663.98759999918</v>
      </c>
      <c r="BL155" s="154">
        <f t="shared" si="61"/>
        <v>0</v>
      </c>
      <c r="BM155" s="154">
        <f t="shared" si="62"/>
        <v>0</v>
      </c>
      <c r="BN155" s="101"/>
      <c r="BO155" s="154">
        <f>(BL155*'1. UC Assumptions'!$C$23)-'3.  UC Calculations by Hospital'!BM155</f>
        <v>0</v>
      </c>
      <c r="BP155" s="13"/>
    </row>
    <row r="156" spans="2:68">
      <c r="B156" s="129" t="s">
        <v>595</v>
      </c>
      <c r="C156" s="91" t="s">
        <v>595</v>
      </c>
      <c r="D156" s="91" t="s">
        <v>208</v>
      </c>
      <c r="E156" s="91" t="s">
        <v>149</v>
      </c>
      <c r="F156" s="91"/>
      <c r="G156" s="91" t="s">
        <v>209</v>
      </c>
      <c r="H156" s="91" t="s">
        <v>209</v>
      </c>
      <c r="I156" s="150" t="s">
        <v>210</v>
      </c>
      <c r="J156" s="129" t="s">
        <v>596</v>
      </c>
      <c r="K156" s="91" t="s">
        <v>12</v>
      </c>
      <c r="L156" s="91" t="s">
        <v>471</v>
      </c>
      <c r="M156" s="151">
        <v>599522.55531015689</v>
      </c>
      <c r="N156" s="151">
        <v>2255828.3806313137</v>
      </c>
      <c r="O156" s="131">
        <v>1631626.2031976704</v>
      </c>
      <c r="P156" s="131">
        <f t="shared" si="42"/>
        <v>624202.17743364326</v>
      </c>
      <c r="Q156" s="131">
        <v>1990397.9539451394</v>
      </c>
      <c r="R156" s="131">
        <v>925221.39</v>
      </c>
      <c r="S156" s="131">
        <f t="shared" si="43"/>
        <v>0</v>
      </c>
      <c r="T156" s="131">
        <f t="shared" si="44"/>
        <v>1990397.9539451394</v>
      </c>
      <c r="U156" s="131">
        <v>0</v>
      </c>
      <c r="V156" s="131">
        <v>0</v>
      </c>
      <c r="W156" s="131">
        <v>0</v>
      </c>
      <c r="X156" s="131">
        <v>0</v>
      </c>
      <c r="Y156" s="131">
        <v>0</v>
      </c>
      <c r="Z156" s="131">
        <f t="shared" si="45"/>
        <v>0</v>
      </c>
      <c r="AA156" s="131">
        <v>0</v>
      </c>
      <c r="AB156" s="152">
        <f t="shared" si="46"/>
        <v>1990397.9539451394</v>
      </c>
      <c r="AC156" s="133">
        <f>IF(D156="Physician Group Practice",(AB156/$AB$393)*'1. UC Assumptions'!$C$15,IF(E156="Rural Hospital",AB156*'1. UC Assumptions'!$C$7/'1. UC Assumptions'!$E$7,(AB156/$AB$397)*('1. UC Assumptions'!$C$9)))</f>
        <v>1857908.1588346646</v>
      </c>
      <c r="AD156" s="133">
        <f t="shared" si="47"/>
        <v>0</v>
      </c>
      <c r="AE156" s="133">
        <f t="shared" si="48"/>
        <v>132489.79511047481</v>
      </c>
      <c r="AF156" s="133">
        <f t="shared" si="49"/>
        <v>0</v>
      </c>
      <c r="AG156" s="133">
        <f t="shared" si="50"/>
        <v>132489.79511047481</v>
      </c>
      <c r="AH156" s="133">
        <f t="shared" si="51"/>
        <v>1857908.1588346646</v>
      </c>
      <c r="AI156" s="131">
        <f>AH156*'1. UC Assumptions'!$C$23</f>
        <v>613109.69241543929</v>
      </c>
      <c r="AJ156" s="131">
        <v>894384.25</v>
      </c>
      <c r="AK156" s="131">
        <f>AJ156*(1-'1. UC Assumptions'!$C$22)</f>
        <v>295146.80249999999</v>
      </c>
      <c r="AL156" s="131"/>
      <c r="AM156" s="131">
        <f>AL156*'1. UC Assumptions'!$C$23</f>
        <v>0</v>
      </c>
      <c r="AN156" s="153">
        <f t="shared" si="52"/>
        <v>1990397.9539451394</v>
      </c>
      <c r="AO156" s="151">
        <f>AN156*'1. UC Assumptions'!$C$23</f>
        <v>656831.32480189588</v>
      </c>
      <c r="AP156" s="151">
        <f t="shared" si="53"/>
        <v>1096013.7039451394</v>
      </c>
      <c r="AQ156" s="151">
        <f t="shared" si="54"/>
        <v>361684.52230189589</v>
      </c>
      <c r="AR156" s="151">
        <f t="shared" si="55"/>
        <v>361684.52230189589</v>
      </c>
      <c r="AS156" s="151">
        <f t="shared" si="56"/>
        <v>656831.32480189588</v>
      </c>
      <c r="AT156" s="151">
        <f>IF(K156="Bexar",(AG156/$AT$1)*'1. UC Assumptions'!$E$44-(AH156/$AT$2)*'1. UC Assumptions'!$E$42,0)</f>
        <v>0</v>
      </c>
      <c r="AU156" s="151">
        <f>IF(K156="Dallas",(AG156/$AU$1)*'1. UC Assumptions'!$F$44-(AH156/$AU$2)*'1. UC Assumptions'!$F$42,0)</f>
        <v>0</v>
      </c>
      <c r="AV156" s="151">
        <f>IF(K156="El Paso",(AG156/$AV$1)*'1. UC Assumptions'!$G$44-(AH156/$AV$2)*'1. UC Assumptions'!$G$42,0)</f>
        <v>0</v>
      </c>
      <c r="AW156" s="151">
        <f>IF(K156="Harris",(AG156/$AW$1)*'1. UC Assumptions'!$H$44-(AH156/$AW$2)*'1. UC Assumptions'!$H$42,0)</f>
        <v>0</v>
      </c>
      <c r="AX156" s="151">
        <f>IF(K156="Hidalgo",(AG156/$AX$1)*'1. UC Assumptions'!$I$44-(AH156/$AX$2)*'1. UC Assumptions'!$I$42,0)</f>
        <v>0</v>
      </c>
      <c r="AY156" s="151">
        <f>IF(K156="Jefferson",(AG156/$AY$1)*'1. UC Assumptions'!$J$44-(AH156/$AY$2)*'1. UC Assumptions'!$J$42,0)</f>
        <v>0</v>
      </c>
      <c r="AZ156" s="151">
        <f>IF(K156="Lubbock",(AG156/$AZ$1)*'1. UC Assumptions'!$K$44-(AH156/$AZ$2)*'1. UC Assumptions'!$K$42,0)</f>
        <v>0</v>
      </c>
      <c r="BA156" s="151">
        <f>IF(K156="MRSA Central",(AG156/$BA$1)*'1. UC Assumptions'!$L$44-(AH156/$BA$2)*'1. UC Assumptions'!$L$42,0)</f>
        <v>0</v>
      </c>
      <c r="BB156" s="151">
        <f>IF(K156="MRSA Northeast",(AG156/$BB$1)*'1. UC Assumptions'!$M$44-(AH156/$BB$2)*'1. UC Assumptions'!$M$42,0)</f>
        <v>0</v>
      </c>
      <c r="BC156" s="151">
        <f>IF(K156="MRSA West",(AG156/$BC$1)*'1. UC Assumptions'!$N$44-(AH156/$BC$2)*'1. UC Assumptions'!$N$42,0)</f>
        <v>0</v>
      </c>
      <c r="BD156" s="151">
        <f>IF(K156="Nueces",(AG156/$BD$1)*'1. UC Assumptions'!$O$44-(AH156/$BD$2)*'1. UC Assumptions'!$O$42,0)</f>
        <v>0</v>
      </c>
      <c r="BE156" s="151">
        <f>IF(K156="Tarrant",(AG156/$BE$1)*'1. UC Assumptions'!$P$44-(AH156/$BE$2)*'1. UC Assumptions'!$P$42,0)</f>
        <v>0</v>
      </c>
      <c r="BF156" s="151">
        <f>IF(K156="Travis",(AG156/$BF$1)*'1. UC Assumptions'!$Q$44-(AH156/$BF$2)*'1. UC Assumptions'!$Q$42,0)</f>
        <v>0</v>
      </c>
      <c r="BG156" s="151">
        <f t="shared" si="57"/>
        <v>0</v>
      </c>
      <c r="BH156" s="151">
        <f t="shared" si="58"/>
        <v>1857908.1588346646</v>
      </c>
      <c r="BI156" s="151">
        <f>ROUNDDOWN(BH156*'1. UC Assumptions'!$C$23,2)</f>
        <v>613109.68999999994</v>
      </c>
      <c r="BJ156" s="154">
        <f t="shared" si="59"/>
        <v>963523.90883466462</v>
      </c>
      <c r="BK156" s="154">
        <f t="shared" si="60"/>
        <v>317962.88749999995</v>
      </c>
      <c r="BL156" s="154">
        <f t="shared" si="61"/>
        <v>889544.63</v>
      </c>
      <c r="BM156" s="154">
        <f t="shared" si="62"/>
        <v>293549.71999999997</v>
      </c>
      <c r="BN156" s="101"/>
      <c r="BO156" s="154">
        <f>(BL156*'1. UC Assumptions'!$C$23)-'3.  UC Calculations by Hospital'!BM156</f>
        <v>7.8999999677762389E-3</v>
      </c>
      <c r="BP156" s="13"/>
    </row>
    <row r="157" spans="2:68">
      <c r="B157" s="129" t="s">
        <v>597</v>
      </c>
      <c r="C157" s="91" t="s">
        <v>597</v>
      </c>
      <c r="D157" s="91" t="s">
        <v>208</v>
      </c>
      <c r="E157" s="91" t="s">
        <v>149</v>
      </c>
      <c r="F157" s="91"/>
      <c r="G157" s="91" t="s">
        <v>209</v>
      </c>
      <c r="H157" s="91" t="s">
        <v>209</v>
      </c>
      <c r="I157" s="150" t="s">
        <v>210</v>
      </c>
      <c r="J157" s="129" t="s">
        <v>598</v>
      </c>
      <c r="K157" s="91" t="s">
        <v>9</v>
      </c>
      <c r="L157" s="91" t="s">
        <v>599</v>
      </c>
      <c r="M157" s="151">
        <v>1141301.1878965755</v>
      </c>
      <c r="N157" s="151">
        <v>1994367.8403451387</v>
      </c>
      <c r="O157" s="131">
        <v>1010181.9627189247</v>
      </c>
      <c r="P157" s="131">
        <f t="shared" si="42"/>
        <v>984185.87762621394</v>
      </c>
      <c r="Q157" s="131">
        <v>2139976.9989258749</v>
      </c>
      <c r="R157" s="131">
        <v>793193.92999999993</v>
      </c>
      <c r="S157" s="131">
        <f t="shared" si="43"/>
        <v>0</v>
      </c>
      <c r="T157" s="131">
        <f t="shared" si="44"/>
        <v>2139976.9989258749</v>
      </c>
      <c r="U157" s="131">
        <v>4465</v>
      </c>
      <c r="V157" s="131">
        <v>0</v>
      </c>
      <c r="W157" s="131">
        <v>0</v>
      </c>
      <c r="X157" s="131">
        <v>0</v>
      </c>
      <c r="Y157" s="131">
        <v>0</v>
      </c>
      <c r="Z157" s="131">
        <f t="shared" si="45"/>
        <v>4465</v>
      </c>
      <c r="AA157" s="131">
        <v>0</v>
      </c>
      <c r="AB157" s="152">
        <f t="shared" si="46"/>
        <v>2144441.9989258749</v>
      </c>
      <c r="AC157" s="133">
        <f>IF(D157="Physician Group Practice",(AB157/$AB$393)*'1. UC Assumptions'!$C$15,IF(E157="Rural Hospital",AB157*'1. UC Assumptions'!$C$7/'1. UC Assumptions'!$E$7,(AB157/$AB$397)*('1. UC Assumptions'!$C$9)))</f>
        <v>2001698.3428138683</v>
      </c>
      <c r="AD157" s="133">
        <f t="shared" si="47"/>
        <v>0</v>
      </c>
      <c r="AE157" s="133">
        <f t="shared" si="48"/>
        <v>142743.65611200663</v>
      </c>
      <c r="AF157" s="133">
        <f t="shared" si="49"/>
        <v>0</v>
      </c>
      <c r="AG157" s="133">
        <f t="shared" si="50"/>
        <v>142743.65611200663</v>
      </c>
      <c r="AH157" s="133">
        <f t="shared" si="51"/>
        <v>2001698.3428138683</v>
      </c>
      <c r="AI157" s="131">
        <f>AH157*'1. UC Assumptions'!$C$23</f>
        <v>660560.45312857651</v>
      </c>
      <c r="AJ157" s="131">
        <v>1075161.43</v>
      </c>
      <c r="AK157" s="131">
        <f>AJ157*(1-'1. UC Assumptions'!$C$22)</f>
        <v>354803.27189999993</v>
      </c>
      <c r="AL157" s="131"/>
      <c r="AM157" s="131">
        <f>AL157*'1. UC Assumptions'!$C$23</f>
        <v>0</v>
      </c>
      <c r="AN157" s="153">
        <f t="shared" si="52"/>
        <v>2144441.9989258749</v>
      </c>
      <c r="AO157" s="151">
        <f>AN157*'1. UC Assumptions'!$C$23</f>
        <v>707665.85964553861</v>
      </c>
      <c r="AP157" s="151">
        <f t="shared" si="53"/>
        <v>1069280.568925875</v>
      </c>
      <c r="AQ157" s="151">
        <f t="shared" si="54"/>
        <v>352862.58774553868</v>
      </c>
      <c r="AR157" s="151">
        <f t="shared" si="55"/>
        <v>352862.58774553868</v>
      </c>
      <c r="AS157" s="151">
        <f t="shared" si="56"/>
        <v>707665.85964553861</v>
      </c>
      <c r="AT157" s="151">
        <f>IF(K157="Bexar",(AG157/$AT$1)*'1. UC Assumptions'!$E$44-(AH157/$AT$2)*'1. UC Assumptions'!$E$42,0)</f>
        <v>0</v>
      </c>
      <c r="AU157" s="151">
        <f>IF(K157="Dallas",(AG157/$AU$1)*'1. UC Assumptions'!$F$44-(AH157/$AU$2)*'1. UC Assumptions'!$F$42,0)</f>
        <v>0</v>
      </c>
      <c r="AV157" s="151">
        <f>IF(K157="El Paso",(AG157/$AV$1)*'1. UC Assumptions'!$G$44-(AH157/$AV$2)*'1. UC Assumptions'!$G$42,0)</f>
        <v>0</v>
      </c>
      <c r="AW157" s="151">
        <f>IF(K157="Harris",(AG157/$AW$1)*'1. UC Assumptions'!$H$44-(AH157/$AW$2)*'1. UC Assumptions'!$H$42,0)</f>
        <v>0</v>
      </c>
      <c r="AX157" s="151">
        <f>IF(K157="Hidalgo",(AG157/$AX$1)*'1. UC Assumptions'!$I$44-(AH157/$AX$2)*'1. UC Assumptions'!$I$42,0)</f>
        <v>0</v>
      </c>
      <c r="AY157" s="151">
        <f>IF(K157="Jefferson",(AG157/$AY$1)*'1. UC Assumptions'!$J$44-(AH157/$AY$2)*'1. UC Assumptions'!$J$42,0)</f>
        <v>0</v>
      </c>
      <c r="AZ157" s="151">
        <f>IF(K157="Lubbock",(AG157/$AZ$1)*'1. UC Assumptions'!$K$44-(AH157/$AZ$2)*'1. UC Assumptions'!$K$42,0)</f>
        <v>0</v>
      </c>
      <c r="BA157" s="151">
        <f>IF(K157="MRSA Central",(AG157/$BA$1)*'1. UC Assumptions'!$L$44-(AH157/$BA$2)*'1. UC Assumptions'!$L$42,0)</f>
        <v>0</v>
      </c>
      <c r="BB157" s="151">
        <f>IF(K157="MRSA Northeast",(AG157/$BB$1)*'1. UC Assumptions'!$M$44-(AH157/$BB$2)*'1. UC Assumptions'!$M$42,0)</f>
        <v>0</v>
      </c>
      <c r="BC157" s="151">
        <f>IF(K157="MRSA West",(AG157/$BC$1)*'1. UC Assumptions'!$N$44-(AH157/$BC$2)*'1. UC Assumptions'!$N$42,0)</f>
        <v>0</v>
      </c>
      <c r="BD157" s="151">
        <f>IF(K157="Nueces",(AG157/$BD$1)*'1. UC Assumptions'!$O$44-(AH157/$BD$2)*'1. UC Assumptions'!$O$42,0)</f>
        <v>0</v>
      </c>
      <c r="BE157" s="151">
        <f>IF(K157="Tarrant",(AG157/$BE$1)*'1. UC Assumptions'!$P$44-(AH157/$BE$2)*'1. UC Assumptions'!$P$42,0)</f>
        <v>0</v>
      </c>
      <c r="BF157" s="151">
        <f>IF(K157="Travis",(AG157/$BF$1)*'1. UC Assumptions'!$Q$44-(AH157/$BF$2)*'1. UC Assumptions'!$Q$42,0)</f>
        <v>0</v>
      </c>
      <c r="BG157" s="151">
        <f t="shared" si="57"/>
        <v>0</v>
      </c>
      <c r="BH157" s="151">
        <f t="shared" si="58"/>
        <v>2001698.3428138683</v>
      </c>
      <c r="BI157" s="151">
        <f>ROUNDDOWN(BH157*'1. UC Assumptions'!$C$23,2)</f>
        <v>660560.44999999995</v>
      </c>
      <c r="BJ157" s="154">
        <f t="shared" si="59"/>
        <v>926536.91281386837</v>
      </c>
      <c r="BK157" s="154">
        <f t="shared" si="60"/>
        <v>305757.17810000002</v>
      </c>
      <c r="BL157" s="154">
        <f t="shared" si="61"/>
        <v>855397.49</v>
      </c>
      <c r="BM157" s="154">
        <f t="shared" si="62"/>
        <v>282281.17</v>
      </c>
      <c r="BN157" s="101"/>
      <c r="BO157" s="154">
        <f>(BL157*'1. UC Assumptions'!$C$23)-'3.  UC Calculations by Hospital'!BM157</f>
        <v>1.6999999643303454E-3</v>
      </c>
      <c r="BP157" s="13"/>
    </row>
    <row r="158" spans="2:68">
      <c r="B158" s="129" t="s">
        <v>600</v>
      </c>
      <c r="C158" s="91" t="s">
        <v>600</v>
      </c>
      <c r="D158" s="91" t="s">
        <v>214</v>
      </c>
      <c r="E158" s="91" t="s">
        <v>149</v>
      </c>
      <c r="F158" s="91"/>
      <c r="G158" s="91" t="s">
        <v>209</v>
      </c>
      <c r="H158" s="91" t="s">
        <v>209</v>
      </c>
      <c r="I158" s="150" t="s">
        <v>210</v>
      </c>
      <c r="J158" s="129" t="s">
        <v>601</v>
      </c>
      <c r="K158" s="91" t="s">
        <v>11</v>
      </c>
      <c r="L158" s="91" t="s">
        <v>602</v>
      </c>
      <c r="M158" s="151">
        <v>598978.43920614431</v>
      </c>
      <c r="N158" s="151">
        <v>866339.37725934479</v>
      </c>
      <c r="O158" s="131">
        <v>375686.83126101835</v>
      </c>
      <c r="P158" s="131">
        <f t="shared" si="42"/>
        <v>490652.54599832644</v>
      </c>
      <c r="Q158" s="131">
        <v>886367.57927605207</v>
      </c>
      <c r="R158" s="131">
        <v>0</v>
      </c>
      <c r="S158" s="131">
        <f t="shared" si="43"/>
        <v>0</v>
      </c>
      <c r="T158" s="131">
        <f t="shared" si="44"/>
        <v>886367.57927605207</v>
      </c>
      <c r="U158" s="131">
        <v>0</v>
      </c>
      <c r="V158" s="131">
        <v>0</v>
      </c>
      <c r="W158" s="131">
        <v>0</v>
      </c>
      <c r="X158" s="131">
        <v>0</v>
      </c>
      <c r="Y158" s="131">
        <v>0</v>
      </c>
      <c r="Z158" s="131">
        <f t="shared" si="45"/>
        <v>0</v>
      </c>
      <c r="AA158" s="131">
        <v>0</v>
      </c>
      <c r="AB158" s="152">
        <f t="shared" si="46"/>
        <v>886367.57927605207</v>
      </c>
      <c r="AC158" s="133">
        <f>IF(D158="Physician Group Practice",(AB158/$AB$393)*'1. UC Assumptions'!$C$15,IF(E158="Rural Hospital",AB158*'1. UC Assumptions'!$C$7/'1. UC Assumptions'!$E$7,(AB158/$AB$397)*('1. UC Assumptions'!$C$9)))</f>
        <v>827366.98658649158</v>
      </c>
      <c r="AD158" s="133">
        <f t="shared" si="47"/>
        <v>0</v>
      </c>
      <c r="AE158" s="133">
        <f t="shared" si="48"/>
        <v>59000.592689560493</v>
      </c>
      <c r="AF158" s="133">
        <f t="shared" si="49"/>
        <v>0</v>
      </c>
      <c r="AG158" s="133">
        <f t="shared" si="50"/>
        <v>59000.592689560493</v>
      </c>
      <c r="AH158" s="133">
        <f t="shared" si="51"/>
        <v>827366.98658649158</v>
      </c>
      <c r="AI158" s="131">
        <f>AH158*'1. UC Assumptions'!$C$23</f>
        <v>273031.10557354218</v>
      </c>
      <c r="AJ158" s="131">
        <v>340661.12</v>
      </c>
      <c r="AK158" s="131">
        <f>AJ158*(1-'1. UC Assumptions'!$C$22)</f>
        <v>112418.16959999998</v>
      </c>
      <c r="AL158" s="131"/>
      <c r="AM158" s="131">
        <f>AL158*'1. UC Assumptions'!$C$23</f>
        <v>0</v>
      </c>
      <c r="AN158" s="153">
        <f t="shared" si="52"/>
        <v>886367.57927605207</v>
      </c>
      <c r="AO158" s="151">
        <f>AN158*'1. UC Assumptions'!$C$23</f>
        <v>292501.30116109713</v>
      </c>
      <c r="AP158" s="151">
        <f t="shared" si="53"/>
        <v>545706.45927605208</v>
      </c>
      <c r="AQ158" s="151">
        <f t="shared" si="54"/>
        <v>180083.13156109717</v>
      </c>
      <c r="AR158" s="151">
        <f t="shared" si="55"/>
        <v>180083.13156109717</v>
      </c>
      <c r="AS158" s="151">
        <f t="shared" si="56"/>
        <v>292501.30116109713</v>
      </c>
      <c r="AT158" s="151">
        <f>IF(K158="Bexar",(AG158/$AT$1)*'1. UC Assumptions'!$E$44-(AH158/$AT$2)*'1. UC Assumptions'!$E$42,0)</f>
        <v>0</v>
      </c>
      <c r="AU158" s="151">
        <f>IF(K158="Dallas",(AG158/$AU$1)*'1. UC Assumptions'!$F$44-(AH158/$AU$2)*'1. UC Assumptions'!$F$42,0)</f>
        <v>0</v>
      </c>
      <c r="AV158" s="151">
        <f>IF(K158="El Paso",(AG158/$AV$1)*'1. UC Assumptions'!$G$44-(AH158/$AV$2)*'1. UC Assumptions'!$G$42,0)</f>
        <v>0</v>
      </c>
      <c r="AW158" s="151">
        <f>IF(K158="Harris",(AG158/$AW$1)*'1. UC Assumptions'!$H$44-(AH158/$AW$2)*'1. UC Assumptions'!$H$42,0)</f>
        <v>0</v>
      </c>
      <c r="AX158" s="151">
        <f>IF(K158="Hidalgo",(AG158/$AX$1)*'1. UC Assumptions'!$I$44-(AH158/$AX$2)*'1. UC Assumptions'!$I$42,0)</f>
        <v>0</v>
      </c>
      <c r="AY158" s="151">
        <f>IF(K158="Jefferson",(AG158/$AY$1)*'1. UC Assumptions'!$J$44-(AH158/$AY$2)*'1. UC Assumptions'!$J$42,0)</f>
        <v>0</v>
      </c>
      <c r="AZ158" s="151">
        <f>IF(K158="Lubbock",(AG158/$AZ$1)*'1. UC Assumptions'!$K$44-(AH158/$AZ$2)*'1. UC Assumptions'!$K$42,0)</f>
        <v>0</v>
      </c>
      <c r="BA158" s="151">
        <f>IF(K158="MRSA Central",(AG158/$BA$1)*'1. UC Assumptions'!$L$44-(AH158/$BA$2)*'1. UC Assumptions'!$L$42,0)</f>
        <v>0</v>
      </c>
      <c r="BB158" s="151">
        <f>IF(K158="MRSA Northeast",(AG158/$BB$1)*'1. UC Assumptions'!$M$44-(AH158/$BB$2)*'1. UC Assumptions'!$M$42,0)</f>
        <v>0</v>
      </c>
      <c r="BC158" s="151">
        <f>IF(K158="MRSA West",(AG158/$BC$1)*'1. UC Assumptions'!$N$44-(AH158/$BC$2)*'1. UC Assumptions'!$N$42,0)</f>
        <v>0</v>
      </c>
      <c r="BD158" s="151">
        <f>IF(K158="Nueces",(AG158/$BD$1)*'1. UC Assumptions'!$O$44-(AH158/$BD$2)*'1. UC Assumptions'!$O$42,0)</f>
        <v>0</v>
      </c>
      <c r="BE158" s="151">
        <f>IF(K158="Tarrant",(AG158/$BE$1)*'1. UC Assumptions'!$P$44-(AH158/$BE$2)*'1. UC Assumptions'!$P$42,0)</f>
        <v>0</v>
      </c>
      <c r="BF158" s="151">
        <f>IF(K158="Travis",(AG158/$BF$1)*'1. UC Assumptions'!$Q$44-(AH158/$BF$2)*'1. UC Assumptions'!$Q$42,0)</f>
        <v>0</v>
      </c>
      <c r="BG158" s="151">
        <f t="shared" si="57"/>
        <v>0</v>
      </c>
      <c r="BH158" s="151">
        <f t="shared" si="58"/>
        <v>827366.98658649158</v>
      </c>
      <c r="BI158" s="151">
        <f>ROUNDDOWN(BH158*'1. UC Assumptions'!$C$23,2)</f>
        <v>273031.09999999998</v>
      </c>
      <c r="BJ158" s="154">
        <f t="shared" si="59"/>
        <v>486705.86658649158</v>
      </c>
      <c r="BK158" s="154">
        <f t="shared" si="60"/>
        <v>160612.93040000001</v>
      </c>
      <c r="BL158" s="154">
        <f t="shared" si="61"/>
        <v>449336.63</v>
      </c>
      <c r="BM158" s="154">
        <f t="shared" si="62"/>
        <v>148281.07999999999</v>
      </c>
      <c r="BN158" s="101"/>
      <c r="BO158" s="154">
        <f>(BL158*'1. UC Assumptions'!$C$23)-'3.  UC Calculations by Hospital'!BM158</f>
        <v>7.8999999968800694E-3</v>
      </c>
      <c r="BP158" s="13"/>
    </row>
    <row r="159" spans="2:68">
      <c r="B159" s="129" t="s">
        <v>603</v>
      </c>
      <c r="C159" s="91" t="s">
        <v>603</v>
      </c>
      <c r="D159" s="91" t="s">
        <v>208</v>
      </c>
      <c r="E159" s="91" t="s">
        <v>149</v>
      </c>
      <c r="F159" s="91"/>
      <c r="G159" s="91" t="s">
        <v>209</v>
      </c>
      <c r="H159" s="91" t="s">
        <v>209</v>
      </c>
      <c r="I159" s="150" t="s">
        <v>210</v>
      </c>
      <c r="J159" s="129" t="s">
        <v>604</v>
      </c>
      <c r="K159" s="91" t="s">
        <v>12</v>
      </c>
      <c r="L159" s="91" t="s">
        <v>605</v>
      </c>
      <c r="M159" s="151">
        <v>-107040.62639423989</v>
      </c>
      <c r="N159" s="151">
        <v>1889053.2585853308</v>
      </c>
      <c r="O159" s="131">
        <v>859311.57580387837</v>
      </c>
      <c r="P159" s="131">
        <f t="shared" si="42"/>
        <v>1029741.6827814524</v>
      </c>
      <c r="Q159" s="131">
        <v>1173167.277258368</v>
      </c>
      <c r="R159" s="131">
        <v>792555.05</v>
      </c>
      <c r="S159" s="131">
        <f t="shared" si="43"/>
        <v>0</v>
      </c>
      <c r="T159" s="131">
        <f t="shared" si="44"/>
        <v>1173167.277258368</v>
      </c>
      <c r="U159" s="131">
        <v>3700.9500000000007</v>
      </c>
      <c r="V159" s="131">
        <v>0</v>
      </c>
      <c r="W159" s="131">
        <v>0</v>
      </c>
      <c r="X159" s="131">
        <v>0</v>
      </c>
      <c r="Y159" s="131">
        <v>0</v>
      </c>
      <c r="Z159" s="131">
        <f t="shared" si="45"/>
        <v>3700.9500000000007</v>
      </c>
      <c r="AA159" s="131">
        <v>0</v>
      </c>
      <c r="AB159" s="152">
        <f t="shared" si="46"/>
        <v>1176868.2272583679</v>
      </c>
      <c r="AC159" s="133">
        <f>IF(D159="Physician Group Practice",(AB159/$AB$393)*'1. UC Assumptions'!$C$15,IF(E159="Rural Hospital",AB159*'1. UC Assumptions'!$C$7/'1. UC Assumptions'!$E$7,(AB159/$AB$397)*('1. UC Assumptions'!$C$9)))</f>
        <v>1098530.6114100215</v>
      </c>
      <c r="AD159" s="133">
        <f t="shared" si="47"/>
        <v>0</v>
      </c>
      <c r="AE159" s="133">
        <f t="shared" si="48"/>
        <v>78337.615848346381</v>
      </c>
      <c r="AF159" s="133">
        <f t="shared" si="49"/>
        <v>0</v>
      </c>
      <c r="AG159" s="133">
        <f t="shared" si="50"/>
        <v>78337.615848346381</v>
      </c>
      <c r="AH159" s="133">
        <f t="shared" si="51"/>
        <v>1098530.6114100215</v>
      </c>
      <c r="AI159" s="131">
        <f>AH159*'1. UC Assumptions'!$C$23</f>
        <v>362515.10176530707</v>
      </c>
      <c r="AJ159" s="131">
        <v>376551.77</v>
      </c>
      <c r="AK159" s="131">
        <f>AJ159*(1-'1. UC Assumptions'!$C$22)</f>
        <v>124262.08409999999</v>
      </c>
      <c r="AL159" s="131"/>
      <c r="AM159" s="131">
        <f>AL159*'1. UC Assumptions'!$C$23</f>
        <v>0</v>
      </c>
      <c r="AN159" s="153">
        <f t="shared" si="52"/>
        <v>1176868.2272583679</v>
      </c>
      <c r="AO159" s="151">
        <f>AN159*'1. UC Assumptions'!$C$23</f>
        <v>388366.51499526139</v>
      </c>
      <c r="AP159" s="151">
        <f t="shared" si="53"/>
        <v>800316.45725836791</v>
      </c>
      <c r="AQ159" s="151">
        <f t="shared" si="54"/>
        <v>264104.43089526141</v>
      </c>
      <c r="AR159" s="151">
        <f t="shared" si="55"/>
        <v>264104.43089526141</v>
      </c>
      <c r="AS159" s="151">
        <f t="shared" si="56"/>
        <v>388366.51499526139</v>
      </c>
      <c r="AT159" s="151">
        <f>IF(K159="Bexar",(AG159/$AT$1)*'1. UC Assumptions'!$E$44-(AH159/$AT$2)*'1. UC Assumptions'!$E$42,0)</f>
        <v>0</v>
      </c>
      <c r="AU159" s="151">
        <f>IF(K159="Dallas",(AG159/$AU$1)*'1. UC Assumptions'!$F$44-(AH159/$AU$2)*'1. UC Assumptions'!$F$42,0)</f>
        <v>0</v>
      </c>
      <c r="AV159" s="151">
        <f>IF(K159="El Paso",(AG159/$AV$1)*'1. UC Assumptions'!$G$44-(AH159/$AV$2)*'1. UC Assumptions'!$G$42,0)</f>
        <v>0</v>
      </c>
      <c r="AW159" s="151">
        <f>IF(K159="Harris",(AG159/$AW$1)*'1. UC Assumptions'!$H$44-(AH159/$AW$2)*'1. UC Assumptions'!$H$42,0)</f>
        <v>0</v>
      </c>
      <c r="AX159" s="151">
        <f>IF(K159="Hidalgo",(AG159/$AX$1)*'1. UC Assumptions'!$I$44-(AH159/$AX$2)*'1. UC Assumptions'!$I$42,0)</f>
        <v>0</v>
      </c>
      <c r="AY159" s="151">
        <f>IF(K159="Jefferson",(AG159/$AY$1)*'1. UC Assumptions'!$J$44-(AH159/$AY$2)*'1. UC Assumptions'!$J$42,0)</f>
        <v>0</v>
      </c>
      <c r="AZ159" s="151">
        <f>IF(K159="Lubbock",(AG159/$AZ$1)*'1. UC Assumptions'!$K$44-(AH159/$AZ$2)*'1. UC Assumptions'!$K$42,0)</f>
        <v>0</v>
      </c>
      <c r="BA159" s="151">
        <f>IF(K159="MRSA Central",(AG159/$BA$1)*'1. UC Assumptions'!$L$44-(AH159/$BA$2)*'1. UC Assumptions'!$L$42,0)</f>
        <v>0</v>
      </c>
      <c r="BB159" s="151">
        <f>IF(K159="MRSA Northeast",(AG159/$BB$1)*'1. UC Assumptions'!$M$44-(AH159/$BB$2)*'1. UC Assumptions'!$M$42,0)</f>
        <v>0</v>
      </c>
      <c r="BC159" s="151">
        <f>IF(K159="MRSA West",(AG159/$BC$1)*'1. UC Assumptions'!$N$44-(AH159/$BC$2)*'1. UC Assumptions'!$N$42,0)</f>
        <v>0</v>
      </c>
      <c r="BD159" s="151">
        <f>IF(K159="Nueces",(AG159/$BD$1)*'1. UC Assumptions'!$O$44-(AH159/$BD$2)*'1. UC Assumptions'!$O$42,0)</f>
        <v>0</v>
      </c>
      <c r="BE159" s="151">
        <f>IF(K159="Tarrant",(AG159/$BE$1)*'1. UC Assumptions'!$P$44-(AH159/$BE$2)*'1. UC Assumptions'!$P$42,0)</f>
        <v>0</v>
      </c>
      <c r="BF159" s="151">
        <f>IF(K159="Travis",(AG159/$BF$1)*'1. UC Assumptions'!$Q$44-(AH159/$BF$2)*'1. UC Assumptions'!$Q$42,0)</f>
        <v>0</v>
      </c>
      <c r="BG159" s="151">
        <f t="shared" si="57"/>
        <v>0</v>
      </c>
      <c r="BH159" s="151">
        <f t="shared" si="58"/>
        <v>1098530.6114100215</v>
      </c>
      <c r="BI159" s="151">
        <f>ROUNDDOWN(BH159*'1. UC Assumptions'!$C$23,2)</f>
        <v>362515.1</v>
      </c>
      <c r="BJ159" s="154">
        <f t="shared" si="59"/>
        <v>721978.84141002153</v>
      </c>
      <c r="BK159" s="154">
        <f t="shared" si="60"/>
        <v>238253.0159</v>
      </c>
      <c r="BL159" s="154">
        <f t="shared" si="61"/>
        <v>666545.37</v>
      </c>
      <c r="BM159" s="154">
        <f t="shared" si="62"/>
        <v>219959.97</v>
      </c>
      <c r="BN159" s="101"/>
      <c r="BO159" s="154">
        <f>(BL159*'1. UC Assumptions'!$C$23)-'3.  UC Calculations by Hospital'!BM159</f>
        <v>2.0999999833293259E-3</v>
      </c>
      <c r="BP159" s="13"/>
    </row>
    <row r="160" spans="2:68">
      <c r="B160" s="129" t="s">
        <v>606</v>
      </c>
      <c r="C160" s="91" t="s">
        <v>606</v>
      </c>
      <c r="D160" s="91" t="s">
        <v>208</v>
      </c>
      <c r="E160" s="91" t="s">
        <v>149</v>
      </c>
      <c r="F160" s="91"/>
      <c r="G160" s="91" t="s">
        <v>209</v>
      </c>
      <c r="H160" s="91" t="s">
        <v>209</v>
      </c>
      <c r="I160" s="150" t="s">
        <v>210</v>
      </c>
      <c r="J160" s="129" t="s">
        <v>607</v>
      </c>
      <c r="K160" s="91" t="s">
        <v>6</v>
      </c>
      <c r="L160" s="91" t="s">
        <v>608</v>
      </c>
      <c r="M160" s="151">
        <v>432022.27899478999</v>
      </c>
      <c r="N160" s="151">
        <v>5269089.3364134002</v>
      </c>
      <c r="O160" s="131">
        <v>2421479.1225649915</v>
      </c>
      <c r="P160" s="131">
        <f t="shared" si="42"/>
        <v>2847610.2138484088</v>
      </c>
      <c r="Q160" s="131">
        <v>4407906.6864655875</v>
      </c>
      <c r="R160" s="131">
        <v>4137634.3599999994</v>
      </c>
      <c r="S160" s="131">
        <f t="shared" si="43"/>
        <v>858001.86715680081</v>
      </c>
      <c r="T160" s="131">
        <f t="shared" si="44"/>
        <v>3549904.8193087867</v>
      </c>
      <c r="U160" s="131">
        <v>0</v>
      </c>
      <c r="V160" s="131">
        <v>0</v>
      </c>
      <c r="W160" s="131">
        <v>0</v>
      </c>
      <c r="X160" s="131">
        <v>0</v>
      </c>
      <c r="Y160" s="131">
        <v>0</v>
      </c>
      <c r="Z160" s="131">
        <f t="shared" si="45"/>
        <v>0</v>
      </c>
      <c r="AA160" s="131">
        <v>0</v>
      </c>
      <c r="AB160" s="152">
        <f t="shared" si="46"/>
        <v>3549904.8193087867</v>
      </c>
      <c r="AC160" s="133">
        <f>IF(D160="Physician Group Practice",(AB160/$AB$393)*'1. UC Assumptions'!$C$15,IF(E160="Rural Hospital",AB160*'1. UC Assumptions'!$C$7/'1. UC Assumptions'!$E$7,(AB160/$AB$397)*('1. UC Assumptions'!$C$9)))</f>
        <v>3313607.2682388201</v>
      </c>
      <c r="AD160" s="133">
        <f t="shared" si="47"/>
        <v>0</v>
      </c>
      <c r="AE160" s="133">
        <f t="shared" si="48"/>
        <v>236297.55106996652</v>
      </c>
      <c r="AF160" s="133">
        <f t="shared" si="49"/>
        <v>0</v>
      </c>
      <c r="AG160" s="133">
        <f t="shared" si="50"/>
        <v>236297.55106996652</v>
      </c>
      <c r="AH160" s="133">
        <f t="shared" si="51"/>
        <v>3313607.2682388201</v>
      </c>
      <c r="AI160" s="131">
        <f>AH160*'1. UC Assumptions'!$C$23</f>
        <v>1093490.3985188105</v>
      </c>
      <c r="AJ160" s="131">
        <v>1665246.95</v>
      </c>
      <c r="AK160" s="131">
        <f>AJ160*(1-'1. UC Assumptions'!$C$22)</f>
        <v>549531.49349999987</v>
      </c>
      <c r="AL160" s="131"/>
      <c r="AM160" s="131">
        <f>AL160*'1. UC Assumptions'!$C$23</f>
        <v>0</v>
      </c>
      <c r="AN160" s="153">
        <f t="shared" si="52"/>
        <v>3549904.8193087867</v>
      </c>
      <c r="AO160" s="151">
        <f>AN160*'1. UC Assumptions'!$C$23</f>
        <v>1171468.5903718995</v>
      </c>
      <c r="AP160" s="151">
        <f t="shared" si="53"/>
        <v>1884657.8693087867</v>
      </c>
      <c r="AQ160" s="151">
        <f t="shared" si="54"/>
        <v>621937.09687189967</v>
      </c>
      <c r="AR160" s="151">
        <f t="shared" si="55"/>
        <v>621937.09687189967</v>
      </c>
      <c r="AS160" s="151">
        <f t="shared" si="56"/>
        <v>1171468.5903718995</v>
      </c>
      <c r="AT160" s="151">
        <f>IF(K160="Bexar",(AG160/$AT$1)*'1. UC Assumptions'!$E$44-(AH160/$AT$2)*'1. UC Assumptions'!$E$42,0)</f>
        <v>0</v>
      </c>
      <c r="AU160" s="151">
        <f>IF(K160="Dallas",(AG160/$AU$1)*'1. UC Assumptions'!$F$44-(AH160/$AU$2)*'1. UC Assumptions'!$F$42,0)</f>
        <v>0</v>
      </c>
      <c r="AV160" s="151">
        <f>IF(K160="El Paso",(AG160/$AV$1)*'1. UC Assumptions'!$G$44-(AH160/$AV$2)*'1. UC Assumptions'!$G$42,0)</f>
        <v>0</v>
      </c>
      <c r="AW160" s="151">
        <f>IF(K160="Harris",(AG160/$AW$1)*'1. UC Assumptions'!$H$44-(AH160/$AW$2)*'1. UC Assumptions'!$H$42,0)</f>
        <v>0</v>
      </c>
      <c r="AX160" s="151">
        <f>IF(K160="Hidalgo",(AG160/$AX$1)*'1. UC Assumptions'!$I$44-(AH160/$AX$2)*'1. UC Assumptions'!$I$42,0)</f>
        <v>0</v>
      </c>
      <c r="AY160" s="151">
        <f>IF(K160="Jefferson",(AG160/$AY$1)*'1. UC Assumptions'!$J$44-(AH160/$AY$2)*'1. UC Assumptions'!$J$42,0)</f>
        <v>0</v>
      </c>
      <c r="AZ160" s="151">
        <f>IF(K160="Lubbock",(AG160/$AZ$1)*'1. UC Assumptions'!$K$44-(AH160/$AZ$2)*'1. UC Assumptions'!$K$42,0)</f>
        <v>0</v>
      </c>
      <c r="BA160" s="151">
        <f>IF(K160="MRSA Central",(AG160/$BA$1)*'1. UC Assumptions'!$L$44-(AH160/$BA$2)*'1. UC Assumptions'!$L$42,0)</f>
        <v>0</v>
      </c>
      <c r="BB160" s="151">
        <f>IF(K160="MRSA Northeast",(AG160/$BB$1)*'1. UC Assumptions'!$M$44-(AH160/$BB$2)*'1. UC Assumptions'!$M$42,0)</f>
        <v>0</v>
      </c>
      <c r="BC160" s="151">
        <f>IF(K160="MRSA West",(AG160/$BC$1)*'1. UC Assumptions'!$N$44-(AH160/$BC$2)*'1. UC Assumptions'!$N$42,0)</f>
        <v>0</v>
      </c>
      <c r="BD160" s="151">
        <f>IF(K160="Nueces",(AG160/$BD$1)*'1. UC Assumptions'!$O$44-(AH160/$BD$2)*'1. UC Assumptions'!$O$42,0)</f>
        <v>0</v>
      </c>
      <c r="BE160" s="151">
        <f>IF(K160="Tarrant",(AG160/$BE$1)*'1. UC Assumptions'!$P$44-(AH160/$BE$2)*'1. UC Assumptions'!$P$42,0)</f>
        <v>0</v>
      </c>
      <c r="BF160" s="151">
        <f>IF(K160="Travis",(AG160/$BF$1)*'1. UC Assumptions'!$Q$44-(AH160/$BF$2)*'1. UC Assumptions'!$Q$42,0)</f>
        <v>0</v>
      </c>
      <c r="BG160" s="151">
        <f t="shared" si="57"/>
        <v>0</v>
      </c>
      <c r="BH160" s="151">
        <f t="shared" si="58"/>
        <v>3313607.2682388201</v>
      </c>
      <c r="BI160" s="151">
        <f>ROUNDDOWN(BH160*'1. UC Assumptions'!$C$23,2)</f>
        <v>1093490.3899999999</v>
      </c>
      <c r="BJ160" s="154">
        <f t="shared" si="59"/>
        <v>1648360.3182388202</v>
      </c>
      <c r="BK160" s="154">
        <f t="shared" si="60"/>
        <v>543958.89650000003</v>
      </c>
      <c r="BL160" s="154">
        <f t="shared" si="61"/>
        <v>1521799.35</v>
      </c>
      <c r="BM160" s="154">
        <f t="shared" si="62"/>
        <v>502193.78</v>
      </c>
      <c r="BN160" s="101"/>
      <c r="BO160" s="154">
        <f>(BL160*'1. UC Assumptions'!$C$23)-'3.  UC Calculations by Hospital'!BM160</f>
        <v>5.4999999701976776E-3</v>
      </c>
      <c r="BP160" s="13"/>
    </row>
    <row r="161" spans="1:68">
      <c r="B161" s="129" t="s">
        <v>609</v>
      </c>
      <c r="C161" s="91" t="s">
        <v>609</v>
      </c>
      <c r="D161" s="91" t="s">
        <v>208</v>
      </c>
      <c r="E161" s="91" t="s">
        <v>149</v>
      </c>
      <c r="F161" s="91"/>
      <c r="G161" s="91" t="s">
        <v>209</v>
      </c>
      <c r="H161" s="91" t="s">
        <v>209</v>
      </c>
      <c r="I161" s="150" t="s">
        <v>210</v>
      </c>
      <c r="J161" s="129" t="s">
        <v>610</v>
      </c>
      <c r="K161" s="91" t="s">
        <v>11</v>
      </c>
      <c r="L161" s="91" t="s">
        <v>589</v>
      </c>
      <c r="M161" s="151">
        <v>414332.68842022301</v>
      </c>
      <c r="N161" s="151">
        <v>7935024.1177871088</v>
      </c>
      <c r="O161" s="131">
        <v>4208142.7287535109</v>
      </c>
      <c r="P161" s="131">
        <f t="shared" si="42"/>
        <v>3726881.3890335979</v>
      </c>
      <c r="Q161" s="131">
        <v>8505832.792806631</v>
      </c>
      <c r="R161" s="131">
        <v>4649704.4799999995</v>
      </c>
      <c r="S161" s="131">
        <f t="shared" si="43"/>
        <v>508490.40254617855</v>
      </c>
      <c r="T161" s="131">
        <f t="shared" si="44"/>
        <v>7997342.3902604524</v>
      </c>
      <c r="U161" s="131">
        <v>0</v>
      </c>
      <c r="V161" s="131">
        <v>0</v>
      </c>
      <c r="W161" s="131">
        <v>0</v>
      </c>
      <c r="X161" s="131">
        <v>0</v>
      </c>
      <c r="Y161" s="131">
        <v>0</v>
      </c>
      <c r="Z161" s="131">
        <f t="shared" si="45"/>
        <v>0</v>
      </c>
      <c r="AA161" s="131">
        <v>0</v>
      </c>
      <c r="AB161" s="152">
        <f t="shared" si="46"/>
        <v>7997342.3902604524</v>
      </c>
      <c r="AC161" s="133">
        <f>IF(D161="Physician Group Practice",(AB161/$AB$393)*'1. UC Assumptions'!$C$15,IF(E161="Rural Hospital",AB161*'1. UC Assumptions'!$C$7/'1. UC Assumptions'!$E$7,(AB161/$AB$397)*('1. UC Assumptions'!$C$9)))</f>
        <v>7465003.4915925898</v>
      </c>
      <c r="AD161" s="133">
        <f t="shared" si="47"/>
        <v>0</v>
      </c>
      <c r="AE161" s="133">
        <f t="shared" si="48"/>
        <v>532338.89866786264</v>
      </c>
      <c r="AF161" s="133">
        <f t="shared" si="49"/>
        <v>0</v>
      </c>
      <c r="AG161" s="133">
        <f t="shared" si="50"/>
        <v>532338.89866786264</v>
      </c>
      <c r="AH161" s="133">
        <f t="shared" si="51"/>
        <v>7465003.4915925898</v>
      </c>
      <c r="AI161" s="131">
        <f>AH161*'1. UC Assumptions'!$C$23</f>
        <v>2463451.1522255545</v>
      </c>
      <c r="AJ161" s="131">
        <v>2497413.16</v>
      </c>
      <c r="AK161" s="131">
        <f>AJ161*(1-'1. UC Assumptions'!$C$22)</f>
        <v>824146.34279999998</v>
      </c>
      <c r="AL161" s="131"/>
      <c r="AM161" s="131">
        <f>AL161*'1. UC Assumptions'!$C$23</f>
        <v>0</v>
      </c>
      <c r="AN161" s="153">
        <f t="shared" si="52"/>
        <v>7997342.3902604524</v>
      </c>
      <c r="AO161" s="151">
        <f>AN161*'1. UC Assumptions'!$C$23</f>
        <v>2639122.9887859491</v>
      </c>
      <c r="AP161" s="151">
        <f t="shared" si="53"/>
        <v>5499929.2302604523</v>
      </c>
      <c r="AQ161" s="151">
        <f t="shared" si="54"/>
        <v>1814976.6459859491</v>
      </c>
      <c r="AR161" s="151">
        <f t="shared" si="55"/>
        <v>1814976.6459859491</v>
      </c>
      <c r="AS161" s="151">
        <f t="shared" si="56"/>
        <v>2639122.9887859491</v>
      </c>
      <c r="AT161" s="151">
        <f>IF(K161="Bexar",(AG161/$AT$1)*'1. UC Assumptions'!$E$44-(AH161/$AT$2)*'1. UC Assumptions'!$E$42,0)</f>
        <v>0</v>
      </c>
      <c r="AU161" s="151">
        <f>IF(K161="Dallas",(AG161/$AU$1)*'1. UC Assumptions'!$F$44-(AH161/$AU$2)*'1. UC Assumptions'!$F$42,0)</f>
        <v>0</v>
      </c>
      <c r="AV161" s="151">
        <f>IF(K161="El Paso",(AG161/$AV$1)*'1. UC Assumptions'!$G$44-(AH161/$AV$2)*'1. UC Assumptions'!$G$42,0)</f>
        <v>0</v>
      </c>
      <c r="AW161" s="151">
        <f>IF(K161="Harris",(AG161/$AW$1)*'1. UC Assumptions'!$H$44-(AH161/$AW$2)*'1. UC Assumptions'!$H$42,0)</f>
        <v>0</v>
      </c>
      <c r="AX161" s="151">
        <f>IF(K161="Hidalgo",(AG161/$AX$1)*'1. UC Assumptions'!$I$44-(AH161/$AX$2)*'1. UC Assumptions'!$I$42,0)</f>
        <v>0</v>
      </c>
      <c r="AY161" s="151">
        <f>IF(K161="Jefferson",(AG161/$AY$1)*'1. UC Assumptions'!$J$44-(AH161/$AY$2)*'1. UC Assumptions'!$J$42,0)</f>
        <v>0</v>
      </c>
      <c r="AZ161" s="151">
        <f>IF(K161="Lubbock",(AG161/$AZ$1)*'1. UC Assumptions'!$K$44-(AH161/$AZ$2)*'1. UC Assumptions'!$K$42,0)</f>
        <v>0</v>
      </c>
      <c r="BA161" s="151">
        <f>IF(K161="MRSA Central",(AG161/$BA$1)*'1. UC Assumptions'!$L$44-(AH161/$BA$2)*'1. UC Assumptions'!$L$42,0)</f>
        <v>0</v>
      </c>
      <c r="BB161" s="151">
        <f>IF(K161="MRSA Northeast",(AG161/$BB$1)*'1. UC Assumptions'!$M$44-(AH161/$BB$2)*'1. UC Assumptions'!$M$42,0)</f>
        <v>0</v>
      </c>
      <c r="BC161" s="151">
        <f>IF(K161="MRSA West",(AG161/$BC$1)*'1. UC Assumptions'!$N$44-(AH161/$BC$2)*'1. UC Assumptions'!$N$42,0)</f>
        <v>0</v>
      </c>
      <c r="BD161" s="151">
        <f>IF(K161="Nueces",(AG161/$BD$1)*'1. UC Assumptions'!$O$44-(AH161/$BD$2)*'1. UC Assumptions'!$O$42,0)</f>
        <v>0</v>
      </c>
      <c r="BE161" s="151">
        <f>IF(K161="Tarrant",(AG161/$BE$1)*'1. UC Assumptions'!$P$44-(AH161/$BE$2)*'1. UC Assumptions'!$P$42,0)</f>
        <v>0</v>
      </c>
      <c r="BF161" s="151">
        <f>IF(K161="Travis",(AG161/$BF$1)*'1. UC Assumptions'!$Q$44-(AH161/$BF$2)*'1. UC Assumptions'!$Q$42,0)</f>
        <v>0</v>
      </c>
      <c r="BG161" s="151">
        <f t="shared" si="57"/>
        <v>0</v>
      </c>
      <c r="BH161" s="151">
        <f t="shared" si="58"/>
        <v>7465003.4915925898</v>
      </c>
      <c r="BI161" s="151">
        <f>ROUNDDOWN(BH161*'1. UC Assumptions'!$C$23,2)</f>
        <v>2463451.15</v>
      </c>
      <c r="BJ161" s="154">
        <f t="shared" si="59"/>
        <v>4967590.3315925896</v>
      </c>
      <c r="BK161" s="154">
        <f t="shared" si="60"/>
        <v>1639304.8071999999</v>
      </c>
      <c r="BL161" s="154">
        <f t="shared" si="61"/>
        <v>4586179.17</v>
      </c>
      <c r="BM161" s="154">
        <f t="shared" si="62"/>
        <v>1513439.12</v>
      </c>
      <c r="BN161" s="101"/>
      <c r="BO161" s="154">
        <f>(BL161*'1. UC Assumptions'!$C$23)-'3.  UC Calculations by Hospital'!BM161</f>
        <v>6.0999996494501829E-3</v>
      </c>
      <c r="BP161" s="13"/>
    </row>
    <row r="162" spans="1:68">
      <c r="B162" s="129" t="s">
        <v>611</v>
      </c>
      <c r="C162" s="91" t="s">
        <v>611</v>
      </c>
      <c r="D162" s="91" t="s">
        <v>214</v>
      </c>
      <c r="E162" s="91" t="s">
        <v>209</v>
      </c>
      <c r="F162" s="91"/>
      <c r="G162" s="91" t="s">
        <v>209</v>
      </c>
      <c r="H162" s="91" t="s">
        <v>209</v>
      </c>
      <c r="I162" s="150" t="s">
        <v>210</v>
      </c>
      <c r="J162" s="129" t="s">
        <v>612</v>
      </c>
      <c r="K162" s="91" t="s">
        <v>14</v>
      </c>
      <c r="L162" s="91" t="s">
        <v>613</v>
      </c>
      <c r="M162" s="151">
        <v>-599653.96971115237</v>
      </c>
      <c r="N162" s="151">
        <v>0</v>
      </c>
      <c r="O162" s="131">
        <v>0</v>
      </c>
      <c r="P162" s="131">
        <f t="shared" si="42"/>
        <v>0</v>
      </c>
      <c r="Q162" s="131">
        <v>7640976.421883882</v>
      </c>
      <c r="R162" s="131">
        <v>0</v>
      </c>
      <c r="S162" s="131">
        <f t="shared" si="43"/>
        <v>0</v>
      </c>
      <c r="T162" s="131">
        <f t="shared" si="44"/>
        <v>7640976.421883882</v>
      </c>
      <c r="U162" s="131">
        <v>0</v>
      </c>
      <c r="V162" s="131">
        <v>0</v>
      </c>
      <c r="W162" s="131">
        <v>0</v>
      </c>
      <c r="X162" s="131">
        <v>0</v>
      </c>
      <c r="Y162" s="131">
        <v>0</v>
      </c>
      <c r="Z162" s="131">
        <f t="shared" si="45"/>
        <v>0</v>
      </c>
      <c r="AA162" s="131">
        <v>0</v>
      </c>
      <c r="AB162" s="152">
        <f t="shared" si="46"/>
        <v>7640976.421883882</v>
      </c>
      <c r="AC162" s="133">
        <f>IF(D162="Physician Group Practice",(AB162/$AB$393)*'1. UC Assumptions'!$C$15,IF(E162="Rural Hospital",AB162*'1. UC Assumptions'!$C$7/'1. UC Assumptions'!$E$7,(AB162/$AB$397)*('1. UC Assumptions'!$C$9)))</f>
        <v>3592371.495752506</v>
      </c>
      <c r="AD162" s="133">
        <f t="shared" si="47"/>
        <v>0</v>
      </c>
      <c r="AE162" s="133">
        <f t="shared" si="48"/>
        <v>4048604.9261313761</v>
      </c>
      <c r="AF162" s="133">
        <f t="shared" si="49"/>
        <v>0</v>
      </c>
      <c r="AG162" s="133">
        <f t="shared" si="50"/>
        <v>4048604.9261313761</v>
      </c>
      <c r="AH162" s="133">
        <f t="shared" si="51"/>
        <v>3592371.495752506</v>
      </c>
      <c r="AI162" s="131">
        <f>AH162*'1. UC Assumptions'!$C$23</f>
        <v>1185482.5935983269</v>
      </c>
      <c r="AJ162" s="131">
        <v>3576371.86</v>
      </c>
      <c r="AK162" s="131">
        <f>AJ162*(1-'1. UC Assumptions'!$C$22)</f>
        <v>1180202.7137999998</v>
      </c>
      <c r="AL162" s="131"/>
      <c r="AM162" s="131">
        <f>AL162*'1. UC Assumptions'!$C$23</f>
        <v>0</v>
      </c>
      <c r="AN162" s="153">
        <f t="shared" si="52"/>
        <v>7640976.421883882</v>
      </c>
      <c r="AO162" s="151">
        <f>AN162*'1. UC Assumptions'!$C$23</f>
        <v>2521522.2192216809</v>
      </c>
      <c r="AP162" s="151">
        <f t="shared" si="53"/>
        <v>4064604.5618838822</v>
      </c>
      <c r="AQ162" s="151">
        <f t="shared" si="54"/>
        <v>1341319.5054216811</v>
      </c>
      <c r="AR162" s="151">
        <f t="shared" si="55"/>
        <v>1341319.5054216811</v>
      </c>
      <c r="AS162" s="151">
        <f t="shared" si="56"/>
        <v>2521522.2192216809</v>
      </c>
      <c r="AT162" s="151">
        <f>IF(K162="Bexar",(AG162/$AT$1)*'1. UC Assumptions'!$E$44-(AH162/$AT$2)*'1. UC Assumptions'!$E$42,0)</f>
        <v>0</v>
      </c>
      <c r="AU162" s="151">
        <f>IF(K162="Dallas",(AG162/$AU$1)*'1. UC Assumptions'!$F$44-(AH162/$AU$2)*'1. UC Assumptions'!$F$42,0)</f>
        <v>0</v>
      </c>
      <c r="AV162" s="151">
        <f>IF(K162="El Paso",(AG162/$AV$1)*'1. UC Assumptions'!$G$44-(AH162/$AV$2)*'1. UC Assumptions'!$G$42,0)</f>
        <v>0</v>
      </c>
      <c r="AW162" s="151">
        <f>IF(K162="Harris",(AG162/$AW$1)*'1. UC Assumptions'!$H$44-(AH162/$AW$2)*'1. UC Assumptions'!$H$42,0)</f>
        <v>0</v>
      </c>
      <c r="AX162" s="151">
        <f>IF(K162="Hidalgo",(AG162/$AX$1)*'1. UC Assumptions'!$I$44-(AH162/$AX$2)*'1. UC Assumptions'!$I$42,0)</f>
        <v>0</v>
      </c>
      <c r="AY162" s="151">
        <f>IF(K162="Jefferson",(AG162/$AY$1)*'1. UC Assumptions'!$J$44-(AH162/$AY$2)*'1. UC Assumptions'!$J$42,0)</f>
        <v>0</v>
      </c>
      <c r="AZ162" s="151">
        <f>IF(K162="Lubbock",(AG162/$AZ$1)*'1. UC Assumptions'!$K$44-(AH162/$AZ$2)*'1. UC Assumptions'!$K$42,0)</f>
        <v>0</v>
      </c>
      <c r="BA162" s="151">
        <f>IF(K162="MRSA Central",(AG162/$BA$1)*'1. UC Assumptions'!$L$44-(AH162/$BA$2)*'1. UC Assumptions'!$L$42,0)</f>
        <v>0</v>
      </c>
      <c r="BB162" s="151">
        <f>IF(K162="MRSA Northeast",(AG162/$BB$1)*'1. UC Assumptions'!$M$44-(AH162/$BB$2)*'1. UC Assumptions'!$M$42,0)</f>
        <v>0</v>
      </c>
      <c r="BC162" s="151">
        <f>IF(K162="MRSA West",(AG162/$BC$1)*'1. UC Assumptions'!$N$44-(AH162/$BC$2)*'1. UC Assumptions'!$N$42,0)</f>
        <v>0</v>
      </c>
      <c r="BD162" s="151">
        <f>IF(K162="Nueces",(AG162/$BD$1)*'1. UC Assumptions'!$O$44-(AH162/$BD$2)*'1. UC Assumptions'!$O$42,0)</f>
        <v>0</v>
      </c>
      <c r="BE162" s="151">
        <f>IF(K162="Tarrant",(AG162/$BE$1)*'1. UC Assumptions'!$P$44-(AH162/$BE$2)*'1. UC Assumptions'!$P$42,0)</f>
        <v>0</v>
      </c>
      <c r="BF162" s="151">
        <f>IF(K162="Travis",(AG162/$BF$1)*'1. UC Assumptions'!$Q$44-(AH162/$BF$2)*'1. UC Assumptions'!$Q$42,0)</f>
        <v>0</v>
      </c>
      <c r="BG162" s="151">
        <f t="shared" si="57"/>
        <v>0</v>
      </c>
      <c r="BH162" s="151">
        <f t="shared" si="58"/>
        <v>3592371.495752506</v>
      </c>
      <c r="BI162" s="151">
        <f>ROUNDDOWN(BH162*'1. UC Assumptions'!$C$23,2)</f>
        <v>1185482.5900000001</v>
      </c>
      <c r="BJ162" s="154">
        <f t="shared" si="59"/>
        <v>15999.635752506088</v>
      </c>
      <c r="BK162" s="154">
        <f t="shared" si="60"/>
        <v>5279.8762000002898</v>
      </c>
      <c r="BL162" s="154">
        <f t="shared" si="61"/>
        <v>14771.19</v>
      </c>
      <c r="BM162" s="154">
        <f t="shared" si="62"/>
        <v>4874.49</v>
      </c>
      <c r="BN162" s="101"/>
      <c r="BO162" s="154">
        <f>(BL162*'1. UC Assumptions'!$C$23)-'3.  UC Calculations by Hospital'!BM162</f>
        <v>2.7000000000043656E-3</v>
      </c>
      <c r="BP162" s="13"/>
    </row>
    <row r="163" spans="1:68">
      <c r="B163" s="129" t="s">
        <v>614</v>
      </c>
      <c r="C163" s="91" t="s">
        <v>614</v>
      </c>
      <c r="D163" s="91" t="s">
        <v>208</v>
      </c>
      <c r="E163" s="91" t="s">
        <v>209</v>
      </c>
      <c r="F163" s="91"/>
      <c r="G163" s="91" t="s">
        <v>209</v>
      </c>
      <c r="H163" s="91" t="s">
        <v>209</v>
      </c>
      <c r="I163" s="150" t="s">
        <v>210</v>
      </c>
      <c r="J163" s="129" t="s">
        <v>615</v>
      </c>
      <c r="K163" s="91" t="s">
        <v>4</v>
      </c>
      <c r="L163" s="91" t="s">
        <v>479</v>
      </c>
      <c r="M163" s="151">
        <v>4654934.5026677251</v>
      </c>
      <c r="N163" s="151">
        <v>14857527.71478045</v>
      </c>
      <c r="O163" s="131">
        <v>7636841.4457870079</v>
      </c>
      <c r="P163" s="131">
        <f t="shared" si="42"/>
        <v>7220686.2689934419</v>
      </c>
      <c r="Q163" s="131">
        <v>7865375.7125947131</v>
      </c>
      <c r="R163" s="131">
        <v>10266961.690000001</v>
      </c>
      <c r="S163" s="131">
        <f t="shared" si="43"/>
        <v>0</v>
      </c>
      <c r="T163" s="131">
        <f t="shared" si="44"/>
        <v>7865375.7125947131</v>
      </c>
      <c r="U163" s="131">
        <v>0</v>
      </c>
      <c r="V163" s="131">
        <v>0</v>
      </c>
      <c r="W163" s="131">
        <v>0</v>
      </c>
      <c r="X163" s="131">
        <v>0</v>
      </c>
      <c r="Y163" s="131">
        <v>0</v>
      </c>
      <c r="Z163" s="131">
        <f t="shared" si="45"/>
        <v>0</v>
      </c>
      <c r="AA163" s="131">
        <v>0</v>
      </c>
      <c r="AB163" s="152">
        <f t="shared" si="46"/>
        <v>7865375.7125947131</v>
      </c>
      <c r="AC163" s="133">
        <f>IF(D163="Physician Group Practice",(AB163/$AB$393)*'1. UC Assumptions'!$C$15,IF(E163="Rural Hospital",AB163*'1. UC Assumptions'!$C$7/'1. UC Assumptions'!$E$7,(AB163/$AB$397)*('1. UC Assumptions'!$C$9)))</f>
        <v>3697871.8364298986</v>
      </c>
      <c r="AD163" s="133">
        <f t="shared" si="47"/>
        <v>0</v>
      </c>
      <c r="AE163" s="133">
        <f t="shared" si="48"/>
        <v>4167503.8761648145</v>
      </c>
      <c r="AF163" s="133">
        <f t="shared" si="49"/>
        <v>0</v>
      </c>
      <c r="AG163" s="133">
        <f t="shared" si="50"/>
        <v>4167503.8761648145</v>
      </c>
      <c r="AH163" s="133">
        <f t="shared" si="51"/>
        <v>3697871.8364298986</v>
      </c>
      <c r="AI163" s="131">
        <f>AH163*'1. UC Assumptions'!$C$23</f>
        <v>1220297.7060218663</v>
      </c>
      <c r="AJ163" s="131">
        <v>4892465.24</v>
      </c>
      <c r="AK163" s="131">
        <f>AJ163*(1-'1. UC Assumptions'!$C$22)</f>
        <v>1614513.5292</v>
      </c>
      <c r="AL163" s="131"/>
      <c r="AM163" s="131">
        <f>AL163*'1. UC Assumptions'!$C$23</f>
        <v>0</v>
      </c>
      <c r="AN163" s="153">
        <f t="shared" si="52"/>
        <v>7865375.7125947131</v>
      </c>
      <c r="AO163" s="151">
        <f>AN163*'1. UC Assumptions'!$C$23</f>
        <v>2595573.9851562548</v>
      </c>
      <c r="AP163" s="151">
        <f t="shared" si="53"/>
        <v>2972910.4725947129</v>
      </c>
      <c r="AQ163" s="151">
        <f t="shared" si="54"/>
        <v>981060.45595625485</v>
      </c>
      <c r="AR163" s="151">
        <f t="shared" si="55"/>
        <v>981060.45595625485</v>
      </c>
      <c r="AS163" s="151">
        <f t="shared" si="56"/>
        <v>2595573.9851562548</v>
      </c>
      <c r="AT163" s="151">
        <f>IF(K163="Bexar",(AG163/$AT$1)*'1. UC Assumptions'!$E$44-(AH163/$AT$2)*'1. UC Assumptions'!$E$42,0)</f>
        <v>0</v>
      </c>
      <c r="AU163" s="151">
        <f>IF(K163="Dallas",(AG163/$AU$1)*'1. UC Assumptions'!$F$44-(AH163/$AU$2)*'1. UC Assumptions'!$F$42,0)</f>
        <v>0</v>
      </c>
      <c r="AV163" s="151">
        <f>IF(K163="El Paso",(AG163/$AV$1)*'1. UC Assumptions'!$G$44-(AH163/$AV$2)*'1. UC Assumptions'!$G$42,0)</f>
        <v>0</v>
      </c>
      <c r="AW163" s="151">
        <f>IF(K163="Harris",(AG163/$AW$1)*'1. UC Assumptions'!$H$44-(AH163/$AW$2)*'1. UC Assumptions'!$H$42,0)</f>
        <v>0</v>
      </c>
      <c r="AX163" s="151">
        <f>IF(K163="Hidalgo",(AG163/$AX$1)*'1. UC Assumptions'!$I$44-(AH163/$AX$2)*'1. UC Assumptions'!$I$42,0)</f>
        <v>0</v>
      </c>
      <c r="AY163" s="151">
        <f>IF(K163="Jefferson",(AG163/$AY$1)*'1. UC Assumptions'!$J$44-(AH163/$AY$2)*'1. UC Assumptions'!$J$42,0)</f>
        <v>0</v>
      </c>
      <c r="AZ163" s="151">
        <f>IF(K163="Lubbock",(AG163/$AZ$1)*'1. UC Assumptions'!$K$44-(AH163/$AZ$2)*'1. UC Assumptions'!$K$42,0)</f>
        <v>0</v>
      </c>
      <c r="BA163" s="151">
        <f>IF(K163="MRSA Central",(AG163/$BA$1)*'1. UC Assumptions'!$L$44-(AH163/$BA$2)*'1. UC Assumptions'!$L$42,0)</f>
        <v>0</v>
      </c>
      <c r="BB163" s="151">
        <f>IF(K163="MRSA Northeast",(AG163/$BB$1)*'1. UC Assumptions'!$M$44-(AH163/$BB$2)*'1. UC Assumptions'!$M$42,0)</f>
        <v>0</v>
      </c>
      <c r="BC163" s="151">
        <f>IF(K163="MRSA West",(AG163/$BC$1)*'1. UC Assumptions'!$N$44-(AH163/$BC$2)*'1. UC Assumptions'!$N$42,0)</f>
        <v>0</v>
      </c>
      <c r="BD163" s="151">
        <f>IF(K163="Nueces",(AG163/$BD$1)*'1. UC Assumptions'!$O$44-(AH163/$BD$2)*'1. UC Assumptions'!$O$42,0)</f>
        <v>0</v>
      </c>
      <c r="BE163" s="151">
        <f>IF(K163="Tarrant",(AG163/$BE$1)*'1. UC Assumptions'!$P$44-(AH163/$BE$2)*'1. UC Assumptions'!$P$42,0)</f>
        <v>0</v>
      </c>
      <c r="BF163" s="151">
        <f>IF(K163="Travis",(AG163/$BF$1)*'1. UC Assumptions'!$Q$44-(AH163/$BF$2)*'1. UC Assumptions'!$Q$42,0)</f>
        <v>0</v>
      </c>
      <c r="BG163" s="151">
        <f t="shared" si="57"/>
        <v>0</v>
      </c>
      <c r="BH163" s="151">
        <f t="shared" si="58"/>
        <v>3697871.8364298986</v>
      </c>
      <c r="BI163" s="151">
        <f>ROUNDDOWN(BH163*'1. UC Assumptions'!$C$23,2)</f>
        <v>1220297.7</v>
      </c>
      <c r="BJ163" s="154">
        <f t="shared" si="59"/>
        <v>-1194593.4035701016</v>
      </c>
      <c r="BK163" s="154">
        <f t="shared" si="60"/>
        <v>-394215.82920000004</v>
      </c>
      <c r="BL163" s="154">
        <f t="shared" si="61"/>
        <v>0</v>
      </c>
      <c r="BM163" s="154">
        <f t="shared" si="62"/>
        <v>0</v>
      </c>
      <c r="BN163" s="101"/>
      <c r="BO163" s="154">
        <f>(BL163*'1. UC Assumptions'!$C$23)-'3.  UC Calculations by Hospital'!BM163</f>
        <v>0</v>
      </c>
      <c r="BP163" s="13"/>
    </row>
    <row r="164" spans="1:68">
      <c r="B164" s="129" t="s">
        <v>616</v>
      </c>
      <c r="C164" s="91" t="s">
        <v>616</v>
      </c>
      <c r="D164" s="91" t="s">
        <v>214</v>
      </c>
      <c r="E164" s="91" t="s">
        <v>209</v>
      </c>
      <c r="F164" s="91"/>
      <c r="G164" s="91" t="s">
        <v>209</v>
      </c>
      <c r="H164" s="91" t="s">
        <v>227</v>
      </c>
      <c r="I164" s="150" t="s">
        <v>210</v>
      </c>
      <c r="J164" s="129" t="s">
        <v>617</v>
      </c>
      <c r="K164" s="91" t="s">
        <v>13</v>
      </c>
      <c r="L164" s="91" t="s">
        <v>13</v>
      </c>
      <c r="M164" s="151">
        <v>-82002997.279160142</v>
      </c>
      <c r="N164" s="151">
        <v>5915817.4610465933</v>
      </c>
      <c r="O164" s="131">
        <v>2664840.3994603776</v>
      </c>
      <c r="P164" s="131">
        <f t="shared" si="42"/>
        <v>3250977.0615862156</v>
      </c>
      <c r="Q164" s="131">
        <v>3979513.9938086402</v>
      </c>
      <c r="R164" s="131">
        <v>0</v>
      </c>
      <c r="S164" s="131">
        <f t="shared" si="43"/>
        <v>0</v>
      </c>
      <c r="T164" s="131">
        <f t="shared" si="44"/>
        <v>3979513.9938086402</v>
      </c>
      <c r="U164" s="131">
        <v>633060</v>
      </c>
      <c r="V164" s="131">
        <v>0</v>
      </c>
      <c r="W164" s="131">
        <v>0</v>
      </c>
      <c r="X164" s="131">
        <v>0</v>
      </c>
      <c r="Y164" s="131">
        <v>0</v>
      </c>
      <c r="Z164" s="131">
        <f t="shared" si="45"/>
        <v>633060</v>
      </c>
      <c r="AA164" s="131">
        <v>0</v>
      </c>
      <c r="AB164" s="152">
        <f t="shared" si="46"/>
        <v>4612573.9938086402</v>
      </c>
      <c r="AC164" s="133">
        <f>IF(D164="Physician Group Practice",(AB164/$AB$393)*'1. UC Assumptions'!$C$15,IF(E164="Rural Hospital",AB164*'1. UC Assumptions'!$C$7/'1. UC Assumptions'!$E$7,(AB164/$AB$397)*('1. UC Assumptions'!$C$9)))</f>
        <v>2168581.3988314997</v>
      </c>
      <c r="AD164" s="133">
        <f t="shared" si="47"/>
        <v>0</v>
      </c>
      <c r="AE164" s="133">
        <f t="shared" si="48"/>
        <v>2443992.5949771404</v>
      </c>
      <c r="AF164" s="133">
        <f t="shared" si="49"/>
        <v>0</v>
      </c>
      <c r="AG164" s="133">
        <f t="shared" si="50"/>
        <v>2443992.5949771404</v>
      </c>
      <c r="AH164" s="133">
        <f t="shared" si="51"/>
        <v>2168581.3988314997</v>
      </c>
      <c r="AI164" s="131">
        <f>AH164*'1. UC Assumptions'!$C$23</f>
        <v>715631.86161439482</v>
      </c>
      <c r="AJ164" s="131">
        <v>1878548.79</v>
      </c>
      <c r="AK164" s="131">
        <f>AJ164*(1-'1. UC Assumptions'!$C$22)</f>
        <v>619921.10069999995</v>
      </c>
      <c r="AL164" s="131"/>
      <c r="AM164" s="131">
        <f>AL164*'1. UC Assumptions'!$C$23</f>
        <v>0</v>
      </c>
      <c r="AN164" s="153">
        <f t="shared" si="52"/>
        <v>4612573.9938086402</v>
      </c>
      <c r="AO164" s="151">
        <f>AN164*'1. UC Assumptions'!$C$23</f>
        <v>1522149.417956851</v>
      </c>
      <c r="AP164" s="151">
        <f t="shared" si="53"/>
        <v>2734025.2038086401</v>
      </c>
      <c r="AQ164" s="151">
        <f t="shared" si="54"/>
        <v>902228.31725685101</v>
      </c>
      <c r="AR164" s="151">
        <f t="shared" si="55"/>
        <v>902228.31725685101</v>
      </c>
      <c r="AS164" s="151">
        <f t="shared" si="56"/>
        <v>1522149.417956851</v>
      </c>
      <c r="AT164" s="151">
        <f>IF(K164="Bexar",(AG164/$AT$1)*'1. UC Assumptions'!$E$44-(AH164/$AT$2)*'1. UC Assumptions'!$E$42,0)</f>
        <v>0</v>
      </c>
      <c r="AU164" s="151">
        <f>IF(K164="Dallas",(AG164/$AU$1)*'1. UC Assumptions'!$F$44-(AH164/$AU$2)*'1. UC Assumptions'!$F$42,0)</f>
        <v>0</v>
      </c>
      <c r="AV164" s="151">
        <f>IF(K164="El Paso",(AG164/$AV$1)*'1. UC Assumptions'!$G$44-(AH164/$AV$2)*'1. UC Assumptions'!$G$42,0)</f>
        <v>0</v>
      </c>
      <c r="AW164" s="151">
        <f>IF(K164="Harris",(AG164/$AW$1)*'1. UC Assumptions'!$H$44-(AH164/$AW$2)*'1. UC Assumptions'!$H$42,0)</f>
        <v>0</v>
      </c>
      <c r="AX164" s="151">
        <f>IF(K164="Hidalgo",(AG164/$AX$1)*'1. UC Assumptions'!$I$44-(AH164/$AX$2)*'1. UC Assumptions'!$I$42,0)</f>
        <v>0</v>
      </c>
      <c r="AY164" s="151">
        <f>IF(K164="Jefferson",(AG164/$AY$1)*'1. UC Assumptions'!$J$44-(AH164/$AY$2)*'1. UC Assumptions'!$J$42,0)</f>
        <v>0</v>
      </c>
      <c r="AZ164" s="151">
        <f>IF(K164="Lubbock",(AG164/$AZ$1)*'1. UC Assumptions'!$K$44-(AH164/$AZ$2)*'1. UC Assumptions'!$K$42,0)</f>
        <v>0</v>
      </c>
      <c r="BA164" s="151">
        <f>IF(K164="MRSA Central",(AG164/$BA$1)*'1. UC Assumptions'!$L$44-(AH164/$BA$2)*'1. UC Assumptions'!$L$42,0)</f>
        <v>0</v>
      </c>
      <c r="BB164" s="151">
        <f>IF(K164="MRSA Northeast",(AG164/$BB$1)*'1. UC Assumptions'!$M$44-(AH164/$BB$2)*'1. UC Assumptions'!$M$42,0)</f>
        <v>0</v>
      </c>
      <c r="BC164" s="151">
        <f>IF(K164="MRSA West",(AG164/$BC$1)*'1. UC Assumptions'!$N$44-(AH164/$BC$2)*'1. UC Assumptions'!$N$42,0)</f>
        <v>0</v>
      </c>
      <c r="BD164" s="151">
        <f>IF(K164="Nueces",(AG164/$BD$1)*'1. UC Assumptions'!$O$44-(AH164/$BD$2)*'1. UC Assumptions'!$O$42,0)</f>
        <v>0</v>
      </c>
      <c r="BE164" s="151">
        <f>IF(K164="Tarrant",(AG164/$BE$1)*'1. UC Assumptions'!$P$44-(AH164/$BE$2)*'1. UC Assumptions'!$P$42,0)</f>
        <v>0</v>
      </c>
      <c r="BF164" s="151">
        <f>IF(K164="Travis",(AG164/$BF$1)*'1. UC Assumptions'!$Q$44-(AH164/$BF$2)*'1. UC Assumptions'!$Q$42,0)</f>
        <v>0</v>
      </c>
      <c r="BG164" s="151">
        <f t="shared" si="57"/>
        <v>0</v>
      </c>
      <c r="BH164" s="151">
        <f t="shared" si="58"/>
        <v>2168581.3988314997</v>
      </c>
      <c r="BI164" s="151">
        <f>ROUNDDOWN(BH164*'1. UC Assumptions'!$C$23,2)</f>
        <v>715631.86</v>
      </c>
      <c r="BJ164" s="154">
        <f t="shared" si="59"/>
        <v>290032.6088314997</v>
      </c>
      <c r="BK164" s="154">
        <f t="shared" si="60"/>
        <v>95710.759300000034</v>
      </c>
      <c r="BL164" s="154">
        <f t="shared" si="61"/>
        <v>267763.93</v>
      </c>
      <c r="BM164" s="154">
        <f t="shared" si="62"/>
        <v>88362.1</v>
      </c>
      <c r="BN164" s="101"/>
      <c r="BO164" s="154">
        <f>(BL164*'1. UC Assumptions'!$C$23)-'3.  UC Calculations by Hospital'!BM164</f>
        <v>-3.100000016274862E-3</v>
      </c>
      <c r="BP164" s="13"/>
    </row>
    <row r="165" spans="1:68">
      <c r="B165" s="129" t="s">
        <v>618</v>
      </c>
      <c r="C165" s="91" t="s">
        <v>618</v>
      </c>
      <c r="D165" s="91" t="s">
        <v>208</v>
      </c>
      <c r="E165" s="91" t="s">
        <v>149</v>
      </c>
      <c r="F165" s="91"/>
      <c r="G165" s="91" t="s">
        <v>209</v>
      </c>
      <c r="H165" s="91" t="s">
        <v>209</v>
      </c>
      <c r="I165" s="150" t="s">
        <v>210</v>
      </c>
      <c r="J165" s="129" t="s">
        <v>619</v>
      </c>
      <c r="K165" s="91" t="s">
        <v>12</v>
      </c>
      <c r="L165" s="91" t="s">
        <v>620</v>
      </c>
      <c r="M165" s="151">
        <v>1733617.3981077508</v>
      </c>
      <c r="N165" s="151">
        <v>3617466.3950179107</v>
      </c>
      <c r="O165" s="131">
        <v>2145149.3401139202</v>
      </c>
      <c r="P165" s="131">
        <f t="shared" si="42"/>
        <v>1472317.0549039906</v>
      </c>
      <c r="Q165" s="131">
        <v>2156809.5713577727</v>
      </c>
      <c r="R165" s="131">
        <v>1871025.88</v>
      </c>
      <c r="S165" s="131">
        <f t="shared" si="43"/>
        <v>0</v>
      </c>
      <c r="T165" s="131">
        <f t="shared" si="44"/>
        <v>2156809.5713577727</v>
      </c>
      <c r="U165" s="131">
        <v>0</v>
      </c>
      <c r="V165" s="131">
        <v>0</v>
      </c>
      <c r="W165" s="131">
        <v>0</v>
      </c>
      <c r="X165" s="131">
        <v>0</v>
      </c>
      <c r="Y165" s="131">
        <v>0</v>
      </c>
      <c r="Z165" s="131">
        <f t="shared" si="45"/>
        <v>0</v>
      </c>
      <c r="AA165" s="131">
        <v>0</v>
      </c>
      <c r="AB165" s="152">
        <f t="shared" si="46"/>
        <v>2156809.5713577727</v>
      </c>
      <c r="AC165" s="133">
        <f>IF(D165="Physician Group Practice",(AB165/$AB$393)*'1. UC Assumptions'!$C$15,IF(E165="Rural Hospital",AB165*'1. UC Assumptions'!$C$7/'1. UC Assumptions'!$E$7,(AB165/$AB$397)*('1. UC Assumptions'!$C$9)))</f>
        <v>2013242.6742781654</v>
      </c>
      <c r="AD165" s="133">
        <f t="shared" si="47"/>
        <v>0</v>
      </c>
      <c r="AE165" s="133">
        <f t="shared" si="48"/>
        <v>143566.89707960724</v>
      </c>
      <c r="AF165" s="133">
        <f t="shared" si="49"/>
        <v>0</v>
      </c>
      <c r="AG165" s="133">
        <f t="shared" si="50"/>
        <v>143566.89707960724</v>
      </c>
      <c r="AH165" s="133">
        <f t="shared" si="51"/>
        <v>2013242.6742781654</v>
      </c>
      <c r="AI165" s="131">
        <f>AH165*'1. UC Assumptions'!$C$23</f>
        <v>664370.08251179452</v>
      </c>
      <c r="AJ165" s="131">
        <v>877627.18</v>
      </c>
      <c r="AK165" s="131">
        <f>AJ165*(1-'1. UC Assumptions'!$C$22)</f>
        <v>289616.9694</v>
      </c>
      <c r="AL165" s="131"/>
      <c r="AM165" s="131">
        <f>AL165*'1. UC Assumptions'!$C$23</f>
        <v>0</v>
      </c>
      <c r="AN165" s="153">
        <f t="shared" si="52"/>
        <v>2156809.5713577727</v>
      </c>
      <c r="AO165" s="151">
        <f>AN165*'1. UC Assumptions'!$C$23</f>
        <v>711747.15854806488</v>
      </c>
      <c r="AP165" s="151">
        <f t="shared" si="53"/>
        <v>1279182.3913577725</v>
      </c>
      <c r="AQ165" s="151">
        <f t="shared" si="54"/>
        <v>422130.18914806488</v>
      </c>
      <c r="AR165" s="151">
        <f t="shared" si="55"/>
        <v>422130.18914806488</v>
      </c>
      <c r="AS165" s="151">
        <f t="shared" si="56"/>
        <v>711747.15854806488</v>
      </c>
      <c r="AT165" s="151">
        <f>IF(K165="Bexar",(AG165/$AT$1)*'1. UC Assumptions'!$E$44-(AH165/$AT$2)*'1. UC Assumptions'!$E$42,0)</f>
        <v>0</v>
      </c>
      <c r="AU165" s="151">
        <f>IF(K165="Dallas",(AG165/$AU$1)*'1. UC Assumptions'!$F$44-(AH165/$AU$2)*'1. UC Assumptions'!$F$42,0)</f>
        <v>0</v>
      </c>
      <c r="AV165" s="151">
        <f>IF(K165="El Paso",(AG165/$AV$1)*'1. UC Assumptions'!$G$44-(AH165/$AV$2)*'1. UC Assumptions'!$G$42,0)</f>
        <v>0</v>
      </c>
      <c r="AW165" s="151">
        <f>IF(K165="Harris",(AG165/$AW$1)*'1. UC Assumptions'!$H$44-(AH165/$AW$2)*'1. UC Assumptions'!$H$42,0)</f>
        <v>0</v>
      </c>
      <c r="AX165" s="151">
        <f>IF(K165="Hidalgo",(AG165/$AX$1)*'1. UC Assumptions'!$I$44-(AH165/$AX$2)*'1. UC Assumptions'!$I$42,0)</f>
        <v>0</v>
      </c>
      <c r="AY165" s="151">
        <f>IF(K165="Jefferson",(AG165/$AY$1)*'1. UC Assumptions'!$J$44-(AH165/$AY$2)*'1. UC Assumptions'!$J$42,0)</f>
        <v>0</v>
      </c>
      <c r="AZ165" s="151">
        <f>IF(K165="Lubbock",(AG165/$AZ$1)*'1. UC Assumptions'!$K$44-(AH165/$AZ$2)*'1. UC Assumptions'!$K$42,0)</f>
        <v>0</v>
      </c>
      <c r="BA165" s="151">
        <f>IF(K165="MRSA Central",(AG165/$BA$1)*'1. UC Assumptions'!$L$44-(AH165/$BA$2)*'1. UC Assumptions'!$L$42,0)</f>
        <v>0</v>
      </c>
      <c r="BB165" s="151">
        <f>IF(K165="MRSA Northeast",(AG165/$BB$1)*'1. UC Assumptions'!$M$44-(AH165/$BB$2)*'1. UC Assumptions'!$M$42,0)</f>
        <v>0</v>
      </c>
      <c r="BC165" s="151">
        <f>IF(K165="MRSA West",(AG165/$BC$1)*'1. UC Assumptions'!$N$44-(AH165/$BC$2)*'1. UC Assumptions'!$N$42,0)</f>
        <v>0</v>
      </c>
      <c r="BD165" s="151">
        <f>IF(K165="Nueces",(AG165/$BD$1)*'1. UC Assumptions'!$O$44-(AH165/$BD$2)*'1. UC Assumptions'!$O$42,0)</f>
        <v>0</v>
      </c>
      <c r="BE165" s="151">
        <f>IF(K165="Tarrant",(AG165/$BE$1)*'1. UC Assumptions'!$P$44-(AH165/$BE$2)*'1. UC Assumptions'!$P$42,0)</f>
        <v>0</v>
      </c>
      <c r="BF165" s="151">
        <f>IF(K165="Travis",(AG165/$BF$1)*'1. UC Assumptions'!$Q$44-(AH165/$BF$2)*'1. UC Assumptions'!$Q$42,0)</f>
        <v>0</v>
      </c>
      <c r="BG165" s="151">
        <f t="shared" si="57"/>
        <v>0</v>
      </c>
      <c r="BH165" s="151">
        <f t="shared" si="58"/>
        <v>2013242.6742781654</v>
      </c>
      <c r="BI165" s="151">
        <f>ROUNDDOWN(BH165*'1. UC Assumptions'!$C$23,2)</f>
        <v>664370.07999999996</v>
      </c>
      <c r="BJ165" s="154">
        <f t="shared" si="59"/>
        <v>1135615.4942781655</v>
      </c>
      <c r="BK165" s="154">
        <f t="shared" si="60"/>
        <v>374753.11059999996</v>
      </c>
      <c r="BL165" s="154">
        <f t="shared" si="61"/>
        <v>1048423.03</v>
      </c>
      <c r="BM165" s="154">
        <f t="shared" si="62"/>
        <v>345979.6</v>
      </c>
      <c r="BN165" s="101"/>
      <c r="BO165" s="154">
        <f>(BL165*'1. UC Assumptions'!$C$23)-'3.  UC Calculations by Hospital'!BM165</f>
        <v>-1.0000000474974513E-4</v>
      </c>
      <c r="BP165" s="13"/>
    </row>
    <row r="166" spans="1:68">
      <c r="B166" s="129" t="s">
        <v>621</v>
      </c>
      <c r="C166" s="91" t="s">
        <v>621</v>
      </c>
      <c r="D166" s="91" t="s">
        <v>214</v>
      </c>
      <c r="E166" s="91" t="s">
        <v>209</v>
      </c>
      <c r="F166" s="91"/>
      <c r="G166" s="91" t="s">
        <v>209</v>
      </c>
      <c r="H166" s="91" t="s">
        <v>209</v>
      </c>
      <c r="I166" s="150" t="s">
        <v>210</v>
      </c>
      <c r="J166" s="129" t="s">
        <v>622</v>
      </c>
      <c r="K166" s="91" t="s">
        <v>5</v>
      </c>
      <c r="L166" s="91" t="s">
        <v>5</v>
      </c>
      <c r="M166" s="151">
        <v>-775138.83921369968</v>
      </c>
      <c r="N166" s="151">
        <v>6324965.6870057657</v>
      </c>
      <c r="O166" s="131">
        <v>3792279.5998088699</v>
      </c>
      <c r="P166" s="131">
        <f t="shared" si="42"/>
        <v>2532686.0871968959</v>
      </c>
      <c r="Q166" s="131">
        <v>6588604.3957101787</v>
      </c>
      <c r="R166" s="131">
        <v>0</v>
      </c>
      <c r="S166" s="131">
        <f t="shared" si="43"/>
        <v>0</v>
      </c>
      <c r="T166" s="131">
        <f t="shared" si="44"/>
        <v>6588604.3957101787</v>
      </c>
      <c r="U166" s="131">
        <v>215175</v>
      </c>
      <c r="V166" s="131">
        <v>0</v>
      </c>
      <c r="W166" s="131">
        <v>0</v>
      </c>
      <c r="X166" s="131">
        <v>0</v>
      </c>
      <c r="Y166" s="131">
        <v>179170.0689421338</v>
      </c>
      <c r="Z166" s="131">
        <f t="shared" si="45"/>
        <v>394345.0689421338</v>
      </c>
      <c r="AA166" s="131">
        <v>0</v>
      </c>
      <c r="AB166" s="152">
        <f t="shared" si="46"/>
        <v>6982949.4646523129</v>
      </c>
      <c r="AC166" s="133">
        <f>IF(D166="Physician Group Practice",(AB166/$AB$393)*'1. UC Assumptions'!$C$15,IF(E166="Rural Hospital",AB166*'1. UC Assumptions'!$C$7/'1. UC Assumptions'!$E$7,(AB166/$AB$397)*('1. UC Assumptions'!$C$9)))</f>
        <v>3283003.0127108283</v>
      </c>
      <c r="AD166" s="133">
        <f t="shared" si="47"/>
        <v>0</v>
      </c>
      <c r="AE166" s="133">
        <f t="shared" si="48"/>
        <v>3699946.4519414846</v>
      </c>
      <c r="AF166" s="133">
        <f t="shared" si="49"/>
        <v>0</v>
      </c>
      <c r="AG166" s="133">
        <f t="shared" si="50"/>
        <v>3699946.4519414846</v>
      </c>
      <c r="AH166" s="133">
        <f t="shared" si="51"/>
        <v>3283003.0127108283</v>
      </c>
      <c r="AI166" s="131">
        <f>AH166*'1. UC Assumptions'!$C$23</f>
        <v>1083390.9941945733</v>
      </c>
      <c r="AJ166" s="131">
        <v>3078606.86</v>
      </c>
      <c r="AK166" s="131">
        <f>AJ166*(1-'1. UC Assumptions'!$C$22)</f>
        <v>1015940.2637999998</v>
      </c>
      <c r="AL166" s="131"/>
      <c r="AM166" s="131">
        <f>AL166*'1. UC Assumptions'!$C$23</f>
        <v>0</v>
      </c>
      <c r="AN166" s="153">
        <f t="shared" si="52"/>
        <v>6982949.4646523129</v>
      </c>
      <c r="AO166" s="151">
        <f>AN166*'1. UC Assumptions'!$C$23</f>
        <v>2304373.3233352629</v>
      </c>
      <c r="AP166" s="151">
        <f t="shared" si="53"/>
        <v>3904342.604652313</v>
      </c>
      <c r="AQ166" s="151">
        <f t="shared" si="54"/>
        <v>1288433.0595352631</v>
      </c>
      <c r="AR166" s="151">
        <f t="shared" si="55"/>
        <v>1288433.0595352631</v>
      </c>
      <c r="AS166" s="151">
        <f t="shared" si="56"/>
        <v>2304373.3233352629</v>
      </c>
      <c r="AT166" s="151">
        <f>IF(K166="Bexar",(AG166/$AT$1)*'1. UC Assumptions'!$E$44-(AH166/$AT$2)*'1. UC Assumptions'!$E$42,0)</f>
        <v>0</v>
      </c>
      <c r="AU166" s="151">
        <f>IF(K166="Dallas",(AG166/$AU$1)*'1. UC Assumptions'!$F$44-(AH166/$AU$2)*'1. UC Assumptions'!$F$42,0)</f>
        <v>0</v>
      </c>
      <c r="AV166" s="151">
        <f>IF(K166="El Paso",(AG166/$AV$1)*'1. UC Assumptions'!$G$44-(AH166/$AV$2)*'1. UC Assumptions'!$G$42,0)</f>
        <v>0</v>
      </c>
      <c r="AW166" s="151">
        <f>IF(K166="Harris",(AG166/$AW$1)*'1. UC Assumptions'!$H$44-(AH166/$AW$2)*'1. UC Assumptions'!$H$42,0)</f>
        <v>0</v>
      </c>
      <c r="AX166" s="151">
        <f>IF(K166="Hidalgo",(AG166/$AX$1)*'1. UC Assumptions'!$I$44-(AH166/$AX$2)*'1. UC Assumptions'!$I$42,0)</f>
        <v>0</v>
      </c>
      <c r="AY166" s="151">
        <f>IF(K166="Jefferson",(AG166/$AY$1)*'1. UC Assumptions'!$J$44-(AH166/$AY$2)*'1. UC Assumptions'!$J$42,0)</f>
        <v>0</v>
      </c>
      <c r="AZ166" s="151">
        <f>IF(K166="Lubbock",(AG166/$AZ$1)*'1. UC Assumptions'!$K$44-(AH166/$AZ$2)*'1. UC Assumptions'!$K$42,0)</f>
        <v>0</v>
      </c>
      <c r="BA166" s="151">
        <f>IF(K166="MRSA Central",(AG166/$BA$1)*'1. UC Assumptions'!$L$44-(AH166/$BA$2)*'1. UC Assumptions'!$L$42,0)</f>
        <v>0</v>
      </c>
      <c r="BB166" s="151">
        <f>IF(K166="MRSA Northeast",(AG166/$BB$1)*'1. UC Assumptions'!$M$44-(AH166/$BB$2)*'1. UC Assumptions'!$M$42,0)</f>
        <v>0</v>
      </c>
      <c r="BC166" s="151">
        <f>IF(K166="MRSA West",(AG166/$BC$1)*'1. UC Assumptions'!$N$44-(AH166/$BC$2)*'1. UC Assumptions'!$N$42,0)</f>
        <v>0</v>
      </c>
      <c r="BD166" s="151">
        <f>IF(K166="Nueces",(AG166/$BD$1)*'1. UC Assumptions'!$O$44-(AH166/$BD$2)*'1. UC Assumptions'!$O$42,0)</f>
        <v>0</v>
      </c>
      <c r="BE166" s="151">
        <f>IF(K166="Tarrant",(AG166/$BE$1)*'1. UC Assumptions'!$P$44-(AH166/$BE$2)*'1. UC Assumptions'!$P$42,0)</f>
        <v>0</v>
      </c>
      <c r="BF166" s="151">
        <f>IF(K166="Travis",(AG166/$BF$1)*'1. UC Assumptions'!$Q$44-(AH166/$BF$2)*'1. UC Assumptions'!$Q$42,0)</f>
        <v>0</v>
      </c>
      <c r="BG166" s="151">
        <f t="shared" si="57"/>
        <v>0</v>
      </c>
      <c r="BH166" s="151">
        <f t="shared" si="58"/>
        <v>3283003.0127108283</v>
      </c>
      <c r="BI166" s="151">
        <f>ROUNDDOWN(BH166*'1. UC Assumptions'!$C$23,2)</f>
        <v>1083390.99</v>
      </c>
      <c r="BJ166" s="154">
        <f t="shared" si="59"/>
        <v>204396.15271082846</v>
      </c>
      <c r="BK166" s="154">
        <f t="shared" si="60"/>
        <v>67450.72620000015</v>
      </c>
      <c r="BL166" s="154">
        <f t="shared" si="61"/>
        <v>188702.63</v>
      </c>
      <c r="BM166" s="154">
        <f t="shared" si="62"/>
        <v>62271.87</v>
      </c>
      <c r="BN166" s="101"/>
      <c r="BO166" s="154">
        <f>(BL166*'1. UC Assumptions'!$C$23)-'3.  UC Calculations by Hospital'!BM166</f>
        <v>-2.1000000051571988E-3</v>
      </c>
      <c r="BP166" s="13"/>
    </row>
    <row r="167" spans="1:68">
      <c r="B167" s="129" t="s">
        <v>623</v>
      </c>
      <c r="C167" s="91" t="s">
        <v>623</v>
      </c>
      <c r="D167" s="91" t="s">
        <v>208</v>
      </c>
      <c r="E167" s="91" t="s">
        <v>149</v>
      </c>
      <c r="F167" s="91"/>
      <c r="G167" s="91" t="s">
        <v>209</v>
      </c>
      <c r="H167" s="91" t="s">
        <v>209</v>
      </c>
      <c r="I167" s="150" t="s">
        <v>210</v>
      </c>
      <c r="J167" s="129" t="s">
        <v>624</v>
      </c>
      <c r="K167" s="91" t="s">
        <v>12</v>
      </c>
      <c r="L167" s="91" t="s">
        <v>625</v>
      </c>
      <c r="M167" s="151">
        <v>-299978.78717004793</v>
      </c>
      <c r="N167" s="151">
        <v>890305.86259186605</v>
      </c>
      <c r="O167" s="131">
        <v>577836.6401957632</v>
      </c>
      <c r="P167" s="131">
        <f t="shared" si="42"/>
        <v>312469.22239610285</v>
      </c>
      <c r="Q167" s="131">
        <v>1055528.8280103169</v>
      </c>
      <c r="R167" s="131">
        <v>557407.6</v>
      </c>
      <c r="S167" s="131">
        <f t="shared" si="43"/>
        <v>544917.16477394511</v>
      </c>
      <c r="T167" s="131">
        <f t="shared" si="44"/>
        <v>510611.66323637182</v>
      </c>
      <c r="U167" s="131">
        <v>0</v>
      </c>
      <c r="V167" s="131">
        <v>0</v>
      </c>
      <c r="W167" s="131">
        <v>0</v>
      </c>
      <c r="X167" s="131">
        <v>0</v>
      </c>
      <c r="Y167" s="131">
        <v>0</v>
      </c>
      <c r="Z167" s="131">
        <f t="shared" si="45"/>
        <v>0</v>
      </c>
      <c r="AA167" s="131">
        <v>0</v>
      </c>
      <c r="AB167" s="152">
        <f t="shared" si="46"/>
        <v>510611.66323637182</v>
      </c>
      <c r="AC167" s="133">
        <f>IF(D167="Physician Group Practice",(AB167/$AB$393)*'1. UC Assumptions'!$C$15,IF(E167="Rural Hospital",AB167*'1. UC Assumptions'!$C$7/'1. UC Assumptions'!$E$7,(AB167/$AB$397)*('1. UC Assumptions'!$C$9)))</f>
        <v>476623.06587617256</v>
      </c>
      <c r="AD167" s="133">
        <f t="shared" si="47"/>
        <v>0</v>
      </c>
      <c r="AE167" s="133">
        <f t="shared" si="48"/>
        <v>33988.597360199259</v>
      </c>
      <c r="AF167" s="133">
        <f t="shared" si="49"/>
        <v>0</v>
      </c>
      <c r="AG167" s="133">
        <f t="shared" si="50"/>
        <v>33988.597360199259</v>
      </c>
      <c r="AH167" s="133">
        <f t="shared" si="51"/>
        <v>476623.06587617256</v>
      </c>
      <c r="AI167" s="131">
        <f>AH167*'1. UC Assumptions'!$C$23</f>
        <v>157285.61173913692</v>
      </c>
      <c r="AJ167" s="131">
        <v>404125.38</v>
      </c>
      <c r="AK167" s="131">
        <f>AJ167*(1-'1. UC Assumptions'!$C$22)</f>
        <v>133361.37539999999</v>
      </c>
      <c r="AL167" s="131"/>
      <c r="AM167" s="131">
        <f>AL167*'1. UC Assumptions'!$C$23</f>
        <v>0</v>
      </c>
      <c r="AN167" s="153">
        <f t="shared" si="52"/>
        <v>510611.66323637182</v>
      </c>
      <c r="AO167" s="151">
        <f>AN167*'1. UC Assumptions'!$C$23</f>
        <v>168501.84886800268</v>
      </c>
      <c r="AP167" s="151">
        <f t="shared" si="53"/>
        <v>106486.28323637182</v>
      </c>
      <c r="AQ167" s="151">
        <f t="shared" si="54"/>
        <v>35140.473468002689</v>
      </c>
      <c r="AR167" s="151">
        <f t="shared" si="55"/>
        <v>35140.473468002689</v>
      </c>
      <c r="AS167" s="151">
        <f t="shared" si="56"/>
        <v>168501.84886800268</v>
      </c>
      <c r="AT167" s="151">
        <f>IF(K167="Bexar",(AG167/$AT$1)*'1. UC Assumptions'!$E$44-(AH167/$AT$2)*'1. UC Assumptions'!$E$42,0)</f>
        <v>0</v>
      </c>
      <c r="AU167" s="151">
        <f>IF(K167="Dallas",(AG167/$AU$1)*'1. UC Assumptions'!$F$44-(AH167/$AU$2)*'1. UC Assumptions'!$F$42,0)</f>
        <v>0</v>
      </c>
      <c r="AV167" s="151">
        <f>IF(K167="El Paso",(AG167/$AV$1)*'1. UC Assumptions'!$G$44-(AH167/$AV$2)*'1. UC Assumptions'!$G$42,0)</f>
        <v>0</v>
      </c>
      <c r="AW167" s="151">
        <f>IF(K167="Harris",(AG167/$AW$1)*'1. UC Assumptions'!$H$44-(AH167/$AW$2)*'1. UC Assumptions'!$H$42,0)</f>
        <v>0</v>
      </c>
      <c r="AX167" s="151">
        <f>IF(K167="Hidalgo",(AG167/$AX$1)*'1. UC Assumptions'!$I$44-(AH167/$AX$2)*'1. UC Assumptions'!$I$42,0)</f>
        <v>0</v>
      </c>
      <c r="AY167" s="151">
        <f>IF(K167="Jefferson",(AG167/$AY$1)*'1. UC Assumptions'!$J$44-(AH167/$AY$2)*'1. UC Assumptions'!$J$42,0)</f>
        <v>0</v>
      </c>
      <c r="AZ167" s="151">
        <f>IF(K167="Lubbock",(AG167/$AZ$1)*'1. UC Assumptions'!$K$44-(AH167/$AZ$2)*'1. UC Assumptions'!$K$42,0)</f>
        <v>0</v>
      </c>
      <c r="BA167" s="151">
        <f>IF(K167="MRSA Central",(AG167/$BA$1)*'1. UC Assumptions'!$L$44-(AH167/$BA$2)*'1. UC Assumptions'!$L$42,0)</f>
        <v>0</v>
      </c>
      <c r="BB167" s="151">
        <f>IF(K167="MRSA Northeast",(AG167/$BB$1)*'1. UC Assumptions'!$M$44-(AH167/$BB$2)*'1. UC Assumptions'!$M$42,0)</f>
        <v>0</v>
      </c>
      <c r="BC167" s="151">
        <f>IF(K167="MRSA West",(AG167/$BC$1)*'1. UC Assumptions'!$N$44-(AH167/$BC$2)*'1. UC Assumptions'!$N$42,0)</f>
        <v>0</v>
      </c>
      <c r="BD167" s="151">
        <f>IF(K167="Nueces",(AG167/$BD$1)*'1. UC Assumptions'!$O$44-(AH167/$BD$2)*'1. UC Assumptions'!$O$42,0)</f>
        <v>0</v>
      </c>
      <c r="BE167" s="151">
        <f>IF(K167="Tarrant",(AG167/$BE$1)*'1. UC Assumptions'!$P$44-(AH167/$BE$2)*'1. UC Assumptions'!$P$42,0)</f>
        <v>0</v>
      </c>
      <c r="BF167" s="151">
        <f>IF(K167="Travis",(AG167/$BF$1)*'1. UC Assumptions'!$Q$44-(AH167/$BF$2)*'1. UC Assumptions'!$Q$42,0)</f>
        <v>0</v>
      </c>
      <c r="BG167" s="151">
        <f t="shared" si="57"/>
        <v>0</v>
      </c>
      <c r="BH167" s="151">
        <f t="shared" si="58"/>
        <v>476623.06587617256</v>
      </c>
      <c r="BI167" s="151">
        <f>ROUNDDOWN(BH167*'1. UC Assumptions'!$C$23,2)</f>
        <v>157285.60999999999</v>
      </c>
      <c r="BJ167" s="154">
        <f t="shared" si="59"/>
        <v>72497.68587617256</v>
      </c>
      <c r="BK167" s="154">
        <f t="shared" si="60"/>
        <v>23924.234599999996</v>
      </c>
      <c r="BL167" s="154">
        <f t="shared" si="61"/>
        <v>66931.320000000007</v>
      </c>
      <c r="BM167" s="154">
        <f t="shared" si="62"/>
        <v>22087.33</v>
      </c>
      <c r="BN167" s="101"/>
      <c r="BO167" s="154">
        <f>(BL167*'1. UC Assumptions'!$C$23)-'3.  UC Calculations by Hospital'!BM167</f>
        <v>5.5999999967752956E-3</v>
      </c>
      <c r="BP167" s="13"/>
    </row>
    <row r="168" spans="1:68" ht="15">
      <c r="A168" s="98"/>
      <c r="B168" s="129" t="s">
        <v>626</v>
      </c>
      <c r="C168" s="91" t="s">
        <v>626</v>
      </c>
      <c r="D168" s="91" t="s">
        <v>214</v>
      </c>
      <c r="E168" s="91" t="s">
        <v>149</v>
      </c>
      <c r="F168" s="91"/>
      <c r="G168" s="91" t="s">
        <v>209</v>
      </c>
      <c r="H168" s="91" t="s">
        <v>209</v>
      </c>
      <c r="I168" s="150" t="s">
        <v>210</v>
      </c>
      <c r="J168" s="129" t="s">
        <v>627</v>
      </c>
      <c r="K168" s="91" t="s">
        <v>10</v>
      </c>
      <c r="L168" s="91" t="s">
        <v>628</v>
      </c>
      <c r="M168" s="151">
        <v>45088.900281241411</v>
      </c>
      <c r="N168" s="151">
        <v>959779.44113573525</v>
      </c>
      <c r="O168" s="131">
        <v>403810.06717560318</v>
      </c>
      <c r="P168" s="131">
        <f t="shared" si="42"/>
        <v>555969.37396013201</v>
      </c>
      <c r="Q168" s="131">
        <v>1222169.4000350465</v>
      </c>
      <c r="R168" s="131">
        <v>322534.41000000003</v>
      </c>
      <c r="S168" s="131">
        <f t="shared" si="43"/>
        <v>0</v>
      </c>
      <c r="T168" s="131">
        <f t="shared" si="44"/>
        <v>1222169.4000350465</v>
      </c>
      <c r="U168" s="131">
        <v>0</v>
      </c>
      <c r="V168" s="131">
        <v>0</v>
      </c>
      <c r="W168" s="131">
        <v>0</v>
      </c>
      <c r="X168" s="131">
        <v>0</v>
      </c>
      <c r="Y168" s="131">
        <v>396963</v>
      </c>
      <c r="Z168" s="131">
        <f t="shared" si="45"/>
        <v>396963</v>
      </c>
      <c r="AA168" s="131">
        <v>0</v>
      </c>
      <c r="AB168" s="152">
        <f t="shared" si="46"/>
        <v>1619132.4000350465</v>
      </c>
      <c r="AC168" s="133">
        <f>IF(D168="Physician Group Practice",(AB168/$AB$393)*'1. UC Assumptions'!$C$15,IF(E168="Rural Hospital",AB168*'1. UC Assumptions'!$C$7/'1. UC Assumptions'!$E$7,(AB168/$AB$397)*('1. UC Assumptions'!$C$9)))</f>
        <v>1511355.7016556191</v>
      </c>
      <c r="AD168" s="133">
        <f t="shared" si="47"/>
        <v>0</v>
      </c>
      <c r="AE168" s="133">
        <f t="shared" si="48"/>
        <v>107776.69837942743</v>
      </c>
      <c r="AF168" s="133">
        <f t="shared" si="49"/>
        <v>0</v>
      </c>
      <c r="AG168" s="133">
        <f t="shared" si="50"/>
        <v>107776.69837942743</v>
      </c>
      <c r="AH168" s="133">
        <f t="shared" si="51"/>
        <v>1511355.7016556191</v>
      </c>
      <c r="AI168" s="131">
        <f>AH168*'1. UC Assumptions'!$C$23</f>
        <v>498747.38154635421</v>
      </c>
      <c r="AJ168" s="99">
        <v>721993.93</v>
      </c>
      <c r="AK168" s="131">
        <f>AJ168*(1-'1. UC Assumptions'!$C$22)</f>
        <v>238257.9969</v>
      </c>
      <c r="AL168" s="131"/>
      <c r="AM168" s="131">
        <f>AL168*'1. UC Assumptions'!$C$23</f>
        <v>0</v>
      </c>
      <c r="AN168" s="153">
        <f t="shared" si="52"/>
        <v>1619132.4000350465</v>
      </c>
      <c r="AO168" s="151">
        <f>AN168*'1. UC Assumptions'!$C$23</f>
        <v>534313.69201156532</v>
      </c>
      <c r="AP168" s="151">
        <f t="shared" si="53"/>
        <v>897138.47003504646</v>
      </c>
      <c r="AQ168" s="151">
        <f t="shared" si="54"/>
        <v>296055.69511156529</v>
      </c>
      <c r="AR168" s="151">
        <f t="shared" si="55"/>
        <v>296055.69511156529</v>
      </c>
      <c r="AS168" s="151">
        <f t="shared" si="56"/>
        <v>534313.69201156532</v>
      </c>
      <c r="AT168" s="151">
        <f>IF(K168="Bexar",(AG168/$AT$1)*'1. UC Assumptions'!$E$44-(AH168/$AT$2)*'1. UC Assumptions'!$E$42,0)</f>
        <v>0</v>
      </c>
      <c r="AU168" s="151">
        <f>IF(K168="Dallas",(AG168/$AU$1)*'1. UC Assumptions'!$F$44-(AH168/$AU$2)*'1. UC Assumptions'!$F$42,0)</f>
        <v>0</v>
      </c>
      <c r="AV168" s="151">
        <f>IF(K168="El Paso",(AG168/$AV$1)*'1. UC Assumptions'!$G$44-(AH168/$AV$2)*'1. UC Assumptions'!$G$42,0)</f>
        <v>0</v>
      </c>
      <c r="AW168" s="151">
        <f>IF(K168="Harris",(AG168/$AW$1)*'1. UC Assumptions'!$H$44-(AH168/$AW$2)*'1. UC Assumptions'!$H$42,0)</f>
        <v>0</v>
      </c>
      <c r="AX168" s="151">
        <f>IF(K168="Hidalgo",(AG168/$AX$1)*'1. UC Assumptions'!$I$44-(AH168/$AX$2)*'1. UC Assumptions'!$I$42,0)</f>
        <v>0</v>
      </c>
      <c r="AY168" s="151">
        <f>IF(K168="Jefferson",(AG168/$AY$1)*'1. UC Assumptions'!$J$44-(AH168/$AY$2)*'1. UC Assumptions'!$J$42,0)</f>
        <v>0</v>
      </c>
      <c r="AZ168" s="151">
        <f>IF(K168="Lubbock",(AG168/$AZ$1)*'1. UC Assumptions'!$K$44-(AH168/$AZ$2)*'1. UC Assumptions'!$K$42,0)</f>
        <v>0</v>
      </c>
      <c r="BA168" s="151">
        <f>IF(K168="MRSA Central",(AG168/$BA$1)*'1. UC Assumptions'!$L$44-(AH168/$BA$2)*'1. UC Assumptions'!$L$42,0)</f>
        <v>0</v>
      </c>
      <c r="BB168" s="151">
        <f>IF(K168="MRSA Northeast",(AG168/$BB$1)*'1. UC Assumptions'!$M$44-(AH168/$BB$2)*'1. UC Assumptions'!$M$42,0)</f>
        <v>0</v>
      </c>
      <c r="BC168" s="151">
        <f>IF(K168="MRSA West",(AG168/$BC$1)*'1. UC Assumptions'!$N$44-(AH168/$BC$2)*'1. UC Assumptions'!$N$42,0)</f>
        <v>0</v>
      </c>
      <c r="BD168" s="151">
        <f>IF(K168="Nueces",(AG168/$BD$1)*'1. UC Assumptions'!$O$44-(AH168/$BD$2)*'1. UC Assumptions'!$O$42,0)</f>
        <v>0</v>
      </c>
      <c r="BE168" s="151">
        <f>IF(K168="Tarrant",(AG168/$BE$1)*'1. UC Assumptions'!$P$44-(AH168/$BE$2)*'1. UC Assumptions'!$P$42,0)</f>
        <v>0</v>
      </c>
      <c r="BF168" s="151">
        <f>IF(K168="Travis",(AG168/$BF$1)*'1. UC Assumptions'!$Q$44-(AH168/$BF$2)*'1. UC Assumptions'!$Q$42,0)</f>
        <v>0</v>
      </c>
      <c r="BG168" s="151">
        <f t="shared" si="57"/>
        <v>0</v>
      </c>
      <c r="BH168" s="151">
        <f t="shared" si="58"/>
        <v>1511355.7016556191</v>
      </c>
      <c r="BI168" s="151">
        <f>ROUNDDOWN(BH168*'1. UC Assumptions'!$C$23,2)</f>
        <v>498747.38</v>
      </c>
      <c r="BJ168" s="154">
        <f t="shared" si="59"/>
        <v>789361.77165561903</v>
      </c>
      <c r="BK168" s="154">
        <f t="shared" si="60"/>
        <v>260489.38310000001</v>
      </c>
      <c r="BL168" s="154">
        <f t="shared" si="61"/>
        <v>728754.64</v>
      </c>
      <c r="BM168" s="154">
        <f t="shared" si="62"/>
        <v>240489.03</v>
      </c>
      <c r="BN168" s="101"/>
      <c r="BO168" s="154">
        <f>(BL168*'1. UC Assumptions'!$C$23)-'3.  UC Calculations by Hospital'!BM168</f>
        <v>1.1999999696854502E-3</v>
      </c>
      <c r="BP168" s="13"/>
    </row>
    <row r="169" spans="1:68" ht="15">
      <c r="A169" s="98"/>
      <c r="B169" s="129" t="s">
        <v>113</v>
      </c>
      <c r="C169" s="91" t="s">
        <v>113</v>
      </c>
      <c r="D169" s="91" t="s">
        <v>281</v>
      </c>
      <c r="E169" s="91" t="s">
        <v>209</v>
      </c>
      <c r="F169" s="91"/>
      <c r="G169" s="91" t="s">
        <v>209</v>
      </c>
      <c r="H169" s="91" t="s">
        <v>209</v>
      </c>
      <c r="I169" s="150" t="s">
        <v>283</v>
      </c>
      <c r="J169" s="129" t="s">
        <v>629</v>
      </c>
      <c r="K169" s="91" t="s">
        <v>3</v>
      </c>
      <c r="L169" s="91" t="s">
        <v>3</v>
      </c>
      <c r="M169" s="151">
        <v>2646247.0939041534</v>
      </c>
      <c r="N169" s="151">
        <v>13844956.497361921</v>
      </c>
      <c r="O169" s="131">
        <v>0</v>
      </c>
      <c r="P169" s="131">
        <f t="shared" si="42"/>
        <v>13844956.497361921</v>
      </c>
      <c r="Q169" s="131">
        <v>0</v>
      </c>
      <c r="R169" s="131">
        <v>14842083</v>
      </c>
      <c r="S169" s="131">
        <f t="shared" si="43"/>
        <v>0</v>
      </c>
      <c r="T169" s="131">
        <f t="shared" si="44"/>
        <v>0</v>
      </c>
      <c r="U169" s="131">
        <v>0</v>
      </c>
      <c r="V169" s="131">
        <v>0</v>
      </c>
      <c r="W169" s="131">
        <v>2216</v>
      </c>
      <c r="X169" s="131">
        <v>0</v>
      </c>
      <c r="Y169" s="131">
        <v>531920</v>
      </c>
      <c r="Z169" s="131">
        <f t="shared" si="45"/>
        <v>534136</v>
      </c>
      <c r="AA169" s="131">
        <v>0</v>
      </c>
      <c r="AB169" s="152">
        <f t="shared" si="46"/>
        <v>2216</v>
      </c>
      <c r="AC169" s="133">
        <f>IF(D169="Physician Group Practice",(AB169/$AB$393)*'1. UC Assumptions'!$C$15,IF(E169="Rural Hospital",AB169*'1. UC Assumptions'!$C$7/'1. UC Assumptions'!$E$7,(AB169/$AB$397)*('1. UC Assumptions'!$C$9)))</f>
        <v>1041.8426644778006</v>
      </c>
      <c r="AD169" s="133">
        <f t="shared" si="47"/>
        <v>0</v>
      </c>
      <c r="AE169" s="133">
        <f t="shared" si="48"/>
        <v>1174.1573355221994</v>
      </c>
      <c r="AF169" s="133">
        <f t="shared" si="49"/>
        <v>0</v>
      </c>
      <c r="AG169" s="133">
        <f t="shared" si="50"/>
        <v>1174.1573355221994</v>
      </c>
      <c r="AH169" s="133">
        <f t="shared" si="51"/>
        <v>1041.8426644778006</v>
      </c>
      <c r="AI169" s="131">
        <f>AH169*'1. UC Assumptions'!$C$23</f>
        <v>343.80807927767415</v>
      </c>
      <c r="AJ169" s="131">
        <v>132322.29</v>
      </c>
      <c r="AK169" s="131">
        <f>AJ169*(1-'1. UC Assumptions'!$C$22)</f>
        <v>43666.3557</v>
      </c>
      <c r="AL169" s="131"/>
      <c r="AM169" s="131">
        <f>AL169*'1. UC Assumptions'!$C$23</f>
        <v>0</v>
      </c>
      <c r="AN169" s="153">
        <f t="shared" si="52"/>
        <v>2216</v>
      </c>
      <c r="AO169" s="151">
        <f>AN169*'1. UC Assumptions'!$C$23</f>
        <v>731.27999999999986</v>
      </c>
      <c r="AP169" s="151">
        <f t="shared" si="53"/>
        <v>2216</v>
      </c>
      <c r="AQ169" s="151">
        <f t="shared" si="54"/>
        <v>731.27999999999986</v>
      </c>
      <c r="AR169" s="151">
        <f t="shared" si="55"/>
        <v>731.27999999999986</v>
      </c>
      <c r="AS169" s="151">
        <f t="shared" si="56"/>
        <v>731.27999999999986</v>
      </c>
      <c r="AT169" s="151">
        <f>IF(K169="Bexar",(AG169/$AT$1)*'1. UC Assumptions'!$E$44-(AH169/$AT$2)*'1. UC Assumptions'!$E$42,0)</f>
        <v>0</v>
      </c>
      <c r="AU169" s="151">
        <f>IF(K169="Dallas",(AG169/$AU$1)*'1. UC Assumptions'!$F$44-(AH169/$AU$2)*'1. UC Assumptions'!$F$42,0)</f>
        <v>0</v>
      </c>
      <c r="AV169" s="151">
        <f>IF(K169="El Paso",(AG169/$AV$1)*'1. UC Assumptions'!$G$44-(AH169/$AV$2)*'1. UC Assumptions'!$G$42,0)</f>
        <v>0</v>
      </c>
      <c r="AW169" s="151">
        <f>IF(K169="Harris",(AG169/$AW$1)*'1. UC Assumptions'!$H$44-(AH169/$AW$2)*'1. UC Assumptions'!$H$42,0)</f>
        <v>0</v>
      </c>
      <c r="AX169" s="151">
        <f>IF(K169="Hidalgo",(AG169/$AX$1)*'1. UC Assumptions'!$I$44-(AH169/$AX$2)*'1. UC Assumptions'!$I$42,0)</f>
        <v>0</v>
      </c>
      <c r="AY169" s="151">
        <f>IF(K169="Jefferson",(AG169/$AY$1)*'1. UC Assumptions'!$J$44-(AH169/$AY$2)*'1. UC Assumptions'!$J$42,0)</f>
        <v>0</v>
      </c>
      <c r="AZ169" s="151">
        <f>IF(K169="Lubbock",(AG169/$AZ$1)*'1. UC Assumptions'!$K$44-(AH169/$AZ$2)*'1. UC Assumptions'!$K$42,0)</f>
        <v>0</v>
      </c>
      <c r="BA169" s="151">
        <f>IF(K169="MRSA Central",(AG169/$BA$1)*'1. UC Assumptions'!$L$44-(AH169/$BA$2)*'1. UC Assumptions'!$L$42,0)</f>
        <v>0</v>
      </c>
      <c r="BB169" s="151">
        <f>IF(K169="MRSA Northeast",(AG169/$BB$1)*'1. UC Assumptions'!$M$44-(AH169/$BB$2)*'1. UC Assumptions'!$M$42,0)</f>
        <v>0</v>
      </c>
      <c r="BC169" s="151">
        <f>IF(K169="MRSA West",(AG169/$BC$1)*'1. UC Assumptions'!$N$44-(AH169/$BC$2)*'1. UC Assumptions'!$N$42,0)</f>
        <v>0</v>
      </c>
      <c r="BD169" s="151">
        <f>IF(K169="Nueces",(AG169/$BD$1)*'1. UC Assumptions'!$O$44-(AH169/$BD$2)*'1. UC Assumptions'!$O$42,0)</f>
        <v>0</v>
      </c>
      <c r="BE169" s="151">
        <f>IF(K169="Tarrant",(AG169/$BE$1)*'1. UC Assumptions'!$P$44-(AH169/$BE$2)*'1. UC Assumptions'!$P$42,0)</f>
        <v>0</v>
      </c>
      <c r="BF169" s="151">
        <f>IF(K169="Travis",(AG169/$BF$1)*'1. UC Assumptions'!$Q$44-(AH169/$BF$2)*'1. UC Assumptions'!$Q$42,0)</f>
        <v>0</v>
      </c>
      <c r="BG169" s="151">
        <f t="shared" si="57"/>
        <v>0</v>
      </c>
      <c r="BH169" s="151">
        <f t="shared" si="58"/>
        <v>1041.8426644778006</v>
      </c>
      <c r="BI169" s="151">
        <f>ROUNDDOWN(BH169*'1. UC Assumptions'!$C$23,2)</f>
        <v>343.8</v>
      </c>
      <c r="BJ169" s="154">
        <f t="shared" si="59"/>
        <v>1041.8426644778006</v>
      </c>
      <c r="BK169" s="154">
        <f t="shared" si="60"/>
        <v>343.8</v>
      </c>
      <c r="BL169" s="154">
        <f t="shared" si="61"/>
        <v>961.85</v>
      </c>
      <c r="BM169" s="154">
        <f t="shared" si="62"/>
        <v>317.39999999999998</v>
      </c>
      <c r="BN169" s="101"/>
      <c r="BO169" s="154">
        <f>(BL169*'1. UC Assumptions'!$C$23)-'3.  UC Calculations by Hospital'!BM169</f>
        <v>1.0499999999979082E-2</v>
      </c>
      <c r="BP169" s="13"/>
    </row>
    <row r="170" spans="1:68">
      <c r="B170" s="129" t="s">
        <v>630</v>
      </c>
      <c r="C170" s="91" t="s">
        <v>630</v>
      </c>
      <c r="D170" s="91" t="s">
        <v>214</v>
      </c>
      <c r="E170" s="91" t="s">
        <v>149</v>
      </c>
      <c r="F170" s="91"/>
      <c r="G170" s="91" t="s">
        <v>209</v>
      </c>
      <c r="H170" s="91" t="s">
        <v>209</v>
      </c>
      <c r="I170" s="150" t="s">
        <v>210</v>
      </c>
      <c r="J170" s="129" t="s">
        <v>631</v>
      </c>
      <c r="K170" s="91" t="s">
        <v>9</v>
      </c>
      <c r="L170" s="91" t="s">
        <v>632</v>
      </c>
      <c r="M170" s="151">
        <v>-1106533.1422788599</v>
      </c>
      <c r="N170" s="151">
        <v>1538091.7512871446</v>
      </c>
      <c r="O170" s="131">
        <v>908610.83921538561</v>
      </c>
      <c r="P170" s="131">
        <f t="shared" si="42"/>
        <v>629480.912071759</v>
      </c>
      <c r="Q170" s="131">
        <v>1624216.3850235904</v>
      </c>
      <c r="R170" s="131">
        <v>416183.65</v>
      </c>
      <c r="S170" s="131">
        <f t="shared" si="43"/>
        <v>416183.65</v>
      </c>
      <c r="T170" s="131">
        <f t="shared" si="44"/>
        <v>1208032.7350235903</v>
      </c>
      <c r="U170" s="131">
        <v>0</v>
      </c>
      <c r="V170" s="131">
        <v>0</v>
      </c>
      <c r="W170" s="131">
        <v>0</v>
      </c>
      <c r="X170" s="131">
        <v>0</v>
      </c>
      <c r="Y170" s="131">
        <v>0</v>
      </c>
      <c r="Z170" s="131">
        <f t="shared" si="45"/>
        <v>0</v>
      </c>
      <c r="AA170" s="131">
        <v>0</v>
      </c>
      <c r="AB170" s="152">
        <f t="shared" si="46"/>
        <v>1208032.7350235903</v>
      </c>
      <c r="AC170" s="133">
        <f>IF(D170="Physician Group Practice",(AB170/$AB$393)*'1. UC Assumptions'!$C$15,IF(E170="Rural Hospital",AB170*'1. UC Assumptions'!$C$7/'1. UC Assumptions'!$E$7,(AB170/$AB$397)*('1. UC Assumptions'!$C$9)))</f>
        <v>1127620.6700730685</v>
      </c>
      <c r="AD170" s="133">
        <f t="shared" si="47"/>
        <v>0</v>
      </c>
      <c r="AE170" s="133">
        <f t="shared" si="48"/>
        <v>80412.064950521803</v>
      </c>
      <c r="AF170" s="133">
        <f t="shared" si="49"/>
        <v>0</v>
      </c>
      <c r="AG170" s="133">
        <f t="shared" si="50"/>
        <v>80412.064950521803</v>
      </c>
      <c r="AH170" s="133">
        <f t="shared" si="51"/>
        <v>1127620.6700730685</v>
      </c>
      <c r="AI170" s="131">
        <f>AH170*'1. UC Assumptions'!$C$23</f>
        <v>372114.82112411252</v>
      </c>
      <c r="AJ170" s="131">
        <v>631958.23</v>
      </c>
      <c r="AK170" s="131">
        <f>AJ170*(1-'1. UC Assumptions'!$C$22)</f>
        <v>208546.21589999998</v>
      </c>
      <c r="AL170" s="131"/>
      <c r="AM170" s="131">
        <f>AL170*'1. UC Assumptions'!$C$23</f>
        <v>0</v>
      </c>
      <c r="AN170" s="153">
        <f t="shared" si="52"/>
        <v>1208032.7350235903</v>
      </c>
      <c r="AO170" s="151">
        <f>AN170*'1. UC Assumptions'!$C$23</f>
        <v>398650.80255778471</v>
      </c>
      <c r="AP170" s="151">
        <f t="shared" si="53"/>
        <v>576074.50502359029</v>
      </c>
      <c r="AQ170" s="151">
        <f t="shared" si="54"/>
        <v>190104.58665778473</v>
      </c>
      <c r="AR170" s="151">
        <f t="shared" si="55"/>
        <v>190104.58665778473</v>
      </c>
      <c r="AS170" s="151">
        <f t="shared" si="56"/>
        <v>398650.80255778471</v>
      </c>
      <c r="AT170" s="151">
        <f>IF(K170="Bexar",(AG170/$AT$1)*'1. UC Assumptions'!$E$44-(AH170/$AT$2)*'1. UC Assumptions'!$E$42,0)</f>
        <v>0</v>
      </c>
      <c r="AU170" s="151">
        <f>IF(K170="Dallas",(AG170/$AU$1)*'1. UC Assumptions'!$F$44-(AH170/$AU$2)*'1. UC Assumptions'!$F$42,0)</f>
        <v>0</v>
      </c>
      <c r="AV170" s="151">
        <f>IF(K170="El Paso",(AG170/$AV$1)*'1. UC Assumptions'!$G$44-(AH170/$AV$2)*'1. UC Assumptions'!$G$42,0)</f>
        <v>0</v>
      </c>
      <c r="AW170" s="151">
        <f>IF(K170="Harris",(AG170/$AW$1)*'1. UC Assumptions'!$H$44-(AH170/$AW$2)*'1. UC Assumptions'!$H$42,0)</f>
        <v>0</v>
      </c>
      <c r="AX170" s="151">
        <f>IF(K170="Hidalgo",(AG170/$AX$1)*'1. UC Assumptions'!$I$44-(AH170/$AX$2)*'1. UC Assumptions'!$I$42,0)</f>
        <v>0</v>
      </c>
      <c r="AY170" s="151">
        <f>IF(K170="Jefferson",(AG170/$AY$1)*'1. UC Assumptions'!$J$44-(AH170/$AY$2)*'1. UC Assumptions'!$J$42,0)</f>
        <v>0</v>
      </c>
      <c r="AZ170" s="151">
        <f>IF(K170="Lubbock",(AG170/$AZ$1)*'1. UC Assumptions'!$K$44-(AH170/$AZ$2)*'1. UC Assumptions'!$K$42,0)</f>
        <v>0</v>
      </c>
      <c r="BA170" s="151">
        <f>IF(K170="MRSA Central",(AG170/$BA$1)*'1. UC Assumptions'!$L$44-(AH170/$BA$2)*'1. UC Assumptions'!$L$42,0)</f>
        <v>0</v>
      </c>
      <c r="BB170" s="151">
        <f>IF(K170="MRSA Northeast",(AG170/$BB$1)*'1. UC Assumptions'!$M$44-(AH170/$BB$2)*'1. UC Assumptions'!$M$42,0)</f>
        <v>0</v>
      </c>
      <c r="BC170" s="151">
        <f>IF(K170="MRSA West",(AG170/$BC$1)*'1. UC Assumptions'!$N$44-(AH170/$BC$2)*'1. UC Assumptions'!$N$42,0)</f>
        <v>0</v>
      </c>
      <c r="BD170" s="151">
        <f>IF(K170="Nueces",(AG170/$BD$1)*'1. UC Assumptions'!$O$44-(AH170/$BD$2)*'1. UC Assumptions'!$O$42,0)</f>
        <v>0</v>
      </c>
      <c r="BE170" s="151">
        <f>IF(K170="Tarrant",(AG170/$BE$1)*'1. UC Assumptions'!$P$44-(AH170/$BE$2)*'1. UC Assumptions'!$P$42,0)</f>
        <v>0</v>
      </c>
      <c r="BF170" s="151">
        <f>IF(K170="Travis",(AG170/$BF$1)*'1. UC Assumptions'!$Q$44-(AH170/$BF$2)*'1. UC Assumptions'!$Q$42,0)</f>
        <v>0</v>
      </c>
      <c r="BG170" s="151">
        <f t="shared" si="57"/>
        <v>0</v>
      </c>
      <c r="BH170" s="151">
        <f t="shared" si="58"/>
        <v>1127620.6700730685</v>
      </c>
      <c r="BI170" s="151">
        <f>ROUNDDOWN(BH170*'1. UC Assumptions'!$C$23,2)</f>
        <v>372114.82</v>
      </c>
      <c r="BJ170" s="154">
        <f t="shared" si="59"/>
        <v>495662.44007306849</v>
      </c>
      <c r="BK170" s="154">
        <f t="shared" si="60"/>
        <v>163568.60410000003</v>
      </c>
      <c r="BL170" s="154">
        <f t="shared" si="61"/>
        <v>457605.52</v>
      </c>
      <c r="BM170" s="154">
        <f t="shared" si="62"/>
        <v>151009.82</v>
      </c>
      <c r="BN170" s="101"/>
      <c r="BO170" s="154">
        <f>(BL170*'1. UC Assumptions'!$C$23)-'3.  UC Calculations by Hospital'!BM170</f>
        <v>1.5999999886844307E-3</v>
      </c>
      <c r="BP170" s="13"/>
    </row>
    <row r="171" spans="1:68">
      <c r="B171" s="129" t="s">
        <v>114</v>
      </c>
      <c r="C171" s="91" t="s">
        <v>114</v>
      </c>
      <c r="D171" s="91" t="s">
        <v>281</v>
      </c>
      <c r="E171" s="91" t="s">
        <v>209</v>
      </c>
      <c r="F171" s="91"/>
      <c r="G171" s="91" t="s">
        <v>282</v>
      </c>
      <c r="H171" s="91" t="s">
        <v>209</v>
      </c>
      <c r="I171" s="150" t="s">
        <v>283</v>
      </c>
      <c r="J171" s="129" t="s">
        <v>633</v>
      </c>
      <c r="K171" s="91" t="s">
        <v>11</v>
      </c>
      <c r="L171" s="91" t="s">
        <v>634</v>
      </c>
      <c r="M171" s="151">
        <v>1401390.1194444031</v>
      </c>
      <c r="N171" s="151">
        <v>51735709.171184637</v>
      </c>
      <c r="O171" s="131">
        <v>0</v>
      </c>
      <c r="P171" s="131">
        <f t="shared" si="42"/>
        <v>51735709.171184637</v>
      </c>
      <c r="Q171" s="131">
        <v>0</v>
      </c>
      <c r="R171" s="131">
        <v>0</v>
      </c>
      <c r="S171" s="131">
        <f t="shared" si="43"/>
        <v>0</v>
      </c>
      <c r="T171" s="131">
        <f t="shared" si="44"/>
        <v>0</v>
      </c>
      <c r="U171" s="131">
        <v>0</v>
      </c>
      <c r="V171" s="131">
        <v>0</v>
      </c>
      <c r="W171" s="131">
        <v>5239</v>
      </c>
      <c r="X171" s="131">
        <v>0</v>
      </c>
      <c r="Y171" s="131">
        <v>127491</v>
      </c>
      <c r="Z171" s="131">
        <f t="shared" si="45"/>
        <v>132730</v>
      </c>
      <c r="AA171" s="131">
        <v>0</v>
      </c>
      <c r="AB171" s="152">
        <f t="shared" si="46"/>
        <v>5239</v>
      </c>
      <c r="AC171" s="133">
        <f>IF(D171="Physician Group Practice",(AB171/$AB$393)*'1. UC Assumptions'!$C$15,IF(E171="Rural Hospital",AB171*'1. UC Assumptions'!$C$7/'1. UC Assumptions'!$E$7,(AB171/$AB$397)*('1. UC Assumptions'!$C$9)))</f>
        <v>2463.0928335736448</v>
      </c>
      <c r="AD171" s="133">
        <f t="shared" si="47"/>
        <v>0</v>
      </c>
      <c r="AE171" s="133">
        <f t="shared" si="48"/>
        <v>2775.9071664263552</v>
      </c>
      <c r="AF171" s="133">
        <f t="shared" si="49"/>
        <v>0</v>
      </c>
      <c r="AG171" s="133">
        <f t="shared" si="50"/>
        <v>2775.9071664263552</v>
      </c>
      <c r="AH171" s="133">
        <f t="shared" si="51"/>
        <v>2463.0928335736448</v>
      </c>
      <c r="AI171" s="131">
        <f>AH171*'1. UC Assumptions'!$C$23</f>
        <v>812.82063507930275</v>
      </c>
      <c r="AJ171" s="131">
        <v>191071.47</v>
      </c>
      <c r="AK171" s="131">
        <f>AJ171*(1-'1. UC Assumptions'!$C$22)</f>
        <v>63053.585099999989</v>
      </c>
      <c r="AL171" s="131"/>
      <c r="AM171" s="131">
        <f>AL171*'1. UC Assumptions'!$C$23</f>
        <v>0</v>
      </c>
      <c r="AN171" s="153">
        <f t="shared" si="52"/>
        <v>5239</v>
      </c>
      <c r="AO171" s="151">
        <f>AN171*'1. UC Assumptions'!$C$23</f>
        <v>1728.87</v>
      </c>
      <c r="AP171" s="151">
        <f t="shared" si="53"/>
        <v>5239</v>
      </c>
      <c r="AQ171" s="151">
        <f t="shared" si="54"/>
        <v>1728.87</v>
      </c>
      <c r="AR171" s="151">
        <f t="shared" si="55"/>
        <v>1728.87</v>
      </c>
      <c r="AS171" s="151">
        <f t="shared" si="56"/>
        <v>1728.87</v>
      </c>
      <c r="AT171" s="151">
        <f>IF(K171="Bexar",(AG171/$AT$1)*'1. UC Assumptions'!$E$44-(AH171/$AT$2)*'1. UC Assumptions'!$E$42,0)</f>
        <v>0</v>
      </c>
      <c r="AU171" s="151">
        <f>IF(K171="Dallas",(AG171/$AU$1)*'1. UC Assumptions'!$F$44-(AH171/$AU$2)*'1. UC Assumptions'!$F$42,0)</f>
        <v>0</v>
      </c>
      <c r="AV171" s="151">
        <f>IF(K171="El Paso",(AG171/$AV$1)*'1. UC Assumptions'!$G$44-(AH171/$AV$2)*'1. UC Assumptions'!$G$42,0)</f>
        <v>0</v>
      </c>
      <c r="AW171" s="151">
        <f>IF(K171="Harris",(AG171/$AW$1)*'1. UC Assumptions'!$H$44-(AH171/$AW$2)*'1. UC Assumptions'!$H$42,0)</f>
        <v>0</v>
      </c>
      <c r="AX171" s="151">
        <f>IF(K171="Hidalgo",(AG171/$AX$1)*'1. UC Assumptions'!$I$44-(AH171/$AX$2)*'1. UC Assumptions'!$I$42,0)</f>
        <v>0</v>
      </c>
      <c r="AY171" s="151">
        <f>IF(K171="Jefferson",(AG171/$AY$1)*'1. UC Assumptions'!$J$44-(AH171/$AY$2)*'1. UC Assumptions'!$J$42,0)</f>
        <v>0</v>
      </c>
      <c r="AZ171" s="151">
        <f>IF(K171="Lubbock",(AG171/$AZ$1)*'1. UC Assumptions'!$K$44-(AH171/$AZ$2)*'1. UC Assumptions'!$K$42,0)</f>
        <v>0</v>
      </c>
      <c r="BA171" s="151">
        <f>IF(K171="MRSA Central",(AG171/$BA$1)*'1. UC Assumptions'!$L$44-(AH171/$BA$2)*'1. UC Assumptions'!$L$42,0)</f>
        <v>0</v>
      </c>
      <c r="BB171" s="151">
        <f>IF(K171="MRSA Northeast",(AG171/$BB$1)*'1. UC Assumptions'!$M$44-(AH171/$BB$2)*'1. UC Assumptions'!$M$42,0)</f>
        <v>0</v>
      </c>
      <c r="BC171" s="151">
        <f>IF(K171="MRSA West",(AG171/$BC$1)*'1. UC Assumptions'!$N$44-(AH171/$BC$2)*'1. UC Assumptions'!$N$42,0)</f>
        <v>0</v>
      </c>
      <c r="BD171" s="151">
        <f>IF(K171="Nueces",(AG171/$BD$1)*'1. UC Assumptions'!$O$44-(AH171/$BD$2)*'1. UC Assumptions'!$O$42,0)</f>
        <v>0</v>
      </c>
      <c r="BE171" s="151">
        <f>IF(K171="Tarrant",(AG171/$BE$1)*'1. UC Assumptions'!$P$44-(AH171/$BE$2)*'1. UC Assumptions'!$P$42,0)</f>
        <v>0</v>
      </c>
      <c r="BF171" s="151">
        <f>IF(K171="Travis",(AG171/$BF$1)*'1. UC Assumptions'!$Q$44-(AH171/$BF$2)*'1. UC Assumptions'!$Q$42,0)</f>
        <v>0</v>
      </c>
      <c r="BG171" s="151">
        <f t="shared" si="57"/>
        <v>0</v>
      </c>
      <c r="BH171" s="151">
        <f t="shared" si="58"/>
        <v>2463.0928335736448</v>
      </c>
      <c r="BI171" s="151">
        <f>ROUNDDOWN(BH171*'1. UC Assumptions'!$C$23,2)</f>
        <v>812.82</v>
      </c>
      <c r="BJ171" s="154">
        <f t="shared" si="59"/>
        <v>2463.0928335736448</v>
      </c>
      <c r="BK171" s="154">
        <f t="shared" si="60"/>
        <v>812.82</v>
      </c>
      <c r="BL171" s="154">
        <f t="shared" si="61"/>
        <v>2273.98</v>
      </c>
      <c r="BM171" s="154">
        <f t="shared" si="62"/>
        <v>750.41</v>
      </c>
      <c r="BN171" s="101"/>
      <c r="BO171" s="154">
        <f>(BL171*'1. UC Assumptions'!$C$23)-'3.  UC Calculations by Hospital'!BM171</f>
        <v>3.399999999942338E-3</v>
      </c>
      <c r="BP171" s="13"/>
    </row>
    <row r="172" spans="1:68">
      <c r="B172" s="129" t="s">
        <v>635</v>
      </c>
      <c r="C172" s="91" t="s">
        <v>635</v>
      </c>
      <c r="D172" s="91" t="s">
        <v>539</v>
      </c>
      <c r="E172" s="91" t="s">
        <v>209</v>
      </c>
      <c r="F172" s="91"/>
      <c r="G172" s="91" t="s">
        <v>209</v>
      </c>
      <c r="H172" s="91" t="s">
        <v>209</v>
      </c>
      <c r="I172" s="150" t="s">
        <v>210</v>
      </c>
      <c r="J172" s="129" t="s">
        <v>636</v>
      </c>
      <c r="K172" s="91" t="s">
        <v>6</v>
      </c>
      <c r="L172" s="91" t="s">
        <v>6</v>
      </c>
      <c r="M172" s="151">
        <v>29895333.64891763</v>
      </c>
      <c r="N172" s="151">
        <v>490456576.1632275</v>
      </c>
      <c r="O172" s="131">
        <v>219292467.4358916</v>
      </c>
      <c r="P172" s="131">
        <f t="shared" si="42"/>
        <v>271164108.72733593</v>
      </c>
      <c r="Q172" s="131">
        <v>668947291.41779292</v>
      </c>
      <c r="R172" s="131">
        <v>162723799.84</v>
      </c>
      <c r="S172" s="131">
        <f t="shared" si="43"/>
        <v>0</v>
      </c>
      <c r="T172" s="131">
        <f t="shared" si="44"/>
        <v>668947291.41779292</v>
      </c>
      <c r="U172" s="131">
        <v>194131970</v>
      </c>
      <c r="V172" s="131">
        <v>0</v>
      </c>
      <c r="W172" s="131">
        <v>0</v>
      </c>
      <c r="X172" s="131">
        <v>0</v>
      </c>
      <c r="Y172" s="131">
        <v>0</v>
      </c>
      <c r="Z172" s="131">
        <f t="shared" si="45"/>
        <v>194131970</v>
      </c>
      <c r="AA172" s="131">
        <v>107990264.60268676</v>
      </c>
      <c r="AB172" s="152">
        <f t="shared" si="46"/>
        <v>971069526.02047968</v>
      </c>
      <c r="AC172" s="133">
        <f>IF(D172="Physician Group Practice",(AB172/$AB$393)*'1. UC Assumptions'!$C$15,IF(E172="Rural Hospital",AB172*'1. UC Assumptions'!$C$7/'1. UC Assumptions'!$E$7,(AB172/$AB$397)*('1. UC Assumptions'!$C$9)))</f>
        <v>456544071.47218925</v>
      </c>
      <c r="AD172" s="133">
        <f t="shared" si="47"/>
        <v>0</v>
      </c>
      <c r="AE172" s="133">
        <f t="shared" si="48"/>
        <v>406535189.94560367</v>
      </c>
      <c r="AF172" s="133">
        <f t="shared" si="49"/>
        <v>0</v>
      </c>
      <c r="AG172" s="133">
        <f t="shared" si="50"/>
        <v>406535189.94560367</v>
      </c>
      <c r="AH172" s="133">
        <f t="shared" si="51"/>
        <v>456544071.47218925</v>
      </c>
      <c r="AI172" s="131">
        <f>AH172*'1. UC Assumptions'!$C$23</f>
        <v>150659543.58582243</v>
      </c>
      <c r="AJ172" s="131">
        <v>365468874.38</v>
      </c>
      <c r="AK172" s="131">
        <f>AJ172*(1-'1. UC Assumptions'!$C$22)</f>
        <v>120604728.54539998</v>
      </c>
      <c r="AL172" s="131"/>
      <c r="AM172" s="131">
        <f>AL172*'1. UC Assumptions'!$C$23</f>
        <v>0</v>
      </c>
      <c r="AN172" s="153">
        <f t="shared" si="52"/>
        <v>863079261.41779292</v>
      </c>
      <c r="AO172" s="151">
        <f>AN172*'1. UC Assumptions'!$C$23</f>
        <v>284816156.26787162</v>
      </c>
      <c r="AP172" s="151">
        <f t="shared" si="53"/>
        <v>497610387.03779292</v>
      </c>
      <c r="AQ172" s="151">
        <f t="shared" si="54"/>
        <v>164211427.72247165</v>
      </c>
      <c r="AR172" s="151">
        <f t="shared" si="55"/>
        <v>164211427.72247165</v>
      </c>
      <c r="AS172" s="151">
        <f t="shared" si="56"/>
        <v>284816156.26787162</v>
      </c>
      <c r="AT172" s="151">
        <f>IF(K172="Bexar",(AG172/$AT$1)*'1. UC Assumptions'!$E$44-(AH172/$AT$2)*'1. UC Assumptions'!$E$42,0)</f>
        <v>0</v>
      </c>
      <c r="AU172" s="151">
        <f>IF(K172="Dallas",(AG172/$AU$1)*'1. UC Assumptions'!$F$44-(AH172/$AU$2)*'1. UC Assumptions'!$F$42,0)</f>
        <v>0</v>
      </c>
      <c r="AV172" s="151">
        <f>IF(K172="El Paso",(AG172/$AV$1)*'1. UC Assumptions'!$G$44-(AH172/$AV$2)*'1. UC Assumptions'!$G$42,0)</f>
        <v>0</v>
      </c>
      <c r="AW172" s="151">
        <f>IF(K172="Harris",(AG172/$AW$1)*'1. UC Assumptions'!$H$44-(AH172/$AW$2)*'1. UC Assumptions'!$H$42,0)</f>
        <v>0</v>
      </c>
      <c r="AX172" s="151">
        <f>IF(K172="Hidalgo",(AG172/$AX$1)*'1. UC Assumptions'!$I$44-(AH172/$AX$2)*'1. UC Assumptions'!$I$42,0)</f>
        <v>0</v>
      </c>
      <c r="AY172" s="151">
        <f>IF(K172="Jefferson",(AG172/$AY$1)*'1. UC Assumptions'!$J$44-(AH172/$AY$2)*'1. UC Assumptions'!$J$42,0)</f>
        <v>0</v>
      </c>
      <c r="AZ172" s="151">
        <f>IF(K172="Lubbock",(AG172/$AZ$1)*'1. UC Assumptions'!$K$44-(AH172/$AZ$2)*'1. UC Assumptions'!$K$42,0)</f>
        <v>0</v>
      </c>
      <c r="BA172" s="151">
        <f>IF(K172="MRSA Central",(AG172/$BA$1)*'1. UC Assumptions'!$L$44-(AH172/$BA$2)*'1. UC Assumptions'!$L$42,0)</f>
        <v>0</v>
      </c>
      <c r="BB172" s="151">
        <f>IF(K172="MRSA Northeast",(AG172/$BB$1)*'1. UC Assumptions'!$M$44-(AH172/$BB$2)*'1. UC Assumptions'!$M$42,0)</f>
        <v>0</v>
      </c>
      <c r="BC172" s="151">
        <f>IF(K172="MRSA West",(AG172/$BC$1)*'1. UC Assumptions'!$N$44-(AH172/$BC$2)*'1. UC Assumptions'!$N$42,0)</f>
        <v>0</v>
      </c>
      <c r="BD172" s="151">
        <f>IF(K172="Nueces",(AG172/$BD$1)*'1. UC Assumptions'!$O$44-(AH172/$BD$2)*'1. UC Assumptions'!$O$42,0)</f>
        <v>0</v>
      </c>
      <c r="BE172" s="151">
        <f>IF(K172="Tarrant",(AG172/$BE$1)*'1. UC Assumptions'!$P$44-(AH172/$BE$2)*'1. UC Assumptions'!$P$42,0)</f>
        <v>0</v>
      </c>
      <c r="BF172" s="151">
        <f>IF(K172="Travis",(AG172/$BF$1)*'1. UC Assumptions'!$Q$44-(AH172/$BF$2)*'1. UC Assumptions'!$Q$42,0)</f>
        <v>0</v>
      </c>
      <c r="BG172" s="151">
        <f t="shared" si="57"/>
        <v>0</v>
      </c>
      <c r="BH172" s="151">
        <f t="shared" si="58"/>
        <v>456544071.47218925</v>
      </c>
      <c r="BI172" s="151">
        <f>ROUNDDOWN(BH172*'1. UC Assumptions'!$C$23,2)</f>
        <v>150659543.58000001</v>
      </c>
      <c r="BJ172" s="154">
        <f t="shared" si="59"/>
        <v>91075197.092189252</v>
      </c>
      <c r="BK172" s="154">
        <f t="shared" si="60"/>
        <v>30054815.034600034</v>
      </c>
      <c r="BL172" s="154">
        <f t="shared" si="61"/>
        <v>84082451.280000001</v>
      </c>
      <c r="BM172" s="154">
        <f t="shared" si="62"/>
        <v>27747208.870000001</v>
      </c>
      <c r="BN172" s="101"/>
      <c r="BO172" s="154">
        <f>(BL172*'1. UC Assumptions'!$C$23)-'3.  UC Calculations by Hospital'!BM172</f>
        <v>5.2399996668100357E-2</v>
      </c>
      <c r="BP172" s="13"/>
    </row>
    <row r="173" spans="1:68">
      <c r="B173" s="129" t="s">
        <v>637</v>
      </c>
      <c r="C173" s="91" t="s">
        <v>637</v>
      </c>
      <c r="D173" s="91" t="s">
        <v>214</v>
      </c>
      <c r="E173" s="91" t="s">
        <v>149</v>
      </c>
      <c r="F173" s="91"/>
      <c r="G173" s="91" t="s">
        <v>209</v>
      </c>
      <c r="H173" s="91" t="s">
        <v>209</v>
      </c>
      <c r="I173" s="150" t="s">
        <v>210</v>
      </c>
      <c r="J173" s="129" t="s">
        <v>638</v>
      </c>
      <c r="K173" s="91" t="s">
        <v>10</v>
      </c>
      <c r="L173" s="91" t="s">
        <v>639</v>
      </c>
      <c r="M173" s="151">
        <v>551606.08927083516</v>
      </c>
      <c r="N173" s="151">
        <v>0</v>
      </c>
      <c r="O173" s="131">
        <v>0</v>
      </c>
      <c r="P173" s="131">
        <f t="shared" si="42"/>
        <v>0</v>
      </c>
      <c r="Q173" s="131">
        <v>817109.9159012608</v>
      </c>
      <c r="R173" s="131">
        <v>0</v>
      </c>
      <c r="S173" s="131">
        <f t="shared" si="43"/>
        <v>0</v>
      </c>
      <c r="T173" s="131">
        <f t="shared" si="44"/>
        <v>817109.9159012608</v>
      </c>
      <c r="U173" s="131">
        <v>0</v>
      </c>
      <c r="V173" s="131">
        <v>0</v>
      </c>
      <c r="W173" s="131">
        <v>0</v>
      </c>
      <c r="X173" s="131">
        <v>0</v>
      </c>
      <c r="Y173" s="131">
        <v>0</v>
      </c>
      <c r="Z173" s="131">
        <f t="shared" si="45"/>
        <v>0</v>
      </c>
      <c r="AA173" s="131">
        <v>0</v>
      </c>
      <c r="AB173" s="152">
        <f t="shared" si="46"/>
        <v>817109.9159012608</v>
      </c>
      <c r="AC173" s="133">
        <f>IF(D173="Physician Group Practice",(AB173/$AB$393)*'1. UC Assumptions'!$C$15,IF(E173="Rural Hospital",AB173*'1. UC Assumptions'!$C$7/'1. UC Assumptions'!$E$7,(AB173/$AB$397)*('1. UC Assumptions'!$C$9)))</f>
        <v>762719.42322319245</v>
      </c>
      <c r="AD173" s="133">
        <f t="shared" si="47"/>
        <v>0</v>
      </c>
      <c r="AE173" s="133">
        <f t="shared" si="48"/>
        <v>54390.492678068345</v>
      </c>
      <c r="AF173" s="133">
        <f t="shared" si="49"/>
        <v>0</v>
      </c>
      <c r="AG173" s="133">
        <f t="shared" si="50"/>
        <v>54390.492678068345</v>
      </c>
      <c r="AH173" s="133">
        <f t="shared" si="51"/>
        <v>762719.42322319245</v>
      </c>
      <c r="AI173" s="131">
        <f>AH173*'1. UC Assumptions'!$C$23</f>
        <v>251697.40966365347</v>
      </c>
      <c r="AJ173" s="131">
        <v>393294.02</v>
      </c>
      <c r="AK173" s="131">
        <f>AJ173*(1-'1. UC Assumptions'!$C$22)</f>
        <v>129787.0266</v>
      </c>
      <c r="AL173" s="131"/>
      <c r="AM173" s="131">
        <f>AL173*'1. UC Assumptions'!$C$23</f>
        <v>0</v>
      </c>
      <c r="AN173" s="153">
        <f t="shared" si="52"/>
        <v>817109.9159012608</v>
      </c>
      <c r="AO173" s="151">
        <f>AN173*'1. UC Assumptions'!$C$23</f>
        <v>269646.27224741603</v>
      </c>
      <c r="AP173" s="151">
        <f t="shared" si="53"/>
        <v>423815.89590126078</v>
      </c>
      <c r="AQ173" s="151">
        <f t="shared" si="54"/>
        <v>139859.24564741604</v>
      </c>
      <c r="AR173" s="151">
        <f t="shared" si="55"/>
        <v>139859.24564741604</v>
      </c>
      <c r="AS173" s="151">
        <f t="shared" si="56"/>
        <v>269646.27224741603</v>
      </c>
      <c r="AT173" s="151">
        <f>IF(K173="Bexar",(AG173/$AT$1)*'1. UC Assumptions'!$E$44-(AH173/$AT$2)*'1. UC Assumptions'!$E$42,0)</f>
        <v>0</v>
      </c>
      <c r="AU173" s="151">
        <f>IF(K173="Dallas",(AG173/$AU$1)*'1. UC Assumptions'!$F$44-(AH173/$AU$2)*'1. UC Assumptions'!$F$42,0)</f>
        <v>0</v>
      </c>
      <c r="AV173" s="151">
        <f>IF(K173="El Paso",(AG173/$AV$1)*'1. UC Assumptions'!$G$44-(AH173/$AV$2)*'1. UC Assumptions'!$G$42,0)</f>
        <v>0</v>
      </c>
      <c r="AW173" s="151">
        <f>IF(K173="Harris",(AG173/$AW$1)*'1. UC Assumptions'!$H$44-(AH173/$AW$2)*'1. UC Assumptions'!$H$42,0)</f>
        <v>0</v>
      </c>
      <c r="AX173" s="151">
        <f>IF(K173="Hidalgo",(AG173/$AX$1)*'1. UC Assumptions'!$I$44-(AH173/$AX$2)*'1. UC Assumptions'!$I$42,0)</f>
        <v>0</v>
      </c>
      <c r="AY173" s="151">
        <f>IF(K173="Jefferson",(AG173/$AY$1)*'1. UC Assumptions'!$J$44-(AH173/$AY$2)*'1. UC Assumptions'!$J$42,0)</f>
        <v>0</v>
      </c>
      <c r="AZ173" s="151">
        <f>IF(K173="Lubbock",(AG173/$AZ$1)*'1. UC Assumptions'!$K$44-(AH173/$AZ$2)*'1. UC Assumptions'!$K$42,0)</f>
        <v>0</v>
      </c>
      <c r="BA173" s="151">
        <f>IF(K173="MRSA Central",(AG173/$BA$1)*'1. UC Assumptions'!$L$44-(AH173/$BA$2)*'1. UC Assumptions'!$L$42,0)</f>
        <v>0</v>
      </c>
      <c r="BB173" s="151">
        <f>IF(K173="MRSA Northeast",(AG173/$BB$1)*'1. UC Assumptions'!$M$44-(AH173/$BB$2)*'1. UC Assumptions'!$M$42,0)</f>
        <v>0</v>
      </c>
      <c r="BC173" s="151">
        <f>IF(K173="MRSA West",(AG173/$BC$1)*'1. UC Assumptions'!$N$44-(AH173/$BC$2)*'1. UC Assumptions'!$N$42,0)</f>
        <v>0</v>
      </c>
      <c r="BD173" s="151">
        <f>IF(K173="Nueces",(AG173/$BD$1)*'1. UC Assumptions'!$O$44-(AH173/$BD$2)*'1. UC Assumptions'!$O$42,0)</f>
        <v>0</v>
      </c>
      <c r="BE173" s="151">
        <f>IF(K173="Tarrant",(AG173/$BE$1)*'1. UC Assumptions'!$P$44-(AH173/$BE$2)*'1. UC Assumptions'!$P$42,0)</f>
        <v>0</v>
      </c>
      <c r="BF173" s="151">
        <f>IF(K173="Travis",(AG173/$BF$1)*'1. UC Assumptions'!$Q$44-(AH173/$BF$2)*'1. UC Assumptions'!$Q$42,0)</f>
        <v>0</v>
      </c>
      <c r="BG173" s="151">
        <f t="shared" si="57"/>
        <v>0</v>
      </c>
      <c r="BH173" s="151">
        <f t="shared" si="58"/>
        <v>762719.42322319245</v>
      </c>
      <c r="BI173" s="151">
        <f>ROUNDDOWN(BH173*'1. UC Assumptions'!$C$23,2)</f>
        <v>251697.4</v>
      </c>
      <c r="BJ173" s="154">
        <f t="shared" si="59"/>
        <v>369425.40322319244</v>
      </c>
      <c r="BK173" s="154">
        <f t="shared" si="60"/>
        <v>121910.3734</v>
      </c>
      <c r="BL173" s="154">
        <f t="shared" si="61"/>
        <v>341060.95</v>
      </c>
      <c r="BM173" s="154">
        <f t="shared" si="62"/>
        <v>112550.11</v>
      </c>
      <c r="BN173" s="101"/>
      <c r="BO173" s="154">
        <f>(BL173*'1. UC Assumptions'!$C$23)-'3.  UC Calculations by Hospital'!BM173</f>
        <v>3.4999999916180968E-3</v>
      </c>
      <c r="BP173" s="13"/>
    </row>
    <row r="174" spans="1:68">
      <c r="B174" s="129" t="s">
        <v>640</v>
      </c>
      <c r="C174" s="91" t="s">
        <v>640</v>
      </c>
      <c r="D174" s="91" t="s">
        <v>208</v>
      </c>
      <c r="E174" s="91" t="s">
        <v>149</v>
      </c>
      <c r="F174" s="91"/>
      <c r="G174" s="91" t="s">
        <v>209</v>
      </c>
      <c r="H174" s="91" t="s">
        <v>209</v>
      </c>
      <c r="I174" s="150" t="s">
        <v>210</v>
      </c>
      <c r="J174" s="129" t="s">
        <v>641</v>
      </c>
      <c r="K174" s="91" t="s">
        <v>9</v>
      </c>
      <c r="L174" s="91" t="s">
        <v>642</v>
      </c>
      <c r="M174" s="151">
        <v>-1027023.8049947906</v>
      </c>
      <c r="N174" s="151">
        <v>1729335.0458632957</v>
      </c>
      <c r="O174" s="131">
        <v>364236.11308833276</v>
      </c>
      <c r="P174" s="131">
        <f t="shared" si="42"/>
        <v>1365098.9327749629</v>
      </c>
      <c r="Q174" s="131">
        <v>1882094.3639798271</v>
      </c>
      <c r="R174" s="131">
        <v>812697.29</v>
      </c>
      <c r="S174" s="131">
        <f t="shared" si="43"/>
        <v>474622.16221982776</v>
      </c>
      <c r="T174" s="131">
        <f t="shared" si="44"/>
        <v>1407472.2017599994</v>
      </c>
      <c r="U174" s="131">
        <v>75380</v>
      </c>
      <c r="V174" s="131">
        <v>0</v>
      </c>
      <c r="W174" s="131">
        <v>0</v>
      </c>
      <c r="X174" s="131">
        <v>0</v>
      </c>
      <c r="Y174" s="131">
        <v>0</v>
      </c>
      <c r="Z174" s="131">
        <f t="shared" si="45"/>
        <v>75380</v>
      </c>
      <c r="AA174" s="131">
        <v>0</v>
      </c>
      <c r="AB174" s="152">
        <f t="shared" si="46"/>
        <v>1482852.2017599994</v>
      </c>
      <c r="AC174" s="133">
        <f>IF(D174="Physician Group Practice",(AB174/$AB$393)*'1. UC Assumptions'!$C$15,IF(E174="Rural Hospital",AB174*'1. UC Assumptions'!$C$7/'1. UC Assumptions'!$E$7,(AB174/$AB$397)*('1. UC Assumptions'!$C$9)))</f>
        <v>1384146.9232497935</v>
      </c>
      <c r="AD174" s="133">
        <f t="shared" si="47"/>
        <v>0</v>
      </c>
      <c r="AE174" s="133">
        <f t="shared" si="48"/>
        <v>98705.278510205913</v>
      </c>
      <c r="AF174" s="133">
        <f t="shared" si="49"/>
        <v>0</v>
      </c>
      <c r="AG174" s="133">
        <f t="shared" si="50"/>
        <v>98705.278510205913</v>
      </c>
      <c r="AH174" s="133">
        <f t="shared" si="51"/>
        <v>1384146.9232497935</v>
      </c>
      <c r="AI174" s="131">
        <f>AH174*'1. UC Assumptions'!$C$23</f>
        <v>456768.48467243178</v>
      </c>
      <c r="AJ174" s="131">
        <v>614888.75</v>
      </c>
      <c r="AK174" s="131">
        <f>AJ174*(1-'1. UC Assumptions'!$C$22)</f>
        <v>202913.28749999998</v>
      </c>
      <c r="AL174" s="131"/>
      <c r="AM174" s="131">
        <f>AL174*'1. UC Assumptions'!$C$23</f>
        <v>0</v>
      </c>
      <c r="AN174" s="153">
        <f t="shared" si="52"/>
        <v>1482852.2017599994</v>
      </c>
      <c r="AO174" s="151">
        <f>AN174*'1. UC Assumptions'!$C$23</f>
        <v>489341.22658079973</v>
      </c>
      <c r="AP174" s="151">
        <f t="shared" si="53"/>
        <v>867963.45175999939</v>
      </c>
      <c r="AQ174" s="151">
        <f t="shared" si="54"/>
        <v>286427.93908079976</v>
      </c>
      <c r="AR174" s="151">
        <f t="shared" si="55"/>
        <v>286427.93908079976</v>
      </c>
      <c r="AS174" s="151">
        <f t="shared" si="56"/>
        <v>489341.22658079973</v>
      </c>
      <c r="AT174" s="151">
        <f>IF(K174="Bexar",(AG174/$AT$1)*'1. UC Assumptions'!$E$44-(AH174/$AT$2)*'1. UC Assumptions'!$E$42,0)</f>
        <v>0</v>
      </c>
      <c r="AU174" s="151">
        <f>IF(K174="Dallas",(AG174/$AU$1)*'1. UC Assumptions'!$F$44-(AH174/$AU$2)*'1. UC Assumptions'!$F$42,0)</f>
        <v>0</v>
      </c>
      <c r="AV174" s="151">
        <f>IF(K174="El Paso",(AG174/$AV$1)*'1. UC Assumptions'!$G$44-(AH174/$AV$2)*'1. UC Assumptions'!$G$42,0)</f>
        <v>0</v>
      </c>
      <c r="AW174" s="151">
        <f>IF(K174="Harris",(AG174/$AW$1)*'1. UC Assumptions'!$H$44-(AH174/$AW$2)*'1. UC Assumptions'!$H$42,0)</f>
        <v>0</v>
      </c>
      <c r="AX174" s="151">
        <f>IF(K174="Hidalgo",(AG174/$AX$1)*'1. UC Assumptions'!$I$44-(AH174/$AX$2)*'1. UC Assumptions'!$I$42,0)</f>
        <v>0</v>
      </c>
      <c r="AY174" s="151">
        <f>IF(K174="Jefferson",(AG174/$AY$1)*'1. UC Assumptions'!$J$44-(AH174/$AY$2)*'1. UC Assumptions'!$J$42,0)</f>
        <v>0</v>
      </c>
      <c r="AZ174" s="151">
        <f>IF(K174="Lubbock",(AG174/$AZ$1)*'1. UC Assumptions'!$K$44-(AH174/$AZ$2)*'1. UC Assumptions'!$K$42,0)</f>
        <v>0</v>
      </c>
      <c r="BA174" s="151">
        <f>IF(K174="MRSA Central",(AG174/$BA$1)*'1. UC Assumptions'!$L$44-(AH174/$BA$2)*'1. UC Assumptions'!$L$42,0)</f>
        <v>0</v>
      </c>
      <c r="BB174" s="151">
        <f>IF(K174="MRSA Northeast",(AG174/$BB$1)*'1. UC Assumptions'!$M$44-(AH174/$BB$2)*'1. UC Assumptions'!$M$42,0)</f>
        <v>0</v>
      </c>
      <c r="BC174" s="151">
        <f>IF(K174="MRSA West",(AG174/$BC$1)*'1. UC Assumptions'!$N$44-(AH174/$BC$2)*'1. UC Assumptions'!$N$42,0)</f>
        <v>0</v>
      </c>
      <c r="BD174" s="151">
        <f>IF(K174="Nueces",(AG174/$BD$1)*'1. UC Assumptions'!$O$44-(AH174/$BD$2)*'1. UC Assumptions'!$O$42,0)</f>
        <v>0</v>
      </c>
      <c r="BE174" s="151">
        <f>IF(K174="Tarrant",(AG174/$BE$1)*'1. UC Assumptions'!$P$44-(AH174/$BE$2)*'1. UC Assumptions'!$P$42,0)</f>
        <v>0</v>
      </c>
      <c r="BF174" s="151">
        <f>IF(K174="Travis",(AG174/$BF$1)*'1. UC Assumptions'!$Q$44-(AH174/$BF$2)*'1. UC Assumptions'!$Q$42,0)</f>
        <v>0</v>
      </c>
      <c r="BG174" s="151">
        <f t="shared" si="57"/>
        <v>0</v>
      </c>
      <c r="BH174" s="151">
        <f t="shared" si="58"/>
        <v>1384146.9232497935</v>
      </c>
      <c r="BI174" s="151">
        <f>ROUNDDOWN(BH174*'1. UC Assumptions'!$C$23,2)</f>
        <v>456768.48</v>
      </c>
      <c r="BJ174" s="154">
        <f t="shared" si="59"/>
        <v>769258.17324979347</v>
      </c>
      <c r="BK174" s="154">
        <f t="shared" si="60"/>
        <v>253855.1925</v>
      </c>
      <c r="BL174" s="154">
        <f t="shared" si="61"/>
        <v>710194.6</v>
      </c>
      <c r="BM174" s="154">
        <f t="shared" si="62"/>
        <v>234364.21</v>
      </c>
      <c r="BN174" s="101"/>
      <c r="BO174" s="154">
        <f>(BL174*'1. UC Assumptions'!$C$23)-'3.  UC Calculations by Hospital'!BM174</f>
        <v>7.999999972525984E-3</v>
      </c>
      <c r="BP174" s="13"/>
    </row>
    <row r="175" spans="1:68">
      <c r="B175" s="129" t="s">
        <v>643</v>
      </c>
      <c r="C175" s="91" t="s">
        <v>643</v>
      </c>
      <c r="D175" s="91" t="s">
        <v>208</v>
      </c>
      <c r="E175" s="91" t="s">
        <v>149</v>
      </c>
      <c r="F175" s="91"/>
      <c r="G175" s="91" t="s">
        <v>209</v>
      </c>
      <c r="H175" s="91" t="s">
        <v>209</v>
      </c>
      <c r="I175" s="150" t="s">
        <v>210</v>
      </c>
      <c r="J175" s="129" t="s">
        <v>644</v>
      </c>
      <c r="K175" s="91" t="s">
        <v>10</v>
      </c>
      <c r="L175" s="91" t="s">
        <v>645</v>
      </c>
      <c r="M175" s="151">
        <v>1245026.9496895999</v>
      </c>
      <c r="N175" s="151">
        <v>0</v>
      </c>
      <c r="O175" s="131">
        <v>0</v>
      </c>
      <c r="P175" s="131">
        <f t="shared" si="42"/>
        <v>0</v>
      </c>
      <c r="Q175" s="131">
        <v>1507940.9504579839</v>
      </c>
      <c r="R175" s="131">
        <v>0</v>
      </c>
      <c r="S175" s="131">
        <f t="shared" si="43"/>
        <v>0</v>
      </c>
      <c r="T175" s="131">
        <f t="shared" si="44"/>
        <v>1507940.9504579839</v>
      </c>
      <c r="U175" s="131">
        <v>0</v>
      </c>
      <c r="V175" s="131">
        <v>0</v>
      </c>
      <c r="W175" s="131">
        <v>0</v>
      </c>
      <c r="X175" s="131">
        <v>0</v>
      </c>
      <c r="Y175" s="131">
        <v>0</v>
      </c>
      <c r="Z175" s="131">
        <f t="shared" si="45"/>
        <v>0</v>
      </c>
      <c r="AA175" s="131">
        <v>0</v>
      </c>
      <c r="AB175" s="152">
        <f t="shared" si="46"/>
        <v>1507940.9504579839</v>
      </c>
      <c r="AC175" s="133">
        <f>IF(D175="Physician Group Practice",(AB175/$AB$393)*'1. UC Assumptions'!$C$15,IF(E175="Rural Hospital",AB175*'1. UC Assumptions'!$C$7/'1. UC Assumptions'!$E$7,(AB175/$AB$397)*('1. UC Assumptions'!$C$9)))</f>
        <v>1407565.6525589488</v>
      </c>
      <c r="AD175" s="133">
        <f t="shared" si="47"/>
        <v>0</v>
      </c>
      <c r="AE175" s="133">
        <f t="shared" si="48"/>
        <v>100375.29789903504</v>
      </c>
      <c r="AF175" s="133">
        <f t="shared" si="49"/>
        <v>0</v>
      </c>
      <c r="AG175" s="133">
        <f t="shared" si="50"/>
        <v>100375.29789903504</v>
      </c>
      <c r="AH175" s="133">
        <f t="shared" si="51"/>
        <v>1407565.6525589488</v>
      </c>
      <c r="AI175" s="131">
        <f>AH175*'1. UC Assumptions'!$C$23</f>
        <v>464496.66534445307</v>
      </c>
      <c r="AJ175" s="131">
        <v>692245.68</v>
      </c>
      <c r="AK175" s="131">
        <f>AJ175*(1-'1. UC Assumptions'!$C$22)</f>
        <v>228441.07439999998</v>
      </c>
      <c r="AL175" s="131"/>
      <c r="AM175" s="131">
        <f>AL175*'1. UC Assumptions'!$C$23</f>
        <v>0</v>
      </c>
      <c r="AN175" s="153">
        <f t="shared" si="52"/>
        <v>1507940.9504579839</v>
      </c>
      <c r="AO175" s="151">
        <f>AN175*'1. UC Assumptions'!$C$23</f>
        <v>497620.51365113462</v>
      </c>
      <c r="AP175" s="151">
        <f t="shared" si="53"/>
        <v>815695.27045798383</v>
      </c>
      <c r="AQ175" s="151">
        <f t="shared" si="54"/>
        <v>269179.43925113464</v>
      </c>
      <c r="AR175" s="151">
        <f t="shared" si="55"/>
        <v>269179.43925113464</v>
      </c>
      <c r="AS175" s="151">
        <f t="shared" si="56"/>
        <v>497620.51365113462</v>
      </c>
      <c r="AT175" s="151">
        <f>IF(K175="Bexar",(AG175/$AT$1)*'1. UC Assumptions'!$E$44-(AH175/$AT$2)*'1. UC Assumptions'!$E$42,0)</f>
        <v>0</v>
      </c>
      <c r="AU175" s="151">
        <f>IF(K175="Dallas",(AG175/$AU$1)*'1. UC Assumptions'!$F$44-(AH175/$AU$2)*'1. UC Assumptions'!$F$42,0)</f>
        <v>0</v>
      </c>
      <c r="AV175" s="151">
        <f>IF(K175="El Paso",(AG175/$AV$1)*'1. UC Assumptions'!$G$44-(AH175/$AV$2)*'1. UC Assumptions'!$G$42,0)</f>
        <v>0</v>
      </c>
      <c r="AW175" s="151">
        <f>IF(K175="Harris",(AG175/$AW$1)*'1. UC Assumptions'!$H$44-(AH175/$AW$2)*'1. UC Assumptions'!$H$42,0)</f>
        <v>0</v>
      </c>
      <c r="AX175" s="151">
        <f>IF(K175="Hidalgo",(AG175/$AX$1)*'1. UC Assumptions'!$I$44-(AH175/$AX$2)*'1. UC Assumptions'!$I$42,0)</f>
        <v>0</v>
      </c>
      <c r="AY175" s="151">
        <f>IF(K175="Jefferson",(AG175/$AY$1)*'1. UC Assumptions'!$J$44-(AH175/$AY$2)*'1. UC Assumptions'!$J$42,0)</f>
        <v>0</v>
      </c>
      <c r="AZ175" s="151">
        <f>IF(K175="Lubbock",(AG175/$AZ$1)*'1. UC Assumptions'!$K$44-(AH175/$AZ$2)*'1. UC Assumptions'!$K$42,0)</f>
        <v>0</v>
      </c>
      <c r="BA175" s="151">
        <f>IF(K175="MRSA Central",(AG175/$BA$1)*'1. UC Assumptions'!$L$44-(AH175/$BA$2)*'1. UC Assumptions'!$L$42,0)</f>
        <v>0</v>
      </c>
      <c r="BB175" s="151">
        <f>IF(K175="MRSA Northeast",(AG175/$BB$1)*'1. UC Assumptions'!$M$44-(AH175/$BB$2)*'1. UC Assumptions'!$M$42,0)</f>
        <v>0</v>
      </c>
      <c r="BC175" s="151">
        <f>IF(K175="MRSA West",(AG175/$BC$1)*'1. UC Assumptions'!$N$44-(AH175/$BC$2)*'1. UC Assumptions'!$N$42,0)</f>
        <v>0</v>
      </c>
      <c r="BD175" s="151">
        <f>IF(K175="Nueces",(AG175/$BD$1)*'1. UC Assumptions'!$O$44-(AH175/$BD$2)*'1. UC Assumptions'!$O$42,0)</f>
        <v>0</v>
      </c>
      <c r="BE175" s="151">
        <f>IF(K175="Tarrant",(AG175/$BE$1)*'1. UC Assumptions'!$P$44-(AH175/$BE$2)*'1. UC Assumptions'!$P$42,0)</f>
        <v>0</v>
      </c>
      <c r="BF175" s="151">
        <f>IF(K175="Travis",(AG175/$BF$1)*'1. UC Assumptions'!$Q$44-(AH175/$BF$2)*'1. UC Assumptions'!$Q$42,0)</f>
        <v>0</v>
      </c>
      <c r="BG175" s="151">
        <f t="shared" si="57"/>
        <v>0</v>
      </c>
      <c r="BH175" s="151">
        <f t="shared" si="58"/>
        <v>1407565.6525589488</v>
      </c>
      <c r="BI175" s="151">
        <f>ROUNDDOWN(BH175*'1. UC Assumptions'!$C$23,2)</f>
        <v>464496.66</v>
      </c>
      <c r="BJ175" s="154">
        <f t="shared" si="59"/>
        <v>715319.97255894879</v>
      </c>
      <c r="BK175" s="154">
        <f t="shared" si="60"/>
        <v>236055.58559999999</v>
      </c>
      <c r="BL175" s="154">
        <f t="shared" si="61"/>
        <v>660397.77</v>
      </c>
      <c r="BM175" s="154">
        <f t="shared" si="62"/>
        <v>217931.26</v>
      </c>
      <c r="BN175" s="101"/>
      <c r="BO175" s="154">
        <f>(BL175*'1. UC Assumptions'!$C$23)-'3.  UC Calculations by Hospital'!BM175</f>
        <v>4.0999999619089067E-3</v>
      </c>
      <c r="BP175" s="13"/>
    </row>
    <row r="176" spans="1:68">
      <c r="B176" s="129" t="s">
        <v>646</v>
      </c>
      <c r="C176" s="91" t="s">
        <v>646</v>
      </c>
      <c r="D176" s="91" t="s">
        <v>214</v>
      </c>
      <c r="E176" s="91" t="s">
        <v>209</v>
      </c>
      <c r="F176" s="91"/>
      <c r="G176" s="91" t="s">
        <v>209</v>
      </c>
      <c r="H176" s="91" t="s">
        <v>209</v>
      </c>
      <c r="I176" s="150" t="s">
        <v>210</v>
      </c>
      <c r="J176" s="129" t="s">
        <v>647</v>
      </c>
      <c r="K176" s="91" t="s">
        <v>4</v>
      </c>
      <c r="L176" s="91" t="s">
        <v>4</v>
      </c>
      <c r="M176" s="151">
        <v>3650641.2746779355</v>
      </c>
      <c r="N176" s="151">
        <v>54311821.397900172</v>
      </c>
      <c r="O176" s="131">
        <v>24485075.939479601</v>
      </c>
      <c r="P176" s="131">
        <f t="shared" si="42"/>
        <v>29826745.458420571</v>
      </c>
      <c r="Q176" s="131">
        <v>42745316.43453908</v>
      </c>
      <c r="R176" s="131">
        <v>9030460.5999999996</v>
      </c>
      <c r="S176" s="131">
        <f t="shared" si="43"/>
        <v>0</v>
      </c>
      <c r="T176" s="131">
        <f t="shared" si="44"/>
        <v>42745316.43453908</v>
      </c>
      <c r="U176" s="131">
        <v>0</v>
      </c>
      <c r="V176" s="131">
        <v>0</v>
      </c>
      <c r="W176" s="131">
        <v>0</v>
      </c>
      <c r="X176" s="131">
        <v>0</v>
      </c>
      <c r="Y176" s="131">
        <v>3412739</v>
      </c>
      <c r="Z176" s="131">
        <f t="shared" si="45"/>
        <v>3412739</v>
      </c>
      <c r="AA176" s="131">
        <v>0</v>
      </c>
      <c r="AB176" s="152">
        <f t="shared" si="46"/>
        <v>46158055.43453908</v>
      </c>
      <c r="AC176" s="133">
        <f>IF(D176="Physician Group Practice",(AB176/$AB$393)*'1. UC Assumptions'!$C$15,IF(E176="Rural Hospital",AB176*'1. UC Assumptions'!$C$7/'1. UC Assumptions'!$E$7,(AB176/$AB$397)*('1. UC Assumptions'!$C$9)))</f>
        <v>21701006.977001</v>
      </c>
      <c r="AD176" s="133">
        <f t="shared" si="47"/>
        <v>0</v>
      </c>
      <c r="AE176" s="133">
        <f t="shared" si="48"/>
        <v>24457048.457538079</v>
      </c>
      <c r="AF176" s="133">
        <f t="shared" si="49"/>
        <v>0</v>
      </c>
      <c r="AG176" s="133">
        <f t="shared" si="50"/>
        <v>24457048.457538079</v>
      </c>
      <c r="AH176" s="133">
        <f t="shared" si="51"/>
        <v>21701006.977001</v>
      </c>
      <c r="AI176" s="131">
        <f>AH176*'1. UC Assumptions'!$C$23</f>
        <v>7161332.3024103288</v>
      </c>
      <c r="AJ176" s="131">
        <v>16442742.77</v>
      </c>
      <c r="AK176" s="131">
        <f>AJ176*(1-'1. UC Assumptions'!$C$22)</f>
        <v>5426105.114099999</v>
      </c>
      <c r="AL176" s="131"/>
      <c r="AM176" s="131">
        <f>AL176*'1. UC Assumptions'!$C$23</f>
        <v>0</v>
      </c>
      <c r="AN176" s="153">
        <f t="shared" si="52"/>
        <v>46158055.43453908</v>
      </c>
      <c r="AO176" s="151">
        <f>AN176*'1. UC Assumptions'!$C$23</f>
        <v>15232158.293397894</v>
      </c>
      <c r="AP176" s="151">
        <f t="shared" si="53"/>
        <v>29715312.66453908</v>
      </c>
      <c r="AQ176" s="151">
        <f t="shared" si="54"/>
        <v>9806053.1792978942</v>
      </c>
      <c r="AR176" s="151">
        <f t="shared" si="55"/>
        <v>9806053.1792978942</v>
      </c>
      <c r="AS176" s="151">
        <f t="shared" si="56"/>
        <v>15232158.293397892</v>
      </c>
      <c r="AT176" s="151">
        <f>IF(K176="Bexar",(AG176/$AT$1)*'1. UC Assumptions'!$E$44-(AH176/$AT$2)*'1. UC Assumptions'!$E$42,0)</f>
        <v>0</v>
      </c>
      <c r="AU176" s="151">
        <f>IF(K176="Dallas",(AG176/$AU$1)*'1. UC Assumptions'!$F$44-(AH176/$AU$2)*'1. UC Assumptions'!$F$42,0)</f>
        <v>0</v>
      </c>
      <c r="AV176" s="151">
        <f>IF(K176="El Paso",(AG176/$AV$1)*'1. UC Assumptions'!$G$44-(AH176/$AV$2)*'1. UC Assumptions'!$G$42,0)</f>
        <v>0</v>
      </c>
      <c r="AW176" s="151">
        <f>IF(K176="Harris",(AG176/$AW$1)*'1. UC Assumptions'!$H$44-(AH176/$AW$2)*'1. UC Assumptions'!$H$42,0)</f>
        <v>0</v>
      </c>
      <c r="AX176" s="151">
        <f>IF(K176="Hidalgo",(AG176/$AX$1)*'1. UC Assumptions'!$I$44-(AH176/$AX$2)*'1. UC Assumptions'!$I$42,0)</f>
        <v>0</v>
      </c>
      <c r="AY176" s="151">
        <f>IF(K176="Jefferson",(AG176/$AY$1)*'1. UC Assumptions'!$J$44-(AH176/$AY$2)*'1. UC Assumptions'!$J$42,0)</f>
        <v>0</v>
      </c>
      <c r="AZ176" s="151">
        <f>IF(K176="Lubbock",(AG176/$AZ$1)*'1. UC Assumptions'!$K$44-(AH176/$AZ$2)*'1. UC Assumptions'!$K$42,0)</f>
        <v>0</v>
      </c>
      <c r="BA176" s="151">
        <f>IF(K176="MRSA Central",(AG176/$BA$1)*'1. UC Assumptions'!$L$44-(AH176/$BA$2)*'1. UC Assumptions'!$L$42,0)</f>
        <v>0</v>
      </c>
      <c r="BB176" s="151">
        <f>IF(K176="MRSA Northeast",(AG176/$BB$1)*'1. UC Assumptions'!$M$44-(AH176/$BB$2)*'1. UC Assumptions'!$M$42,0)</f>
        <v>0</v>
      </c>
      <c r="BC176" s="151">
        <f>IF(K176="MRSA West",(AG176/$BC$1)*'1. UC Assumptions'!$N$44-(AH176/$BC$2)*'1. UC Assumptions'!$N$42,0)</f>
        <v>0</v>
      </c>
      <c r="BD176" s="151">
        <f>IF(K176="Nueces",(AG176/$BD$1)*'1. UC Assumptions'!$O$44-(AH176/$BD$2)*'1. UC Assumptions'!$O$42,0)</f>
        <v>0</v>
      </c>
      <c r="BE176" s="151">
        <f>IF(K176="Tarrant",(AG176/$BE$1)*'1. UC Assumptions'!$P$44-(AH176/$BE$2)*'1. UC Assumptions'!$P$42,0)</f>
        <v>0</v>
      </c>
      <c r="BF176" s="151">
        <f>IF(K176="Travis",(AG176/$BF$1)*'1. UC Assumptions'!$Q$44-(AH176/$BF$2)*'1. UC Assumptions'!$Q$42,0)</f>
        <v>0</v>
      </c>
      <c r="BG176" s="151">
        <f t="shared" si="57"/>
        <v>0</v>
      </c>
      <c r="BH176" s="151">
        <f t="shared" si="58"/>
        <v>21701006.977001</v>
      </c>
      <c r="BI176" s="151">
        <f>ROUNDDOWN(BH176*'1. UC Assumptions'!$C$23,2)</f>
        <v>7161332.2999999998</v>
      </c>
      <c r="BJ176" s="154">
        <f t="shared" si="59"/>
        <v>5258264.2070010006</v>
      </c>
      <c r="BK176" s="154">
        <f t="shared" si="60"/>
        <v>1735227.1859000009</v>
      </c>
      <c r="BL176" s="154">
        <f t="shared" si="61"/>
        <v>4854535.13</v>
      </c>
      <c r="BM176" s="154">
        <f t="shared" si="62"/>
        <v>1601996.59</v>
      </c>
      <c r="BN176" s="101"/>
      <c r="BO176" s="154">
        <f>(BL176*'1. UC Assumptions'!$C$23)-'3.  UC Calculations by Hospital'!BM176</f>
        <v>2.8999997302889824E-3</v>
      </c>
      <c r="BP176" s="13"/>
    </row>
    <row r="177" spans="2:68">
      <c r="B177" s="129" t="s">
        <v>648</v>
      </c>
      <c r="C177" s="91" t="s">
        <v>648</v>
      </c>
      <c r="D177" s="91" t="s">
        <v>214</v>
      </c>
      <c r="E177" s="91" t="s">
        <v>149</v>
      </c>
      <c r="F177" s="91"/>
      <c r="G177" s="91" t="s">
        <v>209</v>
      </c>
      <c r="H177" s="91" t="s">
        <v>209</v>
      </c>
      <c r="I177" s="150" t="s">
        <v>210</v>
      </c>
      <c r="J177" s="129" t="s">
        <v>649</v>
      </c>
      <c r="K177" s="91" t="s">
        <v>10</v>
      </c>
      <c r="L177" s="91" t="s">
        <v>650</v>
      </c>
      <c r="M177" s="151">
        <v>86327.992226918213</v>
      </c>
      <c r="N177" s="151">
        <v>951560.18606058578</v>
      </c>
      <c r="O177" s="131">
        <v>118542.75412887039</v>
      </c>
      <c r="P177" s="131">
        <f t="shared" si="42"/>
        <v>833017.43193171534</v>
      </c>
      <c r="Q177" s="131">
        <v>590549.2726117376</v>
      </c>
      <c r="R177" s="131">
        <v>685268.53</v>
      </c>
      <c r="S177" s="131">
        <f t="shared" si="43"/>
        <v>0</v>
      </c>
      <c r="T177" s="131">
        <f t="shared" si="44"/>
        <v>590549.2726117376</v>
      </c>
      <c r="U177" s="131">
        <v>0</v>
      </c>
      <c r="V177" s="131">
        <v>0</v>
      </c>
      <c r="W177" s="131">
        <v>0</v>
      </c>
      <c r="X177" s="131">
        <v>0</v>
      </c>
      <c r="Y177" s="131">
        <v>0</v>
      </c>
      <c r="Z177" s="131">
        <f t="shared" si="45"/>
        <v>0</v>
      </c>
      <c r="AA177" s="131">
        <v>0</v>
      </c>
      <c r="AB177" s="152">
        <f t="shared" si="46"/>
        <v>590549.2726117376</v>
      </c>
      <c r="AC177" s="133">
        <f>IF(D177="Physician Group Practice",(AB177/$AB$393)*'1. UC Assumptions'!$C$15,IF(E177="Rural Hospital",AB177*'1. UC Assumptions'!$C$7/'1. UC Assumptions'!$E$7,(AB177/$AB$397)*('1. UC Assumptions'!$C$9)))</f>
        <v>551239.67024006753</v>
      </c>
      <c r="AD177" s="133">
        <f t="shared" si="47"/>
        <v>0</v>
      </c>
      <c r="AE177" s="133">
        <f t="shared" si="48"/>
        <v>39309.602371670073</v>
      </c>
      <c r="AF177" s="133">
        <f t="shared" si="49"/>
        <v>0</v>
      </c>
      <c r="AG177" s="133">
        <f t="shared" si="50"/>
        <v>39309.602371670073</v>
      </c>
      <c r="AH177" s="133">
        <f t="shared" si="51"/>
        <v>551239.67024006753</v>
      </c>
      <c r="AI177" s="131">
        <f>AH177*'1. UC Assumptions'!$C$23</f>
        <v>181909.09117922228</v>
      </c>
      <c r="AJ177" s="131">
        <v>177417.1</v>
      </c>
      <c r="AK177" s="131">
        <f>AJ177*(1-'1. UC Assumptions'!$C$22)</f>
        <v>58547.642999999996</v>
      </c>
      <c r="AL177" s="131"/>
      <c r="AM177" s="131">
        <f>AL177*'1. UC Assumptions'!$C$23</f>
        <v>0</v>
      </c>
      <c r="AN177" s="153">
        <f t="shared" si="52"/>
        <v>590549.2726117376</v>
      </c>
      <c r="AO177" s="151">
        <f>AN177*'1. UC Assumptions'!$C$23</f>
        <v>194881.25996187338</v>
      </c>
      <c r="AP177" s="151">
        <f t="shared" si="53"/>
        <v>413132.17261173762</v>
      </c>
      <c r="AQ177" s="151">
        <f t="shared" si="54"/>
        <v>136333.61696187337</v>
      </c>
      <c r="AR177" s="151">
        <f t="shared" si="55"/>
        <v>136333.61696187337</v>
      </c>
      <c r="AS177" s="151">
        <f t="shared" si="56"/>
        <v>194881.25996187335</v>
      </c>
      <c r="AT177" s="151">
        <f>IF(K177="Bexar",(AG177/$AT$1)*'1. UC Assumptions'!$E$44-(AH177/$AT$2)*'1. UC Assumptions'!$E$42,0)</f>
        <v>0</v>
      </c>
      <c r="AU177" s="151">
        <f>IF(K177="Dallas",(AG177/$AU$1)*'1. UC Assumptions'!$F$44-(AH177/$AU$2)*'1. UC Assumptions'!$F$42,0)</f>
        <v>0</v>
      </c>
      <c r="AV177" s="151">
        <f>IF(K177="El Paso",(AG177/$AV$1)*'1. UC Assumptions'!$G$44-(AH177/$AV$2)*'1. UC Assumptions'!$G$42,0)</f>
        <v>0</v>
      </c>
      <c r="AW177" s="151">
        <f>IF(K177="Harris",(AG177/$AW$1)*'1. UC Assumptions'!$H$44-(AH177/$AW$2)*'1. UC Assumptions'!$H$42,0)</f>
        <v>0</v>
      </c>
      <c r="AX177" s="151">
        <f>IF(K177="Hidalgo",(AG177/$AX$1)*'1. UC Assumptions'!$I$44-(AH177/$AX$2)*'1. UC Assumptions'!$I$42,0)</f>
        <v>0</v>
      </c>
      <c r="AY177" s="151">
        <f>IF(K177="Jefferson",(AG177/$AY$1)*'1. UC Assumptions'!$J$44-(AH177/$AY$2)*'1. UC Assumptions'!$J$42,0)</f>
        <v>0</v>
      </c>
      <c r="AZ177" s="151">
        <f>IF(K177="Lubbock",(AG177/$AZ$1)*'1. UC Assumptions'!$K$44-(AH177/$AZ$2)*'1. UC Assumptions'!$K$42,0)</f>
        <v>0</v>
      </c>
      <c r="BA177" s="151">
        <f>IF(K177="MRSA Central",(AG177/$BA$1)*'1. UC Assumptions'!$L$44-(AH177/$BA$2)*'1. UC Assumptions'!$L$42,0)</f>
        <v>0</v>
      </c>
      <c r="BB177" s="151">
        <f>IF(K177="MRSA Northeast",(AG177/$BB$1)*'1. UC Assumptions'!$M$44-(AH177/$BB$2)*'1. UC Assumptions'!$M$42,0)</f>
        <v>0</v>
      </c>
      <c r="BC177" s="151">
        <f>IF(K177="MRSA West",(AG177/$BC$1)*'1. UC Assumptions'!$N$44-(AH177/$BC$2)*'1. UC Assumptions'!$N$42,0)</f>
        <v>0</v>
      </c>
      <c r="BD177" s="151">
        <f>IF(K177="Nueces",(AG177/$BD$1)*'1. UC Assumptions'!$O$44-(AH177/$BD$2)*'1. UC Assumptions'!$O$42,0)</f>
        <v>0</v>
      </c>
      <c r="BE177" s="151">
        <f>IF(K177="Tarrant",(AG177/$BE$1)*'1. UC Assumptions'!$P$44-(AH177/$BE$2)*'1. UC Assumptions'!$P$42,0)</f>
        <v>0</v>
      </c>
      <c r="BF177" s="151">
        <f>IF(K177="Travis",(AG177/$BF$1)*'1. UC Assumptions'!$Q$44-(AH177/$BF$2)*'1. UC Assumptions'!$Q$42,0)</f>
        <v>0</v>
      </c>
      <c r="BG177" s="151">
        <f t="shared" si="57"/>
        <v>0</v>
      </c>
      <c r="BH177" s="151">
        <f t="shared" si="58"/>
        <v>551239.67024006753</v>
      </c>
      <c r="BI177" s="151">
        <f>ROUNDDOWN(BH177*'1. UC Assumptions'!$C$23,2)</f>
        <v>181909.09</v>
      </c>
      <c r="BJ177" s="154">
        <f t="shared" si="59"/>
        <v>373822.57024006755</v>
      </c>
      <c r="BK177" s="154">
        <f t="shared" si="60"/>
        <v>123361.447</v>
      </c>
      <c r="BL177" s="154">
        <f t="shared" si="61"/>
        <v>345120.51</v>
      </c>
      <c r="BM177" s="154">
        <f t="shared" si="62"/>
        <v>113889.77</v>
      </c>
      <c r="BN177" s="101"/>
      <c r="BO177" s="154">
        <f>(BL177*'1. UC Assumptions'!$C$23)-'3.  UC Calculations by Hospital'!BM177</f>
        <v>-1.7000000079860911E-3</v>
      </c>
      <c r="BP177" s="13"/>
    </row>
    <row r="178" spans="2:68">
      <c r="B178" s="129" t="s">
        <v>651</v>
      </c>
      <c r="C178" s="91" t="s">
        <v>651</v>
      </c>
      <c r="D178" s="91" t="s">
        <v>208</v>
      </c>
      <c r="E178" s="91" t="s">
        <v>149</v>
      </c>
      <c r="F178" s="91"/>
      <c r="G178" s="91" t="s">
        <v>209</v>
      </c>
      <c r="H178" s="91" t="s">
        <v>209</v>
      </c>
      <c r="I178" s="150" t="s">
        <v>210</v>
      </c>
      <c r="J178" s="129" t="s">
        <v>652</v>
      </c>
      <c r="K178" s="91" t="s">
        <v>12</v>
      </c>
      <c r="L178" s="91" t="s">
        <v>291</v>
      </c>
      <c r="M178" s="151">
        <v>93715.510105907102</v>
      </c>
      <c r="N178" s="151">
        <v>532866.21208237065</v>
      </c>
      <c r="O178" s="131">
        <v>367772.07400209917</v>
      </c>
      <c r="P178" s="131">
        <f t="shared" si="42"/>
        <v>165094.13808027148</v>
      </c>
      <c r="Q178" s="131">
        <v>848417.19168048643</v>
      </c>
      <c r="R178" s="131">
        <v>0</v>
      </c>
      <c r="S178" s="131">
        <f t="shared" si="43"/>
        <v>0</v>
      </c>
      <c r="T178" s="131">
        <f t="shared" si="44"/>
        <v>848417.19168048643</v>
      </c>
      <c r="U178" s="131">
        <v>0</v>
      </c>
      <c r="V178" s="131">
        <v>0</v>
      </c>
      <c r="W178" s="131">
        <v>0</v>
      </c>
      <c r="X178" s="131">
        <v>0</v>
      </c>
      <c r="Y178" s="131">
        <v>0</v>
      </c>
      <c r="Z178" s="131">
        <f t="shared" si="45"/>
        <v>0</v>
      </c>
      <c r="AA178" s="131">
        <v>0</v>
      </c>
      <c r="AB178" s="152">
        <f t="shared" si="46"/>
        <v>848417.19168048643</v>
      </c>
      <c r="AC178" s="133">
        <f>IF(D178="Physician Group Practice",(AB178/$AB$393)*'1. UC Assumptions'!$C$15,IF(E178="Rural Hospital",AB178*'1. UC Assumptions'!$C$7/'1. UC Assumptions'!$E$7,(AB178/$AB$397)*('1. UC Assumptions'!$C$9)))</f>
        <v>791942.7466223248</v>
      </c>
      <c r="AD178" s="133">
        <f t="shared" si="47"/>
        <v>0</v>
      </c>
      <c r="AE178" s="133">
        <f t="shared" si="48"/>
        <v>56474.445058161626</v>
      </c>
      <c r="AF178" s="133">
        <f t="shared" si="49"/>
        <v>0</v>
      </c>
      <c r="AG178" s="133">
        <f t="shared" si="50"/>
        <v>56474.445058161626</v>
      </c>
      <c r="AH178" s="133">
        <f t="shared" si="51"/>
        <v>791942.7466223248</v>
      </c>
      <c r="AI178" s="131">
        <f>AH178*'1. UC Assumptions'!$C$23</f>
        <v>261341.10638536717</v>
      </c>
      <c r="AJ178" s="131">
        <v>183722.51</v>
      </c>
      <c r="AK178" s="131">
        <f>AJ178*(1-'1. UC Assumptions'!$C$22)</f>
        <v>60628.428299999992</v>
      </c>
      <c r="AL178" s="131"/>
      <c r="AM178" s="131">
        <f>AL178*'1. UC Assumptions'!$C$23</f>
        <v>0</v>
      </c>
      <c r="AN178" s="153">
        <f t="shared" si="52"/>
        <v>848417.19168048643</v>
      </c>
      <c r="AO178" s="151">
        <f>AN178*'1. UC Assumptions'!$C$23</f>
        <v>279977.6732545605</v>
      </c>
      <c r="AP178" s="151">
        <f t="shared" si="53"/>
        <v>664694.68168048642</v>
      </c>
      <c r="AQ178" s="151">
        <f t="shared" si="54"/>
        <v>219349.2449545605</v>
      </c>
      <c r="AR178" s="151">
        <f t="shared" si="55"/>
        <v>219349.2449545605</v>
      </c>
      <c r="AS178" s="151">
        <f t="shared" si="56"/>
        <v>279977.6732545605</v>
      </c>
      <c r="AT178" s="151">
        <f>IF(K178="Bexar",(AG178/$AT$1)*'1. UC Assumptions'!$E$44-(AH178/$AT$2)*'1. UC Assumptions'!$E$42,0)</f>
        <v>0</v>
      </c>
      <c r="AU178" s="151">
        <f>IF(K178="Dallas",(AG178/$AU$1)*'1. UC Assumptions'!$F$44-(AH178/$AU$2)*'1. UC Assumptions'!$F$42,0)</f>
        <v>0</v>
      </c>
      <c r="AV178" s="151">
        <f>IF(K178="El Paso",(AG178/$AV$1)*'1. UC Assumptions'!$G$44-(AH178/$AV$2)*'1. UC Assumptions'!$G$42,0)</f>
        <v>0</v>
      </c>
      <c r="AW178" s="151">
        <f>IF(K178="Harris",(AG178/$AW$1)*'1. UC Assumptions'!$H$44-(AH178/$AW$2)*'1. UC Assumptions'!$H$42,0)</f>
        <v>0</v>
      </c>
      <c r="AX178" s="151">
        <f>IF(K178="Hidalgo",(AG178/$AX$1)*'1. UC Assumptions'!$I$44-(AH178/$AX$2)*'1. UC Assumptions'!$I$42,0)</f>
        <v>0</v>
      </c>
      <c r="AY178" s="151">
        <f>IF(K178="Jefferson",(AG178/$AY$1)*'1. UC Assumptions'!$J$44-(AH178/$AY$2)*'1. UC Assumptions'!$J$42,0)</f>
        <v>0</v>
      </c>
      <c r="AZ178" s="151">
        <f>IF(K178="Lubbock",(AG178/$AZ$1)*'1. UC Assumptions'!$K$44-(AH178/$AZ$2)*'1. UC Assumptions'!$K$42,0)</f>
        <v>0</v>
      </c>
      <c r="BA178" s="151">
        <f>IF(K178="MRSA Central",(AG178/$BA$1)*'1. UC Assumptions'!$L$44-(AH178/$BA$2)*'1. UC Assumptions'!$L$42,0)</f>
        <v>0</v>
      </c>
      <c r="BB178" s="151">
        <f>IF(K178="MRSA Northeast",(AG178/$BB$1)*'1. UC Assumptions'!$M$44-(AH178/$BB$2)*'1. UC Assumptions'!$M$42,0)</f>
        <v>0</v>
      </c>
      <c r="BC178" s="151">
        <f>IF(K178="MRSA West",(AG178/$BC$1)*'1. UC Assumptions'!$N$44-(AH178/$BC$2)*'1. UC Assumptions'!$N$42,0)</f>
        <v>0</v>
      </c>
      <c r="BD178" s="151">
        <f>IF(K178="Nueces",(AG178/$BD$1)*'1. UC Assumptions'!$O$44-(AH178/$BD$2)*'1. UC Assumptions'!$O$42,0)</f>
        <v>0</v>
      </c>
      <c r="BE178" s="151">
        <f>IF(K178="Tarrant",(AG178/$BE$1)*'1. UC Assumptions'!$P$44-(AH178/$BE$2)*'1. UC Assumptions'!$P$42,0)</f>
        <v>0</v>
      </c>
      <c r="BF178" s="151">
        <f>IF(K178="Travis",(AG178/$BF$1)*'1. UC Assumptions'!$Q$44-(AH178/$BF$2)*'1. UC Assumptions'!$Q$42,0)</f>
        <v>0</v>
      </c>
      <c r="BG178" s="151">
        <f t="shared" si="57"/>
        <v>0</v>
      </c>
      <c r="BH178" s="151">
        <f t="shared" si="58"/>
        <v>791942.7466223248</v>
      </c>
      <c r="BI178" s="151">
        <f>ROUNDDOWN(BH178*'1. UC Assumptions'!$C$23,2)</f>
        <v>261341.1</v>
      </c>
      <c r="BJ178" s="154">
        <f t="shared" si="59"/>
        <v>608220.2366223248</v>
      </c>
      <c r="BK178" s="154">
        <f t="shared" si="60"/>
        <v>200712.67170000001</v>
      </c>
      <c r="BL178" s="154">
        <f t="shared" si="61"/>
        <v>561521.14</v>
      </c>
      <c r="BM178" s="154">
        <f t="shared" si="62"/>
        <v>185301.97</v>
      </c>
      <c r="BN178" s="101"/>
      <c r="BO178" s="154">
        <f>(BL178*'1. UC Assumptions'!$C$23)-'3.  UC Calculations by Hospital'!BM178</f>
        <v>6.1999999743420631E-3</v>
      </c>
      <c r="BP178" s="13"/>
    </row>
    <row r="179" spans="2:68">
      <c r="B179" s="129" t="s">
        <v>653</v>
      </c>
      <c r="C179" s="91" t="s">
        <v>653</v>
      </c>
      <c r="D179" s="91" t="s">
        <v>214</v>
      </c>
      <c r="E179" s="91" t="s">
        <v>209</v>
      </c>
      <c r="F179" s="91"/>
      <c r="G179" s="91" t="s">
        <v>209</v>
      </c>
      <c r="H179" s="91" t="s">
        <v>209</v>
      </c>
      <c r="I179" s="150" t="s">
        <v>210</v>
      </c>
      <c r="J179" s="129" t="s">
        <v>654</v>
      </c>
      <c r="K179" s="91" t="s">
        <v>7</v>
      </c>
      <c r="L179" s="91" t="s">
        <v>7</v>
      </c>
      <c r="M179" s="151">
        <v>5392853.5673959628</v>
      </c>
      <c r="N179" s="151">
        <v>11970597.12240308</v>
      </c>
      <c r="O179" s="131">
        <v>2324146.2207593825</v>
      </c>
      <c r="P179" s="131">
        <f t="shared" si="42"/>
        <v>9646450.9016436972</v>
      </c>
      <c r="Q179" s="131">
        <v>6491699.7676690109</v>
      </c>
      <c r="R179" s="131">
        <v>3275363.8</v>
      </c>
      <c r="S179" s="131">
        <f t="shared" si="43"/>
        <v>0</v>
      </c>
      <c r="T179" s="131">
        <f t="shared" si="44"/>
        <v>6491699.7676690109</v>
      </c>
      <c r="U179" s="131">
        <v>39909</v>
      </c>
      <c r="V179" s="131">
        <v>0</v>
      </c>
      <c r="W179" s="131">
        <v>0</v>
      </c>
      <c r="X179" s="131">
        <v>0</v>
      </c>
      <c r="Y179" s="131">
        <v>0</v>
      </c>
      <c r="Z179" s="131">
        <f t="shared" si="45"/>
        <v>39909</v>
      </c>
      <c r="AA179" s="131">
        <v>0</v>
      </c>
      <c r="AB179" s="152">
        <f t="shared" si="46"/>
        <v>6531608.7676690109</v>
      </c>
      <c r="AC179" s="133">
        <f>IF(D179="Physician Group Practice",(AB179/$AB$393)*'1. UC Assumptions'!$C$15,IF(E179="Rural Hospital",AB179*'1. UC Assumptions'!$C$7/'1. UC Assumptions'!$E$7,(AB179/$AB$397)*('1. UC Assumptions'!$C$9)))</f>
        <v>3070807.1668929807</v>
      </c>
      <c r="AD179" s="133">
        <f t="shared" si="47"/>
        <v>0</v>
      </c>
      <c r="AE179" s="133">
        <f t="shared" si="48"/>
        <v>3460801.6007760302</v>
      </c>
      <c r="AF179" s="133">
        <f t="shared" si="49"/>
        <v>0</v>
      </c>
      <c r="AG179" s="133">
        <f t="shared" si="50"/>
        <v>3460801.6007760302</v>
      </c>
      <c r="AH179" s="133">
        <f t="shared" si="51"/>
        <v>3070807.1668929807</v>
      </c>
      <c r="AI179" s="131">
        <f>AH179*'1. UC Assumptions'!$C$23</f>
        <v>1013366.3650746836</v>
      </c>
      <c r="AJ179" s="131">
        <v>1524084.51</v>
      </c>
      <c r="AK179" s="131">
        <f>AJ179*(1-'1. UC Assumptions'!$C$22)</f>
        <v>502947.88829999993</v>
      </c>
      <c r="AL179" s="131"/>
      <c r="AM179" s="131">
        <f>AL179*'1. UC Assumptions'!$C$23</f>
        <v>0</v>
      </c>
      <c r="AN179" s="153">
        <f t="shared" si="52"/>
        <v>6531608.7676690109</v>
      </c>
      <c r="AO179" s="151">
        <f>AN179*'1. UC Assumptions'!$C$23</f>
        <v>2155430.8933307733</v>
      </c>
      <c r="AP179" s="151">
        <f t="shared" si="53"/>
        <v>5007524.2576690111</v>
      </c>
      <c r="AQ179" s="151">
        <f t="shared" si="54"/>
        <v>1652483.0050307733</v>
      </c>
      <c r="AR179" s="151">
        <f t="shared" si="55"/>
        <v>1652483.0050307733</v>
      </c>
      <c r="AS179" s="151">
        <f t="shared" si="56"/>
        <v>2155430.8933307733</v>
      </c>
      <c r="AT179" s="151">
        <f>IF(K179="Bexar",(AG179/$AT$1)*'1. UC Assumptions'!$E$44-(AH179/$AT$2)*'1. UC Assumptions'!$E$42,0)</f>
        <v>0</v>
      </c>
      <c r="AU179" s="151">
        <f>IF(K179="Dallas",(AG179/$AU$1)*'1. UC Assumptions'!$F$44-(AH179/$AU$2)*'1. UC Assumptions'!$F$42,0)</f>
        <v>0</v>
      </c>
      <c r="AV179" s="151">
        <f>IF(K179="El Paso",(AG179/$AV$1)*'1. UC Assumptions'!$G$44-(AH179/$AV$2)*'1. UC Assumptions'!$G$42,0)</f>
        <v>0</v>
      </c>
      <c r="AW179" s="151">
        <f>IF(K179="Harris",(AG179/$AW$1)*'1. UC Assumptions'!$H$44-(AH179/$AW$2)*'1. UC Assumptions'!$H$42,0)</f>
        <v>0</v>
      </c>
      <c r="AX179" s="151">
        <f>IF(K179="Hidalgo",(AG179/$AX$1)*'1. UC Assumptions'!$I$44-(AH179/$AX$2)*'1. UC Assumptions'!$I$42,0)</f>
        <v>0</v>
      </c>
      <c r="AY179" s="151">
        <f>IF(K179="Jefferson",(AG179/$AY$1)*'1. UC Assumptions'!$J$44-(AH179/$AY$2)*'1. UC Assumptions'!$J$42,0)</f>
        <v>0</v>
      </c>
      <c r="AZ179" s="151">
        <f>IF(K179="Lubbock",(AG179/$AZ$1)*'1. UC Assumptions'!$K$44-(AH179/$AZ$2)*'1. UC Assumptions'!$K$42,0)</f>
        <v>0</v>
      </c>
      <c r="BA179" s="151">
        <f>IF(K179="MRSA Central",(AG179/$BA$1)*'1. UC Assumptions'!$L$44-(AH179/$BA$2)*'1. UC Assumptions'!$L$42,0)</f>
        <v>0</v>
      </c>
      <c r="BB179" s="151">
        <f>IF(K179="MRSA Northeast",(AG179/$BB$1)*'1. UC Assumptions'!$M$44-(AH179/$BB$2)*'1. UC Assumptions'!$M$42,0)</f>
        <v>0</v>
      </c>
      <c r="BC179" s="151">
        <f>IF(K179="MRSA West",(AG179/$BC$1)*'1. UC Assumptions'!$N$44-(AH179/$BC$2)*'1. UC Assumptions'!$N$42,0)</f>
        <v>0</v>
      </c>
      <c r="BD179" s="151">
        <f>IF(K179="Nueces",(AG179/$BD$1)*'1. UC Assumptions'!$O$44-(AH179/$BD$2)*'1. UC Assumptions'!$O$42,0)</f>
        <v>0</v>
      </c>
      <c r="BE179" s="151">
        <f>IF(K179="Tarrant",(AG179/$BE$1)*'1. UC Assumptions'!$P$44-(AH179/$BE$2)*'1. UC Assumptions'!$P$42,0)</f>
        <v>0</v>
      </c>
      <c r="BF179" s="151">
        <f>IF(K179="Travis",(AG179/$BF$1)*'1. UC Assumptions'!$Q$44-(AH179/$BF$2)*'1. UC Assumptions'!$Q$42,0)</f>
        <v>0</v>
      </c>
      <c r="BG179" s="151">
        <f t="shared" si="57"/>
        <v>0</v>
      </c>
      <c r="BH179" s="151">
        <f t="shared" si="58"/>
        <v>3070807.1668929807</v>
      </c>
      <c r="BI179" s="151">
        <f>ROUNDDOWN(BH179*'1. UC Assumptions'!$C$23,2)</f>
        <v>1013366.36</v>
      </c>
      <c r="BJ179" s="154">
        <f t="shared" si="59"/>
        <v>1546722.6568929807</v>
      </c>
      <c r="BK179" s="154">
        <f t="shared" si="60"/>
        <v>510418.47170000005</v>
      </c>
      <c r="BL179" s="154">
        <f t="shared" si="61"/>
        <v>1427965.42</v>
      </c>
      <c r="BM179" s="154">
        <f t="shared" si="62"/>
        <v>471228.58</v>
      </c>
      <c r="BN179" s="101"/>
      <c r="BO179" s="154">
        <f>(BL179*'1. UC Assumptions'!$C$23)-'3.  UC Calculations by Hospital'!BM179</f>
        <v>8.599999884609133E-3</v>
      </c>
      <c r="BP179" s="13"/>
    </row>
    <row r="180" spans="2:68">
      <c r="B180" s="129" t="s">
        <v>655</v>
      </c>
      <c r="C180" s="91" t="s">
        <v>655</v>
      </c>
      <c r="D180" s="91" t="s">
        <v>214</v>
      </c>
      <c r="E180" s="91" t="s">
        <v>209</v>
      </c>
      <c r="F180" s="91"/>
      <c r="G180" s="91" t="s">
        <v>209</v>
      </c>
      <c r="H180" s="91" t="s">
        <v>209</v>
      </c>
      <c r="I180" s="150" t="s">
        <v>210</v>
      </c>
      <c r="J180" s="129" t="s">
        <v>656</v>
      </c>
      <c r="K180" s="91" t="s">
        <v>14</v>
      </c>
      <c r="L180" s="91" t="s">
        <v>14</v>
      </c>
      <c r="M180" s="151">
        <v>-1690975.2346876469</v>
      </c>
      <c r="N180" s="151">
        <v>23951150.529045049</v>
      </c>
      <c r="O180" s="131">
        <v>11531738.480343582</v>
      </c>
      <c r="P180" s="131">
        <f t="shared" si="42"/>
        <v>12419412.048701467</v>
      </c>
      <c r="Q180" s="131">
        <v>15357090.50836288</v>
      </c>
      <c r="R180" s="131">
        <v>7090815.9499999993</v>
      </c>
      <c r="S180" s="131">
        <f t="shared" si="43"/>
        <v>0</v>
      </c>
      <c r="T180" s="131">
        <f t="shared" si="44"/>
        <v>15357090.50836288</v>
      </c>
      <c r="U180" s="131">
        <v>0</v>
      </c>
      <c r="V180" s="131">
        <v>0</v>
      </c>
      <c r="W180" s="131">
        <v>0</v>
      </c>
      <c r="X180" s="131">
        <v>0</v>
      </c>
      <c r="Y180" s="131">
        <v>0</v>
      </c>
      <c r="Z180" s="131">
        <f t="shared" si="45"/>
        <v>0</v>
      </c>
      <c r="AA180" s="131">
        <v>0</v>
      </c>
      <c r="AB180" s="152">
        <f t="shared" si="46"/>
        <v>15357090.50836288</v>
      </c>
      <c r="AC180" s="133">
        <f>IF(D180="Physician Group Practice",(AB180/$AB$393)*'1. UC Assumptions'!$C$15,IF(E180="Rural Hospital",AB180*'1. UC Assumptions'!$C$7/'1. UC Assumptions'!$E$7,(AB180/$AB$397)*('1. UC Assumptions'!$C$9)))</f>
        <v>7220068.6344131418</v>
      </c>
      <c r="AD180" s="133">
        <f t="shared" si="47"/>
        <v>0</v>
      </c>
      <c r="AE180" s="133">
        <f t="shared" si="48"/>
        <v>8137021.8739497382</v>
      </c>
      <c r="AF180" s="133">
        <f t="shared" si="49"/>
        <v>0</v>
      </c>
      <c r="AG180" s="133">
        <f t="shared" si="50"/>
        <v>8137021.8739497382</v>
      </c>
      <c r="AH180" s="133">
        <f t="shared" si="51"/>
        <v>7220068.6344131418</v>
      </c>
      <c r="AI180" s="131">
        <f>AH180*'1. UC Assumptions'!$C$23</f>
        <v>2382622.6493563363</v>
      </c>
      <c r="AJ180" s="131">
        <v>6466786.8600000003</v>
      </c>
      <c r="AK180" s="131">
        <f>AJ180*(1-'1. UC Assumptions'!$C$22)</f>
        <v>2134039.6637999997</v>
      </c>
      <c r="AL180" s="131"/>
      <c r="AM180" s="131">
        <f>AL180*'1. UC Assumptions'!$C$23</f>
        <v>0</v>
      </c>
      <c r="AN180" s="153">
        <f t="shared" si="52"/>
        <v>15357090.50836288</v>
      </c>
      <c r="AO180" s="151">
        <f>AN180*'1. UC Assumptions'!$C$23</f>
        <v>5067839.8677597502</v>
      </c>
      <c r="AP180" s="151">
        <f t="shared" si="53"/>
        <v>8890303.6483628787</v>
      </c>
      <c r="AQ180" s="151">
        <f t="shared" si="54"/>
        <v>2933800.2039597505</v>
      </c>
      <c r="AR180" s="151">
        <f t="shared" si="55"/>
        <v>2933800.2039597505</v>
      </c>
      <c r="AS180" s="151">
        <f t="shared" si="56"/>
        <v>5067839.8677597502</v>
      </c>
      <c r="AT180" s="151">
        <f>IF(K180="Bexar",(AG180/$AT$1)*'1. UC Assumptions'!$E$44-(AH180/$AT$2)*'1. UC Assumptions'!$E$42,0)</f>
        <v>0</v>
      </c>
      <c r="AU180" s="151">
        <f>IF(K180="Dallas",(AG180/$AU$1)*'1. UC Assumptions'!$F$44-(AH180/$AU$2)*'1. UC Assumptions'!$F$42,0)</f>
        <v>0</v>
      </c>
      <c r="AV180" s="151">
        <f>IF(K180="El Paso",(AG180/$AV$1)*'1. UC Assumptions'!$G$44-(AH180/$AV$2)*'1. UC Assumptions'!$G$42,0)</f>
        <v>0</v>
      </c>
      <c r="AW180" s="151">
        <f>IF(K180="Harris",(AG180/$AW$1)*'1. UC Assumptions'!$H$44-(AH180/$AW$2)*'1. UC Assumptions'!$H$42,0)</f>
        <v>0</v>
      </c>
      <c r="AX180" s="151">
        <f>IF(K180="Hidalgo",(AG180/$AX$1)*'1. UC Assumptions'!$I$44-(AH180/$AX$2)*'1. UC Assumptions'!$I$42,0)</f>
        <v>0</v>
      </c>
      <c r="AY180" s="151">
        <f>IF(K180="Jefferson",(AG180/$AY$1)*'1. UC Assumptions'!$J$44-(AH180/$AY$2)*'1. UC Assumptions'!$J$42,0)</f>
        <v>0</v>
      </c>
      <c r="AZ180" s="151">
        <f>IF(K180="Lubbock",(AG180/$AZ$1)*'1. UC Assumptions'!$K$44-(AH180/$AZ$2)*'1. UC Assumptions'!$K$42,0)</f>
        <v>0</v>
      </c>
      <c r="BA180" s="151">
        <f>IF(K180="MRSA Central",(AG180/$BA$1)*'1. UC Assumptions'!$L$44-(AH180/$BA$2)*'1. UC Assumptions'!$L$42,0)</f>
        <v>0</v>
      </c>
      <c r="BB180" s="151">
        <f>IF(K180="MRSA Northeast",(AG180/$BB$1)*'1. UC Assumptions'!$M$44-(AH180/$BB$2)*'1. UC Assumptions'!$M$42,0)</f>
        <v>0</v>
      </c>
      <c r="BC180" s="151">
        <f>IF(K180="MRSA West",(AG180/$BC$1)*'1. UC Assumptions'!$N$44-(AH180/$BC$2)*'1. UC Assumptions'!$N$42,0)</f>
        <v>0</v>
      </c>
      <c r="BD180" s="151">
        <f>IF(K180="Nueces",(AG180/$BD$1)*'1. UC Assumptions'!$O$44-(AH180/$BD$2)*'1. UC Assumptions'!$O$42,0)</f>
        <v>0</v>
      </c>
      <c r="BE180" s="151">
        <f>IF(K180="Tarrant",(AG180/$BE$1)*'1. UC Assumptions'!$P$44-(AH180/$BE$2)*'1. UC Assumptions'!$P$42,0)</f>
        <v>0</v>
      </c>
      <c r="BF180" s="151">
        <f>IF(K180="Travis",(AG180/$BF$1)*'1. UC Assumptions'!$Q$44-(AH180/$BF$2)*'1. UC Assumptions'!$Q$42,0)</f>
        <v>0</v>
      </c>
      <c r="BG180" s="151">
        <f t="shared" si="57"/>
        <v>0</v>
      </c>
      <c r="BH180" s="151">
        <f t="shared" si="58"/>
        <v>7220068.6344131418</v>
      </c>
      <c r="BI180" s="151">
        <f>ROUNDDOWN(BH180*'1. UC Assumptions'!$C$23,2)</f>
        <v>2382622.64</v>
      </c>
      <c r="BJ180" s="154">
        <f t="shared" si="59"/>
        <v>753281.77441314142</v>
      </c>
      <c r="BK180" s="154">
        <f t="shared" si="60"/>
        <v>248582.97620000038</v>
      </c>
      <c r="BL180" s="154">
        <f t="shared" si="61"/>
        <v>695444.86</v>
      </c>
      <c r="BM180" s="154">
        <f t="shared" si="62"/>
        <v>229496.8</v>
      </c>
      <c r="BN180" s="101"/>
      <c r="BO180" s="154">
        <f>(BL180*'1. UC Assumptions'!$C$23)-'3.  UC Calculations by Hospital'!BM180</f>
        <v>3.7999999767635018E-3</v>
      </c>
      <c r="BP180" s="13"/>
    </row>
    <row r="181" spans="2:68">
      <c r="B181" s="129" t="s">
        <v>657</v>
      </c>
      <c r="C181" s="91" t="s">
        <v>657</v>
      </c>
      <c r="D181" s="91" t="s">
        <v>208</v>
      </c>
      <c r="E181" s="91" t="s">
        <v>149</v>
      </c>
      <c r="F181" s="91"/>
      <c r="G181" s="91" t="s">
        <v>209</v>
      </c>
      <c r="H181" s="91" t="s">
        <v>209</v>
      </c>
      <c r="I181" s="150" t="s">
        <v>210</v>
      </c>
      <c r="J181" s="129" t="s">
        <v>658</v>
      </c>
      <c r="K181" s="91" t="s">
        <v>3</v>
      </c>
      <c r="L181" s="91" t="s">
        <v>659</v>
      </c>
      <c r="M181" s="151">
        <v>-310676.99822046736</v>
      </c>
      <c r="N181" s="151">
        <v>1639555.6937758815</v>
      </c>
      <c r="O181" s="131">
        <v>389220.96552657918</v>
      </c>
      <c r="P181" s="131">
        <f t="shared" si="42"/>
        <v>1250334.7282493024</v>
      </c>
      <c r="Q181" s="131">
        <v>733164.49478630407</v>
      </c>
      <c r="R181" s="131">
        <v>829669.35</v>
      </c>
      <c r="S181" s="131">
        <f t="shared" si="43"/>
        <v>0</v>
      </c>
      <c r="T181" s="131">
        <f t="shared" si="44"/>
        <v>733164.49478630407</v>
      </c>
      <c r="U181" s="131">
        <v>0</v>
      </c>
      <c r="V181" s="131">
        <v>0</v>
      </c>
      <c r="W181" s="131">
        <v>0</v>
      </c>
      <c r="X181" s="131">
        <v>0</v>
      </c>
      <c r="Y181" s="131">
        <v>0</v>
      </c>
      <c r="Z181" s="131">
        <f t="shared" si="45"/>
        <v>0</v>
      </c>
      <c r="AA181" s="131">
        <v>0</v>
      </c>
      <c r="AB181" s="152">
        <f t="shared" si="46"/>
        <v>733164.49478630407</v>
      </c>
      <c r="AC181" s="133">
        <f>IF(D181="Physician Group Practice",(AB181/$AB$393)*'1. UC Assumptions'!$C$15,IF(E181="Rural Hospital",AB181*'1. UC Assumptions'!$C$7/'1. UC Assumptions'!$E$7,(AB181/$AB$397)*('1. UC Assumptions'!$C$9)))</f>
        <v>684361.78500458493</v>
      </c>
      <c r="AD181" s="133">
        <f t="shared" si="47"/>
        <v>0</v>
      </c>
      <c r="AE181" s="133">
        <f t="shared" si="48"/>
        <v>48802.709781719139</v>
      </c>
      <c r="AF181" s="133">
        <f t="shared" si="49"/>
        <v>0</v>
      </c>
      <c r="AG181" s="133">
        <f t="shared" si="50"/>
        <v>48802.709781719139</v>
      </c>
      <c r="AH181" s="133">
        <f t="shared" si="51"/>
        <v>684361.78500458493</v>
      </c>
      <c r="AI181" s="131">
        <f>AH181*'1. UC Assumptions'!$C$23</f>
        <v>225839.38905151299</v>
      </c>
      <c r="AJ181" s="131">
        <v>532842.49</v>
      </c>
      <c r="AK181" s="131">
        <f>AJ181*(1-'1. UC Assumptions'!$C$22)</f>
        <v>175838.02169999998</v>
      </c>
      <c r="AL181" s="131"/>
      <c r="AM181" s="131">
        <f>AL181*'1. UC Assumptions'!$C$23</f>
        <v>0</v>
      </c>
      <c r="AN181" s="153">
        <f t="shared" si="52"/>
        <v>733164.49478630407</v>
      </c>
      <c r="AO181" s="151">
        <f>AN181*'1. UC Assumptions'!$C$23</f>
        <v>241944.28327948033</v>
      </c>
      <c r="AP181" s="151">
        <f t="shared" si="53"/>
        <v>200322.00478630408</v>
      </c>
      <c r="AQ181" s="151">
        <f t="shared" si="54"/>
        <v>66106.261579480342</v>
      </c>
      <c r="AR181" s="151">
        <f t="shared" si="55"/>
        <v>66106.261579480342</v>
      </c>
      <c r="AS181" s="151">
        <f t="shared" si="56"/>
        <v>241944.28327948033</v>
      </c>
      <c r="AT181" s="151">
        <f>IF(K181="Bexar",(AG181/$AT$1)*'1. UC Assumptions'!$E$44-(AH181/$AT$2)*'1. UC Assumptions'!$E$42,0)</f>
        <v>0</v>
      </c>
      <c r="AU181" s="151">
        <f>IF(K181="Dallas",(AG181/$AU$1)*'1. UC Assumptions'!$F$44-(AH181/$AU$2)*'1. UC Assumptions'!$F$42,0)</f>
        <v>0</v>
      </c>
      <c r="AV181" s="151">
        <f>IF(K181="El Paso",(AG181/$AV$1)*'1. UC Assumptions'!$G$44-(AH181/$AV$2)*'1. UC Assumptions'!$G$42,0)</f>
        <v>0</v>
      </c>
      <c r="AW181" s="151">
        <f>IF(K181="Harris",(AG181/$AW$1)*'1. UC Assumptions'!$H$44-(AH181/$AW$2)*'1. UC Assumptions'!$H$42,0)</f>
        <v>0</v>
      </c>
      <c r="AX181" s="151">
        <f>IF(K181="Hidalgo",(AG181/$AX$1)*'1. UC Assumptions'!$I$44-(AH181/$AX$2)*'1. UC Assumptions'!$I$42,0)</f>
        <v>0</v>
      </c>
      <c r="AY181" s="151">
        <f>IF(K181="Jefferson",(AG181/$AY$1)*'1. UC Assumptions'!$J$44-(AH181/$AY$2)*'1. UC Assumptions'!$J$42,0)</f>
        <v>0</v>
      </c>
      <c r="AZ181" s="151">
        <f>IF(K181="Lubbock",(AG181/$AZ$1)*'1. UC Assumptions'!$K$44-(AH181/$AZ$2)*'1. UC Assumptions'!$K$42,0)</f>
        <v>0</v>
      </c>
      <c r="BA181" s="151">
        <f>IF(K181="MRSA Central",(AG181/$BA$1)*'1. UC Assumptions'!$L$44-(AH181/$BA$2)*'1. UC Assumptions'!$L$42,0)</f>
        <v>0</v>
      </c>
      <c r="BB181" s="151">
        <f>IF(K181="MRSA Northeast",(AG181/$BB$1)*'1. UC Assumptions'!$M$44-(AH181/$BB$2)*'1. UC Assumptions'!$M$42,0)</f>
        <v>0</v>
      </c>
      <c r="BC181" s="151">
        <f>IF(K181="MRSA West",(AG181/$BC$1)*'1. UC Assumptions'!$N$44-(AH181/$BC$2)*'1. UC Assumptions'!$N$42,0)</f>
        <v>0</v>
      </c>
      <c r="BD181" s="151">
        <f>IF(K181="Nueces",(AG181/$BD$1)*'1. UC Assumptions'!$O$44-(AH181/$BD$2)*'1. UC Assumptions'!$O$42,0)</f>
        <v>0</v>
      </c>
      <c r="BE181" s="151">
        <f>IF(K181="Tarrant",(AG181/$BE$1)*'1. UC Assumptions'!$P$44-(AH181/$BE$2)*'1. UC Assumptions'!$P$42,0)</f>
        <v>0</v>
      </c>
      <c r="BF181" s="151">
        <f>IF(K181="Travis",(AG181/$BF$1)*'1. UC Assumptions'!$Q$44-(AH181/$BF$2)*'1. UC Assumptions'!$Q$42,0)</f>
        <v>0</v>
      </c>
      <c r="BG181" s="151">
        <f t="shared" si="57"/>
        <v>0</v>
      </c>
      <c r="BH181" s="151">
        <f t="shared" si="58"/>
        <v>684361.78500458493</v>
      </c>
      <c r="BI181" s="151">
        <f>ROUNDDOWN(BH181*'1. UC Assumptions'!$C$23,2)</f>
        <v>225839.38</v>
      </c>
      <c r="BJ181" s="154">
        <f t="shared" si="59"/>
        <v>151519.29500458494</v>
      </c>
      <c r="BK181" s="154">
        <f t="shared" si="60"/>
        <v>50001.358300000022</v>
      </c>
      <c r="BL181" s="154">
        <f t="shared" si="61"/>
        <v>139885.66</v>
      </c>
      <c r="BM181" s="154">
        <f t="shared" si="62"/>
        <v>46162.26</v>
      </c>
      <c r="BN181" s="101"/>
      <c r="BO181" s="154">
        <f>(BL181*'1. UC Assumptions'!$C$23)-'3.  UC Calculations by Hospital'!BM181</f>
        <v>7.7999999921303242E-3</v>
      </c>
      <c r="BP181" s="13"/>
    </row>
    <row r="182" spans="2:68">
      <c r="B182" s="129" t="s">
        <v>660</v>
      </c>
      <c r="C182" s="91" t="s">
        <v>660</v>
      </c>
      <c r="D182" s="91" t="s">
        <v>214</v>
      </c>
      <c r="E182" s="91" t="s">
        <v>209</v>
      </c>
      <c r="F182" s="91"/>
      <c r="G182" s="91" t="s">
        <v>209</v>
      </c>
      <c r="H182" s="91" t="s">
        <v>209</v>
      </c>
      <c r="I182" s="150" t="s">
        <v>210</v>
      </c>
      <c r="J182" s="129" t="s">
        <v>661</v>
      </c>
      <c r="K182" s="91" t="s">
        <v>4</v>
      </c>
      <c r="L182" s="91" t="s">
        <v>532</v>
      </c>
      <c r="M182" s="151">
        <v>2375917.4234247473</v>
      </c>
      <c r="N182" s="151">
        <v>0</v>
      </c>
      <c r="O182" s="131">
        <v>0</v>
      </c>
      <c r="P182" s="131">
        <f t="shared" si="42"/>
        <v>0</v>
      </c>
      <c r="Q182" s="131">
        <v>12678628.77450959</v>
      </c>
      <c r="R182" s="131">
        <v>0</v>
      </c>
      <c r="S182" s="131">
        <f t="shared" si="43"/>
        <v>0</v>
      </c>
      <c r="T182" s="131">
        <f t="shared" si="44"/>
        <v>12678628.77450959</v>
      </c>
      <c r="U182" s="131">
        <v>0</v>
      </c>
      <c r="V182" s="131">
        <v>0</v>
      </c>
      <c r="W182" s="131">
        <v>0</v>
      </c>
      <c r="X182" s="131">
        <v>0</v>
      </c>
      <c r="Y182" s="131">
        <v>0</v>
      </c>
      <c r="Z182" s="131">
        <f t="shared" si="45"/>
        <v>0</v>
      </c>
      <c r="AA182" s="131">
        <v>0</v>
      </c>
      <c r="AB182" s="152">
        <f t="shared" si="46"/>
        <v>12678628.77450959</v>
      </c>
      <c r="AC182" s="133">
        <f>IF(D182="Physician Group Practice",(AB182/$AB$393)*'1. UC Assumptions'!$C$15,IF(E182="Rural Hospital",AB182*'1. UC Assumptions'!$C$7/'1. UC Assumptions'!$E$7,(AB182/$AB$397)*('1. UC Assumptions'!$C$9)))</f>
        <v>5960801.6174909659</v>
      </c>
      <c r="AD182" s="133">
        <f t="shared" si="47"/>
        <v>0</v>
      </c>
      <c r="AE182" s="133">
        <f t="shared" si="48"/>
        <v>6717827.1570186242</v>
      </c>
      <c r="AF182" s="133">
        <f t="shared" si="49"/>
        <v>0</v>
      </c>
      <c r="AG182" s="133">
        <f t="shared" si="50"/>
        <v>6717827.1570186242</v>
      </c>
      <c r="AH182" s="133">
        <f t="shared" si="51"/>
        <v>5960801.6174909659</v>
      </c>
      <c r="AI182" s="131">
        <f>AH182*'1. UC Assumptions'!$C$23</f>
        <v>1967064.5337720185</v>
      </c>
      <c r="AJ182" s="131">
        <v>5016581.6100000003</v>
      </c>
      <c r="AK182" s="131">
        <f>AJ182*(1-'1. UC Assumptions'!$C$22)</f>
        <v>1655471.9312999998</v>
      </c>
      <c r="AL182" s="131"/>
      <c r="AM182" s="131">
        <f>AL182*'1. UC Assumptions'!$C$23</f>
        <v>0</v>
      </c>
      <c r="AN182" s="153">
        <f t="shared" si="52"/>
        <v>12678628.77450959</v>
      </c>
      <c r="AO182" s="151">
        <f>AN182*'1. UC Assumptions'!$C$23</f>
        <v>4183947.4955881643</v>
      </c>
      <c r="AP182" s="151">
        <f t="shared" si="53"/>
        <v>7662047.1645095898</v>
      </c>
      <c r="AQ182" s="151">
        <f t="shared" si="54"/>
        <v>2528475.5642881645</v>
      </c>
      <c r="AR182" s="151">
        <f t="shared" si="55"/>
        <v>2528475.5642881645</v>
      </c>
      <c r="AS182" s="151">
        <f t="shared" si="56"/>
        <v>4183947.4955881643</v>
      </c>
      <c r="AT182" s="151">
        <f>IF(K182="Bexar",(AG182/$AT$1)*'1. UC Assumptions'!$E$44-(AH182/$AT$2)*'1. UC Assumptions'!$E$42,0)</f>
        <v>0</v>
      </c>
      <c r="AU182" s="151">
        <f>IF(K182="Dallas",(AG182/$AU$1)*'1. UC Assumptions'!$F$44-(AH182/$AU$2)*'1. UC Assumptions'!$F$42,0)</f>
        <v>0</v>
      </c>
      <c r="AV182" s="151">
        <f>IF(K182="El Paso",(AG182/$AV$1)*'1. UC Assumptions'!$G$44-(AH182/$AV$2)*'1. UC Assumptions'!$G$42,0)</f>
        <v>0</v>
      </c>
      <c r="AW182" s="151">
        <f>IF(K182="Harris",(AG182/$AW$1)*'1. UC Assumptions'!$H$44-(AH182/$AW$2)*'1. UC Assumptions'!$H$42,0)</f>
        <v>0</v>
      </c>
      <c r="AX182" s="151">
        <f>IF(K182="Hidalgo",(AG182/$AX$1)*'1. UC Assumptions'!$I$44-(AH182/$AX$2)*'1. UC Assumptions'!$I$42,0)</f>
        <v>0</v>
      </c>
      <c r="AY182" s="151">
        <f>IF(K182="Jefferson",(AG182/$AY$1)*'1. UC Assumptions'!$J$44-(AH182/$AY$2)*'1. UC Assumptions'!$J$42,0)</f>
        <v>0</v>
      </c>
      <c r="AZ182" s="151">
        <f>IF(K182="Lubbock",(AG182/$AZ$1)*'1. UC Assumptions'!$K$44-(AH182/$AZ$2)*'1. UC Assumptions'!$K$42,0)</f>
        <v>0</v>
      </c>
      <c r="BA182" s="151">
        <f>IF(K182="MRSA Central",(AG182/$BA$1)*'1. UC Assumptions'!$L$44-(AH182/$BA$2)*'1. UC Assumptions'!$L$42,0)</f>
        <v>0</v>
      </c>
      <c r="BB182" s="151">
        <f>IF(K182="MRSA Northeast",(AG182/$BB$1)*'1. UC Assumptions'!$M$44-(AH182/$BB$2)*'1. UC Assumptions'!$M$42,0)</f>
        <v>0</v>
      </c>
      <c r="BC182" s="151">
        <f>IF(K182="MRSA West",(AG182/$BC$1)*'1. UC Assumptions'!$N$44-(AH182/$BC$2)*'1. UC Assumptions'!$N$42,0)</f>
        <v>0</v>
      </c>
      <c r="BD182" s="151">
        <f>IF(K182="Nueces",(AG182/$BD$1)*'1. UC Assumptions'!$O$44-(AH182/$BD$2)*'1. UC Assumptions'!$O$42,0)</f>
        <v>0</v>
      </c>
      <c r="BE182" s="151">
        <f>IF(K182="Tarrant",(AG182/$BE$1)*'1. UC Assumptions'!$P$44-(AH182/$BE$2)*'1. UC Assumptions'!$P$42,0)</f>
        <v>0</v>
      </c>
      <c r="BF182" s="151">
        <f>IF(K182="Travis",(AG182/$BF$1)*'1. UC Assumptions'!$Q$44-(AH182/$BF$2)*'1. UC Assumptions'!$Q$42,0)</f>
        <v>0</v>
      </c>
      <c r="BG182" s="151">
        <f t="shared" si="57"/>
        <v>0</v>
      </c>
      <c r="BH182" s="151">
        <f t="shared" si="58"/>
        <v>5960801.6174909659</v>
      </c>
      <c r="BI182" s="151">
        <f>ROUNDDOWN(BH182*'1. UC Assumptions'!$C$23,2)</f>
        <v>1967064.53</v>
      </c>
      <c r="BJ182" s="154">
        <f t="shared" si="59"/>
        <v>944220.00749096554</v>
      </c>
      <c r="BK182" s="154">
        <f t="shared" si="60"/>
        <v>311592.59870000021</v>
      </c>
      <c r="BL182" s="154">
        <f t="shared" si="61"/>
        <v>871722.88</v>
      </c>
      <c r="BM182" s="154">
        <f t="shared" si="62"/>
        <v>287668.55</v>
      </c>
      <c r="BN182" s="101"/>
      <c r="BO182" s="154">
        <f>(BL182*'1. UC Assumptions'!$C$23)-'3.  UC Calculations by Hospital'!BM182</f>
        <v>3.9999996079131961E-4</v>
      </c>
      <c r="BP182" s="13"/>
    </row>
    <row r="183" spans="2:68">
      <c r="B183" s="129" t="s">
        <v>662</v>
      </c>
      <c r="C183" s="91" t="s">
        <v>662</v>
      </c>
      <c r="D183" s="91" t="s">
        <v>214</v>
      </c>
      <c r="E183" s="91" t="s">
        <v>209</v>
      </c>
      <c r="F183" s="91"/>
      <c r="G183" s="91" t="s">
        <v>209</v>
      </c>
      <c r="H183" s="91" t="s">
        <v>209</v>
      </c>
      <c r="I183" s="150" t="s">
        <v>210</v>
      </c>
      <c r="J183" s="129" t="s">
        <v>346</v>
      </c>
      <c r="K183" s="91" t="s">
        <v>15</v>
      </c>
      <c r="L183" s="91" t="s">
        <v>15</v>
      </c>
      <c r="M183" s="151">
        <v>-2350438.3545603361</v>
      </c>
      <c r="N183" s="151">
        <v>35201458.692024171</v>
      </c>
      <c r="O183" s="131">
        <v>30208749.761032313</v>
      </c>
      <c r="P183" s="131">
        <f t="shared" si="42"/>
        <v>4992708.9309918582</v>
      </c>
      <c r="Q183" s="131">
        <v>36277149.91460444</v>
      </c>
      <c r="R183" s="131">
        <v>8079823.7699999996</v>
      </c>
      <c r="S183" s="131">
        <f t="shared" si="43"/>
        <v>5437553.1935684774</v>
      </c>
      <c r="T183" s="131">
        <f t="shared" si="44"/>
        <v>30839596.721035965</v>
      </c>
      <c r="U183" s="131">
        <v>1143018</v>
      </c>
      <c r="V183" s="131">
        <v>0</v>
      </c>
      <c r="W183" s="131">
        <v>0</v>
      </c>
      <c r="X183" s="131">
        <v>0</v>
      </c>
      <c r="Y183" s="131">
        <v>8352967</v>
      </c>
      <c r="Z183" s="131">
        <f t="shared" si="45"/>
        <v>9495985</v>
      </c>
      <c r="AA183" s="131">
        <v>0</v>
      </c>
      <c r="AB183" s="152">
        <f t="shared" si="46"/>
        <v>40335581.721035965</v>
      </c>
      <c r="AC183" s="133">
        <f>IF(D183="Physician Group Practice",(AB183/$AB$393)*'1. UC Assumptions'!$C$15,IF(E183="Rural Hospital",AB183*'1. UC Assumptions'!$C$7/'1. UC Assumptions'!$E$7,(AB183/$AB$397)*('1. UC Assumptions'!$C$9)))</f>
        <v>18963596.540390871</v>
      </c>
      <c r="AD183" s="133">
        <f t="shared" si="47"/>
        <v>0</v>
      </c>
      <c r="AE183" s="133">
        <f t="shared" si="48"/>
        <v>21371985.180645093</v>
      </c>
      <c r="AF183" s="133">
        <f t="shared" si="49"/>
        <v>0</v>
      </c>
      <c r="AG183" s="133">
        <f t="shared" si="50"/>
        <v>21371985.180645093</v>
      </c>
      <c r="AH183" s="133">
        <f t="shared" si="51"/>
        <v>18963596.540390871</v>
      </c>
      <c r="AI183" s="131">
        <f>AH183*'1. UC Assumptions'!$C$23</f>
        <v>6257986.8583289869</v>
      </c>
      <c r="AJ183" s="131">
        <v>17655949.030000001</v>
      </c>
      <c r="AK183" s="131">
        <f>AJ183*(1-'1. UC Assumptions'!$C$22)</f>
        <v>5826463.1798999999</v>
      </c>
      <c r="AL183" s="131"/>
      <c r="AM183" s="131">
        <f>AL183*'1. UC Assumptions'!$C$23</f>
        <v>0</v>
      </c>
      <c r="AN183" s="153">
        <f t="shared" si="52"/>
        <v>40335581.721035965</v>
      </c>
      <c r="AO183" s="151">
        <f>AN183*'1. UC Assumptions'!$C$23</f>
        <v>13310741.967941867</v>
      </c>
      <c r="AP183" s="151">
        <f t="shared" si="53"/>
        <v>22679632.691035964</v>
      </c>
      <c r="AQ183" s="151">
        <f t="shared" si="54"/>
        <v>7484278.7880418673</v>
      </c>
      <c r="AR183" s="151">
        <f t="shared" si="55"/>
        <v>7484278.7880418673</v>
      </c>
      <c r="AS183" s="151">
        <f t="shared" si="56"/>
        <v>13310741.967941867</v>
      </c>
      <c r="AT183" s="151">
        <f>IF(K183="Bexar",(AG183/$AT$1)*'1. UC Assumptions'!$E$44-(AH183/$AT$2)*'1. UC Assumptions'!$E$42,0)</f>
        <v>0</v>
      </c>
      <c r="AU183" s="151">
        <f>IF(K183="Dallas",(AG183/$AU$1)*'1. UC Assumptions'!$F$44-(AH183/$AU$2)*'1. UC Assumptions'!$F$42,0)</f>
        <v>0</v>
      </c>
      <c r="AV183" s="151">
        <f>IF(K183="El Paso",(AG183/$AV$1)*'1. UC Assumptions'!$G$44-(AH183/$AV$2)*'1. UC Assumptions'!$G$42,0)</f>
        <v>0</v>
      </c>
      <c r="AW183" s="151">
        <f>IF(K183="Harris",(AG183/$AW$1)*'1. UC Assumptions'!$H$44-(AH183/$AW$2)*'1. UC Assumptions'!$H$42,0)</f>
        <v>0</v>
      </c>
      <c r="AX183" s="151">
        <f>IF(K183="Hidalgo",(AG183/$AX$1)*'1. UC Assumptions'!$I$44-(AH183/$AX$2)*'1. UC Assumptions'!$I$42,0)</f>
        <v>0</v>
      </c>
      <c r="AY183" s="151">
        <f>IF(K183="Jefferson",(AG183/$AY$1)*'1. UC Assumptions'!$J$44-(AH183/$AY$2)*'1. UC Assumptions'!$J$42,0)</f>
        <v>0</v>
      </c>
      <c r="AZ183" s="151">
        <f>IF(K183="Lubbock",(AG183/$AZ$1)*'1. UC Assumptions'!$K$44-(AH183/$AZ$2)*'1. UC Assumptions'!$K$42,0)</f>
        <v>0</v>
      </c>
      <c r="BA183" s="151">
        <f>IF(K183="MRSA Central",(AG183/$BA$1)*'1. UC Assumptions'!$L$44-(AH183/$BA$2)*'1. UC Assumptions'!$L$42,0)</f>
        <v>0</v>
      </c>
      <c r="BB183" s="151">
        <f>IF(K183="MRSA Northeast",(AG183/$BB$1)*'1. UC Assumptions'!$M$44-(AH183/$BB$2)*'1. UC Assumptions'!$M$42,0)</f>
        <v>0</v>
      </c>
      <c r="BC183" s="151">
        <f>IF(K183="MRSA West",(AG183/$BC$1)*'1. UC Assumptions'!$N$44-(AH183/$BC$2)*'1. UC Assumptions'!$N$42,0)</f>
        <v>0</v>
      </c>
      <c r="BD183" s="151">
        <f>IF(K183="Nueces",(AG183/$BD$1)*'1. UC Assumptions'!$O$44-(AH183/$BD$2)*'1. UC Assumptions'!$O$42,0)</f>
        <v>0</v>
      </c>
      <c r="BE183" s="151">
        <f>IF(K183="Tarrant",(AG183/$BE$1)*'1. UC Assumptions'!$P$44-(AH183/$BE$2)*'1. UC Assumptions'!$P$42,0)</f>
        <v>0</v>
      </c>
      <c r="BF183" s="151">
        <f>IF(K183="Travis",(AG183/$BF$1)*'1. UC Assumptions'!$Q$44-(AH183/$BF$2)*'1. UC Assumptions'!$Q$42,0)</f>
        <v>0</v>
      </c>
      <c r="BG183" s="151">
        <f t="shared" si="57"/>
        <v>0</v>
      </c>
      <c r="BH183" s="151">
        <f t="shared" si="58"/>
        <v>18963596.540390871</v>
      </c>
      <c r="BI183" s="151">
        <f>ROUNDDOWN(BH183*'1. UC Assumptions'!$C$23,2)</f>
        <v>6257986.8499999996</v>
      </c>
      <c r="BJ183" s="154">
        <f t="shared" si="59"/>
        <v>1307647.5103908703</v>
      </c>
      <c r="BK183" s="154">
        <f t="shared" si="60"/>
        <v>431523.67009999976</v>
      </c>
      <c r="BL183" s="154">
        <f t="shared" si="61"/>
        <v>1207246.45</v>
      </c>
      <c r="BM183" s="154">
        <f t="shared" si="62"/>
        <v>398391.32</v>
      </c>
      <c r="BN183" s="101"/>
      <c r="BO183" s="154">
        <f>(BL183*'1. UC Assumptions'!$C$23)-'3.  UC Calculations by Hospital'!BM183</f>
        <v>8.4999999380670488E-3</v>
      </c>
      <c r="BP183" s="13"/>
    </row>
    <row r="184" spans="2:68">
      <c r="B184" s="129" t="s">
        <v>663</v>
      </c>
      <c r="C184" s="91" t="s">
        <v>663</v>
      </c>
      <c r="D184" s="91" t="s">
        <v>214</v>
      </c>
      <c r="E184" s="91" t="s">
        <v>149</v>
      </c>
      <c r="F184" s="91"/>
      <c r="G184" s="91" t="s">
        <v>209</v>
      </c>
      <c r="H184" s="91" t="s">
        <v>209</v>
      </c>
      <c r="I184" s="150" t="s">
        <v>210</v>
      </c>
      <c r="J184" s="129" t="s">
        <v>664</v>
      </c>
      <c r="K184" s="91" t="s">
        <v>10</v>
      </c>
      <c r="L184" s="91" t="s">
        <v>665</v>
      </c>
      <c r="M184" s="151">
        <v>-2632406.6374946823</v>
      </c>
      <c r="N184" s="151">
        <v>1937725.4276370907</v>
      </c>
      <c r="O184" s="131">
        <v>1529755.9902852864</v>
      </c>
      <c r="P184" s="131">
        <f t="shared" si="42"/>
        <v>407969.43735180423</v>
      </c>
      <c r="Q184" s="131">
        <v>2114358.1207619584</v>
      </c>
      <c r="R184" s="131">
        <v>0</v>
      </c>
      <c r="S184" s="131">
        <f t="shared" si="43"/>
        <v>0</v>
      </c>
      <c r="T184" s="131">
        <f t="shared" si="44"/>
        <v>2114358.1207619584</v>
      </c>
      <c r="U184" s="131">
        <v>0</v>
      </c>
      <c r="V184" s="131">
        <v>0</v>
      </c>
      <c r="W184" s="131">
        <v>0</v>
      </c>
      <c r="X184" s="131">
        <v>0</v>
      </c>
      <c r="Y184" s="131">
        <v>0</v>
      </c>
      <c r="Z184" s="131">
        <f t="shared" si="45"/>
        <v>0</v>
      </c>
      <c r="AA184" s="131">
        <v>0</v>
      </c>
      <c r="AB184" s="152">
        <f t="shared" si="46"/>
        <v>2114358.1207619584</v>
      </c>
      <c r="AC184" s="133">
        <f>IF(D184="Physician Group Practice",(AB184/$AB$393)*'1. UC Assumptions'!$C$15,IF(E184="Rural Hospital",AB184*'1. UC Assumptions'!$C$7/'1. UC Assumptions'!$E$7,(AB184/$AB$397)*('1. UC Assumptions'!$C$9)))</f>
        <v>1973616.982209903</v>
      </c>
      <c r="AD184" s="133">
        <f t="shared" si="47"/>
        <v>0</v>
      </c>
      <c r="AE184" s="133">
        <f t="shared" si="48"/>
        <v>140741.13855205546</v>
      </c>
      <c r="AF184" s="133">
        <f t="shared" si="49"/>
        <v>0</v>
      </c>
      <c r="AG184" s="133">
        <f t="shared" si="50"/>
        <v>140741.13855205546</v>
      </c>
      <c r="AH184" s="133">
        <f t="shared" si="51"/>
        <v>1973616.982209903</v>
      </c>
      <c r="AI184" s="131">
        <f>AH184*'1. UC Assumptions'!$C$23</f>
        <v>651293.60412926786</v>
      </c>
      <c r="AJ184" s="131">
        <v>918117.49</v>
      </c>
      <c r="AK184" s="131">
        <f>AJ184*(1-'1. UC Assumptions'!$C$22)</f>
        <v>302978.77169999998</v>
      </c>
      <c r="AL184" s="131"/>
      <c r="AM184" s="131">
        <f>AL184*'1. UC Assumptions'!$C$23</f>
        <v>0</v>
      </c>
      <c r="AN184" s="153">
        <f t="shared" si="52"/>
        <v>2114358.1207619584</v>
      </c>
      <c r="AO184" s="151">
        <f>AN184*'1. UC Assumptions'!$C$23</f>
        <v>697738.17985144618</v>
      </c>
      <c r="AP184" s="151">
        <f t="shared" si="53"/>
        <v>1196240.6307619584</v>
      </c>
      <c r="AQ184" s="151">
        <f t="shared" si="54"/>
        <v>394759.4081514462</v>
      </c>
      <c r="AR184" s="151">
        <f t="shared" si="55"/>
        <v>394759.4081514462</v>
      </c>
      <c r="AS184" s="151">
        <f t="shared" si="56"/>
        <v>697738.17985144618</v>
      </c>
      <c r="AT184" s="151">
        <f>IF(K184="Bexar",(AG184/$AT$1)*'1. UC Assumptions'!$E$44-(AH184/$AT$2)*'1. UC Assumptions'!$E$42,0)</f>
        <v>0</v>
      </c>
      <c r="AU184" s="151">
        <f>IF(K184="Dallas",(AG184/$AU$1)*'1. UC Assumptions'!$F$44-(AH184/$AU$2)*'1. UC Assumptions'!$F$42,0)</f>
        <v>0</v>
      </c>
      <c r="AV184" s="151">
        <f>IF(K184="El Paso",(AG184/$AV$1)*'1. UC Assumptions'!$G$44-(AH184/$AV$2)*'1. UC Assumptions'!$G$42,0)</f>
        <v>0</v>
      </c>
      <c r="AW184" s="151">
        <f>IF(K184="Harris",(AG184/$AW$1)*'1. UC Assumptions'!$H$44-(AH184/$AW$2)*'1. UC Assumptions'!$H$42,0)</f>
        <v>0</v>
      </c>
      <c r="AX184" s="151">
        <f>IF(K184="Hidalgo",(AG184/$AX$1)*'1. UC Assumptions'!$I$44-(AH184/$AX$2)*'1. UC Assumptions'!$I$42,0)</f>
        <v>0</v>
      </c>
      <c r="AY184" s="151">
        <f>IF(K184="Jefferson",(AG184/$AY$1)*'1. UC Assumptions'!$J$44-(AH184/$AY$2)*'1. UC Assumptions'!$J$42,0)</f>
        <v>0</v>
      </c>
      <c r="AZ184" s="151">
        <f>IF(K184="Lubbock",(AG184/$AZ$1)*'1. UC Assumptions'!$K$44-(AH184/$AZ$2)*'1. UC Assumptions'!$K$42,0)</f>
        <v>0</v>
      </c>
      <c r="BA184" s="151">
        <f>IF(K184="MRSA Central",(AG184/$BA$1)*'1. UC Assumptions'!$L$44-(AH184/$BA$2)*'1. UC Assumptions'!$L$42,0)</f>
        <v>0</v>
      </c>
      <c r="BB184" s="151">
        <f>IF(K184="MRSA Northeast",(AG184/$BB$1)*'1. UC Assumptions'!$M$44-(AH184/$BB$2)*'1. UC Assumptions'!$M$42,0)</f>
        <v>0</v>
      </c>
      <c r="BC184" s="151">
        <f>IF(K184="MRSA West",(AG184/$BC$1)*'1. UC Assumptions'!$N$44-(AH184/$BC$2)*'1. UC Assumptions'!$N$42,0)</f>
        <v>0</v>
      </c>
      <c r="BD184" s="151">
        <f>IF(K184="Nueces",(AG184/$BD$1)*'1. UC Assumptions'!$O$44-(AH184/$BD$2)*'1. UC Assumptions'!$O$42,0)</f>
        <v>0</v>
      </c>
      <c r="BE184" s="151">
        <f>IF(K184="Tarrant",(AG184/$BE$1)*'1. UC Assumptions'!$P$44-(AH184/$BE$2)*'1. UC Assumptions'!$P$42,0)</f>
        <v>0</v>
      </c>
      <c r="BF184" s="151">
        <f>IF(K184="Travis",(AG184/$BF$1)*'1. UC Assumptions'!$Q$44-(AH184/$BF$2)*'1. UC Assumptions'!$Q$42,0)</f>
        <v>0</v>
      </c>
      <c r="BG184" s="151">
        <f t="shared" si="57"/>
        <v>0</v>
      </c>
      <c r="BH184" s="151">
        <f t="shared" si="58"/>
        <v>1973616.982209903</v>
      </c>
      <c r="BI184" s="151">
        <f>ROUNDDOWN(BH184*'1. UC Assumptions'!$C$23,2)</f>
        <v>651293.6</v>
      </c>
      <c r="BJ184" s="154">
        <f t="shared" si="59"/>
        <v>1055499.492209903</v>
      </c>
      <c r="BK184" s="154">
        <f t="shared" si="60"/>
        <v>348314.82829999999</v>
      </c>
      <c r="BL184" s="154">
        <f t="shared" si="61"/>
        <v>974458.33</v>
      </c>
      <c r="BM184" s="154">
        <f t="shared" si="62"/>
        <v>321571.25</v>
      </c>
      <c r="BN184" s="101"/>
      <c r="BO184" s="154">
        <f>(BL184*'1. UC Assumptions'!$C$23)-'3.  UC Calculations by Hospital'!BM184</f>
        <v>-1.1000000522471964E-3</v>
      </c>
      <c r="BP184" s="13"/>
    </row>
    <row r="185" spans="2:68">
      <c r="B185" s="129" t="s">
        <v>666</v>
      </c>
      <c r="C185" s="91" t="s">
        <v>666</v>
      </c>
      <c r="D185" s="91" t="s">
        <v>208</v>
      </c>
      <c r="E185" s="91" t="s">
        <v>149</v>
      </c>
      <c r="F185" s="91"/>
      <c r="G185" s="91" t="s">
        <v>209</v>
      </c>
      <c r="H185" s="91" t="s">
        <v>209</v>
      </c>
      <c r="I185" s="150" t="s">
        <v>210</v>
      </c>
      <c r="J185" s="129" t="s">
        <v>667</v>
      </c>
      <c r="K185" s="91" t="s">
        <v>10</v>
      </c>
      <c r="L185" s="91" t="s">
        <v>422</v>
      </c>
      <c r="M185" s="151">
        <v>251792.91629040634</v>
      </c>
      <c r="N185" s="151">
        <v>0</v>
      </c>
      <c r="O185" s="131">
        <v>0</v>
      </c>
      <c r="P185" s="131">
        <f t="shared" si="42"/>
        <v>0</v>
      </c>
      <c r="Q185" s="131">
        <v>641860.11323212809</v>
      </c>
      <c r="R185" s="131">
        <v>0</v>
      </c>
      <c r="S185" s="131">
        <f t="shared" si="43"/>
        <v>0</v>
      </c>
      <c r="T185" s="131">
        <f t="shared" si="44"/>
        <v>641860.11323212809</v>
      </c>
      <c r="U185" s="131">
        <v>0</v>
      </c>
      <c r="V185" s="131">
        <v>0</v>
      </c>
      <c r="W185" s="131">
        <v>0</v>
      </c>
      <c r="X185" s="131">
        <v>0</v>
      </c>
      <c r="Y185" s="131">
        <v>0</v>
      </c>
      <c r="Z185" s="131">
        <f t="shared" si="45"/>
        <v>0</v>
      </c>
      <c r="AA185" s="131">
        <v>0</v>
      </c>
      <c r="AB185" s="152">
        <f t="shared" si="46"/>
        <v>641860.11323212809</v>
      </c>
      <c r="AC185" s="133">
        <f>IF(D185="Physician Group Practice",(AB185/$AB$393)*'1. UC Assumptions'!$C$15,IF(E185="Rural Hospital",AB185*'1. UC Assumptions'!$C$7/'1. UC Assumptions'!$E$7,(AB185/$AB$397)*('1. UC Assumptions'!$C$9)))</f>
        <v>599135.03168592043</v>
      </c>
      <c r="AD185" s="133">
        <f t="shared" si="47"/>
        <v>0</v>
      </c>
      <c r="AE185" s="133">
        <f t="shared" si="48"/>
        <v>42725.081546207657</v>
      </c>
      <c r="AF185" s="133">
        <f t="shared" si="49"/>
        <v>0</v>
      </c>
      <c r="AG185" s="133">
        <f t="shared" si="50"/>
        <v>42725.081546207657</v>
      </c>
      <c r="AH185" s="133">
        <f t="shared" si="51"/>
        <v>599135.03168592043</v>
      </c>
      <c r="AI185" s="131">
        <f>AH185*'1. UC Assumptions'!$C$23</f>
        <v>197714.56045635371</v>
      </c>
      <c r="AJ185" s="131">
        <v>338308.64</v>
      </c>
      <c r="AK185" s="131">
        <f>AJ185*(1-'1. UC Assumptions'!$C$22)</f>
        <v>111641.85119999999</v>
      </c>
      <c r="AL185" s="131"/>
      <c r="AM185" s="131">
        <f>AL185*'1. UC Assumptions'!$C$23</f>
        <v>0</v>
      </c>
      <c r="AN185" s="153">
        <f t="shared" si="52"/>
        <v>641860.11323212809</v>
      </c>
      <c r="AO185" s="151">
        <f>AN185*'1. UC Assumptions'!$C$23</f>
        <v>211813.83736660224</v>
      </c>
      <c r="AP185" s="151">
        <f t="shared" si="53"/>
        <v>303551.47323212808</v>
      </c>
      <c r="AQ185" s="151">
        <f t="shared" si="54"/>
        <v>100171.98616660225</v>
      </c>
      <c r="AR185" s="151">
        <f t="shared" si="55"/>
        <v>100171.98616660225</v>
      </c>
      <c r="AS185" s="151">
        <f t="shared" si="56"/>
        <v>211813.83736660224</v>
      </c>
      <c r="AT185" s="151">
        <f>IF(K185="Bexar",(AG185/$AT$1)*'1. UC Assumptions'!$E$44-(AH185/$AT$2)*'1. UC Assumptions'!$E$42,0)</f>
        <v>0</v>
      </c>
      <c r="AU185" s="151">
        <f>IF(K185="Dallas",(AG185/$AU$1)*'1. UC Assumptions'!$F$44-(AH185/$AU$2)*'1. UC Assumptions'!$F$42,0)</f>
        <v>0</v>
      </c>
      <c r="AV185" s="151">
        <f>IF(K185="El Paso",(AG185/$AV$1)*'1. UC Assumptions'!$G$44-(AH185/$AV$2)*'1. UC Assumptions'!$G$42,0)</f>
        <v>0</v>
      </c>
      <c r="AW185" s="151">
        <f>IF(K185="Harris",(AG185/$AW$1)*'1. UC Assumptions'!$H$44-(AH185/$AW$2)*'1. UC Assumptions'!$H$42,0)</f>
        <v>0</v>
      </c>
      <c r="AX185" s="151">
        <f>IF(K185="Hidalgo",(AG185/$AX$1)*'1. UC Assumptions'!$I$44-(AH185/$AX$2)*'1. UC Assumptions'!$I$42,0)</f>
        <v>0</v>
      </c>
      <c r="AY185" s="151">
        <f>IF(K185="Jefferson",(AG185/$AY$1)*'1. UC Assumptions'!$J$44-(AH185/$AY$2)*'1. UC Assumptions'!$J$42,0)</f>
        <v>0</v>
      </c>
      <c r="AZ185" s="151">
        <f>IF(K185="Lubbock",(AG185/$AZ$1)*'1. UC Assumptions'!$K$44-(AH185/$AZ$2)*'1. UC Assumptions'!$K$42,0)</f>
        <v>0</v>
      </c>
      <c r="BA185" s="151">
        <f>IF(K185="MRSA Central",(AG185/$BA$1)*'1. UC Assumptions'!$L$44-(AH185/$BA$2)*'1. UC Assumptions'!$L$42,0)</f>
        <v>0</v>
      </c>
      <c r="BB185" s="151">
        <f>IF(K185="MRSA Northeast",(AG185/$BB$1)*'1. UC Assumptions'!$M$44-(AH185/$BB$2)*'1. UC Assumptions'!$M$42,0)</f>
        <v>0</v>
      </c>
      <c r="BC185" s="151">
        <f>IF(K185="MRSA West",(AG185/$BC$1)*'1. UC Assumptions'!$N$44-(AH185/$BC$2)*'1. UC Assumptions'!$N$42,0)</f>
        <v>0</v>
      </c>
      <c r="BD185" s="151">
        <f>IF(K185="Nueces",(AG185/$BD$1)*'1. UC Assumptions'!$O$44-(AH185/$BD$2)*'1. UC Assumptions'!$O$42,0)</f>
        <v>0</v>
      </c>
      <c r="BE185" s="151">
        <f>IF(K185="Tarrant",(AG185/$BE$1)*'1. UC Assumptions'!$P$44-(AH185/$BE$2)*'1. UC Assumptions'!$P$42,0)</f>
        <v>0</v>
      </c>
      <c r="BF185" s="151">
        <f>IF(K185="Travis",(AG185/$BF$1)*'1. UC Assumptions'!$Q$44-(AH185/$BF$2)*'1. UC Assumptions'!$Q$42,0)</f>
        <v>0</v>
      </c>
      <c r="BG185" s="151">
        <f t="shared" si="57"/>
        <v>0</v>
      </c>
      <c r="BH185" s="151">
        <f t="shared" si="58"/>
        <v>599135.03168592043</v>
      </c>
      <c r="BI185" s="151">
        <f>ROUNDDOWN(BH185*'1. UC Assumptions'!$C$23,2)</f>
        <v>197714.56</v>
      </c>
      <c r="BJ185" s="154">
        <f t="shared" si="59"/>
        <v>260826.39168592042</v>
      </c>
      <c r="BK185" s="154">
        <f t="shared" si="60"/>
        <v>86072.708800000008</v>
      </c>
      <c r="BL185" s="154">
        <f t="shared" si="61"/>
        <v>240800.16</v>
      </c>
      <c r="BM185" s="154">
        <f t="shared" si="62"/>
        <v>79464.05</v>
      </c>
      <c r="BN185" s="101"/>
      <c r="BO185" s="154">
        <f>(BL185*'1. UC Assumptions'!$C$23)-'3.  UC Calculations by Hospital'!BM185</f>
        <v>2.7999999874737114E-3</v>
      </c>
      <c r="BP185" s="13"/>
    </row>
    <row r="186" spans="2:68">
      <c r="B186" s="129" t="s">
        <v>668</v>
      </c>
      <c r="C186" s="91" t="s">
        <v>668</v>
      </c>
      <c r="D186" s="91" t="s">
        <v>208</v>
      </c>
      <c r="E186" s="91" t="s">
        <v>209</v>
      </c>
      <c r="F186" s="91"/>
      <c r="G186" s="91" t="s">
        <v>209</v>
      </c>
      <c r="H186" s="91" t="s">
        <v>209</v>
      </c>
      <c r="I186" s="150" t="s">
        <v>210</v>
      </c>
      <c r="J186" s="129" t="s">
        <v>669</v>
      </c>
      <c r="K186" s="91" t="s">
        <v>12</v>
      </c>
      <c r="L186" s="91" t="s">
        <v>457</v>
      </c>
      <c r="M186" s="151">
        <v>7813970.6145154294</v>
      </c>
      <c r="N186" s="151">
        <v>39277925.297854766</v>
      </c>
      <c r="O186" s="131">
        <v>20026578.303274546</v>
      </c>
      <c r="P186" s="131">
        <f t="shared" si="42"/>
        <v>19251346.99458022</v>
      </c>
      <c r="Q186" s="131">
        <v>23300082.851615001</v>
      </c>
      <c r="R186" s="131">
        <v>18646427.799999997</v>
      </c>
      <c r="S186" s="131">
        <f t="shared" si="43"/>
        <v>0</v>
      </c>
      <c r="T186" s="131">
        <f t="shared" si="44"/>
        <v>23300082.851615001</v>
      </c>
      <c r="U186" s="131">
        <v>4802486</v>
      </c>
      <c r="V186" s="131">
        <v>0</v>
      </c>
      <c r="W186" s="131">
        <v>0</v>
      </c>
      <c r="X186" s="131">
        <v>0</v>
      </c>
      <c r="Y186" s="131">
        <v>7938950.5640505683</v>
      </c>
      <c r="Z186" s="131">
        <f t="shared" si="45"/>
        <v>12741436.564050568</v>
      </c>
      <c r="AA186" s="131">
        <v>0</v>
      </c>
      <c r="AB186" s="152">
        <f t="shared" si="46"/>
        <v>36041519.415665567</v>
      </c>
      <c r="AC186" s="133">
        <f>IF(D186="Physician Group Practice",(AB186/$AB$393)*'1. UC Assumptions'!$C$15,IF(E186="Rural Hospital",AB186*'1. UC Assumptions'!$C$7/'1. UC Assumptions'!$E$7,(AB186/$AB$397)*('1. UC Assumptions'!$C$9)))</f>
        <v>16944762.012565609</v>
      </c>
      <c r="AD186" s="133">
        <f t="shared" si="47"/>
        <v>0</v>
      </c>
      <c r="AE186" s="133">
        <f t="shared" si="48"/>
        <v>19096757.403099958</v>
      </c>
      <c r="AF186" s="133">
        <f t="shared" si="49"/>
        <v>0</v>
      </c>
      <c r="AG186" s="133">
        <f t="shared" si="50"/>
        <v>19096757.403099958</v>
      </c>
      <c r="AH186" s="133">
        <f t="shared" si="51"/>
        <v>16944762.012565609</v>
      </c>
      <c r="AI186" s="131">
        <f>AH186*'1. UC Assumptions'!$C$23</f>
        <v>5591771.4641466504</v>
      </c>
      <c r="AJ186" s="131">
        <v>18699982.300000001</v>
      </c>
      <c r="AK186" s="131">
        <f>AJ186*(1-'1. UC Assumptions'!$C$22)</f>
        <v>6170994.1589999991</v>
      </c>
      <c r="AL186" s="131"/>
      <c r="AM186" s="131">
        <f>AL186*'1. UC Assumptions'!$C$23</f>
        <v>0</v>
      </c>
      <c r="AN186" s="153">
        <f t="shared" si="52"/>
        <v>36041519.415665567</v>
      </c>
      <c r="AO186" s="151">
        <f>AN186*'1. UC Assumptions'!$C$23</f>
        <v>11893701.407169636</v>
      </c>
      <c r="AP186" s="151">
        <f t="shared" si="53"/>
        <v>17341537.115665566</v>
      </c>
      <c r="AQ186" s="151">
        <f t="shared" si="54"/>
        <v>5722707.2481696373</v>
      </c>
      <c r="AR186" s="151">
        <f t="shared" si="55"/>
        <v>5722707.2481696373</v>
      </c>
      <c r="AS186" s="151">
        <f t="shared" si="56"/>
        <v>11893701.407169636</v>
      </c>
      <c r="AT186" s="151">
        <f>IF(K186="Bexar",(AG186/$AT$1)*'1. UC Assumptions'!$E$44-(AH186/$AT$2)*'1. UC Assumptions'!$E$42,0)</f>
        <v>0</v>
      </c>
      <c r="AU186" s="151">
        <f>IF(K186="Dallas",(AG186/$AU$1)*'1. UC Assumptions'!$F$44-(AH186/$AU$2)*'1. UC Assumptions'!$F$42,0)</f>
        <v>0</v>
      </c>
      <c r="AV186" s="151">
        <f>IF(K186="El Paso",(AG186/$AV$1)*'1. UC Assumptions'!$G$44-(AH186/$AV$2)*'1. UC Assumptions'!$G$42,0)</f>
        <v>0</v>
      </c>
      <c r="AW186" s="151">
        <f>IF(K186="Harris",(AG186/$AW$1)*'1. UC Assumptions'!$H$44-(AH186/$AW$2)*'1. UC Assumptions'!$H$42,0)</f>
        <v>0</v>
      </c>
      <c r="AX186" s="151">
        <f>IF(K186="Hidalgo",(AG186/$AX$1)*'1. UC Assumptions'!$I$44-(AH186/$AX$2)*'1. UC Assumptions'!$I$42,0)</f>
        <v>0</v>
      </c>
      <c r="AY186" s="151">
        <f>IF(K186="Jefferson",(AG186/$AY$1)*'1. UC Assumptions'!$J$44-(AH186/$AY$2)*'1. UC Assumptions'!$J$42,0)</f>
        <v>0</v>
      </c>
      <c r="AZ186" s="151">
        <f>IF(K186="Lubbock",(AG186/$AZ$1)*'1. UC Assumptions'!$K$44-(AH186/$AZ$2)*'1. UC Assumptions'!$K$42,0)</f>
        <v>0</v>
      </c>
      <c r="BA186" s="151">
        <f>IF(K186="MRSA Central",(AG186/$BA$1)*'1. UC Assumptions'!$L$44-(AH186/$BA$2)*'1. UC Assumptions'!$L$42,0)</f>
        <v>0</v>
      </c>
      <c r="BB186" s="151">
        <f>IF(K186="MRSA Northeast",(AG186/$BB$1)*'1. UC Assumptions'!$M$44-(AH186/$BB$2)*'1. UC Assumptions'!$M$42,0)</f>
        <v>0</v>
      </c>
      <c r="BC186" s="151">
        <f>IF(K186="MRSA West",(AG186/$BC$1)*'1. UC Assumptions'!$N$44-(AH186/$BC$2)*'1. UC Assumptions'!$N$42,0)</f>
        <v>0</v>
      </c>
      <c r="BD186" s="151">
        <f>IF(K186="Nueces",(AG186/$BD$1)*'1. UC Assumptions'!$O$44-(AH186/$BD$2)*'1. UC Assumptions'!$O$42,0)</f>
        <v>0</v>
      </c>
      <c r="BE186" s="151">
        <f>IF(K186="Tarrant",(AG186/$BE$1)*'1. UC Assumptions'!$P$44-(AH186/$BE$2)*'1. UC Assumptions'!$P$42,0)</f>
        <v>0</v>
      </c>
      <c r="BF186" s="151">
        <f>IF(K186="Travis",(AG186/$BF$1)*'1. UC Assumptions'!$Q$44-(AH186/$BF$2)*'1. UC Assumptions'!$Q$42,0)</f>
        <v>0</v>
      </c>
      <c r="BG186" s="151">
        <f t="shared" si="57"/>
        <v>0</v>
      </c>
      <c r="BH186" s="151">
        <f t="shared" si="58"/>
        <v>16944762.012565609</v>
      </c>
      <c r="BI186" s="151">
        <f>ROUNDDOWN(BH186*'1. UC Assumptions'!$C$23,2)</f>
        <v>5591771.46</v>
      </c>
      <c r="BJ186" s="154">
        <f t="shared" si="59"/>
        <v>-1755220.2874343917</v>
      </c>
      <c r="BK186" s="154">
        <f t="shared" si="60"/>
        <v>-579222.69899999909</v>
      </c>
      <c r="BL186" s="154">
        <f t="shared" si="61"/>
        <v>0</v>
      </c>
      <c r="BM186" s="154">
        <f t="shared" si="62"/>
        <v>0</v>
      </c>
      <c r="BN186" s="101"/>
      <c r="BO186" s="154">
        <f>(BL186*'1. UC Assumptions'!$C$23)-'3.  UC Calculations by Hospital'!BM186</f>
        <v>0</v>
      </c>
      <c r="BP186" s="13"/>
    </row>
    <row r="187" spans="2:68">
      <c r="B187" s="129" t="s">
        <v>670</v>
      </c>
      <c r="C187" s="91" t="s">
        <v>670</v>
      </c>
      <c r="D187" s="91" t="s">
        <v>214</v>
      </c>
      <c r="E187" s="91" t="s">
        <v>149</v>
      </c>
      <c r="F187" s="91"/>
      <c r="G187" s="91" t="s">
        <v>209</v>
      </c>
      <c r="H187" s="91" t="s">
        <v>209</v>
      </c>
      <c r="I187" s="150" t="s">
        <v>210</v>
      </c>
      <c r="J187" s="129" t="s">
        <v>671</v>
      </c>
      <c r="K187" s="91" t="s">
        <v>12</v>
      </c>
      <c r="L187" s="91" t="s">
        <v>291</v>
      </c>
      <c r="M187" s="151">
        <v>-5699563.7705171034</v>
      </c>
      <c r="N187" s="151">
        <v>31272366.012512714</v>
      </c>
      <c r="O187" s="131">
        <v>18928907.441547051</v>
      </c>
      <c r="P187" s="131">
        <f t="shared" si="42"/>
        <v>12343458.570965663</v>
      </c>
      <c r="Q187" s="131">
        <v>24832678.01060541</v>
      </c>
      <c r="R187" s="131">
        <v>4043757.27</v>
      </c>
      <c r="S187" s="131">
        <f t="shared" si="43"/>
        <v>0</v>
      </c>
      <c r="T187" s="131">
        <f t="shared" si="44"/>
        <v>24832678.01060541</v>
      </c>
      <c r="U187" s="131">
        <v>0</v>
      </c>
      <c r="V187" s="131">
        <v>0</v>
      </c>
      <c r="W187" s="131">
        <v>0</v>
      </c>
      <c r="X187" s="131">
        <v>0</v>
      </c>
      <c r="Y187" s="131">
        <v>0</v>
      </c>
      <c r="Z187" s="131">
        <f t="shared" si="45"/>
        <v>0</v>
      </c>
      <c r="AA187" s="131">
        <v>0</v>
      </c>
      <c r="AB187" s="152">
        <f t="shared" si="46"/>
        <v>24832678.01060541</v>
      </c>
      <c r="AC187" s="133">
        <f>IF(D187="Physician Group Practice",(AB187/$AB$393)*'1. UC Assumptions'!$C$15,IF(E187="Rural Hospital",AB187*'1. UC Assumptions'!$C$7/'1. UC Assumptions'!$E$7,(AB187/$AB$397)*('1. UC Assumptions'!$C$9)))</f>
        <v>23179703.832678683</v>
      </c>
      <c r="AD187" s="133">
        <f t="shared" si="47"/>
        <v>0</v>
      </c>
      <c r="AE187" s="133">
        <f t="shared" si="48"/>
        <v>1652974.1779267266</v>
      </c>
      <c r="AF187" s="133">
        <f t="shared" si="49"/>
        <v>0</v>
      </c>
      <c r="AG187" s="133">
        <f t="shared" si="50"/>
        <v>1652974.1779267266</v>
      </c>
      <c r="AH187" s="133">
        <f t="shared" si="51"/>
        <v>23179703.832678683</v>
      </c>
      <c r="AI187" s="131">
        <f>AH187*'1. UC Assumptions'!$C$23</f>
        <v>7649302.2647839645</v>
      </c>
      <c r="AJ187" s="131">
        <v>11856178.75</v>
      </c>
      <c r="AK187" s="131">
        <f>AJ187*(1-'1. UC Assumptions'!$C$22)</f>
        <v>3912538.9874999993</v>
      </c>
      <c r="AL187" s="131"/>
      <c r="AM187" s="131">
        <f>AL187*'1. UC Assumptions'!$C$23</f>
        <v>0</v>
      </c>
      <c r="AN187" s="153">
        <f t="shared" si="52"/>
        <v>24832678.01060541</v>
      </c>
      <c r="AO187" s="151">
        <f>AN187*'1. UC Assumptions'!$C$23</f>
        <v>8194783.7434997838</v>
      </c>
      <c r="AP187" s="151">
        <f t="shared" si="53"/>
        <v>12976499.26060541</v>
      </c>
      <c r="AQ187" s="151">
        <f t="shared" si="54"/>
        <v>4282244.7559997849</v>
      </c>
      <c r="AR187" s="151">
        <f t="shared" si="55"/>
        <v>4282244.7559997849</v>
      </c>
      <c r="AS187" s="151">
        <f t="shared" si="56"/>
        <v>8194783.7434997838</v>
      </c>
      <c r="AT187" s="151">
        <f>IF(K187="Bexar",(AG187/$AT$1)*'1. UC Assumptions'!$E$44-(AH187/$AT$2)*'1. UC Assumptions'!$E$42,0)</f>
        <v>0</v>
      </c>
      <c r="AU187" s="151">
        <f>IF(K187="Dallas",(AG187/$AU$1)*'1. UC Assumptions'!$F$44-(AH187/$AU$2)*'1. UC Assumptions'!$F$42,0)</f>
        <v>0</v>
      </c>
      <c r="AV187" s="151">
        <f>IF(K187="El Paso",(AG187/$AV$1)*'1. UC Assumptions'!$G$44-(AH187/$AV$2)*'1. UC Assumptions'!$G$42,0)</f>
        <v>0</v>
      </c>
      <c r="AW187" s="151">
        <f>IF(K187="Harris",(AG187/$AW$1)*'1. UC Assumptions'!$H$44-(AH187/$AW$2)*'1. UC Assumptions'!$H$42,0)</f>
        <v>0</v>
      </c>
      <c r="AX187" s="151">
        <f>IF(K187="Hidalgo",(AG187/$AX$1)*'1. UC Assumptions'!$I$44-(AH187/$AX$2)*'1. UC Assumptions'!$I$42,0)</f>
        <v>0</v>
      </c>
      <c r="AY187" s="151">
        <f>IF(K187="Jefferson",(AG187/$AY$1)*'1. UC Assumptions'!$J$44-(AH187/$AY$2)*'1. UC Assumptions'!$J$42,0)</f>
        <v>0</v>
      </c>
      <c r="AZ187" s="151">
        <f>IF(K187="Lubbock",(AG187/$AZ$1)*'1. UC Assumptions'!$K$44-(AH187/$AZ$2)*'1. UC Assumptions'!$K$42,0)</f>
        <v>0</v>
      </c>
      <c r="BA187" s="151">
        <f>IF(K187="MRSA Central",(AG187/$BA$1)*'1. UC Assumptions'!$L$44-(AH187/$BA$2)*'1. UC Assumptions'!$L$42,0)</f>
        <v>0</v>
      </c>
      <c r="BB187" s="151">
        <f>IF(K187="MRSA Northeast",(AG187/$BB$1)*'1. UC Assumptions'!$M$44-(AH187/$BB$2)*'1. UC Assumptions'!$M$42,0)</f>
        <v>0</v>
      </c>
      <c r="BC187" s="151">
        <f>IF(K187="MRSA West",(AG187/$BC$1)*'1. UC Assumptions'!$N$44-(AH187/$BC$2)*'1. UC Assumptions'!$N$42,0)</f>
        <v>0</v>
      </c>
      <c r="BD187" s="151">
        <f>IF(K187="Nueces",(AG187/$BD$1)*'1. UC Assumptions'!$O$44-(AH187/$BD$2)*'1. UC Assumptions'!$O$42,0)</f>
        <v>0</v>
      </c>
      <c r="BE187" s="151">
        <f>IF(K187="Tarrant",(AG187/$BE$1)*'1. UC Assumptions'!$P$44-(AH187/$BE$2)*'1. UC Assumptions'!$P$42,0)</f>
        <v>0</v>
      </c>
      <c r="BF187" s="151">
        <f>IF(K187="Travis",(AG187/$BF$1)*'1. UC Assumptions'!$Q$44-(AH187/$BF$2)*'1. UC Assumptions'!$Q$42,0)</f>
        <v>0</v>
      </c>
      <c r="BG187" s="151">
        <f t="shared" si="57"/>
        <v>0</v>
      </c>
      <c r="BH187" s="151">
        <f t="shared" si="58"/>
        <v>23179703.832678683</v>
      </c>
      <c r="BI187" s="151">
        <f>ROUNDDOWN(BH187*'1. UC Assumptions'!$C$23,2)</f>
        <v>7649302.2599999998</v>
      </c>
      <c r="BJ187" s="154">
        <f t="shared" si="59"/>
        <v>11323525.082678683</v>
      </c>
      <c r="BK187" s="154">
        <f t="shared" si="60"/>
        <v>3736763.2725000004</v>
      </c>
      <c r="BL187" s="154">
        <f t="shared" si="61"/>
        <v>10454105.800000001</v>
      </c>
      <c r="BM187" s="154">
        <f t="shared" si="62"/>
        <v>3449854.9</v>
      </c>
      <c r="BN187" s="101"/>
      <c r="BO187" s="154">
        <f>(BL187*'1. UC Assumptions'!$C$23)-'3.  UC Calculations by Hospital'!BM187</f>
        <v>1.3999999966472387E-2</v>
      </c>
      <c r="BP187" s="13"/>
    </row>
    <row r="188" spans="2:68">
      <c r="B188" s="129" t="s">
        <v>672</v>
      </c>
      <c r="C188" s="91" t="s">
        <v>672</v>
      </c>
      <c r="D188" s="91" t="s">
        <v>539</v>
      </c>
      <c r="E188" s="91" t="s">
        <v>209</v>
      </c>
      <c r="F188" s="91"/>
      <c r="G188" s="91" t="s">
        <v>209</v>
      </c>
      <c r="H188" s="91" t="s">
        <v>209</v>
      </c>
      <c r="I188" s="150" t="s">
        <v>210</v>
      </c>
      <c r="J188" s="129" t="s">
        <v>673</v>
      </c>
      <c r="K188" s="91" t="s">
        <v>3</v>
      </c>
      <c r="L188" s="91" t="s">
        <v>3</v>
      </c>
      <c r="M188" s="151">
        <v>86580212.771718711</v>
      </c>
      <c r="N188" s="151">
        <v>262084560.37626016</v>
      </c>
      <c r="O188" s="131">
        <v>136100761.18548331</v>
      </c>
      <c r="P188" s="131">
        <f t="shared" si="42"/>
        <v>125983799.19077685</v>
      </c>
      <c r="Q188" s="131">
        <v>199621441.89844486</v>
      </c>
      <c r="R188" s="131">
        <v>110400566.95</v>
      </c>
      <c r="S188" s="131">
        <f t="shared" si="43"/>
        <v>0</v>
      </c>
      <c r="T188" s="131">
        <f t="shared" si="44"/>
        <v>199621441.89844486</v>
      </c>
      <c r="U188" s="131">
        <v>44911541</v>
      </c>
      <c r="V188" s="131">
        <v>5658093.0999999996</v>
      </c>
      <c r="W188" s="131">
        <v>0</v>
      </c>
      <c r="X188" s="131">
        <v>0</v>
      </c>
      <c r="Y188" s="131">
        <v>0</v>
      </c>
      <c r="Z188" s="131">
        <f t="shared" si="45"/>
        <v>50569634.100000001</v>
      </c>
      <c r="AA188" s="131">
        <v>73461519.876127154</v>
      </c>
      <c r="AB188" s="152">
        <f t="shared" si="46"/>
        <v>323652595.87457204</v>
      </c>
      <c r="AC188" s="133">
        <f>IF(D188="Physician Group Practice",(AB188/$AB$393)*'1. UC Assumptions'!$C$15,IF(E188="Rural Hospital",AB188*'1. UC Assumptions'!$C$7/'1. UC Assumptions'!$E$7,(AB188/$AB$397)*('1. UC Assumptions'!$C$9)))</f>
        <v>152163846.05194989</v>
      </c>
      <c r="AD188" s="133">
        <f t="shared" si="47"/>
        <v>0</v>
      </c>
      <c r="AE188" s="133">
        <f t="shared" si="48"/>
        <v>98027229.946494997</v>
      </c>
      <c r="AF188" s="133">
        <f t="shared" si="49"/>
        <v>0</v>
      </c>
      <c r="AG188" s="133">
        <f t="shared" si="50"/>
        <v>98027229.946494997</v>
      </c>
      <c r="AH188" s="133">
        <f t="shared" si="51"/>
        <v>152163846.05194989</v>
      </c>
      <c r="AI188" s="131">
        <f>AH188*'1. UC Assumptions'!$C$23</f>
        <v>50214069.197143458</v>
      </c>
      <c r="AJ188" s="131">
        <v>120183620.14</v>
      </c>
      <c r="AK188" s="131">
        <f>AJ188*(1-'1. UC Assumptions'!$C$22)</f>
        <v>39660594.646199994</v>
      </c>
      <c r="AL188" s="131"/>
      <c r="AM188" s="131">
        <f>AL188*'1. UC Assumptions'!$C$23</f>
        <v>0</v>
      </c>
      <c r="AN188" s="153">
        <f t="shared" si="52"/>
        <v>250191075.99844489</v>
      </c>
      <c r="AO188" s="151">
        <f>AN188*'1. UC Assumptions'!$C$23</f>
        <v>82563055.079486802</v>
      </c>
      <c r="AP188" s="151">
        <f t="shared" si="53"/>
        <v>130007455.85844488</v>
      </c>
      <c r="AQ188" s="151">
        <f t="shared" si="54"/>
        <v>42902460.433286808</v>
      </c>
      <c r="AR188" s="151">
        <f t="shared" si="55"/>
        <v>42902460.433286808</v>
      </c>
      <c r="AS188" s="151">
        <f t="shared" si="56"/>
        <v>82563055.079486802</v>
      </c>
      <c r="AT188" s="151">
        <f>IF(K188="Bexar",(AG188/$AT$1)*'1. UC Assumptions'!$E$44-(AH188/$AT$2)*'1. UC Assumptions'!$E$42,0)</f>
        <v>0</v>
      </c>
      <c r="AU188" s="151">
        <f>IF(K188="Dallas",(AG188/$AU$1)*'1. UC Assumptions'!$F$44-(AH188/$AU$2)*'1. UC Assumptions'!$F$42,0)</f>
        <v>0</v>
      </c>
      <c r="AV188" s="151">
        <f>IF(K188="El Paso",(AG188/$AV$1)*'1. UC Assumptions'!$G$44-(AH188/$AV$2)*'1. UC Assumptions'!$G$42,0)</f>
        <v>0</v>
      </c>
      <c r="AW188" s="151">
        <f>IF(K188="Harris",(AG188/$AW$1)*'1. UC Assumptions'!$H$44-(AH188/$AW$2)*'1. UC Assumptions'!$H$42,0)</f>
        <v>0</v>
      </c>
      <c r="AX188" s="151">
        <f>IF(K188="Hidalgo",(AG188/$AX$1)*'1. UC Assumptions'!$I$44-(AH188/$AX$2)*'1. UC Assumptions'!$I$42,0)</f>
        <v>0</v>
      </c>
      <c r="AY188" s="151">
        <f>IF(K188="Jefferson",(AG188/$AY$1)*'1. UC Assumptions'!$J$44-(AH188/$AY$2)*'1. UC Assumptions'!$J$42,0)</f>
        <v>0</v>
      </c>
      <c r="AZ188" s="151">
        <f>IF(K188="Lubbock",(AG188/$AZ$1)*'1. UC Assumptions'!$K$44-(AH188/$AZ$2)*'1. UC Assumptions'!$K$42,0)</f>
        <v>0</v>
      </c>
      <c r="BA188" s="151">
        <f>IF(K188="MRSA Central",(AG188/$BA$1)*'1. UC Assumptions'!$L$44-(AH188/$BA$2)*'1. UC Assumptions'!$L$42,0)</f>
        <v>0</v>
      </c>
      <c r="BB188" s="151">
        <f>IF(K188="MRSA Northeast",(AG188/$BB$1)*'1. UC Assumptions'!$M$44-(AH188/$BB$2)*'1. UC Assumptions'!$M$42,0)</f>
        <v>0</v>
      </c>
      <c r="BC188" s="151">
        <f>IF(K188="MRSA West",(AG188/$BC$1)*'1. UC Assumptions'!$N$44-(AH188/$BC$2)*'1. UC Assumptions'!$N$42,0)</f>
        <v>0</v>
      </c>
      <c r="BD188" s="151">
        <f>IF(K188="Nueces",(AG188/$BD$1)*'1. UC Assumptions'!$O$44-(AH188/$BD$2)*'1. UC Assumptions'!$O$42,0)</f>
        <v>0</v>
      </c>
      <c r="BE188" s="151">
        <f>IF(K188="Tarrant",(AG188/$BE$1)*'1. UC Assumptions'!$P$44-(AH188/$BE$2)*'1. UC Assumptions'!$P$42,0)</f>
        <v>0</v>
      </c>
      <c r="BF188" s="151">
        <f>IF(K188="Travis",(AG188/$BF$1)*'1. UC Assumptions'!$Q$44-(AH188/$BF$2)*'1. UC Assumptions'!$Q$42,0)</f>
        <v>0</v>
      </c>
      <c r="BG188" s="151">
        <f t="shared" si="57"/>
        <v>0</v>
      </c>
      <c r="BH188" s="151">
        <f t="shared" si="58"/>
        <v>152163846.05194989</v>
      </c>
      <c r="BI188" s="151">
        <f>ROUNDDOWN(BH188*'1. UC Assumptions'!$C$23,2)</f>
        <v>50214069.189999998</v>
      </c>
      <c r="BJ188" s="154">
        <f t="shared" si="59"/>
        <v>31980225.911949888</v>
      </c>
      <c r="BK188" s="154">
        <f t="shared" si="60"/>
        <v>10553474.543800004</v>
      </c>
      <c r="BL188" s="154">
        <f t="shared" si="61"/>
        <v>29524786.91</v>
      </c>
      <c r="BM188" s="154">
        <f t="shared" si="62"/>
        <v>9743179.6600000001</v>
      </c>
      <c r="BN188" s="101"/>
      <c r="BO188" s="154">
        <f>(BL188*'1. UC Assumptions'!$C$23)-'3.  UC Calculations by Hospital'!BM188</f>
        <v>2.0299999043345451E-2</v>
      </c>
      <c r="BP188" s="13"/>
    </row>
    <row r="189" spans="2:68">
      <c r="B189" s="129" t="s">
        <v>674</v>
      </c>
      <c r="C189" s="91" t="s">
        <v>674</v>
      </c>
      <c r="D189" s="91" t="s">
        <v>208</v>
      </c>
      <c r="E189" s="91" t="s">
        <v>149</v>
      </c>
      <c r="F189" s="91"/>
      <c r="G189" s="91" t="s">
        <v>209</v>
      </c>
      <c r="H189" s="91" t="s">
        <v>209</v>
      </c>
      <c r="I189" s="150" t="s">
        <v>210</v>
      </c>
      <c r="J189" s="129" t="s">
        <v>675</v>
      </c>
      <c r="K189" s="91" t="s">
        <v>12</v>
      </c>
      <c r="L189" s="91" t="s">
        <v>676</v>
      </c>
      <c r="M189" s="151">
        <v>408489.99003850232</v>
      </c>
      <c r="N189" s="151">
        <v>0</v>
      </c>
      <c r="O189" s="131">
        <v>0</v>
      </c>
      <c r="P189" s="131">
        <f t="shared" si="42"/>
        <v>0</v>
      </c>
      <c r="Q189" s="131">
        <v>718961.98776639998</v>
      </c>
      <c r="R189" s="131">
        <v>0</v>
      </c>
      <c r="S189" s="131">
        <f t="shared" si="43"/>
        <v>0</v>
      </c>
      <c r="T189" s="131">
        <f t="shared" si="44"/>
        <v>718961.98776639998</v>
      </c>
      <c r="U189" s="131">
        <v>0</v>
      </c>
      <c r="V189" s="131">
        <v>0</v>
      </c>
      <c r="W189" s="131">
        <v>0</v>
      </c>
      <c r="X189" s="131">
        <v>0</v>
      </c>
      <c r="Y189" s="131">
        <v>0</v>
      </c>
      <c r="Z189" s="131">
        <f t="shared" si="45"/>
        <v>0</v>
      </c>
      <c r="AA189" s="131">
        <v>0</v>
      </c>
      <c r="AB189" s="152">
        <f t="shared" si="46"/>
        <v>718961.98776639998</v>
      </c>
      <c r="AC189" s="133">
        <f>IF(D189="Physician Group Practice",(AB189/$AB$393)*'1. UC Assumptions'!$C$15,IF(E189="Rural Hospital",AB189*'1. UC Assumptions'!$C$7/'1. UC Assumptions'!$E$7,(AB189/$AB$397)*('1. UC Assumptions'!$C$9)))</f>
        <v>671104.66041003575</v>
      </c>
      <c r="AD189" s="133">
        <f t="shared" si="47"/>
        <v>0</v>
      </c>
      <c r="AE189" s="133">
        <f t="shared" si="48"/>
        <v>47857.327356364229</v>
      </c>
      <c r="AF189" s="133">
        <f t="shared" si="49"/>
        <v>0</v>
      </c>
      <c r="AG189" s="133">
        <f t="shared" si="50"/>
        <v>47857.327356364229</v>
      </c>
      <c r="AH189" s="133">
        <f t="shared" si="51"/>
        <v>671104.66041003575</v>
      </c>
      <c r="AI189" s="131">
        <f>AH189*'1. UC Assumptions'!$C$23</f>
        <v>221464.53793531176</v>
      </c>
      <c r="AJ189" s="131">
        <v>254819.53</v>
      </c>
      <c r="AK189" s="131">
        <f>AJ189*(1-'1. UC Assumptions'!$C$22)</f>
        <v>84090.444899999988</v>
      </c>
      <c r="AL189" s="131"/>
      <c r="AM189" s="131">
        <f>AL189*'1. UC Assumptions'!$C$23</f>
        <v>0</v>
      </c>
      <c r="AN189" s="153">
        <f t="shared" si="52"/>
        <v>718961.98776639998</v>
      </c>
      <c r="AO189" s="151">
        <f>AN189*'1. UC Assumptions'!$C$23</f>
        <v>237257.45596291198</v>
      </c>
      <c r="AP189" s="151">
        <f t="shared" si="53"/>
        <v>464142.45776639995</v>
      </c>
      <c r="AQ189" s="151">
        <f t="shared" si="54"/>
        <v>153167.011062912</v>
      </c>
      <c r="AR189" s="151">
        <f t="shared" si="55"/>
        <v>153167.011062912</v>
      </c>
      <c r="AS189" s="151">
        <f t="shared" si="56"/>
        <v>237257.455962912</v>
      </c>
      <c r="AT189" s="151">
        <f>IF(K189="Bexar",(AG189/$AT$1)*'1. UC Assumptions'!$E$44-(AH189/$AT$2)*'1. UC Assumptions'!$E$42,0)</f>
        <v>0</v>
      </c>
      <c r="AU189" s="151">
        <f>IF(K189="Dallas",(AG189/$AU$1)*'1. UC Assumptions'!$F$44-(AH189/$AU$2)*'1. UC Assumptions'!$F$42,0)</f>
        <v>0</v>
      </c>
      <c r="AV189" s="151">
        <f>IF(K189="El Paso",(AG189/$AV$1)*'1. UC Assumptions'!$G$44-(AH189/$AV$2)*'1. UC Assumptions'!$G$42,0)</f>
        <v>0</v>
      </c>
      <c r="AW189" s="151">
        <f>IF(K189="Harris",(AG189/$AW$1)*'1. UC Assumptions'!$H$44-(AH189/$AW$2)*'1. UC Assumptions'!$H$42,0)</f>
        <v>0</v>
      </c>
      <c r="AX189" s="151">
        <f>IF(K189="Hidalgo",(AG189/$AX$1)*'1. UC Assumptions'!$I$44-(AH189/$AX$2)*'1. UC Assumptions'!$I$42,0)</f>
        <v>0</v>
      </c>
      <c r="AY189" s="151">
        <f>IF(K189="Jefferson",(AG189/$AY$1)*'1. UC Assumptions'!$J$44-(AH189/$AY$2)*'1. UC Assumptions'!$J$42,0)</f>
        <v>0</v>
      </c>
      <c r="AZ189" s="151">
        <f>IF(K189="Lubbock",(AG189/$AZ$1)*'1. UC Assumptions'!$K$44-(AH189/$AZ$2)*'1. UC Assumptions'!$K$42,0)</f>
        <v>0</v>
      </c>
      <c r="BA189" s="151">
        <f>IF(K189="MRSA Central",(AG189/$BA$1)*'1. UC Assumptions'!$L$44-(AH189/$BA$2)*'1. UC Assumptions'!$L$42,0)</f>
        <v>0</v>
      </c>
      <c r="BB189" s="151">
        <f>IF(K189="MRSA Northeast",(AG189/$BB$1)*'1. UC Assumptions'!$M$44-(AH189/$BB$2)*'1. UC Assumptions'!$M$42,0)</f>
        <v>0</v>
      </c>
      <c r="BC189" s="151">
        <f>IF(K189="MRSA West",(AG189/$BC$1)*'1. UC Assumptions'!$N$44-(AH189/$BC$2)*'1. UC Assumptions'!$N$42,0)</f>
        <v>0</v>
      </c>
      <c r="BD189" s="151">
        <f>IF(K189="Nueces",(AG189/$BD$1)*'1. UC Assumptions'!$O$44-(AH189/$BD$2)*'1. UC Assumptions'!$O$42,0)</f>
        <v>0</v>
      </c>
      <c r="BE189" s="151">
        <f>IF(K189="Tarrant",(AG189/$BE$1)*'1. UC Assumptions'!$P$44-(AH189/$BE$2)*'1. UC Assumptions'!$P$42,0)</f>
        <v>0</v>
      </c>
      <c r="BF189" s="151">
        <f>IF(K189="Travis",(AG189/$BF$1)*'1. UC Assumptions'!$Q$44-(AH189/$BF$2)*'1. UC Assumptions'!$Q$42,0)</f>
        <v>0</v>
      </c>
      <c r="BG189" s="151">
        <f t="shared" si="57"/>
        <v>0</v>
      </c>
      <c r="BH189" s="151">
        <f t="shared" si="58"/>
        <v>671104.66041003575</v>
      </c>
      <c r="BI189" s="151">
        <f>ROUNDDOWN(BH189*'1. UC Assumptions'!$C$23,2)</f>
        <v>221464.53</v>
      </c>
      <c r="BJ189" s="154">
        <f t="shared" si="59"/>
        <v>416285.13041003572</v>
      </c>
      <c r="BK189" s="154">
        <f t="shared" si="60"/>
        <v>137374.08510000003</v>
      </c>
      <c r="BL189" s="154">
        <f t="shared" si="61"/>
        <v>384322.79</v>
      </c>
      <c r="BM189" s="154">
        <f t="shared" si="62"/>
        <v>126826.51</v>
      </c>
      <c r="BN189" s="101"/>
      <c r="BO189" s="154">
        <f>(BL189*'1. UC Assumptions'!$C$23)-'3.  UC Calculations by Hospital'!BM189</f>
        <v>1.0699999984353781E-2</v>
      </c>
      <c r="BP189" s="13"/>
    </row>
    <row r="190" spans="2:68">
      <c r="B190" s="129" t="s">
        <v>677</v>
      </c>
      <c r="C190" s="91" t="s">
        <v>677</v>
      </c>
      <c r="D190" s="91" t="s">
        <v>208</v>
      </c>
      <c r="E190" s="91" t="s">
        <v>209</v>
      </c>
      <c r="F190" s="91"/>
      <c r="G190" s="91" t="s">
        <v>209</v>
      </c>
      <c r="H190" s="91" t="s">
        <v>209</v>
      </c>
      <c r="I190" s="150" t="s">
        <v>210</v>
      </c>
      <c r="J190" s="129" t="s">
        <v>678</v>
      </c>
      <c r="K190" s="91" t="s">
        <v>12</v>
      </c>
      <c r="L190" s="91" t="s">
        <v>679</v>
      </c>
      <c r="M190" s="151">
        <v>11034837.96557238</v>
      </c>
      <c r="N190" s="151">
        <v>25744428.330811508</v>
      </c>
      <c r="O190" s="131">
        <v>14859162.383474305</v>
      </c>
      <c r="P190" s="131">
        <f t="shared" si="42"/>
        <v>10885265.947337203</v>
      </c>
      <c r="Q190" s="131">
        <v>16359818.384770021</v>
      </c>
      <c r="R190" s="131">
        <v>15368275.699999999</v>
      </c>
      <c r="S190" s="131">
        <f t="shared" si="43"/>
        <v>0</v>
      </c>
      <c r="T190" s="131">
        <f t="shared" si="44"/>
        <v>16359818.384770021</v>
      </c>
      <c r="U190" s="131">
        <v>1523018</v>
      </c>
      <c r="V190" s="131">
        <v>0</v>
      </c>
      <c r="W190" s="131">
        <v>0</v>
      </c>
      <c r="X190" s="131">
        <v>0</v>
      </c>
      <c r="Y190" s="131">
        <v>8605351</v>
      </c>
      <c r="Z190" s="131">
        <f t="shared" si="45"/>
        <v>10128369</v>
      </c>
      <c r="AA190" s="131">
        <v>0</v>
      </c>
      <c r="AB190" s="152">
        <f t="shared" si="46"/>
        <v>26488187.384770021</v>
      </c>
      <c r="AC190" s="133">
        <f>IF(D190="Physician Group Practice",(AB190/$AB$393)*'1. UC Assumptions'!$C$15,IF(E190="Rural Hospital",AB190*'1. UC Assumptions'!$C$7/'1. UC Assumptions'!$E$7,(AB190/$AB$397)*('1. UC Assumptions'!$C$9)))</f>
        <v>12453304.92876176</v>
      </c>
      <c r="AD190" s="133">
        <f t="shared" si="47"/>
        <v>0</v>
      </c>
      <c r="AE190" s="133">
        <f t="shared" si="48"/>
        <v>14034882.456008261</v>
      </c>
      <c r="AF190" s="133">
        <f t="shared" si="49"/>
        <v>0</v>
      </c>
      <c r="AG190" s="133">
        <f t="shared" si="50"/>
        <v>14034882.456008261</v>
      </c>
      <c r="AH190" s="133">
        <f t="shared" si="51"/>
        <v>12453304.92876176</v>
      </c>
      <c r="AI190" s="131">
        <f>AH190*'1. UC Assumptions'!$C$23</f>
        <v>4109590.6264913804</v>
      </c>
      <c r="AJ190" s="131">
        <v>10426100.92</v>
      </c>
      <c r="AK190" s="131">
        <f>AJ190*(1-'1. UC Assumptions'!$C$22)</f>
        <v>3440613.3035999998</v>
      </c>
      <c r="AL190" s="131"/>
      <c r="AM190" s="131">
        <f>AL190*'1. UC Assumptions'!$C$23</f>
        <v>0</v>
      </c>
      <c r="AN190" s="153">
        <f t="shared" si="52"/>
        <v>26488187.384770021</v>
      </c>
      <c r="AO190" s="151">
        <f>AN190*'1. UC Assumptions'!$C$23</f>
        <v>8741101.8369741067</v>
      </c>
      <c r="AP190" s="151">
        <f t="shared" si="53"/>
        <v>16062086.464770021</v>
      </c>
      <c r="AQ190" s="151">
        <f t="shared" si="54"/>
        <v>5300488.5333741065</v>
      </c>
      <c r="AR190" s="151">
        <f t="shared" si="55"/>
        <v>5300488.5333741065</v>
      </c>
      <c r="AS190" s="151">
        <f t="shared" si="56"/>
        <v>8741101.8369741067</v>
      </c>
      <c r="AT190" s="151">
        <f>IF(K190="Bexar",(AG190/$AT$1)*'1. UC Assumptions'!$E$44-(AH190/$AT$2)*'1. UC Assumptions'!$E$42,0)</f>
        <v>0</v>
      </c>
      <c r="AU190" s="151">
        <f>IF(K190="Dallas",(AG190/$AU$1)*'1. UC Assumptions'!$F$44-(AH190/$AU$2)*'1. UC Assumptions'!$F$42,0)</f>
        <v>0</v>
      </c>
      <c r="AV190" s="151">
        <f>IF(K190="El Paso",(AG190/$AV$1)*'1. UC Assumptions'!$G$44-(AH190/$AV$2)*'1. UC Assumptions'!$G$42,0)</f>
        <v>0</v>
      </c>
      <c r="AW190" s="151">
        <f>IF(K190="Harris",(AG190/$AW$1)*'1. UC Assumptions'!$H$44-(AH190/$AW$2)*'1. UC Assumptions'!$H$42,0)</f>
        <v>0</v>
      </c>
      <c r="AX190" s="151">
        <f>IF(K190="Hidalgo",(AG190/$AX$1)*'1. UC Assumptions'!$I$44-(AH190/$AX$2)*'1. UC Assumptions'!$I$42,0)</f>
        <v>0</v>
      </c>
      <c r="AY190" s="151">
        <f>IF(K190="Jefferson",(AG190/$AY$1)*'1. UC Assumptions'!$J$44-(AH190/$AY$2)*'1. UC Assumptions'!$J$42,0)</f>
        <v>0</v>
      </c>
      <c r="AZ190" s="151">
        <f>IF(K190="Lubbock",(AG190/$AZ$1)*'1. UC Assumptions'!$K$44-(AH190/$AZ$2)*'1. UC Assumptions'!$K$42,0)</f>
        <v>0</v>
      </c>
      <c r="BA190" s="151">
        <f>IF(K190="MRSA Central",(AG190/$BA$1)*'1. UC Assumptions'!$L$44-(AH190/$BA$2)*'1. UC Assumptions'!$L$42,0)</f>
        <v>0</v>
      </c>
      <c r="BB190" s="151">
        <f>IF(K190="MRSA Northeast",(AG190/$BB$1)*'1. UC Assumptions'!$M$44-(AH190/$BB$2)*'1. UC Assumptions'!$M$42,0)</f>
        <v>0</v>
      </c>
      <c r="BC190" s="151">
        <f>IF(K190="MRSA West",(AG190/$BC$1)*'1. UC Assumptions'!$N$44-(AH190/$BC$2)*'1. UC Assumptions'!$N$42,0)</f>
        <v>0</v>
      </c>
      <c r="BD190" s="151">
        <f>IF(K190="Nueces",(AG190/$BD$1)*'1. UC Assumptions'!$O$44-(AH190/$BD$2)*'1. UC Assumptions'!$O$42,0)</f>
        <v>0</v>
      </c>
      <c r="BE190" s="151">
        <f>IF(K190="Tarrant",(AG190/$BE$1)*'1. UC Assumptions'!$P$44-(AH190/$BE$2)*'1. UC Assumptions'!$P$42,0)</f>
        <v>0</v>
      </c>
      <c r="BF190" s="151">
        <f>IF(K190="Travis",(AG190/$BF$1)*'1. UC Assumptions'!$Q$44-(AH190/$BF$2)*'1. UC Assumptions'!$Q$42,0)</f>
        <v>0</v>
      </c>
      <c r="BG190" s="151">
        <f t="shared" si="57"/>
        <v>0</v>
      </c>
      <c r="BH190" s="151">
        <f t="shared" si="58"/>
        <v>12453304.92876176</v>
      </c>
      <c r="BI190" s="151">
        <f>ROUNDDOWN(BH190*'1. UC Assumptions'!$C$23,2)</f>
        <v>4109590.62</v>
      </c>
      <c r="BJ190" s="154">
        <f t="shared" si="59"/>
        <v>2027204.0087617598</v>
      </c>
      <c r="BK190" s="154">
        <f t="shared" si="60"/>
        <v>668977.31640000036</v>
      </c>
      <c r="BL190" s="154">
        <f t="shared" si="61"/>
        <v>1871555.46</v>
      </c>
      <c r="BM190" s="154">
        <f t="shared" si="62"/>
        <v>617613.29</v>
      </c>
      <c r="BN190" s="101"/>
      <c r="BO190" s="154">
        <f>(BL190*'1. UC Assumptions'!$C$23)-'3.  UC Calculations by Hospital'!BM190</f>
        <v>1.1799999861977994E-2</v>
      </c>
      <c r="BP190" s="13"/>
    </row>
    <row r="191" spans="2:68">
      <c r="B191" s="129" t="s">
        <v>680</v>
      </c>
      <c r="C191" s="91" t="s">
        <v>680</v>
      </c>
      <c r="D191" s="91" t="s">
        <v>208</v>
      </c>
      <c r="E191" s="91" t="s">
        <v>149</v>
      </c>
      <c r="F191" s="91"/>
      <c r="G191" s="91" t="s">
        <v>209</v>
      </c>
      <c r="H191" s="91" t="s">
        <v>209</v>
      </c>
      <c r="I191" s="150" t="s">
        <v>210</v>
      </c>
      <c r="J191" s="129" t="s">
        <v>681</v>
      </c>
      <c r="K191" s="91" t="s">
        <v>12</v>
      </c>
      <c r="L191" s="91" t="s">
        <v>682</v>
      </c>
      <c r="M191" s="151">
        <v>540958.33566655999</v>
      </c>
      <c r="N191" s="151">
        <v>0</v>
      </c>
      <c r="O191" s="131">
        <v>0</v>
      </c>
      <c r="P191" s="131">
        <f t="shared" si="42"/>
        <v>0</v>
      </c>
      <c r="Q191" s="131">
        <v>1737782.7287573761</v>
      </c>
      <c r="R191" s="131">
        <v>0</v>
      </c>
      <c r="S191" s="131">
        <f t="shared" si="43"/>
        <v>0</v>
      </c>
      <c r="T191" s="131">
        <f t="shared" si="44"/>
        <v>1737782.7287573761</v>
      </c>
      <c r="U191" s="131">
        <v>0</v>
      </c>
      <c r="V191" s="131">
        <v>0</v>
      </c>
      <c r="W191" s="131">
        <v>0</v>
      </c>
      <c r="X191" s="131">
        <v>0</v>
      </c>
      <c r="Y191" s="131">
        <v>0</v>
      </c>
      <c r="Z191" s="131">
        <f t="shared" si="45"/>
        <v>0</v>
      </c>
      <c r="AA191" s="131">
        <v>0</v>
      </c>
      <c r="AB191" s="152">
        <f t="shared" si="46"/>
        <v>1737782.7287573761</v>
      </c>
      <c r="AC191" s="133">
        <f>IF(D191="Physician Group Practice",(AB191/$AB$393)*'1. UC Assumptions'!$C$15,IF(E191="Rural Hospital",AB191*'1. UC Assumptions'!$C$7/'1. UC Assumptions'!$E$7,(AB191/$AB$397)*('1. UC Assumptions'!$C$9)))</f>
        <v>1622108.1335221697</v>
      </c>
      <c r="AD191" s="133">
        <f t="shared" si="47"/>
        <v>0</v>
      </c>
      <c r="AE191" s="133">
        <f t="shared" si="48"/>
        <v>115674.59523520642</v>
      </c>
      <c r="AF191" s="133">
        <f t="shared" si="49"/>
        <v>0</v>
      </c>
      <c r="AG191" s="133">
        <f t="shared" si="50"/>
        <v>115674.59523520642</v>
      </c>
      <c r="AH191" s="133">
        <f t="shared" si="51"/>
        <v>1622108.1335221697</v>
      </c>
      <c r="AI191" s="131">
        <f>AH191*'1. UC Assumptions'!$C$23</f>
        <v>535295.68406231597</v>
      </c>
      <c r="AJ191" s="131">
        <v>516967.88</v>
      </c>
      <c r="AK191" s="131">
        <f>AJ191*(1-'1. UC Assumptions'!$C$22)</f>
        <v>170599.40039999998</v>
      </c>
      <c r="AL191" s="131"/>
      <c r="AM191" s="131">
        <f>AL191*'1. UC Assumptions'!$C$23</f>
        <v>0</v>
      </c>
      <c r="AN191" s="153">
        <f t="shared" si="52"/>
        <v>1737782.7287573761</v>
      </c>
      <c r="AO191" s="151">
        <f>AN191*'1. UC Assumptions'!$C$23</f>
        <v>573468.30048993404</v>
      </c>
      <c r="AP191" s="151">
        <f t="shared" si="53"/>
        <v>1220814.848757376</v>
      </c>
      <c r="AQ191" s="151">
        <f t="shared" si="54"/>
        <v>402868.90008993406</v>
      </c>
      <c r="AR191" s="151">
        <f t="shared" si="55"/>
        <v>402868.90008993406</v>
      </c>
      <c r="AS191" s="151">
        <f t="shared" si="56"/>
        <v>573468.30048993404</v>
      </c>
      <c r="AT191" s="151">
        <f>IF(K191="Bexar",(AG191/$AT$1)*'1. UC Assumptions'!$E$44-(AH191/$AT$2)*'1. UC Assumptions'!$E$42,0)</f>
        <v>0</v>
      </c>
      <c r="AU191" s="151">
        <f>IF(K191="Dallas",(AG191/$AU$1)*'1. UC Assumptions'!$F$44-(AH191/$AU$2)*'1. UC Assumptions'!$F$42,0)</f>
        <v>0</v>
      </c>
      <c r="AV191" s="151">
        <f>IF(K191="El Paso",(AG191/$AV$1)*'1. UC Assumptions'!$G$44-(AH191/$AV$2)*'1. UC Assumptions'!$G$42,0)</f>
        <v>0</v>
      </c>
      <c r="AW191" s="151">
        <f>IF(K191="Harris",(AG191/$AW$1)*'1. UC Assumptions'!$H$44-(AH191/$AW$2)*'1. UC Assumptions'!$H$42,0)</f>
        <v>0</v>
      </c>
      <c r="AX191" s="151">
        <f>IF(K191="Hidalgo",(AG191/$AX$1)*'1. UC Assumptions'!$I$44-(AH191/$AX$2)*'1. UC Assumptions'!$I$42,0)</f>
        <v>0</v>
      </c>
      <c r="AY191" s="151">
        <f>IF(K191="Jefferson",(AG191/$AY$1)*'1. UC Assumptions'!$J$44-(AH191/$AY$2)*'1. UC Assumptions'!$J$42,0)</f>
        <v>0</v>
      </c>
      <c r="AZ191" s="151">
        <f>IF(K191="Lubbock",(AG191/$AZ$1)*'1. UC Assumptions'!$K$44-(AH191/$AZ$2)*'1. UC Assumptions'!$K$42,0)</f>
        <v>0</v>
      </c>
      <c r="BA191" s="151">
        <f>IF(K191="MRSA Central",(AG191/$BA$1)*'1. UC Assumptions'!$L$44-(AH191/$BA$2)*'1. UC Assumptions'!$L$42,0)</f>
        <v>0</v>
      </c>
      <c r="BB191" s="151">
        <f>IF(K191="MRSA Northeast",(AG191/$BB$1)*'1. UC Assumptions'!$M$44-(AH191/$BB$2)*'1. UC Assumptions'!$M$42,0)</f>
        <v>0</v>
      </c>
      <c r="BC191" s="151">
        <f>IF(K191="MRSA West",(AG191/$BC$1)*'1. UC Assumptions'!$N$44-(AH191/$BC$2)*'1. UC Assumptions'!$N$42,0)</f>
        <v>0</v>
      </c>
      <c r="BD191" s="151">
        <f>IF(K191="Nueces",(AG191/$BD$1)*'1. UC Assumptions'!$O$44-(AH191/$BD$2)*'1. UC Assumptions'!$O$42,0)</f>
        <v>0</v>
      </c>
      <c r="BE191" s="151">
        <f>IF(K191="Tarrant",(AG191/$BE$1)*'1. UC Assumptions'!$P$44-(AH191/$BE$2)*'1. UC Assumptions'!$P$42,0)</f>
        <v>0</v>
      </c>
      <c r="BF191" s="151">
        <f>IF(K191="Travis",(AG191/$BF$1)*'1. UC Assumptions'!$Q$44-(AH191/$BF$2)*'1. UC Assumptions'!$Q$42,0)</f>
        <v>0</v>
      </c>
      <c r="BG191" s="151">
        <f t="shared" si="57"/>
        <v>0</v>
      </c>
      <c r="BH191" s="151">
        <f t="shared" si="58"/>
        <v>1622108.1335221697</v>
      </c>
      <c r="BI191" s="151">
        <f>ROUNDDOWN(BH191*'1. UC Assumptions'!$C$23,2)</f>
        <v>535295.68000000005</v>
      </c>
      <c r="BJ191" s="154">
        <f t="shared" si="59"/>
        <v>1105140.2535221698</v>
      </c>
      <c r="BK191" s="154">
        <f t="shared" si="60"/>
        <v>364696.27960000007</v>
      </c>
      <c r="BL191" s="154">
        <f t="shared" si="61"/>
        <v>1020287.68</v>
      </c>
      <c r="BM191" s="154">
        <f t="shared" si="62"/>
        <v>336694.93</v>
      </c>
      <c r="BN191" s="101"/>
      <c r="BO191" s="154">
        <f>(BL191*'1. UC Assumptions'!$C$23)-'3.  UC Calculations by Hospital'!BM191</f>
        <v>4.3999999761581421E-3</v>
      </c>
      <c r="BP191" s="13"/>
    </row>
    <row r="192" spans="2:68">
      <c r="B192" s="129" t="s">
        <v>683</v>
      </c>
      <c r="C192" s="91" t="s">
        <v>683</v>
      </c>
      <c r="D192" s="91" t="s">
        <v>208</v>
      </c>
      <c r="E192" s="91" t="s">
        <v>149</v>
      </c>
      <c r="F192" s="91"/>
      <c r="G192" s="91" t="s">
        <v>209</v>
      </c>
      <c r="H192" s="91" t="s">
        <v>209</v>
      </c>
      <c r="I192" s="150" t="s">
        <v>210</v>
      </c>
      <c r="J192" s="129" t="s">
        <v>684</v>
      </c>
      <c r="K192" s="91" t="s">
        <v>12</v>
      </c>
      <c r="L192" s="91" t="s">
        <v>685</v>
      </c>
      <c r="M192" s="151">
        <v>622027.30313041934</v>
      </c>
      <c r="N192" s="151">
        <v>0</v>
      </c>
      <c r="O192" s="131">
        <v>0</v>
      </c>
      <c r="P192" s="131">
        <f t="shared" si="42"/>
        <v>0</v>
      </c>
      <c r="Q192" s="131">
        <v>1119711.457947264</v>
      </c>
      <c r="R192" s="131">
        <v>0</v>
      </c>
      <c r="S192" s="131">
        <f t="shared" si="43"/>
        <v>0</v>
      </c>
      <c r="T192" s="131">
        <f t="shared" si="44"/>
        <v>1119711.457947264</v>
      </c>
      <c r="U192" s="131">
        <v>0</v>
      </c>
      <c r="V192" s="131">
        <v>0</v>
      </c>
      <c r="W192" s="131">
        <v>0</v>
      </c>
      <c r="X192" s="131">
        <v>0</v>
      </c>
      <c r="Y192" s="131">
        <v>0</v>
      </c>
      <c r="Z192" s="131">
        <f t="shared" si="45"/>
        <v>0</v>
      </c>
      <c r="AA192" s="131">
        <v>0</v>
      </c>
      <c r="AB192" s="152">
        <f t="shared" si="46"/>
        <v>1119711.457947264</v>
      </c>
      <c r="AC192" s="133">
        <f>IF(D192="Physician Group Practice",(AB192/$AB$393)*'1. UC Assumptions'!$C$15,IF(E192="Rural Hospital",AB192*'1. UC Assumptions'!$C$7/'1. UC Assumptions'!$E$7,(AB192/$AB$397)*('1. UC Assumptions'!$C$9)))</f>
        <v>1045178.4524484184</v>
      </c>
      <c r="AD192" s="133">
        <f t="shared" si="47"/>
        <v>0</v>
      </c>
      <c r="AE192" s="133">
        <f t="shared" si="48"/>
        <v>74533.005498845596</v>
      </c>
      <c r="AF192" s="133">
        <f t="shared" si="49"/>
        <v>0</v>
      </c>
      <c r="AG192" s="133">
        <f t="shared" si="50"/>
        <v>74533.005498845596</v>
      </c>
      <c r="AH192" s="133">
        <f t="shared" si="51"/>
        <v>1045178.4524484184</v>
      </c>
      <c r="AI192" s="131">
        <f>AH192*'1. UC Assumptions'!$C$23</f>
        <v>344908.88930797804</v>
      </c>
      <c r="AJ192" s="131">
        <v>157541.69</v>
      </c>
      <c r="AK192" s="131">
        <f>AJ192*(1-'1. UC Assumptions'!$C$22)</f>
        <v>51988.757699999995</v>
      </c>
      <c r="AL192" s="131"/>
      <c r="AM192" s="131">
        <f>AL192*'1. UC Assumptions'!$C$23</f>
        <v>0</v>
      </c>
      <c r="AN192" s="153">
        <f t="shared" si="52"/>
        <v>1119711.457947264</v>
      </c>
      <c r="AO192" s="151">
        <f>AN192*'1. UC Assumptions'!$C$23</f>
        <v>369504.78112259705</v>
      </c>
      <c r="AP192" s="151">
        <f t="shared" si="53"/>
        <v>962169.76794726402</v>
      </c>
      <c r="AQ192" s="151">
        <f t="shared" si="54"/>
        <v>317516.02342259703</v>
      </c>
      <c r="AR192" s="151">
        <f t="shared" si="55"/>
        <v>317516.02342259703</v>
      </c>
      <c r="AS192" s="151">
        <f t="shared" si="56"/>
        <v>369504.78112259705</v>
      </c>
      <c r="AT192" s="151">
        <f>IF(K192="Bexar",(AG192/$AT$1)*'1. UC Assumptions'!$E$44-(AH192/$AT$2)*'1. UC Assumptions'!$E$42,0)</f>
        <v>0</v>
      </c>
      <c r="AU192" s="151">
        <f>IF(K192="Dallas",(AG192/$AU$1)*'1. UC Assumptions'!$F$44-(AH192/$AU$2)*'1. UC Assumptions'!$F$42,0)</f>
        <v>0</v>
      </c>
      <c r="AV192" s="151">
        <f>IF(K192="El Paso",(AG192/$AV$1)*'1. UC Assumptions'!$G$44-(AH192/$AV$2)*'1. UC Assumptions'!$G$42,0)</f>
        <v>0</v>
      </c>
      <c r="AW192" s="151">
        <f>IF(K192="Harris",(AG192/$AW$1)*'1. UC Assumptions'!$H$44-(AH192/$AW$2)*'1. UC Assumptions'!$H$42,0)</f>
        <v>0</v>
      </c>
      <c r="AX192" s="151">
        <f>IF(K192="Hidalgo",(AG192/$AX$1)*'1. UC Assumptions'!$I$44-(AH192/$AX$2)*'1. UC Assumptions'!$I$42,0)</f>
        <v>0</v>
      </c>
      <c r="AY192" s="151">
        <f>IF(K192="Jefferson",(AG192/$AY$1)*'1. UC Assumptions'!$J$44-(AH192/$AY$2)*'1. UC Assumptions'!$J$42,0)</f>
        <v>0</v>
      </c>
      <c r="AZ192" s="151">
        <f>IF(K192="Lubbock",(AG192/$AZ$1)*'1. UC Assumptions'!$K$44-(AH192/$AZ$2)*'1. UC Assumptions'!$K$42,0)</f>
        <v>0</v>
      </c>
      <c r="BA192" s="151">
        <f>IF(K192="MRSA Central",(AG192/$BA$1)*'1. UC Assumptions'!$L$44-(AH192/$BA$2)*'1. UC Assumptions'!$L$42,0)</f>
        <v>0</v>
      </c>
      <c r="BB192" s="151">
        <f>IF(K192="MRSA Northeast",(AG192/$BB$1)*'1. UC Assumptions'!$M$44-(AH192/$BB$2)*'1. UC Assumptions'!$M$42,0)</f>
        <v>0</v>
      </c>
      <c r="BC192" s="151">
        <f>IF(K192="MRSA West",(AG192/$BC$1)*'1. UC Assumptions'!$N$44-(AH192/$BC$2)*'1. UC Assumptions'!$N$42,0)</f>
        <v>0</v>
      </c>
      <c r="BD192" s="151">
        <f>IF(K192="Nueces",(AG192/$BD$1)*'1. UC Assumptions'!$O$44-(AH192/$BD$2)*'1. UC Assumptions'!$O$42,0)</f>
        <v>0</v>
      </c>
      <c r="BE192" s="151">
        <f>IF(K192="Tarrant",(AG192/$BE$1)*'1. UC Assumptions'!$P$44-(AH192/$BE$2)*'1. UC Assumptions'!$P$42,0)</f>
        <v>0</v>
      </c>
      <c r="BF192" s="151">
        <f>IF(K192="Travis",(AG192/$BF$1)*'1. UC Assumptions'!$Q$44-(AH192/$BF$2)*'1. UC Assumptions'!$Q$42,0)</f>
        <v>0</v>
      </c>
      <c r="BG192" s="151">
        <f t="shared" si="57"/>
        <v>0</v>
      </c>
      <c r="BH192" s="151">
        <f t="shared" si="58"/>
        <v>1045178.4524484184</v>
      </c>
      <c r="BI192" s="151">
        <f>ROUNDDOWN(BH192*'1. UC Assumptions'!$C$23,2)</f>
        <v>344908.88</v>
      </c>
      <c r="BJ192" s="154">
        <f t="shared" si="59"/>
        <v>887636.76244841842</v>
      </c>
      <c r="BK192" s="154">
        <f t="shared" si="60"/>
        <v>292920.12229999999</v>
      </c>
      <c r="BL192" s="154">
        <f t="shared" si="61"/>
        <v>819484.09</v>
      </c>
      <c r="BM192" s="154">
        <f t="shared" si="62"/>
        <v>270429.74</v>
      </c>
      <c r="BN192" s="101"/>
      <c r="BO192" s="154">
        <f>(BL192*'1. UC Assumptions'!$C$23)-'3.  UC Calculations by Hospital'!BM192</f>
        <v>9.6999999368563294E-3</v>
      </c>
      <c r="BP192" s="13"/>
    </row>
    <row r="193" spans="2:68">
      <c r="B193" s="129" t="s">
        <v>686</v>
      </c>
      <c r="C193" s="91" t="s">
        <v>686</v>
      </c>
      <c r="D193" s="91" t="s">
        <v>214</v>
      </c>
      <c r="E193" s="91" t="s">
        <v>209</v>
      </c>
      <c r="F193" s="91"/>
      <c r="G193" s="91" t="s">
        <v>209</v>
      </c>
      <c r="H193" s="91" t="s">
        <v>209</v>
      </c>
      <c r="I193" s="150" t="s">
        <v>210</v>
      </c>
      <c r="J193" s="129" t="s">
        <v>687</v>
      </c>
      <c r="K193" s="91" t="s">
        <v>14</v>
      </c>
      <c r="L193" s="91" t="s">
        <v>14</v>
      </c>
      <c r="M193" s="151">
        <v>1166368.7589470923</v>
      </c>
      <c r="N193" s="151">
        <v>19694887.588281129</v>
      </c>
      <c r="O193" s="131">
        <v>13963689.438422002</v>
      </c>
      <c r="P193" s="131">
        <f t="shared" si="42"/>
        <v>5731198.1498591267</v>
      </c>
      <c r="Q193" s="131">
        <v>18396343.32085555</v>
      </c>
      <c r="R193" s="131">
        <v>0</v>
      </c>
      <c r="S193" s="131">
        <f t="shared" si="43"/>
        <v>0</v>
      </c>
      <c r="T193" s="131">
        <f t="shared" si="44"/>
        <v>18396343.32085555</v>
      </c>
      <c r="U193" s="131">
        <v>0</v>
      </c>
      <c r="V193" s="131">
        <v>0</v>
      </c>
      <c r="W193" s="131">
        <v>0</v>
      </c>
      <c r="X193" s="131">
        <v>0</v>
      </c>
      <c r="Y193" s="131">
        <v>0</v>
      </c>
      <c r="Z193" s="131">
        <f t="shared" si="45"/>
        <v>0</v>
      </c>
      <c r="AA193" s="131">
        <v>0</v>
      </c>
      <c r="AB193" s="152">
        <f t="shared" si="46"/>
        <v>18396343.32085555</v>
      </c>
      <c r="AC193" s="133">
        <f>IF(D193="Physician Group Practice",(AB193/$AB$393)*'1. UC Assumptions'!$C$15,IF(E193="Rural Hospital",AB193*'1. UC Assumptions'!$C$7/'1. UC Assumptions'!$E$7,(AB193/$AB$397)*('1. UC Assumptions'!$C$9)))</f>
        <v>8648959.9918991588</v>
      </c>
      <c r="AD193" s="133">
        <f t="shared" si="47"/>
        <v>0</v>
      </c>
      <c r="AE193" s="133">
        <f t="shared" si="48"/>
        <v>9747383.3289563917</v>
      </c>
      <c r="AF193" s="133">
        <f t="shared" si="49"/>
        <v>0</v>
      </c>
      <c r="AG193" s="133">
        <f t="shared" si="50"/>
        <v>9747383.3289563917</v>
      </c>
      <c r="AH193" s="133">
        <f t="shared" si="51"/>
        <v>8648959.9918991588</v>
      </c>
      <c r="AI193" s="131">
        <f>AH193*'1. UC Assumptions'!$C$23</f>
        <v>2854156.7973267222</v>
      </c>
      <c r="AJ193" s="131">
        <v>4582055.96</v>
      </c>
      <c r="AK193" s="131">
        <f>AJ193*(1-'1. UC Assumptions'!$C$22)</f>
        <v>1512078.4667999998</v>
      </c>
      <c r="AL193" s="131"/>
      <c r="AM193" s="131">
        <f>AL193*'1. UC Assumptions'!$C$23</f>
        <v>0</v>
      </c>
      <c r="AN193" s="153">
        <f t="shared" si="52"/>
        <v>18396343.32085555</v>
      </c>
      <c r="AO193" s="151">
        <f>AN193*'1. UC Assumptions'!$C$23</f>
        <v>6070793.2958823312</v>
      </c>
      <c r="AP193" s="151">
        <f t="shared" si="53"/>
        <v>13814287.36085555</v>
      </c>
      <c r="AQ193" s="151">
        <f t="shared" si="54"/>
        <v>4558714.8290823316</v>
      </c>
      <c r="AR193" s="151">
        <f t="shared" si="55"/>
        <v>4558714.8290823316</v>
      </c>
      <c r="AS193" s="151">
        <f t="shared" si="56"/>
        <v>6070793.2958823312</v>
      </c>
      <c r="AT193" s="151">
        <f>IF(K193="Bexar",(AG193/$AT$1)*'1. UC Assumptions'!$E$44-(AH193/$AT$2)*'1. UC Assumptions'!$E$42,0)</f>
        <v>0</v>
      </c>
      <c r="AU193" s="151">
        <f>IF(K193="Dallas",(AG193/$AU$1)*'1. UC Assumptions'!$F$44-(AH193/$AU$2)*'1. UC Assumptions'!$F$42,0)</f>
        <v>0</v>
      </c>
      <c r="AV193" s="151">
        <f>IF(K193="El Paso",(AG193/$AV$1)*'1. UC Assumptions'!$G$44-(AH193/$AV$2)*'1. UC Assumptions'!$G$42,0)</f>
        <v>0</v>
      </c>
      <c r="AW193" s="151">
        <f>IF(K193="Harris",(AG193/$AW$1)*'1. UC Assumptions'!$H$44-(AH193/$AW$2)*'1. UC Assumptions'!$H$42,0)</f>
        <v>0</v>
      </c>
      <c r="AX193" s="151">
        <f>IF(K193="Hidalgo",(AG193/$AX$1)*'1. UC Assumptions'!$I$44-(AH193/$AX$2)*'1. UC Assumptions'!$I$42,0)</f>
        <v>0</v>
      </c>
      <c r="AY193" s="151">
        <f>IF(K193="Jefferson",(AG193/$AY$1)*'1. UC Assumptions'!$J$44-(AH193/$AY$2)*'1. UC Assumptions'!$J$42,0)</f>
        <v>0</v>
      </c>
      <c r="AZ193" s="151">
        <f>IF(K193="Lubbock",(AG193/$AZ$1)*'1. UC Assumptions'!$K$44-(AH193/$AZ$2)*'1. UC Assumptions'!$K$42,0)</f>
        <v>0</v>
      </c>
      <c r="BA193" s="151">
        <f>IF(K193="MRSA Central",(AG193/$BA$1)*'1. UC Assumptions'!$L$44-(AH193/$BA$2)*'1. UC Assumptions'!$L$42,0)</f>
        <v>0</v>
      </c>
      <c r="BB193" s="151">
        <f>IF(K193="MRSA Northeast",(AG193/$BB$1)*'1. UC Assumptions'!$M$44-(AH193/$BB$2)*'1. UC Assumptions'!$M$42,0)</f>
        <v>0</v>
      </c>
      <c r="BC193" s="151">
        <f>IF(K193="MRSA West",(AG193/$BC$1)*'1. UC Assumptions'!$N$44-(AH193/$BC$2)*'1. UC Assumptions'!$N$42,0)</f>
        <v>0</v>
      </c>
      <c r="BD193" s="151">
        <f>IF(K193="Nueces",(AG193/$BD$1)*'1. UC Assumptions'!$O$44-(AH193/$BD$2)*'1. UC Assumptions'!$O$42,0)</f>
        <v>0</v>
      </c>
      <c r="BE193" s="151">
        <f>IF(K193="Tarrant",(AG193/$BE$1)*'1. UC Assumptions'!$P$44-(AH193/$BE$2)*'1. UC Assumptions'!$P$42,0)</f>
        <v>0</v>
      </c>
      <c r="BF193" s="151">
        <f>IF(K193="Travis",(AG193/$BF$1)*'1. UC Assumptions'!$Q$44-(AH193/$BF$2)*'1. UC Assumptions'!$Q$42,0)</f>
        <v>0</v>
      </c>
      <c r="BG193" s="151">
        <f t="shared" si="57"/>
        <v>0</v>
      </c>
      <c r="BH193" s="151">
        <f t="shared" si="58"/>
        <v>8648959.9918991588</v>
      </c>
      <c r="BI193" s="151">
        <f>ROUNDDOWN(BH193*'1. UC Assumptions'!$C$23,2)</f>
        <v>2854156.79</v>
      </c>
      <c r="BJ193" s="154">
        <f t="shared" si="59"/>
        <v>4066904.0318991588</v>
      </c>
      <c r="BK193" s="154">
        <f t="shared" si="60"/>
        <v>1342078.3232000002</v>
      </c>
      <c r="BL193" s="154">
        <f t="shared" si="61"/>
        <v>3754647.49</v>
      </c>
      <c r="BM193" s="154">
        <f t="shared" si="62"/>
        <v>1239033.6599999999</v>
      </c>
      <c r="BN193" s="101"/>
      <c r="BO193" s="154">
        <f>(BL193*'1. UC Assumptions'!$C$23)-'3.  UC Calculations by Hospital'!BM193</f>
        <v>1.169999991543591E-2</v>
      </c>
      <c r="BP193" s="13"/>
    </row>
    <row r="194" spans="2:68">
      <c r="B194" s="129" t="s">
        <v>688</v>
      </c>
      <c r="C194" s="91" t="s">
        <v>688</v>
      </c>
      <c r="D194" s="91" t="s">
        <v>214</v>
      </c>
      <c r="E194" s="91" t="s">
        <v>149</v>
      </c>
      <c r="F194" s="91"/>
      <c r="G194" s="91" t="s">
        <v>209</v>
      </c>
      <c r="H194" s="91" t="s">
        <v>209</v>
      </c>
      <c r="I194" s="150" t="s">
        <v>210</v>
      </c>
      <c r="J194" s="129" t="s">
        <v>689</v>
      </c>
      <c r="K194" s="91" t="s">
        <v>15</v>
      </c>
      <c r="L194" s="91" t="s">
        <v>242</v>
      </c>
      <c r="M194" s="151">
        <v>669619.85011535359</v>
      </c>
      <c r="N194" s="151">
        <v>0</v>
      </c>
      <c r="O194" s="131">
        <v>0</v>
      </c>
      <c r="P194" s="131">
        <f t="shared" si="42"/>
        <v>0</v>
      </c>
      <c r="Q194" s="131">
        <v>3136592.1449516583</v>
      </c>
      <c r="R194" s="131">
        <v>0</v>
      </c>
      <c r="S194" s="131">
        <f t="shared" si="43"/>
        <v>0</v>
      </c>
      <c r="T194" s="131">
        <f t="shared" si="44"/>
        <v>3136592.1449516583</v>
      </c>
      <c r="U194" s="131">
        <v>524509</v>
      </c>
      <c r="V194" s="131">
        <v>0</v>
      </c>
      <c r="W194" s="131">
        <v>0</v>
      </c>
      <c r="X194" s="131">
        <v>0</v>
      </c>
      <c r="Y194" s="131">
        <v>0</v>
      </c>
      <c r="Z194" s="131">
        <f t="shared" si="45"/>
        <v>524509</v>
      </c>
      <c r="AA194" s="131">
        <v>0</v>
      </c>
      <c r="AB194" s="152">
        <f t="shared" si="46"/>
        <v>3661101.1449516583</v>
      </c>
      <c r="AC194" s="133">
        <f>IF(D194="Physician Group Practice",(AB194/$AB$393)*'1. UC Assumptions'!$C$15,IF(E194="Rural Hospital",AB194*'1. UC Assumptions'!$C$7/'1. UC Assumptions'!$E$7,(AB194/$AB$397)*('1. UC Assumptions'!$C$9)))</f>
        <v>3417401.8688285379</v>
      </c>
      <c r="AD194" s="133">
        <f t="shared" si="47"/>
        <v>0</v>
      </c>
      <c r="AE194" s="133">
        <f t="shared" si="48"/>
        <v>243699.27612312045</v>
      </c>
      <c r="AF194" s="133">
        <f t="shared" si="49"/>
        <v>0</v>
      </c>
      <c r="AG194" s="133">
        <f t="shared" si="50"/>
        <v>243699.27612312045</v>
      </c>
      <c r="AH194" s="133">
        <f t="shared" si="51"/>
        <v>3417401.8688285379</v>
      </c>
      <c r="AI194" s="131">
        <f>AH194*'1. UC Assumptions'!$C$23</f>
        <v>1127742.6167134175</v>
      </c>
      <c r="AJ194" s="131">
        <v>1277258.03</v>
      </c>
      <c r="AK194" s="131">
        <f>AJ194*(1-'1. UC Assumptions'!$C$22)</f>
        <v>421495.14989999996</v>
      </c>
      <c r="AL194" s="131"/>
      <c r="AM194" s="131">
        <f>AL194*'1. UC Assumptions'!$C$23</f>
        <v>0</v>
      </c>
      <c r="AN194" s="153">
        <f t="shared" si="52"/>
        <v>3661101.1449516583</v>
      </c>
      <c r="AO194" s="151">
        <f>AN194*'1. UC Assumptions'!$C$23</f>
        <v>1208163.3778340472</v>
      </c>
      <c r="AP194" s="151">
        <f t="shared" si="53"/>
        <v>2383843.1149516581</v>
      </c>
      <c r="AQ194" s="151">
        <f t="shared" si="54"/>
        <v>786668.22793404723</v>
      </c>
      <c r="AR194" s="151">
        <f t="shared" si="55"/>
        <v>786668.22793404723</v>
      </c>
      <c r="AS194" s="151">
        <f t="shared" si="56"/>
        <v>1208163.3778340472</v>
      </c>
      <c r="AT194" s="151">
        <f>IF(K194="Bexar",(AG194/$AT$1)*'1. UC Assumptions'!$E$44-(AH194/$AT$2)*'1. UC Assumptions'!$E$42,0)</f>
        <v>0</v>
      </c>
      <c r="AU194" s="151">
        <f>IF(K194="Dallas",(AG194/$AU$1)*'1. UC Assumptions'!$F$44-(AH194/$AU$2)*'1. UC Assumptions'!$F$42,0)</f>
        <v>0</v>
      </c>
      <c r="AV194" s="151">
        <f>IF(K194="El Paso",(AG194/$AV$1)*'1. UC Assumptions'!$G$44-(AH194/$AV$2)*'1. UC Assumptions'!$G$42,0)</f>
        <v>0</v>
      </c>
      <c r="AW194" s="151">
        <f>IF(K194="Harris",(AG194/$AW$1)*'1. UC Assumptions'!$H$44-(AH194/$AW$2)*'1. UC Assumptions'!$H$42,0)</f>
        <v>0</v>
      </c>
      <c r="AX194" s="151">
        <f>IF(K194="Hidalgo",(AG194/$AX$1)*'1. UC Assumptions'!$I$44-(AH194/$AX$2)*'1. UC Assumptions'!$I$42,0)</f>
        <v>0</v>
      </c>
      <c r="AY194" s="151">
        <f>IF(K194="Jefferson",(AG194/$AY$1)*'1. UC Assumptions'!$J$44-(AH194/$AY$2)*'1. UC Assumptions'!$J$42,0)</f>
        <v>0</v>
      </c>
      <c r="AZ194" s="151">
        <f>IF(K194="Lubbock",(AG194/$AZ$1)*'1. UC Assumptions'!$K$44-(AH194/$AZ$2)*'1. UC Assumptions'!$K$42,0)</f>
        <v>0</v>
      </c>
      <c r="BA194" s="151">
        <f>IF(K194="MRSA Central",(AG194/$BA$1)*'1. UC Assumptions'!$L$44-(AH194/$BA$2)*'1. UC Assumptions'!$L$42,0)</f>
        <v>0</v>
      </c>
      <c r="BB194" s="151">
        <f>IF(K194="MRSA Northeast",(AG194/$BB$1)*'1. UC Assumptions'!$M$44-(AH194/$BB$2)*'1. UC Assumptions'!$M$42,0)</f>
        <v>0</v>
      </c>
      <c r="BC194" s="151">
        <f>IF(K194="MRSA West",(AG194/$BC$1)*'1. UC Assumptions'!$N$44-(AH194/$BC$2)*'1. UC Assumptions'!$N$42,0)</f>
        <v>0</v>
      </c>
      <c r="BD194" s="151">
        <f>IF(K194="Nueces",(AG194/$BD$1)*'1. UC Assumptions'!$O$44-(AH194/$BD$2)*'1. UC Assumptions'!$O$42,0)</f>
        <v>0</v>
      </c>
      <c r="BE194" s="151">
        <f>IF(K194="Tarrant",(AG194/$BE$1)*'1. UC Assumptions'!$P$44-(AH194/$BE$2)*'1. UC Assumptions'!$P$42,0)</f>
        <v>0</v>
      </c>
      <c r="BF194" s="151">
        <f>IF(K194="Travis",(AG194/$BF$1)*'1. UC Assumptions'!$Q$44-(AH194/$BF$2)*'1. UC Assumptions'!$Q$42,0)</f>
        <v>0</v>
      </c>
      <c r="BG194" s="151">
        <f t="shared" si="57"/>
        <v>0</v>
      </c>
      <c r="BH194" s="151">
        <f t="shared" si="58"/>
        <v>3417401.8688285379</v>
      </c>
      <c r="BI194" s="151">
        <f>ROUNDDOWN(BH194*'1. UC Assumptions'!$C$23,2)</f>
        <v>1127742.6100000001</v>
      </c>
      <c r="BJ194" s="154">
        <f t="shared" si="59"/>
        <v>2140143.8388285376</v>
      </c>
      <c r="BK194" s="154">
        <f t="shared" si="60"/>
        <v>706247.46010000014</v>
      </c>
      <c r="BL194" s="154">
        <f t="shared" si="61"/>
        <v>1975823.78</v>
      </c>
      <c r="BM194" s="154">
        <f t="shared" si="62"/>
        <v>652021.84</v>
      </c>
      <c r="BN194" s="101"/>
      <c r="BO194" s="154">
        <f>(BL194*'1. UC Assumptions'!$C$23)-'3.  UC Calculations by Hospital'!BM194</f>
        <v>7.4000000022351742E-3</v>
      </c>
      <c r="BP194" s="13"/>
    </row>
    <row r="195" spans="2:68">
      <c r="B195" s="129" t="s">
        <v>690</v>
      </c>
      <c r="C195" s="91" t="s">
        <v>690</v>
      </c>
      <c r="D195" s="91" t="s">
        <v>208</v>
      </c>
      <c r="E195" s="91" t="s">
        <v>149</v>
      </c>
      <c r="F195" s="91"/>
      <c r="G195" s="91" t="s">
        <v>209</v>
      </c>
      <c r="H195" s="91" t="s">
        <v>209</v>
      </c>
      <c r="I195" s="150" t="s">
        <v>210</v>
      </c>
      <c r="J195" s="129" t="s">
        <v>691</v>
      </c>
      <c r="K195" s="91" t="s">
        <v>12</v>
      </c>
      <c r="L195" s="91" t="s">
        <v>692</v>
      </c>
      <c r="M195" s="151">
        <v>954881.14950860816</v>
      </c>
      <c r="N195" s="151">
        <v>3106031.9579367545</v>
      </c>
      <c r="O195" s="131">
        <v>1376427.1354107903</v>
      </c>
      <c r="P195" s="131">
        <f t="shared" si="42"/>
        <v>1729604.8225259641</v>
      </c>
      <c r="Q195" s="131">
        <v>1733145.1838288896</v>
      </c>
      <c r="R195" s="131">
        <v>1758333.53</v>
      </c>
      <c r="S195" s="131">
        <f t="shared" si="43"/>
        <v>0</v>
      </c>
      <c r="T195" s="131">
        <f t="shared" si="44"/>
        <v>1733145.1838288896</v>
      </c>
      <c r="U195" s="131">
        <v>23683</v>
      </c>
      <c r="V195" s="131">
        <v>0</v>
      </c>
      <c r="W195" s="131">
        <v>0</v>
      </c>
      <c r="X195" s="131">
        <v>0</v>
      </c>
      <c r="Y195" s="131">
        <v>0</v>
      </c>
      <c r="Z195" s="131">
        <f t="shared" si="45"/>
        <v>23683</v>
      </c>
      <c r="AA195" s="131">
        <v>0</v>
      </c>
      <c r="AB195" s="152">
        <f t="shared" si="46"/>
        <v>1756828.1838288896</v>
      </c>
      <c r="AC195" s="133">
        <f>IF(D195="Physician Group Practice",(AB195/$AB$393)*'1. UC Assumptions'!$C$15,IF(E195="Rural Hospital",AB195*'1. UC Assumptions'!$C$7/'1. UC Assumptions'!$E$7,(AB195/$AB$397)*('1. UC Assumptions'!$C$9)))</f>
        <v>1639885.837873176</v>
      </c>
      <c r="AD195" s="133">
        <f t="shared" si="47"/>
        <v>0</v>
      </c>
      <c r="AE195" s="133">
        <f t="shared" si="48"/>
        <v>116942.34595571365</v>
      </c>
      <c r="AF195" s="133">
        <f t="shared" si="49"/>
        <v>0</v>
      </c>
      <c r="AG195" s="133">
        <f t="shared" si="50"/>
        <v>116942.34595571365</v>
      </c>
      <c r="AH195" s="133">
        <f t="shared" si="51"/>
        <v>1639885.837873176</v>
      </c>
      <c r="AI195" s="131">
        <f>AH195*'1. UC Assumptions'!$C$23</f>
        <v>541162.32649814803</v>
      </c>
      <c r="AJ195" s="131">
        <v>1196901.79</v>
      </c>
      <c r="AK195" s="131">
        <f>AJ195*(1-'1. UC Assumptions'!$C$22)</f>
        <v>394977.59069999994</v>
      </c>
      <c r="AL195" s="131"/>
      <c r="AM195" s="131">
        <f>AL195*'1. UC Assumptions'!$C$23</f>
        <v>0</v>
      </c>
      <c r="AN195" s="153">
        <f t="shared" si="52"/>
        <v>1756828.1838288896</v>
      </c>
      <c r="AO195" s="151">
        <f>AN195*'1. UC Assumptions'!$C$23</f>
        <v>579753.3006635335</v>
      </c>
      <c r="AP195" s="151">
        <f t="shared" si="53"/>
        <v>559926.39382888959</v>
      </c>
      <c r="AQ195" s="151">
        <f t="shared" si="54"/>
        <v>184775.70996353356</v>
      </c>
      <c r="AR195" s="151">
        <f t="shared" si="55"/>
        <v>184775.70996353356</v>
      </c>
      <c r="AS195" s="151">
        <f t="shared" si="56"/>
        <v>579753.3006635335</v>
      </c>
      <c r="AT195" s="151">
        <f>IF(K195="Bexar",(AG195/$AT$1)*'1. UC Assumptions'!$E$44-(AH195/$AT$2)*'1. UC Assumptions'!$E$42,0)</f>
        <v>0</v>
      </c>
      <c r="AU195" s="151">
        <f>IF(K195="Dallas",(AG195/$AU$1)*'1. UC Assumptions'!$F$44-(AH195/$AU$2)*'1. UC Assumptions'!$F$42,0)</f>
        <v>0</v>
      </c>
      <c r="AV195" s="151">
        <f>IF(K195="El Paso",(AG195/$AV$1)*'1. UC Assumptions'!$G$44-(AH195/$AV$2)*'1. UC Assumptions'!$G$42,0)</f>
        <v>0</v>
      </c>
      <c r="AW195" s="151">
        <f>IF(K195="Harris",(AG195/$AW$1)*'1. UC Assumptions'!$H$44-(AH195/$AW$2)*'1. UC Assumptions'!$H$42,0)</f>
        <v>0</v>
      </c>
      <c r="AX195" s="151">
        <f>IF(K195="Hidalgo",(AG195/$AX$1)*'1. UC Assumptions'!$I$44-(AH195/$AX$2)*'1. UC Assumptions'!$I$42,0)</f>
        <v>0</v>
      </c>
      <c r="AY195" s="151">
        <f>IF(K195="Jefferson",(AG195/$AY$1)*'1. UC Assumptions'!$J$44-(AH195/$AY$2)*'1. UC Assumptions'!$J$42,0)</f>
        <v>0</v>
      </c>
      <c r="AZ195" s="151">
        <f>IF(K195="Lubbock",(AG195/$AZ$1)*'1. UC Assumptions'!$K$44-(AH195/$AZ$2)*'1. UC Assumptions'!$K$42,0)</f>
        <v>0</v>
      </c>
      <c r="BA195" s="151">
        <f>IF(K195="MRSA Central",(AG195/$BA$1)*'1. UC Assumptions'!$L$44-(AH195/$BA$2)*'1. UC Assumptions'!$L$42,0)</f>
        <v>0</v>
      </c>
      <c r="BB195" s="151">
        <f>IF(K195="MRSA Northeast",(AG195/$BB$1)*'1. UC Assumptions'!$M$44-(AH195/$BB$2)*'1. UC Assumptions'!$M$42,0)</f>
        <v>0</v>
      </c>
      <c r="BC195" s="151">
        <f>IF(K195="MRSA West",(AG195/$BC$1)*'1. UC Assumptions'!$N$44-(AH195/$BC$2)*'1. UC Assumptions'!$N$42,0)</f>
        <v>0</v>
      </c>
      <c r="BD195" s="151">
        <f>IF(K195="Nueces",(AG195/$BD$1)*'1. UC Assumptions'!$O$44-(AH195/$BD$2)*'1. UC Assumptions'!$O$42,0)</f>
        <v>0</v>
      </c>
      <c r="BE195" s="151">
        <f>IF(K195="Tarrant",(AG195/$BE$1)*'1. UC Assumptions'!$P$44-(AH195/$BE$2)*'1. UC Assumptions'!$P$42,0)</f>
        <v>0</v>
      </c>
      <c r="BF195" s="151">
        <f>IF(K195="Travis",(AG195/$BF$1)*'1. UC Assumptions'!$Q$44-(AH195/$BF$2)*'1. UC Assumptions'!$Q$42,0)</f>
        <v>0</v>
      </c>
      <c r="BG195" s="151">
        <f t="shared" si="57"/>
        <v>0</v>
      </c>
      <c r="BH195" s="151">
        <f t="shared" si="58"/>
        <v>1639885.837873176</v>
      </c>
      <c r="BI195" s="151">
        <f>ROUNDDOWN(BH195*'1. UC Assumptions'!$C$23,2)</f>
        <v>541162.31999999995</v>
      </c>
      <c r="BJ195" s="154">
        <f t="shared" si="59"/>
        <v>442984.04787317594</v>
      </c>
      <c r="BK195" s="154">
        <f t="shared" si="60"/>
        <v>146184.72930000001</v>
      </c>
      <c r="BL195" s="154">
        <f t="shared" si="61"/>
        <v>408971.77</v>
      </c>
      <c r="BM195" s="154">
        <f t="shared" si="62"/>
        <v>134960.68</v>
      </c>
      <c r="BN195" s="101"/>
      <c r="BO195" s="154">
        <f>(BL195*'1. UC Assumptions'!$C$23)-'3.  UC Calculations by Hospital'!BM195</f>
        <v>4.0999999910127372E-3</v>
      </c>
      <c r="BP195" s="13"/>
    </row>
    <row r="196" spans="2:68">
      <c r="B196" s="129" t="s">
        <v>693</v>
      </c>
      <c r="C196" s="91" t="s">
        <v>693</v>
      </c>
      <c r="D196" s="91" t="s">
        <v>208</v>
      </c>
      <c r="E196" s="91" t="s">
        <v>149</v>
      </c>
      <c r="F196" s="91"/>
      <c r="G196" s="91" t="s">
        <v>209</v>
      </c>
      <c r="H196" s="91" t="s">
        <v>209</v>
      </c>
      <c r="I196" s="150" t="s">
        <v>210</v>
      </c>
      <c r="J196" s="129" t="s">
        <v>694</v>
      </c>
      <c r="K196" s="91" t="s">
        <v>12</v>
      </c>
      <c r="L196" s="91" t="s">
        <v>695</v>
      </c>
      <c r="M196" s="151">
        <v>363778.47774589446</v>
      </c>
      <c r="N196" s="151">
        <v>0</v>
      </c>
      <c r="O196" s="131">
        <v>0</v>
      </c>
      <c r="P196" s="131">
        <f t="shared" ref="P196:P259" si="63">IF(N196-O196&gt;0,N196-O196,0)</f>
        <v>0</v>
      </c>
      <c r="Q196" s="131">
        <v>2755329.7931871489</v>
      </c>
      <c r="R196" s="131">
        <v>0</v>
      </c>
      <c r="S196" s="131">
        <f t="shared" ref="S196:S259" si="64">IF(R196&gt;0,IF(M196+P196&lt;R196,(IF((R196-M196-P196)&gt;R196,R196,R196-M196-P196)),0),0)</f>
        <v>0</v>
      </c>
      <c r="T196" s="131">
        <f t="shared" ref="T196:T259" si="65">IF(Q196-S196&gt;0,Q196-S196,0)</f>
        <v>2755329.7931871489</v>
      </c>
      <c r="U196" s="131">
        <v>136525</v>
      </c>
      <c r="V196" s="131">
        <v>0</v>
      </c>
      <c r="W196" s="131">
        <v>0</v>
      </c>
      <c r="X196" s="131">
        <v>0</v>
      </c>
      <c r="Y196" s="131">
        <v>0</v>
      </c>
      <c r="Z196" s="131">
        <f t="shared" ref="Z196:Z259" si="66">SUM(U196:Y196)</f>
        <v>136525</v>
      </c>
      <c r="AA196" s="131">
        <v>0</v>
      </c>
      <c r="AB196" s="152">
        <f t="shared" ref="AB196:AB259" si="67">IF(I196="Yes",Z196-Y196,T196+Z196+AA196)</f>
        <v>2891854.7931871489</v>
      </c>
      <c r="AC196" s="133">
        <f>IF(D196="Physician Group Practice",(AB196/$AB$393)*'1. UC Assumptions'!$C$15,IF(E196="Rural Hospital",AB196*'1. UC Assumptions'!$C$7/'1. UC Assumptions'!$E$7,(AB196/$AB$397)*('1. UC Assumptions'!$C$9)))</f>
        <v>2699359.9967173319</v>
      </c>
      <c r="AD196" s="133">
        <f t="shared" ref="AD196:AD259" si="68">IF((AC196)&gt;AB196-AA196,(AC196)-(AB196-AA196),0)</f>
        <v>0</v>
      </c>
      <c r="AE196" s="133">
        <f t="shared" ref="AE196:AE259" si="69">IF(AD196&gt;0,0,AB196-AA196-AC196)</f>
        <v>192494.79646981694</v>
      </c>
      <c r="AF196" s="133">
        <f t="shared" ref="AF196:AF259" si="70">(AE196/$AE$390)*$AD$390</f>
        <v>0</v>
      </c>
      <c r="AG196" s="133">
        <f t="shared" ref="AG196:AG259" si="71">AE196-AF196</f>
        <v>192494.79646981694</v>
      </c>
      <c r="AH196" s="133">
        <f t="shared" ref="AH196:AH259" si="72">AC196-AD196+AF196</f>
        <v>2699359.9967173319</v>
      </c>
      <c r="AI196" s="131">
        <f>AH196*'1. UC Assumptions'!$C$23</f>
        <v>890788.79891671939</v>
      </c>
      <c r="AJ196" s="131">
        <v>578246.44999999995</v>
      </c>
      <c r="AK196" s="131">
        <f>AJ196*(1-'1. UC Assumptions'!$C$22)</f>
        <v>190821.32849999997</v>
      </c>
      <c r="AL196" s="131"/>
      <c r="AM196" s="131">
        <f>AL196*'1. UC Assumptions'!$C$23</f>
        <v>0</v>
      </c>
      <c r="AN196" s="153">
        <f t="shared" ref="AN196:AN259" si="73">AB196-AA196</f>
        <v>2891854.7931871489</v>
      </c>
      <c r="AO196" s="151">
        <f>AN196*'1. UC Assumptions'!$C$23</f>
        <v>954312.08175175905</v>
      </c>
      <c r="AP196" s="151">
        <f t="shared" ref="AP196:AP259" si="74">IF(I196="Yes",AN196-AL196,AN196-AJ196)</f>
        <v>2313608.3431871487</v>
      </c>
      <c r="AQ196" s="151">
        <f t="shared" ref="AQ196:AQ259" si="75">IF(I196="Yes",AO196-AM196,AO196-AK196)</f>
        <v>763490.7532517591</v>
      </c>
      <c r="AR196" s="151">
        <f t="shared" ref="AR196:AR259" si="76">AQ196</f>
        <v>763490.7532517591</v>
      </c>
      <c r="AS196" s="151">
        <f t="shared" ref="AS196:AS259" si="77">IF(I196="Yes",AR196+AM196,AR196+AK196)</f>
        <v>954312.08175175905</v>
      </c>
      <c r="AT196" s="151">
        <f>IF(K196="Bexar",(AG196/$AT$1)*'1. UC Assumptions'!$E$44-(AH196/$AT$2)*'1. UC Assumptions'!$E$42,0)</f>
        <v>0</v>
      </c>
      <c r="AU196" s="151">
        <f>IF(K196="Dallas",(AG196/$AU$1)*'1. UC Assumptions'!$F$44-(AH196/$AU$2)*'1. UC Assumptions'!$F$42,0)</f>
        <v>0</v>
      </c>
      <c r="AV196" s="151">
        <f>IF(K196="El Paso",(AG196/$AV$1)*'1. UC Assumptions'!$G$44-(AH196/$AV$2)*'1. UC Assumptions'!$G$42,0)</f>
        <v>0</v>
      </c>
      <c r="AW196" s="151">
        <f>IF(K196="Harris",(AG196/$AW$1)*'1. UC Assumptions'!$H$44-(AH196/$AW$2)*'1. UC Assumptions'!$H$42,0)</f>
        <v>0</v>
      </c>
      <c r="AX196" s="151">
        <f>IF(K196="Hidalgo",(AG196/$AX$1)*'1. UC Assumptions'!$I$44-(AH196/$AX$2)*'1. UC Assumptions'!$I$42,0)</f>
        <v>0</v>
      </c>
      <c r="AY196" s="151">
        <f>IF(K196="Jefferson",(AG196/$AY$1)*'1. UC Assumptions'!$J$44-(AH196/$AY$2)*'1. UC Assumptions'!$J$42,0)</f>
        <v>0</v>
      </c>
      <c r="AZ196" s="151">
        <f>IF(K196="Lubbock",(AG196/$AZ$1)*'1. UC Assumptions'!$K$44-(AH196/$AZ$2)*'1. UC Assumptions'!$K$42,0)</f>
        <v>0</v>
      </c>
      <c r="BA196" s="151">
        <f>IF(K196="MRSA Central",(AG196/$BA$1)*'1. UC Assumptions'!$L$44-(AH196/$BA$2)*'1. UC Assumptions'!$L$42,0)</f>
        <v>0</v>
      </c>
      <c r="BB196" s="151">
        <f>IF(K196="MRSA Northeast",(AG196/$BB$1)*'1. UC Assumptions'!$M$44-(AH196/$BB$2)*'1. UC Assumptions'!$M$42,0)</f>
        <v>0</v>
      </c>
      <c r="BC196" s="151">
        <f>IF(K196="MRSA West",(AG196/$BC$1)*'1. UC Assumptions'!$N$44-(AH196/$BC$2)*'1. UC Assumptions'!$N$42,0)</f>
        <v>0</v>
      </c>
      <c r="BD196" s="151">
        <f>IF(K196="Nueces",(AG196/$BD$1)*'1. UC Assumptions'!$O$44-(AH196/$BD$2)*'1. UC Assumptions'!$O$42,0)</f>
        <v>0</v>
      </c>
      <c r="BE196" s="151">
        <f>IF(K196="Tarrant",(AG196/$BE$1)*'1. UC Assumptions'!$P$44-(AH196/$BE$2)*'1. UC Assumptions'!$P$42,0)</f>
        <v>0</v>
      </c>
      <c r="BF196" s="151">
        <f>IF(K196="Travis",(AG196/$BF$1)*'1. UC Assumptions'!$Q$44-(AH196/$BF$2)*'1. UC Assumptions'!$Q$42,0)</f>
        <v>0</v>
      </c>
      <c r="BG196" s="151">
        <f t="shared" ref="BG196:BG259" si="78">SUM(AT196:BF196)</f>
        <v>0</v>
      </c>
      <c r="BH196" s="151">
        <f t="shared" ref="BH196:BH259" si="79">AH196+BG196</f>
        <v>2699359.9967173319</v>
      </c>
      <c r="BI196" s="151">
        <f>ROUNDDOWN(BH196*'1. UC Assumptions'!$C$23,2)</f>
        <v>890788.79</v>
      </c>
      <c r="BJ196" s="154">
        <f t="shared" ref="BJ196:BJ259" si="80">IF(I196="Yes",BH196-AL196,BH196-AJ196)</f>
        <v>2121113.5467173317</v>
      </c>
      <c r="BK196" s="154">
        <f t="shared" ref="BK196:BK259" si="81">IF(I196="Yes",BI196-AM196,BI196-AK196)</f>
        <v>699967.46150000009</v>
      </c>
      <c r="BL196" s="154">
        <f t="shared" ref="BL196:BL259" si="82">ROUND(IF(BJ196&gt;0,(BJ196/$BJ$393)*$BJ$398,0),2)</f>
        <v>1958254.63</v>
      </c>
      <c r="BM196" s="154">
        <f t="shared" ref="BM196:BM259" si="83">ROUND(IF(BK196&gt;0,(BK196/$BK$393)*$BK$398,0),2)</f>
        <v>646224.02</v>
      </c>
      <c r="BN196" s="101"/>
      <c r="BO196" s="154">
        <f>(BL196*'1. UC Assumptions'!$C$23)-'3.  UC Calculations by Hospital'!BM196</f>
        <v>7.8999998513609171E-3</v>
      </c>
      <c r="BP196" s="13"/>
    </row>
    <row r="197" spans="2:68">
      <c r="B197" s="129" t="s">
        <v>696</v>
      </c>
      <c r="C197" s="91" t="s">
        <v>696</v>
      </c>
      <c r="D197" s="91" t="s">
        <v>208</v>
      </c>
      <c r="E197" s="91" t="s">
        <v>149</v>
      </c>
      <c r="F197" s="91"/>
      <c r="G197" s="91" t="s">
        <v>209</v>
      </c>
      <c r="H197" s="91" t="s">
        <v>209</v>
      </c>
      <c r="I197" s="150" t="s">
        <v>210</v>
      </c>
      <c r="J197" s="129" t="s">
        <v>697</v>
      </c>
      <c r="K197" s="91" t="s">
        <v>7</v>
      </c>
      <c r="L197" s="91" t="s">
        <v>698</v>
      </c>
      <c r="M197" s="151">
        <v>2409314.5696736267</v>
      </c>
      <c r="N197" s="151">
        <v>2987888.3160269298</v>
      </c>
      <c r="O197" s="131">
        <v>249548.5606587904</v>
      </c>
      <c r="P197" s="131">
        <f t="shared" si="63"/>
        <v>2738339.7553681396</v>
      </c>
      <c r="Q197" s="131">
        <v>1753857.8074622976</v>
      </c>
      <c r="R197" s="131">
        <v>1843520.25</v>
      </c>
      <c r="S197" s="131">
        <f t="shared" si="64"/>
        <v>0</v>
      </c>
      <c r="T197" s="131">
        <f t="shared" si="65"/>
        <v>1753857.8074622976</v>
      </c>
      <c r="U197" s="131">
        <v>0</v>
      </c>
      <c r="V197" s="131">
        <v>0</v>
      </c>
      <c r="W197" s="131">
        <v>0</v>
      </c>
      <c r="X197" s="131">
        <v>0</v>
      </c>
      <c r="Y197" s="131">
        <v>0</v>
      </c>
      <c r="Z197" s="131">
        <f t="shared" si="66"/>
        <v>0</v>
      </c>
      <c r="AA197" s="131">
        <v>0</v>
      </c>
      <c r="AB197" s="152">
        <f t="shared" si="67"/>
        <v>1753857.8074622976</v>
      </c>
      <c r="AC197" s="133">
        <f>IF(D197="Physician Group Practice",(AB197/$AB$393)*'1. UC Assumptions'!$C$15,IF(E197="Rural Hospital",AB197*'1. UC Assumptions'!$C$7/'1. UC Assumptions'!$E$7,(AB197/$AB$397)*('1. UC Assumptions'!$C$9)))</f>
        <v>1637113.183050374</v>
      </c>
      <c r="AD197" s="133">
        <f t="shared" si="68"/>
        <v>0</v>
      </c>
      <c r="AE197" s="133">
        <f t="shared" si="69"/>
        <v>116744.62441192358</v>
      </c>
      <c r="AF197" s="133">
        <f t="shared" si="70"/>
        <v>0</v>
      </c>
      <c r="AG197" s="133">
        <f t="shared" si="71"/>
        <v>116744.62441192358</v>
      </c>
      <c r="AH197" s="133">
        <f t="shared" si="72"/>
        <v>1637113.183050374</v>
      </c>
      <c r="AI197" s="131">
        <f>AH197*'1. UC Assumptions'!$C$23</f>
        <v>540247.35040662333</v>
      </c>
      <c r="AJ197" s="131">
        <v>420404.23</v>
      </c>
      <c r="AK197" s="131">
        <f>AJ197*(1-'1. UC Assumptions'!$C$22)</f>
        <v>138733.39589999997</v>
      </c>
      <c r="AL197" s="131"/>
      <c r="AM197" s="131">
        <f>AL197*'1. UC Assumptions'!$C$23</f>
        <v>0</v>
      </c>
      <c r="AN197" s="153">
        <f t="shared" si="73"/>
        <v>1753857.8074622976</v>
      </c>
      <c r="AO197" s="151">
        <f>AN197*'1. UC Assumptions'!$C$23</f>
        <v>578773.07646255812</v>
      </c>
      <c r="AP197" s="151">
        <f t="shared" si="74"/>
        <v>1333453.5774622976</v>
      </c>
      <c r="AQ197" s="151">
        <f t="shared" si="75"/>
        <v>440039.68056255812</v>
      </c>
      <c r="AR197" s="151">
        <f t="shared" si="76"/>
        <v>440039.68056255812</v>
      </c>
      <c r="AS197" s="151">
        <f t="shared" si="77"/>
        <v>578773.07646255812</v>
      </c>
      <c r="AT197" s="151">
        <f>IF(K197="Bexar",(AG197/$AT$1)*'1. UC Assumptions'!$E$44-(AH197/$AT$2)*'1. UC Assumptions'!$E$42,0)</f>
        <v>0</v>
      </c>
      <c r="AU197" s="151">
        <f>IF(K197="Dallas",(AG197/$AU$1)*'1. UC Assumptions'!$F$44-(AH197/$AU$2)*'1. UC Assumptions'!$F$42,0)</f>
        <v>0</v>
      </c>
      <c r="AV197" s="151">
        <f>IF(K197="El Paso",(AG197/$AV$1)*'1. UC Assumptions'!$G$44-(AH197/$AV$2)*'1. UC Assumptions'!$G$42,0)</f>
        <v>0</v>
      </c>
      <c r="AW197" s="151">
        <f>IF(K197="Harris",(AG197/$AW$1)*'1. UC Assumptions'!$H$44-(AH197/$AW$2)*'1. UC Assumptions'!$H$42,0)</f>
        <v>0</v>
      </c>
      <c r="AX197" s="151">
        <f>IF(K197="Hidalgo",(AG197/$AX$1)*'1. UC Assumptions'!$I$44-(AH197/$AX$2)*'1. UC Assumptions'!$I$42,0)</f>
        <v>0</v>
      </c>
      <c r="AY197" s="151">
        <f>IF(K197="Jefferson",(AG197/$AY$1)*'1. UC Assumptions'!$J$44-(AH197/$AY$2)*'1. UC Assumptions'!$J$42,0)</f>
        <v>0</v>
      </c>
      <c r="AZ197" s="151">
        <f>IF(K197="Lubbock",(AG197/$AZ$1)*'1. UC Assumptions'!$K$44-(AH197/$AZ$2)*'1. UC Assumptions'!$K$42,0)</f>
        <v>0</v>
      </c>
      <c r="BA197" s="151">
        <f>IF(K197="MRSA Central",(AG197/$BA$1)*'1. UC Assumptions'!$L$44-(AH197/$BA$2)*'1. UC Assumptions'!$L$42,0)</f>
        <v>0</v>
      </c>
      <c r="BB197" s="151">
        <f>IF(K197="MRSA Northeast",(AG197/$BB$1)*'1. UC Assumptions'!$M$44-(AH197/$BB$2)*'1. UC Assumptions'!$M$42,0)</f>
        <v>0</v>
      </c>
      <c r="BC197" s="151">
        <f>IF(K197="MRSA West",(AG197/$BC$1)*'1. UC Assumptions'!$N$44-(AH197/$BC$2)*'1. UC Assumptions'!$N$42,0)</f>
        <v>0</v>
      </c>
      <c r="BD197" s="151">
        <f>IF(K197="Nueces",(AG197/$BD$1)*'1. UC Assumptions'!$O$44-(AH197/$BD$2)*'1. UC Assumptions'!$O$42,0)</f>
        <v>0</v>
      </c>
      <c r="BE197" s="151">
        <f>IF(K197="Tarrant",(AG197/$BE$1)*'1. UC Assumptions'!$P$44-(AH197/$BE$2)*'1. UC Assumptions'!$P$42,0)</f>
        <v>0</v>
      </c>
      <c r="BF197" s="151">
        <f>IF(K197="Travis",(AG197/$BF$1)*'1. UC Assumptions'!$Q$44-(AH197/$BF$2)*'1. UC Assumptions'!$Q$42,0)</f>
        <v>0</v>
      </c>
      <c r="BG197" s="151">
        <f t="shared" si="78"/>
        <v>0</v>
      </c>
      <c r="BH197" s="151">
        <f t="shared" si="79"/>
        <v>1637113.183050374</v>
      </c>
      <c r="BI197" s="151">
        <f>ROUNDDOWN(BH197*'1. UC Assumptions'!$C$23,2)</f>
        <v>540247.35</v>
      </c>
      <c r="BJ197" s="154">
        <f t="shared" si="80"/>
        <v>1216708.9530503741</v>
      </c>
      <c r="BK197" s="154">
        <f t="shared" si="81"/>
        <v>401513.95409999997</v>
      </c>
      <c r="BL197" s="154">
        <f t="shared" si="82"/>
        <v>1123290.1399999999</v>
      </c>
      <c r="BM197" s="154">
        <f t="shared" si="83"/>
        <v>370685.75</v>
      </c>
      <c r="BN197" s="101"/>
      <c r="BO197" s="154">
        <f>(BL197*'1. UC Assumptions'!$C$23)-'3.  UC Calculations by Hospital'!BM197</f>
        <v>-3.8000000640749931E-3</v>
      </c>
      <c r="BP197" s="13"/>
    </row>
    <row r="198" spans="2:68">
      <c r="B198" s="129" t="s">
        <v>699</v>
      </c>
      <c r="C198" s="91" t="s">
        <v>699</v>
      </c>
      <c r="D198" s="91" t="s">
        <v>208</v>
      </c>
      <c r="E198" s="91" t="s">
        <v>149</v>
      </c>
      <c r="F198" s="91"/>
      <c r="G198" s="91" t="s">
        <v>209</v>
      </c>
      <c r="H198" s="91" t="s">
        <v>209</v>
      </c>
      <c r="I198" s="150" t="s">
        <v>210</v>
      </c>
      <c r="J198" s="129" t="s">
        <v>700</v>
      </c>
      <c r="K198" s="91" t="s">
        <v>8</v>
      </c>
      <c r="L198" s="91" t="s">
        <v>701</v>
      </c>
      <c r="M198" s="151">
        <v>469624.02110830089</v>
      </c>
      <c r="N198" s="151">
        <v>0</v>
      </c>
      <c r="O198" s="131">
        <v>0</v>
      </c>
      <c r="P198" s="131">
        <f t="shared" si="63"/>
        <v>0</v>
      </c>
      <c r="Q198" s="131">
        <v>1163430.0856795902</v>
      </c>
      <c r="R198" s="131">
        <v>0</v>
      </c>
      <c r="S198" s="131">
        <f t="shared" si="64"/>
        <v>0</v>
      </c>
      <c r="T198" s="131">
        <f t="shared" si="65"/>
        <v>1163430.0856795902</v>
      </c>
      <c r="U198" s="131">
        <v>277522</v>
      </c>
      <c r="V198" s="131">
        <v>0</v>
      </c>
      <c r="W198" s="131">
        <v>0</v>
      </c>
      <c r="X198" s="131">
        <v>0</v>
      </c>
      <c r="Y198" s="131">
        <v>0</v>
      </c>
      <c r="Z198" s="131">
        <f t="shared" si="66"/>
        <v>277522</v>
      </c>
      <c r="AA198" s="131">
        <v>0</v>
      </c>
      <c r="AB198" s="152">
        <f t="shared" si="67"/>
        <v>1440952.0856795902</v>
      </c>
      <c r="AC198" s="133">
        <f>IF(D198="Physician Group Practice",(AB198/$AB$393)*'1. UC Assumptions'!$C$15,IF(E198="Rural Hospital",AB198*'1. UC Assumptions'!$C$7/'1. UC Assumptions'!$E$7,(AB198/$AB$397)*('1. UC Assumptions'!$C$9)))</f>
        <v>1345035.8664042952</v>
      </c>
      <c r="AD198" s="133">
        <f t="shared" si="68"/>
        <v>0</v>
      </c>
      <c r="AE198" s="133">
        <f t="shared" si="69"/>
        <v>95916.219275295036</v>
      </c>
      <c r="AF198" s="133">
        <f t="shared" si="70"/>
        <v>0</v>
      </c>
      <c r="AG198" s="133">
        <f t="shared" si="71"/>
        <v>95916.219275295036</v>
      </c>
      <c r="AH198" s="133">
        <f t="shared" si="72"/>
        <v>1345035.8664042952</v>
      </c>
      <c r="AI198" s="131">
        <f>AH198*'1. UC Assumptions'!$C$23</f>
        <v>443861.83591341734</v>
      </c>
      <c r="AJ198" s="131">
        <v>432291.3</v>
      </c>
      <c r="AK198" s="131">
        <f>AJ198*(1-'1. UC Assumptions'!$C$22)</f>
        <v>142656.12899999999</v>
      </c>
      <c r="AL198" s="131"/>
      <c r="AM198" s="131">
        <f>AL198*'1. UC Assumptions'!$C$23</f>
        <v>0</v>
      </c>
      <c r="AN198" s="153">
        <f t="shared" si="73"/>
        <v>1440952.0856795902</v>
      </c>
      <c r="AO198" s="151">
        <f>AN198*'1. UC Assumptions'!$C$23</f>
        <v>475514.18827426474</v>
      </c>
      <c r="AP198" s="151">
        <f t="shared" si="74"/>
        <v>1008660.7856795902</v>
      </c>
      <c r="AQ198" s="151">
        <f t="shared" si="75"/>
        <v>332858.05927426473</v>
      </c>
      <c r="AR198" s="151">
        <f t="shared" si="76"/>
        <v>332858.05927426473</v>
      </c>
      <c r="AS198" s="151">
        <f t="shared" si="77"/>
        <v>475514.18827426468</v>
      </c>
      <c r="AT198" s="151">
        <f>IF(K198="Bexar",(AG198/$AT$1)*'1. UC Assumptions'!$E$44-(AH198/$AT$2)*'1. UC Assumptions'!$E$42,0)</f>
        <v>0</v>
      </c>
      <c r="AU198" s="151">
        <f>IF(K198="Dallas",(AG198/$AU$1)*'1. UC Assumptions'!$F$44-(AH198/$AU$2)*'1. UC Assumptions'!$F$42,0)</f>
        <v>0</v>
      </c>
      <c r="AV198" s="151">
        <f>IF(K198="El Paso",(AG198/$AV$1)*'1. UC Assumptions'!$G$44-(AH198/$AV$2)*'1. UC Assumptions'!$G$42,0)</f>
        <v>0</v>
      </c>
      <c r="AW198" s="151">
        <f>IF(K198="Harris",(AG198/$AW$1)*'1. UC Assumptions'!$H$44-(AH198/$AW$2)*'1. UC Assumptions'!$H$42,0)</f>
        <v>0</v>
      </c>
      <c r="AX198" s="151">
        <f>IF(K198="Hidalgo",(AG198/$AX$1)*'1. UC Assumptions'!$I$44-(AH198/$AX$2)*'1. UC Assumptions'!$I$42,0)</f>
        <v>0</v>
      </c>
      <c r="AY198" s="151">
        <f>IF(K198="Jefferson",(AG198/$AY$1)*'1. UC Assumptions'!$J$44-(AH198/$AY$2)*'1. UC Assumptions'!$J$42,0)</f>
        <v>0</v>
      </c>
      <c r="AZ198" s="151">
        <f>IF(K198="Lubbock",(AG198/$AZ$1)*'1. UC Assumptions'!$K$44-(AH198/$AZ$2)*'1. UC Assumptions'!$K$42,0)</f>
        <v>0</v>
      </c>
      <c r="BA198" s="151">
        <f>IF(K198="MRSA Central",(AG198/$BA$1)*'1. UC Assumptions'!$L$44-(AH198/$BA$2)*'1. UC Assumptions'!$L$42,0)</f>
        <v>0</v>
      </c>
      <c r="BB198" s="151">
        <f>IF(K198="MRSA Northeast",(AG198/$BB$1)*'1. UC Assumptions'!$M$44-(AH198/$BB$2)*'1. UC Assumptions'!$M$42,0)</f>
        <v>0</v>
      </c>
      <c r="BC198" s="151">
        <f>IF(K198="MRSA West",(AG198/$BC$1)*'1. UC Assumptions'!$N$44-(AH198/$BC$2)*'1. UC Assumptions'!$N$42,0)</f>
        <v>0</v>
      </c>
      <c r="BD198" s="151">
        <f>IF(K198="Nueces",(AG198/$BD$1)*'1. UC Assumptions'!$O$44-(AH198/$BD$2)*'1. UC Assumptions'!$O$42,0)</f>
        <v>0</v>
      </c>
      <c r="BE198" s="151">
        <f>IF(K198="Tarrant",(AG198/$BE$1)*'1. UC Assumptions'!$P$44-(AH198/$BE$2)*'1. UC Assumptions'!$P$42,0)</f>
        <v>0</v>
      </c>
      <c r="BF198" s="151">
        <f>IF(K198="Travis",(AG198/$BF$1)*'1. UC Assumptions'!$Q$44-(AH198/$BF$2)*'1. UC Assumptions'!$Q$42,0)</f>
        <v>0</v>
      </c>
      <c r="BG198" s="151">
        <f t="shared" si="78"/>
        <v>0</v>
      </c>
      <c r="BH198" s="151">
        <f t="shared" si="79"/>
        <v>1345035.8664042952</v>
      </c>
      <c r="BI198" s="151">
        <f>ROUNDDOWN(BH198*'1. UC Assumptions'!$C$23,2)</f>
        <v>443861.83</v>
      </c>
      <c r="BJ198" s="154">
        <f t="shared" si="80"/>
        <v>912744.56640429515</v>
      </c>
      <c r="BK198" s="154">
        <f t="shared" si="81"/>
        <v>301205.701</v>
      </c>
      <c r="BL198" s="154">
        <f t="shared" si="82"/>
        <v>842664.12</v>
      </c>
      <c r="BM198" s="154">
        <f t="shared" si="83"/>
        <v>278079.15000000002</v>
      </c>
      <c r="BN198" s="101"/>
      <c r="BO198" s="154">
        <f>(BL198*'1. UC Assumptions'!$C$23)-'3.  UC Calculations by Hospital'!BM198</f>
        <v>9.5999999321065843E-3</v>
      </c>
      <c r="BP198" s="13"/>
    </row>
    <row r="199" spans="2:68">
      <c r="B199" s="129" t="s">
        <v>702</v>
      </c>
      <c r="C199" s="91" t="s">
        <v>702</v>
      </c>
      <c r="D199" s="91" t="s">
        <v>208</v>
      </c>
      <c r="E199" s="91" t="s">
        <v>149</v>
      </c>
      <c r="F199" s="91"/>
      <c r="G199" s="91" t="s">
        <v>209</v>
      </c>
      <c r="H199" s="91" t="s">
        <v>209</v>
      </c>
      <c r="I199" s="150" t="s">
        <v>210</v>
      </c>
      <c r="J199" s="129" t="s">
        <v>703</v>
      </c>
      <c r="K199" s="91" t="s">
        <v>13</v>
      </c>
      <c r="L199" s="91" t="s">
        <v>704</v>
      </c>
      <c r="M199" s="151">
        <v>942670.22632957425</v>
      </c>
      <c r="N199" s="151">
        <v>0</v>
      </c>
      <c r="O199" s="131">
        <v>0</v>
      </c>
      <c r="P199" s="131">
        <f t="shared" si="63"/>
        <v>0</v>
      </c>
      <c r="Q199" s="131">
        <v>3306756.6163163395</v>
      </c>
      <c r="R199" s="131">
        <v>0</v>
      </c>
      <c r="S199" s="131">
        <f t="shared" si="64"/>
        <v>0</v>
      </c>
      <c r="T199" s="131">
        <f t="shared" si="65"/>
        <v>3306756.6163163395</v>
      </c>
      <c r="U199" s="131">
        <v>184159.78</v>
      </c>
      <c r="V199" s="131">
        <v>0</v>
      </c>
      <c r="W199" s="131">
        <v>0</v>
      </c>
      <c r="X199" s="131">
        <v>0</v>
      </c>
      <c r="Y199" s="131">
        <v>0</v>
      </c>
      <c r="Z199" s="131">
        <f t="shared" si="66"/>
        <v>184159.78</v>
      </c>
      <c r="AA199" s="131">
        <v>0</v>
      </c>
      <c r="AB199" s="152">
        <f t="shared" si="67"/>
        <v>3490916.3963163393</v>
      </c>
      <c r="AC199" s="133">
        <f>IF(D199="Physician Group Practice",(AB199/$AB$393)*'1. UC Assumptions'!$C$15,IF(E199="Rural Hospital",AB199*'1. UC Assumptions'!$C$7/'1. UC Assumptions'!$E$7,(AB199/$AB$397)*('1. UC Assumptions'!$C$9)))</f>
        <v>3258545.3786617974</v>
      </c>
      <c r="AD199" s="133">
        <f t="shared" si="68"/>
        <v>0</v>
      </c>
      <c r="AE199" s="133">
        <f t="shared" si="69"/>
        <v>232371.01765454188</v>
      </c>
      <c r="AF199" s="133">
        <f t="shared" si="70"/>
        <v>0</v>
      </c>
      <c r="AG199" s="133">
        <f t="shared" si="71"/>
        <v>232371.01765454188</v>
      </c>
      <c r="AH199" s="133">
        <f t="shared" si="72"/>
        <v>3258545.3786617974</v>
      </c>
      <c r="AI199" s="131">
        <f>AH199*'1. UC Assumptions'!$C$23</f>
        <v>1075319.974958393</v>
      </c>
      <c r="AJ199" s="131">
        <v>1084776.32</v>
      </c>
      <c r="AK199" s="131">
        <f>AJ199*(1-'1. UC Assumptions'!$C$22)</f>
        <v>357976.18559999997</v>
      </c>
      <c r="AL199" s="131"/>
      <c r="AM199" s="131">
        <f>AL199*'1. UC Assumptions'!$C$23</f>
        <v>0</v>
      </c>
      <c r="AN199" s="153">
        <f t="shared" si="73"/>
        <v>3490916.3963163393</v>
      </c>
      <c r="AO199" s="151">
        <f>AN199*'1. UC Assumptions'!$C$23</f>
        <v>1152002.4107843919</v>
      </c>
      <c r="AP199" s="151">
        <f t="shared" si="74"/>
        <v>2406140.076316339</v>
      </c>
      <c r="AQ199" s="151">
        <f t="shared" si="75"/>
        <v>794026.22518439195</v>
      </c>
      <c r="AR199" s="151">
        <f t="shared" si="76"/>
        <v>794026.22518439195</v>
      </c>
      <c r="AS199" s="151">
        <f t="shared" si="77"/>
        <v>1152002.4107843919</v>
      </c>
      <c r="AT199" s="151">
        <f>IF(K199="Bexar",(AG199/$AT$1)*'1. UC Assumptions'!$E$44-(AH199/$AT$2)*'1. UC Assumptions'!$E$42,0)</f>
        <v>0</v>
      </c>
      <c r="AU199" s="151">
        <f>IF(K199="Dallas",(AG199/$AU$1)*'1. UC Assumptions'!$F$44-(AH199/$AU$2)*'1. UC Assumptions'!$F$42,0)</f>
        <v>0</v>
      </c>
      <c r="AV199" s="151">
        <f>IF(K199="El Paso",(AG199/$AV$1)*'1. UC Assumptions'!$G$44-(AH199/$AV$2)*'1. UC Assumptions'!$G$42,0)</f>
        <v>0</v>
      </c>
      <c r="AW199" s="151">
        <f>IF(K199="Harris",(AG199/$AW$1)*'1. UC Assumptions'!$H$44-(AH199/$AW$2)*'1. UC Assumptions'!$H$42,0)</f>
        <v>0</v>
      </c>
      <c r="AX199" s="151">
        <f>IF(K199="Hidalgo",(AG199/$AX$1)*'1. UC Assumptions'!$I$44-(AH199/$AX$2)*'1. UC Assumptions'!$I$42,0)</f>
        <v>0</v>
      </c>
      <c r="AY199" s="151">
        <f>IF(K199="Jefferson",(AG199/$AY$1)*'1. UC Assumptions'!$J$44-(AH199/$AY$2)*'1. UC Assumptions'!$J$42,0)</f>
        <v>0</v>
      </c>
      <c r="AZ199" s="151">
        <f>IF(K199="Lubbock",(AG199/$AZ$1)*'1. UC Assumptions'!$K$44-(AH199/$AZ$2)*'1. UC Assumptions'!$K$42,0)</f>
        <v>0</v>
      </c>
      <c r="BA199" s="151">
        <f>IF(K199="MRSA Central",(AG199/$BA$1)*'1. UC Assumptions'!$L$44-(AH199/$BA$2)*'1. UC Assumptions'!$L$42,0)</f>
        <v>0</v>
      </c>
      <c r="BB199" s="151">
        <f>IF(K199="MRSA Northeast",(AG199/$BB$1)*'1. UC Assumptions'!$M$44-(AH199/$BB$2)*'1. UC Assumptions'!$M$42,0)</f>
        <v>0</v>
      </c>
      <c r="BC199" s="151">
        <f>IF(K199="MRSA West",(AG199/$BC$1)*'1. UC Assumptions'!$N$44-(AH199/$BC$2)*'1. UC Assumptions'!$N$42,0)</f>
        <v>0</v>
      </c>
      <c r="BD199" s="151">
        <f>IF(K199="Nueces",(AG199/$BD$1)*'1. UC Assumptions'!$O$44-(AH199/$BD$2)*'1. UC Assumptions'!$O$42,0)</f>
        <v>0</v>
      </c>
      <c r="BE199" s="151">
        <f>IF(K199="Tarrant",(AG199/$BE$1)*'1. UC Assumptions'!$P$44-(AH199/$BE$2)*'1. UC Assumptions'!$P$42,0)</f>
        <v>0</v>
      </c>
      <c r="BF199" s="151">
        <f>IF(K199="Travis",(AG199/$BF$1)*'1. UC Assumptions'!$Q$44-(AH199/$BF$2)*'1. UC Assumptions'!$Q$42,0)</f>
        <v>0</v>
      </c>
      <c r="BG199" s="151">
        <f t="shared" si="78"/>
        <v>0</v>
      </c>
      <c r="BH199" s="151">
        <f t="shared" si="79"/>
        <v>3258545.3786617974</v>
      </c>
      <c r="BI199" s="151">
        <f>ROUNDDOWN(BH199*'1. UC Assumptions'!$C$23,2)</f>
        <v>1075319.97</v>
      </c>
      <c r="BJ199" s="154">
        <f t="shared" si="80"/>
        <v>2173769.0586617971</v>
      </c>
      <c r="BK199" s="154">
        <f t="shared" si="81"/>
        <v>717343.7844</v>
      </c>
      <c r="BL199" s="154">
        <f t="shared" si="82"/>
        <v>2006867.26</v>
      </c>
      <c r="BM199" s="154">
        <f t="shared" si="83"/>
        <v>662266.18999999994</v>
      </c>
      <c r="BN199" s="101"/>
      <c r="BO199" s="154">
        <f>(BL199*'1. UC Assumptions'!$C$23)-'3.  UC Calculations by Hospital'!BM199</f>
        <v>5.7999999262392521E-3</v>
      </c>
      <c r="BP199" s="13"/>
    </row>
    <row r="200" spans="2:68">
      <c r="B200" s="129" t="s">
        <v>705</v>
      </c>
      <c r="C200" s="91" t="s">
        <v>705</v>
      </c>
      <c r="D200" s="91" t="s">
        <v>214</v>
      </c>
      <c r="E200" s="91" t="s">
        <v>149</v>
      </c>
      <c r="F200" s="91"/>
      <c r="G200" s="91" t="s">
        <v>209</v>
      </c>
      <c r="H200" s="91" t="s">
        <v>209</v>
      </c>
      <c r="I200" s="150" t="s">
        <v>210</v>
      </c>
      <c r="J200" s="129" t="s">
        <v>706</v>
      </c>
      <c r="K200" s="91" t="s">
        <v>10</v>
      </c>
      <c r="L200" s="91" t="s">
        <v>707</v>
      </c>
      <c r="M200" s="151">
        <v>137222.97500620774</v>
      </c>
      <c r="N200" s="151">
        <v>0</v>
      </c>
      <c r="O200" s="131">
        <v>0</v>
      </c>
      <c r="P200" s="131">
        <f t="shared" si="63"/>
        <v>0</v>
      </c>
      <c r="Q200" s="131">
        <v>3303526.4022448128</v>
      </c>
      <c r="R200" s="131">
        <v>0</v>
      </c>
      <c r="S200" s="131">
        <f t="shared" si="64"/>
        <v>0</v>
      </c>
      <c r="T200" s="131">
        <f t="shared" si="65"/>
        <v>3303526.4022448128</v>
      </c>
      <c r="U200" s="131">
        <v>568418.83000000007</v>
      </c>
      <c r="V200" s="131">
        <v>0</v>
      </c>
      <c r="W200" s="131">
        <v>0</v>
      </c>
      <c r="X200" s="131">
        <v>0</v>
      </c>
      <c r="Y200" s="131">
        <v>0</v>
      </c>
      <c r="Z200" s="131">
        <f t="shared" si="66"/>
        <v>568418.83000000007</v>
      </c>
      <c r="AA200" s="131">
        <v>0</v>
      </c>
      <c r="AB200" s="152">
        <f t="shared" si="67"/>
        <v>3871945.2322448129</v>
      </c>
      <c r="AC200" s="133">
        <f>IF(D200="Physician Group Practice",(AB200/$AB$393)*'1. UC Assumptions'!$C$15,IF(E200="Rural Hospital",AB200*'1. UC Assumptions'!$C$7/'1. UC Assumptions'!$E$7,(AB200/$AB$397)*('1. UC Assumptions'!$C$9)))</f>
        <v>3614211.2301160931</v>
      </c>
      <c r="AD200" s="133">
        <f t="shared" si="68"/>
        <v>0</v>
      </c>
      <c r="AE200" s="133">
        <f t="shared" si="69"/>
        <v>257734.00212871982</v>
      </c>
      <c r="AF200" s="133">
        <f t="shared" si="70"/>
        <v>0</v>
      </c>
      <c r="AG200" s="133">
        <f t="shared" si="71"/>
        <v>257734.00212871982</v>
      </c>
      <c r="AH200" s="133">
        <f t="shared" si="72"/>
        <v>3614211.2301160931</v>
      </c>
      <c r="AI200" s="131">
        <f>AH200*'1. UC Assumptions'!$C$23</f>
        <v>1192689.7059383106</v>
      </c>
      <c r="AJ200" s="131">
        <v>1693963.16</v>
      </c>
      <c r="AK200" s="131">
        <f>AJ200*(1-'1. UC Assumptions'!$C$22)</f>
        <v>559007.84279999987</v>
      </c>
      <c r="AL200" s="131"/>
      <c r="AM200" s="131">
        <f>AL200*'1. UC Assumptions'!$C$23</f>
        <v>0</v>
      </c>
      <c r="AN200" s="153">
        <f t="shared" si="73"/>
        <v>3871945.2322448129</v>
      </c>
      <c r="AO200" s="151">
        <f>AN200*'1. UC Assumptions'!$C$23</f>
        <v>1277741.9266407881</v>
      </c>
      <c r="AP200" s="151">
        <f t="shared" si="74"/>
        <v>2177982.0722448127</v>
      </c>
      <c r="AQ200" s="151">
        <f t="shared" si="75"/>
        <v>718734.08384078823</v>
      </c>
      <c r="AR200" s="151">
        <f t="shared" si="76"/>
        <v>718734.08384078823</v>
      </c>
      <c r="AS200" s="151">
        <f t="shared" si="77"/>
        <v>1277741.9266407881</v>
      </c>
      <c r="AT200" s="151">
        <f>IF(K200="Bexar",(AG200/$AT$1)*'1. UC Assumptions'!$E$44-(AH200/$AT$2)*'1. UC Assumptions'!$E$42,0)</f>
        <v>0</v>
      </c>
      <c r="AU200" s="151">
        <f>IF(K200="Dallas",(AG200/$AU$1)*'1. UC Assumptions'!$F$44-(AH200/$AU$2)*'1. UC Assumptions'!$F$42,0)</f>
        <v>0</v>
      </c>
      <c r="AV200" s="151">
        <f>IF(K200="El Paso",(AG200/$AV$1)*'1. UC Assumptions'!$G$44-(AH200/$AV$2)*'1. UC Assumptions'!$G$42,0)</f>
        <v>0</v>
      </c>
      <c r="AW200" s="151">
        <f>IF(K200="Harris",(AG200/$AW$1)*'1. UC Assumptions'!$H$44-(AH200/$AW$2)*'1. UC Assumptions'!$H$42,0)</f>
        <v>0</v>
      </c>
      <c r="AX200" s="151">
        <f>IF(K200="Hidalgo",(AG200/$AX$1)*'1. UC Assumptions'!$I$44-(AH200/$AX$2)*'1. UC Assumptions'!$I$42,0)</f>
        <v>0</v>
      </c>
      <c r="AY200" s="151">
        <f>IF(K200="Jefferson",(AG200/$AY$1)*'1. UC Assumptions'!$J$44-(AH200/$AY$2)*'1. UC Assumptions'!$J$42,0)</f>
        <v>0</v>
      </c>
      <c r="AZ200" s="151">
        <f>IF(K200="Lubbock",(AG200/$AZ$1)*'1. UC Assumptions'!$K$44-(AH200/$AZ$2)*'1. UC Assumptions'!$K$42,0)</f>
        <v>0</v>
      </c>
      <c r="BA200" s="151">
        <f>IF(K200="MRSA Central",(AG200/$BA$1)*'1. UC Assumptions'!$L$44-(AH200/$BA$2)*'1. UC Assumptions'!$L$42,0)</f>
        <v>0</v>
      </c>
      <c r="BB200" s="151">
        <f>IF(K200="MRSA Northeast",(AG200/$BB$1)*'1. UC Assumptions'!$M$44-(AH200/$BB$2)*'1. UC Assumptions'!$M$42,0)</f>
        <v>0</v>
      </c>
      <c r="BC200" s="151">
        <f>IF(K200="MRSA West",(AG200/$BC$1)*'1. UC Assumptions'!$N$44-(AH200/$BC$2)*'1. UC Assumptions'!$N$42,0)</f>
        <v>0</v>
      </c>
      <c r="BD200" s="151">
        <f>IF(K200="Nueces",(AG200/$BD$1)*'1. UC Assumptions'!$O$44-(AH200/$BD$2)*'1. UC Assumptions'!$O$42,0)</f>
        <v>0</v>
      </c>
      <c r="BE200" s="151">
        <f>IF(K200="Tarrant",(AG200/$BE$1)*'1. UC Assumptions'!$P$44-(AH200/$BE$2)*'1. UC Assumptions'!$P$42,0)</f>
        <v>0</v>
      </c>
      <c r="BF200" s="151">
        <f>IF(K200="Travis",(AG200/$BF$1)*'1. UC Assumptions'!$Q$44-(AH200/$BF$2)*'1. UC Assumptions'!$Q$42,0)</f>
        <v>0</v>
      </c>
      <c r="BG200" s="151">
        <f t="shared" si="78"/>
        <v>0</v>
      </c>
      <c r="BH200" s="151">
        <f t="shared" si="79"/>
        <v>3614211.2301160931</v>
      </c>
      <c r="BI200" s="151">
        <f>ROUNDDOWN(BH200*'1. UC Assumptions'!$C$23,2)</f>
        <v>1192689.7</v>
      </c>
      <c r="BJ200" s="154">
        <f t="shared" si="80"/>
        <v>1920248.0701160931</v>
      </c>
      <c r="BK200" s="154">
        <f t="shared" si="81"/>
        <v>633681.85720000009</v>
      </c>
      <c r="BL200" s="154">
        <f t="shared" si="82"/>
        <v>1772811.59</v>
      </c>
      <c r="BM200" s="154">
        <f t="shared" si="83"/>
        <v>585027.81999999995</v>
      </c>
      <c r="BN200" s="101"/>
      <c r="BO200" s="154">
        <f>(BL200*'1. UC Assumptions'!$C$23)-'3.  UC Calculations by Hospital'!BM200</f>
        <v>4.7000000486150384E-3</v>
      </c>
      <c r="BP200" s="13"/>
    </row>
    <row r="201" spans="2:68">
      <c r="B201" s="129" t="s">
        <v>708</v>
      </c>
      <c r="C201" s="91" t="s">
        <v>708</v>
      </c>
      <c r="D201" s="91" t="s">
        <v>214</v>
      </c>
      <c r="E201" s="91" t="s">
        <v>149</v>
      </c>
      <c r="F201" s="91"/>
      <c r="G201" s="91" t="s">
        <v>209</v>
      </c>
      <c r="H201" s="91" t="s">
        <v>209</v>
      </c>
      <c r="I201" s="150" t="s">
        <v>210</v>
      </c>
      <c r="J201" s="129" t="s">
        <v>709</v>
      </c>
      <c r="K201" s="91" t="s">
        <v>13</v>
      </c>
      <c r="L201" s="91" t="s">
        <v>710</v>
      </c>
      <c r="M201" s="151">
        <v>119728.51464716817</v>
      </c>
      <c r="N201" s="151">
        <v>5525595.846890389</v>
      </c>
      <c r="O201" s="131">
        <v>3436663.7777934335</v>
      </c>
      <c r="P201" s="131">
        <f t="shared" si="63"/>
        <v>2088932.0690969555</v>
      </c>
      <c r="Q201" s="131">
        <v>5566235.3979330556</v>
      </c>
      <c r="R201" s="131">
        <v>1242294.68</v>
      </c>
      <c r="S201" s="131">
        <f t="shared" si="64"/>
        <v>0</v>
      </c>
      <c r="T201" s="131">
        <f t="shared" si="65"/>
        <v>5566235.3979330556</v>
      </c>
      <c r="U201" s="131">
        <v>18722</v>
      </c>
      <c r="V201" s="131">
        <v>0</v>
      </c>
      <c r="W201" s="131">
        <v>65508</v>
      </c>
      <c r="X201" s="131">
        <v>0</v>
      </c>
      <c r="Y201" s="131">
        <v>901183.72346075927</v>
      </c>
      <c r="Z201" s="131">
        <f t="shared" si="66"/>
        <v>985413.72346075927</v>
      </c>
      <c r="AA201" s="131">
        <v>0</v>
      </c>
      <c r="AB201" s="152">
        <f t="shared" si="67"/>
        <v>6551649.1213938147</v>
      </c>
      <c r="AC201" s="133">
        <f>IF(D201="Physician Group Practice",(AB201/$AB$393)*'1. UC Assumptions'!$C$15,IF(E201="Rural Hospital",AB201*'1. UC Assumptions'!$C$7/'1. UC Assumptions'!$E$7,(AB201/$AB$397)*('1. UC Assumptions'!$C$9)))</f>
        <v>6115542.0363716036</v>
      </c>
      <c r="AD201" s="133">
        <f t="shared" si="68"/>
        <v>0</v>
      </c>
      <c r="AE201" s="133">
        <f t="shared" si="69"/>
        <v>436107.08502221107</v>
      </c>
      <c r="AF201" s="133">
        <f t="shared" si="70"/>
        <v>0</v>
      </c>
      <c r="AG201" s="133">
        <f t="shared" si="71"/>
        <v>436107.08502221107</v>
      </c>
      <c r="AH201" s="133">
        <f t="shared" si="72"/>
        <v>6115542.0363716036</v>
      </c>
      <c r="AI201" s="131">
        <f>AH201*'1. UC Assumptions'!$C$23</f>
        <v>2018128.8720026289</v>
      </c>
      <c r="AJ201" s="131">
        <v>2329708.35</v>
      </c>
      <c r="AK201" s="131">
        <f>AJ201*(1-'1. UC Assumptions'!$C$22)</f>
        <v>768803.75549999997</v>
      </c>
      <c r="AL201" s="131"/>
      <c r="AM201" s="131">
        <f>AL201*'1. UC Assumptions'!$C$23</f>
        <v>0</v>
      </c>
      <c r="AN201" s="153">
        <f t="shared" si="73"/>
        <v>6551649.1213938147</v>
      </c>
      <c r="AO201" s="151">
        <f>AN201*'1. UC Assumptions'!$C$23</f>
        <v>2162044.2100599585</v>
      </c>
      <c r="AP201" s="151">
        <f t="shared" si="74"/>
        <v>4221940.7713938151</v>
      </c>
      <c r="AQ201" s="151">
        <f t="shared" si="75"/>
        <v>1393240.4545599585</v>
      </c>
      <c r="AR201" s="151">
        <f t="shared" si="76"/>
        <v>1393240.4545599585</v>
      </c>
      <c r="AS201" s="151">
        <f t="shared" si="77"/>
        <v>2162044.2100599585</v>
      </c>
      <c r="AT201" s="151">
        <f>IF(K201="Bexar",(AG201/$AT$1)*'1. UC Assumptions'!$E$44-(AH201/$AT$2)*'1. UC Assumptions'!$E$42,0)</f>
        <v>0</v>
      </c>
      <c r="AU201" s="151">
        <f>IF(K201="Dallas",(AG201/$AU$1)*'1. UC Assumptions'!$F$44-(AH201/$AU$2)*'1. UC Assumptions'!$F$42,0)</f>
        <v>0</v>
      </c>
      <c r="AV201" s="151">
        <f>IF(K201="El Paso",(AG201/$AV$1)*'1. UC Assumptions'!$G$44-(AH201/$AV$2)*'1. UC Assumptions'!$G$42,0)</f>
        <v>0</v>
      </c>
      <c r="AW201" s="151">
        <f>IF(K201="Harris",(AG201/$AW$1)*'1. UC Assumptions'!$H$44-(AH201/$AW$2)*'1. UC Assumptions'!$H$42,0)</f>
        <v>0</v>
      </c>
      <c r="AX201" s="151">
        <f>IF(K201="Hidalgo",(AG201/$AX$1)*'1. UC Assumptions'!$I$44-(AH201/$AX$2)*'1. UC Assumptions'!$I$42,0)</f>
        <v>0</v>
      </c>
      <c r="AY201" s="151">
        <f>IF(K201="Jefferson",(AG201/$AY$1)*'1. UC Assumptions'!$J$44-(AH201/$AY$2)*'1. UC Assumptions'!$J$42,0)</f>
        <v>0</v>
      </c>
      <c r="AZ201" s="151">
        <f>IF(K201="Lubbock",(AG201/$AZ$1)*'1. UC Assumptions'!$K$44-(AH201/$AZ$2)*'1. UC Assumptions'!$K$42,0)</f>
        <v>0</v>
      </c>
      <c r="BA201" s="151">
        <f>IF(K201="MRSA Central",(AG201/$BA$1)*'1. UC Assumptions'!$L$44-(AH201/$BA$2)*'1. UC Assumptions'!$L$42,0)</f>
        <v>0</v>
      </c>
      <c r="BB201" s="151">
        <f>IF(K201="MRSA Northeast",(AG201/$BB$1)*'1. UC Assumptions'!$M$44-(AH201/$BB$2)*'1. UC Assumptions'!$M$42,0)</f>
        <v>0</v>
      </c>
      <c r="BC201" s="151">
        <f>IF(K201="MRSA West",(AG201/$BC$1)*'1. UC Assumptions'!$N$44-(AH201/$BC$2)*'1. UC Assumptions'!$N$42,0)</f>
        <v>0</v>
      </c>
      <c r="BD201" s="151">
        <f>IF(K201="Nueces",(AG201/$BD$1)*'1. UC Assumptions'!$O$44-(AH201/$BD$2)*'1. UC Assumptions'!$O$42,0)</f>
        <v>0</v>
      </c>
      <c r="BE201" s="151">
        <f>IF(K201="Tarrant",(AG201/$BE$1)*'1. UC Assumptions'!$P$44-(AH201/$BE$2)*'1. UC Assumptions'!$P$42,0)</f>
        <v>0</v>
      </c>
      <c r="BF201" s="151">
        <f>IF(K201="Travis",(AG201/$BF$1)*'1. UC Assumptions'!$Q$44-(AH201/$BF$2)*'1. UC Assumptions'!$Q$42,0)</f>
        <v>0</v>
      </c>
      <c r="BG201" s="151">
        <f t="shared" si="78"/>
        <v>0</v>
      </c>
      <c r="BH201" s="151">
        <f t="shared" si="79"/>
        <v>6115542.0363716036</v>
      </c>
      <c r="BI201" s="151">
        <f>ROUNDDOWN(BH201*'1. UC Assumptions'!$C$23,2)</f>
        <v>2018128.87</v>
      </c>
      <c r="BJ201" s="154">
        <f t="shared" si="80"/>
        <v>3785833.6863716035</v>
      </c>
      <c r="BK201" s="154">
        <f t="shared" si="81"/>
        <v>1249325.1145000001</v>
      </c>
      <c r="BL201" s="154">
        <f t="shared" si="82"/>
        <v>3495157.7</v>
      </c>
      <c r="BM201" s="154">
        <f t="shared" si="83"/>
        <v>1153402.04</v>
      </c>
      <c r="BN201" s="101"/>
      <c r="BO201" s="154">
        <f>(BL201*'1. UC Assumptions'!$C$23)-'3.  UC Calculations by Hospital'!BM201</f>
        <v>9.9999993108212948E-4</v>
      </c>
      <c r="BP201" s="13"/>
    </row>
    <row r="202" spans="2:68">
      <c r="B202" s="129" t="s">
        <v>711</v>
      </c>
      <c r="C202" s="91" t="s">
        <v>711</v>
      </c>
      <c r="D202" s="91" t="s">
        <v>214</v>
      </c>
      <c r="E202" s="91" t="s">
        <v>209</v>
      </c>
      <c r="F202" s="91"/>
      <c r="G202" s="91" t="s">
        <v>209</v>
      </c>
      <c r="H202" s="91" t="s">
        <v>209</v>
      </c>
      <c r="I202" s="150" t="s">
        <v>210</v>
      </c>
      <c r="J202" s="129" t="s">
        <v>712</v>
      </c>
      <c r="K202" s="91" t="s">
        <v>3</v>
      </c>
      <c r="L202" s="91" t="s">
        <v>3</v>
      </c>
      <c r="M202" s="151">
        <v>-170915.2522572639</v>
      </c>
      <c r="N202" s="151">
        <v>25670874.241032925</v>
      </c>
      <c r="O202" s="131">
        <v>17558876.475520205</v>
      </c>
      <c r="P202" s="131">
        <f t="shared" si="63"/>
        <v>8111997.7655127198</v>
      </c>
      <c r="Q202" s="131">
        <v>14327830.845261298</v>
      </c>
      <c r="R202" s="131">
        <v>5165099.0199999996</v>
      </c>
      <c r="S202" s="131">
        <f t="shared" si="64"/>
        <v>0</v>
      </c>
      <c r="T202" s="131">
        <f t="shared" si="65"/>
        <v>14327830.845261298</v>
      </c>
      <c r="U202" s="131">
        <v>1075393</v>
      </c>
      <c r="V202" s="131">
        <v>0</v>
      </c>
      <c r="W202" s="131">
        <v>954731.2</v>
      </c>
      <c r="X202" s="131">
        <v>0</v>
      </c>
      <c r="Y202" s="131">
        <v>8966970.3337556086</v>
      </c>
      <c r="Z202" s="131">
        <f t="shared" si="66"/>
        <v>10997094.533755608</v>
      </c>
      <c r="AA202" s="131">
        <v>0</v>
      </c>
      <c r="AB202" s="152">
        <f t="shared" si="67"/>
        <v>25324925.379016906</v>
      </c>
      <c r="AC202" s="133">
        <f>IF(D202="Physician Group Practice",(AB202/$AB$393)*'1. UC Assumptions'!$C$15,IF(E202="Rural Hospital",AB202*'1. UC Assumptions'!$C$7/'1. UC Assumptions'!$E$7,(AB202/$AB$397)*('1. UC Assumptions'!$C$9)))</f>
        <v>11906402.407299841</v>
      </c>
      <c r="AD202" s="133">
        <f t="shared" si="68"/>
        <v>0</v>
      </c>
      <c r="AE202" s="133">
        <f t="shared" si="69"/>
        <v>13418522.971717065</v>
      </c>
      <c r="AF202" s="133">
        <f t="shared" si="70"/>
        <v>0</v>
      </c>
      <c r="AG202" s="133">
        <f t="shared" si="71"/>
        <v>13418522.971717065</v>
      </c>
      <c r="AH202" s="133">
        <f t="shared" si="72"/>
        <v>11906402.407299841</v>
      </c>
      <c r="AI202" s="131">
        <f>AH202*'1. UC Assumptions'!$C$23</f>
        <v>3929112.7944089468</v>
      </c>
      <c r="AJ202" s="131">
        <v>9105944.0399999991</v>
      </c>
      <c r="AK202" s="131">
        <f>AJ202*(1-'1. UC Assumptions'!$C$22)</f>
        <v>3004961.5331999995</v>
      </c>
      <c r="AL202" s="131"/>
      <c r="AM202" s="131">
        <f>AL202*'1. UC Assumptions'!$C$23</f>
        <v>0</v>
      </c>
      <c r="AN202" s="153">
        <f t="shared" si="73"/>
        <v>25324925.379016906</v>
      </c>
      <c r="AO202" s="151">
        <f>AN202*'1. UC Assumptions'!$C$23</f>
        <v>8357225.3750755778</v>
      </c>
      <c r="AP202" s="151">
        <f t="shared" si="74"/>
        <v>16218981.339016907</v>
      </c>
      <c r="AQ202" s="151">
        <f t="shared" si="75"/>
        <v>5352263.8418755783</v>
      </c>
      <c r="AR202" s="151">
        <f t="shared" si="76"/>
        <v>5352263.8418755783</v>
      </c>
      <c r="AS202" s="151">
        <f t="shared" si="77"/>
        <v>8357225.3750755778</v>
      </c>
      <c r="AT202" s="151">
        <f>IF(K202="Bexar",(AG202/$AT$1)*'1. UC Assumptions'!$E$44-(AH202/$AT$2)*'1. UC Assumptions'!$E$42,0)</f>
        <v>0</v>
      </c>
      <c r="AU202" s="151">
        <f>IF(K202="Dallas",(AG202/$AU$1)*'1. UC Assumptions'!$F$44-(AH202/$AU$2)*'1. UC Assumptions'!$F$42,0)</f>
        <v>0</v>
      </c>
      <c r="AV202" s="151">
        <f>IF(K202="El Paso",(AG202/$AV$1)*'1. UC Assumptions'!$G$44-(AH202/$AV$2)*'1. UC Assumptions'!$G$42,0)</f>
        <v>0</v>
      </c>
      <c r="AW202" s="151">
        <f>IF(K202="Harris",(AG202/$AW$1)*'1. UC Assumptions'!$H$44-(AH202/$AW$2)*'1. UC Assumptions'!$H$42,0)</f>
        <v>0</v>
      </c>
      <c r="AX202" s="151">
        <f>IF(K202="Hidalgo",(AG202/$AX$1)*'1. UC Assumptions'!$I$44-(AH202/$AX$2)*'1. UC Assumptions'!$I$42,0)</f>
        <v>0</v>
      </c>
      <c r="AY202" s="151">
        <f>IF(K202="Jefferson",(AG202/$AY$1)*'1. UC Assumptions'!$J$44-(AH202/$AY$2)*'1. UC Assumptions'!$J$42,0)</f>
        <v>0</v>
      </c>
      <c r="AZ202" s="151">
        <f>IF(K202="Lubbock",(AG202/$AZ$1)*'1. UC Assumptions'!$K$44-(AH202/$AZ$2)*'1. UC Assumptions'!$K$42,0)</f>
        <v>0</v>
      </c>
      <c r="BA202" s="151">
        <f>IF(K202="MRSA Central",(AG202/$BA$1)*'1. UC Assumptions'!$L$44-(AH202/$BA$2)*'1. UC Assumptions'!$L$42,0)</f>
        <v>0</v>
      </c>
      <c r="BB202" s="151">
        <f>IF(K202="MRSA Northeast",(AG202/$BB$1)*'1. UC Assumptions'!$M$44-(AH202/$BB$2)*'1. UC Assumptions'!$M$42,0)</f>
        <v>0</v>
      </c>
      <c r="BC202" s="151">
        <f>IF(K202="MRSA West",(AG202/$BC$1)*'1. UC Assumptions'!$N$44-(AH202/$BC$2)*'1. UC Assumptions'!$N$42,0)</f>
        <v>0</v>
      </c>
      <c r="BD202" s="151">
        <f>IF(K202="Nueces",(AG202/$BD$1)*'1. UC Assumptions'!$O$44-(AH202/$BD$2)*'1. UC Assumptions'!$O$42,0)</f>
        <v>0</v>
      </c>
      <c r="BE202" s="151">
        <f>IF(K202="Tarrant",(AG202/$BE$1)*'1. UC Assumptions'!$P$44-(AH202/$BE$2)*'1. UC Assumptions'!$P$42,0)</f>
        <v>0</v>
      </c>
      <c r="BF202" s="151">
        <f>IF(K202="Travis",(AG202/$BF$1)*'1. UC Assumptions'!$Q$44-(AH202/$BF$2)*'1. UC Assumptions'!$Q$42,0)</f>
        <v>0</v>
      </c>
      <c r="BG202" s="151">
        <f t="shared" si="78"/>
        <v>0</v>
      </c>
      <c r="BH202" s="151">
        <f t="shared" si="79"/>
        <v>11906402.407299841</v>
      </c>
      <c r="BI202" s="151">
        <f>ROUNDDOWN(BH202*'1. UC Assumptions'!$C$23,2)</f>
        <v>3929112.79</v>
      </c>
      <c r="BJ202" s="154">
        <f t="shared" si="80"/>
        <v>2800458.3672998417</v>
      </c>
      <c r="BK202" s="154">
        <f t="shared" si="81"/>
        <v>924151.25680000056</v>
      </c>
      <c r="BL202" s="154">
        <f t="shared" si="82"/>
        <v>2585439.41</v>
      </c>
      <c r="BM202" s="154">
        <f t="shared" si="83"/>
        <v>853195</v>
      </c>
      <c r="BN202" s="101"/>
      <c r="BO202" s="154">
        <f>(BL202*'1. UC Assumptions'!$C$23)-'3.  UC Calculations by Hospital'!BM202</f>
        <v>5.2999999606981874E-3</v>
      </c>
      <c r="BP202" s="13"/>
    </row>
    <row r="203" spans="2:68">
      <c r="B203" s="129" t="s">
        <v>713</v>
      </c>
      <c r="C203" s="91" t="s">
        <v>713</v>
      </c>
      <c r="D203" s="91" t="s">
        <v>208</v>
      </c>
      <c r="E203" s="91" t="s">
        <v>209</v>
      </c>
      <c r="F203" s="91"/>
      <c r="G203" s="91" t="s">
        <v>209</v>
      </c>
      <c r="H203" s="91" t="s">
        <v>209</v>
      </c>
      <c r="I203" s="150" t="s">
        <v>210</v>
      </c>
      <c r="J203" s="129" t="s">
        <v>714</v>
      </c>
      <c r="K203" s="91" t="s">
        <v>9</v>
      </c>
      <c r="L203" s="91" t="s">
        <v>9</v>
      </c>
      <c r="M203" s="151">
        <v>18950.5105664</v>
      </c>
      <c r="N203" s="151">
        <v>0</v>
      </c>
      <c r="O203" s="131">
        <v>0</v>
      </c>
      <c r="P203" s="131">
        <f t="shared" si="63"/>
        <v>0</v>
      </c>
      <c r="Q203" s="131">
        <v>0</v>
      </c>
      <c r="R203" s="131">
        <v>0</v>
      </c>
      <c r="S203" s="131">
        <f t="shared" si="64"/>
        <v>0</v>
      </c>
      <c r="T203" s="131">
        <f t="shared" si="65"/>
        <v>0</v>
      </c>
      <c r="U203" s="131">
        <v>0</v>
      </c>
      <c r="V203" s="131">
        <v>0</v>
      </c>
      <c r="W203" s="131">
        <v>0</v>
      </c>
      <c r="X203" s="131">
        <v>0</v>
      </c>
      <c r="Y203" s="131">
        <v>57104</v>
      </c>
      <c r="Z203" s="131">
        <f t="shared" si="66"/>
        <v>57104</v>
      </c>
      <c r="AA203" s="131">
        <v>0</v>
      </c>
      <c r="AB203" s="152">
        <f t="shared" si="67"/>
        <v>57104</v>
      </c>
      <c r="AC203" s="133">
        <f>IF(D203="Physician Group Practice",(AB203/$AB$393)*'1. UC Assumptions'!$C$15,IF(E203="Rural Hospital",AB203*'1. UC Assumptions'!$C$7/'1. UC Assumptions'!$E$7,(AB203/$AB$397)*('1. UC Assumptions'!$C$9)))</f>
        <v>26847.194725785343</v>
      </c>
      <c r="AD203" s="133">
        <f t="shared" si="68"/>
        <v>0</v>
      </c>
      <c r="AE203" s="133">
        <f t="shared" si="69"/>
        <v>30256.805274214657</v>
      </c>
      <c r="AF203" s="133">
        <f t="shared" si="70"/>
        <v>0</v>
      </c>
      <c r="AG203" s="133">
        <f t="shared" si="71"/>
        <v>30256.805274214657</v>
      </c>
      <c r="AH203" s="133">
        <f t="shared" si="72"/>
        <v>26847.194725785343</v>
      </c>
      <c r="AI203" s="131">
        <f>AH203*'1. UC Assumptions'!$C$23</f>
        <v>8859.5742595091615</v>
      </c>
      <c r="AJ203" s="131">
        <v>126038.92</v>
      </c>
      <c r="AK203" s="131">
        <f>AJ203*(1-'1. UC Assumptions'!$C$22)</f>
        <v>41592.843599999993</v>
      </c>
      <c r="AL203" s="131"/>
      <c r="AM203" s="131">
        <f>AL203*'1. UC Assumptions'!$C$23</f>
        <v>0</v>
      </c>
      <c r="AN203" s="153">
        <f t="shared" si="73"/>
        <v>57104</v>
      </c>
      <c r="AO203" s="151">
        <f>AN203*'1. UC Assumptions'!$C$23</f>
        <v>18844.319999999996</v>
      </c>
      <c r="AP203" s="151">
        <f t="shared" si="74"/>
        <v>-68934.92</v>
      </c>
      <c r="AQ203" s="151">
        <f t="shared" si="75"/>
        <v>-22748.523599999997</v>
      </c>
      <c r="AR203" s="151">
        <f t="shared" si="76"/>
        <v>-22748.523599999997</v>
      </c>
      <c r="AS203" s="151">
        <f t="shared" si="77"/>
        <v>18844.319999999996</v>
      </c>
      <c r="AT203" s="151">
        <f>IF(K203="Bexar",(AG203/$AT$1)*'1. UC Assumptions'!$E$44-(AH203/$AT$2)*'1. UC Assumptions'!$E$42,0)</f>
        <v>0</v>
      </c>
      <c r="AU203" s="151">
        <f>IF(K203="Dallas",(AG203/$AU$1)*'1. UC Assumptions'!$F$44-(AH203/$AU$2)*'1. UC Assumptions'!$F$42,0)</f>
        <v>0</v>
      </c>
      <c r="AV203" s="151">
        <f>IF(K203="El Paso",(AG203/$AV$1)*'1. UC Assumptions'!$G$44-(AH203/$AV$2)*'1. UC Assumptions'!$G$42,0)</f>
        <v>0</v>
      </c>
      <c r="AW203" s="151">
        <f>IF(K203="Harris",(AG203/$AW$1)*'1. UC Assumptions'!$H$44-(AH203/$AW$2)*'1. UC Assumptions'!$H$42,0)</f>
        <v>0</v>
      </c>
      <c r="AX203" s="151">
        <f>IF(K203="Hidalgo",(AG203/$AX$1)*'1. UC Assumptions'!$I$44-(AH203/$AX$2)*'1. UC Assumptions'!$I$42,0)</f>
        <v>0</v>
      </c>
      <c r="AY203" s="151">
        <f>IF(K203="Jefferson",(AG203/$AY$1)*'1. UC Assumptions'!$J$44-(AH203/$AY$2)*'1. UC Assumptions'!$J$42,0)</f>
        <v>0</v>
      </c>
      <c r="AZ203" s="151">
        <f>IF(K203="Lubbock",(AG203/$AZ$1)*'1. UC Assumptions'!$K$44-(AH203/$AZ$2)*'1. UC Assumptions'!$K$42,0)</f>
        <v>0</v>
      </c>
      <c r="BA203" s="151">
        <f>IF(K203="MRSA Central",(AG203/$BA$1)*'1. UC Assumptions'!$L$44-(AH203/$BA$2)*'1. UC Assumptions'!$L$42,0)</f>
        <v>0</v>
      </c>
      <c r="BB203" s="151">
        <f>IF(K203="MRSA Northeast",(AG203/$BB$1)*'1. UC Assumptions'!$M$44-(AH203/$BB$2)*'1. UC Assumptions'!$M$42,0)</f>
        <v>0</v>
      </c>
      <c r="BC203" s="151">
        <f>IF(K203="MRSA West",(AG203/$BC$1)*'1. UC Assumptions'!$N$44-(AH203/$BC$2)*'1. UC Assumptions'!$N$42,0)</f>
        <v>0</v>
      </c>
      <c r="BD203" s="151">
        <f>IF(K203="Nueces",(AG203/$BD$1)*'1. UC Assumptions'!$O$44-(AH203/$BD$2)*'1. UC Assumptions'!$O$42,0)</f>
        <v>0</v>
      </c>
      <c r="BE203" s="151">
        <f>IF(K203="Tarrant",(AG203/$BE$1)*'1. UC Assumptions'!$P$44-(AH203/$BE$2)*'1. UC Assumptions'!$P$42,0)</f>
        <v>0</v>
      </c>
      <c r="BF203" s="151">
        <f>IF(K203="Travis",(AG203/$BF$1)*'1. UC Assumptions'!$Q$44-(AH203/$BF$2)*'1. UC Assumptions'!$Q$42,0)</f>
        <v>0</v>
      </c>
      <c r="BG203" s="151">
        <f t="shared" si="78"/>
        <v>0</v>
      </c>
      <c r="BH203" s="151">
        <f t="shared" si="79"/>
        <v>26847.194725785343</v>
      </c>
      <c r="BI203" s="151">
        <f>ROUNDDOWN(BH203*'1. UC Assumptions'!$C$23,2)</f>
        <v>8859.57</v>
      </c>
      <c r="BJ203" s="154">
        <f t="shared" si="80"/>
        <v>-99191.725274214652</v>
      </c>
      <c r="BK203" s="154">
        <f t="shared" si="81"/>
        <v>-32733.273599999993</v>
      </c>
      <c r="BL203" s="154">
        <f t="shared" si="82"/>
        <v>0</v>
      </c>
      <c r="BM203" s="154">
        <f t="shared" si="83"/>
        <v>0</v>
      </c>
      <c r="BN203" s="101"/>
      <c r="BO203" s="154">
        <f>(BL203*'1. UC Assumptions'!$C$23)-'3.  UC Calculations by Hospital'!BM203</f>
        <v>0</v>
      </c>
      <c r="BP203" s="13"/>
    </row>
    <row r="204" spans="2:68">
      <c r="B204" s="129" t="s">
        <v>715</v>
      </c>
      <c r="C204" s="91" t="s">
        <v>715</v>
      </c>
      <c r="D204" s="91" t="s">
        <v>208</v>
      </c>
      <c r="E204" s="91" t="s">
        <v>149</v>
      </c>
      <c r="F204" s="91"/>
      <c r="G204" s="91" t="s">
        <v>209</v>
      </c>
      <c r="H204" s="91" t="s">
        <v>209</v>
      </c>
      <c r="I204" s="150" t="s">
        <v>210</v>
      </c>
      <c r="J204" s="129" t="s">
        <v>716</v>
      </c>
      <c r="K204" s="91" t="s">
        <v>12</v>
      </c>
      <c r="L204" s="91" t="s">
        <v>717</v>
      </c>
      <c r="M204" s="151">
        <v>377324.64821112325</v>
      </c>
      <c r="N204" s="151">
        <v>0</v>
      </c>
      <c r="O204" s="131">
        <v>0</v>
      </c>
      <c r="P204" s="131">
        <f t="shared" si="63"/>
        <v>0</v>
      </c>
      <c r="Q204" s="131">
        <v>1445401.6005087232</v>
      </c>
      <c r="R204" s="131">
        <v>0</v>
      </c>
      <c r="S204" s="131">
        <f t="shared" si="64"/>
        <v>0</v>
      </c>
      <c r="T204" s="131">
        <f t="shared" si="65"/>
        <v>1445401.6005087232</v>
      </c>
      <c r="U204" s="131">
        <v>0</v>
      </c>
      <c r="V204" s="131">
        <v>0</v>
      </c>
      <c r="W204" s="131">
        <v>0</v>
      </c>
      <c r="X204" s="131">
        <v>0</v>
      </c>
      <c r="Y204" s="131">
        <v>0</v>
      </c>
      <c r="Z204" s="131">
        <f t="shared" si="66"/>
        <v>0</v>
      </c>
      <c r="AA204" s="131">
        <v>0</v>
      </c>
      <c r="AB204" s="152">
        <f t="shared" si="67"/>
        <v>1445401.6005087232</v>
      </c>
      <c r="AC204" s="133">
        <f>IF(D204="Physician Group Practice",(AB204/$AB$393)*'1. UC Assumptions'!$C$15,IF(E204="Rural Hospital",AB204*'1. UC Assumptions'!$C$7/'1. UC Assumptions'!$E$7,(AB204/$AB$397)*('1. UC Assumptions'!$C$9)))</f>
        <v>1349189.2016142297</v>
      </c>
      <c r="AD204" s="133">
        <f t="shared" si="68"/>
        <v>0</v>
      </c>
      <c r="AE204" s="133">
        <f t="shared" si="69"/>
        <v>96212.398894493468</v>
      </c>
      <c r="AF204" s="133">
        <f t="shared" si="70"/>
        <v>0</v>
      </c>
      <c r="AG204" s="133">
        <f t="shared" si="71"/>
        <v>96212.398894493468</v>
      </c>
      <c r="AH204" s="133">
        <f t="shared" si="72"/>
        <v>1349189.2016142297</v>
      </c>
      <c r="AI204" s="131">
        <f>AH204*'1. UC Assumptions'!$C$23</f>
        <v>445232.43653269578</v>
      </c>
      <c r="AJ204" s="131">
        <v>658713.5</v>
      </c>
      <c r="AK204" s="131">
        <f>AJ204*(1-'1. UC Assumptions'!$C$22)</f>
        <v>217375.45499999999</v>
      </c>
      <c r="AL204" s="131"/>
      <c r="AM204" s="131">
        <f>AL204*'1. UC Assumptions'!$C$23</f>
        <v>0</v>
      </c>
      <c r="AN204" s="153">
        <f t="shared" si="73"/>
        <v>1445401.6005087232</v>
      </c>
      <c r="AO204" s="151">
        <f>AN204*'1. UC Assumptions'!$C$23</f>
        <v>476982.52816787857</v>
      </c>
      <c r="AP204" s="151">
        <f t="shared" si="74"/>
        <v>786688.10050872318</v>
      </c>
      <c r="AQ204" s="151">
        <f t="shared" si="75"/>
        <v>259607.07316787858</v>
      </c>
      <c r="AR204" s="151">
        <f t="shared" si="76"/>
        <v>259607.07316787858</v>
      </c>
      <c r="AS204" s="151">
        <f t="shared" si="77"/>
        <v>476982.52816787857</v>
      </c>
      <c r="AT204" s="151">
        <f>IF(K204="Bexar",(AG204/$AT$1)*'1. UC Assumptions'!$E$44-(AH204/$AT$2)*'1. UC Assumptions'!$E$42,0)</f>
        <v>0</v>
      </c>
      <c r="AU204" s="151">
        <f>IF(K204="Dallas",(AG204/$AU$1)*'1. UC Assumptions'!$F$44-(AH204/$AU$2)*'1. UC Assumptions'!$F$42,0)</f>
        <v>0</v>
      </c>
      <c r="AV204" s="151">
        <f>IF(K204="El Paso",(AG204/$AV$1)*'1. UC Assumptions'!$G$44-(AH204/$AV$2)*'1. UC Assumptions'!$G$42,0)</f>
        <v>0</v>
      </c>
      <c r="AW204" s="151">
        <f>IF(K204="Harris",(AG204/$AW$1)*'1. UC Assumptions'!$H$44-(AH204/$AW$2)*'1. UC Assumptions'!$H$42,0)</f>
        <v>0</v>
      </c>
      <c r="AX204" s="151">
        <f>IF(K204="Hidalgo",(AG204/$AX$1)*'1. UC Assumptions'!$I$44-(AH204/$AX$2)*'1. UC Assumptions'!$I$42,0)</f>
        <v>0</v>
      </c>
      <c r="AY204" s="151">
        <f>IF(K204="Jefferson",(AG204/$AY$1)*'1. UC Assumptions'!$J$44-(AH204/$AY$2)*'1. UC Assumptions'!$J$42,0)</f>
        <v>0</v>
      </c>
      <c r="AZ204" s="151">
        <f>IF(K204="Lubbock",(AG204/$AZ$1)*'1. UC Assumptions'!$K$44-(AH204/$AZ$2)*'1. UC Assumptions'!$K$42,0)</f>
        <v>0</v>
      </c>
      <c r="BA204" s="151">
        <f>IF(K204="MRSA Central",(AG204/$BA$1)*'1. UC Assumptions'!$L$44-(AH204/$BA$2)*'1. UC Assumptions'!$L$42,0)</f>
        <v>0</v>
      </c>
      <c r="BB204" s="151">
        <f>IF(K204="MRSA Northeast",(AG204/$BB$1)*'1. UC Assumptions'!$M$44-(AH204/$BB$2)*'1. UC Assumptions'!$M$42,0)</f>
        <v>0</v>
      </c>
      <c r="BC204" s="151">
        <f>IF(K204="MRSA West",(AG204/$BC$1)*'1. UC Assumptions'!$N$44-(AH204/$BC$2)*'1. UC Assumptions'!$N$42,0)</f>
        <v>0</v>
      </c>
      <c r="BD204" s="151">
        <f>IF(K204="Nueces",(AG204/$BD$1)*'1. UC Assumptions'!$O$44-(AH204/$BD$2)*'1. UC Assumptions'!$O$42,0)</f>
        <v>0</v>
      </c>
      <c r="BE204" s="151">
        <f>IF(K204="Tarrant",(AG204/$BE$1)*'1. UC Assumptions'!$P$44-(AH204/$BE$2)*'1. UC Assumptions'!$P$42,0)</f>
        <v>0</v>
      </c>
      <c r="BF204" s="151">
        <f>IF(K204="Travis",(AG204/$BF$1)*'1. UC Assumptions'!$Q$44-(AH204/$BF$2)*'1. UC Assumptions'!$Q$42,0)</f>
        <v>0</v>
      </c>
      <c r="BG204" s="151">
        <f t="shared" si="78"/>
        <v>0</v>
      </c>
      <c r="BH204" s="151">
        <f t="shared" si="79"/>
        <v>1349189.2016142297</v>
      </c>
      <c r="BI204" s="151">
        <f>ROUNDDOWN(BH204*'1. UC Assumptions'!$C$23,2)</f>
        <v>445232.43</v>
      </c>
      <c r="BJ204" s="154">
        <f t="shared" si="80"/>
        <v>690475.70161422971</v>
      </c>
      <c r="BK204" s="154">
        <f t="shared" si="81"/>
        <v>227856.97500000001</v>
      </c>
      <c r="BL204" s="154">
        <f t="shared" si="82"/>
        <v>637461.04</v>
      </c>
      <c r="BM204" s="154">
        <f t="shared" si="83"/>
        <v>210362.14</v>
      </c>
      <c r="BN204" s="101"/>
      <c r="BO204" s="154">
        <f>(BL204*'1. UC Assumptions'!$C$23)-'3.  UC Calculations by Hospital'!BM204</f>
        <v>3.1999999773688614E-3</v>
      </c>
      <c r="BP204" s="13"/>
    </row>
    <row r="205" spans="2:68">
      <c r="B205" s="129" t="s">
        <v>718</v>
      </c>
      <c r="C205" s="91" t="s">
        <v>718</v>
      </c>
      <c r="D205" s="91" t="s">
        <v>214</v>
      </c>
      <c r="E205" s="91" t="s">
        <v>149</v>
      </c>
      <c r="F205" s="91"/>
      <c r="G205" s="91" t="s">
        <v>209</v>
      </c>
      <c r="H205" s="91" t="s">
        <v>209</v>
      </c>
      <c r="I205" s="150" t="s">
        <v>210</v>
      </c>
      <c r="J205" s="129" t="s">
        <v>719</v>
      </c>
      <c r="K205" s="91" t="s">
        <v>12</v>
      </c>
      <c r="L205" s="91" t="s">
        <v>476</v>
      </c>
      <c r="M205" s="151">
        <v>-4177482.140467165</v>
      </c>
      <c r="N205" s="151">
        <v>17144718.473052979</v>
      </c>
      <c r="O205" s="131">
        <v>14808416.600162692</v>
      </c>
      <c r="P205" s="131">
        <f t="shared" si="63"/>
        <v>2336301.8728902861</v>
      </c>
      <c r="Q205" s="131">
        <v>16215814.863003096</v>
      </c>
      <c r="R205" s="131">
        <v>4834404.4600000009</v>
      </c>
      <c r="S205" s="131">
        <f t="shared" si="64"/>
        <v>4834404.4600000009</v>
      </c>
      <c r="T205" s="131">
        <f t="shared" si="65"/>
        <v>11381410.403003095</v>
      </c>
      <c r="U205" s="131">
        <v>671603</v>
      </c>
      <c r="V205" s="131">
        <v>0</v>
      </c>
      <c r="W205" s="131">
        <v>0</v>
      </c>
      <c r="X205" s="131">
        <v>0</v>
      </c>
      <c r="Y205" s="131">
        <v>0</v>
      </c>
      <c r="Z205" s="131">
        <f t="shared" si="66"/>
        <v>671603</v>
      </c>
      <c r="AA205" s="131">
        <v>0</v>
      </c>
      <c r="AB205" s="152">
        <f t="shared" si="67"/>
        <v>12053013.403003095</v>
      </c>
      <c r="AC205" s="133">
        <f>IF(D205="Physician Group Practice",(AB205/$AB$393)*'1. UC Assumptions'!$C$15,IF(E205="Rural Hospital",AB205*'1. UC Assumptions'!$C$7/'1. UC Assumptions'!$E$7,(AB205/$AB$397)*('1. UC Assumptions'!$C$9)))</f>
        <v>11250710.892059246</v>
      </c>
      <c r="AD205" s="133">
        <f t="shared" si="68"/>
        <v>0</v>
      </c>
      <c r="AE205" s="133">
        <f t="shared" si="69"/>
        <v>802302.51094384864</v>
      </c>
      <c r="AF205" s="133">
        <f t="shared" si="70"/>
        <v>0</v>
      </c>
      <c r="AG205" s="133">
        <f t="shared" si="71"/>
        <v>802302.51094384864</v>
      </c>
      <c r="AH205" s="133">
        <f t="shared" si="72"/>
        <v>11250710.892059246</v>
      </c>
      <c r="AI205" s="131">
        <f>AH205*'1. UC Assumptions'!$C$23</f>
        <v>3712734.5943795508</v>
      </c>
      <c r="AJ205" s="131">
        <v>9042047.5600000005</v>
      </c>
      <c r="AK205" s="131">
        <f>AJ205*(1-'1. UC Assumptions'!$C$22)</f>
        <v>2983875.6947999997</v>
      </c>
      <c r="AL205" s="131"/>
      <c r="AM205" s="131">
        <f>AL205*'1. UC Assumptions'!$C$23</f>
        <v>0</v>
      </c>
      <c r="AN205" s="153">
        <f t="shared" si="73"/>
        <v>12053013.403003095</v>
      </c>
      <c r="AO205" s="151">
        <f>AN205*'1. UC Assumptions'!$C$23</f>
        <v>3977494.4229910206</v>
      </c>
      <c r="AP205" s="151">
        <f t="shared" si="74"/>
        <v>3010965.8430030942</v>
      </c>
      <c r="AQ205" s="151">
        <f t="shared" si="75"/>
        <v>993618.7281910209</v>
      </c>
      <c r="AR205" s="151">
        <f t="shared" si="76"/>
        <v>993618.7281910209</v>
      </c>
      <c r="AS205" s="151">
        <f t="shared" si="77"/>
        <v>3977494.4229910206</v>
      </c>
      <c r="AT205" s="151">
        <f>IF(K205="Bexar",(AG205/$AT$1)*'1. UC Assumptions'!$E$44-(AH205/$AT$2)*'1. UC Assumptions'!$E$42,0)</f>
        <v>0</v>
      </c>
      <c r="AU205" s="151">
        <f>IF(K205="Dallas",(AG205/$AU$1)*'1. UC Assumptions'!$F$44-(AH205/$AU$2)*'1. UC Assumptions'!$F$42,0)</f>
        <v>0</v>
      </c>
      <c r="AV205" s="151">
        <f>IF(K205="El Paso",(AG205/$AV$1)*'1. UC Assumptions'!$G$44-(AH205/$AV$2)*'1. UC Assumptions'!$G$42,0)</f>
        <v>0</v>
      </c>
      <c r="AW205" s="151">
        <f>IF(K205="Harris",(AG205/$AW$1)*'1. UC Assumptions'!$H$44-(AH205/$AW$2)*'1. UC Assumptions'!$H$42,0)</f>
        <v>0</v>
      </c>
      <c r="AX205" s="151">
        <f>IF(K205="Hidalgo",(AG205/$AX$1)*'1. UC Assumptions'!$I$44-(AH205/$AX$2)*'1. UC Assumptions'!$I$42,0)</f>
        <v>0</v>
      </c>
      <c r="AY205" s="151">
        <f>IF(K205="Jefferson",(AG205/$AY$1)*'1. UC Assumptions'!$J$44-(AH205/$AY$2)*'1. UC Assumptions'!$J$42,0)</f>
        <v>0</v>
      </c>
      <c r="AZ205" s="151">
        <f>IF(K205="Lubbock",(AG205/$AZ$1)*'1. UC Assumptions'!$K$44-(AH205/$AZ$2)*'1. UC Assumptions'!$K$42,0)</f>
        <v>0</v>
      </c>
      <c r="BA205" s="151">
        <f>IF(K205="MRSA Central",(AG205/$BA$1)*'1. UC Assumptions'!$L$44-(AH205/$BA$2)*'1. UC Assumptions'!$L$42,0)</f>
        <v>0</v>
      </c>
      <c r="BB205" s="151">
        <f>IF(K205="MRSA Northeast",(AG205/$BB$1)*'1. UC Assumptions'!$M$44-(AH205/$BB$2)*'1. UC Assumptions'!$M$42,0)</f>
        <v>0</v>
      </c>
      <c r="BC205" s="151">
        <f>IF(K205="MRSA West",(AG205/$BC$1)*'1. UC Assumptions'!$N$44-(AH205/$BC$2)*'1. UC Assumptions'!$N$42,0)</f>
        <v>0</v>
      </c>
      <c r="BD205" s="151">
        <f>IF(K205="Nueces",(AG205/$BD$1)*'1. UC Assumptions'!$O$44-(AH205/$BD$2)*'1. UC Assumptions'!$O$42,0)</f>
        <v>0</v>
      </c>
      <c r="BE205" s="151">
        <f>IF(K205="Tarrant",(AG205/$BE$1)*'1. UC Assumptions'!$P$44-(AH205/$BE$2)*'1. UC Assumptions'!$P$42,0)</f>
        <v>0</v>
      </c>
      <c r="BF205" s="151">
        <f>IF(K205="Travis",(AG205/$BF$1)*'1. UC Assumptions'!$Q$44-(AH205/$BF$2)*'1. UC Assumptions'!$Q$42,0)</f>
        <v>0</v>
      </c>
      <c r="BG205" s="151">
        <f t="shared" si="78"/>
        <v>0</v>
      </c>
      <c r="BH205" s="151">
        <f t="shared" si="79"/>
        <v>11250710.892059246</v>
      </c>
      <c r="BI205" s="151">
        <f>ROUNDDOWN(BH205*'1. UC Assumptions'!$C$23,2)</f>
        <v>3712734.59</v>
      </c>
      <c r="BJ205" s="154">
        <f t="shared" si="80"/>
        <v>2208663.3320592456</v>
      </c>
      <c r="BK205" s="154">
        <f t="shared" si="81"/>
        <v>728858.89520000014</v>
      </c>
      <c r="BL205" s="154">
        <f t="shared" si="82"/>
        <v>2039082.35</v>
      </c>
      <c r="BM205" s="154">
        <f t="shared" si="83"/>
        <v>672897.17</v>
      </c>
      <c r="BN205" s="101"/>
      <c r="BO205" s="154">
        <f>(BL205*'1. UC Assumptions'!$C$23)-'3.  UC Calculations by Hospital'!BM205</f>
        <v>5.4999998537823558E-3</v>
      </c>
      <c r="BP205" s="13"/>
    </row>
    <row r="206" spans="2:68">
      <c r="B206" s="129" t="s">
        <v>720</v>
      </c>
      <c r="C206" s="91" t="s">
        <v>720</v>
      </c>
      <c r="D206" s="91" t="s">
        <v>208</v>
      </c>
      <c r="E206" s="91" t="s">
        <v>149</v>
      </c>
      <c r="F206" s="91"/>
      <c r="G206" s="91" t="s">
        <v>209</v>
      </c>
      <c r="H206" s="91" t="s">
        <v>209</v>
      </c>
      <c r="I206" s="150" t="s">
        <v>210</v>
      </c>
      <c r="J206" s="129" t="s">
        <v>721</v>
      </c>
      <c r="K206" s="91" t="s">
        <v>12</v>
      </c>
      <c r="L206" s="91" t="s">
        <v>722</v>
      </c>
      <c r="M206" s="151">
        <v>1598079.9651505919</v>
      </c>
      <c r="N206" s="151">
        <v>1630659.3356719825</v>
      </c>
      <c r="O206" s="131">
        <v>1069563.3823117823</v>
      </c>
      <c r="P206" s="131">
        <f t="shared" si="63"/>
        <v>561095.95336020016</v>
      </c>
      <c r="Q206" s="131">
        <v>1494601.4869793281</v>
      </c>
      <c r="R206" s="131">
        <v>909513.34000000008</v>
      </c>
      <c r="S206" s="131">
        <f t="shared" si="64"/>
        <v>0</v>
      </c>
      <c r="T206" s="131">
        <f t="shared" si="65"/>
        <v>1494601.4869793281</v>
      </c>
      <c r="U206" s="131">
        <v>0</v>
      </c>
      <c r="V206" s="131">
        <v>0</v>
      </c>
      <c r="W206" s="131">
        <v>0</v>
      </c>
      <c r="X206" s="131">
        <v>0</v>
      </c>
      <c r="Y206" s="131">
        <v>0</v>
      </c>
      <c r="Z206" s="131">
        <f t="shared" si="66"/>
        <v>0</v>
      </c>
      <c r="AA206" s="131">
        <v>0</v>
      </c>
      <c r="AB206" s="152">
        <f t="shared" si="67"/>
        <v>1494601.4869793281</v>
      </c>
      <c r="AC206" s="133">
        <f>IF(D206="Physician Group Practice",(AB206/$AB$393)*'1. UC Assumptions'!$C$15,IF(E206="Rural Hospital",AB206*'1. UC Assumptions'!$C$7/'1. UC Assumptions'!$E$7,(AB206/$AB$397)*('1. UC Assumptions'!$C$9)))</f>
        <v>1395114.1234653078</v>
      </c>
      <c r="AD206" s="133">
        <f t="shared" si="68"/>
        <v>0</v>
      </c>
      <c r="AE206" s="133">
        <f t="shared" si="69"/>
        <v>99487.363514020341</v>
      </c>
      <c r="AF206" s="133">
        <f t="shared" si="70"/>
        <v>0</v>
      </c>
      <c r="AG206" s="133">
        <f t="shared" si="71"/>
        <v>99487.363514020341</v>
      </c>
      <c r="AH206" s="133">
        <f t="shared" si="72"/>
        <v>1395114.1234653078</v>
      </c>
      <c r="AI206" s="131">
        <f>AH206*'1. UC Assumptions'!$C$23</f>
        <v>460387.6607435515</v>
      </c>
      <c r="AJ206" s="131">
        <v>746931.29</v>
      </c>
      <c r="AK206" s="131">
        <f>AJ206*(1-'1. UC Assumptions'!$C$22)</f>
        <v>246487.32569999999</v>
      </c>
      <c r="AL206" s="131"/>
      <c r="AM206" s="131">
        <f>AL206*'1. UC Assumptions'!$C$23</f>
        <v>0</v>
      </c>
      <c r="AN206" s="153">
        <f t="shared" si="73"/>
        <v>1494601.4869793281</v>
      </c>
      <c r="AO206" s="151">
        <f>AN206*'1. UC Assumptions'!$C$23</f>
        <v>493218.49070317822</v>
      </c>
      <c r="AP206" s="151">
        <f t="shared" si="74"/>
        <v>747670.19697932806</v>
      </c>
      <c r="AQ206" s="151">
        <f t="shared" si="75"/>
        <v>246731.16500317823</v>
      </c>
      <c r="AR206" s="151">
        <f t="shared" si="76"/>
        <v>246731.16500317823</v>
      </c>
      <c r="AS206" s="151">
        <f t="shared" si="77"/>
        <v>493218.49070317822</v>
      </c>
      <c r="AT206" s="151">
        <f>IF(K206="Bexar",(AG206/$AT$1)*'1. UC Assumptions'!$E$44-(AH206/$AT$2)*'1. UC Assumptions'!$E$42,0)</f>
        <v>0</v>
      </c>
      <c r="AU206" s="151">
        <f>IF(K206="Dallas",(AG206/$AU$1)*'1. UC Assumptions'!$F$44-(AH206/$AU$2)*'1. UC Assumptions'!$F$42,0)</f>
        <v>0</v>
      </c>
      <c r="AV206" s="151">
        <f>IF(K206="El Paso",(AG206/$AV$1)*'1. UC Assumptions'!$G$44-(AH206/$AV$2)*'1. UC Assumptions'!$G$42,0)</f>
        <v>0</v>
      </c>
      <c r="AW206" s="151">
        <f>IF(K206="Harris",(AG206/$AW$1)*'1. UC Assumptions'!$H$44-(AH206/$AW$2)*'1. UC Assumptions'!$H$42,0)</f>
        <v>0</v>
      </c>
      <c r="AX206" s="151">
        <f>IF(K206="Hidalgo",(AG206/$AX$1)*'1. UC Assumptions'!$I$44-(AH206/$AX$2)*'1. UC Assumptions'!$I$42,0)</f>
        <v>0</v>
      </c>
      <c r="AY206" s="151">
        <f>IF(K206="Jefferson",(AG206/$AY$1)*'1. UC Assumptions'!$J$44-(AH206/$AY$2)*'1. UC Assumptions'!$J$42,0)</f>
        <v>0</v>
      </c>
      <c r="AZ206" s="151">
        <f>IF(K206="Lubbock",(AG206/$AZ$1)*'1. UC Assumptions'!$K$44-(AH206/$AZ$2)*'1. UC Assumptions'!$K$42,0)</f>
        <v>0</v>
      </c>
      <c r="BA206" s="151">
        <f>IF(K206="MRSA Central",(AG206/$BA$1)*'1. UC Assumptions'!$L$44-(AH206/$BA$2)*'1. UC Assumptions'!$L$42,0)</f>
        <v>0</v>
      </c>
      <c r="BB206" s="151">
        <f>IF(K206="MRSA Northeast",(AG206/$BB$1)*'1. UC Assumptions'!$M$44-(AH206/$BB$2)*'1. UC Assumptions'!$M$42,0)</f>
        <v>0</v>
      </c>
      <c r="BC206" s="151">
        <f>IF(K206="MRSA West",(AG206/$BC$1)*'1. UC Assumptions'!$N$44-(AH206/$BC$2)*'1. UC Assumptions'!$N$42,0)</f>
        <v>0</v>
      </c>
      <c r="BD206" s="151">
        <f>IF(K206="Nueces",(AG206/$BD$1)*'1. UC Assumptions'!$O$44-(AH206/$BD$2)*'1. UC Assumptions'!$O$42,0)</f>
        <v>0</v>
      </c>
      <c r="BE206" s="151">
        <f>IF(K206="Tarrant",(AG206/$BE$1)*'1. UC Assumptions'!$P$44-(AH206/$BE$2)*'1. UC Assumptions'!$P$42,0)</f>
        <v>0</v>
      </c>
      <c r="BF206" s="151">
        <f>IF(K206="Travis",(AG206/$BF$1)*'1. UC Assumptions'!$Q$44-(AH206/$BF$2)*'1. UC Assumptions'!$Q$42,0)</f>
        <v>0</v>
      </c>
      <c r="BG206" s="151">
        <f t="shared" si="78"/>
        <v>0</v>
      </c>
      <c r="BH206" s="151">
        <f t="shared" si="79"/>
        <v>1395114.1234653078</v>
      </c>
      <c r="BI206" s="151">
        <f>ROUNDDOWN(BH206*'1. UC Assumptions'!$C$23,2)</f>
        <v>460387.66</v>
      </c>
      <c r="BJ206" s="154">
        <f t="shared" si="80"/>
        <v>648182.83346530772</v>
      </c>
      <c r="BK206" s="154">
        <f t="shared" si="81"/>
        <v>213900.33429999999</v>
      </c>
      <c r="BL206" s="154">
        <f t="shared" si="82"/>
        <v>598415.41</v>
      </c>
      <c r="BM206" s="154">
        <f t="shared" si="83"/>
        <v>197477.08</v>
      </c>
      <c r="BN206" s="101"/>
      <c r="BO206" s="154">
        <f>(BL206*'1. UC Assumptions'!$C$23)-'3.  UC Calculations by Hospital'!BM206</f>
        <v>5.2999999898020178E-3</v>
      </c>
      <c r="BP206" s="13"/>
    </row>
    <row r="207" spans="2:68">
      <c r="B207" s="129" t="s">
        <v>723</v>
      </c>
      <c r="C207" s="91" t="s">
        <v>723</v>
      </c>
      <c r="D207" s="91" t="s">
        <v>214</v>
      </c>
      <c r="E207" s="91" t="s">
        <v>209</v>
      </c>
      <c r="F207" s="91"/>
      <c r="G207" s="91" t="s">
        <v>209</v>
      </c>
      <c r="H207" s="91" t="s">
        <v>209</v>
      </c>
      <c r="I207" s="150" t="s">
        <v>210</v>
      </c>
      <c r="J207" s="129" t="s">
        <v>724</v>
      </c>
      <c r="K207" s="91" t="s">
        <v>9</v>
      </c>
      <c r="L207" s="91" t="s">
        <v>725</v>
      </c>
      <c r="M207" s="151">
        <v>70197.694269838277</v>
      </c>
      <c r="N207" s="151">
        <v>35069036.829233125</v>
      </c>
      <c r="O207" s="131">
        <v>23125125.173913907</v>
      </c>
      <c r="P207" s="131">
        <f t="shared" si="63"/>
        <v>11943911.655319218</v>
      </c>
      <c r="Q207" s="131">
        <v>29680414.820116114</v>
      </c>
      <c r="R207" s="131">
        <v>13042489.970000001</v>
      </c>
      <c r="S207" s="131">
        <f t="shared" si="64"/>
        <v>1028380.6204109453</v>
      </c>
      <c r="T207" s="131">
        <f t="shared" si="65"/>
        <v>28652034.199705169</v>
      </c>
      <c r="U207" s="131">
        <v>6971983</v>
      </c>
      <c r="V207" s="131">
        <v>0</v>
      </c>
      <c r="W207" s="131">
        <v>0</v>
      </c>
      <c r="X207" s="131">
        <v>0</v>
      </c>
      <c r="Y207" s="131">
        <v>3878705</v>
      </c>
      <c r="Z207" s="131">
        <f t="shared" si="66"/>
        <v>10850688</v>
      </c>
      <c r="AA207" s="131">
        <v>0</v>
      </c>
      <c r="AB207" s="152">
        <f t="shared" si="67"/>
        <v>39502722.199705169</v>
      </c>
      <c r="AC207" s="133">
        <f>IF(D207="Physician Group Practice",(AB207/$AB$393)*'1. UC Assumptions'!$C$15,IF(E207="Rural Hospital",AB207*'1. UC Assumptions'!$C$7/'1. UC Assumptions'!$E$7,(AB207/$AB$397)*('1. UC Assumptions'!$C$9)))</f>
        <v>18572031.295427434</v>
      </c>
      <c r="AD207" s="133">
        <f t="shared" si="68"/>
        <v>0</v>
      </c>
      <c r="AE207" s="133">
        <f t="shared" si="69"/>
        <v>20930690.904277734</v>
      </c>
      <c r="AF207" s="133">
        <f t="shared" si="70"/>
        <v>0</v>
      </c>
      <c r="AG207" s="133">
        <f t="shared" si="71"/>
        <v>20930690.904277734</v>
      </c>
      <c r="AH207" s="133">
        <f t="shared" si="72"/>
        <v>18572031.295427434</v>
      </c>
      <c r="AI207" s="131">
        <f>AH207*'1. UC Assumptions'!$C$23</f>
        <v>6128770.3274910524</v>
      </c>
      <c r="AJ207" s="131">
        <v>18753958.460000001</v>
      </c>
      <c r="AK207" s="131">
        <f>AJ207*(1-'1. UC Assumptions'!$C$22)</f>
        <v>6188806.2917999998</v>
      </c>
      <c r="AL207" s="131"/>
      <c r="AM207" s="131">
        <f>AL207*'1. UC Assumptions'!$C$23</f>
        <v>0</v>
      </c>
      <c r="AN207" s="153">
        <f t="shared" si="73"/>
        <v>39502722.199705169</v>
      </c>
      <c r="AO207" s="151">
        <f>AN207*'1. UC Assumptions'!$C$23</f>
        <v>13035898.325902704</v>
      </c>
      <c r="AP207" s="151">
        <f t="shared" si="74"/>
        <v>20748763.739705168</v>
      </c>
      <c r="AQ207" s="151">
        <f t="shared" si="75"/>
        <v>6847092.0341027044</v>
      </c>
      <c r="AR207" s="151">
        <f t="shared" si="76"/>
        <v>6847092.0341027044</v>
      </c>
      <c r="AS207" s="151">
        <f t="shared" si="77"/>
        <v>13035898.325902704</v>
      </c>
      <c r="AT207" s="151">
        <f>IF(K207="Bexar",(AG207/$AT$1)*'1. UC Assumptions'!$E$44-(AH207/$AT$2)*'1. UC Assumptions'!$E$42,0)</f>
        <v>0</v>
      </c>
      <c r="AU207" s="151">
        <f>IF(K207="Dallas",(AG207/$AU$1)*'1. UC Assumptions'!$F$44-(AH207/$AU$2)*'1. UC Assumptions'!$F$42,0)</f>
        <v>0</v>
      </c>
      <c r="AV207" s="151">
        <f>IF(K207="El Paso",(AG207/$AV$1)*'1. UC Assumptions'!$G$44-(AH207/$AV$2)*'1. UC Assumptions'!$G$42,0)</f>
        <v>0</v>
      </c>
      <c r="AW207" s="151">
        <f>IF(K207="Harris",(AG207/$AW$1)*'1. UC Assumptions'!$H$44-(AH207/$AW$2)*'1. UC Assumptions'!$H$42,0)</f>
        <v>0</v>
      </c>
      <c r="AX207" s="151">
        <f>IF(K207="Hidalgo",(AG207/$AX$1)*'1. UC Assumptions'!$I$44-(AH207/$AX$2)*'1. UC Assumptions'!$I$42,0)</f>
        <v>0</v>
      </c>
      <c r="AY207" s="151">
        <f>IF(K207="Jefferson",(AG207/$AY$1)*'1. UC Assumptions'!$J$44-(AH207/$AY$2)*'1. UC Assumptions'!$J$42,0)</f>
        <v>0</v>
      </c>
      <c r="AZ207" s="151">
        <f>IF(K207="Lubbock",(AG207/$AZ$1)*'1. UC Assumptions'!$K$44-(AH207/$AZ$2)*'1. UC Assumptions'!$K$42,0)</f>
        <v>0</v>
      </c>
      <c r="BA207" s="151">
        <f>IF(K207="MRSA Central",(AG207/$BA$1)*'1. UC Assumptions'!$L$44-(AH207/$BA$2)*'1. UC Assumptions'!$L$42,0)</f>
        <v>0</v>
      </c>
      <c r="BB207" s="151">
        <f>IF(K207="MRSA Northeast",(AG207/$BB$1)*'1. UC Assumptions'!$M$44-(AH207/$BB$2)*'1. UC Assumptions'!$M$42,0)</f>
        <v>0</v>
      </c>
      <c r="BC207" s="151">
        <f>IF(K207="MRSA West",(AG207/$BC$1)*'1. UC Assumptions'!$N$44-(AH207/$BC$2)*'1. UC Assumptions'!$N$42,0)</f>
        <v>0</v>
      </c>
      <c r="BD207" s="151">
        <f>IF(K207="Nueces",(AG207/$BD$1)*'1. UC Assumptions'!$O$44-(AH207/$BD$2)*'1. UC Assumptions'!$O$42,0)</f>
        <v>0</v>
      </c>
      <c r="BE207" s="151">
        <f>IF(K207="Tarrant",(AG207/$BE$1)*'1. UC Assumptions'!$P$44-(AH207/$BE$2)*'1. UC Assumptions'!$P$42,0)</f>
        <v>0</v>
      </c>
      <c r="BF207" s="151">
        <f>IF(K207="Travis",(AG207/$BF$1)*'1. UC Assumptions'!$Q$44-(AH207/$BF$2)*'1. UC Assumptions'!$Q$42,0)</f>
        <v>0</v>
      </c>
      <c r="BG207" s="151">
        <f t="shared" si="78"/>
        <v>0</v>
      </c>
      <c r="BH207" s="151">
        <f t="shared" si="79"/>
        <v>18572031.295427434</v>
      </c>
      <c r="BI207" s="151">
        <f>ROUNDDOWN(BH207*'1. UC Assumptions'!$C$23,2)</f>
        <v>6128770.3200000003</v>
      </c>
      <c r="BJ207" s="154">
        <f t="shared" si="80"/>
        <v>-181927.16457256675</v>
      </c>
      <c r="BK207" s="154">
        <f t="shared" si="81"/>
        <v>-60035.971799999475</v>
      </c>
      <c r="BL207" s="154">
        <f t="shared" si="82"/>
        <v>0</v>
      </c>
      <c r="BM207" s="154">
        <f t="shared" si="83"/>
        <v>0</v>
      </c>
      <c r="BN207" s="101"/>
      <c r="BO207" s="154">
        <f>(BL207*'1. UC Assumptions'!$C$23)-'3.  UC Calculations by Hospital'!BM207</f>
        <v>0</v>
      </c>
      <c r="BP207" s="13"/>
    </row>
    <row r="208" spans="2:68">
      <c r="B208" s="129" t="s">
        <v>726</v>
      </c>
      <c r="C208" s="91" t="s">
        <v>726</v>
      </c>
      <c r="D208" s="91" t="s">
        <v>214</v>
      </c>
      <c r="E208" s="91" t="s">
        <v>209</v>
      </c>
      <c r="F208" s="91"/>
      <c r="G208" s="91" t="s">
        <v>209</v>
      </c>
      <c r="H208" s="91" t="s">
        <v>209</v>
      </c>
      <c r="I208" s="150" t="s">
        <v>210</v>
      </c>
      <c r="J208" s="129" t="s">
        <v>727</v>
      </c>
      <c r="K208" s="91" t="s">
        <v>10</v>
      </c>
      <c r="L208" s="91" t="s">
        <v>327</v>
      </c>
      <c r="M208" s="151">
        <v>-10603808.502567058</v>
      </c>
      <c r="N208" s="151">
        <v>61968782.5382175</v>
      </c>
      <c r="O208" s="131">
        <v>40963266.050804362</v>
      </c>
      <c r="P208" s="131">
        <f t="shared" si="63"/>
        <v>21005516.487413138</v>
      </c>
      <c r="Q208" s="131">
        <v>66819267.220830724</v>
      </c>
      <c r="R208" s="131">
        <v>19096041.379999999</v>
      </c>
      <c r="S208" s="131">
        <f t="shared" si="64"/>
        <v>8694333.3951539174</v>
      </c>
      <c r="T208" s="131">
        <f t="shared" si="65"/>
        <v>58124933.825676806</v>
      </c>
      <c r="U208" s="131">
        <v>10971617.74</v>
      </c>
      <c r="V208" s="131">
        <v>0</v>
      </c>
      <c r="W208" s="131">
        <v>0</v>
      </c>
      <c r="X208" s="131">
        <v>0</v>
      </c>
      <c r="Y208" s="131">
        <v>0</v>
      </c>
      <c r="Z208" s="131">
        <f t="shared" si="66"/>
        <v>10971617.74</v>
      </c>
      <c r="AA208" s="131">
        <v>0</v>
      </c>
      <c r="AB208" s="152">
        <f t="shared" si="67"/>
        <v>69096551.565676808</v>
      </c>
      <c r="AC208" s="133">
        <f>IF(D208="Physician Group Practice",(AB208/$AB$393)*'1. UC Assumptions'!$C$15,IF(E208="Rural Hospital",AB208*'1. UC Assumptions'!$C$7/'1. UC Assumptions'!$E$7,(AB208/$AB$397)*('1. UC Assumptions'!$C$9)))</f>
        <v>32485440.157677107</v>
      </c>
      <c r="AD208" s="133">
        <f t="shared" si="68"/>
        <v>0</v>
      </c>
      <c r="AE208" s="133">
        <f t="shared" si="69"/>
        <v>36611111.407999702</v>
      </c>
      <c r="AF208" s="133">
        <f t="shared" si="70"/>
        <v>0</v>
      </c>
      <c r="AG208" s="133">
        <f t="shared" si="71"/>
        <v>36611111.407999702</v>
      </c>
      <c r="AH208" s="133">
        <f t="shared" si="72"/>
        <v>32485440.157677107</v>
      </c>
      <c r="AI208" s="131">
        <f>AH208*'1. UC Assumptions'!$C$23</f>
        <v>10720195.252033444</v>
      </c>
      <c r="AJ208" s="131">
        <v>22950489.66</v>
      </c>
      <c r="AK208" s="131">
        <f>AJ208*(1-'1. UC Assumptions'!$C$22)</f>
        <v>7573661.5877999989</v>
      </c>
      <c r="AL208" s="131"/>
      <c r="AM208" s="131">
        <f>AL208*'1. UC Assumptions'!$C$23</f>
        <v>0</v>
      </c>
      <c r="AN208" s="153">
        <f t="shared" si="73"/>
        <v>69096551.565676808</v>
      </c>
      <c r="AO208" s="151">
        <f>AN208*'1. UC Assumptions'!$C$23</f>
        <v>22801862.016673345</v>
      </c>
      <c r="AP208" s="151">
        <f t="shared" si="74"/>
        <v>46146061.905676812</v>
      </c>
      <c r="AQ208" s="151">
        <f t="shared" si="75"/>
        <v>15228200.428873345</v>
      </c>
      <c r="AR208" s="151">
        <f t="shared" si="76"/>
        <v>15228200.428873345</v>
      </c>
      <c r="AS208" s="151">
        <f t="shared" si="77"/>
        <v>22801862.016673345</v>
      </c>
      <c r="AT208" s="151">
        <f>IF(K208="Bexar",(AG208/$AT$1)*'1. UC Assumptions'!$E$44-(AH208/$AT$2)*'1. UC Assumptions'!$E$42,0)</f>
        <v>0</v>
      </c>
      <c r="AU208" s="151">
        <f>IF(K208="Dallas",(AG208/$AU$1)*'1. UC Assumptions'!$F$44-(AH208/$AU$2)*'1. UC Assumptions'!$F$42,0)</f>
        <v>0</v>
      </c>
      <c r="AV208" s="151">
        <f>IF(K208="El Paso",(AG208/$AV$1)*'1. UC Assumptions'!$G$44-(AH208/$AV$2)*'1. UC Assumptions'!$G$42,0)</f>
        <v>0</v>
      </c>
      <c r="AW208" s="151">
        <f>IF(K208="Harris",(AG208/$AW$1)*'1. UC Assumptions'!$H$44-(AH208/$AW$2)*'1. UC Assumptions'!$H$42,0)</f>
        <v>0</v>
      </c>
      <c r="AX208" s="151">
        <f>IF(K208="Hidalgo",(AG208/$AX$1)*'1. UC Assumptions'!$I$44-(AH208/$AX$2)*'1. UC Assumptions'!$I$42,0)</f>
        <v>0</v>
      </c>
      <c r="AY208" s="151">
        <f>IF(K208="Jefferson",(AG208/$AY$1)*'1. UC Assumptions'!$J$44-(AH208/$AY$2)*'1. UC Assumptions'!$J$42,0)</f>
        <v>0</v>
      </c>
      <c r="AZ208" s="151">
        <f>IF(K208="Lubbock",(AG208/$AZ$1)*'1. UC Assumptions'!$K$44-(AH208/$AZ$2)*'1. UC Assumptions'!$K$42,0)</f>
        <v>0</v>
      </c>
      <c r="BA208" s="151">
        <f>IF(K208="MRSA Central",(AG208/$BA$1)*'1. UC Assumptions'!$L$44-(AH208/$BA$2)*'1. UC Assumptions'!$L$42,0)</f>
        <v>0</v>
      </c>
      <c r="BB208" s="151">
        <f>IF(K208="MRSA Northeast",(AG208/$BB$1)*'1. UC Assumptions'!$M$44-(AH208/$BB$2)*'1. UC Assumptions'!$M$42,0)</f>
        <v>0</v>
      </c>
      <c r="BC208" s="151">
        <f>IF(K208="MRSA West",(AG208/$BC$1)*'1. UC Assumptions'!$N$44-(AH208/$BC$2)*'1. UC Assumptions'!$N$42,0)</f>
        <v>0</v>
      </c>
      <c r="BD208" s="151">
        <f>IF(K208="Nueces",(AG208/$BD$1)*'1. UC Assumptions'!$O$44-(AH208/$BD$2)*'1. UC Assumptions'!$O$42,0)</f>
        <v>0</v>
      </c>
      <c r="BE208" s="151">
        <f>IF(K208="Tarrant",(AG208/$BE$1)*'1. UC Assumptions'!$P$44-(AH208/$BE$2)*'1. UC Assumptions'!$P$42,0)</f>
        <v>0</v>
      </c>
      <c r="BF208" s="151">
        <f>IF(K208="Travis",(AG208/$BF$1)*'1. UC Assumptions'!$Q$44-(AH208/$BF$2)*'1. UC Assumptions'!$Q$42,0)</f>
        <v>0</v>
      </c>
      <c r="BG208" s="151">
        <f t="shared" si="78"/>
        <v>0</v>
      </c>
      <c r="BH208" s="151">
        <f t="shared" si="79"/>
        <v>32485440.157677107</v>
      </c>
      <c r="BI208" s="151">
        <f>ROUNDDOWN(BH208*'1. UC Assumptions'!$C$23,2)</f>
        <v>10720195.25</v>
      </c>
      <c r="BJ208" s="154">
        <f t="shared" si="80"/>
        <v>9534950.4976771064</v>
      </c>
      <c r="BK208" s="154">
        <f t="shared" si="81"/>
        <v>3146533.6622000011</v>
      </c>
      <c r="BL208" s="154">
        <f t="shared" si="82"/>
        <v>8802857.8200000003</v>
      </c>
      <c r="BM208" s="154">
        <f t="shared" si="83"/>
        <v>2904943.07</v>
      </c>
      <c r="BN208" s="101"/>
      <c r="BO208" s="154">
        <f>(BL208*'1. UC Assumptions'!$C$23)-'3.  UC Calculations by Hospital'!BM208</f>
        <v>1.0599999688565731E-2</v>
      </c>
      <c r="BP208" s="13"/>
    </row>
    <row r="209" spans="2:68">
      <c r="B209" s="129" t="s">
        <v>728</v>
      </c>
      <c r="C209" s="91" t="s">
        <v>728</v>
      </c>
      <c r="D209" s="91" t="s">
        <v>208</v>
      </c>
      <c r="E209" s="91" t="s">
        <v>209</v>
      </c>
      <c r="F209" s="91"/>
      <c r="G209" s="91" t="s">
        <v>209</v>
      </c>
      <c r="H209" s="91" t="s">
        <v>209</v>
      </c>
      <c r="I209" s="150" t="s">
        <v>210</v>
      </c>
      <c r="J209" s="129" t="s">
        <v>346</v>
      </c>
      <c r="K209" s="91" t="s">
        <v>15</v>
      </c>
      <c r="L209" s="91" t="s">
        <v>15</v>
      </c>
      <c r="M209" s="151">
        <v>-1029544.3608066724</v>
      </c>
      <c r="N209" s="151">
        <v>118221959.20435363</v>
      </c>
      <c r="O209" s="131">
        <v>114154658.78781426</v>
      </c>
      <c r="P209" s="131">
        <f t="shared" si="63"/>
        <v>4067300.416539371</v>
      </c>
      <c r="Q209" s="131">
        <v>124858063.03035462</v>
      </c>
      <c r="R209" s="131">
        <v>0</v>
      </c>
      <c r="S209" s="131">
        <f t="shared" si="64"/>
        <v>0</v>
      </c>
      <c r="T209" s="131">
        <f t="shared" si="65"/>
        <v>124858063.03035462</v>
      </c>
      <c r="U209" s="131">
        <v>4636480</v>
      </c>
      <c r="V209" s="131">
        <v>0</v>
      </c>
      <c r="W209" s="131">
        <v>0</v>
      </c>
      <c r="X209" s="131">
        <v>0</v>
      </c>
      <c r="Y209" s="131">
        <v>6268499</v>
      </c>
      <c r="Z209" s="131">
        <f t="shared" si="66"/>
        <v>10904979</v>
      </c>
      <c r="AA209" s="131">
        <v>0</v>
      </c>
      <c r="AB209" s="152">
        <f t="shared" si="67"/>
        <v>135763042.03035462</v>
      </c>
      <c r="AC209" s="133">
        <f>IF(D209="Physician Group Practice",(AB209/$AB$393)*'1. UC Assumptions'!$C$15,IF(E209="Rural Hospital",AB209*'1. UC Assumptions'!$C$7/'1. UC Assumptions'!$E$7,(AB209/$AB$397)*('1. UC Assumptions'!$C$9)))</f>
        <v>63828397.764673404</v>
      </c>
      <c r="AD209" s="133">
        <f t="shared" si="68"/>
        <v>0</v>
      </c>
      <c r="AE209" s="133">
        <f t="shared" si="69"/>
        <v>71934644.265681207</v>
      </c>
      <c r="AF209" s="133">
        <f t="shared" si="70"/>
        <v>0</v>
      </c>
      <c r="AG209" s="133">
        <f t="shared" si="71"/>
        <v>71934644.265681207</v>
      </c>
      <c r="AH209" s="133">
        <f t="shared" si="72"/>
        <v>63828397.764673404</v>
      </c>
      <c r="AI209" s="131">
        <f>AH209*'1. UC Assumptions'!$C$23</f>
        <v>21063371.262342222</v>
      </c>
      <c r="AJ209" s="131">
        <v>57275185.090000004</v>
      </c>
      <c r="AK209" s="131">
        <f>AJ209*(1-'1. UC Assumptions'!$C$22)</f>
        <v>18900811.079700001</v>
      </c>
      <c r="AL209" s="131"/>
      <c r="AM209" s="131">
        <f>AL209*'1. UC Assumptions'!$C$23</f>
        <v>0</v>
      </c>
      <c r="AN209" s="153">
        <f t="shared" si="73"/>
        <v>135763042.03035462</v>
      </c>
      <c r="AO209" s="151">
        <f>AN209*'1. UC Assumptions'!$C$23</f>
        <v>44801803.870017022</v>
      </c>
      <c r="AP209" s="151">
        <f t="shared" si="74"/>
        <v>78487856.940354615</v>
      </c>
      <c r="AQ209" s="151">
        <f t="shared" si="75"/>
        <v>25900992.790317021</v>
      </c>
      <c r="AR209" s="151">
        <f t="shared" si="76"/>
        <v>25900992.790317021</v>
      </c>
      <c r="AS209" s="151">
        <f t="shared" si="77"/>
        <v>44801803.870017022</v>
      </c>
      <c r="AT209" s="151">
        <f>IF(K209="Bexar",(AG209/$AT$1)*'1. UC Assumptions'!$E$44-(AH209/$AT$2)*'1. UC Assumptions'!$E$42,0)</f>
        <v>0</v>
      </c>
      <c r="AU209" s="151">
        <f>IF(K209="Dallas",(AG209/$AU$1)*'1. UC Assumptions'!$F$44-(AH209/$AU$2)*'1. UC Assumptions'!$F$42,0)</f>
        <v>0</v>
      </c>
      <c r="AV209" s="151">
        <f>IF(K209="El Paso",(AG209/$AV$1)*'1. UC Assumptions'!$G$44-(AH209/$AV$2)*'1. UC Assumptions'!$G$42,0)</f>
        <v>0</v>
      </c>
      <c r="AW209" s="151">
        <f>IF(K209="Harris",(AG209/$AW$1)*'1. UC Assumptions'!$H$44-(AH209/$AW$2)*'1. UC Assumptions'!$H$42,0)</f>
        <v>0</v>
      </c>
      <c r="AX209" s="151">
        <f>IF(K209="Hidalgo",(AG209/$AX$1)*'1. UC Assumptions'!$I$44-(AH209/$AX$2)*'1. UC Assumptions'!$I$42,0)</f>
        <v>0</v>
      </c>
      <c r="AY209" s="151">
        <f>IF(K209="Jefferson",(AG209/$AY$1)*'1. UC Assumptions'!$J$44-(AH209/$AY$2)*'1. UC Assumptions'!$J$42,0)</f>
        <v>0</v>
      </c>
      <c r="AZ209" s="151">
        <f>IF(K209="Lubbock",(AG209/$AZ$1)*'1. UC Assumptions'!$K$44-(AH209/$AZ$2)*'1. UC Assumptions'!$K$42,0)</f>
        <v>0</v>
      </c>
      <c r="BA209" s="151">
        <f>IF(K209="MRSA Central",(AG209/$BA$1)*'1. UC Assumptions'!$L$44-(AH209/$BA$2)*'1. UC Assumptions'!$L$42,0)</f>
        <v>0</v>
      </c>
      <c r="BB209" s="151">
        <f>IF(K209="MRSA Northeast",(AG209/$BB$1)*'1. UC Assumptions'!$M$44-(AH209/$BB$2)*'1. UC Assumptions'!$M$42,0)</f>
        <v>0</v>
      </c>
      <c r="BC209" s="151">
        <f>IF(K209="MRSA West",(AG209/$BC$1)*'1. UC Assumptions'!$N$44-(AH209/$BC$2)*'1. UC Assumptions'!$N$42,0)</f>
        <v>0</v>
      </c>
      <c r="BD209" s="151">
        <f>IF(K209="Nueces",(AG209/$BD$1)*'1. UC Assumptions'!$O$44-(AH209/$BD$2)*'1. UC Assumptions'!$O$42,0)</f>
        <v>0</v>
      </c>
      <c r="BE209" s="151">
        <f>IF(K209="Tarrant",(AG209/$BE$1)*'1. UC Assumptions'!$P$44-(AH209/$BE$2)*'1. UC Assumptions'!$P$42,0)</f>
        <v>0</v>
      </c>
      <c r="BF209" s="151">
        <f>IF(K209="Travis",(AG209/$BF$1)*'1. UC Assumptions'!$Q$44-(AH209/$BF$2)*'1. UC Assumptions'!$Q$42,0)</f>
        <v>0</v>
      </c>
      <c r="BG209" s="151">
        <f t="shared" si="78"/>
        <v>0</v>
      </c>
      <c r="BH209" s="151">
        <f t="shared" si="79"/>
        <v>63828397.764673404</v>
      </c>
      <c r="BI209" s="151">
        <f>ROUNDDOWN(BH209*'1. UC Assumptions'!$C$23,2)</f>
        <v>21063371.260000002</v>
      </c>
      <c r="BJ209" s="154">
        <f t="shared" si="80"/>
        <v>6553212.6746734008</v>
      </c>
      <c r="BK209" s="154">
        <f t="shared" si="81"/>
        <v>2162560.1803000011</v>
      </c>
      <c r="BL209" s="154">
        <f t="shared" si="82"/>
        <v>6050057.5700000003</v>
      </c>
      <c r="BM209" s="154">
        <f t="shared" si="83"/>
        <v>1996518.99</v>
      </c>
      <c r="BN209" s="101"/>
      <c r="BO209" s="154">
        <f>(BL209*'1. UC Assumptions'!$C$23)-'3.  UC Calculations by Hospital'!BM209</f>
        <v>8.0999999772757292E-3</v>
      </c>
      <c r="BP209" s="13"/>
    </row>
    <row r="210" spans="2:68">
      <c r="B210" s="129" t="s">
        <v>729</v>
      </c>
      <c r="C210" s="91" t="s">
        <v>729</v>
      </c>
      <c r="D210" s="91" t="s">
        <v>214</v>
      </c>
      <c r="E210" s="91" t="s">
        <v>149</v>
      </c>
      <c r="F210" s="91"/>
      <c r="G210" s="91" t="s">
        <v>209</v>
      </c>
      <c r="H210" s="91" t="s">
        <v>209</v>
      </c>
      <c r="I210" s="150" t="s">
        <v>210</v>
      </c>
      <c r="J210" s="129" t="s">
        <v>730</v>
      </c>
      <c r="K210" s="91" t="s">
        <v>12</v>
      </c>
      <c r="L210" s="91" t="s">
        <v>731</v>
      </c>
      <c r="M210" s="151">
        <v>241483.71213532161</v>
      </c>
      <c r="N210" s="151">
        <v>0</v>
      </c>
      <c r="O210" s="131">
        <v>0</v>
      </c>
      <c r="P210" s="131">
        <f t="shared" si="63"/>
        <v>0</v>
      </c>
      <c r="Q210" s="131">
        <v>678146.51715614717</v>
      </c>
      <c r="R210" s="131">
        <v>0</v>
      </c>
      <c r="S210" s="131">
        <f t="shared" si="64"/>
        <v>0</v>
      </c>
      <c r="T210" s="131">
        <f t="shared" si="65"/>
        <v>678146.51715614717</v>
      </c>
      <c r="U210" s="131">
        <v>0</v>
      </c>
      <c r="V210" s="131">
        <v>0</v>
      </c>
      <c r="W210" s="131">
        <v>0</v>
      </c>
      <c r="X210" s="131">
        <v>0</v>
      </c>
      <c r="Y210" s="131">
        <v>0</v>
      </c>
      <c r="Z210" s="131">
        <f t="shared" si="66"/>
        <v>0</v>
      </c>
      <c r="AA210" s="131">
        <v>0</v>
      </c>
      <c r="AB210" s="152">
        <f t="shared" si="67"/>
        <v>678146.51715614717</v>
      </c>
      <c r="AC210" s="133">
        <f>IF(D210="Physician Group Practice",(AB210/$AB$393)*'1. UC Assumptions'!$C$15,IF(E210="Rural Hospital",AB210*'1. UC Assumptions'!$C$7/'1. UC Assumptions'!$E$7,(AB210/$AB$397)*('1. UC Assumptions'!$C$9)))</f>
        <v>633006.05017826741</v>
      </c>
      <c r="AD210" s="133">
        <f t="shared" si="68"/>
        <v>0</v>
      </c>
      <c r="AE210" s="133">
        <f t="shared" si="69"/>
        <v>45140.466977879754</v>
      </c>
      <c r="AF210" s="133">
        <f t="shared" si="70"/>
        <v>0</v>
      </c>
      <c r="AG210" s="133">
        <f t="shared" si="71"/>
        <v>45140.466977879754</v>
      </c>
      <c r="AH210" s="133">
        <f t="shared" si="72"/>
        <v>633006.05017826741</v>
      </c>
      <c r="AI210" s="131">
        <f>AH210*'1. UC Assumptions'!$C$23</f>
        <v>208891.99655882822</v>
      </c>
      <c r="AJ210" s="131">
        <v>349168.16</v>
      </c>
      <c r="AK210" s="131">
        <f>AJ210*(1-'1. UC Assumptions'!$C$22)</f>
        <v>115225.49279999998</v>
      </c>
      <c r="AL210" s="131"/>
      <c r="AM210" s="131">
        <f>AL210*'1. UC Assumptions'!$C$23</f>
        <v>0</v>
      </c>
      <c r="AN210" s="153">
        <f t="shared" si="73"/>
        <v>678146.51715614717</v>
      </c>
      <c r="AO210" s="151">
        <f>AN210*'1. UC Assumptions'!$C$23</f>
        <v>223788.35066152853</v>
      </c>
      <c r="AP210" s="151">
        <f t="shared" si="74"/>
        <v>328978.35715614719</v>
      </c>
      <c r="AQ210" s="151">
        <f t="shared" si="75"/>
        <v>108562.85786152855</v>
      </c>
      <c r="AR210" s="151">
        <f t="shared" si="76"/>
        <v>108562.85786152855</v>
      </c>
      <c r="AS210" s="151">
        <f t="shared" si="77"/>
        <v>223788.35066152853</v>
      </c>
      <c r="AT210" s="151">
        <f>IF(K210="Bexar",(AG210/$AT$1)*'1. UC Assumptions'!$E$44-(AH210/$AT$2)*'1. UC Assumptions'!$E$42,0)</f>
        <v>0</v>
      </c>
      <c r="AU210" s="151">
        <f>IF(K210="Dallas",(AG210/$AU$1)*'1. UC Assumptions'!$F$44-(AH210/$AU$2)*'1. UC Assumptions'!$F$42,0)</f>
        <v>0</v>
      </c>
      <c r="AV210" s="151">
        <f>IF(K210="El Paso",(AG210/$AV$1)*'1. UC Assumptions'!$G$44-(AH210/$AV$2)*'1. UC Assumptions'!$G$42,0)</f>
        <v>0</v>
      </c>
      <c r="AW210" s="151">
        <f>IF(K210="Harris",(AG210/$AW$1)*'1. UC Assumptions'!$H$44-(AH210/$AW$2)*'1. UC Assumptions'!$H$42,0)</f>
        <v>0</v>
      </c>
      <c r="AX210" s="151">
        <f>IF(K210="Hidalgo",(AG210/$AX$1)*'1. UC Assumptions'!$I$44-(AH210/$AX$2)*'1. UC Assumptions'!$I$42,0)</f>
        <v>0</v>
      </c>
      <c r="AY210" s="151">
        <f>IF(K210="Jefferson",(AG210/$AY$1)*'1. UC Assumptions'!$J$44-(AH210/$AY$2)*'1. UC Assumptions'!$J$42,0)</f>
        <v>0</v>
      </c>
      <c r="AZ210" s="151">
        <f>IF(K210="Lubbock",(AG210/$AZ$1)*'1. UC Assumptions'!$K$44-(AH210/$AZ$2)*'1. UC Assumptions'!$K$42,0)</f>
        <v>0</v>
      </c>
      <c r="BA210" s="151">
        <f>IF(K210="MRSA Central",(AG210/$BA$1)*'1. UC Assumptions'!$L$44-(AH210/$BA$2)*'1. UC Assumptions'!$L$42,0)</f>
        <v>0</v>
      </c>
      <c r="BB210" s="151">
        <f>IF(K210="MRSA Northeast",(AG210/$BB$1)*'1. UC Assumptions'!$M$44-(AH210/$BB$2)*'1. UC Assumptions'!$M$42,0)</f>
        <v>0</v>
      </c>
      <c r="BC210" s="151">
        <f>IF(K210="MRSA West",(AG210/$BC$1)*'1. UC Assumptions'!$N$44-(AH210/$BC$2)*'1. UC Assumptions'!$N$42,0)</f>
        <v>0</v>
      </c>
      <c r="BD210" s="151">
        <f>IF(K210="Nueces",(AG210/$BD$1)*'1. UC Assumptions'!$O$44-(AH210/$BD$2)*'1. UC Assumptions'!$O$42,0)</f>
        <v>0</v>
      </c>
      <c r="BE210" s="151">
        <f>IF(K210="Tarrant",(AG210/$BE$1)*'1. UC Assumptions'!$P$44-(AH210/$BE$2)*'1. UC Assumptions'!$P$42,0)</f>
        <v>0</v>
      </c>
      <c r="BF210" s="151">
        <f>IF(K210="Travis",(AG210/$BF$1)*'1. UC Assumptions'!$Q$44-(AH210/$BF$2)*'1. UC Assumptions'!$Q$42,0)</f>
        <v>0</v>
      </c>
      <c r="BG210" s="151">
        <f t="shared" si="78"/>
        <v>0</v>
      </c>
      <c r="BH210" s="151">
        <f t="shared" si="79"/>
        <v>633006.05017826741</v>
      </c>
      <c r="BI210" s="151">
        <f>ROUNDDOWN(BH210*'1. UC Assumptions'!$C$23,2)</f>
        <v>208891.99</v>
      </c>
      <c r="BJ210" s="154">
        <f t="shared" si="80"/>
        <v>283837.89017826744</v>
      </c>
      <c r="BK210" s="154">
        <f t="shared" si="81"/>
        <v>93666.497200000013</v>
      </c>
      <c r="BL210" s="154">
        <f t="shared" si="82"/>
        <v>262044.84</v>
      </c>
      <c r="BM210" s="154">
        <f t="shared" si="83"/>
        <v>86474.79</v>
      </c>
      <c r="BN210" s="101"/>
      <c r="BO210" s="154">
        <f>(BL210*'1. UC Assumptions'!$C$23)-'3.  UC Calculations by Hospital'!BM210</f>
        <v>7.1999999927356839E-3</v>
      </c>
      <c r="BP210" s="13"/>
    </row>
    <row r="211" spans="2:68">
      <c r="B211" s="129" t="s">
        <v>732</v>
      </c>
      <c r="C211" s="91" t="s">
        <v>732</v>
      </c>
      <c r="D211" s="91" t="s">
        <v>214</v>
      </c>
      <c r="E211" s="91" t="s">
        <v>209</v>
      </c>
      <c r="F211" s="91"/>
      <c r="G211" s="91" t="s">
        <v>209</v>
      </c>
      <c r="H211" s="91" t="s">
        <v>209</v>
      </c>
      <c r="I211" s="150" t="s">
        <v>210</v>
      </c>
      <c r="J211" s="129" t="s">
        <v>733</v>
      </c>
      <c r="K211" s="91" t="s">
        <v>6</v>
      </c>
      <c r="L211" s="91" t="s">
        <v>6</v>
      </c>
      <c r="M211" s="151">
        <v>-75425780.302413374</v>
      </c>
      <c r="N211" s="151">
        <v>153685108.7982004</v>
      </c>
      <c r="O211" s="131">
        <v>48099439.680415802</v>
      </c>
      <c r="P211" s="131">
        <f t="shared" si="63"/>
        <v>105585669.11778459</v>
      </c>
      <c r="Q211" s="131">
        <v>97693563.354321808</v>
      </c>
      <c r="R211" s="131">
        <v>35110743.509999998</v>
      </c>
      <c r="S211" s="131">
        <f t="shared" si="64"/>
        <v>4950854.6946287751</v>
      </c>
      <c r="T211" s="131">
        <f t="shared" si="65"/>
        <v>92742708.659693033</v>
      </c>
      <c r="U211" s="131">
        <v>6730345</v>
      </c>
      <c r="V211" s="131">
        <v>0</v>
      </c>
      <c r="W211" s="131">
        <v>0</v>
      </c>
      <c r="X211" s="131">
        <v>0</v>
      </c>
      <c r="Y211" s="131">
        <v>0</v>
      </c>
      <c r="Z211" s="131">
        <f t="shared" si="66"/>
        <v>6730345</v>
      </c>
      <c r="AA211" s="131">
        <v>0</v>
      </c>
      <c r="AB211" s="152">
        <f t="shared" si="67"/>
        <v>99473053.659693033</v>
      </c>
      <c r="AC211" s="133">
        <f>IF(D211="Physician Group Practice",(AB211/$AB$393)*'1. UC Assumptions'!$C$15,IF(E211="Rural Hospital",AB211*'1. UC Assumptions'!$C$7/'1. UC Assumptions'!$E$7,(AB211/$AB$397)*('1. UC Assumptions'!$C$9)))</f>
        <v>46766819.164511651</v>
      </c>
      <c r="AD211" s="133">
        <f t="shared" si="68"/>
        <v>0</v>
      </c>
      <c r="AE211" s="133">
        <f t="shared" si="69"/>
        <v>52706234.495181382</v>
      </c>
      <c r="AF211" s="133">
        <f t="shared" si="70"/>
        <v>0</v>
      </c>
      <c r="AG211" s="133">
        <f t="shared" si="71"/>
        <v>52706234.495181382</v>
      </c>
      <c r="AH211" s="133">
        <f t="shared" si="72"/>
        <v>46766819.164511651</v>
      </c>
      <c r="AI211" s="131">
        <f>AH211*'1. UC Assumptions'!$C$23</f>
        <v>15433050.324288843</v>
      </c>
      <c r="AJ211" s="131">
        <v>42021637.890000001</v>
      </c>
      <c r="AK211" s="131">
        <f>AJ211*(1-'1. UC Assumptions'!$C$22)</f>
        <v>13867140.503699999</v>
      </c>
      <c r="AL211" s="131"/>
      <c r="AM211" s="131">
        <f>AL211*'1. UC Assumptions'!$C$23</f>
        <v>0</v>
      </c>
      <c r="AN211" s="153">
        <f t="shared" si="73"/>
        <v>99473053.659693033</v>
      </c>
      <c r="AO211" s="151">
        <f>AN211*'1. UC Assumptions'!$C$23</f>
        <v>32826107.707698695</v>
      </c>
      <c r="AP211" s="151">
        <f t="shared" si="74"/>
        <v>57451415.769693032</v>
      </c>
      <c r="AQ211" s="151">
        <f t="shared" si="75"/>
        <v>18958967.203998696</v>
      </c>
      <c r="AR211" s="151">
        <f t="shared" si="76"/>
        <v>18958967.203998696</v>
      </c>
      <c r="AS211" s="151">
        <f t="shared" si="77"/>
        <v>32826107.707698695</v>
      </c>
      <c r="AT211" s="151">
        <f>IF(K211="Bexar",(AG211/$AT$1)*'1. UC Assumptions'!$E$44-(AH211/$AT$2)*'1. UC Assumptions'!$E$42,0)</f>
        <v>0</v>
      </c>
      <c r="AU211" s="151">
        <f>IF(K211="Dallas",(AG211/$AU$1)*'1. UC Assumptions'!$F$44-(AH211/$AU$2)*'1. UC Assumptions'!$F$42,0)</f>
        <v>0</v>
      </c>
      <c r="AV211" s="151">
        <f>IF(K211="El Paso",(AG211/$AV$1)*'1. UC Assumptions'!$G$44-(AH211/$AV$2)*'1. UC Assumptions'!$G$42,0)</f>
        <v>0</v>
      </c>
      <c r="AW211" s="151">
        <f>IF(K211="Harris",(AG211/$AW$1)*'1. UC Assumptions'!$H$44-(AH211/$AW$2)*'1. UC Assumptions'!$H$42,0)</f>
        <v>0</v>
      </c>
      <c r="AX211" s="151">
        <f>IF(K211="Hidalgo",(AG211/$AX$1)*'1. UC Assumptions'!$I$44-(AH211/$AX$2)*'1. UC Assumptions'!$I$42,0)</f>
        <v>0</v>
      </c>
      <c r="AY211" s="151">
        <f>IF(K211="Jefferson",(AG211/$AY$1)*'1. UC Assumptions'!$J$44-(AH211/$AY$2)*'1. UC Assumptions'!$J$42,0)</f>
        <v>0</v>
      </c>
      <c r="AZ211" s="151">
        <f>IF(K211="Lubbock",(AG211/$AZ$1)*'1. UC Assumptions'!$K$44-(AH211/$AZ$2)*'1. UC Assumptions'!$K$42,0)</f>
        <v>0</v>
      </c>
      <c r="BA211" s="151">
        <f>IF(K211="MRSA Central",(AG211/$BA$1)*'1. UC Assumptions'!$L$44-(AH211/$BA$2)*'1. UC Assumptions'!$L$42,0)</f>
        <v>0</v>
      </c>
      <c r="BB211" s="151">
        <f>IF(K211="MRSA Northeast",(AG211/$BB$1)*'1. UC Assumptions'!$M$44-(AH211/$BB$2)*'1. UC Assumptions'!$M$42,0)</f>
        <v>0</v>
      </c>
      <c r="BC211" s="151">
        <f>IF(K211="MRSA West",(AG211/$BC$1)*'1. UC Assumptions'!$N$44-(AH211/$BC$2)*'1. UC Assumptions'!$N$42,0)</f>
        <v>0</v>
      </c>
      <c r="BD211" s="151">
        <f>IF(K211="Nueces",(AG211/$BD$1)*'1. UC Assumptions'!$O$44-(AH211/$BD$2)*'1. UC Assumptions'!$O$42,0)</f>
        <v>0</v>
      </c>
      <c r="BE211" s="151">
        <f>IF(K211="Tarrant",(AG211/$BE$1)*'1. UC Assumptions'!$P$44-(AH211/$BE$2)*'1. UC Assumptions'!$P$42,0)</f>
        <v>0</v>
      </c>
      <c r="BF211" s="151">
        <f>IF(K211="Travis",(AG211/$BF$1)*'1. UC Assumptions'!$Q$44-(AH211/$BF$2)*'1. UC Assumptions'!$Q$42,0)</f>
        <v>0</v>
      </c>
      <c r="BG211" s="151">
        <f t="shared" si="78"/>
        <v>0</v>
      </c>
      <c r="BH211" s="151">
        <f t="shared" si="79"/>
        <v>46766819.164511651</v>
      </c>
      <c r="BI211" s="151">
        <f>ROUNDDOWN(BH211*'1. UC Assumptions'!$C$23,2)</f>
        <v>15433050.32</v>
      </c>
      <c r="BJ211" s="154">
        <f t="shared" si="80"/>
        <v>4745181.2745116502</v>
      </c>
      <c r="BK211" s="154">
        <f t="shared" si="81"/>
        <v>1565909.816300001</v>
      </c>
      <c r="BL211" s="154">
        <f t="shared" si="82"/>
        <v>4380846.66</v>
      </c>
      <c r="BM211" s="154">
        <f t="shared" si="83"/>
        <v>1445679.39</v>
      </c>
      <c r="BN211" s="101"/>
      <c r="BO211" s="154">
        <f>(BL211*'1. UC Assumptions'!$C$23)-'3.  UC Calculations by Hospital'!BM211</f>
        <v>7.8000000212341547E-3</v>
      </c>
      <c r="BP211" s="13"/>
    </row>
    <row r="212" spans="2:68">
      <c r="B212" s="129" t="s">
        <v>734</v>
      </c>
      <c r="C212" s="91" t="s">
        <v>734</v>
      </c>
      <c r="D212" s="91" t="s">
        <v>208</v>
      </c>
      <c r="E212" s="91" t="s">
        <v>209</v>
      </c>
      <c r="F212" s="91"/>
      <c r="G212" s="91" t="s">
        <v>209</v>
      </c>
      <c r="H212" s="91" t="s">
        <v>209</v>
      </c>
      <c r="I212" s="150" t="s">
        <v>210</v>
      </c>
      <c r="J212" s="129" t="s">
        <v>735</v>
      </c>
      <c r="K212" s="91" t="s">
        <v>13</v>
      </c>
      <c r="L212" s="91" t="s">
        <v>324</v>
      </c>
      <c r="M212" s="151">
        <v>590986.02973742038</v>
      </c>
      <c r="N212" s="151">
        <v>8891471.6496325471</v>
      </c>
      <c r="O212" s="131">
        <v>4729613.7034809599</v>
      </c>
      <c r="P212" s="131">
        <f t="shared" si="63"/>
        <v>4161857.9461515872</v>
      </c>
      <c r="Q212" s="131">
        <v>9101106.1780488212</v>
      </c>
      <c r="R212" s="131">
        <v>0</v>
      </c>
      <c r="S212" s="131">
        <f t="shared" si="64"/>
        <v>0</v>
      </c>
      <c r="T212" s="131">
        <f t="shared" si="65"/>
        <v>9101106.1780488212</v>
      </c>
      <c r="U212" s="131">
        <v>304271</v>
      </c>
      <c r="V212" s="131">
        <v>0</v>
      </c>
      <c r="W212" s="131">
        <v>0</v>
      </c>
      <c r="X212" s="131">
        <v>0</v>
      </c>
      <c r="Y212" s="131">
        <v>0</v>
      </c>
      <c r="Z212" s="131">
        <f t="shared" si="66"/>
        <v>304271</v>
      </c>
      <c r="AA212" s="131">
        <v>0</v>
      </c>
      <c r="AB212" s="152">
        <f t="shared" si="67"/>
        <v>9405377.1780488212</v>
      </c>
      <c r="AC212" s="133">
        <f>IF(D212="Physician Group Practice",(AB212/$AB$393)*'1. UC Assumptions'!$C$15,IF(E212="Rural Hospital",AB212*'1. UC Assumptions'!$C$7/'1. UC Assumptions'!$E$7,(AB212/$AB$397)*('1. UC Assumptions'!$C$9)))</f>
        <v>4421896.759745975</v>
      </c>
      <c r="AD212" s="133">
        <f t="shared" si="68"/>
        <v>0</v>
      </c>
      <c r="AE212" s="133">
        <f t="shared" si="69"/>
        <v>4983480.4183028461</v>
      </c>
      <c r="AF212" s="133">
        <f t="shared" si="70"/>
        <v>0</v>
      </c>
      <c r="AG212" s="133">
        <f t="shared" si="71"/>
        <v>4983480.4183028461</v>
      </c>
      <c r="AH212" s="133">
        <f t="shared" si="72"/>
        <v>4421896.759745975</v>
      </c>
      <c r="AI212" s="131">
        <f>AH212*'1. UC Assumptions'!$C$23</f>
        <v>1459225.9307161716</v>
      </c>
      <c r="AJ212" s="131">
        <v>4568976.0599999996</v>
      </c>
      <c r="AK212" s="131">
        <f>AJ212*(1-'1. UC Assumptions'!$C$22)</f>
        <v>1507762.0997999997</v>
      </c>
      <c r="AL212" s="131"/>
      <c r="AM212" s="131">
        <f>AL212*'1. UC Assumptions'!$C$23</f>
        <v>0</v>
      </c>
      <c r="AN212" s="153">
        <f t="shared" si="73"/>
        <v>9405377.1780488212</v>
      </c>
      <c r="AO212" s="151">
        <f>AN212*'1. UC Assumptions'!$C$23</f>
        <v>3103774.4687561104</v>
      </c>
      <c r="AP212" s="151">
        <f t="shared" si="74"/>
        <v>4836401.1180488216</v>
      </c>
      <c r="AQ212" s="151">
        <f t="shared" si="75"/>
        <v>1596012.3689561107</v>
      </c>
      <c r="AR212" s="151">
        <f t="shared" si="76"/>
        <v>1596012.3689561107</v>
      </c>
      <c r="AS212" s="151">
        <f t="shared" si="77"/>
        <v>3103774.4687561104</v>
      </c>
      <c r="AT212" s="151">
        <f>IF(K212="Bexar",(AG212/$AT$1)*'1. UC Assumptions'!$E$44-(AH212/$AT$2)*'1. UC Assumptions'!$E$42,0)</f>
        <v>0</v>
      </c>
      <c r="AU212" s="151">
        <f>IF(K212="Dallas",(AG212/$AU$1)*'1. UC Assumptions'!$F$44-(AH212/$AU$2)*'1. UC Assumptions'!$F$42,0)</f>
        <v>0</v>
      </c>
      <c r="AV212" s="151">
        <f>IF(K212="El Paso",(AG212/$AV$1)*'1. UC Assumptions'!$G$44-(AH212/$AV$2)*'1. UC Assumptions'!$G$42,0)</f>
        <v>0</v>
      </c>
      <c r="AW212" s="151">
        <f>IF(K212="Harris",(AG212/$AW$1)*'1. UC Assumptions'!$H$44-(AH212/$AW$2)*'1. UC Assumptions'!$H$42,0)</f>
        <v>0</v>
      </c>
      <c r="AX212" s="151">
        <f>IF(K212="Hidalgo",(AG212/$AX$1)*'1. UC Assumptions'!$I$44-(AH212/$AX$2)*'1. UC Assumptions'!$I$42,0)</f>
        <v>0</v>
      </c>
      <c r="AY212" s="151">
        <f>IF(K212="Jefferson",(AG212/$AY$1)*'1. UC Assumptions'!$J$44-(AH212/$AY$2)*'1. UC Assumptions'!$J$42,0)</f>
        <v>0</v>
      </c>
      <c r="AZ212" s="151">
        <f>IF(K212="Lubbock",(AG212/$AZ$1)*'1. UC Assumptions'!$K$44-(AH212/$AZ$2)*'1. UC Assumptions'!$K$42,0)</f>
        <v>0</v>
      </c>
      <c r="BA212" s="151">
        <f>IF(K212="MRSA Central",(AG212/$BA$1)*'1. UC Assumptions'!$L$44-(AH212/$BA$2)*'1. UC Assumptions'!$L$42,0)</f>
        <v>0</v>
      </c>
      <c r="BB212" s="151">
        <f>IF(K212="MRSA Northeast",(AG212/$BB$1)*'1. UC Assumptions'!$M$44-(AH212/$BB$2)*'1. UC Assumptions'!$M$42,0)</f>
        <v>0</v>
      </c>
      <c r="BC212" s="151">
        <f>IF(K212="MRSA West",(AG212/$BC$1)*'1. UC Assumptions'!$N$44-(AH212/$BC$2)*'1. UC Assumptions'!$N$42,0)</f>
        <v>0</v>
      </c>
      <c r="BD212" s="151">
        <f>IF(K212="Nueces",(AG212/$BD$1)*'1. UC Assumptions'!$O$44-(AH212/$BD$2)*'1. UC Assumptions'!$O$42,0)</f>
        <v>0</v>
      </c>
      <c r="BE212" s="151">
        <f>IF(K212="Tarrant",(AG212/$BE$1)*'1. UC Assumptions'!$P$44-(AH212/$BE$2)*'1. UC Assumptions'!$P$42,0)</f>
        <v>0</v>
      </c>
      <c r="BF212" s="151">
        <f>IF(K212="Travis",(AG212/$BF$1)*'1. UC Assumptions'!$Q$44-(AH212/$BF$2)*'1. UC Assumptions'!$Q$42,0)</f>
        <v>0</v>
      </c>
      <c r="BG212" s="151">
        <f t="shared" si="78"/>
        <v>0</v>
      </c>
      <c r="BH212" s="151">
        <f t="shared" si="79"/>
        <v>4421896.759745975</v>
      </c>
      <c r="BI212" s="151">
        <f>ROUNDDOWN(BH212*'1. UC Assumptions'!$C$23,2)</f>
        <v>1459225.93</v>
      </c>
      <c r="BJ212" s="154">
        <f t="shared" si="80"/>
        <v>-147079.30025402457</v>
      </c>
      <c r="BK212" s="154">
        <f t="shared" si="81"/>
        <v>-48536.1697999998</v>
      </c>
      <c r="BL212" s="154">
        <f t="shared" si="82"/>
        <v>0</v>
      </c>
      <c r="BM212" s="154">
        <f t="shared" si="83"/>
        <v>0</v>
      </c>
      <c r="BN212" s="101"/>
      <c r="BO212" s="154">
        <f>(BL212*'1. UC Assumptions'!$C$23)-'3.  UC Calculations by Hospital'!BM212</f>
        <v>0</v>
      </c>
      <c r="BP212" s="13"/>
    </row>
    <row r="213" spans="2:68">
      <c r="B213" s="129" t="s">
        <v>736</v>
      </c>
      <c r="C213" s="91" t="s">
        <v>736</v>
      </c>
      <c r="D213" s="91" t="s">
        <v>208</v>
      </c>
      <c r="E213" s="91" t="s">
        <v>149</v>
      </c>
      <c r="F213" s="91"/>
      <c r="G213" s="91" t="s">
        <v>209</v>
      </c>
      <c r="H213" s="91" t="s">
        <v>209</v>
      </c>
      <c r="I213" s="150" t="s">
        <v>210</v>
      </c>
      <c r="J213" s="129" t="s">
        <v>737</v>
      </c>
      <c r="K213" s="91" t="s">
        <v>13</v>
      </c>
      <c r="L213" s="91" t="s">
        <v>738</v>
      </c>
      <c r="M213" s="151">
        <v>755045.0134205441</v>
      </c>
      <c r="N213" s="151">
        <v>2735082.7726679049</v>
      </c>
      <c r="O213" s="131">
        <v>2193731.454687539</v>
      </c>
      <c r="P213" s="131">
        <f t="shared" si="63"/>
        <v>541351.31798036583</v>
      </c>
      <c r="Q213" s="131">
        <v>2595906.0264376067</v>
      </c>
      <c r="R213" s="131">
        <v>1111941.3</v>
      </c>
      <c r="S213" s="131">
        <f t="shared" si="64"/>
        <v>0</v>
      </c>
      <c r="T213" s="131">
        <f t="shared" si="65"/>
        <v>2595906.0264376067</v>
      </c>
      <c r="U213" s="131">
        <v>78600.09</v>
      </c>
      <c r="V213" s="131">
        <v>0</v>
      </c>
      <c r="W213" s="131">
        <v>0</v>
      </c>
      <c r="X213" s="131">
        <v>0</v>
      </c>
      <c r="Y213" s="131">
        <v>0</v>
      </c>
      <c r="Z213" s="131">
        <f t="shared" si="66"/>
        <v>78600.09</v>
      </c>
      <c r="AA213" s="131">
        <v>0</v>
      </c>
      <c r="AB213" s="152">
        <f t="shared" si="67"/>
        <v>2674506.1164376065</v>
      </c>
      <c r="AC213" s="133">
        <f>IF(D213="Physician Group Practice",(AB213/$AB$393)*'1. UC Assumptions'!$C$15,IF(E213="Rural Hospital",AB213*'1. UC Assumptions'!$C$7/'1. UC Assumptions'!$E$7,(AB213/$AB$397)*('1. UC Assumptions'!$C$9)))</f>
        <v>2496479.0205565095</v>
      </c>
      <c r="AD213" s="133">
        <f t="shared" si="68"/>
        <v>0</v>
      </c>
      <c r="AE213" s="133">
        <f t="shared" si="69"/>
        <v>178027.09588109702</v>
      </c>
      <c r="AF213" s="133">
        <f t="shared" si="70"/>
        <v>0</v>
      </c>
      <c r="AG213" s="133">
        <f t="shared" si="71"/>
        <v>178027.09588109702</v>
      </c>
      <c r="AH213" s="133">
        <f t="shared" si="72"/>
        <v>2496479.0205565095</v>
      </c>
      <c r="AI213" s="131">
        <f>AH213*'1. UC Assumptions'!$C$23</f>
        <v>823838.07678364799</v>
      </c>
      <c r="AJ213" s="131">
        <v>909055.62</v>
      </c>
      <c r="AK213" s="131">
        <f>AJ213*(1-'1. UC Assumptions'!$C$22)</f>
        <v>299988.35459999996</v>
      </c>
      <c r="AL213" s="131"/>
      <c r="AM213" s="131">
        <f>AL213*'1. UC Assumptions'!$C$23</f>
        <v>0</v>
      </c>
      <c r="AN213" s="153">
        <f t="shared" si="73"/>
        <v>2674506.1164376065</v>
      </c>
      <c r="AO213" s="151">
        <f>AN213*'1. UC Assumptions'!$C$23</f>
        <v>882587.01842441002</v>
      </c>
      <c r="AP213" s="151">
        <f t="shared" si="74"/>
        <v>1765450.4964376064</v>
      </c>
      <c r="AQ213" s="151">
        <f t="shared" si="75"/>
        <v>582598.66382441006</v>
      </c>
      <c r="AR213" s="151">
        <f t="shared" si="76"/>
        <v>582598.66382441006</v>
      </c>
      <c r="AS213" s="151">
        <f t="shared" si="77"/>
        <v>882587.01842441002</v>
      </c>
      <c r="AT213" s="151">
        <f>IF(K213="Bexar",(AG213/$AT$1)*'1. UC Assumptions'!$E$44-(AH213/$AT$2)*'1. UC Assumptions'!$E$42,0)</f>
        <v>0</v>
      </c>
      <c r="AU213" s="151">
        <f>IF(K213="Dallas",(AG213/$AU$1)*'1. UC Assumptions'!$F$44-(AH213/$AU$2)*'1. UC Assumptions'!$F$42,0)</f>
        <v>0</v>
      </c>
      <c r="AV213" s="151">
        <f>IF(K213="El Paso",(AG213/$AV$1)*'1. UC Assumptions'!$G$44-(AH213/$AV$2)*'1. UC Assumptions'!$G$42,0)</f>
        <v>0</v>
      </c>
      <c r="AW213" s="151">
        <f>IF(K213="Harris",(AG213/$AW$1)*'1. UC Assumptions'!$H$44-(AH213/$AW$2)*'1. UC Assumptions'!$H$42,0)</f>
        <v>0</v>
      </c>
      <c r="AX213" s="151">
        <f>IF(K213="Hidalgo",(AG213/$AX$1)*'1. UC Assumptions'!$I$44-(AH213/$AX$2)*'1. UC Assumptions'!$I$42,0)</f>
        <v>0</v>
      </c>
      <c r="AY213" s="151">
        <f>IF(K213="Jefferson",(AG213/$AY$1)*'1. UC Assumptions'!$J$44-(AH213/$AY$2)*'1. UC Assumptions'!$J$42,0)</f>
        <v>0</v>
      </c>
      <c r="AZ213" s="151">
        <f>IF(K213="Lubbock",(AG213/$AZ$1)*'1. UC Assumptions'!$K$44-(AH213/$AZ$2)*'1. UC Assumptions'!$K$42,0)</f>
        <v>0</v>
      </c>
      <c r="BA213" s="151">
        <f>IF(K213="MRSA Central",(AG213/$BA$1)*'1. UC Assumptions'!$L$44-(AH213/$BA$2)*'1. UC Assumptions'!$L$42,0)</f>
        <v>0</v>
      </c>
      <c r="BB213" s="151">
        <f>IF(K213="MRSA Northeast",(AG213/$BB$1)*'1. UC Assumptions'!$M$44-(AH213/$BB$2)*'1. UC Assumptions'!$M$42,0)</f>
        <v>0</v>
      </c>
      <c r="BC213" s="151">
        <f>IF(K213="MRSA West",(AG213/$BC$1)*'1. UC Assumptions'!$N$44-(AH213/$BC$2)*'1. UC Assumptions'!$N$42,0)</f>
        <v>0</v>
      </c>
      <c r="BD213" s="151">
        <f>IF(K213="Nueces",(AG213/$BD$1)*'1. UC Assumptions'!$O$44-(AH213/$BD$2)*'1. UC Assumptions'!$O$42,0)</f>
        <v>0</v>
      </c>
      <c r="BE213" s="151">
        <f>IF(K213="Tarrant",(AG213/$BE$1)*'1. UC Assumptions'!$P$44-(AH213/$BE$2)*'1. UC Assumptions'!$P$42,0)</f>
        <v>0</v>
      </c>
      <c r="BF213" s="151">
        <f>IF(K213="Travis",(AG213/$BF$1)*'1. UC Assumptions'!$Q$44-(AH213/$BF$2)*'1. UC Assumptions'!$Q$42,0)</f>
        <v>0</v>
      </c>
      <c r="BG213" s="151">
        <f t="shared" si="78"/>
        <v>0</v>
      </c>
      <c r="BH213" s="151">
        <f t="shared" si="79"/>
        <v>2496479.0205565095</v>
      </c>
      <c r="BI213" s="151">
        <f>ROUNDDOWN(BH213*'1. UC Assumptions'!$C$23,2)</f>
        <v>823838.07</v>
      </c>
      <c r="BJ213" s="154">
        <f t="shared" si="80"/>
        <v>1587423.4005565094</v>
      </c>
      <c r="BK213" s="154">
        <f t="shared" si="81"/>
        <v>523849.71539999999</v>
      </c>
      <c r="BL213" s="154">
        <f t="shared" si="82"/>
        <v>1465541.17</v>
      </c>
      <c r="BM213" s="154">
        <f t="shared" si="83"/>
        <v>483628.58</v>
      </c>
      <c r="BN213" s="101"/>
      <c r="BO213" s="154">
        <f>(BL213*'1. UC Assumptions'!$C$23)-'3.  UC Calculations by Hospital'!BM213</f>
        <v>6.0999998822808266E-3</v>
      </c>
      <c r="BP213" s="13"/>
    </row>
    <row r="214" spans="2:68">
      <c r="B214" s="129" t="s">
        <v>115</v>
      </c>
      <c r="C214" s="91" t="s">
        <v>115</v>
      </c>
      <c r="D214" s="91" t="s">
        <v>281</v>
      </c>
      <c r="E214" s="91" t="s">
        <v>209</v>
      </c>
      <c r="F214" s="91"/>
      <c r="G214" s="91" t="s">
        <v>282</v>
      </c>
      <c r="H214" s="91" t="s">
        <v>209</v>
      </c>
      <c r="I214" s="150" t="s">
        <v>283</v>
      </c>
      <c r="J214" s="129" t="s">
        <v>739</v>
      </c>
      <c r="K214" s="91" t="s">
        <v>12</v>
      </c>
      <c r="L214" s="91" t="s">
        <v>740</v>
      </c>
      <c r="M214" s="151">
        <v>2522988.2750548222</v>
      </c>
      <c r="N214" s="151">
        <v>26232940.016532481</v>
      </c>
      <c r="O214" s="131">
        <v>0</v>
      </c>
      <c r="P214" s="131">
        <f t="shared" si="63"/>
        <v>26232940.016532481</v>
      </c>
      <c r="Q214" s="131">
        <v>0</v>
      </c>
      <c r="R214" s="131">
        <v>0</v>
      </c>
      <c r="S214" s="131">
        <f t="shared" si="64"/>
        <v>0</v>
      </c>
      <c r="T214" s="131">
        <f t="shared" si="65"/>
        <v>0</v>
      </c>
      <c r="U214" s="131">
        <v>0</v>
      </c>
      <c r="V214" s="131">
        <v>0</v>
      </c>
      <c r="W214" s="131">
        <v>10734</v>
      </c>
      <c r="X214" s="131">
        <v>0</v>
      </c>
      <c r="Y214" s="131">
        <v>272947</v>
      </c>
      <c r="Z214" s="131">
        <f t="shared" si="66"/>
        <v>283681</v>
      </c>
      <c r="AA214" s="131">
        <v>0</v>
      </c>
      <c r="AB214" s="152">
        <f t="shared" si="67"/>
        <v>10734</v>
      </c>
      <c r="AC214" s="133">
        <f>IF(D214="Physician Group Practice",(AB214/$AB$393)*'1. UC Assumptions'!$C$15,IF(E214="Rural Hospital",AB214*'1. UC Assumptions'!$C$7/'1. UC Assumptions'!$E$7,(AB214/$AB$397)*('1. UC Assumptions'!$C$9)))</f>
        <v>5046.5429424660251</v>
      </c>
      <c r="AD214" s="133">
        <f t="shared" si="68"/>
        <v>0</v>
      </c>
      <c r="AE214" s="133">
        <f t="shared" si="69"/>
        <v>5687.4570575339749</v>
      </c>
      <c r="AF214" s="133">
        <f t="shared" si="70"/>
        <v>0</v>
      </c>
      <c r="AG214" s="133">
        <f t="shared" si="71"/>
        <v>5687.4570575339749</v>
      </c>
      <c r="AH214" s="133">
        <f t="shared" si="72"/>
        <v>5046.5429424660251</v>
      </c>
      <c r="AI214" s="131">
        <f>AH214*'1. UC Assumptions'!$C$23</f>
        <v>1665.359171013788</v>
      </c>
      <c r="AJ214" s="131">
        <v>282719.03999999998</v>
      </c>
      <c r="AK214" s="131">
        <f>AJ214*(1-'1. UC Assumptions'!$C$22)</f>
        <v>93297.283199999976</v>
      </c>
      <c r="AL214" s="131"/>
      <c r="AM214" s="131">
        <f>AL214*'1. UC Assumptions'!$C$23</f>
        <v>0</v>
      </c>
      <c r="AN214" s="153">
        <f t="shared" si="73"/>
        <v>10734</v>
      </c>
      <c r="AO214" s="151">
        <f>AN214*'1. UC Assumptions'!$C$23</f>
        <v>3542.2199999999993</v>
      </c>
      <c r="AP214" s="151">
        <f t="shared" si="74"/>
        <v>10734</v>
      </c>
      <c r="AQ214" s="151">
        <f t="shared" si="75"/>
        <v>3542.2199999999993</v>
      </c>
      <c r="AR214" s="151">
        <f t="shared" si="76"/>
        <v>3542.2199999999993</v>
      </c>
      <c r="AS214" s="151">
        <f t="shared" si="77"/>
        <v>3542.2199999999993</v>
      </c>
      <c r="AT214" s="151">
        <f>IF(K214="Bexar",(AG214/$AT$1)*'1. UC Assumptions'!$E$44-(AH214/$AT$2)*'1. UC Assumptions'!$E$42,0)</f>
        <v>0</v>
      </c>
      <c r="AU214" s="151">
        <f>IF(K214="Dallas",(AG214/$AU$1)*'1. UC Assumptions'!$F$44-(AH214/$AU$2)*'1. UC Assumptions'!$F$42,0)</f>
        <v>0</v>
      </c>
      <c r="AV214" s="151">
        <f>IF(K214="El Paso",(AG214/$AV$1)*'1. UC Assumptions'!$G$44-(AH214/$AV$2)*'1. UC Assumptions'!$G$42,0)</f>
        <v>0</v>
      </c>
      <c r="AW214" s="151">
        <f>IF(K214="Harris",(AG214/$AW$1)*'1. UC Assumptions'!$H$44-(AH214/$AW$2)*'1. UC Assumptions'!$H$42,0)</f>
        <v>0</v>
      </c>
      <c r="AX214" s="151">
        <f>IF(K214="Hidalgo",(AG214/$AX$1)*'1. UC Assumptions'!$I$44-(AH214/$AX$2)*'1. UC Assumptions'!$I$42,0)</f>
        <v>0</v>
      </c>
      <c r="AY214" s="151">
        <f>IF(K214="Jefferson",(AG214/$AY$1)*'1. UC Assumptions'!$J$44-(AH214/$AY$2)*'1. UC Assumptions'!$J$42,0)</f>
        <v>0</v>
      </c>
      <c r="AZ214" s="151">
        <f>IF(K214="Lubbock",(AG214/$AZ$1)*'1. UC Assumptions'!$K$44-(AH214/$AZ$2)*'1. UC Assumptions'!$K$42,0)</f>
        <v>0</v>
      </c>
      <c r="BA214" s="151">
        <f>IF(K214="MRSA Central",(AG214/$BA$1)*'1. UC Assumptions'!$L$44-(AH214/$BA$2)*'1. UC Assumptions'!$L$42,0)</f>
        <v>0</v>
      </c>
      <c r="BB214" s="151">
        <f>IF(K214="MRSA Northeast",(AG214/$BB$1)*'1. UC Assumptions'!$M$44-(AH214/$BB$2)*'1. UC Assumptions'!$M$42,0)</f>
        <v>0</v>
      </c>
      <c r="BC214" s="151">
        <f>IF(K214="MRSA West",(AG214/$BC$1)*'1. UC Assumptions'!$N$44-(AH214/$BC$2)*'1. UC Assumptions'!$N$42,0)</f>
        <v>0</v>
      </c>
      <c r="BD214" s="151">
        <f>IF(K214="Nueces",(AG214/$BD$1)*'1. UC Assumptions'!$O$44-(AH214/$BD$2)*'1. UC Assumptions'!$O$42,0)</f>
        <v>0</v>
      </c>
      <c r="BE214" s="151">
        <f>IF(K214="Tarrant",(AG214/$BE$1)*'1. UC Assumptions'!$P$44-(AH214/$BE$2)*'1. UC Assumptions'!$P$42,0)</f>
        <v>0</v>
      </c>
      <c r="BF214" s="151">
        <f>IF(K214="Travis",(AG214/$BF$1)*'1. UC Assumptions'!$Q$44-(AH214/$BF$2)*'1. UC Assumptions'!$Q$42,0)</f>
        <v>0</v>
      </c>
      <c r="BG214" s="151">
        <f t="shared" si="78"/>
        <v>0</v>
      </c>
      <c r="BH214" s="151">
        <f t="shared" si="79"/>
        <v>5046.5429424660251</v>
      </c>
      <c r="BI214" s="151">
        <f>ROUNDDOWN(BH214*'1. UC Assumptions'!$C$23,2)</f>
        <v>1665.35</v>
      </c>
      <c r="BJ214" s="154">
        <f t="shared" si="80"/>
        <v>5046.5429424660251</v>
      </c>
      <c r="BK214" s="154">
        <f t="shared" si="81"/>
        <v>1665.35</v>
      </c>
      <c r="BL214" s="154">
        <f t="shared" si="82"/>
        <v>4659.07</v>
      </c>
      <c r="BM214" s="154">
        <f t="shared" si="83"/>
        <v>1537.48</v>
      </c>
      <c r="BN214" s="101"/>
      <c r="BO214" s="154">
        <f>(BL214*'1. UC Assumptions'!$C$23)-'3.  UC Calculations by Hospital'!BM214</f>
        <v>1.3099999999667489E-2</v>
      </c>
      <c r="BP214" s="13"/>
    </row>
    <row r="215" spans="2:68">
      <c r="B215" s="129" t="s">
        <v>116</v>
      </c>
      <c r="C215" s="91" t="s">
        <v>116</v>
      </c>
      <c r="D215" s="91" t="s">
        <v>281</v>
      </c>
      <c r="E215" s="91" t="s">
        <v>209</v>
      </c>
      <c r="F215" s="91"/>
      <c r="G215" s="91" t="s">
        <v>282</v>
      </c>
      <c r="H215" s="91" t="s">
        <v>209</v>
      </c>
      <c r="I215" s="150" t="s">
        <v>283</v>
      </c>
      <c r="J215" s="129" t="s">
        <v>741</v>
      </c>
      <c r="K215" s="91" t="s">
        <v>4</v>
      </c>
      <c r="L215" s="91" t="s">
        <v>339</v>
      </c>
      <c r="M215" s="151">
        <v>10763997.468701746</v>
      </c>
      <c r="N215" s="151">
        <v>38500004.741488643</v>
      </c>
      <c r="O215" s="131">
        <v>0</v>
      </c>
      <c r="P215" s="131">
        <f t="shared" si="63"/>
        <v>38500004.741488643</v>
      </c>
      <c r="Q215" s="131">
        <v>0</v>
      </c>
      <c r="R215" s="131">
        <v>42488822</v>
      </c>
      <c r="S215" s="131">
        <f t="shared" si="64"/>
        <v>0</v>
      </c>
      <c r="T215" s="131">
        <f t="shared" si="65"/>
        <v>0</v>
      </c>
      <c r="U215" s="131">
        <v>0</v>
      </c>
      <c r="V215" s="131">
        <v>0</v>
      </c>
      <c r="W215" s="131">
        <v>16804</v>
      </c>
      <c r="X215" s="131">
        <v>0</v>
      </c>
      <c r="Y215" s="131">
        <v>310979</v>
      </c>
      <c r="Z215" s="131">
        <f t="shared" si="66"/>
        <v>327783</v>
      </c>
      <c r="AA215" s="131">
        <v>0</v>
      </c>
      <c r="AB215" s="152">
        <f t="shared" si="67"/>
        <v>16804</v>
      </c>
      <c r="AC215" s="133">
        <f>IF(D215="Physician Group Practice",(AB215/$AB$393)*'1. UC Assumptions'!$C$15,IF(E215="Rural Hospital",AB215*'1. UC Assumptions'!$C$7/'1. UC Assumptions'!$E$7,(AB215/$AB$397)*('1. UC Assumptions'!$C$9)))</f>
        <v>7900.326775218844</v>
      </c>
      <c r="AD215" s="133">
        <f t="shared" si="68"/>
        <v>0</v>
      </c>
      <c r="AE215" s="133">
        <f t="shared" si="69"/>
        <v>8903.673224781156</v>
      </c>
      <c r="AF215" s="133">
        <f t="shared" si="70"/>
        <v>0</v>
      </c>
      <c r="AG215" s="133">
        <f t="shared" si="71"/>
        <v>8903.673224781156</v>
      </c>
      <c r="AH215" s="133">
        <f t="shared" si="72"/>
        <v>7900.326775218844</v>
      </c>
      <c r="AI215" s="131">
        <f>AH215*'1. UC Assumptions'!$C$23</f>
        <v>2607.107835822218</v>
      </c>
      <c r="AJ215" s="131">
        <v>520537.88</v>
      </c>
      <c r="AK215" s="131">
        <f>AJ215*(1-'1. UC Assumptions'!$C$22)</f>
        <v>171777.50039999999</v>
      </c>
      <c r="AL215" s="131"/>
      <c r="AM215" s="131">
        <f>AL215*'1. UC Assumptions'!$C$23</f>
        <v>0</v>
      </c>
      <c r="AN215" s="153">
        <f t="shared" si="73"/>
        <v>16804</v>
      </c>
      <c r="AO215" s="151">
        <f>AN215*'1. UC Assumptions'!$C$23</f>
        <v>5545.32</v>
      </c>
      <c r="AP215" s="151">
        <f t="shared" si="74"/>
        <v>16804</v>
      </c>
      <c r="AQ215" s="151">
        <f t="shared" si="75"/>
        <v>5545.32</v>
      </c>
      <c r="AR215" s="151">
        <f t="shared" si="76"/>
        <v>5545.32</v>
      </c>
      <c r="AS215" s="151">
        <f t="shared" si="77"/>
        <v>5545.32</v>
      </c>
      <c r="AT215" s="151">
        <f>IF(K215="Bexar",(AG215/$AT$1)*'1. UC Assumptions'!$E$44-(AH215/$AT$2)*'1. UC Assumptions'!$E$42,0)</f>
        <v>0</v>
      </c>
      <c r="AU215" s="151">
        <f>IF(K215="Dallas",(AG215/$AU$1)*'1. UC Assumptions'!$F$44-(AH215/$AU$2)*'1. UC Assumptions'!$F$42,0)</f>
        <v>0</v>
      </c>
      <c r="AV215" s="151">
        <f>IF(K215="El Paso",(AG215/$AV$1)*'1. UC Assumptions'!$G$44-(AH215/$AV$2)*'1. UC Assumptions'!$G$42,0)</f>
        <v>0</v>
      </c>
      <c r="AW215" s="151">
        <f>IF(K215="Harris",(AG215/$AW$1)*'1. UC Assumptions'!$H$44-(AH215/$AW$2)*'1. UC Assumptions'!$H$42,0)</f>
        <v>0</v>
      </c>
      <c r="AX215" s="151">
        <f>IF(K215="Hidalgo",(AG215/$AX$1)*'1. UC Assumptions'!$I$44-(AH215/$AX$2)*'1. UC Assumptions'!$I$42,0)</f>
        <v>0</v>
      </c>
      <c r="AY215" s="151">
        <f>IF(K215="Jefferson",(AG215/$AY$1)*'1. UC Assumptions'!$J$44-(AH215/$AY$2)*'1. UC Assumptions'!$J$42,0)</f>
        <v>0</v>
      </c>
      <c r="AZ215" s="151">
        <f>IF(K215="Lubbock",(AG215/$AZ$1)*'1. UC Assumptions'!$K$44-(AH215/$AZ$2)*'1. UC Assumptions'!$K$42,0)</f>
        <v>0</v>
      </c>
      <c r="BA215" s="151">
        <f>IF(K215="MRSA Central",(AG215/$BA$1)*'1. UC Assumptions'!$L$44-(AH215/$BA$2)*'1. UC Assumptions'!$L$42,0)</f>
        <v>0</v>
      </c>
      <c r="BB215" s="151">
        <f>IF(K215="MRSA Northeast",(AG215/$BB$1)*'1. UC Assumptions'!$M$44-(AH215/$BB$2)*'1. UC Assumptions'!$M$42,0)</f>
        <v>0</v>
      </c>
      <c r="BC215" s="151">
        <f>IF(K215="MRSA West",(AG215/$BC$1)*'1. UC Assumptions'!$N$44-(AH215/$BC$2)*'1. UC Assumptions'!$N$42,0)</f>
        <v>0</v>
      </c>
      <c r="BD215" s="151">
        <f>IF(K215="Nueces",(AG215/$BD$1)*'1. UC Assumptions'!$O$44-(AH215/$BD$2)*'1. UC Assumptions'!$O$42,0)</f>
        <v>0</v>
      </c>
      <c r="BE215" s="151">
        <f>IF(K215="Tarrant",(AG215/$BE$1)*'1. UC Assumptions'!$P$44-(AH215/$BE$2)*'1. UC Assumptions'!$P$42,0)</f>
        <v>0</v>
      </c>
      <c r="BF215" s="151">
        <f>IF(K215="Travis",(AG215/$BF$1)*'1. UC Assumptions'!$Q$44-(AH215/$BF$2)*'1. UC Assumptions'!$Q$42,0)</f>
        <v>0</v>
      </c>
      <c r="BG215" s="151">
        <f t="shared" si="78"/>
        <v>0</v>
      </c>
      <c r="BH215" s="151">
        <f t="shared" si="79"/>
        <v>7900.326775218844</v>
      </c>
      <c r="BI215" s="151">
        <f>ROUNDDOWN(BH215*'1. UC Assumptions'!$C$23,2)</f>
        <v>2607.1</v>
      </c>
      <c r="BJ215" s="154">
        <f t="shared" si="80"/>
        <v>7900.326775218844</v>
      </c>
      <c r="BK215" s="154">
        <f t="shared" si="81"/>
        <v>2607.1</v>
      </c>
      <c r="BL215" s="154">
        <f t="shared" si="82"/>
        <v>7293.74</v>
      </c>
      <c r="BM215" s="154">
        <f t="shared" si="83"/>
        <v>2406.9299999999998</v>
      </c>
      <c r="BN215" s="101"/>
      <c r="BO215" s="154">
        <f>(BL215*'1. UC Assumptions'!$C$23)-'3.  UC Calculations by Hospital'!BM215</f>
        <v>4.1999999998552084E-3</v>
      </c>
      <c r="BP215" s="13"/>
    </row>
    <row r="216" spans="2:68">
      <c r="B216" s="129" t="s">
        <v>742</v>
      </c>
      <c r="C216" s="91" t="s">
        <v>742</v>
      </c>
      <c r="D216" s="91" t="s">
        <v>214</v>
      </c>
      <c r="E216" s="91" t="s">
        <v>209</v>
      </c>
      <c r="F216" s="91"/>
      <c r="G216" s="91" t="s">
        <v>209</v>
      </c>
      <c r="H216" s="91" t="s">
        <v>209</v>
      </c>
      <c r="I216" s="150" t="s">
        <v>210</v>
      </c>
      <c r="J216" s="129" t="s">
        <v>743</v>
      </c>
      <c r="K216" s="91" t="s">
        <v>6</v>
      </c>
      <c r="L216" s="91" t="s">
        <v>6</v>
      </c>
      <c r="M216" s="151">
        <v>38020085.240230858</v>
      </c>
      <c r="N216" s="151">
        <v>0</v>
      </c>
      <c r="O216" s="131">
        <v>0</v>
      </c>
      <c r="P216" s="131">
        <f t="shared" si="63"/>
        <v>0</v>
      </c>
      <c r="Q216" s="131">
        <v>60144449.07573624</v>
      </c>
      <c r="R216" s="131">
        <v>0</v>
      </c>
      <c r="S216" s="131">
        <f t="shared" si="64"/>
        <v>0</v>
      </c>
      <c r="T216" s="131">
        <f t="shared" si="65"/>
        <v>60144449.07573624</v>
      </c>
      <c r="U216" s="131">
        <v>0</v>
      </c>
      <c r="V216" s="131">
        <v>0</v>
      </c>
      <c r="W216" s="131">
        <v>0</v>
      </c>
      <c r="X216" s="131">
        <v>0</v>
      </c>
      <c r="Y216" s="131">
        <v>5119398.8774892706</v>
      </c>
      <c r="Z216" s="131">
        <f t="shared" si="66"/>
        <v>5119398.8774892706</v>
      </c>
      <c r="AA216" s="131">
        <v>0</v>
      </c>
      <c r="AB216" s="152">
        <f t="shared" si="67"/>
        <v>65263847.953225508</v>
      </c>
      <c r="AC216" s="133">
        <f>IF(D216="Physician Group Practice",(AB216/$AB$393)*'1. UC Assumptions'!$C$15,IF(E216="Rural Hospital",AB216*'1. UC Assumptions'!$C$7/'1. UC Assumptions'!$E$7,(AB216/$AB$397)*('1. UC Assumptions'!$C$9)))</f>
        <v>30683511.39244698</v>
      </c>
      <c r="AD216" s="133">
        <f t="shared" si="68"/>
        <v>0</v>
      </c>
      <c r="AE216" s="133">
        <f t="shared" si="69"/>
        <v>34580336.560778528</v>
      </c>
      <c r="AF216" s="133">
        <f t="shared" si="70"/>
        <v>0</v>
      </c>
      <c r="AG216" s="133">
        <f t="shared" si="71"/>
        <v>34580336.560778528</v>
      </c>
      <c r="AH216" s="133">
        <f t="shared" si="72"/>
        <v>30683511.39244698</v>
      </c>
      <c r="AI216" s="131">
        <f>AH216*'1. UC Assumptions'!$C$23</f>
        <v>10125558.759507501</v>
      </c>
      <c r="AJ216" s="131">
        <v>28177499.84</v>
      </c>
      <c r="AK216" s="131">
        <f>AJ216*(1-'1. UC Assumptions'!$C$22)</f>
        <v>9298574.9471999984</v>
      </c>
      <c r="AL216" s="131"/>
      <c r="AM216" s="131">
        <f>AL216*'1. UC Assumptions'!$C$23</f>
        <v>0</v>
      </c>
      <c r="AN216" s="153">
        <f t="shared" si="73"/>
        <v>65263847.953225508</v>
      </c>
      <c r="AO216" s="151">
        <f>AN216*'1. UC Assumptions'!$C$23</f>
        <v>21537069.824564416</v>
      </c>
      <c r="AP216" s="151">
        <f t="shared" si="74"/>
        <v>37086348.113225505</v>
      </c>
      <c r="AQ216" s="151">
        <f t="shared" si="75"/>
        <v>12238494.877364418</v>
      </c>
      <c r="AR216" s="151">
        <f t="shared" si="76"/>
        <v>12238494.877364418</v>
      </c>
      <c r="AS216" s="151">
        <f t="shared" si="77"/>
        <v>21537069.824564416</v>
      </c>
      <c r="AT216" s="151">
        <f>IF(K216="Bexar",(AG216/$AT$1)*'1. UC Assumptions'!$E$44-(AH216/$AT$2)*'1. UC Assumptions'!$E$42,0)</f>
        <v>0</v>
      </c>
      <c r="AU216" s="151">
        <f>IF(K216="Dallas",(AG216/$AU$1)*'1. UC Assumptions'!$F$44-(AH216/$AU$2)*'1. UC Assumptions'!$F$42,0)</f>
        <v>0</v>
      </c>
      <c r="AV216" s="151">
        <f>IF(K216="El Paso",(AG216/$AV$1)*'1. UC Assumptions'!$G$44-(AH216/$AV$2)*'1. UC Assumptions'!$G$42,0)</f>
        <v>0</v>
      </c>
      <c r="AW216" s="151">
        <f>IF(K216="Harris",(AG216/$AW$1)*'1. UC Assumptions'!$H$44-(AH216/$AW$2)*'1. UC Assumptions'!$H$42,0)</f>
        <v>0</v>
      </c>
      <c r="AX216" s="151">
        <f>IF(K216="Hidalgo",(AG216/$AX$1)*'1. UC Assumptions'!$I$44-(AH216/$AX$2)*'1. UC Assumptions'!$I$42,0)</f>
        <v>0</v>
      </c>
      <c r="AY216" s="151">
        <f>IF(K216="Jefferson",(AG216/$AY$1)*'1. UC Assumptions'!$J$44-(AH216/$AY$2)*'1. UC Assumptions'!$J$42,0)</f>
        <v>0</v>
      </c>
      <c r="AZ216" s="151">
        <f>IF(K216="Lubbock",(AG216/$AZ$1)*'1. UC Assumptions'!$K$44-(AH216/$AZ$2)*'1. UC Assumptions'!$K$42,0)</f>
        <v>0</v>
      </c>
      <c r="BA216" s="151">
        <f>IF(K216="MRSA Central",(AG216/$BA$1)*'1. UC Assumptions'!$L$44-(AH216/$BA$2)*'1. UC Assumptions'!$L$42,0)</f>
        <v>0</v>
      </c>
      <c r="BB216" s="151">
        <f>IF(K216="MRSA Northeast",(AG216/$BB$1)*'1. UC Assumptions'!$M$44-(AH216/$BB$2)*'1. UC Assumptions'!$M$42,0)</f>
        <v>0</v>
      </c>
      <c r="BC216" s="151">
        <f>IF(K216="MRSA West",(AG216/$BC$1)*'1. UC Assumptions'!$N$44-(AH216/$BC$2)*'1. UC Assumptions'!$N$42,0)</f>
        <v>0</v>
      </c>
      <c r="BD216" s="151">
        <f>IF(K216="Nueces",(AG216/$BD$1)*'1. UC Assumptions'!$O$44-(AH216/$BD$2)*'1. UC Assumptions'!$O$42,0)</f>
        <v>0</v>
      </c>
      <c r="BE216" s="151">
        <f>IF(K216="Tarrant",(AG216/$BE$1)*'1. UC Assumptions'!$P$44-(AH216/$BE$2)*'1. UC Assumptions'!$P$42,0)</f>
        <v>0</v>
      </c>
      <c r="BF216" s="151">
        <f>IF(K216="Travis",(AG216/$BF$1)*'1. UC Assumptions'!$Q$44-(AH216/$BF$2)*'1. UC Assumptions'!$Q$42,0)</f>
        <v>0</v>
      </c>
      <c r="BG216" s="151">
        <f t="shared" si="78"/>
        <v>0</v>
      </c>
      <c r="BH216" s="151">
        <f t="shared" si="79"/>
        <v>30683511.39244698</v>
      </c>
      <c r="BI216" s="151">
        <f>ROUNDDOWN(BH216*'1. UC Assumptions'!$C$23,2)</f>
        <v>10125558.75</v>
      </c>
      <c r="BJ216" s="154">
        <f t="shared" si="80"/>
        <v>2506011.55244698</v>
      </c>
      <c r="BK216" s="154">
        <f t="shared" si="81"/>
        <v>826983.80280000158</v>
      </c>
      <c r="BL216" s="154">
        <f t="shared" si="82"/>
        <v>2313600.2000000002</v>
      </c>
      <c r="BM216" s="154">
        <f t="shared" si="83"/>
        <v>763488.06</v>
      </c>
      <c r="BN216" s="101"/>
      <c r="BO216" s="154">
        <f>(BL216*'1. UC Assumptions'!$C$23)-'3.  UC Calculations by Hospital'!BM216</f>
        <v>5.9999999357387424E-3</v>
      </c>
      <c r="BP216" s="13"/>
    </row>
    <row r="217" spans="2:68">
      <c r="B217" s="129" t="s">
        <v>744</v>
      </c>
      <c r="C217" s="91" t="s">
        <v>744</v>
      </c>
      <c r="D217" s="91" t="s">
        <v>214</v>
      </c>
      <c r="E217" s="91" t="s">
        <v>209</v>
      </c>
      <c r="F217" s="91"/>
      <c r="G217" s="91" t="s">
        <v>209</v>
      </c>
      <c r="H217" s="91" t="s">
        <v>209</v>
      </c>
      <c r="I217" s="150" t="s">
        <v>210</v>
      </c>
      <c r="J217" s="129" t="s">
        <v>745</v>
      </c>
      <c r="K217" s="91" t="s">
        <v>6</v>
      </c>
      <c r="L217" s="91" t="s">
        <v>6</v>
      </c>
      <c r="M217" s="151">
        <v>5760662.5787156615</v>
      </c>
      <c r="N217" s="151">
        <v>0</v>
      </c>
      <c r="O217" s="131">
        <v>0</v>
      </c>
      <c r="P217" s="131">
        <f t="shared" si="63"/>
        <v>0</v>
      </c>
      <c r="Q217" s="131">
        <v>42529065.065221347</v>
      </c>
      <c r="R217" s="131">
        <v>0</v>
      </c>
      <c r="S217" s="131">
        <f t="shared" si="64"/>
        <v>0</v>
      </c>
      <c r="T217" s="131">
        <f t="shared" si="65"/>
        <v>42529065.065221347</v>
      </c>
      <c r="U217" s="131">
        <v>0</v>
      </c>
      <c r="V217" s="131">
        <v>0</v>
      </c>
      <c r="W217" s="131">
        <v>0</v>
      </c>
      <c r="X217" s="131">
        <v>0</v>
      </c>
      <c r="Y217" s="131">
        <v>2132162.511354214</v>
      </c>
      <c r="Z217" s="131">
        <f t="shared" si="66"/>
        <v>2132162.511354214</v>
      </c>
      <c r="AA217" s="131">
        <v>0</v>
      </c>
      <c r="AB217" s="152">
        <f t="shared" si="67"/>
        <v>44661227.576575562</v>
      </c>
      <c r="AC217" s="133">
        <f>IF(D217="Physician Group Practice",(AB217/$AB$393)*'1. UC Assumptions'!$C$15,IF(E217="Rural Hospital",AB217*'1. UC Assumptions'!$C$7/'1. UC Assumptions'!$E$7,(AB217/$AB$397)*('1. UC Assumptions'!$C$9)))</f>
        <v>20997279.935572613</v>
      </c>
      <c r="AD217" s="133">
        <f t="shared" si="68"/>
        <v>0</v>
      </c>
      <c r="AE217" s="133">
        <f t="shared" si="69"/>
        <v>23663947.641002949</v>
      </c>
      <c r="AF217" s="133">
        <f t="shared" si="70"/>
        <v>0</v>
      </c>
      <c r="AG217" s="133">
        <f t="shared" si="71"/>
        <v>23663947.641002949</v>
      </c>
      <c r="AH217" s="133">
        <f t="shared" si="72"/>
        <v>20997279.935572613</v>
      </c>
      <c r="AI217" s="131">
        <f>AH217*'1. UC Assumptions'!$C$23</f>
        <v>6929102.3787389612</v>
      </c>
      <c r="AJ217" s="131">
        <v>17118977.43</v>
      </c>
      <c r="AK217" s="131">
        <f>AJ217*(1-'1. UC Assumptions'!$C$22)</f>
        <v>5649262.5518999994</v>
      </c>
      <c r="AL217" s="131"/>
      <c r="AM217" s="131">
        <f>AL217*'1. UC Assumptions'!$C$23</f>
        <v>0</v>
      </c>
      <c r="AN217" s="153">
        <f t="shared" si="73"/>
        <v>44661227.576575562</v>
      </c>
      <c r="AO217" s="151">
        <f>AN217*'1. UC Assumptions'!$C$23</f>
        <v>14738205.100269934</v>
      </c>
      <c r="AP217" s="151">
        <f t="shared" si="74"/>
        <v>27542250.146575563</v>
      </c>
      <c r="AQ217" s="151">
        <f t="shared" si="75"/>
        <v>9088942.5483699348</v>
      </c>
      <c r="AR217" s="151">
        <f t="shared" si="76"/>
        <v>9088942.5483699348</v>
      </c>
      <c r="AS217" s="151">
        <f t="shared" si="77"/>
        <v>14738205.100269934</v>
      </c>
      <c r="AT217" s="151">
        <f>IF(K217="Bexar",(AG217/$AT$1)*'1. UC Assumptions'!$E$44-(AH217/$AT$2)*'1. UC Assumptions'!$E$42,0)</f>
        <v>0</v>
      </c>
      <c r="AU217" s="151">
        <f>IF(K217="Dallas",(AG217/$AU$1)*'1. UC Assumptions'!$F$44-(AH217/$AU$2)*'1. UC Assumptions'!$F$42,0)</f>
        <v>0</v>
      </c>
      <c r="AV217" s="151">
        <f>IF(K217="El Paso",(AG217/$AV$1)*'1. UC Assumptions'!$G$44-(AH217/$AV$2)*'1. UC Assumptions'!$G$42,0)</f>
        <v>0</v>
      </c>
      <c r="AW217" s="151">
        <f>IF(K217="Harris",(AG217/$AW$1)*'1. UC Assumptions'!$H$44-(AH217/$AW$2)*'1. UC Assumptions'!$H$42,0)</f>
        <v>0</v>
      </c>
      <c r="AX217" s="151">
        <f>IF(K217="Hidalgo",(AG217/$AX$1)*'1. UC Assumptions'!$I$44-(AH217/$AX$2)*'1. UC Assumptions'!$I$42,0)</f>
        <v>0</v>
      </c>
      <c r="AY217" s="151">
        <f>IF(K217="Jefferson",(AG217/$AY$1)*'1. UC Assumptions'!$J$44-(AH217/$AY$2)*'1. UC Assumptions'!$J$42,0)</f>
        <v>0</v>
      </c>
      <c r="AZ217" s="151">
        <f>IF(K217="Lubbock",(AG217/$AZ$1)*'1. UC Assumptions'!$K$44-(AH217/$AZ$2)*'1. UC Assumptions'!$K$42,0)</f>
        <v>0</v>
      </c>
      <c r="BA217" s="151">
        <f>IF(K217="MRSA Central",(AG217/$BA$1)*'1. UC Assumptions'!$L$44-(AH217/$BA$2)*'1. UC Assumptions'!$L$42,0)</f>
        <v>0</v>
      </c>
      <c r="BB217" s="151">
        <f>IF(K217="MRSA Northeast",(AG217/$BB$1)*'1. UC Assumptions'!$M$44-(AH217/$BB$2)*'1. UC Assumptions'!$M$42,0)</f>
        <v>0</v>
      </c>
      <c r="BC217" s="151">
        <f>IF(K217="MRSA West",(AG217/$BC$1)*'1. UC Assumptions'!$N$44-(AH217/$BC$2)*'1. UC Assumptions'!$N$42,0)</f>
        <v>0</v>
      </c>
      <c r="BD217" s="151">
        <f>IF(K217="Nueces",(AG217/$BD$1)*'1. UC Assumptions'!$O$44-(AH217/$BD$2)*'1. UC Assumptions'!$O$42,0)</f>
        <v>0</v>
      </c>
      <c r="BE217" s="151">
        <f>IF(K217="Tarrant",(AG217/$BE$1)*'1. UC Assumptions'!$P$44-(AH217/$BE$2)*'1. UC Assumptions'!$P$42,0)</f>
        <v>0</v>
      </c>
      <c r="BF217" s="151">
        <f>IF(K217="Travis",(AG217/$BF$1)*'1. UC Assumptions'!$Q$44-(AH217/$BF$2)*'1. UC Assumptions'!$Q$42,0)</f>
        <v>0</v>
      </c>
      <c r="BG217" s="151">
        <f t="shared" si="78"/>
        <v>0</v>
      </c>
      <c r="BH217" s="151">
        <f t="shared" si="79"/>
        <v>20997279.935572613</v>
      </c>
      <c r="BI217" s="151">
        <f>ROUNDDOWN(BH217*'1. UC Assumptions'!$C$23,2)</f>
        <v>6929102.3700000001</v>
      </c>
      <c r="BJ217" s="154">
        <f t="shared" si="80"/>
        <v>3878302.5055726133</v>
      </c>
      <c r="BK217" s="154">
        <f t="shared" si="81"/>
        <v>1279839.8181000007</v>
      </c>
      <c r="BL217" s="154">
        <f t="shared" si="82"/>
        <v>3580526.77</v>
      </c>
      <c r="BM217" s="154">
        <f t="shared" si="83"/>
        <v>1181573.82</v>
      </c>
      <c r="BN217" s="101"/>
      <c r="BO217" s="154">
        <f>(BL217*'1. UC Assumptions'!$C$23)-'3.  UC Calculations by Hospital'!BM217</f>
        <v>1.409999979659915E-2</v>
      </c>
      <c r="BP217" s="13"/>
    </row>
    <row r="218" spans="2:68">
      <c r="B218" s="129" t="s">
        <v>746</v>
      </c>
      <c r="C218" s="91" t="s">
        <v>746</v>
      </c>
      <c r="D218" s="91" t="s">
        <v>208</v>
      </c>
      <c r="E218" s="91" t="s">
        <v>209</v>
      </c>
      <c r="F218" s="91"/>
      <c r="G218" s="91" t="s">
        <v>209</v>
      </c>
      <c r="H218" s="91" t="s">
        <v>209</v>
      </c>
      <c r="I218" s="150" t="s">
        <v>210</v>
      </c>
      <c r="J218" s="129" t="s">
        <v>747</v>
      </c>
      <c r="K218" s="91" t="s">
        <v>9</v>
      </c>
      <c r="L218" s="91" t="s">
        <v>9</v>
      </c>
      <c r="M218" s="151">
        <v>24246521.132576678</v>
      </c>
      <c r="N218" s="151">
        <v>74845584.857011288</v>
      </c>
      <c r="O218" s="131">
        <v>0</v>
      </c>
      <c r="P218" s="131">
        <f t="shared" si="63"/>
        <v>74845584.857011288</v>
      </c>
      <c r="Q218" s="131">
        <v>98726992.355211839</v>
      </c>
      <c r="R218" s="131">
        <v>38826135.440000005</v>
      </c>
      <c r="S218" s="131">
        <f t="shared" si="64"/>
        <v>0</v>
      </c>
      <c r="T218" s="131">
        <f t="shared" si="65"/>
        <v>98726992.355211839</v>
      </c>
      <c r="U218" s="131">
        <v>25873545</v>
      </c>
      <c r="V218" s="131">
        <v>821833</v>
      </c>
      <c r="W218" s="131">
        <v>4657238.0999999996</v>
      </c>
      <c r="X218" s="131">
        <v>0</v>
      </c>
      <c r="Y218" s="131">
        <v>17477279.221000232</v>
      </c>
      <c r="Z218" s="131">
        <f t="shared" si="66"/>
        <v>48829895.321000233</v>
      </c>
      <c r="AA218" s="131">
        <v>0</v>
      </c>
      <c r="AB218" s="152">
        <f t="shared" si="67"/>
        <v>147556887.67621207</v>
      </c>
      <c r="AC218" s="133">
        <f>IF(D218="Physician Group Practice",(AB218/$AB$393)*'1. UC Assumptions'!$C$15,IF(E218="Rural Hospital",AB218*'1. UC Assumptions'!$C$7/'1. UC Assumptions'!$E$7,(AB218/$AB$397)*('1. UC Assumptions'!$C$9)))</f>
        <v>69373222.481334075</v>
      </c>
      <c r="AD218" s="133">
        <f t="shared" si="68"/>
        <v>0</v>
      </c>
      <c r="AE218" s="133">
        <f t="shared" si="69"/>
        <v>78183665.194877997</v>
      </c>
      <c r="AF218" s="133">
        <f t="shared" si="70"/>
        <v>0</v>
      </c>
      <c r="AG218" s="133">
        <f t="shared" si="71"/>
        <v>78183665.194877997</v>
      </c>
      <c r="AH218" s="133">
        <f t="shared" si="72"/>
        <v>69373222.481334075</v>
      </c>
      <c r="AI218" s="131">
        <f>AH218*'1. UC Assumptions'!$C$23</f>
        <v>22893163.418840241</v>
      </c>
      <c r="AJ218" s="131">
        <v>53843628.609999999</v>
      </c>
      <c r="AK218" s="131">
        <f>AJ218*(1-'1. UC Assumptions'!$C$22)</f>
        <v>17768397.441299997</v>
      </c>
      <c r="AL218" s="131"/>
      <c r="AM218" s="131">
        <f>AL218*'1. UC Assumptions'!$C$23</f>
        <v>0</v>
      </c>
      <c r="AN218" s="153">
        <f t="shared" si="73"/>
        <v>147556887.67621207</v>
      </c>
      <c r="AO218" s="151">
        <f>AN218*'1. UC Assumptions'!$C$23</f>
        <v>48693772.933149979</v>
      </c>
      <c r="AP218" s="151">
        <f t="shared" si="74"/>
        <v>93713259.066212073</v>
      </c>
      <c r="AQ218" s="151">
        <f t="shared" si="75"/>
        <v>30925375.491849981</v>
      </c>
      <c r="AR218" s="151">
        <f t="shared" si="76"/>
        <v>30925375.491849981</v>
      </c>
      <c r="AS218" s="151">
        <f t="shared" si="77"/>
        <v>48693772.933149979</v>
      </c>
      <c r="AT218" s="151">
        <f>IF(K218="Bexar",(AG218/$AT$1)*'1. UC Assumptions'!$E$44-(AH218/$AT$2)*'1. UC Assumptions'!$E$42,0)</f>
        <v>0</v>
      </c>
      <c r="AU218" s="151">
        <f>IF(K218="Dallas",(AG218/$AU$1)*'1. UC Assumptions'!$F$44-(AH218/$AU$2)*'1. UC Assumptions'!$F$42,0)</f>
        <v>0</v>
      </c>
      <c r="AV218" s="151">
        <f>IF(K218="El Paso",(AG218/$AV$1)*'1. UC Assumptions'!$G$44-(AH218/$AV$2)*'1. UC Assumptions'!$G$42,0)</f>
        <v>0</v>
      </c>
      <c r="AW218" s="151">
        <f>IF(K218="Harris",(AG218/$AW$1)*'1. UC Assumptions'!$H$44-(AH218/$AW$2)*'1. UC Assumptions'!$H$42,0)</f>
        <v>0</v>
      </c>
      <c r="AX218" s="151">
        <f>IF(K218="Hidalgo",(AG218/$AX$1)*'1. UC Assumptions'!$I$44-(AH218/$AX$2)*'1. UC Assumptions'!$I$42,0)</f>
        <v>0</v>
      </c>
      <c r="AY218" s="151">
        <f>IF(K218="Jefferson",(AG218/$AY$1)*'1. UC Assumptions'!$J$44-(AH218/$AY$2)*'1. UC Assumptions'!$J$42,0)</f>
        <v>0</v>
      </c>
      <c r="AZ218" s="151">
        <f>IF(K218="Lubbock",(AG218/$AZ$1)*'1. UC Assumptions'!$K$44-(AH218/$AZ$2)*'1. UC Assumptions'!$K$42,0)</f>
        <v>0</v>
      </c>
      <c r="BA218" s="151">
        <f>IF(K218="MRSA Central",(AG218/$BA$1)*'1. UC Assumptions'!$L$44-(AH218/$BA$2)*'1. UC Assumptions'!$L$42,0)</f>
        <v>0</v>
      </c>
      <c r="BB218" s="151">
        <f>IF(K218="MRSA Northeast",(AG218/$BB$1)*'1. UC Assumptions'!$M$44-(AH218/$BB$2)*'1. UC Assumptions'!$M$42,0)</f>
        <v>0</v>
      </c>
      <c r="BC218" s="151">
        <f>IF(K218="MRSA West",(AG218/$BC$1)*'1. UC Assumptions'!$N$44-(AH218/$BC$2)*'1. UC Assumptions'!$N$42,0)</f>
        <v>0</v>
      </c>
      <c r="BD218" s="151">
        <f>IF(K218="Nueces",(AG218/$BD$1)*'1. UC Assumptions'!$O$44-(AH218/$BD$2)*'1. UC Assumptions'!$O$42,0)</f>
        <v>0</v>
      </c>
      <c r="BE218" s="151">
        <f>IF(K218="Tarrant",(AG218/$BE$1)*'1. UC Assumptions'!$P$44-(AH218/$BE$2)*'1. UC Assumptions'!$P$42,0)</f>
        <v>0</v>
      </c>
      <c r="BF218" s="151">
        <f>IF(K218="Travis",(AG218/$BF$1)*'1. UC Assumptions'!$Q$44-(AH218/$BF$2)*'1. UC Assumptions'!$Q$42,0)</f>
        <v>0</v>
      </c>
      <c r="BG218" s="151">
        <f t="shared" si="78"/>
        <v>0</v>
      </c>
      <c r="BH218" s="151">
        <f t="shared" si="79"/>
        <v>69373222.481334075</v>
      </c>
      <c r="BI218" s="151">
        <f>ROUNDDOWN(BH218*'1. UC Assumptions'!$C$23,2)</f>
        <v>22893163.41</v>
      </c>
      <c r="BJ218" s="154">
        <f t="shared" si="80"/>
        <v>15529593.871334076</v>
      </c>
      <c r="BK218" s="154">
        <f t="shared" si="81"/>
        <v>5124765.9687000029</v>
      </c>
      <c r="BL218" s="154">
        <f t="shared" si="82"/>
        <v>14337232.99</v>
      </c>
      <c r="BM218" s="154">
        <f t="shared" si="83"/>
        <v>4731286.87</v>
      </c>
      <c r="BN218" s="101"/>
      <c r="BO218" s="154">
        <f>(BL218*'1. UC Assumptions'!$C$23)-'3.  UC Calculations by Hospital'!BM218</f>
        <v>1.6699999570846558E-2</v>
      </c>
      <c r="BP218" s="13"/>
    </row>
    <row r="219" spans="2:68">
      <c r="B219" s="129" t="s">
        <v>748</v>
      </c>
      <c r="C219" s="91" t="s">
        <v>748</v>
      </c>
      <c r="D219" s="91" t="s">
        <v>214</v>
      </c>
      <c r="E219" s="91" t="s">
        <v>209</v>
      </c>
      <c r="F219" s="91"/>
      <c r="G219" s="91" t="s">
        <v>209</v>
      </c>
      <c r="H219" s="91" t="s">
        <v>209</v>
      </c>
      <c r="I219" s="150" t="s">
        <v>210</v>
      </c>
      <c r="J219" s="129" t="s">
        <v>749</v>
      </c>
      <c r="K219" s="91" t="s">
        <v>8</v>
      </c>
      <c r="L219" s="91" t="s">
        <v>8</v>
      </c>
      <c r="M219" s="151">
        <v>-4745542.3067677459</v>
      </c>
      <c r="N219" s="151">
        <v>38333228.083745398</v>
      </c>
      <c r="O219" s="131">
        <v>19830571.43851902</v>
      </c>
      <c r="P219" s="131">
        <f t="shared" si="63"/>
        <v>18502656.645226378</v>
      </c>
      <c r="Q219" s="131">
        <v>35919376.76293654</v>
      </c>
      <c r="R219" s="131">
        <v>6544585.4000000004</v>
      </c>
      <c r="S219" s="131">
        <f t="shared" si="64"/>
        <v>0</v>
      </c>
      <c r="T219" s="131">
        <f t="shared" si="65"/>
        <v>35919376.76293654</v>
      </c>
      <c r="U219" s="131">
        <v>1145868</v>
      </c>
      <c r="V219" s="131">
        <v>0</v>
      </c>
      <c r="W219" s="131">
        <v>57426</v>
      </c>
      <c r="X219" s="131">
        <v>0</v>
      </c>
      <c r="Y219" s="131">
        <v>4354018.4051823793</v>
      </c>
      <c r="Z219" s="131">
        <f t="shared" si="66"/>
        <v>5557312.4051823793</v>
      </c>
      <c r="AA219" s="131">
        <v>0</v>
      </c>
      <c r="AB219" s="152">
        <f t="shared" si="67"/>
        <v>41476689.168118916</v>
      </c>
      <c r="AC219" s="133">
        <f>IF(D219="Physician Group Practice",(AB219/$AB$393)*'1. UC Assumptions'!$C$15,IF(E219="Rural Hospital",AB219*'1. UC Assumptions'!$C$7/'1. UC Assumptions'!$E$7,(AB219/$AB$397)*('1. UC Assumptions'!$C$9)))</f>
        <v>19500083.193425335</v>
      </c>
      <c r="AD219" s="133">
        <f t="shared" si="68"/>
        <v>0</v>
      </c>
      <c r="AE219" s="133">
        <f t="shared" si="69"/>
        <v>21976605.974693581</v>
      </c>
      <c r="AF219" s="133">
        <f t="shared" si="70"/>
        <v>0</v>
      </c>
      <c r="AG219" s="133">
        <f t="shared" si="71"/>
        <v>21976605.974693581</v>
      </c>
      <c r="AH219" s="133">
        <f t="shared" si="72"/>
        <v>19500083.193425335</v>
      </c>
      <c r="AI219" s="131">
        <f>AH219*'1. UC Assumptions'!$C$23</f>
        <v>6435027.4538303595</v>
      </c>
      <c r="AJ219" s="131">
        <v>16399835.789999999</v>
      </c>
      <c r="AK219" s="131">
        <f>AJ219*(1-'1. UC Assumptions'!$C$22)</f>
        <v>5411945.8106999993</v>
      </c>
      <c r="AL219" s="131"/>
      <c r="AM219" s="131">
        <f>AL219*'1. UC Assumptions'!$C$23</f>
        <v>0</v>
      </c>
      <c r="AN219" s="153">
        <f t="shared" si="73"/>
        <v>41476689.168118916</v>
      </c>
      <c r="AO219" s="151">
        <f>AN219*'1. UC Assumptions'!$C$23</f>
        <v>13687307.425479241</v>
      </c>
      <c r="AP219" s="151">
        <f t="shared" si="74"/>
        <v>25076853.378118917</v>
      </c>
      <c r="AQ219" s="151">
        <f t="shared" si="75"/>
        <v>8275361.6147792414</v>
      </c>
      <c r="AR219" s="151">
        <f t="shared" si="76"/>
        <v>8275361.6147792414</v>
      </c>
      <c r="AS219" s="151">
        <f t="shared" si="77"/>
        <v>13687307.425479241</v>
      </c>
      <c r="AT219" s="151">
        <f>IF(K219="Bexar",(AG219/$AT$1)*'1. UC Assumptions'!$E$44-(AH219/$AT$2)*'1. UC Assumptions'!$E$42,0)</f>
        <v>0</v>
      </c>
      <c r="AU219" s="151">
        <f>IF(K219="Dallas",(AG219/$AU$1)*'1. UC Assumptions'!$F$44-(AH219/$AU$2)*'1. UC Assumptions'!$F$42,0)</f>
        <v>0</v>
      </c>
      <c r="AV219" s="151">
        <f>IF(K219="El Paso",(AG219/$AV$1)*'1. UC Assumptions'!$G$44-(AH219/$AV$2)*'1. UC Assumptions'!$G$42,0)</f>
        <v>0</v>
      </c>
      <c r="AW219" s="151">
        <f>IF(K219="Harris",(AG219/$AW$1)*'1. UC Assumptions'!$H$44-(AH219/$AW$2)*'1. UC Assumptions'!$H$42,0)</f>
        <v>0</v>
      </c>
      <c r="AX219" s="151">
        <f>IF(K219="Hidalgo",(AG219/$AX$1)*'1. UC Assumptions'!$I$44-(AH219/$AX$2)*'1. UC Assumptions'!$I$42,0)</f>
        <v>0</v>
      </c>
      <c r="AY219" s="151">
        <f>IF(K219="Jefferson",(AG219/$AY$1)*'1. UC Assumptions'!$J$44-(AH219/$AY$2)*'1. UC Assumptions'!$J$42,0)</f>
        <v>0</v>
      </c>
      <c r="AZ219" s="151">
        <f>IF(K219="Lubbock",(AG219/$AZ$1)*'1. UC Assumptions'!$K$44-(AH219/$AZ$2)*'1. UC Assumptions'!$K$42,0)</f>
        <v>0</v>
      </c>
      <c r="BA219" s="151">
        <f>IF(K219="MRSA Central",(AG219/$BA$1)*'1. UC Assumptions'!$L$44-(AH219/$BA$2)*'1. UC Assumptions'!$L$42,0)</f>
        <v>0</v>
      </c>
      <c r="BB219" s="151">
        <f>IF(K219="MRSA Northeast",(AG219/$BB$1)*'1. UC Assumptions'!$M$44-(AH219/$BB$2)*'1. UC Assumptions'!$M$42,0)</f>
        <v>0</v>
      </c>
      <c r="BC219" s="151">
        <f>IF(K219="MRSA West",(AG219/$BC$1)*'1. UC Assumptions'!$N$44-(AH219/$BC$2)*'1. UC Assumptions'!$N$42,0)</f>
        <v>0</v>
      </c>
      <c r="BD219" s="151">
        <f>IF(K219="Nueces",(AG219/$BD$1)*'1. UC Assumptions'!$O$44-(AH219/$BD$2)*'1. UC Assumptions'!$O$42,0)</f>
        <v>0</v>
      </c>
      <c r="BE219" s="151">
        <f>IF(K219="Tarrant",(AG219/$BE$1)*'1. UC Assumptions'!$P$44-(AH219/$BE$2)*'1. UC Assumptions'!$P$42,0)</f>
        <v>0</v>
      </c>
      <c r="BF219" s="151">
        <f>IF(K219="Travis",(AG219/$BF$1)*'1. UC Assumptions'!$Q$44-(AH219/$BF$2)*'1. UC Assumptions'!$Q$42,0)</f>
        <v>0</v>
      </c>
      <c r="BG219" s="151">
        <f t="shared" si="78"/>
        <v>0</v>
      </c>
      <c r="BH219" s="151">
        <f t="shared" si="79"/>
        <v>19500083.193425335</v>
      </c>
      <c r="BI219" s="151">
        <f>ROUNDDOWN(BH219*'1. UC Assumptions'!$C$23,2)</f>
        <v>6435027.4500000002</v>
      </c>
      <c r="BJ219" s="154">
        <f t="shared" si="80"/>
        <v>3100247.4034253359</v>
      </c>
      <c r="BK219" s="154">
        <f t="shared" si="81"/>
        <v>1023081.6393000009</v>
      </c>
      <c r="BL219" s="154">
        <f t="shared" si="82"/>
        <v>2862210.67</v>
      </c>
      <c r="BM219" s="154">
        <f t="shared" si="83"/>
        <v>944529.52</v>
      </c>
      <c r="BN219" s="101"/>
      <c r="BO219" s="154">
        <f>(BL219*'1. UC Assumptions'!$C$23)-'3.  UC Calculations by Hospital'!BM219</f>
        <v>1.0999998776242137E-3</v>
      </c>
      <c r="BP219" s="13"/>
    </row>
    <row r="220" spans="2:68">
      <c r="B220" s="129" t="s">
        <v>750</v>
      </c>
      <c r="C220" s="91" t="s">
        <v>750</v>
      </c>
      <c r="D220" s="91" t="s">
        <v>208</v>
      </c>
      <c r="E220" s="91" t="s">
        <v>149</v>
      </c>
      <c r="F220" s="91"/>
      <c r="G220" s="91" t="s">
        <v>209</v>
      </c>
      <c r="H220" s="91" t="s">
        <v>209</v>
      </c>
      <c r="I220" s="150" t="s">
        <v>210</v>
      </c>
      <c r="J220" s="129" t="s">
        <v>751</v>
      </c>
      <c r="K220" s="91" t="s">
        <v>12</v>
      </c>
      <c r="L220" s="91" t="s">
        <v>752</v>
      </c>
      <c r="M220" s="151">
        <v>621277.64663516148</v>
      </c>
      <c r="N220" s="151">
        <v>507163.90049443056</v>
      </c>
      <c r="O220" s="131">
        <v>302999.83985313278</v>
      </c>
      <c r="P220" s="131">
        <f t="shared" si="63"/>
        <v>204164.06064129778</v>
      </c>
      <c r="Q220" s="131">
        <v>478010.68069224956</v>
      </c>
      <c r="R220" s="131">
        <v>338794.11</v>
      </c>
      <c r="S220" s="131">
        <f t="shared" si="64"/>
        <v>0</v>
      </c>
      <c r="T220" s="131">
        <f t="shared" si="65"/>
        <v>478010.68069224956</v>
      </c>
      <c r="U220" s="131">
        <v>0</v>
      </c>
      <c r="V220" s="131">
        <v>0</v>
      </c>
      <c r="W220" s="131">
        <v>0</v>
      </c>
      <c r="X220" s="131">
        <v>0</v>
      </c>
      <c r="Y220" s="131">
        <v>0</v>
      </c>
      <c r="Z220" s="131">
        <f t="shared" si="66"/>
        <v>0</v>
      </c>
      <c r="AA220" s="131">
        <v>0</v>
      </c>
      <c r="AB220" s="152">
        <f t="shared" si="67"/>
        <v>478010.68069224956</v>
      </c>
      <c r="AC220" s="133">
        <f>IF(D220="Physician Group Practice",(AB220/$AB$393)*'1. UC Assumptions'!$C$15,IF(E220="Rural Hospital",AB220*'1. UC Assumptions'!$C$7/'1. UC Assumptions'!$E$7,(AB220/$AB$397)*('1. UC Assumptions'!$C$9)))</f>
        <v>446192.15062392515</v>
      </c>
      <c r="AD220" s="133">
        <f t="shared" si="68"/>
        <v>0</v>
      </c>
      <c r="AE220" s="133">
        <f t="shared" si="69"/>
        <v>31818.530068324413</v>
      </c>
      <c r="AF220" s="133">
        <f t="shared" si="70"/>
        <v>0</v>
      </c>
      <c r="AG220" s="133">
        <f t="shared" si="71"/>
        <v>31818.530068324413</v>
      </c>
      <c r="AH220" s="133">
        <f t="shared" si="72"/>
        <v>446192.15062392515</v>
      </c>
      <c r="AI220" s="131">
        <f>AH220*'1. UC Assumptions'!$C$23</f>
        <v>147243.40970589529</v>
      </c>
      <c r="AJ220" s="131">
        <v>114431.6</v>
      </c>
      <c r="AK220" s="131">
        <f>AJ220*(1-'1. UC Assumptions'!$C$22)</f>
        <v>37762.428</v>
      </c>
      <c r="AL220" s="131"/>
      <c r="AM220" s="131">
        <f>AL220*'1. UC Assumptions'!$C$23</f>
        <v>0</v>
      </c>
      <c r="AN220" s="153">
        <f t="shared" si="73"/>
        <v>478010.68069224956</v>
      </c>
      <c r="AO220" s="151">
        <f>AN220*'1. UC Assumptions'!$C$23</f>
        <v>157743.52462844233</v>
      </c>
      <c r="AP220" s="151">
        <f t="shared" si="74"/>
        <v>363579.08069224958</v>
      </c>
      <c r="AQ220" s="151">
        <f t="shared" si="75"/>
        <v>119981.09662844233</v>
      </c>
      <c r="AR220" s="151">
        <f t="shared" si="76"/>
        <v>119981.09662844233</v>
      </c>
      <c r="AS220" s="151">
        <f t="shared" si="77"/>
        <v>157743.52462844233</v>
      </c>
      <c r="AT220" s="151">
        <f>IF(K220="Bexar",(AG220/$AT$1)*'1. UC Assumptions'!$E$44-(AH220/$AT$2)*'1. UC Assumptions'!$E$42,0)</f>
        <v>0</v>
      </c>
      <c r="AU220" s="151">
        <f>IF(K220="Dallas",(AG220/$AU$1)*'1. UC Assumptions'!$F$44-(AH220/$AU$2)*'1. UC Assumptions'!$F$42,0)</f>
        <v>0</v>
      </c>
      <c r="AV220" s="151">
        <f>IF(K220="El Paso",(AG220/$AV$1)*'1. UC Assumptions'!$G$44-(AH220/$AV$2)*'1. UC Assumptions'!$G$42,0)</f>
        <v>0</v>
      </c>
      <c r="AW220" s="151">
        <f>IF(K220="Harris",(AG220/$AW$1)*'1. UC Assumptions'!$H$44-(AH220/$AW$2)*'1. UC Assumptions'!$H$42,0)</f>
        <v>0</v>
      </c>
      <c r="AX220" s="151">
        <f>IF(K220="Hidalgo",(AG220/$AX$1)*'1. UC Assumptions'!$I$44-(AH220/$AX$2)*'1. UC Assumptions'!$I$42,0)</f>
        <v>0</v>
      </c>
      <c r="AY220" s="151">
        <f>IF(K220="Jefferson",(AG220/$AY$1)*'1. UC Assumptions'!$J$44-(AH220/$AY$2)*'1. UC Assumptions'!$J$42,0)</f>
        <v>0</v>
      </c>
      <c r="AZ220" s="151">
        <f>IF(K220="Lubbock",(AG220/$AZ$1)*'1. UC Assumptions'!$K$44-(AH220/$AZ$2)*'1. UC Assumptions'!$K$42,0)</f>
        <v>0</v>
      </c>
      <c r="BA220" s="151">
        <f>IF(K220="MRSA Central",(AG220/$BA$1)*'1. UC Assumptions'!$L$44-(AH220/$BA$2)*'1. UC Assumptions'!$L$42,0)</f>
        <v>0</v>
      </c>
      <c r="BB220" s="151">
        <f>IF(K220="MRSA Northeast",(AG220/$BB$1)*'1. UC Assumptions'!$M$44-(AH220/$BB$2)*'1. UC Assumptions'!$M$42,0)</f>
        <v>0</v>
      </c>
      <c r="BC220" s="151">
        <f>IF(K220="MRSA West",(AG220/$BC$1)*'1. UC Assumptions'!$N$44-(AH220/$BC$2)*'1. UC Assumptions'!$N$42,0)</f>
        <v>0</v>
      </c>
      <c r="BD220" s="151">
        <f>IF(K220="Nueces",(AG220/$BD$1)*'1. UC Assumptions'!$O$44-(AH220/$BD$2)*'1. UC Assumptions'!$O$42,0)</f>
        <v>0</v>
      </c>
      <c r="BE220" s="151">
        <f>IF(K220="Tarrant",(AG220/$BE$1)*'1. UC Assumptions'!$P$44-(AH220/$BE$2)*'1. UC Assumptions'!$P$42,0)</f>
        <v>0</v>
      </c>
      <c r="BF220" s="151">
        <f>IF(K220="Travis",(AG220/$BF$1)*'1. UC Assumptions'!$Q$44-(AH220/$BF$2)*'1. UC Assumptions'!$Q$42,0)</f>
        <v>0</v>
      </c>
      <c r="BG220" s="151">
        <f t="shared" si="78"/>
        <v>0</v>
      </c>
      <c r="BH220" s="151">
        <f t="shared" si="79"/>
        <v>446192.15062392515</v>
      </c>
      <c r="BI220" s="151">
        <f>ROUNDDOWN(BH220*'1. UC Assumptions'!$C$23,2)</f>
        <v>147243.4</v>
      </c>
      <c r="BJ220" s="154">
        <f t="shared" si="80"/>
        <v>331760.55062392517</v>
      </c>
      <c r="BK220" s="154">
        <f t="shared" si="81"/>
        <v>109480.97199999999</v>
      </c>
      <c r="BL220" s="154">
        <f t="shared" si="82"/>
        <v>306288</v>
      </c>
      <c r="BM220" s="154">
        <f t="shared" si="83"/>
        <v>101075.03</v>
      </c>
      <c r="BN220" s="101"/>
      <c r="BO220" s="154">
        <f>(BL220*'1. UC Assumptions'!$C$23)-'3.  UC Calculations by Hospital'!BM220</f>
        <v>9.9999999947613105E-3</v>
      </c>
      <c r="BP220" s="13"/>
    </row>
    <row r="221" spans="2:68">
      <c r="B221" s="129" t="s">
        <v>753</v>
      </c>
      <c r="C221" s="91" t="s">
        <v>753</v>
      </c>
      <c r="D221" s="91" t="s">
        <v>208</v>
      </c>
      <c r="E221" s="91" t="s">
        <v>209</v>
      </c>
      <c r="F221" s="91"/>
      <c r="G221" s="91" t="s">
        <v>209</v>
      </c>
      <c r="H221" s="91" t="s">
        <v>209</v>
      </c>
      <c r="I221" s="150" t="s">
        <v>210</v>
      </c>
      <c r="J221" s="129" t="s">
        <v>754</v>
      </c>
      <c r="K221" s="91" t="s">
        <v>3</v>
      </c>
      <c r="L221" s="91" t="s">
        <v>755</v>
      </c>
      <c r="M221" s="151">
        <v>2350150.5805913866</v>
      </c>
      <c r="N221" s="151">
        <v>8818315.5719347689</v>
      </c>
      <c r="O221" s="131">
        <v>6288858.6791172354</v>
      </c>
      <c r="P221" s="131">
        <f t="shared" si="63"/>
        <v>2529456.8928175336</v>
      </c>
      <c r="Q221" s="131">
        <v>8376473.6476506619</v>
      </c>
      <c r="R221" s="131">
        <v>0</v>
      </c>
      <c r="S221" s="131">
        <f t="shared" si="64"/>
        <v>0</v>
      </c>
      <c r="T221" s="131">
        <f t="shared" si="65"/>
        <v>8376473.6476506619</v>
      </c>
      <c r="U221" s="131">
        <v>99364</v>
      </c>
      <c r="V221" s="131">
        <v>0</v>
      </c>
      <c r="W221" s="131">
        <v>0</v>
      </c>
      <c r="X221" s="131">
        <v>0</v>
      </c>
      <c r="Y221" s="131">
        <v>0</v>
      </c>
      <c r="Z221" s="131">
        <f t="shared" si="66"/>
        <v>99364</v>
      </c>
      <c r="AA221" s="131">
        <v>0</v>
      </c>
      <c r="AB221" s="152">
        <f t="shared" si="67"/>
        <v>8475837.6476506628</v>
      </c>
      <c r="AC221" s="133">
        <f>IF(D221="Physician Group Practice",(AB221/$AB$393)*'1. UC Assumptions'!$C$15,IF(E221="Rural Hospital",AB221*'1. UC Assumptions'!$C$7/'1. UC Assumptions'!$E$7,(AB221/$AB$397)*('1. UC Assumptions'!$C$9)))</f>
        <v>3984877.8332624636</v>
      </c>
      <c r="AD221" s="133">
        <f t="shared" si="68"/>
        <v>0</v>
      </c>
      <c r="AE221" s="133">
        <f t="shared" si="69"/>
        <v>4490959.8143881988</v>
      </c>
      <c r="AF221" s="133">
        <f t="shared" si="70"/>
        <v>0</v>
      </c>
      <c r="AG221" s="133">
        <f t="shared" si="71"/>
        <v>4490959.8143881988</v>
      </c>
      <c r="AH221" s="133">
        <f t="shared" si="72"/>
        <v>3984877.8332624636</v>
      </c>
      <c r="AI221" s="131">
        <f>AH221*'1. UC Assumptions'!$C$23</f>
        <v>1315009.6849766129</v>
      </c>
      <c r="AJ221" s="131">
        <v>4352817.24</v>
      </c>
      <c r="AK221" s="131">
        <f>AJ221*(1-'1. UC Assumptions'!$C$22)</f>
        <v>1436429.6891999999</v>
      </c>
      <c r="AL221" s="131"/>
      <c r="AM221" s="131">
        <f>AL221*'1. UC Assumptions'!$C$23</f>
        <v>0</v>
      </c>
      <c r="AN221" s="153">
        <f t="shared" si="73"/>
        <v>8475837.6476506628</v>
      </c>
      <c r="AO221" s="151">
        <f>AN221*'1. UC Assumptions'!$C$23</f>
        <v>2797026.4237247184</v>
      </c>
      <c r="AP221" s="151">
        <f t="shared" si="74"/>
        <v>4123020.4076506626</v>
      </c>
      <c r="AQ221" s="151">
        <f t="shared" si="75"/>
        <v>1360596.7345247185</v>
      </c>
      <c r="AR221" s="151">
        <f t="shared" si="76"/>
        <v>1360596.7345247185</v>
      </c>
      <c r="AS221" s="151">
        <f t="shared" si="77"/>
        <v>2797026.4237247184</v>
      </c>
      <c r="AT221" s="151">
        <f>IF(K221="Bexar",(AG221/$AT$1)*'1. UC Assumptions'!$E$44-(AH221/$AT$2)*'1. UC Assumptions'!$E$42,0)</f>
        <v>0</v>
      </c>
      <c r="AU221" s="151">
        <f>IF(K221="Dallas",(AG221/$AU$1)*'1. UC Assumptions'!$F$44-(AH221/$AU$2)*'1. UC Assumptions'!$F$42,0)</f>
        <v>0</v>
      </c>
      <c r="AV221" s="151">
        <f>IF(K221="El Paso",(AG221/$AV$1)*'1. UC Assumptions'!$G$44-(AH221/$AV$2)*'1. UC Assumptions'!$G$42,0)</f>
        <v>0</v>
      </c>
      <c r="AW221" s="151">
        <f>IF(K221="Harris",(AG221/$AW$1)*'1. UC Assumptions'!$H$44-(AH221/$AW$2)*'1. UC Assumptions'!$H$42,0)</f>
        <v>0</v>
      </c>
      <c r="AX221" s="151">
        <f>IF(K221="Hidalgo",(AG221/$AX$1)*'1. UC Assumptions'!$I$44-(AH221/$AX$2)*'1. UC Assumptions'!$I$42,0)</f>
        <v>0</v>
      </c>
      <c r="AY221" s="151">
        <f>IF(K221="Jefferson",(AG221/$AY$1)*'1. UC Assumptions'!$J$44-(AH221/$AY$2)*'1. UC Assumptions'!$J$42,0)</f>
        <v>0</v>
      </c>
      <c r="AZ221" s="151">
        <f>IF(K221="Lubbock",(AG221/$AZ$1)*'1. UC Assumptions'!$K$44-(AH221/$AZ$2)*'1. UC Assumptions'!$K$42,0)</f>
        <v>0</v>
      </c>
      <c r="BA221" s="151">
        <f>IF(K221="MRSA Central",(AG221/$BA$1)*'1. UC Assumptions'!$L$44-(AH221/$BA$2)*'1. UC Assumptions'!$L$42,0)</f>
        <v>0</v>
      </c>
      <c r="BB221" s="151">
        <f>IF(K221="MRSA Northeast",(AG221/$BB$1)*'1. UC Assumptions'!$M$44-(AH221/$BB$2)*'1. UC Assumptions'!$M$42,0)</f>
        <v>0</v>
      </c>
      <c r="BC221" s="151">
        <f>IF(K221="MRSA West",(AG221/$BC$1)*'1. UC Assumptions'!$N$44-(AH221/$BC$2)*'1. UC Assumptions'!$N$42,0)</f>
        <v>0</v>
      </c>
      <c r="BD221" s="151">
        <f>IF(K221="Nueces",(AG221/$BD$1)*'1. UC Assumptions'!$O$44-(AH221/$BD$2)*'1. UC Assumptions'!$O$42,0)</f>
        <v>0</v>
      </c>
      <c r="BE221" s="151">
        <f>IF(K221="Tarrant",(AG221/$BE$1)*'1. UC Assumptions'!$P$44-(AH221/$BE$2)*'1. UC Assumptions'!$P$42,0)</f>
        <v>0</v>
      </c>
      <c r="BF221" s="151">
        <f>IF(K221="Travis",(AG221/$BF$1)*'1. UC Assumptions'!$Q$44-(AH221/$BF$2)*'1. UC Assumptions'!$Q$42,0)</f>
        <v>0</v>
      </c>
      <c r="BG221" s="151">
        <f t="shared" si="78"/>
        <v>0</v>
      </c>
      <c r="BH221" s="151">
        <f t="shared" si="79"/>
        <v>3984877.8332624636</v>
      </c>
      <c r="BI221" s="151">
        <f>ROUNDDOWN(BH221*'1. UC Assumptions'!$C$23,2)</f>
        <v>1315009.68</v>
      </c>
      <c r="BJ221" s="154">
        <f t="shared" si="80"/>
        <v>-367939.40673753666</v>
      </c>
      <c r="BK221" s="154">
        <f t="shared" si="81"/>
        <v>-121420.00919999997</v>
      </c>
      <c r="BL221" s="154">
        <f t="shared" si="82"/>
        <v>0</v>
      </c>
      <c r="BM221" s="154">
        <f t="shared" si="83"/>
        <v>0</v>
      </c>
      <c r="BN221" s="101"/>
      <c r="BO221" s="154">
        <f>(BL221*'1. UC Assumptions'!$C$23)-'3.  UC Calculations by Hospital'!BM221</f>
        <v>0</v>
      </c>
      <c r="BP221" s="13"/>
    </row>
    <row r="222" spans="2:68">
      <c r="B222" s="129" t="s">
        <v>756</v>
      </c>
      <c r="C222" s="91" t="s">
        <v>756</v>
      </c>
      <c r="D222" s="91" t="s">
        <v>214</v>
      </c>
      <c r="E222" s="91" t="s">
        <v>149</v>
      </c>
      <c r="F222" s="91"/>
      <c r="G222" s="91" t="s">
        <v>209</v>
      </c>
      <c r="H222" s="91" t="s">
        <v>209</v>
      </c>
      <c r="I222" s="150" t="s">
        <v>210</v>
      </c>
      <c r="J222" s="129" t="s">
        <v>757</v>
      </c>
      <c r="K222" s="91" t="s">
        <v>12</v>
      </c>
      <c r="L222" s="91" t="s">
        <v>758</v>
      </c>
      <c r="M222" s="151">
        <v>-2958115.4669415466</v>
      </c>
      <c r="N222" s="151">
        <v>41066121.725976631</v>
      </c>
      <c r="O222" s="131">
        <v>1199311.2978482319</v>
      </c>
      <c r="P222" s="131">
        <f t="shared" si="63"/>
        <v>39866810.428128399</v>
      </c>
      <c r="Q222" s="131">
        <v>18688200.899574552</v>
      </c>
      <c r="R222" s="131">
        <v>5455893.46</v>
      </c>
      <c r="S222" s="131">
        <f t="shared" si="64"/>
        <v>0</v>
      </c>
      <c r="T222" s="131">
        <f t="shared" si="65"/>
        <v>18688200.899574552</v>
      </c>
      <c r="U222" s="131">
        <v>0</v>
      </c>
      <c r="V222" s="131">
        <v>0</v>
      </c>
      <c r="W222" s="131">
        <v>2782143</v>
      </c>
      <c r="X222" s="131">
        <v>0</v>
      </c>
      <c r="Y222" s="131">
        <v>4766909.0470290575</v>
      </c>
      <c r="Z222" s="131">
        <f t="shared" si="66"/>
        <v>7549052.0470290575</v>
      </c>
      <c r="AA222" s="131">
        <v>0</v>
      </c>
      <c r="AB222" s="152">
        <f t="shared" si="67"/>
        <v>26237252.946603611</v>
      </c>
      <c r="AC222" s="133">
        <f>IF(D222="Physician Group Practice",(AB222/$AB$393)*'1. UC Assumptions'!$C$15,IF(E222="Rural Hospital",AB222*'1. UC Assumptions'!$C$7/'1. UC Assumptions'!$E$7,(AB222/$AB$397)*('1. UC Assumptions'!$C$9)))</f>
        <v>24490783.975276969</v>
      </c>
      <c r="AD222" s="133">
        <f t="shared" si="68"/>
        <v>0</v>
      </c>
      <c r="AE222" s="133">
        <f t="shared" si="69"/>
        <v>1746468.9713266417</v>
      </c>
      <c r="AF222" s="133">
        <f t="shared" si="70"/>
        <v>0</v>
      </c>
      <c r="AG222" s="133">
        <f t="shared" si="71"/>
        <v>1746468.9713266417</v>
      </c>
      <c r="AH222" s="133">
        <f t="shared" si="72"/>
        <v>24490783.975276969</v>
      </c>
      <c r="AI222" s="131">
        <f>AH222*'1. UC Assumptions'!$C$23</f>
        <v>8081958.7118413989</v>
      </c>
      <c r="AJ222" s="131">
        <v>13161564.42</v>
      </c>
      <c r="AK222" s="131">
        <f>AJ222*(1-'1. UC Assumptions'!$C$22)</f>
        <v>4343316.2585999994</v>
      </c>
      <c r="AL222" s="131"/>
      <c r="AM222" s="131">
        <f>AL222*'1. UC Assumptions'!$C$23</f>
        <v>0</v>
      </c>
      <c r="AN222" s="153">
        <f t="shared" si="73"/>
        <v>26237252.946603611</v>
      </c>
      <c r="AO222" s="151">
        <f>AN222*'1. UC Assumptions'!$C$23</f>
        <v>8658293.4723791908</v>
      </c>
      <c r="AP222" s="151">
        <f t="shared" si="74"/>
        <v>13075688.526603611</v>
      </c>
      <c r="AQ222" s="151">
        <f t="shared" si="75"/>
        <v>4314977.2137791915</v>
      </c>
      <c r="AR222" s="151">
        <f t="shared" si="76"/>
        <v>4314977.2137791915</v>
      </c>
      <c r="AS222" s="151">
        <f t="shared" si="77"/>
        <v>8658293.4723791908</v>
      </c>
      <c r="AT222" s="151">
        <f>IF(K222="Bexar",(AG222/$AT$1)*'1. UC Assumptions'!$E$44-(AH222/$AT$2)*'1. UC Assumptions'!$E$42,0)</f>
        <v>0</v>
      </c>
      <c r="AU222" s="151">
        <f>IF(K222="Dallas",(AG222/$AU$1)*'1. UC Assumptions'!$F$44-(AH222/$AU$2)*'1. UC Assumptions'!$F$42,0)</f>
        <v>0</v>
      </c>
      <c r="AV222" s="151">
        <f>IF(K222="El Paso",(AG222/$AV$1)*'1. UC Assumptions'!$G$44-(AH222/$AV$2)*'1. UC Assumptions'!$G$42,0)</f>
        <v>0</v>
      </c>
      <c r="AW222" s="151">
        <f>IF(K222="Harris",(AG222/$AW$1)*'1. UC Assumptions'!$H$44-(AH222/$AW$2)*'1. UC Assumptions'!$H$42,0)</f>
        <v>0</v>
      </c>
      <c r="AX222" s="151">
        <f>IF(K222="Hidalgo",(AG222/$AX$1)*'1. UC Assumptions'!$I$44-(AH222/$AX$2)*'1. UC Assumptions'!$I$42,0)</f>
        <v>0</v>
      </c>
      <c r="AY222" s="151">
        <f>IF(K222="Jefferson",(AG222/$AY$1)*'1. UC Assumptions'!$J$44-(AH222/$AY$2)*'1. UC Assumptions'!$J$42,0)</f>
        <v>0</v>
      </c>
      <c r="AZ222" s="151">
        <f>IF(K222="Lubbock",(AG222/$AZ$1)*'1. UC Assumptions'!$K$44-(AH222/$AZ$2)*'1. UC Assumptions'!$K$42,0)</f>
        <v>0</v>
      </c>
      <c r="BA222" s="151">
        <f>IF(K222="MRSA Central",(AG222/$BA$1)*'1. UC Assumptions'!$L$44-(AH222/$BA$2)*'1. UC Assumptions'!$L$42,0)</f>
        <v>0</v>
      </c>
      <c r="BB222" s="151">
        <f>IF(K222="MRSA Northeast",(AG222/$BB$1)*'1. UC Assumptions'!$M$44-(AH222/$BB$2)*'1. UC Assumptions'!$M$42,0)</f>
        <v>0</v>
      </c>
      <c r="BC222" s="151">
        <f>IF(K222="MRSA West",(AG222/$BC$1)*'1. UC Assumptions'!$N$44-(AH222/$BC$2)*'1. UC Assumptions'!$N$42,0)</f>
        <v>0</v>
      </c>
      <c r="BD222" s="151">
        <f>IF(K222="Nueces",(AG222/$BD$1)*'1. UC Assumptions'!$O$44-(AH222/$BD$2)*'1. UC Assumptions'!$O$42,0)</f>
        <v>0</v>
      </c>
      <c r="BE222" s="151">
        <f>IF(K222="Tarrant",(AG222/$BE$1)*'1. UC Assumptions'!$P$44-(AH222/$BE$2)*'1. UC Assumptions'!$P$42,0)</f>
        <v>0</v>
      </c>
      <c r="BF222" s="151">
        <f>IF(K222="Travis",(AG222/$BF$1)*'1. UC Assumptions'!$Q$44-(AH222/$BF$2)*'1. UC Assumptions'!$Q$42,0)</f>
        <v>0</v>
      </c>
      <c r="BG222" s="151">
        <f t="shared" si="78"/>
        <v>0</v>
      </c>
      <c r="BH222" s="151">
        <f t="shared" si="79"/>
        <v>24490783.975276969</v>
      </c>
      <c r="BI222" s="151">
        <f>ROUNDDOWN(BH222*'1. UC Assumptions'!$C$23,2)</f>
        <v>8081958.71</v>
      </c>
      <c r="BJ222" s="154">
        <f t="shared" si="80"/>
        <v>11329219.555276969</v>
      </c>
      <c r="BK222" s="154">
        <f t="shared" si="81"/>
        <v>3738642.4514000006</v>
      </c>
      <c r="BL222" s="154">
        <f t="shared" si="82"/>
        <v>10459363.050000001</v>
      </c>
      <c r="BM222" s="154">
        <f t="shared" si="83"/>
        <v>3451589.8</v>
      </c>
      <c r="BN222" s="101"/>
      <c r="BO222" s="154">
        <f>(BL222*'1. UC Assumptions'!$C$23)-'3.  UC Calculations by Hospital'!BM222</f>
        <v>6.5000001341104507E-3</v>
      </c>
      <c r="BP222" s="13"/>
    </row>
    <row r="223" spans="2:68">
      <c r="B223" s="129" t="s">
        <v>117</v>
      </c>
      <c r="C223" s="91" t="s">
        <v>117</v>
      </c>
      <c r="D223" s="91" t="s">
        <v>281</v>
      </c>
      <c r="E223" s="91" t="s">
        <v>209</v>
      </c>
      <c r="F223" s="91"/>
      <c r="G223" s="91" t="s">
        <v>282</v>
      </c>
      <c r="H223" s="91" t="s">
        <v>209</v>
      </c>
      <c r="I223" s="150" t="s">
        <v>283</v>
      </c>
      <c r="J223" s="129" t="s">
        <v>759</v>
      </c>
      <c r="K223" s="91" t="s">
        <v>3</v>
      </c>
      <c r="L223" s="91" t="s">
        <v>3</v>
      </c>
      <c r="M223" s="151">
        <v>8822462.1263815667</v>
      </c>
      <c r="N223" s="151">
        <v>49796753.8160512</v>
      </c>
      <c r="O223" s="131">
        <v>0</v>
      </c>
      <c r="P223" s="131">
        <f t="shared" si="63"/>
        <v>49796753.8160512</v>
      </c>
      <c r="Q223" s="131">
        <v>0</v>
      </c>
      <c r="R223" s="131">
        <v>50500298</v>
      </c>
      <c r="S223" s="131">
        <f t="shared" si="64"/>
        <v>0</v>
      </c>
      <c r="T223" s="131">
        <f t="shared" si="65"/>
        <v>0</v>
      </c>
      <c r="U223" s="131">
        <v>0</v>
      </c>
      <c r="V223" s="131">
        <v>0</v>
      </c>
      <c r="W223" s="131">
        <v>7738</v>
      </c>
      <c r="X223" s="131">
        <v>0</v>
      </c>
      <c r="Y223" s="131">
        <v>191578</v>
      </c>
      <c r="Z223" s="131">
        <f t="shared" si="66"/>
        <v>199316</v>
      </c>
      <c r="AA223" s="131">
        <v>0</v>
      </c>
      <c r="AB223" s="152">
        <f t="shared" si="67"/>
        <v>7738</v>
      </c>
      <c r="AC223" s="133">
        <f>IF(D223="Physician Group Practice",(AB223/$AB$393)*'1. UC Assumptions'!$C$15,IF(E223="Rural Hospital",AB223*'1. UC Assumptions'!$C$7/'1. UC Assumptions'!$E$7,(AB223/$AB$397)*('1. UC Assumptions'!$C$9)))</f>
        <v>3637.9867047514535</v>
      </c>
      <c r="AD223" s="133">
        <f t="shared" si="68"/>
        <v>0</v>
      </c>
      <c r="AE223" s="133">
        <f t="shared" si="69"/>
        <v>4100.0132952485465</v>
      </c>
      <c r="AF223" s="133">
        <f t="shared" si="70"/>
        <v>0</v>
      </c>
      <c r="AG223" s="133">
        <f t="shared" si="71"/>
        <v>4100.0132952485465</v>
      </c>
      <c r="AH223" s="133">
        <f t="shared" si="72"/>
        <v>3637.9867047514535</v>
      </c>
      <c r="AI223" s="131">
        <f>AH223*'1. UC Assumptions'!$C$23</f>
        <v>1200.5356125679796</v>
      </c>
      <c r="AJ223" s="131">
        <v>494659.5</v>
      </c>
      <c r="AK223" s="131">
        <f>AJ223*(1-'1. UC Assumptions'!$C$22)</f>
        <v>163237.63499999998</v>
      </c>
      <c r="AL223" s="131"/>
      <c r="AM223" s="131">
        <f>AL223*'1. UC Assumptions'!$C$23</f>
        <v>0</v>
      </c>
      <c r="AN223" s="153">
        <f t="shared" si="73"/>
        <v>7738</v>
      </c>
      <c r="AO223" s="151">
        <f>AN223*'1. UC Assumptions'!$C$23</f>
        <v>2553.5399999999995</v>
      </c>
      <c r="AP223" s="151">
        <f t="shared" si="74"/>
        <v>7738</v>
      </c>
      <c r="AQ223" s="151">
        <f t="shared" si="75"/>
        <v>2553.5399999999995</v>
      </c>
      <c r="AR223" s="151">
        <f t="shared" si="76"/>
        <v>2553.5399999999995</v>
      </c>
      <c r="AS223" s="151">
        <f t="shared" si="77"/>
        <v>2553.5399999999995</v>
      </c>
      <c r="AT223" s="151">
        <f>IF(K223="Bexar",(AG223/$AT$1)*'1. UC Assumptions'!$E$44-(AH223/$AT$2)*'1. UC Assumptions'!$E$42,0)</f>
        <v>0</v>
      </c>
      <c r="AU223" s="151">
        <f>IF(K223="Dallas",(AG223/$AU$1)*'1. UC Assumptions'!$F$44-(AH223/$AU$2)*'1. UC Assumptions'!$F$42,0)</f>
        <v>0</v>
      </c>
      <c r="AV223" s="151">
        <f>IF(K223="El Paso",(AG223/$AV$1)*'1. UC Assumptions'!$G$44-(AH223/$AV$2)*'1. UC Assumptions'!$G$42,0)</f>
        <v>0</v>
      </c>
      <c r="AW223" s="151">
        <f>IF(K223="Harris",(AG223/$AW$1)*'1. UC Assumptions'!$H$44-(AH223/$AW$2)*'1. UC Assumptions'!$H$42,0)</f>
        <v>0</v>
      </c>
      <c r="AX223" s="151">
        <f>IF(K223="Hidalgo",(AG223/$AX$1)*'1. UC Assumptions'!$I$44-(AH223/$AX$2)*'1. UC Assumptions'!$I$42,0)</f>
        <v>0</v>
      </c>
      <c r="AY223" s="151">
        <f>IF(K223="Jefferson",(AG223/$AY$1)*'1. UC Assumptions'!$J$44-(AH223/$AY$2)*'1. UC Assumptions'!$J$42,0)</f>
        <v>0</v>
      </c>
      <c r="AZ223" s="151">
        <f>IF(K223="Lubbock",(AG223/$AZ$1)*'1. UC Assumptions'!$K$44-(AH223/$AZ$2)*'1. UC Assumptions'!$K$42,0)</f>
        <v>0</v>
      </c>
      <c r="BA223" s="151">
        <f>IF(K223="MRSA Central",(AG223/$BA$1)*'1. UC Assumptions'!$L$44-(AH223/$BA$2)*'1. UC Assumptions'!$L$42,0)</f>
        <v>0</v>
      </c>
      <c r="BB223" s="151">
        <f>IF(K223="MRSA Northeast",(AG223/$BB$1)*'1. UC Assumptions'!$M$44-(AH223/$BB$2)*'1. UC Assumptions'!$M$42,0)</f>
        <v>0</v>
      </c>
      <c r="BC223" s="151">
        <f>IF(K223="MRSA West",(AG223/$BC$1)*'1. UC Assumptions'!$N$44-(AH223/$BC$2)*'1. UC Assumptions'!$N$42,0)</f>
        <v>0</v>
      </c>
      <c r="BD223" s="151">
        <f>IF(K223="Nueces",(AG223/$BD$1)*'1. UC Assumptions'!$O$44-(AH223/$BD$2)*'1. UC Assumptions'!$O$42,0)</f>
        <v>0</v>
      </c>
      <c r="BE223" s="151">
        <f>IF(K223="Tarrant",(AG223/$BE$1)*'1. UC Assumptions'!$P$44-(AH223/$BE$2)*'1. UC Assumptions'!$P$42,0)</f>
        <v>0</v>
      </c>
      <c r="BF223" s="151">
        <f>IF(K223="Travis",(AG223/$BF$1)*'1. UC Assumptions'!$Q$44-(AH223/$BF$2)*'1. UC Assumptions'!$Q$42,0)</f>
        <v>0</v>
      </c>
      <c r="BG223" s="151">
        <f t="shared" si="78"/>
        <v>0</v>
      </c>
      <c r="BH223" s="151">
        <f t="shared" si="79"/>
        <v>3637.9867047514535</v>
      </c>
      <c r="BI223" s="151">
        <f>ROUNDDOWN(BH223*'1. UC Assumptions'!$C$23,2)</f>
        <v>1200.53</v>
      </c>
      <c r="BJ223" s="154">
        <f t="shared" si="80"/>
        <v>3637.9867047514535</v>
      </c>
      <c r="BK223" s="154">
        <f t="shared" si="81"/>
        <v>1200.53</v>
      </c>
      <c r="BL223" s="154">
        <f t="shared" si="82"/>
        <v>3358.66</v>
      </c>
      <c r="BM223" s="154">
        <f t="shared" si="83"/>
        <v>1108.3499999999999</v>
      </c>
      <c r="BN223" s="101"/>
      <c r="BO223" s="154">
        <f>(BL223*'1. UC Assumptions'!$C$23)-'3.  UC Calculations by Hospital'!BM223</f>
        <v>7.7999999998610292E-3</v>
      </c>
      <c r="BP223" s="13"/>
    </row>
    <row r="224" spans="2:68">
      <c r="B224" s="129" t="s">
        <v>760</v>
      </c>
      <c r="C224" s="91" t="s">
        <v>760</v>
      </c>
      <c r="D224" s="91" t="s">
        <v>214</v>
      </c>
      <c r="E224" s="91" t="s">
        <v>209</v>
      </c>
      <c r="F224" s="91"/>
      <c r="G224" s="91" t="s">
        <v>209</v>
      </c>
      <c r="H224" s="91" t="s">
        <v>227</v>
      </c>
      <c r="I224" s="150" t="s">
        <v>210</v>
      </c>
      <c r="J224" s="129" t="s">
        <v>761</v>
      </c>
      <c r="K224" s="91" t="s">
        <v>4</v>
      </c>
      <c r="L224" s="91" t="s">
        <v>4</v>
      </c>
      <c r="M224" s="151">
        <v>-62977031.45190572</v>
      </c>
      <c r="N224" s="151">
        <v>16765080.491473297</v>
      </c>
      <c r="O224" s="131">
        <v>6234931.3573500169</v>
      </c>
      <c r="P224" s="131">
        <f t="shared" si="63"/>
        <v>10530149.134123281</v>
      </c>
      <c r="Q224" s="131">
        <v>7069404.2360085417</v>
      </c>
      <c r="R224" s="131">
        <v>0</v>
      </c>
      <c r="S224" s="131">
        <f t="shared" si="64"/>
        <v>0</v>
      </c>
      <c r="T224" s="131">
        <f t="shared" si="65"/>
        <v>7069404.2360085417</v>
      </c>
      <c r="U224" s="131">
        <v>658528</v>
      </c>
      <c r="V224" s="131">
        <v>0</v>
      </c>
      <c r="W224" s="131">
        <v>1492299</v>
      </c>
      <c r="X224" s="131">
        <v>0</v>
      </c>
      <c r="Y224" s="131">
        <v>13793126</v>
      </c>
      <c r="Z224" s="131">
        <f t="shared" si="66"/>
        <v>15943953</v>
      </c>
      <c r="AA224" s="131">
        <v>0</v>
      </c>
      <c r="AB224" s="152">
        <f t="shared" si="67"/>
        <v>23013357.23600854</v>
      </c>
      <c r="AC224" s="133">
        <f>IF(D224="Physician Group Practice",(AB224/$AB$393)*'1. UC Assumptions'!$C$15,IF(E224="Rural Hospital",AB224*'1. UC Assumptions'!$C$7/'1. UC Assumptions'!$E$7,(AB224/$AB$397)*('1. UC Assumptions'!$C$9)))</f>
        <v>10819628.800244858</v>
      </c>
      <c r="AD224" s="133">
        <f t="shared" si="68"/>
        <v>0</v>
      </c>
      <c r="AE224" s="133">
        <f t="shared" si="69"/>
        <v>12193728.435763681</v>
      </c>
      <c r="AF224" s="133">
        <f t="shared" si="70"/>
        <v>0</v>
      </c>
      <c r="AG224" s="133">
        <f t="shared" si="71"/>
        <v>12193728.435763681</v>
      </c>
      <c r="AH224" s="133">
        <f t="shared" si="72"/>
        <v>10819628.800244858</v>
      </c>
      <c r="AI224" s="131">
        <f>AH224*'1. UC Assumptions'!$C$23</f>
        <v>3570477.5040808027</v>
      </c>
      <c r="AJ224" s="131">
        <v>0</v>
      </c>
      <c r="AK224" s="131">
        <f>AJ224*(1-'1. UC Assumptions'!$C$22)</f>
        <v>0</v>
      </c>
      <c r="AL224" s="131"/>
      <c r="AM224" s="131">
        <f>AL224*'1. UC Assumptions'!$C$23</f>
        <v>0</v>
      </c>
      <c r="AN224" s="153">
        <f t="shared" si="73"/>
        <v>23013357.23600854</v>
      </c>
      <c r="AO224" s="151">
        <f>AN224*'1. UC Assumptions'!$C$23</f>
        <v>7594407.8878828175</v>
      </c>
      <c r="AP224" s="151">
        <f t="shared" si="74"/>
        <v>23013357.23600854</v>
      </c>
      <c r="AQ224" s="151">
        <f t="shared" si="75"/>
        <v>7594407.8878828175</v>
      </c>
      <c r="AR224" s="151">
        <f t="shared" si="76"/>
        <v>7594407.8878828175</v>
      </c>
      <c r="AS224" s="151">
        <f t="shared" si="77"/>
        <v>7594407.8878828175</v>
      </c>
      <c r="AT224" s="151">
        <f>IF(K224="Bexar",(AG224/$AT$1)*'1. UC Assumptions'!$E$44-(AH224/$AT$2)*'1. UC Assumptions'!$E$42,0)</f>
        <v>0</v>
      </c>
      <c r="AU224" s="151">
        <f>IF(K224="Dallas",(AG224/$AU$1)*'1. UC Assumptions'!$F$44-(AH224/$AU$2)*'1. UC Assumptions'!$F$42,0)</f>
        <v>0</v>
      </c>
      <c r="AV224" s="151">
        <f>IF(K224="El Paso",(AG224/$AV$1)*'1. UC Assumptions'!$G$44-(AH224/$AV$2)*'1. UC Assumptions'!$G$42,0)</f>
        <v>0</v>
      </c>
      <c r="AW224" s="151">
        <f>IF(K224="Harris",(AG224/$AW$1)*'1. UC Assumptions'!$H$44-(AH224/$AW$2)*'1. UC Assumptions'!$H$42,0)</f>
        <v>0</v>
      </c>
      <c r="AX224" s="151">
        <f>IF(K224="Hidalgo",(AG224/$AX$1)*'1. UC Assumptions'!$I$44-(AH224/$AX$2)*'1. UC Assumptions'!$I$42,0)</f>
        <v>0</v>
      </c>
      <c r="AY224" s="151">
        <f>IF(K224="Jefferson",(AG224/$AY$1)*'1. UC Assumptions'!$J$44-(AH224/$AY$2)*'1. UC Assumptions'!$J$42,0)</f>
        <v>0</v>
      </c>
      <c r="AZ224" s="151">
        <f>IF(K224="Lubbock",(AG224/$AZ$1)*'1. UC Assumptions'!$K$44-(AH224/$AZ$2)*'1. UC Assumptions'!$K$42,0)</f>
        <v>0</v>
      </c>
      <c r="BA224" s="151">
        <f>IF(K224="MRSA Central",(AG224/$BA$1)*'1. UC Assumptions'!$L$44-(AH224/$BA$2)*'1. UC Assumptions'!$L$42,0)</f>
        <v>0</v>
      </c>
      <c r="BB224" s="151">
        <f>IF(K224="MRSA Northeast",(AG224/$BB$1)*'1. UC Assumptions'!$M$44-(AH224/$BB$2)*'1. UC Assumptions'!$M$42,0)</f>
        <v>0</v>
      </c>
      <c r="BC224" s="151">
        <f>IF(K224="MRSA West",(AG224/$BC$1)*'1. UC Assumptions'!$N$44-(AH224/$BC$2)*'1. UC Assumptions'!$N$42,0)</f>
        <v>0</v>
      </c>
      <c r="BD224" s="151">
        <f>IF(K224="Nueces",(AG224/$BD$1)*'1. UC Assumptions'!$O$44-(AH224/$BD$2)*'1. UC Assumptions'!$O$42,0)</f>
        <v>0</v>
      </c>
      <c r="BE224" s="151">
        <f>IF(K224="Tarrant",(AG224/$BE$1)*'1. UC Assumptions'!$P$44-(AH224/$BE$2)*'1. UC Assumptions'!$P$42,0)</f>
        <v>0</v>
      </c>
      <c r="BF224" s="151">
        <f>IF(K224="Travis",(AG224/$BF$1)*'1. UC Assumptions'!$Q$44-(AH224/$BF$2)*'1. UC Assumptions'!$Q$42,0)</f>
        <v>0</v>
      </c>
      <c r="BG224" s="151">
        <f t="shared" si="78"/>
        <v>0</v>
      </c>
      <c r="BH224" s="151">
        <f t="shared" si="79"/>
        <v>10819628.800244858</v>
      </c>
      <c r="BI224" s="151">
        <f>ROUNDDOWN(BH224*'1. UC Assumptions'!$C$23,2)</f>
        <v>3570477.5</v>
      </c>
      <c r="BJ224" s="154">
        <f t="shared" si="80"/>
        <v>10819628.800244858</v>
      </c>
      <c r="BK224" s="154">
        <f t="shared" si="81"/>
        <v>3570477.5</v>
      </c>
      <c r="BL224" s="154">
        <f t="shared" si="82"/>
        <v>9988898.6300000008</v>
      </c>
      <c r="BM224" s="154">
        <f t="shared" si="83"/>
        <v>3296336.54</v>
      </c>
      <c r="BN224" s="101"/>
      <c r="BO224" s="154">
        <f>(BL224*'1. UC Assumptions'!$C$23)-'3.  UC Calculations by Hospital'!BM224</f>
        <v>7.8999996185302734E-3</v>
      </c>
      <c r="BP224" s="13"/>
    </row>
    <row r="225" spans="2:68">
      <c r="B225" s="129" t="s">
        <v>762</v>
      </c>
      <c r="C225" s="91" t="s">
        <v>762</v>
      </c>
      <c r="D225" s="91" t="s">
        <v>208</v>
      </c>
      <c r="E225" s="91" t="s">
        <v>149</v>
      </c>
      <c r="F225" s="91"/>
      <c r="G225" s="91" t="s">
        <v>209</v>
      </c>
      <c r="H225" s="91" t="s">
        <v>209</v>
      </c>
      <c r="I225" s="150" t="s">
        <v>210</v>
      </c>
      <c r="J225" s="129" t="s">
        <v>763</v>
      </c>
      <c r="K225" s="91" t="s">
        <v>10</v>
      </c>
      <c r="L225" s="91" t="s">
        <v>764</v>
      </c>
      <c r="M225" s="151">
        <v>195538.83656885754</v>
      </c>
      <c r="N225" s="151">
        <v>2335289.4157028249</v>
      </c>
      <c r="O225" s="131">
        <v>818789.69589957129</v>
      </c>
      <c r="P225" s="131">
        <f t="shared" si="63"/>
        <v>1516499.7198032537</v>
      </c>
      <c r="Q225" s="131">
        <v>1107502.3466013698</v>
      </c>
      <c r="R225" s="131">
        <v>1310066.1399999999</v>
      </c>
      <c r="S225" s="131">
        <f t="shared" si="64"/>
        <v>0</v>
      </c>
      <c r="T225" s="131">
        <f t="shared" si="65"/>
        <v>1107502.3466013698</v>
      </c>
      <c r="U225" s="131">
        <v>90159</v>
      </c>
      <c r="V225" s="131">
        <v>0</v>
      </c>
      <c r="W225" s="131">
        <v>0</v>
      </c>
      <c r="X225" s="131">
        <v>0</v>
      </c>
      <c r="Y225" s="131">
        <v>0</v>
      </c>
      <c r="Z225" s="131">
        <f t="shared" si="66"/>
        <v>90159</v>
      </c>
      <c r="AA225" s="131">
        <v>0</v>
      </c>
      <c r="AB225" s="152">
        <f t="shared" si="67"/>
        <v>1197661.3466013698</v>
      </c>
      <c r="AC225" s="133">
        <f>IF(D225="Physician Group Practice",(AB225/$AB$393)*'1. UC Assumptions'!$C$15,IF(E225="Rural Hospital",AB225*'1. UC Assumptions'!$C$7/'1. UC Assumptions'!$E$7,(AB225/$AB$397)*('1. UC Assumptions'!$C$9)))</f>
        <v>1117939.6476775752</v>
      </c>
      <c r="AD225" s="133">
        <f t="shared" si="68"/>
        <v>0</v>
      </c>
      <c r="AE225" s="133">
        <f t="shared" si="69"/>
        <v>79721.698923794553</v>
      </c>
      <c r="AF225" s="133">
        <f t="shared" si="70"/>
        <v>0</v>
      </c>
      <c r="AG225" s="133">
        <f t="shared" si="71"/>
        <v>79721.698923794553</v>
      </c>
      <c r="AH225" s="133">
        <f t="shared" si="72"/>
        <v>1117939.6476775752</v>
      </c>
      <c r="AI225" s="131">
        <f>AH225*'1. UC Assumptions'!$C$23</f>
        <v>368920.08373359981</v>
      </c>
      <c r="AJ225" s="131">
        <v>870273.98</v>
      </c>
      <c r="AK225" s="131">
        <f>AJ225*(1-'1. UC Assumptions'!$C$22)</f>
        <v>287190.41339999996</v>
      </c>
      <c r="AL225" s="131"/>
      <c r="AM225" s="131">
        <f>AL225*'1. UC Assumptions'!$C$23</f>
        <v>0</v>
      </c>
      <c r="AN225" s="153">
        <f t="shared" si="73"/>
        <v>1197661.3466013698</v>
      </c>
      <c r="AO225" s="151">
        <f>AN225*'1. UC Assumptions'!$C$23</f>
        <v>395228.24437845196</v>
      </c>
      <c r="AP225" s="151">
        <f t="shared" si="74"/>
        <v>327387.36660136981</v>
      </c>
      <c r="AQ225" s="151">
        <f t="shared" si="75"/>
        <v>108037.830978452</v>
      </c>
      <c r="AR225" s="151">
        <f t="shared" si="76"/>
        <v>108037.830978452</v>
      </c>
      <c r="AS225" s="151">
        <f t="shared" si="77"/>
        <v>395228.24437845196</v>
      </c>
      <c r="AT225" s="151">
        <f>IF(K225="Bexar",(AG225/$AT$1)*'1. UC Assumptions'!$E$44-(AH225/$AT$2)*'1. UC Assumptions'!$E$42,0)</f>
        <v>0</v>
      </c>
      <c r="AU225" s="151">
        <f>IF(K225="Dallas",(AG225/$AU$1)*'1. UC Assumptions'!$F$44-(AH225/$AU$2)*'1. UC Assumptions'!$F$42,0)</f>
        <v>0</v>
      </c>
      <c r="AV225" s="151">
        <f>IF(K225="El Paso",(AG225/$AV$1)*'1. UC Assumptions'!$G$44-(AH225/$AV$2)*'1. UC Assumptions'!$G$42,0)</f>
        <v>0</v>
      </c>
      <c r="AW225" s="151">
        <f>IF(K225="Harris",(AG225/$AW$1)*'1. UC Assumptions'!$H$44-(AH225/$AW$2)*'1. UC Assumptions'!$H$42,0)</f>
        <v>0</v>
      </c>
      <c r="AX225" s="151">
        <f>IF(K225="Hidalgo",(AG225/$AX$1)*'1. UC Assumptions'!$I$44-(AH225/$AX$2)*'1. UC Assumptions'!$I$42,0)</f>
        <v>0</v>
      </c>
      <c r="AY225" s="151">
        <f>IF(K225="Jefferson",(AG225/$AY$1)*'1. UC Assumptions'!$J$44-(AH225/$AY$2)*'1. UC Assumptions'!$J$42,0)</f>
        <v>0</v>
      </c>
      <c r="AZ225" s="151">
        <f>IF(K225="Lubbock",(AG225/$AZ$1)*'1. UC Assumptions'!$K$44-(AH225/$AZ$2)*'1. UC Assumptions'!$K$42,0)</f>
        <v>0</v>
      </c>
      <c r="BA225" s="151">
        <f>IF(K225="MRSA Central",(AG225/$BA$1)*'1. UC Assumptions'!$L$44-(AH225/$BA$2)*'1. UC Assumptions'!$L$42,0)</f>
        <v>0</v>
      </c>
      <c r="BB225" s="151">
        <f>IF(K225="MRSA Northeast",(AG225/$BB$1)*'1. UC Assumptions'!$M$44-(AH225/$BB$2)*'1. UC Assumptions'!$M$42,0)</f>
        <v>0</v>
      </c>
      <c r="BC225" s="151">
        <f>IF(K225="MRSA West",(AG225/$BC$1)*'1. UC Assumptions'!$N$44-(AH225/$BC$2)*'1. UC Assumptions'!$N$42,0)</f>
        <v>0</v>
      </c>
      <c r="BD225" s="151">
        <f>IF(K225="Nueces",(AG225/$BD$1)*'1. UC Assumptions'!$O$44-(AH225/$BD$2)*'1. UC Assumptions'!$O$42,0)</f>
        <v>0</v>
      </c>
      <c r="BE225" s="151">
        <f>IF(K225="Tarrant",(AG225/$BE$1)*'1. UC Assumptions'!$P$44-(AH225/$BE$2)*'1. UC Assumptions'!$P$42,0)</f>
        <v>0</v>
      </c>
      <c r="BF225" s="151">
        <f>IF(K225="Travis",(AG225/$BF$1)*'1. UC Assumptions'!$Q$44-(AH225/$BF$2)*'1. UC Assumptions'!$Q$42,0)</f>
        <v>0</v>
      </c>
      <c r="BG225" s="151">
        <f t="shared" si="78"/>
        <v>0</v>
      </c>
      <c r="BH225" s="151">
        <f t="shared" si="79"/>
        <v>1117939.6476775752</v>
      </c>
      <c r="BI225" s="151">
        <f>ROUNDDOWN(BH225*'1. UC Assumptions'!$C$23,2)</f>
        <v>368920.08</v>
      </c>
      <c r="BJ225" s="154">
        <f t="shared" si="80"/>
        <v>247665.66767757526</v>
      </c>
      <c r="BK225" s="154">
        <f t="shared" si="81"/>
        <v>81729.666600000055</v>
      </c>
      <c r="BL225" s="154">
        <f t="shared" si="82"/>
        <v>228649.92</v>
      </c>
      <c r="BM225" s="154">
        <f t="shared" si="83"/>
        <v>75454.47</v>
      </c>
      <c r="BN225" s="101"/>
      <c r="BO225" s="154">
        <f>(BL225*'1. UC Assumptions'!$C$23)-'3.  UC Calculations by Hospital'!BM225</f>
        <v>3.599999996367842E-3</v>
      </c>
      <c r="BP225" s="13"/>
    </row>
    <row r="226" spans="2:68">
      <c r="B226" s="129" t="s">
        <v>765</v>
      </c>
      <c r="C226" s="91" t="s">
        <v>765</v>
      </c>
      <c r="D226" s="91" t="s">
        <v>208</v>
      </c>
      <c r="E226" s="91" t="s">
        <v>149</v>
      </c>
      <c r="F226" s="91"/>
      <c r="G226" s="91" t="s">
        <v>209</v>
      </c>
      <c r="H226" s="91" t="s">
        <v>209</v>
      </c>
      <c r="I226" s="150" t="s">
        <v>210</v>
      </c>
      <c r="J226" s="129" t="s">
        <v>766</v>
      </c>
      <c r="K226" s="91" t="s">
        <v>11</v>
      </c>
      <c r="L226" s="91" t="s">
        <v>767</v>
      </c>
      <c r="M226" s="151">
        <v>-2320521.473121691</v>
      </c>
      <c r="N226" s="151">
        <v>4168110.3399747261</v>
      </c>
      <c r="O226" s="131">
        <v>2837652.7914633472</v>
      </c>
      <c r="P226" s="131">
        <f t="shared" si="63"/>
        <v>1330457.5485113789</v>
      </c>
      <c r="Q226" s="131">
        <v>3072143.006757888</v>
      </c>
      <c r="R226" s="131">
        <v>1847588.8700000003</v>
      </c>
      <c r="S226" s="131">
        <f t="shared" si="64"/>
        <v>1847588.8700000003</v>
      </c>
      <c r="T226" s="131">
        <f t="shared" si="65"/>
        <v>1224554.1367578877</v>
      </c>
      <c r="U226" s="131">
        <v>2816191</v>
      </c>
      <c r="V226" s="131">
        <v>0</v>
      </c>
      <c r="W226" s="131">
        <v>0</v>
      </c>
      <c r="X226" s="131">
        <v>0</v>
      </c>
      <c r="Y226" s="131">
        <v>0</v>
      </c>
      <c r="Z226" s="131">
        <f t="shared" si="66"/>
        <v>2816191</v>
      </c>
      <c r="AA226" s="131">
        <v>0</v>
      </c>
      <c r="AB226" s="152">
        <f t="shared" si="67"/>
        <v>4040745.1367578879</v>
      </c>
      <c r="AC226" s="133">
        <f>IF(D226="Physician Group Practice",(AB226/$AB$393)*'1. UC Assumptions'!$C$15,IF(E226="Rural Hospital",AB226*'1. UC Assumptions'!$C$7/'1. UC Assumptions'!$E$7,(AB226/$AB$397)*('1. UC Assumptions'!$C$9)))</f>
        <v>3771775.0575827281</v>
      </c>
      <c r="AD226" s="133">
        <f t="shared" si="68"/>
        <v>0</v>
      </c>
      <c r="AE226" s="133">
        <f t="shared" si="69"/>
        <v>268970.0791751598</v>
      </c>
      <c r="AF226" s="133">
        <f t="shared" si="70"/>
        <v>0</v>
      </c>
      <c r="AG226" s="133">
        <f t="shared" si="71"/>
        <v>268970.0791751598</v>
      </c>
      <c r="AH226" s="133">
        <f t="shared" si="72"/>
        <v>3771775.0575827281</v>
      </c>
      <c r="AI226" s="131">
        <f>AH226*'1. UC Assumptions'!$C$23</f>
        <v>1244685.7690023002</v>
      </c>
      <c r="AJ226" s="131">
        <v>2037504.8</v>
      </c>
      <c r="AK226" s="131">
        <f>AJ226*(1-'1. UC Assumptions'!$C$22)</f>
        <v>672376.58399999992</v>
      </c>
      <c r="AL226" s="131"/>
      <c r="AM226" s="131">
        <f>AL226*'1. UC Assumptions'!$C$23</f>
        <v>0</v>
      </c>
      <c r="AN226" s="153">
        <f t="shared" si="73"/>
        <v>4040745.1367578879</v>
      </c>
      <c r="AO226" s="151">
        <f>AN226*'1. UC Assumptions'!$C$23</f>
        <v>1333445.8951301028</v>
      </c>
      <c r="AP226" s="151">
        <f t="shared" si="74"/>
        <v>2003240.3367578879</v>
      </c>
      <c r="AQ226" s="151">
        <f t="shared" si="75"/>
        <v>661069.31113010284</v>
      </c>
      <c r="AR226" s="151">
        <f t="shared" si="76"/>
        <v>661069.31113010284</v>
      </c>
      <c r="AS226" s="151">
        <f t="shared" si="77"/>
        <v>1333445.8951301028</v>
      </c>
      <c r="AT226" s="151">
        <f>IF(K226="Bexar",(AG226/$AT$1)*'1. UC Assumptions'!$E$44-(AH226/$AT$2)*'1. UC Assumptions'!$E$42,0)</f>
        <v>0</v>
      </c>
      <c r="AU226" s="151">
        <f>IF(K226="Dallas",(AG226/$AU$1)*'1. UC Assumptions'!$F$44-(AH226/$AU$2)*'1. UC Assumptions'!$F$42,0)</f>
        <v>0</v>
      </c>
      <c r="AV226" s="151">
        <f>IF(K226="El Paso",(AG226/$AV$1)*'1. UC Assumptions'!$G$44-(AH226/$AV$2)*'1. UC Assumptions'!$G$42,0)</f>
        <v>0</v>
      </c>
      <c r="AW226" s="151">
        <f>IF(K226="Harris",(AG226/$AW$1)*'1. UC Assumptions'!$H$44-(AH226/$AW$2)*'1. UC Assumptions'!$H$42,0)</f>
        <v>0</v>
      </c>
      <c r="AX226" s="151">
        <f>IF(K226="Hidalgo",(AG226/$AX$1)*'1. UC Assumptions'!$I$44-(AH226/$AX$2)*'1. UC Assumptions'!$I$42,0)</f>
        <v>0</v>
      </c>
      <c r="AY226" s="151">
        <f>IF(K226="Jefferson",(AG226/$AY$1)*'1. UC Assumptions'!$J$44-(AH226/$AY$2)*'1. UC Assumptions'!$J$42,0)</f>
        <v>0</v>
      </c>
      <c r="AZ226" s="151">
        <f>IF(K226="Lubbock",(AG226/$AZ$1)*'1. UC Assumptions'!$K$44-(AH226/$AZ$2)*'1. UC Assumptions'!$K$42,0)</f>
        <v>0</v>
      </c>
      <c r="BA226" s="151">
        <f>IF(K226="MRSA Central",(AG226/$BA$1)*'1. UC Assumptions'!$L$44-(AH226/$BA$2)*'1. UC Assumptions'!$L$42,0)</f>
        <v>0</v>
      </c>
      <c r="BB226" s="151">
        <f>IF(K226="MRSA Northeast",(AG226/$BB$1)*'1. UC Assumptions'!$M$44-(AH226/$BB$2)*'1. UC Assumptions'!$M$42,0)</f>
        <v>0</v>
      </c>
      <c r="BC226" s="151">
        <f>IF(K226="MRSA West",(AG226/$BC$1)*'1. UC Assumptions'!$N$44-(AH226/$BC$2)*'1. UC Assumptions'!$N$42,0)</f>
        <v>0</v>
      </c>
      <c r="BD226" s="151">
        <f>IF(K226="Nueces",(AG226/$BD$1)*'1. UC Assumptions'!$O$44-(AH226/$BD$2)*'1. UC Assumptions'!$O$42,0)</f>
        <v>0</v>
      </c>
      <c r="BE226" s="151">
        <f>IF(K226="Tarrant",(AG226/$BE$1)*'1. UC Assumptions'!$P$44-(AH226/$BE$2)*'1. UC Assumptions'!$P$42,0)</f>
        <v>0</v>
      </c>
      <c r="BF226" s="151">
        <f>IF(K226="Travis",(AG226/$BF$1)*'1. UC Assumptions'!$Q$44-(AH226/$BF$2)*'1. UC Assumptions'!$Q$42,0)</f>
        <v>0</v>
      </c>
      <c r="BG226" s="151">
        <f t="shared" si="78"/>
        <v>0</v>
      </c>
      <c r="BH226" s="151">
        <f t="shared" si="79"/>
        <v>3771775.0575827281</v>
      </c>
      <c r="BI226" s="151">
        <f>ROUNDDOWN(BH226*'1. UC Assumptions'!$C$23,2)</f>
        <v>1244685.76</v>
      </c>
      <c r="BJ226" s="154">
        <f t="shared" si="80"/>
        <v>1734270.2575827281</v>
      </c>
      <c r="BK226" s="154">
        <f t="shared" si="81"/>
        <v>572309.17600000009</v>
      </c>
      <c r="BL226" s="154">
        <f t="shared" si="82"/>
        <v>1601113.14</v>
      </c>
      <c r="BM226" s="154">
        <f t="shared" si="83"/>
        <v>528367.32999999996</v>
      </c>
      <c r="BN226" s="101"/>
      <c r="BO226" s="154">
        <f>(BL226*'1. UC Assumptions'!$C$23)-'3.  UC Calculations by Hospital'!BM226</f>
        <v>6.1999999452382326E-3</v>
      </c>
      <c r="BP226" s="13"/>
    </row>
    <row r="227" spans="2:68">
      <c r="B227" s="129" t="s">
        <v>768</v>
      </c>
      <c r="C227" s="91" t="s">
        <v>768</v>
      </c>
      <c r="D227" s="91" t="s">
        <v>208</v>
      </c>
      <c r="E227" s="91" t="s">
        <v>149</v>
      </c>
      <c r="F227" s="91"/>
      <c r="G227" s="91" t="s">
        <v>209</v>
      </c>
      <c r="H227" s="91" t="s">
        <v>209</v>
      </c>
      <c r="I227" s="150" t="s">
        <v>210</v>
      </c>
      <c r="J227" s="129" t="s">
        <v>769</v>
      </c>
      <c r="K227" s="91" t="s">
        <v>12</v>
      </c>
      <c r="L227" s="91" t="s">
        <v>770</v>
      </c>
      <c r="M227" s="151">
        <v>1002207.9586663425</v>
      </c>
      <c r="N227" s="151">
        <v>5220048.8355292957</v>
      </c>
      <c r="O227" s="131">
        <v>4516317.9330278914</v>
      </c>
      <c r="P227" s="131">
        <f t="shared" si="63"/>
        <v>703730.90250140429</v>
      </c>
      <c r="Q227" s="131">
        <v>5404336.846191898</v>
      </c>
      <c r="R227" s="131">
        <v>2144660.9400000004</v>
      </c>
      <c r="S227" s="131">
        <f t="shared" si="64"/>
        <v>438722.07883225358</v>
      </c>
      <c r="T227" s="131">
        <f t="shared" si="65"/>
        <v>4965614.7673596442</v>
      </c>
      <c r="U227" s="131">
        <v>451427</v>
      </c>
      <c r="V227" s="131">
        <v>0</v>
      </c>
      <c r="W227" s="131">
        <v>0</v>
      </c>
      <c r="X227" s="131">
        <v>0</v>
      </c>
      <c r="Y227" s="131">
        <v>0</v>
      </c>
      <c r="Z227" s="131">
        <f t="shared" si="66"/>
        <v>451427</v>
      </c>
      <c r="AA227" s="131">
        <v>0</v>
      </c>
      <c r="AB227" s="152">
        <f t="shared" si="67"/>
        <v>5417041.7673596442</v>
      </c>
      <c r="AC227" s="133">
        <f>IF(D227="Physician Group Practice",(AB227/$AB$393)*'1. UC Assumptions'!$C$15,IF(E227="Rural Hospital",AB227*'1. UC Assumptions'!$C$7/'1. UC Assumptions'!$E$7,(AB227/$AB$397)*('1. UC Assumptions'!$C$9)))</f>
        <v>5056459.225340941</v>
      </c>
      <c r="AD227" s="133">
        <f t="shared" si="68"/>
        <v>0</v>
      </c>
      <c r="AE227" s="133">
        <f t="shared" si="69"/>
        <v>360582.54201870319</v>
      </c>
      <c r="AF227" s="133">
        <f t="shared" si="70"/>
        <v>0</v>
      </c>
      <c r="AG227" s="133">
        <f t="shared" si="71"/>
        <v>360582.54201870319</v>
      </c>
      <c r="AH227" s="133">
        <f t="shared" si="72"/>
        <v>5056459.225340941</v>
      </c>
      <c r="AI227" s="131">
        <f>AH227*'1. UC Assumptions'!$C$23</f>
        <v>1668631.5443625103</v>
      </c>
      <c r="AJ227" s="131">
        <v>3225305.47</v>
      </c>
      <c r="AK227" s="131">
        <f>AJ227*(1-'1. UC Assumptions'!$C$22)</f>
        <v>1064350.8051</v>
      </c>
      <c r="AL227" s="131"/>
      <c r="AM227" s="131">
        <f>AL227*'1. UC Assumptions'!$C$23</f>
        <v>0</v>
      </c>
      <c r="AN227" s="153">
        <f t="shared" si="73"/>
        <v>5417041.7673596442</v>
      </c>
      <c r="AO227" s="151">
        <f>AN227*'1. UC Assumptions'!$C$23</f>
        <v>1787623.7832286824</v>
      </c>
      <c r="AP227" s="151">
        <f t="shared" si="74"/>
        <v>2191736.297359644</v>
      </c>
      <c r="AQ227" s="151">
        <f t="shared" si="75"/>
        <v>723272.97812868236</v>
      </c>
      <c r="AR227" s="151">
        <f t="shared" si="76"/>
        <v>723272.97812868236</v>
      </c>
      <c r="AS227" s="151">
        <f t="shared" si="77"/>
        <v>1787623.7832286824</v>
      </c>
      <c r="AT227" s="151">
        <f>IF(K227="Bexar",(AG227/$AT$1)*'1. UC Assumptions'!$E$44-(AH227/$AT$2)*'1. UC Assumptions'!$E$42,0)</f>
        <v>0</v>
      </c>
      <c r="AU227" s="151">
        <f>IF(K227="Dallas",(AG227/$AU$1)*'1. UC Assumptions'!$F$44-(AH227/$AU$2)*'1. UC Assumptions'!$F$42,0)</f>
        <v>0</v>
      </c>
      <c r="AV227" s="151">
        <f>IF(K227="El Paso",(AG227/$AV$1)*'1. UC Assumptions'!$G$44-(AH227/$AV$2)*'1. UC Assumptions'!$G$42,0)</f>
        <v>0</v>
      </c>
      <c r="AW227" s="151">
        <f>IF(K227="Harris",(AG227/$AW$1)*'1. UC Assumptions'!$H$44-(AH227/$AW$2)*'1. UC Assumptions'!$H$42,0)</f>
        <v>0</v>
      </c>
      <c r="AX227" s="151">
        <f>IF(K227="Hidalgo",(AG227/$AX$1)*'1. UC Assumptions'!$I$44-(AH227/$AX$2)*'1. UC Assumptions'!$I$42,0)</f>
        <v>0</v>
      </c>
      <c r="AY227" s="151">
        <f>IF(K227="Jefferson",(AG227/$AY$1)*'1. UC Assumptions'!$J$44-(AH227/$AY$2)*'1. UC Assumptions'!$J$42,0)</f>
        <v>0</v>
      </c>
      <c r="AZ227" s="151">
        <f>IF(K227="Lubbock",(AG227/$AZ$1)*'1. UC Assumptions'!$K$44-(AH227/$AZ$2)*'1. UC Assumptions'!$K$42,0)</f>
        <v>0</v>
      </c>
      <c r="BA227" s="151">
        <f>IF(K227="MRSA Central",(AG227/$BA$1)*'1. UC Assumptions'!$L$44-(AH227/$BA$2)*'1. UC Assumptions'!$L$42,0)</f>
        <v>0</v>
      </c>
      <c r="BB227" s="151">
        <f>IF(K227="MRSA Northeast",(AG227/$BB$1)*'1. UC Assumptions'!$M$44-(AH227/$BB$2)*'1. UC Assumptions'!$M$42,0)</f>
        <v>0</v>
      </c>
      <c r="BC227" s="151">
        <f>IF(K227="MRSA West",(AG227/$BC$1)*'1. UC Assumptions'!$N$44-(AH227/$BC$2)*'1. UC Assumptions'!$N$42,0)</f>
        <v>0</v>
      </c>
      <c r="BD227" s="151">
        <f>IF(K227="Nueces",(AG227/$BD$1)*'1. UC Assumptions'!$O$44-(AH227/$BD$2)*'1. UC Assumptions'!$O$42,0)</f>
        <v>0</v>
      </c>
      <c r="BE227" s="151">
        <f>IF(K227="Tarrant",(AG227/$BE$1)*'1. UC Assumptions'!$P$44-(AH227/$BE$2)*'1. UC Assumptions'!$P$42,0)</f>
        <v>0</v>
      </c>
      <c r="BF227" s="151">
        <f>IF(K227="Travis",(AG227/$BF$1)*'1. UC Assumptions'!$Q$44-(AH227/$BF$2)*'1. UC Assumptions'!$Q$42,0)</f>
        <v>0</v>
      </c>
      <c r="BG227" s="151">
        <f t="shared" si="78"/>
        <v>0</v>
      </c>
      <c r="BH227" s="151">
        <f t="shared" si="79"/>
        <v>5056459.225340941</v>
      </c>
      <c r="BI227" s="151">
        <f>ROUNDDOWN(BH227*'1. UC Assumptions'!$C$23,2)</f>
        <v>1668631.54</v>
      </c>
      <c r="BJ227" s="154">
        <f t="shared" si="80"/>
        <v>1831153.7553409408</v>
      </c>
      <c r="BK227" s="154">
        <f t="shared" si="81"/>
        <v>604280.73490000004</v>
      </c>
      <c r="BL227" s="154">
        <f t="shared" si="82"/>
        <v>1690557.93</v>
      </c>
      <c r="BM227" s="154">
        <f t="shared" si="83"/>
        <v>557884.11</v>
      </c>
      <c r="BN227" s="101"/>
      <c r="BO227" s="154">
        <f>(BL227*'1. UC Assumptions'!$C$23)-'3.  UC Calculations by Hospital'!BM227</f>
        <v>6.8999999202787876E-3</v>
      </c>
      <c r="BP227" s="13"/>
    </row>
    <row r="228" spans="2:68">
      <c r="B228" s="129" t="s">
        <v>771</v>
      </c>
      <c r="C228" s="91" t="s">
        <v>771</v>
      </c>
      <c r="D228" s="91" t="s">
        <v>539</v>
      </c>
      <c r="E228" s="91" t="s">
        <v>209</v>
      </c>
      <c r="F228" s="91"/>
      <c r="G228" s="91" t="s">
        <v>209</v>
      </c>
      <c r="H228" s="91" t="s">
        <v>209</v>
      </c>
      <c r="I228" s="150" t="s">
        <v>210</v>
      </c>
      <c r="J228" s="129" t="s">
        <v>772</v>
      </c>
      <c r="K228" s="91" t="s">
        <v>5</v>
      </c>
      <c r="L228" s="91" t="s">
        <v>5</v>
      </c>
      <c r="M228" s="151">
        <v>26173011.138915915</v>
      </c>
      <c r="N228" s="151">
        <v>129527220.70461848</v>
      </c>
      <c r="O228" s="131">
        <v>72156506.00247936</v>
      </c>
      <c r="P228" s="131">
        <f t="shared" si="63"/>
        <v>57370714.702139124</v>
      </c>
      <c r="Q228" s="131">
        <v>72528547.61913833</v>
      </c>
      <c r="R228" s="131">
        <v>42794971.369999997</v>
      </c>
      <c r="S228" s="131">
        <f t="shared" si="64"/>
        <v>0</v>
      </c>
      <c r="T228" s="131">
        <f t="shared" si="65"/>
        <v>72528547.61913833</v>
      </c>
      <c r="U228" s="131">
        <v>13789744</v>
      </c>
      <c r="V228" s="131">
        <v>0</v>
      </c>
      <c r="W228" s="131">
        <v>8991021</v>
      </c>
      <c r="X228" s="131">
        <v>0</v>
      </c>
      <c r="Y228" s="131">
        <v>51617388.739571616</v>
      </c>
      <c r="Z228" s="131">
        <f t="shared" si="66"/>
        <v>74398153.739571616</v>
      </c>
      <c r="AA228" s="131">
        <v>30444137.279671658</v>
      </c>
      <c r="AB228" s="152">
        <f t="shared" si="67"/>
        <v>177370838.6383816</v>
      </c>
      <c r="AC228" s="133">
        <f>IF(D228="Physician Group Practice",(AB228/$AB$393)*'1. UC Assumptions'!$C$15,IF(E228="Rural Hospital",AB228*'1. UC Assumptions'!$C$7/'1. UC Assumptions'!$E$7,(AB228/$AB$397)*('1. UC Assumptions'!$C$9)))</f>
        <v>83390120.544979021</v>
      </c>
      <c r="AD228" s="133">
        <f t="shared" si="68"/>
        <v>0</v>
      </c>
      <c r="AE228" s="133">
        <f t="shared" si="69"/>
        <v>63536580.81373091</v>
      </c>
      <c r="AF228" s="133">
        <f t="shared" si="70"/>
        <v>0</v>
      </c>
      <c r="AG228" s="133">
        <f t="shared" si="71"/>
        <v>63536580.81373091</v>
      </c>
      <c r="AH228" s="133">
        <f t="shared" si="72"/>
        <v>83390120.544979021</v>
      </c>
      <c r="AI228" s="131">
        <f>AH228*'1. UC Assumptions'!$C$23</f>
        <v>27518739.779843073</v>
      </c>
      <c r="AJ228" s="131">
        <v>40901827.950000003</v>
      </c>
      <c r="AK228" s="131">
        <f>AJ228*(1-'1. UC Assumptions'!$C$22)</f>
        <v>13497603.223499998</v>
      </c>
      <c r="AL228" s="131"/>
      <c r="AM228" s="131">
        <f>AL228*'1. UC Assumptions'!$C$23</f>
        <v>0</v>
      </c>
      <c r="AN228" s="153">
        <f t="shared" si="73"/>
        <v>146926701.35870993</v>
      </c>
      <c r="AO228" s="151">
        <f>AN228*'1. UC Assumptions'!$C$23</f>
        <v>48485811.448374271</v>
      </c>
      <c r="AP228" s="151">
        <f t="shared" si="74"/>
        <v>106024873.40870993</v>
      </c>
      <c r="AQ228" s="151">
        <f t="shared" si="75"/>
        <v>34988208.224874273</v>
      </c>
      <c r="AR228" s="151">
        <f t="shared" si="76"/>
        <v>34988208.224874273</v>
      </c>
      <c r="AS228" s="151">
        <f t="shared" si="77"/>
        <v>48485811.448374271</v>
      </c>
      <c r="AT228" s="151">
        <f>IF(K228="Bexar",(AG228/$AT$1)*'1. UC Assumptions'!$E$44-(AH228/$AT$2)*'1. UC Assumptions'!$E$42,0)</f>
        <v>0</v>
      </c>
      <c r="AU228" s="151">
        <f>IF(K228="Dallas",(AG228/$AU$1)*'1. UC Assumptions'!$F$44-(AH228/$AU$2)*'1. UC Assumptions'!$F$42,0)</f>
        <v>0</v>
      </c>
      <c r="AV228" s="151">
        <f>IF(K228="El Paso",(AG228/$AV$1)*'1. UC Assumptions'!$G$44-(AH228/$AV$2)*'1. UC Assumptions'!$G$42,0)</f>
        <v>0</v>
      </c>
      <c r="AW228" s="151">
        <f>IF(K228="Harris",(AG228/$AW$1)*'1. UC Assumptions'!$H$44-(AH228/$AW$2)*'1. UC Assumptions'!$H$42,0)</f>
        <v>0</v>
      </c>
      <c r="AX228" s="151">
        <f>IF(K228="Hidalgo",(AG228/$AX$1)*'1. UC Assumptions'!$I$44-(AH228/$AX$2)*'1. UC Assumptions'!$I$42,0)</f>
        <v>0</v>
      </c>
      <c r="AY228" s="151">
        <f>IF(K228="Jefferson",(AG228/$AY$1)*'1. UC Assumptions'!$J$44-(AH228/$AY$2)*'1. UC Assumptions'!$J$42,0)</f>
        <v>0</v>
      </c>
      <c r="AZ228" s="151">
        <f>IF(K228="Lubbock",(AG228/$AZ$1)*'1. UC Assumptions'!$K$44-(AH228/$AZ$2)*'1. UC Assumptions'!$K$42,0)</f>
        <v>0</v>
      </c>
      <c r="BA228" s="151">
        <f>IF(K228="MRSA Central",(AG228/$BA$1)*'1. UC Assumptions'!$L$44-(AH228/$BA$2)*'1. UC Assumptions'!$L$42,0)</f>
        <v>0</v>
      </c>
      <c r="BB228" s="151">
        <f>IF(K228="MRSA Northeast",(AG228/$BB$1)*'1. UC Assumptions'!$M$44-(AH228/$BB$2)*'1. UC Assumptions'!$M$42,0)</f>
        <v>0</v>
      </c>
      <c r="BC228" s="151">
        <f>IF(K228="MRSA West",(AG228/$BC$1)*'1. UC Assumptions'!$N$44-(AH228/$BC$2)*'1. UC Assumptions'!$N$42,0)</f>
        <v>0</v>
      </c>
      <c r="BD228" s="151">
        <f>IF(K228="Nueces",(AG228/$BD$1)*'1. UC Assumptions'!$O$44-(AH228/$BD$2)*'1. UC Assumptions'!$O$42,0)</f>
        <v>0</v>
      </c>
      <c r="BE228" s="151">
        <f>IF(K228="Tarrant",(AG228/$BE$1)*'1. UC Assumptions'!$P$44-(AH228/$BE$2)*'1. UC Assumptions'!$P$42,0)</f>
        <v>0</v>
      </c>
      <c r="BF228" s="151">
        <f>IF(K228="Travis",(AG228/$BF$1)*'1. UC Assumptions'!$Q$44-(AH228/$BF$2)*'1. UC Assumptions'!$Q$42,0)</f>
        <v>0</v>
      </c>
      <c r="BG228" s="151">
        <f t="shared" si="78"/>
        <v>0</v>
      </c>
      <c r="BH228" s="151">
        <f t="shared" si="79"/>
        <v>83390120.544979021</v>
      </c>
      <c r="BI228" s="151">
        <f>ROUNDDOWN(BH228*'1. UC Assumptions'!$C$23,2)</f>
        <v>27518739.77</v>
      </c>
      <c r="BJ228" s="154">
        <f t="shared" si="80"/>
        <v>42488292.594979018</v>
      </c>
      <c r="BK228" s="154">
        <f t="shared" si="81"/>
        <v>14021136.546500001</v>
      </c>
      <c r="BL228" s="154">
        <f t="shared" si="82"/>
        <v>39226045.140000001</v>
      </c>
      <c r="BM228" s="154">
        <f t="shared" si="83"/>
        <v>12944594.859999999</v>
      </c>
      <c r="BN228" s="101"/>
      <c r="BO228" s="154">
        <f>(BL228*'1. UC Assumptions'!$C$23)-'3.  UC Calculations by Hospital'!BM228</f>
        <v>3.619999997317791E-2</v>
      </c>
      <c r="BP228" s="13"/>
    </row>
    <row r="229" spans="2:68">
      <c r="B229" s="129" t="s">
        <v>773</v>
      </c>
      <c r="C229" s="91" t="s">
        <v>773</v>
      </c>
      <c r="D229" s="91" t="s">
        <v>214</v>
      </c>
      <c r="E229" s="91" t="s">
        <v>209</v>
      </c>
      <c r="F229" s="91"/>
      <c r="G229" s="91" t="s">
        <v>209</v>
      </c>
      <c r="H229" s="91" t="s">
        <v>209</v>
      </c>
      <c r="I229" s="150" t="s">
        <v>210</v>
      </c>
      <c r="J229" s="129" t="s">
        <v>774</v>
      </c>
      <c r="K229" s="91" t="s">
        <v>10</v>
      </c>
      <c r="L229" s="91" t="s">
        <v>398</v>
      </c>
      <c r="M229" s="151">
        <v>-2329117.0355735249</v>
      </c>
      <c r="N229" s="151">
        <v>19710530.913441885</v>
      </c>
      <c r="O229" s="131">
        <v>12775714.818996212</v>
      </c>
      <c r="P229" s="131">
        <f t="shared" si="63"/>
        <v>6934816.0944456737</v>
      </c>
      <c r="Q229" s="131">
        <v>20485157.513075911</v>
      </c>
      <c r="R229" s="131">
        <v>7440445.25</v>
      </c>
      <c r="S229" s="131">
        <f t="shared" si="64"/>
        <v>2834746.1911278516</v>
      </c>
      <c r="T229" s="131">
        <f t="shared" si="65"/>
        <v>17650411.321948059</v>
      </c>
      <c r="U229" s="131">
        <v>1019821.0799999998</v>
      </c>
      <c r="V229" s="131">
        <v>0</v>
      </c>
      <c r="W229" s="131">
        <v>0</v>
      </c>
      <c r="X229" s="131">
        <v>0</v>
      </c>
      <c r="Y229" s="131">
        <v>0</v>
      </c>
      <c r="Z229" s="131">
        <f t="shared" si="66"/>
        <v>1019821.0799999998</v>
      </c>
      <c r="AA229" s="131">
        <v>0</v>
      </c>
      <c r="AB229" s="152">
        <f t="shared" si="67"/>
        <v>18670232.401948057</v>
      </c>
      <c r="AC229" s="133">
        <f>IF(D229="Physician Group Practice",(AB229/$AB$393)*'1. UC Assumptions'!$C$15,IF(E229="Rural Hospital",AB229*'1. UC Assumptions'!$C$7/'1. UC Assumptions'!$E$7,(AB229/$AB$397)*('1. UC Assumptions'!$C$9)))</f>
        <v>8777727.7401016839</v>
      </c>
      <c r="AD229" s="133">
        <f t="shared" si="68"/>
        <v>0</v>
      </c>
      <c r="AE229" s="133">
        <f t="shared" si="69"/>
        <v>9892504.6618463732</v>
      </c>
      <c r="AF229" s="133">
        <f t="shared" si="70"/>
        <v>0</v>
      </c>
      <c r="AG229" s="133">
        <f t="shared" si="71"/>
        <v>9892504.6618463732</v>
      </c>
      <c r="AH229" s="133">
        <f t="shared" si="72"/>
        <v>8777727.7401016839</v>
      </c>
      <c r="AI229" s="131">
        <f>AH229*'1. UC Assumptions'!$C$23</f>
        <v>2896650.1542335553</v>
      </c>
      <c r="AJ229" s="131">
        <v>7104769.1500000004</v>
      </c>
      <c r="AK229" s="131">
        <f>AJ229*(1-'1. UC Assumptions'!$C$22)</f>
        <v>2344573.8194999998</v>
      </c>
      <c r="AL229" s="131"/>
      <c r="AM229" s="131">
        <f>AL229*'1. UC Assumptions'!$C$23</f>
        <v>0</v>
      </c>
      <c r="AN229" s="153">
        <f t="shared" si="73"/>
        <v>18670232.401948057</v>
      </c>
      <c r="AO229" s="151">
        <f>AN229*'1. UC Assumptions'!$C$23</f>
        <v>6161176.6926428583</v>
      </c>
      <c r="AP229" s="151">
        <f t="shared" si="74"/>
        <v>11565463.251948057</v>
      </c>
      <c r="AQ229" s="151">
        <f t="shared" si="75"/>
        <v>3816602.8731428585</v>
      </c>
      <c r="AR229" s="151">
        <f t="shared" si="76"/>
        <v>3816602.8731428585</v>
      </c>
      <c r="AS229" s="151">
        <f t="shared" si="77"/>
        <v>6161176.6926428583</v>
      </c>
      <c r="AT229" s="151">
        <f>IF(K229="Bexar",(AG229/$AT$1)*'1. UC Assumptions'!$E$44-(AH229/$AT$2)*'1. UC Assumptions'!$E$42,0)</f>
        <v>0</v>
      </c>
      <c r="AU229" s="151">
        <f>IF(K229="Dallas",(AG229/$AU$1)*'1. UC Assumptions'!$F$44-(AH229/$AU$2)*'1. UC Assumptions'!$F$42,0)</f>
        <v>0</v>
      </c>
      <c r="AV229" s="151">
        <f>IF(K229="El Paso",(AG229/$AV$1)*'1. UC Assumptions'!$G$44-(AH229/$AV$2)*'1. UC Assumptions'!$G$42,0)</f>
        <v>0</v>
      </c>
      <c r="AW229" s="151">
        <f>IF(K229="Harris",(AG229/$AW$1)*'1. UC Assumptions'!$H$44-(AH229/$AW$2)*'1. UC Assumptions'!$H$42,0)</f>
        <v>0</v>
      </c>
      <c r="AX229" s="151">
        <f>IF(K229="Hidalgo",(AG229/$AX$1)*'1. UC Assumptions'!$I$44-(AH229/$AX$2)*'1. UC Assumptions'!$I$42,0)</f>
        <v>0</v>
      </c>
      <c r="AY229" s="151">
        <f>IF(K229="Jefferson",(AG229/$AY$1)*'1. UC Assumptions'!$J$44-(AH229/$AY$2)*'1. UC Assumptions'!$J$42,0)</f>
        <v>0</v>
      </c>
      <c r="AZ229" s="151">
        <f>IF(K229="Lubbock",(AG229/$AZ$1)*'1. UC Assumptions'!$K$44-(AH229/$AZ$2)*'1. UC Assumptions'!$K$42,0)</f>
        <v>0</v>
      </c>
      <c r="BA229" s="151">
        <f>IF(K229="MRSA Central",(AG229/$BA$1)*'1. UC Assumptions'!$L$44-(AH229/$BA$2)*'1. UC Assumptions'!$L$42,0)</f>
        <v>0</v>
      </c>
      <c r="BB229" s="151">
        <f>IF(K229="MRSA Northeast",(AG229/$BB$1)*'1. UC Assumptions'!$M$44-(AH229/$BB$2)*'1. UC Assumptions'!$M$42,0)</f>
        <v>0</v>
      </c>
      <c r="BC229" s="151">
        <f>IF(K229="MRSA West",(AG229/$BC$1)*'1. UC Assumptions'!$N$44-(AH229/$BC$2)*'1. UC Assumptions'!$N$42,0)</f>
        <v>0</v>
      </c>
      <c r="BD229" s="151">
        <f>IF(K229="Nueces",(AG229/$BD$1)*'1. UC Assumptions'!$O$44-(AH229/$BD$2)*'1. UC Assumptions'!$O$42,0)</f>
        <v>0</v>
      </c>
      <c r="BE229" s="151">
        <f>IF(K229="Tarrant",(AG229/$BE$1)*'1. UC Assumptions'!$P$44-(AH229/$BE$2)*'1. UC Assumptions'!$P$42,0)</f>
        <v>0</v>
      </c>
      <c r="BF229" s="151">
        <f>IF(K229="Travis",(AG229/$BF$1)*'1. UC Assumptions'!$Q$44-(AH229/$BF$2)*'1. UC Assumptions'!$Q$42,0)</f>
        <v>0</v>
      </c>
      <c r="BG229" s="151">
        <f t="shared" si="78"/>
        <v>0</v>
      </c>
      <c r="BH229" s="151">
        <f t="shared" si="79"/>
        <v>8777727.7401016839</v>
      </c>
      <c r="BI229" s="151">
        <f>ROUNDDOWN(BH229*'1. UC Assumptions'!$C$23,2)</f>
        <v>2896650.15</v>
      </c>
      <c r="BJ229" s="154">
        <f t="shared" si="80"/>
        <v>1672958.5901016835</v>
      </c>
      <c r="BK229" s="154">
        <f t="shared" si="81"/>
        <v>552076.33050000016</v>
      </c>
      <c r="BL229" s="154">
        <f t="shared" si="82"/>
        <v>1544508.97</v>
      </c>
      <c r="BM229" s="154">
        <f t="shared" si="83"/>
        <v>509687.96</v>
      </c>
      <c r="BN229" s="101"/>
      <c r="BO229" s="154">
        <f>(BL229*'1. UC Assumptions'!$C$23)-'3.  UC Calculations by Hospital'!BM229</f>
        <v>9.9999888334423304E-5</v>
      </c>
      <c r="BP229" s="13"/>
    </row>
    <row r="230" spans="2:68">
      <c r="B230" s="129" t="s">
        <v>775</v>
      </c>
      <c r="C230" s="91" t="s">
        <v>775</v>
      </c>
      <c r="D230" s="91" t="s">
        <v>214</v>
      </c>
      <c r="E230" s="91" t="s">
        <v>209</v>
      </c>
      <c r="F230" s="91"/>
      <c r="G230" s="91" t="s">
        <v>209</v>
      </c>
      <c r="H230" s="91" t="s">
        <v>227</v>
      </c>
      <c r="I230" s="150" t="s">
        <v>210</v>
      </c>
      <c r="J230" s="129" t="s">
        <v>776</v>
      </c>
      <c r="K230" s="91" t="s">
        <v>6</v>
      </c>
      <c r="L230" s="91" t="s">
        <v>6</v>
      </c>
      <c r="M230" s="151">
        <v>-229986384.23997438</v>
      </c>
      <c r="N230" s="151">
        <v>14280764.443116948</v>
      </c>
      <c r="O230" s="131">
        <v>90839014.923608541</v>
      </c>
      <c r="P230" s="131">
        <f t="shared" si="63"/>
        <v>0</v>
      </c>
      <c r="Q230" s="131">
        <v>109746486.81965472</v>
      </c>
      <c r="R230" s="131">
        <v>0</v>
      </c>
      <c r="S230" s="131">
        <f t="shared" si="64"/>
        <v>0</v>
      </c>
      <c r="T230" s="131">
        <f t="shared" si="65"/>
        <v>109746486.81965472</v>
      </c>
      <c r="U230" s="131">
        <v>586949.61508907634</v>
      </c>
      <c r="V230" s="131">
        <v>2061271</v>
      </c>
      <c r="W230" s="131">
        <v>0</v>
      </c>
      <c r="X230" s="131">
        <v>0</v>
      </c>
      <c r="Y230" s="131">
        <v>0</v>
      </c>
      <c r="Z230" s="131">
        <f t="shared" si="66"/>
        <v>2648220.6150890766</v>
      </c>
      <c r="AA230" s="131">
        <v>0</v>
      </c>
      <c r="AB230" s="152">
        <f t="shared" si="67"/>
        <v>112394707.43474379</v>
      </c>
      <c r="AC230" s="133">
        <f>IF(D230="Physician Group Practice",(AB230/$AB$393)*'1. UC Assumptions'!$C$15,IF(E230="Rural Hospital",AB230*'1. UC Assumptions'!$C$7/'1. UC Assumptions'!$E$7,(AB230/$AB$397)*('1. UC Assumptions'!$C$9)))</f>
        <v>52841877.918328665</v>
      </c>
      <c r="AD230" s="133">
        <f t="shared" si="68"/>
        <v>0</v>
      </c>
      <c r="AE230" s="133">
        <f t="shared" si="69"/>
        <v>59552829.516415127</v>
      </c>
      <c r="AF230" s="133">
        <f t="shared" si="70"/>
        <v>0</v>
      </c>
      <c r="AG230" s="133">
        <f t="shared" si="71"/>
        <v>59552829.516415127</v>
      </c>
      <c r="AH230" s="133">
        <f t="shared" si="72"/>
        <v>52841877.918328665</v>
      </c>
      <c r="AI230" s="131">
        <f>AH230*'1. UC Assumptions'!$C$23</f>
        <v>17437819.713048458</v>
      </c>
      <c r="AJ230" s="131">
        <v>35654562.880000003</v>
      </c>
      <c r="AK230" s="131">
        <f>AJ230*(1-'1. UC Assumptions'!$C$22)</f>
        <v>11766005.750399999</v>
      </c>
      <c r="AL230" s="131"/>
      <c r="AM230" s="131">
        <f>AL230*'1. UC Assumptions'!$C$23</f>
        <v>0</v>
      </c>
      <c r="AN230" s="153">
        <f t="shared" si="73"/>
        <v>112394707.43474379</v>
      </c>
      <c r="AO230" s="151">
        <f>AN230*'1. UC Assumptions'!$C$23</f>
        <v>37090253.453465447</v>
      </c>
      <c r="AP230" s="151">
        <f t="shared" si="74"/>
        <v>76740144.554743797</v>
      </c>
      <c r="AQ230" s="151">
        <f t="shared" si="75"/>
        <v>25324247.703065448</v>
      </c>
      <c r="AR230" s="151">
        <f t="shared" si="76"/>
        <v>25324247.703065448</v>
      </c>
      <c r="AS230" s="151">
        <f t="shared" si="77"/>
        <v>37090253.453465447</v>
      </c>
      <c r="AT230" s="151">
        <f>IF(K230="Bexar",(AG230/$AT$1)*'1. UC Assumptions'!$E$44-(AH230/$AT$2)*'1. UC Assumptions'!$E$42,0)</f>
        <v>0</v>
      </c>
      <c r="AU230" s="151">
        <f>IF(K230="Dallas",(AG230/$AU$1)*'1. UC Assumptions'!$F$44-(AH230/$AU$2)*'1. UC Assumptions'!$F$42,0)</f>
        <v>0</v>
      </c>
      <c r="AV230" s="151">
        <f>IF(K230="El Paso",(AG230/$AV$1)*'1. UC Assumptions'!$G$44-(AH230/$AV$2)*'1. UC Assumptions'!$G$42,0)</f>
        <v>0</v>
      </c>
      <c r="AW230" s="151">
        <f>IF(K230="Harris",(AG230/$AW$1)*'1. UC Assumptions'!$H$44-(AH230/$AW$2)*'1. UC Assumptions'!$H$42,0)</f>
        <v>0</v>
      </c>
      <c r="AX230" s="151">
        <f>IF(K230="Hidalgo",(AG230/$AX$1)*'1. UC Assumptions'!$I$44-(AH230/$AX$2)*'1. UC Assumptions'!$I$42,0)</f>
        <v>0</v>
      </c>
      <c r="AY230" s="151">
        <f>IF(K230="Jefferson",(AG230/$AY$1)*'1. UC Assumptions'!$J$44-(AH230/$AY$2)*'1. UC Assumptions'!$J$42,0)</f>
        <v>0</v>
      </c>
      <c r="AZ230" s="151">
        <f>IF(K230="Lubbock",(AG230/$AZ$1)*'1. UC Assumptions'!$K$44-(AH230/$AZ$2)*'1. UC Assumptions'!$K$42,0)</f>
        <v>0</v>
      </c>
      <c r="BA230" s="151">
        <f>IF(K230="MRSA Central",(AG230/$BA$1)*'1. UC Assumptions'!$L$44-(AH230/$BA$2)*'1. UC Assumptions'!$L$42,0)</f>
        <v>0</v>
      </c>
      <c r="BB230" s="151">
        <f>IF(K230="MRSA Northeast",(AG230/$BB$1)*'1. UC Assumptions'!$M$44-(AH230/$BB$2)*'1. UC Assumptions'!$M$42,0)</f>
        <v>0</v>
      </c>
      <c r="BC230" s="151">
        <f>IF(K230="MRSA West",(AG230/$BC$1)*'1. UC Assumptions'!$N$44-(AH230/$BC$2)*'1. UC Assumptions'!$N$42,0)</f>
        <v>0</v>
      </c>
      <c r="BD230" s="151">
        <f>IF(K230="Nueces",(AG230/$BD$1)*'1. UC Assumptions'!$O$44-(AH230/$BD$2)*'1. UC Assumptions'!$O$42,0)</f>
        <v>0</v>
      </c>
      <c r="BE230" s="151">
        <f>IF(K230="Tarrant",(AG230/$BE$1)*'1. UC Assumptions'!$P$44-(AH230/$BE$2)*'1. UC Assumptions'!$P$42,0)</f>
        <v>0</v>
      </c>
      <c r="BF230" s="151">
        <f>IF(K230="Travis",(AG230/$BF$1)*'1. UC Assumptions'!$Q$44-(AH230/$BF$2)*'1. UC Assumptions'!$Q$42,0)</f>
        <v>0</v>
      </c>
      <c r="BG230" s="151">
        <f t="shared" si="78"/>
        <v>0</v>
      </c>
      <c r="BH230" s="151">
        <f t="shared" si="79"/>
        <v>52841877.918328665</v>
      </c>
      <c r="BI230" s="151">
        <f>ROUNDDOWN(BH230*'1. UC Assumptions'!$C$23,2)</f>
        <v>17437819.710000001</v>
      </c>
      <c r="BJ230" s="154">
        <f t="shared" si="80"/>
        <v>17187315.038328663</v>
      </c>
      <c r="BK230" s="154">
        <f t="shared" si="81"/>
        <v>5671813.9596000016</v>
      </c>
      <c r="BL230" s="154">
        <f t="shared" si="82"/>
        <v>15867674.460000001</v>
      </c>
      <c r="BM230" s="154">
        <f t="shared" si="83"/>
        <v>5236332.5599999996</v>
      </c>
      <c r="BN230" s="101"/>
      <c r="BO230" s="154">
        <f>(BL230*'1. UC Assumptions'!$C$23)-'3.  UC Calculations by Hospital'!BM230</f>
        <v>1.1800000444054604E-2</v>
      </c>
      <c r="BP230" s="13"/>
    </row>
    <row r="231" spans="2:68">
      <c r="B231" s="129" t="s">
        <v>777</v>
      </c>
      <c r="C231" s="91" t="s">
        <v>777</v>
      </c>
      <c r="D231" s="91" t="s">
        <v>214</v>
      </c>
      <c r="E231" s="91" t="s">
        <v>149</v>
      </c>
      <c r="F231" s="91"/>
      <c r="G231" s="91" t="s">
        <v>209</v>
      </c>
      <c r="H231" s="91" t="s">
        <v>209</v>
      </c>
      <c r="I231" s="150" t="s">
        <v>210</v>
      </c>
      <c r="J231" s="129" t="s">
        <v>778</v>
      </c>
      <c r="K231" s="91" t="s">
        <v>11</v>
      </c>
      <c r="L231" s="91" t="s">
        <v>359</v>
      </c>
      <c r="M231" s="151">
        <v>4316521.4369072281</v>
      </c>
      <c r="N231" s="151">
        <v>14271419.008501142</v>
      </c>
      <c r="O231" s="131">
        <v>8951824.267480297</v>
      </c>
      <c r="P231" s="131">
        <f t="shared" si="63"/>
        <v>5319594.7410208452</v>
      </c>
      <c r="Q231" s="131">
        <v>16330864.738184225</v>
      </c>
      <c r="R231" s="131">
        <v>3020685.15</v>
      </c>
      <c r="S231" s="131">
        <f t="shared" si="64"/>
        <v>0</v>
      </c>
      <c r="T231" s="131">
        <f t="shared" si="65"/>
        <v>16330864.738184225</v>
      </c>
      <c r="U231" s="131">
        <v>0</v>
      </c>
      <c r="V231" s="131">
        <v>0</v>
      </c>
      <c r="W231" s="131">
        <v>0</v>
      </c>
      <c r="X231" s="131">
        <v>0</v>
      </c>
      <c r="Y231" s="131">
        <v>0</v>
      </c>
      <c r="Z231" s="131">
        <f t="shared" si="66"/>
        <v>0</v>
      </c>
      <c r="AA231" s="131">
        <v>0</v>
      </c>
      <c r="AB231" s="152">
        <f t="shared" si="67"/>
        <v>16330864.738184225</v>
      </c>
      <c r="AC231" s="133">
        <f>IF(D231="Physician Group Practice",(AB231/$AB$393)*'1. UC Assumptions'!$C$15,IF(E231="Rural Hospital",AB231*'1. UC Assumptions'!$C$7/'1. UC Assumptions'!$E$7,(AB231/$AB$397)*('1. UC Assumptions'!$C$9)))</f>
        <v>15243809.298416352</v>
      </c>
      <c r="AD231" s="133">
        <f t="shared" si="68"/>
        <v>0</v>
      </c>
      <c r="AE231" s="133">
        <f t="shared" si="69"/>
        <v>1087055.4397678729</v>
      </c>
      <c r="AF231" s="133">
        <f t="shared" si="70"/>
        <v>0</v>
      </c>
      <c r="AG231" s="133">
        <f t="shared" si="71"/>
        <v>1087055.4397678729</v>
      </c>
      <c r="AH231" s="133">
        <f t="shared" si="72"/>
        <v>15243809.298416352</v>
      </c>
      <c r="AI231" s="131">
        <f>AH231*'1. UC Assumptions'!$C$23</f>
        <v>5030457.0684773959</v>
      </c>
      <c r="AJ231" s="131">
        <v>7236228.2699999996</v>
      </c>
      <c r="AK231" s="131">
        <f>AJ231*(1-'1. UC Assumptions'!$C$22)</f>
        <v>2387955.3290999997</v>
      </c>
      <c r="AL231" s="131"/>
      <c r="AM231" s="131">
        <f>AL231*'1. UC Assumptions'!$C$23</f>
        <v>0</v>
      </c>
      <c r="AN231" s="153">
        <f t="shared" si="73"/>
        <v>16330864.738184225</v>
      </c>
      <c r="AO231" s="151">
        <f>AN231*'1. UC Assumptions'!$C$23</f>
        <v>5389185.3636007933</v>
      </c>
      <c r="AP231" s="151">
        <f t="shared" si="74"/>
        <v>9094636.4681842253</v>
      </c>
      <c r="AQ231" s="151">
        <f t="shared" si="75"/>
        <v>3001230.0345007936</v>
      </c>
      <c r="AR231" s="151">
        <f t="shared" si="76"/>
        <v>3001230.0345007936</v>
      </c>
      <c r="AS231" s="151">
        <f t="shared" si="77"/>
        <v>5389185.3636007933</v>
      </c>
      <c r="AT231" s="151">
        <f>IF(K231="Bexar",(AG231/$AT$1)*'1. UC Assumptions'!$E$44-(AH231/$AT$2)*'1. UC Assumptions'!$E$42,0)</f>
        <v>0</v>
      </c>
      <c r="AU231" s="151">
        <f>IF(K231="Dallas",(AG231/$AU$1)*'1. UC Assumptions'!$F$44-(AH231/$AU$2)*'1. UC Assumptions'!$F$42,0)</f>
        <v>0</v>
      </c>
      <c r="AV231" s="151">
        <f>IF(K231="El Paso",(AG231/$AV$1)*'1. UC Assumptions'!$G$44-(AH231/$AV$2)*'1. UC Assumptions'!$G$42,0)</f>
        <v>0</v>
      </c>
      <c r="AW231" s="151">
        <f>IF(K231="Harris",(AG231/$AW$1)*'1. UC Assumptions'!$H$44-(AH231/$AW$2)*'1. UC Assumptions'!$H$42,0)</f>
        <v>0</v>
      </c>
      <c r="AX231" s="151">
        <f>IF(K231="Hidalgo",(AG231/$AX$1)*'1. UC Assumptions'!$I$44-(AH231/$AX$2)*'1. UC Assumptions'!$I$42,0)</f>
        <v>0</v>
      </c>
      <c r="AY231" s="151">
        <f>IF(K231="Jefferson",(AG231/$AY$1)*'1. UC Assumptions'!$J$44-(AH231/$AY$2)*'1. UC Assumptions'!$J$42,0)</f>
        <v>0</v>
      </c>
      <c r="AZ231" s="151">
        <f>IF(K231="Lubbock",(AG231/$AZ$1)*'1. UC Assumptions'!$K$44-(AH231/$AZ$2)*'1. UC Assumptions'!$K$42,0)</f>
        <v>0</v>
      </c>
      <c r="BA231" s="151">
        <f>IF(K231="MRSA Central",(AG231/$BA$1)*'1. UC Assumptions'!$L$44-(AH231/$BA$2)*'1. UC Assumptions'!$L$42,0)</f>
        <v>0</v>
      </c>
      <c r="BB231" s="151">
        <f>IF(K231="MRSA Northeast",(AG231/$BB$1)*'1. UC Assumptions'!$M$44-(AH231/$BB$2)*'1. UC Assumptions'!$M$42,0)</f>
        <v>0</v>
      </c>
      <c r="BC231" s="151">
        <f>IF(K231="MRSA West",(AG231/$BC$1)*'1. UC Assumptions'!$N$44-(AH231/$BC$2)*'1. UC Assumptions'!$N$42,0)</f>
        <v>0</v>
      </c>
      <c r="BD231" s="151">
        <f>IF(K231="Nueces",(AG231/$BD$1)*'1. UC Assumptions'!$O$44-(AH231/$BD$2)*'1. UC Assumptions'!$O$42,0)</f>
        <v>0</v>
      </c>
      <c r="BE231" s="151">
        <f>IF(K231="Tarrant",(AG231/$BE$1)*'1. UC Assumptions'!$P$44-(AH231/$BE$2)*'1. UC Assumptions'!$P$42,0)</f>
        <v>0</v>
      </c>
      <c r="BF231" s="151">
        <f>IF(K231="Travis",(AG231/$BF$1)*'1. UC Assumptions'!$Q$44-(AH231/$BF$2)*'1. UC Assumptions'!$Q$42,0)</f>
        <v>0</v>
      </c>
      <c r="BG231" s="151">
        <f t="shared" si="78"/>
        <v>0</v>
      </c>
      <c r="BH231" s="151">
        <f t="shared" si="79"/>
        <v>15243809.298416352</v>
      </c>
      <c r="BI231" s="151">
        <f>ROUNDDOWN(BH231*'1. UC Assumptions'!$C$23,2)</f>
        <v>5030457.0599999996</v>
      </c>
      <c r="BJ231" s="154">
        <f t="shared" si="80"/>
        <v>8007581.0284163523</v>
      </c>
      <c r="BK231" s="154">
        <f t="shared" si="81"/>
        <v>2642501.7308999998</v>
      </c>
      <c r="BL231" s="154">
        <f t="shared" si="82"/>
        <v>7392759.6399999997</v>
      </c>
      <c r="BM231" s="154">
        <f t="shared" si="83"/>
        <v>2439610.67</v>
      </c>
      <c r="BN231" s="101"/>
      <c r="BO231" s="154">
        <f>(BL231*'1. UC Assumptions'!$C$23)-'3.  UC Calculations by Hospital'!BM231</f>
        <v>1.119999960064888E-2</v>
      </c>
      <c r="BP231" s="13"/>
    </row>
    <row r="232" spans="2:68">
      <c r="B232" s="129" t="s">
        <v>779</v>
      </c>
      <c r="C232" s="91" t="s">
        <v>779</v>
      </c>
      <c r="D232" s="91" t="s">
        <v>214</v>
      </c>
      <c r="E232" s="91" t="s">
        <v>209</v>
      </c>
      <c r="F232" s="91"/>
      <c r="G232" s="91" t="s">
        <v>209</v>
      </c>
      <c r="H232" s="91" t="s">
        <v>209</v>
      </c>
      <c r="I232" s="150" t="s">
        <v>210</v>
      </c>
      <c r="J232" s="129" t="s">
        <v>780</v>
      </c>
      <c r="K232" s="91" t="s">
        <v>4</v>
      </c>
      <c r="L232" s="91" t="s">
        <v>4</v>
      </c>
      <c r="M232" s="151">
        <v>4042356.8961382899</v>
      </c>
      <c r="N232" s="151">
        <v>100691058.65618208</v>
      </c>
      <c r="O232" s="131">
        <v>22111258.483987235</v>
      </c>
      <c r="P232" s="131">
        <f t="shared" si="63"/>
        <v>78579800.172194839</v>
      </c>
      <c r="Q232" s="131">
        <v>77083620.312052414</v>
      </c>
      <c r="R232" s="131">
        <v>11974829.710000001</v>
      </c>
      <c r="S232" s="131">
        <f t="shared" si="64"/>
        <v>0</v>
      </c>
      <c r="T232" s="131">
        <f t="shared" si="65"/>
        <v>77083620.312052414</v>
      </c>
      <c r="U232" s="131">
        <v>0</v>
      </c>
      <c r="V232" s="131">
        <v>0</v>
      </c>
      <c r="W232" s="131">
        <v>0</v>
      </c>
      <c r="X232" s="131">
        <v>0</v>
      </c>
      <c r="Y232" s="131">
        <v>0</v>
      </c>
      <c r="Z232" s="131">
        <f t="shared" si="66"/>
        <v>0</v>
      </c>
      <c r="AA232" s="131">
        <v>0</v>
      </c>
      <c r="AB232" s="152">
        <f t="shared" si="67"/>
        <v>77083620.312052414</v>
      </c>
      <c r="AC232" s="133">
        <f>IF(D232="Physician Group Practice",(AB232/$AB$393)*'1. UC Assumptions'!$C$15,IF(E232="Rural Hospital",AB232*'1. UC Assumptions'!$C$7/'1. UC Assumptions'!$E$7,(AB232/$AB$397)*('1. UC Assumptions'!$C$9)))</f>
        <v>36240525.439306766</v>
      </c>
      <c r="AD232" s="133">
        <f t="shared" si="68"/>
        <v>0</v>
      </c>
      <c r="AE232" s="133">
        <f t="shared" si="69"/>
        <v>40843094.872745648</v>
      </c>
      <c r="AF232" s="133">
        <f t="shared" si="70"/>
        <v>0</v>
      </c>
      <c r="AG232" s="133">
        <f t="shared" si="71"/>
        <v>40843094.872745648</v>
      </c>
      <c r="AH232" s="133">
        <f t="shared" si="72"/>
        <v>36240525.439306766</v>
      </c>
      <c r="AI232" s="131">
        <f>AH232*'1. UC Assumptions'!$C$23</f>
        <v>11959373.394971231</v>
      </c>
      <c r="AJ232" s="131">
        <v>32344147.460000001</v>
      </c>
      <c r="AK232" s="131">
        <f>AJ232*(1-'1. UC Assumptions'!$C$22)</f>
        <v>10673568.661799999</v>
      </c>
      <c r="AL232" s="131"/>
      <c r="AM232" s="131">
        <f>AL232*'1. UC Assumptions'!$C$23</f>
        <v>0</v>
      </c>
      <c r="AN232" s="153">
        <f t="shared" si="73"/>
        <v>77083620.312052414</v>
      </c>
      <c r="AO232" s="151">
        <f>AN232*'1. UC Assumptions'!$C$23</f>
        <v>25437594.702977292</v>
      </c>
      <c r="AP232" s="151">
        <f t="shared" si="74"/>
        <v>44739472.852052413</v>
      </c>
      <c r="AQ232" s="151">
        <f t="shared" si="75"/>
        <v>14764026.041177293</v>
      </c>
      <c r="AR232" s="151">
        <f t="shared" si="76"/>
        <v>14764026.041177293</v>
      </c>
      <c r="AS232" s="151">
        <f t="shared" si="77"/>
        <v>25437594.702977292</v>
      </c>
      <c r="AT232" s="151">
        <f>IF(K232="Bexar",(AG232/$AT$1)*'1. UC Assumptions'!$E$44-(AH232/$AT$2)*'1. UC Assumptions'!$E$42,0)</f>
        <v>0</v>
      </c>
      <c r="AU232" s="151">
        <f>IF(K232="Dallas",(AG232/$AU$1)*'1. UC Assumptions'!$F$44-(AH232/$AU$2)*'1. UC Assumptions'!$F$42,0)</f>
        <v>0</v>
      </c>
      <c r="AV232" s="151">
        <f>IF(K232="El Paso",(AG232/$AV$1)*'1. UC Assumptions'!$G$44-(AH232/$AV$2)*'1. UC Assumptions'!$G$42,0)</f>
        <v>0</v>
      </c>
      <c r="AW232" s="151">
        <f>IF(K232="Harris",(AG232/$AW$1)*'1. UC Assumptions'!$H$44-(AH232/$AW$2)*'1. UC Assumptions'!$H$42,0)</f>
        <v>0</v>
      </c>
      <c r="AX232" s="151">
        <f>IF(K232="Hidalgo",(AG232/$AX$1)*'1. UC Assumptions'!$I$44-(AH232/$AX$2)*'1. UC Assumptions'!$I$42,0)</f>
        <v>0</v>
      </c>
      <c r="AY232" s="151">
        <f>IF(K232="Jefferson",(AG232/$AY$1)*'1. UC Assumptions'!$J$44-(AH232/$AY$2)*'1. UC Assumptions'!$J$42,0)</f>
        <v>0</v>
      </c>
      <c r="AZ232" s="151">
        <f>IF(K232="Lubbock",(AG232/$AZ$1)*'1. UC Assumptions'!$K$44-(AH232/$AZ$2)*'1. UC Assumptions'!$K$42,0)</f>
        <v>0</v>
      </c>
      <c r="BA232" s="151">
        <f>IF(K232="MRSA Central",(AG232/$BA$1)*'1. UC Assumptions'!$L$44-(AH232/$BA$2)*'1. UC Assumptions'!$L$42,0)</f>
        <v>0</v>
      </c>
      <c r="BB232" s="151">
        <f>IF(K232="MRSA Northeast",(AG232/$BB$1)*'1. UC Assumptions'!$M$44-(AH232/$BB$2)*'1. UC Assumptions'!$M$42,0)</f>
        <v>0</v>
      </c>
      <c r="BC232" s="151">
        <f>IF(K232="MRSA West",(AG232/$BC$1)*'1. UC Assumptions'!$N$44-(AH232/$BC$2)*'1. UC Assumptions'!$N$42,0)</f>
        <v>0</v>
      </c>
      <c r="BD232" s="151">
        <f>IF(K232="Nueces",(AG232/$BD$1)*'1. UC Assumptions'!$O$44-(AH232/$BD$2)*'1. UC Assumptions'!$O$42,0)</f>
        <v>0</v>
      </c>
      <c r="BE232" s="151">
        <f>IF(K232="Tarrant",(AG232/$BE$1)*'1. UC Assumptions'!$P$44-(AH232/$BE$2)*'1. UC Assumptions'!$P$42,0)</f>
        <v>0</v>
      </c>
      <c r="BF232" s="151">
        <f>IF(K232="Travis",(AG232/$BF$1)*'1. UC Assumptions'!$Q$44-(AH232/$BF$2)*'1. UC Assumptions'!$Q$42,0)</f>
        <v>0</v>
      </c>
      <c r="BG232" s="151">
        <f t="shared" si="78"/>
        <v>0</v>
      </c>
      <c r="BH232" s="151">
        <f t="shared" si="79"/>
        <v>36240525.439306766</v>
      </c>
      <c r="BI232" s="151">
        <f>ROUNDDOWN(BH232*'1. UC Assumptions'!$C$23,2)</f>
        <v>11959373.390000001</v>
      </c>
      <c r="BJ232" s="154">
        <f t="shared" si="80"/>
        <v>3896377.9793067649</v>
      </c>
      <c r="BK232" s="154">
        <f t="shared" si="81"/>
        <v>1285804.7282000016</v>
      </c>
      <c r="BL232" s="154">
        <f t="shared" si="82"/>
        <v>3597214.41</v>
      </c>
      <c r="BM232" s="154">
        <f t="shared" si="83"/>
        <v>1187080.75</v>
      </c>
      <c r="BN232" s="155"/>
      <c r="BO232" s="154">
        <f>(BL232*'1. UC Assumptions'!$C$23)-'3.  UC Calculations by Hospital'!BM232</f>
        <v>5.2999998442828655E-3</v>
      </c>
      <c r="BP232" s="13"/>
    </row>
    <row r="233" spans="2:68">
      <c r="B233" s="129" t="s">
        <v>781</v>
      </c>
      <c r="C233" s="91" t="s">
        <v>781</v>
      </c>
      <c r="D233" s="91" t="s">
        <v>214</v>
      </c>
      <c r="E233" s="91" t="s">
        <v>209</v>
      </c>
      <c r="F233" s="91"/>
      <c r="G233" s="91" t="s">
        <v>209</v>
      </c>
      <c r="H233" s="91" t="s">
        <v>209</v>
      </c>
      <c r="I233" s="150" t="s">
        <v>210</v>
      </c>
      <c r="J233" s="129" t="s">
        <v>782</v>
      </c>
      <c r="K233" s="91" t="s">
        <v>6</v>
      </c>
      <c r="L233" s="91" t="s">
        <v>6</v>
      </c>
      <c r="M233" s="151">
        <v>14309017.936812194</v>
      </c>
      <c r="N233" s="151">
        <v>0</v>
      </c>
      <c r="O233" s="131">
        <v>0</v>
      </c>
      <c r="P233" s="131">
        <f t="shared" si="63"/>
        <v>0</v>
      </c>
      <c r="Q233" s="131">
        <v>36416183.440870002</v>
      </c>
      <c r="R233" s="131">
        <v>0</v>
      </c>
      <c r="S233" s="131">
        <f t="shared" si="64"/>
        <v>0</v>
      </c>
      <c r="T233" s="131">
        <f t="shared" si="65"/>
        <v>36416183.440870002</v>
      </c>
      <c r="U233" s="131">
        <v>0</v>
      </c>
      <c r="V233" s="131">
        <v>0</v>
      </c>
      <c r="W233" s="131">
        <v>0</v>
      </c>
      <c r="X233" s="131">
        <v>0</v>
      </c>
      <c r="Y233" s="131">
        <v>2895933.1576904636</v>
      </c>
      <c r="Z233" s="131">
        <f t="shared" si="66"/>
        <v>2895933.1576904636</v>
      </c>
      <c r="AA233" s="131">
        <v>0</v>
      </c>
      <c r="AB233" s="152">
        <f t="shared" si="67"/>
        <v>39312116.598560467</v>
      </c>
      <c r="AC233" s="133">
        <f>IF(D233="Physician Group Practice",(AB233/$AB$393)*'1. UC Assumptions'!$C$15,IF(E233="Rural Hospital",AB233*'1. UC Assumptions'!$C$7/'1. UC Assumptions'!$E$7,(AB233/$AB$397)*('1. UC Assumptions'!$C$9)))</f>
        <v>18482418.909434207</v>
      </c>
      <c r="AD233" s="133">
        <f t="shared" si="68"/>
        <v>0</v>
      </c>
      <c r="AE233" s="133">
        <f t="shared" si="69"/>
        <v>20829697.689126261</v>
      </c>
      <c r="AF233" s="133">
        <f t="shared" si="70"/>
        <v>0</v>
      </c>
      <c r="AG233" s="133">
        <f t="shared" si="71"/>
        <v>20829697.689126261</v>
      </c>
      <c r="AH233" s="133">
        <f t="shared" si="72"/>
        <v>18482418.909434207</v>
      </c>
      <c r="AI233" s="131">
        <f>AH233*'1. UC Assumptions'!$C$23</f>
        <v>6099198.2401132872</v>
      </c>
      <c r="AJ233" s="131">
        <v>15016998.890000001</v>
      </c>
      <c r="AK233" s="131">
        <f>AJ233*(1-'1. UC Assumptions'!$C$22)</f>
        <v>4955609.6336999992</v>
      </c>
      <c r="AL233" s="131"/>
      <c r="AM233" s="131">
        <f>AL233*'1. UC Assumptions'!$C$23</f>
        <v>0</v>
      </c>
      <c r="AN233" s="153">
        <f t="shared" si="73"/>
        <v>39312116.598560467</v>
      </c>
      <c r="AO233" s="151">
        <f>AN233*'1. UC Assumptions'!$C$23</f>
        <v>12972998.477524953</v>
      </c>
      <c r="AP233" s="151">
        <f t="shared" si="74"/>
        <v>24295117.708560467</v>
      </c>
      <c r="AQ233" s="151">
        <f t="shared" si="75"/>
        <v>8017388.8438249538</v>
      </c>
      <c r="AR233" s="151">
        <f t="shared" si="76"/>
        <v>8017388.8438249538</v>
      </c>
      <c r="AS233" s="151">
        <f t="shared" si="77"/>
        <v>12972998.477524953</v>
      </c>
      <c r="AT233" s="151">
        <f>IF(K233="Bexar",(AG233/$AT$1)*'1. UC Assumptions'!$E$44-(AH233/$AT$2)*'1. UC Assumptions'!$E$42,0)</f>
        <v>0</v>
      </c>
      <c r="AU233" s="151">
        <f>IF(K233="Dallas",(AG233/$AU$1)*'1. UC Assumptions'!$F$44-(AH233/$AU$2)*'1. UC Assumptions'!$F$42,0)</f>
        <v>0</v>
      </c>
      <c r="AV233" s="151">
        <f>IF(K233="El Paso",(AG233/$AV$1)*'1. UC Assumptions'!$G$44-(AH233/$AV$2)*'1. UC Assumptions'!$G$42,0)</f>
        <v>0</v>
      </c>
      <c r="AW233" s="151">
        <f>IF(K233="Harris",(AG233/$AW$1)*'1. UC Assumptions'!$H$44-(AH233/$AW$2)*'1. UC Assumptions'!$H$42,0)</f>
        <v>0</v>
      </c>
      <c r="AX233" s="151">
        <f>IF(K233="Hidalgo",(AG233/$AX$1)*'1. UC Assumptions'!$I$44-(AH233/$AX$2)*'1. UC Assumptions'!$I$42,0)</f>
        <v>0</v>
      </c>
      <c r="AY233" s="151">
        <f>IF(K233="Jefferson",(AG233/$AY$1)*'1. UC Assumptions'!$J$44-(AH233/$AY$2)*'1. UC Assumptions'!$J$42,0)</f>
        <v>0</v>
      </c>
      <c r="AZ233" s="151">
        <f>IF(K233="Lubbock",(AG233/$AZ$1)*'1. UC Assumptions'!$K$44-(AH233/$AZ$2)*'1. UC Assumptions'!$K$42,0)</f>
        <v>0</v>
      </c>
      <c r="BA233" s="151">
        <f>IF(K233="MRSA Central",(AG233/$BA$1)*'1. UC Assumptions'!$L$44-(AH233/$BA$2)*'1. UC Assumptions'!$L$42,0)</f>
        <v>0</v>
      </c>
      <c r="BB233" s="151">
        <f>IF(K233="MRSA Northeast",(AG233/$BB$1)*'1. UC Assumptions'!$M$44-(AH233/$BB$2)*'1. UC Assumptions'!$M$42,0)</f>
        <v>0</v>
      </c>
      <c r="BC233" s="151">
        <f>IF(K233="MRSA West",(AG233/$BC$1)*'1. UC Assumptions'!$N$44-(AH233/$BC$2)*'1. UC Assumptions'!$N$42,0)</f>
        <v>0</v>
      </c>
      <c r="BD233" s="151">
        <f>IF(K233="Nueces",(AG233/$BD$1)*'1. UC Assumptions'!$O$44-(AH233/$BD$2)*'1. UC Assumptions'!$O$42,0)</f>
        <v>0</v>
      </c>
      <c r="BE233" s="151">
        <f>IF(K233="Tarrant",(AG233/$BE$1)*'1. UC Assumptions'!$P$44-(AH233/$BE$2)*'1. UC Assumptions'!$P$42,0)</f>
        <v>0</v>
      </c>
      <c r="BF233" s="151">
        <f>IF(K233="Travis",(AG233/$BF$1)*'1. UC Assumptions'!$Q$44-(AH233/$BF$2)*'1. UC Assumptions'!$Q$42,0)</f>
        <v>0</v>
      </c>
      <c r="BG233" s="151">
        <f t="shared" si="78"/>
        <v>0</v>
      </c>
      <c r="BH233" s="151">
        <f t="shared" si="79"/>
        <v>18482418.909434207</v>
      </c>
      <c r="BI233" s="151">
        <f>ROUNDDOWN(BH233*'1. UC Assumptions'!$C$23,2)</f>
        <v>6099198.2400000002</v>
      </c>
      <c r="BJ233" s="154">
        <f t="shared" si="80"/>
        <v>3465420.0194342062</v>
      </c>
      <c r="BK233" s="154">
        <f t="shared" si="81"/>
        <v>1143588.606300001</v>
      </c>
      <c r="BL233" s="154">
        <f t="shared" si="82"/>
        <v>3199345.37</v>
      </c>
      <c r="BM233" s="154">
        <f t="shared" si="83"/>
        <v>1055783.97</v>
      </c>
      <c r="BN233" s="101"/>
      <c r="BO233" s="154">
        <f>(BL233*'1. UC Assumptions'!$C$23)-'3.  UC Calculations by Hospital'!BM233</f>
        <v>2.099999925121665E-3</v>
      </c>
      <c r="BP233" s="13"/>
    </row>
    <row r="234" spans="2:68">
      <c r="B234" s="129" t="s">
        <v>783</v>
      </c>
      <c r="C234" s="91" t="s">
        <v>783</v>
      </c>
      <c r="D234" s="91" t="s">
        <v>208</v>
      </c>
      <c r="E234" s="91" t="s">
        <v>149</v>
      </c>
      <c r="F234" s="91"/>
      <c r="G234" s="91" t="s">
        <v>209</v>
      </c>
      <c r="H234" s="91" t="s">
        <v>209</v>
      </c>
      <c r="I234" s="150" t="s">
        <v>210</v>
      </c>
      <c r="J234" s="129" t="s">
        <v>784</v>
      </c>
      <c r="K234" s="91" t="s">
        <v>10</v>
      </c>
      <c r="L234" s="91" t="s">
        <v>414</v>
      </c>
      <c r="M234" s="151">
        <v>-361168.44783756795</v>
      </c>
      <c r="N234" s="151">
        <v>1057866.0529802814</v>
      </c>
      <c r="O234" s="131">
        <v>711569.38200714253</v>
      </c>
      <c r="P234" s="131">
        <f t="shared" si="63"/>
        <v>346296.67097313888</v>
      </c>
      <c r="Q234" s="131">
        <v>1429451.1590695167</v>
      </c>
      <c r="R234" s="131">
        <v>255447.83000000002</v>
      </c>
      <c r="S234" s="131">
        <f t="shared" si="64"/>
        <v>255447.83000000002</v>
      </c>
      <c r="T234" s="131">
        <f t="shared" si="65"/>
        <v>1174003.3290695166</v>
      </c>
      <c r="U234" s="131">
        <v>26833</v>
      </c>
      <c r="V234" s="131">
        <v>0</v>
      </c>
      <c r="W234" s="131">
        <v>0</v>
      </c>
      <c r="X234" s="131">
        <v>0</v>
      </c>
      <c r="Y234" s="131">
        <v>0</v>
      </c>
      <c r="Z234" s="131">
        <f t="shared" si="66"/>
        <v>26833</v>
      </c>
      <c r="AA234" s="131">
        <v>0</v>
      </c>
      <c r="AB234" s="152">
        <f t="shared" si="67"/>
        <v>1200836.3290695166</v>
      </c>
      <c r="AC234" s="133">
        <f>IF(D234="Physician Group Practice",(AB234/$AB$393)*'1. UC Assumptions'!$C$15,IF(E234="Rural Hospital",AB234*'1. UC Assumptions'!$C$7/'1. UC Assumptions'!$E$7,(AB234/$AB$397)*('1. UC Assumptions'!$C$9)))</f>
        <v>1120903.289104173</v>
      </c>
      <c r="AD234" s="133">
        <f t="shared" si="68"/>
        <v>0</v>
      </c>
      <c r="AE234" s="133">
        <f t="shared" si="69"/>
        <v>79933.039965343662</v>
      </c>
      <c r="AF234" s="133">
        <f t="shared" si="70"/>
        <v>0</v>
      </c>
      <c r="AG234" s="133">
        <f t="shared" si="71"/>
        <v>79933.039965343662</v>
      </c>
      <c r="AH234" s="133">
        <f t="shared" si="72"/>
        <v>1120903.289104173</v>
      </c>
      <c r="AI234" s="131">
        <f>AH234*'1. UC Assumptions'!$C$23</f>
        <v>369898.08540437702</v>
      </c>
      <c r="AJ234" s="131">
        <v>275501.78000000003</v>
      </c>
      <c r="AK234" s="131">
        <f>AJ234*(1-'1. UC Assumptions'!$C$22)</f>
        <v>90915.587400000004</v>
      </c>
      <c r="AL234" s="131"/>
      <c r="AM234" s="131">
        <f>AL234*'1. UC Assumptions'!$C$23</f>
        <v>0</v>
      </c>
      <c r="AN234" s="153">
        <f t="shared" si="73"/>
        <v>1200836.3290695166</v>
      </c>
      <c r="AO234" s="151">
        <f>AN234*'1. UC Assumptions'!$C$23</f>
        <v>396275.98859294044</v>
      </c>
      <c r="AP234" s="151">
        <f t="shared" si="74"/>
        <v>925334.54906951659</v>
      </c>
      <c r="AQ234" s="151">
        <f t="shared" si="75"/>
        <v>305360.40119294042</v>
      </c>
      <c r="AR234" s="151">
        <f t="shared" si="76"/>
        <v>305360.40119294042</v>
      </c>
      <c r="AS234" s="151">
        <f t="shared" si="77"/>
        <v>396275.98859294044</v>
      </c>
      <c r="AT234" s="151">
        <f>IF(K234="Bexar",(AG234/$AT$1)*'1. UC Assumptions'!$E$44-(AH234/$AT$2)*'1. UC Assumptions'!$E$42,0)</f>
        <v>0</v>
      </c>
      <c r="AU234" s="151">
        <f>IF(K234="Dallas",(AG234/$AU$1)*'1. UC Assumptions'!$F$44-(AH234/$AU$2)*'1. UC Assumptions'!$F$42,0)</f>
        <v>0</v>
      </c>
      <c r="AV234" s="151">
        <f>IF(K234="El Paso",(AG234/$AV$1)*'1. UC Assumptions'!$G$44-(AH234/$AV$2)*'1. UC Assumptions'!$G$42,0)</f>
        <v>0</v>
      </c>
      <c r="AW234" s="151">
        <f>IF(K234="Harris",(AG234/$AW$1)*'1. UC Assumptions'!$H$44-(AH234/$AW$2)*'1. UC Assumptions'!$H$42,0)</f>
        <v>0</v>
      </c>
      <c r="AX234" s="151">
        <f>IF(K234="Hidalgo",(AG234/$AX$1)*'1. UC Assumptions'!$I$44-(AH234/$AX$2)*'1. UC Assumptions'!$I$42,0)</f>
        <v>0</v>
      </c>
      <c r="AY234" s="151">
        <f>IF(K234="Jefferson",(AG234/$AY$1)*'1. UC Assumptions'!$J$44-(AH234/$AY$2)*'1. UC Assumptions'!$J$42,0)</f>
        <v>0</v>
      </c>
      <c r="AZ234" s="151">
        <f>IF(K234="Lubbock",(AG234/$AZ$1)*'1. UC Assumptions'!$K$44-(AH234/$AZ$2)*'1. UC Assumptions'!$K$42,0)</f>
        <v>0</v>
      </c>
      <c r="BA234" s="151">
        <f>IF(K234="MRSA Central",(AG234/$BA$1)*'1. UC Assumptions'!$L$44-(AH234/$BA$2)*'1. UC Assumptions'!$L$42,0)</f>
        <v>0</v>
      </c>
      <c r="BB234" s="151">
        <f>IF(K234="MRSA Northeast",(AG234/$BB$1)*'1. UC Assumptions'!$M$44-(AH234/$BB$2)*'1. UC Assumptions'!$M$42,0)</f>
        <v>0</v>
      </c>
      <c r="BC234" s="151">
        <f>IF(K234="MRSA West",(AG234/$BC$1)*'1. UC Assumptions'!$N$44-(AH234/$BC$2)*'1. UC Assumptions'!$N$42,0)</f>
        <v>0</v>
      </c>
      <c r="BD234" s="151">
        <f>IF(K234="Nueces",(AG234/$BD$1)*'1. UC Assumptions'!$O$44-(AH234/$BD$2)*'1. UC Assumptions'!$O$42,0)</f>
        <v>0</v>
      </c>
      <c r="BE234" s="151">
        <f>IF(K234="Tarrant",(AG234/$BE$1)*'1. UC Assumptions'!$P$44-(AH234/$BE$2)*'1. UC Assumptions'!$P$42,0)</f>
        <v>0</v>
      </c>
      <c r="BF234" s="151">
        <f>IF(K234="Travis",(AG234/$BF$1)*'1. UC Assumptions'!$Q$44-(AH234/$BF$2)*'1. UC Assumptions'!$Q$42,0)</f>
        <v>0</v>
      </c>
      <c r="BG234" s="151">
        <f t="shared" si="78"/>
        <v>0</v>
      </c>
      <c r="BH234" s="151">
        <f t="shared" si="79"/>
        <v>1120903.289104173</v>
      </c>
      <c r="BI234" s="151">
        <f>ROUNDDOWN(BH234*'1. UC Assumptions'!$C$23,2)</f>
        <v>369898.08</v>
      </c>
      <c r="BJ234" s="154">
        <f t="shared" si="80"/>
        <v>845401.50910417293</v>
      </c>
      <c r="BK234" s="154">
        <f t="shared" si="81"/>
        <v>278982.4926</v>
      </c>
      <c r="BL234" s="154">
        <f t="shared" si="82"/>
        <v>780491.65</v>
      </c>
      <c r="BM234" s="154">
        <f t="shared" si="83"/>
        <v>257562.23999999999</v>
      </c>
      <c r="BN234" s="101"/>
      <c r="BO234" s="154">
        <f>(BL234*'1. UC Assumptions'!$C$23)-'3.  UC Calculations by Hospital'!BM234</f>
        <v>4.4999999809078872E-3</v>
      </c>
      <c r="BP234" s="13"/>
    </row>
    <row r="235" spans="2:68">
      <c r="B235" s="129" t="s">
        <v>785</v>
      </c>
      <c r="C235" s="91" t="s">
        <v>785</v>
      </c>
      <c r="D235" s="91" t="s">
        <v>214</v>
      </c>
      <c r="E235" s="91" t="s">
        <v>149</v>
      </c>
      <c r="F235" s="91"/>
      <c r="G235" s="91" t="s">
        <v>209</v>
      </c>
      <c r="H235" s="91" t="s">
        <v>209</v>
      </c>
      <c r="I235" s="150" t="s">
        <v>210</v>
      </c>
      <c r="J235" s="129" t="s">
        <v>786</v>
      </c>
      <c r="K235" s="91" t="s">
        <v>11</v>
      </c>
      <c r="L235" s="91" t="s">
        <v>634</v>
      </c>
      <c r="M235" s="151">
        <v>1834429.1001781244</v>
      </c>
      <c r="N235" s="151">
        <v>0</v>
      </c>
      <c r="O235" s="131">
        <v>0</v>
      </c>
      <c r="P235" s="131">
        <f t="shared" si="63"/>
        <v>0</v>
      </c>
      <c r="Q235" s="131">
        <v>3532186.8126678783</v>
      </c>
      <c r="R235" s="131">
        <v>0</v>
      </c>
      <c r="S235" s="131">
        <f t="shared" si="64"/>
        <v>0</v>
      </c>
      <c r="T235" s="131">
        <f t="shared" si="65"/>
        <v>3532186.8126678783</v>
      </c>
      <c r="U235" s="131">
        <v>370939</v>
      </c>
      <c r="V235" s="131">
        <v>0</v>
      </c>
      <c r="W235" s="131">
        <v>45000</v>
      </c>
      <c r="X235" s="131">
        <v>0</v>
      </c>
      <c r="Y235" s="131">
        <v>836173.95520463632</v>
      </c>
      <c r="Z235" s="131">
        <f t="shared" si="66"/>
        <v>1252112.9552046363</v>
      </c>
      <c r="AA235" s="131">
        <v>0</v>
      </c>
      <c r="AB235" s="152">
        <f t="shared" si="67"/>
        <v>4784299.7678725142</v>
      </c>
      <c r="AC235" s="133">
        <f>IF(D235="Physician Group Practice",(AB235/$AB$393)*'1. UC Assumptions'!$C$15,IF(E235="Rural Hospital",AB235*'1. UC Assumptions'!$C$7/'1. UC Assumptions'!$E$7,(AB235/$AB$397)*('1. UC Assumptions'!$C$9)))</f>
        <v>4465835.3649443779</v>
      </c>
      <c r="AD235" s="133">
        <f t="shared" si="68"/>
        <v>0</v>
      </c>
      <c r="AE235" s="133">
        <f t="shared" si="69"/>
        <v>318464.40292813629</v>
      </c>
      <c r="AF235" s="133">
        <f t="shared" si="70"/>
        <v>0</v>
      </c>
      <c r="AG235" s="133">
        <f t="shared" si="71"/>
        <v>318464.40292813629</v>
      </c>
      <c r="AH235" s="133">
        <f t="shared" si="72"/>
        <v>4465835.3649443779</v>
      </c>
      <c r="AI235" s="131">
        <f>AH235*'1. UC Assumptions'!$C$23</f>
        <v>1473725.6704316444</v>
      </c>
      <c r="AJ235" s="131">
        <v>2308398.69</v>
      </c>
      <c r="AK235" s="131">
        <f>AJ235*(1-'1. UC Assumptions'!$C$22)</f>
        <v>761771.5676999999</v>
      </c>
      <c r="AL235" s="131"/>
      <c r="AM235" s="131">
        <f>AL235*'1. UC Assumptions'!$C$23</f>
        <v>0</v>
      </c>
      <c r="AN235" s="153">
        <f t="shared" si="73"/>
        <v>4784299.7678725142</v>
      </c>
      <c r="AO235" s="151">
        <f>AN235*'1. UC Assumptions'!$C$23</f>
        <v>1578818.9233979294</v>
      </c>
      <c r="AP235" s="151">
        <f t="shared" si="74"/>
        <v>2475901.0778725143</v>
      </c>
      <c r="AQ235" s="151">
        <f t="shared" si="75"/>
        <v>817047.35569792951</v>
      </c>
      <c r="AR235" s="151">
        <f t="shared" si="76"/>
        <v>817047.35569792951</v>
      </c>
      <c r="AS235" s="151">
        <f t="shared" si="77"/>
        <v>1578818.9233979294</v>
      </c>
      <c r="AT235" s="151">
        <f>IF(K235="Bexar",(AG235/$AT$1)*'1. UC Assumptions'!$E$44-(AH235/$AT$2)*'1. UC Assumptions'!$E$42,0)</f>
        <v>0</v>
      </c>
      <c r="AU235" s="151">
        <f>IF(K235="Dallas",(AG235/$AU$1)*'1. UC Assumptions'!$F$44-(AH235/$AU$2)*'1. UC Assumptions'!$F$42,0)</f>
        <v>0</v>
      </c>
      <c r="AV235" s="151">
        <f>IF(K235="El Paso",(AG235/$AV$1)*'1. UC Assumptions'!$G$44-(AH235/$AV$2)*'1. UC Assumptions'!$G$42,0)</f>
        <v>0</v>
      </c>
      <c r="AW235" s="151">
        <f>IF(K235="Harris",(AG235/$AW$1)*'1. UC Assumptions'!$H$44-(AH235/$AW$2)*'1. UC Assumptions'!$H$42,0)</f>
        <v>0</v>
      </c>
      <c r="AX235" s="151">
        <f>IF(K235="Hidalgo",(AG235/$AX$1)*'1. UC Assumptions'!$I$44-(AH235/$AX$2)*'1. UC Assumptions'!$I$42,0)</f>
        <v>0</v>
      </c>
      <c r="AY235" s="151">
        <f>IF(K235="Jefferson",(AG235/$AY$1)*'1. UC Assumptions'!$J$44-(AH235/$AY$2)*'1. UC Assumptions'!$J$42,0)</f>
        <v>0</v>
      </c>
      <c r="AZ235" s="151">
        <f>IF(K235="Lubbock",(AG235/$AZ$1)*'1. UC Assumptions'!$K$44-(AH235/$AZ$2)*'1. UC Assumptions'!$K$42,0)</f>
        <v>0</v>
      </c>
      <c r="BA235" s="151">
        <f>IF(K235="MRSA Central",(AG235/$BA$1)*'1. UC Assumptions'!$L$44-(AH235/$BA$2)*'1. UC Assumptions'!$L$42,0)</f>
        <v>0</v>
      </c>
      <c r="BB235" s="151">
        <f>IF(K235="MRSA Northeast",(AG235/$BB$1)*'1. UC Assumptions'!$M$44-(AH235/$BB$2)*'1. UC Assumptions'!$M$42,0)</f>
        <v>0</v>
      </c>
      <c r="BC235" s="151">
        <f>IF(K235="MRSA West",(AG235/$BC$1)*'1. UC Assumptions'!$N$44-(AH235/$BC$2)*'1. UC Assumptions'!$N$42,0)</f>
        <v>0</v>
      </c>
      <c r="BD235" s="151">
        <f>IF(K235="Nueces",(AG235/$BD$1)*'1. UC Assumptions'!$O$44-(AH235/$BD$2)*'1. UC Assumptions'!$O$42,0)</f>
        <v>0</v>
      </c>
      <c r="BE235" s="151">
        <f>IF(K235="Tarrant",(AG235/$BE$1)*'1. UC Assumptions'!$P$44-(AH235/$BE$2)*'1. UC Assumptions'!$P$42,0)</f>
        <v>0</v>
      </c>
      <c r="BF235" s="151">
        <f>IF(K235="Travis",(AG235/$BF$1)*'1. UC Assumptions'!$Q$44-(AH235/$BF$2)*'1. UC Assumptions'!$Q$42,0)</f>
        <v>0</v>
      </c>
      <c r="BG235" s="151">
        <f t="shared" si="78"/>
        <v>0</v>
      </c>
      <c r="BH235" s="151">
        <f t="shared" si="79"/>
        <v>4465835.3649443779</v>
      </c>
      <c r="BI235" s="151">
        <f>ROUNDDOWN(BH235*'1. UC Assumptions'!$C$23,2)</f>
        <v>1473725.67</v>
      </c>
      <c r="BJ235" s="154">
        <f t="shared" si="80"/>
        <v>2157436.674944378</v>
      </c>
      <c r="BK235" s="154">
        <f t="shared" si="81"/>
        <v>711954.10230000003</v>
      </c>
      <c r="BL235" s="154">
        <f t="shared" si="82"/>
        <v>1991788.87</v>
      </c>
      <c r="BM235" s="154">
        <f t="shared" si="83"/>
        <v>657290.32999999996</v>
      </c>
      <c r="BN235" s="101"/>
      <c r="BO235" s="154">
        <f>(BL235*'1. UC Assumptions'!$C$23)-'3.  UC Calculations by Hospital'!BM235</f>
        <v>-2.899999963119626E-3</v>
      </c>
      <c r="BP235" s="13"/>
    </row>
    <row r="236" spans="2:68">
      <c r="B236" s="129" t="s">
        <v>787</v>
      </c>
      <c r="C236" s="91" t="s">
        <v>787</v>
      </c>
      <c r="D236" s="91" t="s">
        <v>214</v>
      </c>
      <c r="E236" s="91" t="s">
        <v>209</v>
      </c>
      <c r="F236" s="91"/>
      <c r="G236" s="91" t="s">
        <v>209</v>
      </c>
      <c r="H236" s="91" t="s">
        <v>209</v>
      </c>
      <c r="I236" s="150" t="s">
        <v>210</v>
      </c>
      <c r="J236" s="129" t="s">
        <v>788</v>
      </c>
      <c r="K236" s="91" t="s">
        <v>6</v>
      </c>
      <c r="L236" s="91" t="s">
        <v>384</v>
      </c>
      <c r="M236" s="151">
        <v>774839.72235676425</v>
      </c>
      <c r="N236" s="151">
        <v>16878259.169497613</v>
      </c>
      <c r="O236" s="131">
        <v>0</v>
      </c>
      <c r="P236" s="131">
        <f t="shared" si="63"/>
        <v>16878259.169497613</v>
      </c>
      <c r="Q236" s="131">
        <v>10586013.367545549</v>
      </c>
      <c r="R236" s="131">
        <v>0</v>
      </c>
      <c r="S236" s="131">
        <f t="shared" si="64"/>
        <v>0</v>
      </c>
      <c r="T236" s="131">
        <f t="shared" si="65"/>
        <v>10586013.367545549</v>
      </c>
      <c r="U236" s="131">
        <v>137511</v>
      </c>
      <c r="V236" s="131">
        <v>0</v>
      </c>
      <c r="W236" s="131">
        <v>0</v>
      </c>
      <c r="X236" s="131">
        <v>0</v>
      </c>
      <c r="Y236" s="131">
        <v>0</v>
      </c>
      <c r="Z236" s="131">
        <f t="shared" si="66"/>
        <v>137511</v>
      </c>
      <c r="AA236" s="131">
        <v>0</v>
      </c>
      <c r="AB236" s="152">
        <f t="shared" si="67"/>
        <v>10723524.367545549</v>
      </c>
      <c r="AC236" s="133">
        <f>IF(D236="Physician Group Practice",(AB236/$AB$393)*'1. UC Assumptions'!$C$15,IF(E236="Rural Hospital",AB236*'1. UC Assumptions'!$C$7/'1. UC Assumptions'!$E$7,(AB236/$AB$397)*('1. UC Assumptions'!$C$9)))</f>
        <v>5041617.8698900165</v>
      </c>
      <c r="AD236" s="133">
        <f t="shared" si="68"/>
        <v>0</v>
      </c>
      <c r="AE236" s="133">
        <f t="shared" si="69"/>
        <v>5681906.4976555323</v>
      </c>
      <c r="AF236" s="133">
        <f t="shared" si="70"/>
        <v>0</v>
      </c>
      <c r="AG236" s="133">
        <f t="shared" si="71"/>
        <v>5681906.4976555323</v>
      </c>
      <c r="AH236" s="133">
        <f t="shared" si="72"/>
        <v>5041617.8698900165</v>
      </c>
      <c r="AI236" s="131">
        <f>AH236*'1. UC Assumptions'!$C$23</f>
        <v>1663733.8970637051</v>
      </c>
      <c r="AJ236" s="131">
        <v>4281199.0199999996</v>
      </c>
      <c r="AK236" s="131">
        <f>AJ236*(1-'1. UC Assumptions'!$C$22)</f>
        <v>1412795.6765999997</v>
      </c>
      <c r="AL236" s="131"/>
      <c r="AM236" s="131">
        <f>AL236*'1. UC Assumptions'!$C$23</f>
        <v>0</v>
      </c>
      <c r="AN236" s="153">
        <f t="shared" si="73"/>
        <v>10723524.367545549</v>
      </c>
      <c r="AO236" s="151">
        <f>AN236*'1. UC Assumptions'!$C$23</f>
        <v>3538763.0412900308</v>
      </c>
      <c r="AP236" s="151">
        <f t="shared" si="74"/>
        <v>6442325.3475455493</v>
      </c>
      <c r="AQ236" s="151">
        <f t="shared" si="75"/>
        <v>2125967.3646900309</v>
      </c>
      <c r="AR236" s="151">
        <f t="shared" si="76"/>
        <v>2125967.3646900309</v>
      </c>
      <c r="AS236" s="151">
        <f t="shared" si="77"/>
        <v>3538763.0412900308</v>
      </c>
      <c r="AT236" s="151">
        <f>IF(K236="Bexar",(AG236/$AT$1)*'1. UC Assumptions'!$E$44-(AH236/$AT$2)*'1. UC Assumptions'!$E$42,0)</f>
        <v>0</v>
      </c>
      <c r="AU236" s="151">
        <f>IF(K236="Dallas",(AG236/$AU$1)*'1. UC Assumptions'!$F$44-(AH236/$AU$2)*'1. UC Assumptions'!$F$42,0)</f>
        <v>0</v>
      </c>
      <c r="AV236" s="151">
        <f>IF(K236="El Paso",(AG236/$AV$1)*'1. UC Assumptions'!$G$44-(AH236/$AV$2)*'1. UC Assumptions'!$G$42,0)</f>
        <v>0</v>
      </c>
      <c r="AW236" s="151">
        <f>IF(K236="Harris",(AG236/$AW$1)*'1. UC Assumptions'!$H$44-(AH236/$AW$2)*'1. UC Assumptions'!$H$42,0)</f>
        <v>0</v>
      </c>
      <c r="AX236" s="151">
        <f>IF(K236="Hidalgo",(AG236/$AX$1)*'1. UC Assumptions'!$I$44-(AH236/$AX$2)*'1. UC Assumptions'!$I$42,0)</f>
        <v>0</v>
      </c>
      <c r="AY236" s="151">
        <f>IF(K236="Jefferson",(AG236/$AY$1)*'1. UC Assumptions'!$J$44-(AH236/$AY$2)*'1. UC Assumptions'!$J$42,0)</f>
        <v>0</v>
      </c>
      <c r="AZ236" s="151">
        <f>IF(K236="Lubbock",(AG236/$AZ$1)*'1. UC Assumptions'!$K$44-(AH236/$AZ$2)*'1. UC Assumptions'!$K$42,0)</f>
        <v>0</v>
      </c>
      <c r="BA236" s="151">
        <f>IF(K236="MRSA Central",(AG236/$BA$1)*'1. UC Assumptions'!$L$44-(AH236/$BA$2)*'1. UC Assumptions'!$L$42,0)</f>
        <v>0</v>
      </c>
      <c r="BB236" s="151">
        <f>IF(K236="MRSA Northeast",(AG236/$BB$1)*'1. UC Assumptions'!$M$44-(AH236/$BB$2)*'1. UC Assumptions'!$M$42,0)</f>
        <v>0</v>
      </c>
      <c r="BC236" s="151">
        <f>IF(K236="MRSA West",(AG236/$BC$1)*'1. UC Assumptions'!$N$44-(AH236/$BC$2)*'1. UC Assumptions'!$N$42,0)</f>
        <v>0</v>
      </c>
      <c r="BD236" s="151">
        <f>IF(K236="Nueces",(AG236/$BD$1)*'1. UC Assumptions'!$O$44-(AH236/$BD$2)*'1. UC Assumptions'!$O$42,0)</f>
        <v>0</v>
      </c>
      <c r="BE236" s="151">
        <f>IF(K236="Tarrant",(AG236/$BE$1)*'1. UC Assumptions'!$P$44-(AH236/$BE$2)*'1. UC Assumptions'!$P$42,0)</f>
        <v>0</v>
      </c>
      <c r="BF236" s="151">
        <f>IF(K236="Travis",(AG236/$BF$1)*'1. UC Assumptions'!$Q$44-(AH236/$BF$2)*'1. UC Assumptions'!$Q$42,0)</f>
        <v>0</v>
      </c>
      <c r="BG236" s="151">
        <f t="shared" si="78"/>
        <v>0</v>
      </c>
      <c r="BH236" s="151">
        <f t="shared" si="79"/>
        <v>5041617.8698900165</v>
      </c>
      <c r="BI236" s="151">
        <f>ROUNDDOWN(BH236*'1. UC Assumptions'!$C$23,2)</f>
        <v>1663733.89</v>
      </c>
      <c r="BJ236" s="154">
        <f t="shared" si="80"/>
        <v>760418.84989001695</v>
      </c>
      <c r="BK236" s="154">
        <f t="shared" si="81"/>
        <v>250938.21340000024</v>
      </c>
      <c r="BL236" s="154">
        <f t="shared" si="82"/>
        <v>702033.96</v>
      </c>
      <c r="BM236" s="154">
        <f t="shared" si="83"/>
        <v>231671.2</v>
      </c>
      <c r="BN236" s="101"/>
      <c r="BO236" s="154">
        <f>(BL236*'1. UC Assumptions'!$C$23)-'3.  UC Calculations by Hospital'!BM236</f>
        <v>6.7999999446328729E-3</v>
      </c>
      <c r="BP236" s="13"/>
    </row>
    <row r="237" spans="2:68">
      <c r="B237" s="129" t="s">
        <v>789</v>
      </c>
      <c r="C237" s="91" t="s">
        <v>789</v>
      </c>
      <c r="D237" s="91" t="s">
        <v>214</v>
      </c>
      <c r="E237" s="91" t="s">
        <v>209</v>
      </c>
      <c r="F237" s="91"/>
      <c r="G237" s="91" t="s">
        <v>209</v>
      </c>
      <c r="H237" s="91" t="s">
        <v>209</v>
      </c>
      <c r="I237" s="150" t="s">
        <v>210</v>
      </c>
      <c r="J237" s="129" t="s">
        <v>790</v>
      </c>
      <c r="K237" s="91" t="s">
        <v>6</v>
      </c>
      <c r="L237" s="91" t="s">
        <v>384</v>
      </c>
      <c r="M237" s="151">
        <v>2008976.3701233247</v>
      </c>
      <c r="N237" s="151">
        <v>25259624.533168558</v>
      </c>
      <c r="O237" s="131">
        <v>0</v>
      </c>
      <c r="P237" s="131">
        <f t="shared" si="63"/>
        <v>25259624.533168558</v>
      </c>
      <c r="Q237" s="131">
        <v>17442569.49690282</v>
      </c>
      <c r="R237" s="131">
        <v>0</v>
      </c>
      <c r="S237" s="131">
        <f t="shared" si="64"/>
        <v>0</v>
      </c>
      <c r="T237" s="131">
        <f t="shared" si="65"/>
        <v>17442569.49690282</v>
      </c>
      <c r="U237" s="131">
        <v>118884</v>
      </c>
      <c r="V237" s="131">
        <v>0</v>
      </c>
      <c r="W237" s="131">
        <v>0</v>
      </c>
      <c r="X237" s="131">
        <v>0</v>
      </c>
      <c r="Y237" s="131">
        <v>0</v>
      </c>
      <c r="Z237" s="131">
        <f t="shared" si="66"/>
        <v>118884</v>
      </c>
      <c r="AA237" s="131">
        <v>0</v>
      </c>
      <c r="AB237" s="152">
        <f t="shared" si="67"/>
        <v>17561453.49690282</v>
      </c>
      <c r="AC237" s="133">
        <f>IF(D237="Physician Group Practice",(AB237/$AB$393)*'1. UC Assumptions'!$C$15,IF(E237="Rural Hospital",AB237*'1. UC Assumptions'!$C$7/'1. UC Assumptions'!$E$7,(AB237/$AB$397)*('1. UC Assumptions'!$C$9)))</f>
        <v>8256440.2090777177</v>
      </c>
      <c r="AD237" s="133">
        <f t="shared" si="68"/>
        <v>0</v>
      </c>
      <c r="AE237" s="133">
        <f t="shared" si="69"/>
        <v>9305013.287825102</v>
      </c>
      <c r="AF237" s="133">
        <f t="shared" si="70"/>
        <v>0</v>
      </c>
      <c r="AG237" s="133">
        <f t="shared" si="71"/>
        <v>9305013.287825102</v>
      </c>
      <c r="AH237" s="133">
        <f t="shared" si="72"/>
        <v>8256440.2090777177</v>
      </c>
      <c r="AI237" s="131">
        <f>AH237*'1. UC Assumptions'!$C$23</f>
        <v>2724625.2689956464</v>
      </c>
      <c r="AJ237" s="131">
        <v>7003462.04</v>
      </c>
      <c r="AK237" s="131">
        <f>AJ237*(1-'1. UC Assumptions'!$C$22)</f>
        <v>2311142.4731999999</v>
      </c>
      <c r="AL237" s="131"/>
      <c r="AM237" s="131">
        <f>AL237*'1. UC Assumptions'!$C$23</f>
        <v>0</v>
      </c>
      <c r="AN237" s="153">
        <f t="shared" si="73"/>
        <v>17561453.49690282</v>
      </c>
      <c r="AO237" s="151">
        <f>AN237*'1. UC Assumptions'!$C$23</f>
        <v>5795279.6539779296</v>
      </c>
      <c r="AP237" s="151">
        <f t="shared" si="74"/>
        <v>10557991.456902821</v>
      </c>
      <c r="AQ237" s="151">
        <f t="shared" si="75"/>
        <v>3484137.1807779297</v>
      </c>
      <c r="AR237" s="151">
        <f t="shared" si="76"/>
        <v>3484137.1807779297</v>
      </c>
      <c r="AS237" s="151">
        <f t="shared" si="77"/>
        <v>5795279.6539779296</v>
      </c>
      <c r="AT237" s="151">
        <f>IF(K237="Bexar",(AG237/$AT$1)*'1. UC Assumptions'!$E$44-(AH237/$AT$2)*'1. UC Assumptions'!$E$42,0)</f>
        <v>0</v>
      </c>
      <c r="AU237" s="151">
        <f>IF(K237="Dallas",(AG237/$AU$1)*'1. UC Assumptions'!$F$44-(AH237/$AU$2)*'1. UC Assumptions'!$F$42,0)</f>
        <v>0</v>
      </c>
      <c r="AV237" s="151">
        <f>IF(K237="El Paso",(AG237/$AV$1)*'1. UC Assumptions'!$G$44-(AH237/$AV$2)*'1. UC Assumptions'!$G$42,0)</f>
        <v>0</v>
      </c>
      <c r="AW237" s="151">
        <f>IF(K237="Harris",(AG237/$AW$1)*'1. UC Assumptions'!$H$44-(AH237/$AW$2)*'1. UC Assumptions'!$H$42,0)</f>
        <v>0</v>
      </c>
      <c r="AX237" s="151">
        <f>IF(K237="Hidalgo",(AG237/$AX$1)*'1. UC Assumptions'!$I$44-(AH237/$AX$2)*'1. UC Assumptions'!$I$42,0)</f>
        <v>0</v>
      </c>
      <c r="AY237" s="151">
        <f>IF(K237="Jefferson",(AG237/$AY$1)*'1. UC Assumptions'!$J$44-(AH237/$AY$2)*'1. UC Assumptions'!$J$42,0)</f>
        <v>0</v>
      </c>
      <c r="AZ237" s="151">
        <f>IF(K237="Lubbock",(AG237/$AZ$1)*'1. UC Assumptions'!$K$44-(AH237/$AZ$2)*'1. UC Assumptions'!$K$42,0)</f>
        <v>0</v>
      </c>
      <c r="BA237" s="151">
        <f>IF(K237="MRSA Central",(AG237/$BA$1)*'1. UC Assumptions'!$L$44-(AH237/$BA$2)*'1. UC Assumptions'!$L$42,0)</f>
        <v>0</v>
      </c>
      <c r="BB237" s="151">
        <f>IF(K237="MRSA Northeast",(AG237/$BB$1)*'1. UC Assumptions'!$M$44-(AH237/$BB$2)*'1. UC Assumptions'!$M$42,0)</f>
        <v>0</v>
      </c>
      <c r="BC237" s="151">
        <f>IF(K237="MRSA West",(AG237/$BC$1)*'1. UC Assumptions'!$N$44-(AH237/$BC$2)*'1. UC Assumptions'!$N$42,0)</f>
        <v>0</v>
      </c>
      <c r="BD237" s="151">
        <f>IF(K237="Nueces",(AG237/$BD$1)*'1. UC Assumptions'!$O$44-(AH237/$BD$2)*'1. UC Assumptions'!$O$42,0)</f>
        <v>0</v>
      </c>
      <c r="BE237" s="151">
        <f>IF(K237="Tarrant",(AG237/$BE$1)*'1. UC Assumptions'!$P$44-(AH237/$BE$2)*'1. UC Assumptions'!$P$42,0)</f>
        <v>0</v>
      </c>
      <c r="BF237" s="151">
        <f>IF(K237="Travis",(AG237/$BF$1)*'1. UC Assumptions'!$Q$44-(AH237/$BF$2)*'1. UC Assumptions'!$Q$42,0)</f>
        <v>0</v>
      </c>
      <c r="BG237" s="151">
        <f t="shared" si="78"/>
        <v>0</v>
      </c>
      <c r="BH237" s="151">
        <f t="shared" si="79"/>
        <v>8256440.2090777177</v>
      </c>
      <c r="BI237" s="151">
        <f>ROUNDDOWN(BH237*'1. UC Assumptions'!$C$23,2)</f>
        <v>2724625.26</v>
      </c>
      <c r="BJ237" s="154">
        <f t="shared" si="80"/>
        <v>1252978.1690777177</v>
      </c>
      <c r="BK237" s="154">
        <f t="shared" si="81"/>
        <v>413482.78679999989</v>
      </c>
      <c r="BL237" s="154">
        <f t="shared" si="82"/>
        <v>1156774.6100000001</v>
      </c>
      <c r="BM237" s="154">
        <f t="shared" si="83"/>
        <v>381735.61</v>
      </c>
      <c r="BN237" s="101"/>
      <c r="BO237" s="154">
        <f>(BL237*'1. UC Assumptions'!$C$23)-'3.  UC Calculations by Hospital'!BM237</f>
        <v>1.1300000012852252E-2</v>
      </c>
      <c r="BP237" s="13"/>
    </row>
    <row r="238" spans="2:68">
      <c r="B238" s="129" t="s">
        <v>791</v>
      </c>
      <c r="C238" s="91" t="s">
        <v>791</v>
      </c>
      <c r="D238" s="91" t="s">
        <v>214</v>
      </c>
      <c r="E238" s="91" t="s">
        <v>149</v>
      </c>
      <c r="F238" s="91"/>
      <c r="G238" s="91" t="s">
        <v>209</v>
      </c>
      <c r="H238" s="91" t="s">
        <v>209</v>
      </c>
      <c r="I238" s="150" t="s">
        <v>210</v>
      </c>
      <c r="J238" s="129" t="s">
        <v>552</v>
      </c>
      <c r="K238" s="91" t="s">
        <v>10</v>
      </c>
      <c r="L238" s="91" t="s">
        <v>792</v>
      </c>
      <c r="M238" s="151">
        <v>383486.99820103677</v>
      </c>
      <c r="N238" s="151">
        <v>0</v>
      </c>
      <c r="O238" s="131">
        <v>0</v>
      </c>
      <c r="P238" s="131">
        <f t="shared" si="63"/>
        <v>0</v>
      </c>
      <c r="Q238" s="131">
        <v>1775484.2902361599</v>
      </c>
      <c r="R238" s="131">
        <v>0</v>
      </c>
      <c r="S238" s="131">
        <f t="shared" si="64"/>
        <v>0</v>
      </c>
      <c r="T238" s="131">
        <f t="shared" si="65"/>
        <v>1775484.2902361599</v>
      </c>
      <c r="U238" s="131">
        <v>0</v>
      </c>
      <c r="V238" s="131">
        <v>0</v>
      </c>
      <c r="W238" s="131">
        <v>0</v>
      </c>
      <c r="X238" s="131">
        <v>0</v>
      </c>
      <c r="Y238" s="131">
        <v>0</v>
      </c>
      <c r="Z238" s="131">
        <f t="shared" si="66"/>
        <v>0</v>
      </c>
      <c r="AA238" s="131">
        <v>0</v>
      </c>
      <c r="AB238" s="152">
        <f t="shared" si="67"/>
        <v>1775484.2902361599</v>
      </c>
      <c r="AC238" s="133">
        <f>IF(D238="Physician Group Practice",(AB238/$AB$393)*'1. UC Assumptions'!$C$15,IF(E238="Rural Hospital",AB238*'1. UC Assumptions'!$C$7/'1. UC Assumptions'!$E$7,(AB238/$AB$397)*('1. UC Assumptions'!$C$9)))</f>
        <v>1657300.1103494177</v>
      </c>
      <c r="AD238" s="133">
        <f t="shared" si="68"/>
        <v>0</v>
      </c>
      <c r="AE238" s="133">
        <f t="shared" si="69"/>
        <v>118184.17988674226</v>
      </c>
      <c r="AF238" s="133">
        <f t="shared" si="70"/>
        <v>0</v>
      </c>
      <c r="AG238" s="133">
        <f t="shared" si="71"/>
        <v>118184.17988674226</v>
      </c>
      <c r="AH238" s="133">
        <f t="shared" si="72"/>
        <v>1657300.1103494177</v>
      </c>
      <c r="AI238" s="131">
        <f>AH238*'1. UC Assumptions'!$C$23</f>
        <v>546909.03641530778</v>
      </c>
      <c r="AJ238" s="131">
        <v>714463.37</v>
      </c>
      <c r="AK238" s="131">
        <f>AJ238*(1-'1. UC Assumptions'!$C$22)</f>
        <v>235772.91209999996</v>
      </c>
      <c r="AL238" s="131"/>
      <c r="AM238" s="131">
        <f>AL238*'1. UC Assumptions'!$C$23</f>
        <v>0</v>
      </c>
      <c r="AN238" s="153">
        <f t="shared" si="73"/>
        <v>1775484.2902361599</v>
      </c>
      <c r="AO238" s="151">
        <f>AN238*'1. UC Assumptions'!$C$23</f>
        <v>585909.81577793276</v>
      </c>
      <c r="AP238" s="151">
        <f t="shared" si="74"/>
        <v>1061020.92023616</v>
      </c>
      <c r="AQ238" s="151">
        <f t="shared" si="75"/>
        <v>350136.9036779328</v>
      </c>
      <c r="AR238" s="151">
        <f t="shared" si="76"/>
        <v>350136.9036779328</v>
      </c>
      <c r="AS238" s="151">
        <f t="shared" si="77"/>
        <v>585909.81577793276</v>
      </c>
      <c r="AT238" s="151">
        <f>IF(K238="Bexar",(AG238/$AT$1)*'1. UC Assumptions'!$E$44-(AH238/$AT$2)*'1. UC Assumptions'!$E$42,0)</f>
        <v>0</v>
      </c>
      <c r="AU238" s="151">
        <f>IF(K238="Dallas",(AG238/$AU$1)*'1. UC Assumptions'!$F$44-(AH238/$AU$2)*'1. UC Assumptions'!$F$42,0)</f>
        <v>0</v>
      </c>
      <c r="AV238" s="151">
        <f>IF(K238="El Paso",(AG238/$AV$1)*'1. UC Assumptions'!$G$44-(AH238/$AV$2)*'1. UC Assumptions'!$G$42,0)</f>
        <v>0</v>
      </c>
      <c r="AW238" s="151">
        <f>IF(K238="Harris",(AG238/$AW$1)*'1. UC Assumptions'!$H$44-(AH238/$AW$2)*'1. UC Assumptions'!$H$42,0)</f>
        <v>0</v>
      </c>
      <c r="AX238" s="151">
        <f>IF(K238="Hidalgo",(AG238/$AX$1)*'1. UC Assumptions'!$I$44-(AH238/$AX$2)*'1. UC Assumptions'!$I$42,0)</f>
        <v>0</v>
      </c>
      <c r="AY238" s="151">
        <f>IF(K238="Jefferson",(AG238/$AY$1)*'1. UC Assumptions'!$J$44-(AH238/$AY$2)*'1. UC Assumptions'!$J$42,0)</f>
        <v>0</v>
      </c>
      <c r="AZ238" s="151">
        <f>IF(K238="Lubbock",(AG238/$AZ$1)*'1. UC Assumptions'!$K$44-(AH238/$AZ$2)*'1. UC Assumptions'!$K$42,0)</f>
        <v>0</v>
      </c>
      <c r="BA238" s="151">
        <f>IF(K238="MRSA Central",(AG238/$BA$1)*'1. UC Assumptions'!$L$44-(AH238/$BA$2)*'1. UC Assumptions'!$L$42,0)</f>
        <v>0</v>
      </c>
      <c r="BB238" s="151">
        <f>IF(K238="MRSA Northeast",(AG238/$BB$1)*'1. UC Assumptions'!$M$44-(AH238/$BB$2)*'1. UC Assumptions'!$M$42,0)</f>
        <v>0</v>
      </c>
      <c r="BC238" s="151">
        <f>IF(K238="MRSA West",(AG238/$BC$1)*'1. UC Assumptions'!$N$44-(AH238/$BC$2)*'1. UC Assumptions'!$N$42,0)</f>
        <v>0</v>
      </c>
      <c r="BD238" s="151">
        <f>IF(K238="Nueces",(AG238/$BD$1)*'1. UC Assumptions'!$O$44-(AH238/$BD$2)*'1. UC Assumptions'!$O$42,0)</f>
        <v>0</v>
      </c>
      <c r="BE238" s="151">
        <f>IF(K238="Tarrant",(AG238/$BE$1)*'1. UC Assumptions'!$P$44-(AH238/$BE$2)*'1. UC Assumptions'!$P$42,0)</f>
        <v>0</v>
      </c>
      <c r="BF238" s="151">
        <f>IF(K238="Travis",(AG238/$BF$1)*'1. UC Assumptions'!$Q$44-(AH238/$BF$2)*'1. UC Assumptions'!$Q$42,0)</f>
        <v>0</v>
      </c>
      <c r="BG238" s="151">
        <f t="shared" si="78"/>
        <v>0</v>
      </c>
      <c r="BH238" s="151">
        <f t="shared" si="79"/>
        <v>1657300.1103494177</v>
      </c>
      <c r="BI238" s="151">
        <f>ROUNDDOWN(BH238*'1. UC Assumptions'!$C$23,2)</f>
        <v>546909.03</v>
      </c>
      <c r="BJ238" s="154">
        <f t="shared" si="80"/>
        <v>942836.74034941767</v>
      </c>
      <c r="BK238" s="154">
        <f t="shared" si="81"/>
        <v>311136.11790000007</v>
      </c>
      <c r="BL238" s="154">
        <f t="shared" si="82"/>
        <v>870445.82</v>
      </c>
      <c r="BM238" s="154">
        <f t="shared" si="83"/>
        <v>287247.11</v>
      </c>
      <c r="BN238" s="101"/>
      <c r="BO238" s="154">
        <f>(BL238*'1. UC Assumptions'!$C$23)-'3.  UC Calculations by Hospital'!BM238</f>
        <v>1.0599999979604036E-2</v>
      </c>
      <c r="BP238" s="13"/>
    </row>
    <row r="239" spans="2:68">
      <c r="B239" s="129" t="s">
        <v>793</v>
      </c>
      <c r="C239" s="91" t="s">
        <v>793</v>
      </c>
      <c r="D239" s="91" t="s">
        <v>214</v>
      </c>
      <c r="E239" s="91" t="s">
        <v>149</v>
      </c>
      <c r="F239" s="91"/>
      <c r="G239" s="91" t="s">
        <v>209</v>
      </c>
      <c r="H239" s="91" t="s">
        <v>209</v>
      </c>
      <c r="I239" s="150" t="s">
        <v>210</v>
      </c>
      <c r="J239" s="129" t="s">
        <v>794</v>
      </c>
      <c r="K239" s="91" t="s">
        <v>8</v>
      </c>
      <c r="L239" s="91" t="s">
        <v>278</v>
      </c>
      <c r="M239" s="151">
        <v>694525.75208235509</v>
      </c>
      <c r="N239" s="151">
        <v>0</v>
      </c>
      <c r="O239" s="131">
        <v>0</v>
      </c>
      <c r="P239" s="131">
        <f t="shared" si="63"/>
        <v>0</v>
      </c>
      <c r="Q239" s="131">
        <v>259404.3957064448</v>
      </c>
      <c r="R239" s="131">
        <v>0</v>
      </c>
      <c r="S239" s="131">
        <f t="shared" si="64"/>
        <v>0</v>
      </c>
      <c r="T239" s="131">
        <f t="shared" si="65"/>
        <v>259404.3957064448</v>
      </c>
      <c r="U239" s="131">
        <v>0</v>
      </c>
      <c r="V239" s="131">
        <v>0</v>
      </c>
      <c r="W239" s="131">
        <v>0</v>
      </c>
      <c r="X239" s="131">
        <v>0</v>
      </c>
      <c r="Y239" s="131">
        <v>0</v>
      </c>
      <c r="Z239" s="131">
        <f t="shared" si="66"/>
        <v>0</v>
      </c>
      <c r="AA239" s="131">
        <v>0</v>
      </c>
      <c r="AB239" s="152">
        <f t="shared" si="67"/>
        <v>259404.3957064448</v>
      </c>
      <c r="AC239" s="133">
        <f>IF(D239="Physician Group Practice",(AB239/$AB$393)*'1. UC Assumptions'!$C$15,IF(E239="Rural Hospital",AB239*'1. UC Assumptions'!$C$7/'1. UC Assumptions'!$E$7,(AB239/$AB$397)*('1. UC Assumptions'!$C$9)))</f>
        <v>242137.27825901064</v>
      </c>
      <c r="AD239" s="133">
        <f t="shared" si="68"/>
        <v>0</v>
      </c>
      <c r="AE239" s="133">
        <f t="shared" si="69"/>
        <v>17267.117447434168</v>
      </c>
      <c r="AF239" s="133">
        <f t="shared" si="70"/>
        <v>0</v>
      </c>
      <c r="AG239" s="133">
        <f t="shared" si="71"/>
        <v>17267.117447434168</v>
      </c>
      <c r="AH239" s="133">
        <f t="shared" si="72"/>
        <v>242137.27825901064</v>
      </c>
      <c r="AI239" s="131">
        <f>AH239*'1. UC Assumptions'!$C$23</f>
        <v>79905.301825473507</v>
      </c>
      <c r="AJ239" s="131">
        <v>97829.66</v>
      </c>
      <c r="AK239" s="131">
        <f>AJ239*(1-'1. UC Assumptions'!$C$22)</f>
        <v>32283.787799999998</v>
      </c>
      <c r="AL239" s="131"/>
      <c r="AM239" s="131">
        <f>AL239*'1. UC Assumptions'!$C$23</f>
        <v>0</v>
      </c>
      <c r="AN239" s="153">
        <f t="shared" si="73"/>
        <v>259404.3957064448</v>
      </c>
      <c r="AO239" s="151">
        <f>AN239*'1. UC Assumptions'!$C$23</f>
        <v>85603.450583126774</v>
      </c>
      <c r="AP239" s="151">
        <f t="shared" si="74"/>
        <v>161574.7357064448</v>
      </c>
      <c r="AQ239" s="151">
        <f t="shared" si="75"/>
        <v>53319.662783126776</v>
      </c>
      <c r="AR239" s="151">
        <f t="shared" si="76"/>
        <v>53319.662783126776</v>
      </c>
      <c r="AS239" s="151">
        <f t="shared" si="77"/>
        <v>85603.450583126774</v>
      </c>
      <c r="AT239" s="151">
        <f>IF(K239="Bexar",(AG239/$AT$1)*'1. UC Assumptions'!$E$44-(AH239/$AT$2)*'1. UC Assumptions'!$E$42,0)</f>
        <v>0</v>
      </c>
      <c r="AU239" s="151">
        <f>IF(K239="Dallas",(AG239/$AU$1)*'1. UC Assumptions'!$F$44-(AH239/$AU$2)*'1. UC Assumptions'!$F$42,0)</f>
        <v>0</v>
      </c>
      <c r="AV239" s="151">
        <f>IF(K239="El Paso",(AG239/$AV$1)*'1. UC Assumptions'!$G$44-(AH239/$AV$2)*'1. UC Assumptions'!$G$42,0)</f>
        <v>0</v>
      </c>
      <c r="AW239" s="151">
        <f>IF(K239="Harris",(AG239/$AW$1)*'1. UC Assumptions'!$H$44-(AH239/$AW$2)*'1. UC Assumptions'!$H$42,0)</f>
        <v>0</v>
      </c>
      <c r="AX239" s="151">
        <f>IF(K239="Hidalgo",(AG239/$AX$1)*'1. UC Assumptions'!$I$44-(AH239/$AX$2)*'1. UC Assumptions'!$I$42,0)</f>
        <v>0</v>
      </c>
      <c r="AY239" s="151">
        <f>IF(K239="Jefferson",(AG239/$AY$1)*'1. UC Assumptions'!$J$44-(AH239/$AY$2)*'1. UC Assumptions'!$J$42,0)</f>
        <v>0</v>
      </c>
      <c r="AZ239" s="151">
        <f>IF(K239="Lubbock",(AG239/$AZ$1)*'1. UC Assumptions'!$K$44-(AH239/$AZ$2)*'1. UC Assumptions'!$K$42,0)</f>
        <v>0</v>
      </c>
      <c r="BA239" s="151">
        <f>IF(K239="MRSA Central",(AG239/$BA$1)*'1. UC Assumptions'!$L$44-(AH239/$BA$2)*'1. UC Assumptions'!$L$42,0)</f>
        <v>0</v>
      </c>
      <c r="BB239" s="151">
        <f>IF(K239="MRSA Northeast",(AG239/$BB$1)*'1. UC Assumptions'!$M$44-(AH239/$BB$2)*'1. UC Assumptions'!$M$42,0)</f>
        <v>0</v>
      </c>
      <c r="BC239" s="151">
        <f>IF(K239="MRSA West",(AG239/$BC$1)*'1. UC Assumptions'!$N$44-(AH239/$BC$2)*'1. UC Assumptions'!$N$42,0)</f>
        <v>0</v>
      </c>
      <c r="BD239" s="151">
        <f>IF(K239="Nueces",(AG239/$BD$1)*'1. UC Assumptions'!$O$44-(AH239/$BD$2)*'1. UC Assumptions'!$O$42,0)</f>
        <v>0</v>
      </c>
      <c r="BE239" s="151">
        <f>IF(K239="Tarrant",(AG239/$BE$1)*'1. UC Assumptions'!$P$44-(AH239/$BE$2)*'1. UC Assumptions'!$P$42,0)</f>
        <v>0</v>
      </c>
      <c r="BF239" s="151">
        <f>IF(K239="Travis",(AG239/$BF$1)*'1. UC Assumptions'!$Q$44-(AH239/$BF$2)*'1. UC Assumptions'!$Q$42,0)</f>
        <v>0</v>
      </c>
      <c r="BG239" s="151">
        <f t="shared" si="78"/>
        <v>0</v>
      </c>
      <c r="BH239" s="151">
        <f t="shared" si="79"/>
        <v>242137.27825901064</v>
      </c>
      <c r="BI239" s="151">
        <f>ROUNDDOWN(BH239*'1. UC Assumptions'!$C$23,2)</f>
        <v>79905.3</v>
      </c>
      <c r="BJ239" s="154">
        <f t="shared" si="80"/>
        <v>144307.61825901063</v>
      </c>
      <c r="BK239" s="154">
        <f t="shared" si="81"/>
        <v>47621.512200000005</v>
      </c>
      <c r="BL239" s="154">
        <f t="shared" si="82"/>
        <v>133227.69</v>
      </c>
      <c r="BM239" s="154">
        <f t="shared" si="83"/>
        <v>43965.14</v>
      </c>
      <c r="BN239" s="101"/>
      <c r="BO239" s="154">
        <f>(BL239*'1. UC Assumptions'!$C$23)-'3.  UC Calculations by Hospital'!BM239</f>
        <v>-2.3000000073807314E-3</v>
      </c>
      <c r="BP239" s="13"/>
    </row>
    <row r="240" spans="2:68">
      <c r="B240" s="129" t="s">
        <v>795</v>
      </c>
      <c r="C240" s="91" t="s">
        <v>795</v>
      </c>
      <c r="D240" s="91" t="s">
        <v>214</v>
      </c>
      <c r="E240" s="91" t="s">
        <v>149</v>
      </c>
      <c r="F240" s="91"/>
      <c r="G240" s="91" t="s">
        <v>209</v>
      </c>
      <c r="H240" s="91" t="s">
        <v>209</v>
      </c>
      <c r="I240" s="150" t="s">
        <v>210</v>
      </c>
      <c r="J240" s="129" t="s">
        <v>796</v>
      </c>
      <c r="K240" s="91" t="s">
        <v>10</v>
      </c>
      <c r="L240" s="91" t="s">
        <v>797</v>
      </c>
      <c r="M240" s="151">
        <v>410565.41329771513</v>
      </c>
      <c r="N240" s="151">
        <v>411202.56012396252</v>
      </c>
      <c r="O240" s="131">
        <v>1066699.7905691904</v>
      </c>
      <c r="P240" s="131">
        <f t="shared" si="63"/>
        <v>0</v>
      </c>
      <c r="Q240" s="131">
        <v>1244821.485704832</v>
      </c>
      <c r="R240" s="131">
        <v>0</v>
      </c>
      <c r="S240" s="131">
        <f t="shared" si="64"/>
        <v>0</v>
      </c>
      <c r="T240" s="131">
        <f t="shared" si="65"/>
        <v>1244821.485704832</v>
      </c>
      <c r="U240" s="131">
        <v>11061</v>
      </c>
      <c r="V240" s="131">
        <v>0</v>
      </c>
      <c r="W240" s="131">
        <v>0</v>
      </c>
      <c r="X240" s="131">
        <v>0</v>
      </c>
      <c r="Y240" s="131">
        <v>0</v>
      </c>
      <c r="Z240" s="131">
        <f t="shared" si="66"/>
        <v>11061</v>
      </c>
      <c r="AA240" s="131">
        <v>0</v>
      </c>
      <c r="AB240" s="152">
        <f t="shared" si="67"/>
        <v>1255882.485704832</v>
      </c>
      <c r="AC240" s="133">
        <f>IF(D240="Physician Group Practice",(AB240/$AB$393)*'1. UC Assumptions'!$C$15,IF(E240="Rural Hospital",AB240*'1. UC Assumptions'!$C$7/'1. UC Assumptions'!$E$7,(AB240/$AB$397)*('1. UC Assumptions'!$C$9)))</f>
        <v>1172285.3272149609</v>
      </c>
      <c r="AD240" s="133">
        <f t="shared" si="68"/>
        <v>0</v>
      </c>
      <c r="AE240" s="133">
        <f t="shared" si="69"/>
        <v>83597.158489871072</v>
      </c>
      <c r="AF240" s="133">
        <f t="shared" si="70"/>
        <v>0</v>
      </c>
      <c r="AG240" s="133">
        <f t="shared" si="71"/>
        <v>83597.158489871072</v>
      </c>
      <c r="AH240" s="133">
        <f t="shared" si="72"/>
        <v>1172285.3272149609</v>
      </c>
      <c r="AI240" s="131">
        <f>AH240*'1. UC Assumptions'!$C$23</f>
        <v>386854.15798093705</v>
      </c>
      <c r="AJ240" s="131">
        <v>803088.17</v>
      </c>
      <c r="AK240" s="131">
        <f>AJ240*(1-'1. UC Assumptions'!$C$22)</f>
        <v>265019.09609999997</v>
      </c>
      <c r="AL240" s="131"/>
      <c r="AM240" s="131">
        <f>AL240*'1. UC Assumptions'!$C$23</f>
        <v>0</v>
      </c>
      <c r="AN240" s="153">
        <f t="shared" si="73"/>
        <v>1255882.485704832</v>
      </c>
      <c r="AO240" s="151">
        <f>AN240*'1. UC Assumptions'!$C$23</f>
        <v>414441.2202825945</v>
      </c>
      <c r="AP240" s="151">
        <f t="shared" si="74"/>
        <v>452794.31570483197</v>
      </c>
      <c r="AQ240" s="151">
        <f t="shared" si="75"/>
        <v>149422.12418259453</v>
      </c>
      <c r="AR240" s="151">
        <f t="shared" si="76"/>
        <v>149422.12418259453</v>
      </c>
      <c r="AS240" s="151">
        <f t="shared" si="77"/>
        <v>414441.2202825945</v>
      </c>
      <c r="AT240" s="151">
        <f>IF(K240="Bexar",(AG240/$AT$1)*'1. UC Assumptions'!$E$44-(AH240/$AT$2)*'1. UC Assumptions'!$E$42,0)</f>
        <v>0</v>
      </c>
      <c r="AU240" s="151">
        <f>IF(K240="Dallas",(AG240/$AU$1)*'1. UC Assumptions'!$F$44-(AH240/$AU$2)*'1. UC Assumptions'!$F$42,0)</f>
        <v>0</v>
      </c>
      <c r="AV240" s="151">
        <f>IF(K240="El Paso",(AG240/$AV$1)*'1. UC Assumptions'!$G$44-(AH240/$AV$2)*'1. UC Assumptions'!$G$42,0)</f>
        <v>0</v>
      </c>
      <c r="AW240" s="151">
        <f>IF(K240="Harris",(AG240/$AW$1)*'1. UC Assumptions'!$H$44-(AH240/$AW$2)*'1. UC Assumptions'!$H$42,0)</f>
        <v>0</v>
      </c>
      <c r="AX240" s="151">
        <f>IF(K240="Hidalgo",(AG240/$AX$1)*'1. UC Assumptions'!$I$44-(AH240/$AX$2)*'1. UC Assumptions'!$I$42,0)</f>
        <v>0</v>
      </c>
      <c r="AY240" s="151">
        <f>IF(K240="Jefferson",(AG240/$AY$1)*'1. UC Assumptions'!$J$44-(AH240/$AY$2)*'1. UC Assumptions'!$J$42,0)</f>
        <v>0</v>
      </c>
      <c r="AZ240" s="151">
        <f>IF(K240="Lubbock",(AG240/$AZ$1)*'1. UC Assumptions'!$K$44-(AH240/$AZ$2)*'1. UC Assumptions'!$K$42,0)</f>
        <v>0</v>
      </c>
      <c r="BA240" s="151">
        <f>IF(K240="MRSA Central",(AG240/$BA$1)*'1. UC Assumptions'!$L$44-(AH240/$BA$2)*'1. UC Assumptions'!$L$42,0)</f>
        <v>0</v>
      </c>
      <c r="BB240" s="151">
        <f>IF(K240="MRSA Northeast",(AG240/$BB$1)*'1. UC Assumptions'!$M$44-(AH240/$BB$2)*'1. UC Assumptions'!$M$42,0)</f>
        <v>0</v>
      </c>
      <c r="BC240" s="151">
        <f>IF(K240="MRSA West",(AG240/$BC$1)*'1. UC Assumptions'!$N$44-(AH240/$BC$2)*'1. UC Assumptions'!$N$42,0)</f>
        <v>0</v>
      </c>
      <c r="BD240" s="151">
        <f>IF(K240="Nueces",(AG240/$BD$1)*'1. UC Assumptions'!$O$44-(AH240/$BD$2)*'1. UC Assumptions'!$O$42,0)</f>
        <v>0</v>
      </c>
      <c r="BE240" s="151">
        <f>IF(K240="Tarrant",(AG240/$BE$1)*'1. UC Assumptions'!$P$44-(AH240/$BE$2)*'1. UC Assumptions'!$P$42,0)</f>
        <v>0</v>
      </c>
      <c r="BF240" s="151">
        <f>IF(K240="Travis",(AG240/$BF$1)*'1. UC Assumptions'!$Q$44-(AH240/$BF$2)*'1. UC Assumptions'!$Q$42,0)</f>
        <v>0</v>
      </c>
      <c r="BG240" s="151">
        <f t="shared" si="78"/>
        <v>0</v>
      </c>
      <c r="BH240" s="151">
        <f t="shared" si="79"/>
        <v>1172285.3272149609</v>
      </c>
      <c r="BI240" s="151">
        <f>ROUNDDOWN(BH240*'1. UC Assumptions'!$C$23,2)</f>
        <v>386854.15</v>
      </c>
      <c r="BJ240" s="154">
        <f t="shared" si="80"/>
        <v>369197.1572149609</v>
      </c>
      <c r="BK240" s="154">
        <f t="shared" si="81"/>
        <v>121835.05390000006</v>
      </c>
      <c r="BL240" s="154">
        <f t="shared" si="82"/>
        <v>340850.23</v>
      </c>
      <c r="BM240" s="154">
        <f t="shared" si="83"/>
        <v>112480.57</v>
      </c>
      <c r="BN240" s="101"/>
      <c r="BO240" s="154">
        <f>(BL240*'1. UC Assumptions'!$C$23)-'3.  UC Calculations by Hospital'!BM240</f>
        <v>5.8999999746447429E-3</v>
      </c>
      <c r="BP240" s="13"/>
    </row>
    <row r="241" spans="2:68">
      <c r="B241" s="129" t="s">
        <v>798</v>
      </c>
      <c r="C241" s="91" t="s">
        <v>798</v>
      </c>
      <c r="D241" s="91" t="s">
        <v>214</v>
      </c>
      <c r="E241" s="91" t="s">
        <v>209</v>
      </c>
      <c r="F241" s="91"/>
      <c r="G241" s="91" t="s">
        <v>209</v>
      </c>
      <c r="H241" s="91" t="s">
        <v>209</v>
      </c>
      <c r="I241" s="150" t="s">
        <v>210</v>
      </c>
      <c r="J241" s="129" t="s">
        <v>799</v>
      </c>
      <c r="K241" s="91" t="s">
        <v>4</v>
      </c>
      <c r="L241" s="91" t="s">
        <v>4</v>
      </c>
      <c r="M241" s="151">
        <v>615849.59893595544</v>
      </c>
      <c r="N241" s="151">
        <v>0</v>
      </c>
      <c r="O241" s="131">
        <v>0</v>
      </c>
      <c r="P241" s="131">
        <f t="shared" si="63"/>
        <v>0</v>
      </c>
      <c r="Q241" s="131">
        <v>3360440.2584493533</v>
      </c>
      <c r="R241" s="131">
        <v>0</v>
      </c>
      <c r="S241" s="131">
        <f t="shared" si="64"/>
        <v>0</v>
      </c>
      <c r="T241" s="131">
        <f t="shared" si="65"/>
        <v>3360440.2584493533</v>
      </c>
      <c r="U241" s="131">
        <v>0</v>
      </c>
      <c r="V241" s="131">
        <v>0</v>
      </c>
      <c r="W241" s="131">
        <v>0</v>
      </c>
      <c r="X241" s="131">
        <v>0</v>
      </c>
      <c r="Y241" s="131">
        <v>0</v>
      </c>
      <c r="Z241" s="131">
        <f t="shared" si="66"/>
        <v>0</v>
      </c>
      <c r="AA241" s="131">
        <v>0</v>
      </c>
      <c r="AB241" s="152">
        <f t="shared" si="67"/>
        <v>3360440.2584493533</v>
      </c>
      <c r="AC241" s="133">
        <f>IF(D241="Physician Group Practice",(AB241/$AB$393)*'1. UC Assumptions'!$C$15,IF(E241="Rural Hospital",AB241*'1. UC Assumptions'!$C$7/'1. UC Assumptions'!$E$7,(AB241/$AB$397)*('1. UC Assumptions'!$C$9)))</f>
        <v>1579896.22413418</v>
      </c>
      <c r="AD241" s="133">
        <f t="shared" si="68"/>
        <v>0</v>
      </c>
      <c r="AE241" s="133">
        <f t="shared" si="69"/>
        <v>1780544.0343151733</v>
      </c>
      <c r="AF241" s="133">
        <f t="shared" si="70"/>
        <v>0</v>
      </c>
      <c r="AG241" s="133">
        <f t="shared" si="71"/>
        <v>1780544.0343151733</v>
      </c>
      <c r="AH241" s="133">
        <f t="shared" si="72"/>
        <v>1579896.22413418</v>
      </c>
      <c r="AI241" s="131">
        <f>AH241*'1. UC Assumptions'!$C$23</f>
        <v>521365.75396427931</v>
      </c>
      <c r="AJ241" s="131">
        <v>1372745.04</v>
      </c>
      <c r="AK241" s="131">
        <f>AJ241*(1-'1. UC Assumptions'!$C$22)</f>
        <v>453005.86319999996</v>
      </c>
      <c r="AL241" s="131"/>
      <c r="AM241" s="131">
        <f>AL241*'1. UC Assumptions'!$C$23</f>
        <v>0</v>
      </c>
      <c r="AN241" s="153">
        <f t="shared" si="73"/>
        <v>3360440.2584493533</v>
      </c>
      <c r="AO241" s="151">
        <f>AN241*'1. UC Assumptions'!$C$23</f>
        <v>1108945.2852882864</v>
      </c>
      <c r="AP241" s="151">
        <f t="shared" si="74"/>
        <v>1987695.2184493532</v>
      </c>
      <c r="AQ241" s="151">
        <f t="shared" si="75"/>
        <v>655939.42208828637</v>
      </c>
      <c r="AR241" s="151">
        <f t="shared" si="76"/>
        <v>655939.42208828637</v>
      </c>
      <c r="AS241" s="151">
        <f t="shared" si="77"/>
        <v>1108945.2852882864</v>
      </c>
      <c r="AT241" s="151">
        <f>IF(K241="Bexar",(AG241/$AT$1)*'1. UC Assumptions'!$E$44-(AH241/$AT$2)*'1. UC Assumptions'!$E$42,0)</f>
        <v>0</v>
      </c>
      <c r="AU241" s="151">
        <f>IF(K241="Dallas",(AG241/$AU$1)*'1. UC Assumptions'!$F$44-(AH241/$AU$2)*'1. UC Assumptions'!$F$42,0)</f>
        <v>0</v>
      </c>
      <c r="AV241" s="151">
        <f>IF(K241="El Paso",(AG241/$AV$1)*'1. UC Assumptions'!$G$44-(AH241/$AV$2)*'1. UC Assumptions'!$G$42,0)</f>
        <v>0</v>
      </c>
      <c r="AW241" s="151">
        <f>IF(K241="Harris",(AG241/$AW$1)*'1. UC Assumptions'!$H$44-(AH241/$AW$2)*'1. UC Assumptions'!$H$42,0)</f>
        <v>0</v>
      </c>
      <c r="AX241" s="151">
        <f>IF(K241="Hidalgo",(AG241/$AX$1)*'1. UC Assumptions'!$I$44-(AH241/$AX$2)*'1. UC Assumptions'!$I$42,0)</f>
        <v>0</v>
      </c>
      <c r="AY241" s="151">
        <f>IF(K241="Jefferson",(AG241/$AY$1)*'1. UC Assumptions'!$J$44-(AH241/$AY$2)*'1. UC Assumptions'!$J$42,0)</f>
        <v>0</v>
      </c>
      <c r="AZ241" s="151">
        <f>IF(K241="Lubbock",(AG241/$AZ$1)*'1. UC Assumptions'!$K$44-(AH241/$AZ$2)*'1. UC Assumptions'!$K$42,0)</f>
        <v>0</v>
      </c>
      <c r="BA241" s="151">
        <f>IF(K241="MRSA Central",(AG241/$BA$1)*'1. UC Assumptions'!$L$44-(AH241/$BA$2)*'1. UC Assumptions'!$L$42,0)</f>
        <v>0</v>
      </c>
      <c r="BB241" s="151">
        <f>IF(K241="MRSA Northeast",(AG241/$BB$1)*'1. UC Assumptions'!$M$44-(AH241/$BB$2)*'1. UC Assumptions'!$M$42,0)</f>
        <v>0</v>
      </c>
      <c r="BC241" s="151">
        <f>IF(K241="MRSA West",(AG241/$BC$1)*'1. UC Assumptions'!$N$44-(AH241/$BC$2)*'1. UC Assumptions'!$N$42,0)</f>
        <v>0</v>
      </c>
      <c r="BD241" s="151">
        <f>IF(K241="Nueces",(AG241/$BD$1)*'1. UC Assumptions'!$O$44-(AH241/$BD$2)*'1. UC Assumptions'!$O$42,0)</f>
        <v>0</v>
      </c>
      <c r="BE241" s="151">
        <f>IF(K241="Tarrant",(AG241/$BE$1)*'1. UC Assumptions'!$P$44-(AH241/$BE$2)*'1. UC Assumptions'!$P$42,0)</f>
        <v>0</v>
      </c>
      <c r="BF241" s="151">
        <f>IF(K241="Travis",(AG241/$BF$1)*'1. UC Assumptions'!$Q$44-(AH241/$BF$2)*'1. UC Assumptions'!$Q$42,0)</f>
        <v>0</v>
      </c>
      <c r="BG241" s="151">
        <f t="shared" si="78"/>
        <v>0</v>
      </c>
      <c r="BH241" s="151">
        <f t="shared" si="79"/>
        <v>1579896.22413418</v>
      </c>
      <c r="BI241" s="151">
        <f>ROUNDDOWN(BH241*'1. UC Assumptions'!$C$23,2)</f>
        <v>521365.75</v>
      </c>
      <c r="BJ241" s="154">
        <f t="shared" si="80"/>
        <v>207151.18413417996</v>
      </c>
      <c r="BK241" s="154">
        <f t="shared" si="81"/>
        <v>68359.886800000037</v>
      </c>
      <c r="BL241" s="154">
        <f t="shared" si="82"/>
        <v>191246.13</v>
      </c>
      <c r="BM241" s="154">
        <f t="shared" si="83"/>
        <v>63111.22</v>
      </c>
      <c r="BN241" s="101"/>
      <c r="BO241" s="154">
        <f>(BL241*'1. UC Assumptions'!$C$23)-'3.  UC Calculations by Hospital'!BM241</f>
        <v>2.8999999922234565E-3</v>
      </c>
      <c r="BP241" s="13"/>
    </row>
    <row r="242" spans="2:68">
      <c r="B242" s="129" t="s">
        <v>800</v>
      </c>
      <c r="C242" s="91" t="s">
        <v>800</v>
      </c>
      <c r="D242" s="91" t="s">
        <v>214</v>
      </c>
      <c r="E242" s="91" t="s">
        <v>149</v>
      </c>
      <c r="F242" s="91"/>
      <c r="G242" s="91" t="s">
        <v>209</v>
      </c>
      <c r="H242" s="91" t="s">
        <v>209</v>
      </c>
      <c r="I242" s="150" t="s">
        <v>210</v>
      </c>
      <c r="J242" s="129" t="s">
        <v>801</v>
      </c>
      <c r="K242" s="91" t="s">
        <v>6</v>
      </c>
      <c r="L242" s="91" t="s">
        <v>608</v>
      </c>
      <c r="M242" s="151">
        <v>575334.14047746558</v>
      </c>
      <c r="N242" s="151">
        <v>0</v>
      </c>
      <c r="O242" s="131">
        <v>0</v>
      </c>
      <c r="P242" s="131">
        <f t="shared" si="63"/>
        <v>0</v>
      </c>
      <c r="Q242" s="131">
        <v>80278.091764684796</v>
      </c>
      <c r="R242" s="131">
        <v>0</v>
      </c>
      <c r="S242" s="131">
        <f t="shared" si="64"/>
        <v>0</v>
      </c>
      <c r="T242" s="131">
        <f t="shared" si="65"/>
        <v>80278.091764684796</v>
      </c>
      <c r="U242" s="131">
        <v>870</v>
      </c>
      <c r="V242" s="131">
        <v>0</v>
      </c>
      <c r="W242" s="131">
        <v>0</v>
      </c>
      <c r="X242" s="131">
        <v>0</v>
      </c>
      <c r="Y242" s="131">
        <v>615405</v>
      </c>
      <c r="Z242" s="131">
        <f t="shared" si="66"/>
        <v>616275</v>
      </c>
      <c r="AA242" s="131">
        <v>0</v>
      </c>
      <c r="AB242" s="152">
        <f t="shared" si="67"/>
        <v>696553.09176468477</v>
      </c>
      <c r="AC242" s="133">
        <f>IF(D242="Physician Group Practice",(AB242/$AB$393)*'1. UC Assumptions'!$C$15,IF(E242="Rural Hospital",AB242*'1. UC Assumptions'!$C$7/'1. UC Assumptions'!$E$7,(AB242/$AB$397)*('1. UC Assumptions'!$C$9)))</f>
        <v>650187.40080898826</v>
      </c>
      <c r="AD242" s="133">
        <f t="shared" si="68"/>
        <v>0</v>
      </c>
      <c r="AE242" s="133">
        <f t="shared" si="69"/>
        <v>46365.690955696511</v>
      </c>
      <c r="AF242" s="133">
        <f t="shared" si="70"/>
        <v>0</v>
      </c>
      <c r="AG242" s="133">
        <f t="shared" si="71"/>
        <v>46365.690955696511</v>
      </c>
      <c r="AH242" s="133">
        <f t="shared" si="72"/>
        <v>650187.40080898826</v>
      </c>
      <c r="AI242" s="131">
        <f>AH242*'1. UC Assumptions'!$C$23</f>
        <v>214561.84226696609</v>
      </c>
      <c r="AJ242" s="131">
        <v>167081.51</v>
      </c>
      <c r="AK242" s="131">
        <f>AJ242*(1-'1. UC Assumptions'!$C$22)</f>
        <v>55136.898299999993</v>
      </c>
      <c r="AL242" s="131"/>
      <c r="AM242" s="131">
        <f>AL242*'1. UC Assumptions'!$C$23</f>
        <v>0</v>
      </c>
      <c r="AN242" s="153">
        <f t="shared" si="73"/>
        <v>696553.09176468477</v>
      </c>
      <c r="AO242" s="151">
        <f>AN242*'1. UC Assumptions'!$C$23</f>
        <v>229862.52028234594</v>
      </c>
      <c r="AP242" s="151">
        <f t="shared" si="74"/>
        <v>529471.58176468476</v>
      </c>
      <c r="AQ242" s="151">
        <f t="shared" si="75"/>
        <v>174725.62198234594</v>
      </c>
      <c r="AR242" s="151">
        <f t="shared" si="76"/>
        <v>174725.62198234594</v>
      </c>
      <c r="AS242" s="151">
        <f t="shared" si="77"/>
        <v>229862.52028234594</v>
      </c>
      <c r="AT242" s="151">
        <f>IF(K242="Bexar",(AG242/$AT$1)*'1. UC Assumptions'!$E$44-(AH242/$AT$2)*'1. UC Assumptions'!$E$42,0)</f>
        <v>0</v>
      </c>
      <c r="AU242" s="151">
        <f>IF(K242="Dallas",(AG242/$AU$1)*'1. UC Assumptions'!$F$44-(AH242/$AU$2)*'1. UC Assumptions'!$F$42,0)</f>
        <v>0</v>
      </c>
      <c r="AV242" s="151">
        <f>IF(K242="El Paso",(AG242/$AV$1)*'1. UC Assumptions'!$G$44-(AH242/$AV$2)*'1. UC Assumptions'!$G$42,0)</f>
        <v>0</v>
      </c>
      <c r="AW242" s="151">
        <f>IF(K242="Harris",(AG242/$AW$1)*'1. UC Assumptions'!$H$44-(AH242/$AW$2)*'1. UC Assumptions'!$H$42,0)</f>
        <v>0</v>
      </c>
      <c r="AX242" s="151">
        <f>IF(K242="Hidalgo",(AG242/$AX$1)*'1. UC Assumptions'!$I$44-(AH242/$AX$2)*'1. UC Assumptions'!$I$42,0)</f>
        <v>0</v>
      </c>
      <c r="AY242" s="151">
        <f>IF(K242="Jefferson",(AG242/$AY$1)*'1. UC Assumptions'!$J$44-(AH242/$AY$2)*'1. UC Assumptions'!$J$42,0)</f>
        <v>0</v>
      </c>
      <c r="AZ242" s="151">
        <f>IF(K242="Lubbock",(AG242/$AZ$1)*'1. UC Assumptions'!$K$44-(AH242/$AZ$2)*'1. UC Assumptions'!$K$42,0)</f>
        <v>0</v>
      </c>
      <c r="BA242" s="151">
        <f>IF(K242="MRSA Central",(AG242/$BA$1)*'1. UC Assumptions'!$L$44-(AH242/$BA$2)*'1. UC Assumptions'!$L$42,0)</f>
        <v>0</v>
      </c>
      <c r="BB242" s="151">
        <f>IF(K242="MRSA Northeast",(AG242/$BB$1)*'1. UC Assumptions'!$M$44-(AH242/$BB$2)*'1. UC Assumptions'!$M$42,0)</f>
        <v>0</v>
      </c>
      <c r="BC242" s="151">
        <f>IF(K242="MRSA West",(AG242/$BC$1)*'1. UC Assumptions'!$N$44-(AH242/$BC$2)*'1. UC Assumptions'!$N$42,0)</f>
        <v>0</v>
      </c>
      <c r="BD242" s="151">
        <f>IF(K242="Nueces",(AG242/$BD$1)*'1. UC Assumptions'!$O$44-(AH242/$BD$2)*'1. UC Assumptions'!$O$42,0)</f>
        <v>0</v>
      </c>
      <c r="BE242" s="151">
        <f>IF(K242="Tarrant",(AG242/$BE$1)*'1. UC Assumptions'!$P$44-(AH242/$BE$2)*'1. UC Assumptions'!$P$42,0)</f>
        <v>0</v>
      </c>
      <c r="BF242" s="151">
        <f>IF(K242="Travis",(AG242/$BF$1)*'1. UC Assumptions'!$Q$44-(AH242/$BF$2)*'1. UC Assumptions'!$Q$42,0)</f>
        <v>0</v>
      </c>
      <c r="BG242" s="151">
        <f t="shared" si="78"/>
        <v>0</v>
      </c>
      <c r="BH242" s="151">
        <f t="shared" si="79"/>
        <v>650187.40080898826</v>
      </c>
      <c r="BI242" s="151">
        <f>ROUNDDOWN(BH242*'1. UC Assumptions'!$C$23,2)</f>
        <v>214561.84</v>
      </c>
      <c r="BJ242" s="154">
        <f t="shared" si="80"/>
        <v>483105.89080898825</v>
      </c>
      <c r="BK242" s="154">
        <f t="shared" si="81"/>
        <v>159424.9417</v>
      </c>
      <c r="BL242" s="154">
        <f t="shared" si="82"/>
        <v>446013.06</v>
      </c>
      <c r="BM242" s="154">
        <f t="shared" si="83"/>
        <v>147184.31</v>
      </c>
      <c r="BN242" s="101"/>
      <c r="BO242" s="154">
        <f>(BL242*'1. UC Assumptions'!$C$23)-'3.  UC Calculations by Hospital'!BM242</f>
        <v>-2.0000000949949026E-4</v>
      </c>
      <c r="BP242" s="13"/>
    </row>
    <row r="243" spans="2:68">
      <c r="B243" s="129" t="s">
        <v>802</v>
      </c>
      <c r="C243" s="91" t="s">
        <v>802</v>
      </c>
      <c r="D243" s="91" t="s">
        <v>214</v>
      </c>
      <c r="E243" s="91" t="s">
        <v>209</v>
      </c>
      <c r="F243" s="91"/>
      <c r="G243" s="91" t="s">
        <v>209</v>
      </c>
      <c r="H243" s="91" t="s">
        <v>209</v>
      </c>
      <c r="I243" s="150" t="s">
        <v>210</v>
      </c>
      <c r="J243" s="129" t="s">
        <v>803</v>
      </c>
      <c r="K243" s="91" t="s">
        <v>7</v>
      </c>
      <c r="L243" s="91" t="s">
        <v>237</v>
      </c>
      <c r="M243" s="151">
        <v>1337582.7928925087</v>
      </c>
      <c r="N243" s="151">
        <v>7471439.0783600481</v>
      </c>
      <c r="O243" s="131">
        <v>2821381.6930029257</v>
      </c>
      <c r="P243" s="131">
        <f t="shared" si="63"/>
        <v>4650057.3853571229</v>
      </c>
      <c r="Q243" s="131">
        <v>3482465.2117900769</v>
      </c>
      <c r="R243" s="131">
        <v>0</v>
      </c>
      <c r="S243" s="131">
        <f t="shared" si="64"/>
        <v>0</v>
      </c>
      <c r="T243" s="131">
        <f t="shared" si="65"/>
        <v>3482465.2117900769</v>
      </c>
      <c r="U243" s="131">
        <v>165239</v>
      </c>
      <c r="V243" s="131">
        <v>0</v>
      </c>
      <c r="W243" s="131">
        <v>0</v>
      </c>
      <c r="X243" s="131">
        <v>0</v>
      </c>
      <c r="Y243" s="131">
        <v>0</v>
      </c>
      <c r="Z243" s="131">
        <f t="shared" si="66"/>
        <v>165239</v>
      </c>
      <c r="AA243" s="131">
        <v>0</v>
      </c>
      <c r="AB243" s="152">
        <f t="shared" si="67"/>
        <v>3647704.2117900769</v>
      </c>
      <c r="AC243" s="133">
        <f>IF(D243="Physician Group Practice",(AB243/$AB$393)*'1. UC Assumptions'!$C$15,IF(E243="Rural Hospital",AB243*'1. UC Assumptions'!$C$7/'1. UC Assumptions'!$E$7,(AB243/$AB$397)*('1. UC Assumptions'!$C$9)))</f>
        <v>1714952.1097645618</v>
      </c>
      <c r="AD243" s="133">
        <f t="shared" si="68"/>
        <v>0</v>
      </c>
      <c r="AE243" s="133">
        <f t="shared" si="69"/>
        <v>1932752.1020255152</v>
      </c>
      <c r="AF243" s="133">
        <f t="shared" si="70"/>
        <v>0</v>
      </c>
      <c r="AG243" s="133">
        <f t="shared" si="71"/>
        <v>1932752.1020255152</v>
      </c>
      <c r="AH243" s="133">
        <f t="shared" si="72"/>
        <v>1714952.1097645618</v>
      </c>
      <c r="AI243" s="131">
        <f>AH243*'1. UC Assumptions'!$C$23</f>
        <v>565934.1962223053</v>
      </c>
      <c r="AJ243" s="131">
        <v>1084331.76</v>
      </c>
      <c r="AK243" s="131">
        <f>AJ243*(1-'1. UC Assumptions'!$C$22)</f>
        <v>357829.48079999996</v>
      </c>
      <c r="AL243" s="131"/>
      <c r="AM243" s="131">
        <f>AL243*'1. UC Assumptions'!$C$23</f>
        <v>0</v>
      </c>
      <c r="AN243" s="153">
        <f t="shared" si="73"/>
        <v>3647704.2117900769</v>
      </c>
      <c r="AO243" s="151">
        <f>AN243*'1. UC Assumptions'!$C$23</f>
        <v>1203742.3898907253</v>
      </c>
      <c r="AP243" s="151">
        <f t="shared" si="74"/>
        <v>2563372.4517900767</v>
      </c>
      <c r="AQ243" s="151">
        <f t="shared" si="75"/>
        <v>845912.90909072524</v>
      </c>
      <c r="AR243" s="151">
        <f t="shared" si="76"/>
        <v>845912.90909072524</v>
      </c>
      <c r="AS243" s="151">
        <f t="shared" si="77"/>
        <v>1203742.3898907253</v>
      </c>
      <c r="AT243" s="151">
        <f>IF(K243="Bexar",(AG243/$AT$1)*'1. UC Assumptions'!$E$44-(AH243/$AT$2)*'1. UC Assumptions'!$E$42,0)</f>
        <v>0</v>
      </c>
      <c r="AU243" s="151">
        <f>IF(K243="Dallas",(AG243/$AU$1)*'1. UC Assumptions'!$F$44-(AH243/$AU$2)*'1. UC Assumptions'!$F$42,0)</f>
        <v>0</v>
      </c>
      <c r="AV243" s="151">
        <f>IF(K243="El Paso",(AG243/$AV$1)*'1. UC Assumptions'!$G$44-(AH243/$AV$2)*'1. UC Assumptions'!$G$42,0)</f>
        <v>0</v>
      </c>
      <c r="AW243" s="151">
        <f>IF(K243="Harris",(AG243/$AW$1)*'1. UC Assumptions'!$H$44-(AH243/$AW$2)*'1. UC Assumptions'!$H$42,0)</f>
        <v>0</v>
      </c>
      <c r="AX243" s="151">
        <f>IF(K243="Hidalgo",(AG243/$AX$1)*'1. UC Assumptions'!$I$44-(AH243/$AX$2)*'1. UC Assumptions'!$I$42,0)</f>
        <v>0</v>
      </c>
      <c r="AY243" s="151">
        <f>IF(K243="Jefferson",(AG243/$AY$1)*'1. UC Assumptions'!$J$44-(AH243/$AY$2)*'1. UC Assumptions'!$J$42,0)</f>
        <v>0</v>
      </c>
      <c r="AZ243" s="151">
        <f>IF(K243="Lubbock",(AG243/$AZ$1)*'1. UC Assumptions'!$K$44-(AH243/$AZ$2)*'1. UC Assumptions'!$K$42,0)</f>
        <v>0</v>
      </c>
      <c r="BA243" s="151">
        <f>IF(K243="MRSA Central",(AG243/$BA$1)*'1. UC Assumptions'!$L$44-(AH243/$BA$2)*'1. UC Assumptions'!$L$42,0)</f>
        <v>0</v>
      </c>
      <c r="BB243" s="151">
        <f>IF(K243="MRSA Northeast",(AG243/$BB$1)*'1. UC Assumptions'!$M$44-(AH243/$BB$2)*'1. UC Assumptions'!$M$42,0)</f>
        <v>0</v>
      </c>
      <c r="BC243" s="151">
        <f>IF(K243="MRSA West",(AG243/$BC$1)*'1. UC Assumptions'!$N$44-(AH243/$BC$2)*'1. UC Assumptions'!$N$42,0)</f>
        <v>0</v>
      </c>
      <c r="BD243" s="151">
        <f>IF(K243="Nueces",(AG243/$BD$1)*'1. UC Assumptions'!$O$44-(AH243/$BD$2)*'1. UC Assumptions'!$O$42,0)</f>
        <v>0</v>
      </c>
      <c r="BE243" s="151">
        <f>IF(K243="Tarrant",(AG243/$BE$1)*'1. UC Assumptions'!$P$44-(AH243/$BE$2)*'1. UC Assumptions'!$P$42,0)</f>
        <v>0</v>
      </c>
      <c r="BF243" s="151">
        <f>IF(K243="Travis",(AG243/$BF$1)*'1. UC Assumptions'!$Q$44-(AH243/$BF$2)*'1. UC Assumptions'!$Q$42,0)</f>
        <v>0</v>
      </c>
      <c r="BG243" s="151">
        <f t="shared" si="78"/>
        <v>0</v>
      </c>
      <c r="BH243" s="151">
        <f t="shared" si="79"/>
        <v>1714952.1097645618</v>
      </c>
      <c r="BI243" s="151">
        <f>ROUNDDOWN(BH243*'1. UC Assumptions'!$C$23,2)</f>
        <v>565934.18999999994</v>
      </c>
      <c r="BJ243" s="154">
        <f t="shared" si="80"/>
        <v>630620.34976456175</v>
      </c>
      <c r="BK243" s="154">
        <f t="shared" si="81"/>
        <v>208104.70919999998</v>
      </c>
      <c r="BL243" s="154">
        <f t="shared" si="82"/>
        <v>582201.37</v>
      </c>
      <c r="BM243" s="154">
        <f t="shared" si="83"/>
        <v>192126.45</v>
      </c>
      <c r="BN243" s="101"/>
      <c r="BO243" s="154">
        <f>(BL243*'1. UC Assumptions'!$C$23)-'3.  UC Calculations by Hospital'!BM243</f>
        <v>2.0999999542254955E-3</v>
      </c>
      <c r="BP243" s="13"/>
    </row>
    <row r="244" spans="2:68">
      <c r="B244" s="129" t="s">
        <v>804</v>
      </c>
      <c r="C244" s="91" t="s">
        <v>804</v>
      </c>
      <c r="D244" s="91" t="s">
        <v>214</v>
      </c>
      <c r="E244" s="91" t="s">
        <v>209</v>
      </c>
      <c r="F244" s="91"/>
      <c r="G244" s="91" t="s">
        <v>209</v>
      </c>
      <c r="H244" s="91" t="s">
        <v>209</v>
      </c>
      <c r="I244" s="150" t="s">
        <v>210</v>
      </c>
      <c r="J244" s="129" t="s">
        <v>346</v>
      </c>
      <c r="K244" s="91" t="s">
        <v>15</v>
      </c>
      <c r="L244" s="91" t="s">
        <v>15</v>
      </c>
      <c r="M244" s="151">
        <v>280167.57070201053</v>
      </c>
      <c r="N244" s="151">
        <v>3248640.3137070211</v>
      </c>
      <c r="O244" s="131">
        <v>2806629.6629431858</v>
      </c>
      <c r="P244" s="131">
        <f t="shared" si="63"/>
        <v>442010.65076383529</v>
      </c>
      <c r="Q244" s="131">
        <v>3283892.5903432416</v>
      </c>
      <c r="R244" s="131">
        <v>0</v>
      </c>
      <c r="S244" s="131">
        <f t="shared" si="64"/>
        <v>0</v>
      </c>
      <c r="T244" s="131">
        <f t="shared" si="65"/>
        <v>3283892.5903432416</v>
      </c>
      <c r="U244" s="131">
        <v>89849</v>
      </c>
      <c r="V244" s="131">
        <v>0</v>
      </c>
      <c r="W244" s="131">
        <v>0</v>
      </c>
      <c r="X244" s="131">
        <v>0</v>
      </c>
      <c r="Y244" s="131">
        <v>478589</v>
      </c>
      <c r="Z244" s="131">
        <f t="shared" si="66"/>
        <v>568438</v>
      </c>
      <c r="AA244" s="131">
        <v>0</v>
      </c>
      <c r="AB244" s="152">
        <f t="shared" si="67"/>
        <v>3852330.5903432416</v>
      </c>
      <c r="AC244" s="133">
        <f>IF(D244="Physician Group Practice",(AB244/$AB$393)*'1. UC Assumptions'!$C$15,IF(E244="Rural Hospital",AB244*'1. UC Assumptions'!$C$7/'1. UC Assumptions'!$E$7,(AB244/$AB$397)*('1. UC Assumptions'!$C$9)))</f>
        <v>1811156.302659089</v>
      </c>
      <c r="AD244" s="133">
        <f t="shared" si="68"/>
        <v>0</v>
      </c>
      <c r="AE244" s="133">
        <f t="shared" si="69"/>
        <v>2041174.2876841526</v>
      </c>
      <c r="AF244" s="133">
        <f t="shared" si="70"/>
        <v>0</v>
      </c>
      <c r="AG244" s="133">
        <f t="shared" si="71"/>
        <v>2041174.2876841526</v>
      </c>
      <c r="AH244" s="133">
        <f t="shared" si="72"/>
        <v>1811156.302659089</v>
      </c>
      <c r="AI244" s="131">
        <f>AH244*'1. UC Assumptions'!$C$23</f>
        <v>597681.57987749926</v>
      </c>
      <c r="AJ244" s="131">
        <v>1441559.36</v>
      </c>
      <c r="AK244" s="131">
        <f>AJ244*(1-'1. UC Assumptions'!$C$22)</f>
        <v>475714.58879999997</v>
      </c>
      <c r="AL244" s="131"/>
      <c r="AM244" s="131">
        <f>AL244*'1. UC Assumptions'!$C$23</f>
        <v>0</v>
      </c>
      <c r="AN244" s="153">
        <f t="shared" si="73"/>
        <v>3852330.5903432416</v>
      </c>
      <c r="AO244" s="151">
        <f>AN244*'1. UC Assumptions'!$C$23</f>
        <v>1271269.0948132696</v>
      </c>
      <c r="AP244" s="151">
        <f t="shared" si="74"/>
        <v>2410771.2303432412</v>
      </c>
      <c r="AQ244" s="151">
        <f t="shared" si="75"/>
        <v>795554.50601326954</v>
      </c>
      <c r="AR244" s="151">
        <f t="shared" si="76"/>
        <v>795554.50601326954</v>
      </c>
      <c r="AS244" s="151">
        <f t="shared" si="77"/>
        <v>1271269.0948132696</v>
      </c>
      <c r="AT244" s="151">
        <f>IF(K244="Bexar",(AG244/$AT$1)*'1. UC Assumptions'!$E$44-(AH244/$AT$2)*'1. UC Assumptions'!$E$42,0)</f>
        <v>0</v>
      </c>
      <c r="AU244" s="151">
        <f>IF(K244="Dallas",(AG244/$AU$1)*'1. UC Assumptions'!$F$44-(AH244/$AU$2)*'1. UC Assumptions'!$F$42,0)</f>
        <v>0</v>
      </c>
      <c r="AV244" s="151">
        <f>IF(K244="El Paso",(AG244/$AV$1)*'1. UC Assumptions'!$G$44-(AH244/$AV$2)*'1. UC Assumptions'!$G$42,0)</f>
        <v>0</v>
      </c>
      <c r="AW244" s="151">
        <f>IF(K244="Harris",(AG244/$AW$1)*'1. UC Assumptions'!$H$44-(AH244/$AW$2)*'1. UC Assumptions'!$H$42,0)</f>
        <v>0</v>
      </c>
      <c r="AX244" s="151">
        <f>IF(K244="Hidalgo",(AG244/$AX$1)*'1. UC Assumptions'!$I$44-(AH244/$AX$2)*'1. UC Assumptions'!$I$42,0)</f>
        <v>0</v>
      </c>
      <c r="AY244" s="151">
        <f>IF(K244="Jefferson",(AG244/$AY$1)*'1. UC Assumptions'!$J$44-(AH244/$AY$2)*'1. UC Assumptions'!$J$42,0)</f>
        <v>0</v>
      </c>
      <c r="AZ244" s="151">
        <f>IF(K244="Lubbock",(AG244/$AZ$1)*'1. UC Assumptions'!$K$44-(AH244/$AZ$2)*'1. UC Assumptions'!$K$42,0)</f>
        <v>0</v>
      </c>
      <c r="BA244" s="151">
        <f>IF(K244="MRSA Central",(AG244/$BA$1)*'1. UC Assumptions'!$L$44-(AH244/$BA$2)*'1. UC Assumptions'!$L$42,0)</f>
        <v>0</v>
      </c>
      <c r="BB244" s="151">
        <f>IF(K244="MRSA Northeast",(AG244/$BB$1)*'1. UC Assumptions'!$M$44-(AH244/$BB$2)*'1. UC Assumptions'!$M$42,0)</f>
        <v>0</v>
      </c>
      <c r="BC244" s="151">
        <f>IF(K244="MRSA West",(AG244/$BC$1)*'1. UC Assumptions'!$N$44-(AH244/$BC$2)*'1. UC Assumptions'!$N$42,0)</f>
        <v>0</v>
      </c>
      <c r="BD244" s="151">
        <f>IF(K244="Nueces",(AG244/$BD$1)*'1. UC Assumptions'!$O$44-(AH244/$BD$2)*'1. UC Assumptions'!$O$42,0)</f>
        <v>0</v>
      </c>
      <c r="BE244" s="151">
        <f>IF(K244="Tarrant",(AG244/$BE$1)*'1. UC Assumptions'!$P$44-(AH244/$BE$2)*'1. UC Assumptions'!$P$42,0)</f>
        <v>0</v>
      </c>
      <c r="BF244" s="151">
        <f>IF(K244="Travis",(AG244/$BF$1)*'1. UC Assumptions'!$Q$44-(AH244/$BF$2)*'1. UC Assumptions'!$Q$42,0)</f>
        <v>0</v>
      </c>
      <c r="BG244" s="151">
        <f t="shared" si="78"/>
        <v>0</v>
      </c>
      <c r="BH244" s="151">
        <f t="shared" si="79"/>
        <v>1811156.302659089</v>
      </c>
      <c r="BI244" s="151">
        <f>ROUNDDOWN(BH244*'1. UC Assumptions'!$C$23,2)</f>
        <v>597681.56999999995</v>
      </c>
      <c r="BJ244" s="154">
        <f t="shared" si="80"/>
        <v>369596.94265908888</v>
      </c>
      <c r="BK244" s="154">
        <f t="shared" si="81"/>
        <v>121966.98119999998</v>
      </c>
      <c r="BL244" s="154">
        <f t="shared" si="82"/>
        <v>341219.32</v>
      </c>
      <c r="BM244" s="154">
        <f t="shared" si="83"/>
        <v>112602.37</v>
      </c>
      <c r="BN244" s="101"/>
      <c r="BO244" s="154">
        <f>(BL244*'1. UC Assumptions'!$C$23)-'3.  UC Calculations by Hospital'!BM244</f>
        <v>5.599999989499338E-3</v>
      </c>
      <c r="BP244" s="13"/>
    </row>
    <row r="245" spans="2:68">
      <c r="B245" s="129" t="s">
        <v>805</v>
      </c>
      <c r="C245" s="91" t="s">
        <v>805</v>
      </c>
      <c r="D245" s="91" t="s">
        <v>214</v>
      </c>
      <c r="E245" s="91" t="s">
        <v>209</v>
      </c>
      <c r="F245" s="91"/>
      <c r="G245" s="91" t="s">
        <v>209</v>
      </c>
      <c r="H245" s="91" t="s">
        <v>209</v>
      </c>
      <c r="I245" s="150" t="s">
        <v>210</v>
      </c>
      <c r="J245" s="129" t="s">
        <v>346</v>
      </c>
      <c r="K245" s="91" t="s">
        <v>15</v>
      </c>
      <c r="L245" s="91" t="s">
        <v>15</v>
      </c>
      <c r="M245" s="151">
        <v>-1188976.2129379516</v>
      </c>
      <c r="N245" s="151">
        <v>18887769.504157048</v>
      </c>
      <c r="O245" s="131">
        <v>16072698.343847392</v>
      </c>
      <c r="P245" s="131">
        <f t="shared" si="63"/>
        <v>2815071.1603096556</v>
      </c>
      <c r="Q245" s="131">
        <v>17409165.790598866</v>
      </c>
      <c r="R245" s="131">
        <v>0</v>
      </c>
      <c r="S245" s="131">
        <f t="shared" si="64"/>
        <v>0</v>
      </c>
      <c r="T245" s="131">
        <f t="shared" si="65"/>
        <v>17409165.790598866</v>
      </c>
      <c r="U245" s="131">
        <v>738276</v>
      </c>
      <c r="V245" s="131">
        <v>0</v>
      </c>
      <c r="W245" s="131">
        <v>0</v>
      </c>
      <c r="X245" s="131">
        <v>0</v>
      </c>
      <c r="Y245" s="131">
        <v>2109140</v>
      </c>
      <c r="Z245" s="131">
        <f t="shared" si="66"/>
        <v>2847416</v>
      </c>
      <c r="AA245" s="131">
        <v>0</v>
      </c>
      <c r="AB245" s="152">
        <f t="shared" si="67"/>
        <v>20256581.790598866</v>
      </c>
      <c r="AC245" s="133">
        <f>IF(D245="Physician Group Practice",(AB245/$AB$393)*'1. UC Assumptions'!$C$15,IF(E245="Rural Hospital",AB245*'1. UC Assumptions'!$C$7/'1. UC Assumptions'!$E$7,(AB245/$AB$397)*('1. UC Assumptions'!$C$9)))</f>
        <v>9523542.9358889963</v>
      </c>
      <c r="AD245" s="133">
        <f t="shared" si="68"/>
        <v>0</v>
      </c>
      <c r="AE245" s="133">
        <f t="shared" si="69"/>
        <v>10733038.854709869</v>
      </c>
      <c r="AF245" s="133">
        <f t="shared" si="70"/>
        <v>0</v>
      </c>
      <c r="AG245" s="133">
        <f t="shared" si="71"/>
        <v>10733038.854709869</v>
      </c>
      <c r="AH245" s="133">
        <f t="shared" si="72"/>
        <v>9523542.9358889963</v>
      </c>
      <c r="AI245" s="131">
        <f>AH245*'1. UC Assumptions'!$C$23</f>
        <v>3142769.1688433685</v>
      </c>
      <c r="AJ245" s="131">
        <v>8190405.54</v>
      </c>
      <c r="AK245" s="131">
        <f>AJ245*(1-'1. UC Assumptions'!$C$22)</f>
        <v>2702833.8281999999</v>
      </c>
      <c r="AL245" s="131"/>
      <c r="AM245" s="131">
        <f>AL245*'1. UC Assumptions'!$C$23</f>
        <v>0</v>
      </c>
      <c r="AN245" s="153">
        <f t="shared" si="73"/>
        <v>20256581.790598866</v>
      </c>
      <c r="AO245" s="151">
        <f>AN245*'1. UC Assumptions'!$C$23</f>
        <v>6684671.9908976248</v>
      </c>
      <c r="AP245" s="151">
        <f t="shared" si="74"/>
        <v>12066176.250598866</v>
      </c>
      <c r="AQ245" s="151">
        <f t="shared" si="75"/>
        <v>3981838.1626976249</v>
      </c>
      <c r="AR245" s="151">
        <f t="shared" si="76"/>
        <v>3981838.1626976249</v>
      </c>
      <c r="AS245" s="151">
        <f t="shared" si="77"/>
        <v>6684671.9908976248</v>
      </c>
      <c r="AT245" s="151">
        <f>IF(K245="Bexar",(AG245/$AT$1)*'1. UC Assumptions'!$E$44-(AH245/$AT$2)*'1. UC Assumptions'!$E$42,0)</f>
        <v>0</v>
      </c>
      <c r="AU245" s="151">
        <f>IF(K245="Dallas",(AG245/$AU$1)*'1. UC Assumptions'!$F$44-(AH245/$AU$2)*'1. UC Assumptions'!$F$42,0)</f>
        <v>0</v>
      </c>
      <c r="AV245" s="151">
        <f>IF(K245="El Paso",(AG245/$AV$1)*'1. UC Assumptions'!$G$44-(AH245/$AV$2)*'1. UC Assumptions'!$G$42,0)</f>
        <v>0</v>
      </c>
      <c r="AW245" s="151">
        <f>IF(K245="Harris",(AG245/$AW$1)*'1. UC Assumptions'!$H$44-(AH245/$AW$2)*'1. UC Assumptions'!$H$42,0)</f>
        <v>0</v>
      </c>
      <c r="AX245" s="151">
        <f>IF(K245="Hidalgo",(AG245/$AX$1)*'1. UC Assumptions'!$I$44-(AH245/$AX$2)*'1. UC Assumptions'!$I$42,0)</f>
        <v>0</v>
      </c>
      <c r="AY245" s="151">
        <f>IF(K245="Jefferson",(AG245/$AY$1)*'1. UC Assumptions'!$J$44-(AH245/$AY$2)*'1. UC Assumptions'!$J$42,0)</f>
        <v>0</v>
      </c>
      <c r="AZ245" s="151">
        <f>IF(K245="Lubbock",(AG245/$AZ$1)*'1. UC Assumptions'!$K$44-(AH245/$AZ$2)*'1. UC Assumptions'!$K$42,0)</f>
        <v>0</v>
      </c>
      <c r="BA245" s="151">
        <f>IF(K245="MRSA Central",(AG245/$BA$1)*'1. UC Assumptions'!$L$44-(AH245/$BA$2)*'1. UC Assumptions'!$L$42,0)</f>
        <v>0</v>
      </c>
      <c r="BB245" s="151">
        <f>IF(K245="MRSA Northeast",(AG245/$BB$1)*'1. UC Assumptions'!$M$44-(AH245/$BB$2)*'1. UC Assumptions'!$M$42,0)</f>
        <v>0</v>
      </c>
      <c r="BC245" s="151">
        <f>IF(K245="MRSA West",(AG245/$BC$1)*'1. UC Assumptions'!$N$44-(AH245/$BC$2)*'1. UC Assumptions'!$N$42,0)</f>
        <v>0</v>
      </c>
      <c r="BD245" s="151">
        <f>IF(K245="Nueces",(AG245/$BD$1)*'1. UC Assumptions'!$O$44-(AH245/$BD$2)*'1. UC Assumptions'!$O$42,0)</f>
        <v>0</v>
      </c>
      <c r="BE245" s="151">
        <f>IF(K245="Tarrant",(AG245/$BE$1)*'1. UC Assumptions'!$P$44-(AH245/$BE$2)*'1. UC Assumptions'!$P$42,0)</f>
        <v>0</v>
      </c>
      <c r="BF245" s="151">
        <f>IF(K245="Travis",(AG245/$BF$1)*'1. UC Assumptions'!$Q$44-(AH245/$BF$2)*'1. UC Assumptions'!$Q$42,0)</f>
        <v>0</v>
      </c>
      <c r="BG245" s="151">
        <f t="shared" si="78"/>
        <v>0</v>
      </c>
      <c r="BH245" s="151">
        <f t="shared" si="79"/>
        <v>9523542.9358889963</v>
      </c>
      <c r="BI245" s="151">
        <f>ROUNDDOWN(BH245*'1. UC Assumptions'!$C$23,2)</f>
        <v>3142769.16</v>
      </c>
      <c r="BJ245" s="154">
        <f t="shared" si="80"/>
        <v>1333137.3958889963</v>
      </c>
      <c r="BK245" s="154">
        <f t="shared" si="81"/>
        <v>439935.33180000028</v>
      </c>
      <c r="BL245" s="154">
        <f t="shared" si="82"/>
        <v>1230779.22</v>
      </c>
      <c r="BM245" s="154">
        <f t="shared" si="83"/>
        <v>406157.13</v>
      </c>
      <c r="BN245" s="101"/>
      <c r="BO245" s="154">
        <f>(BL245*'1. UC Assumptions'!$C$23)-'3.  UC Calculations by Hospital'!BM245</f>
        <v>1.2599999958183616E-2</v>
      </c>
      <c r="BP245" s="13"/>
    </row>
    <row r="246" spans="2:68">
      <c r="B246" s="129" t="s">
        <v>806</v>
      </c>
      <c r="C246" s="91" t="s">
        <v>806</v>
      </c>
      <c r="D246" s="91" t="s">
        <v>214</v>
      </c>
      <c r="E246" s="91" t="s">
        <v>209</v>
      </c>
      <c r="F246" s="91"/>
      <c r="G246" s="91" t="s">
        <v>209</v>
      </c>
      <c r="H246" s="91" t="s">
        <v>209</v>
      </c>
      <c r="I246" s="150" t="s">
        <v>210</v>
      </c>
      <c r="J246" s="129" t="s">
        <v>807</v>
      </c>
      <c r="K246" s="91" t="s">
        <v>3</v>
      </c>
      <c r="L246" s="91" t="s">
        <v>3</v>
      </c>
      <c r="M246" s="151">
        <v>-31546637.008787539</v>
      </c>
      <c r="N246" s="151">
        <v>70389175.193096608</v>
      </c>
      <c r="O246" s="131">
        <v>38121961.44797954</v>
      </c>
      <c r="P246" s="131">
        <f t="shared" si="63"/>
        <v>32267213.745117068</v>
      </c>
      <c r="Q246" s="131">
        <v>61866729.115560062</v>
      </c>
      <c r="R246" s="131">
        <v>21388285.939999998</v>
      </c>
      <c r="S246" s="131">
        <f t="shared" si="64"/>
        <v>20667709.203670472</v>
      </c>
      <c r="T246" s="131">
        <f t="shared" si="65"/>
        <v>41199019.91188959</v>
      </c>
      <c r="U246" s="131">
        <v>1767525</v>
      </c>
      <c r="V246" s="131">
        <v>0</v>
      </c>
      <c r="W246" s="131">
        <v>0</v>
      </c>
      <c r="X246" s="131">
        <v>0</v>
      </c>
      <c r="Y246" s="131">
        <v>2313657.1473119417</v>
      </c>
      <c r="Z246" s="131">
        <f t="shared" si="66"/>
        <v>4081182.1473119417</v>
      </c>
      <c r="AA246" s="131">
        <v>0</v>
      </c>
      <c r="AB246" s="152">
        <f t="shared" si="67"/>
        <v>45280202.059201531</v>
      </c>
      <c r="AC246" s="133">
        <f>IF(D246="Physician Group Practice",(AB246/$AB$393)*'1. UC Assumptions'!$C$15,IF(E246="Rural Hospital",AB246*'1. UC Assumptions'!$C$7/'1. UC Assumptions'!$E$7,(AB246/$AB$397)*('1. UC Assumptions'!$C$9)))</f>
        <v>21288288.069247164</v>
      </c>
      <c r="AD246" s="133">
        <f t="shared" si="68"/>
        <v>0</v>
      </c>
      <c r="AE246" s="133">
        <f t="shared" si="69"/>
        <v>23991913.989954367</v>
      </c>
      <c r="AF246" s="133">
        <f t="shared" si="70"/>
        <v>0</v>
      </c>
      <c r="AG246" s="133">
        <f t="shared" si="71"/>
        <v>23991913.989954367</v>
      </c>
      <c r="AH246" s="133">
        <f t="shared" si="72"/>
        <v>21288288.069247164</v>
      </c>
      <c r="AI246" s="131">
        <f>AH246*'1. UC Assumptions'!$C$23</f>
        <v>7025135.0628515631</v>
      </c>
      <c r="AJ246" s="131">
        <v>27457004.25</v>
      </c>
      <c r="AK246" s="131">
        <f>AJ246*(1-'1. UC Assumptions'!$C$22)</f>
        <v>9060811.402499998</v>
      </c>
      <c r="AL246" s="131"/>
      <c r="AM246" s="131">
        <f>AL246*'1. UC Assumptions'!$C$23</f>
        <v>0</v>
      </c>
      <c r="AN246" s="153">
        <f t="shared" si="73"/>
        <v>45280202.059201531</v>
      </c>
      <c r="AO246" s="151">
        <f>AN246*'1. UC Assumptions'!$C$23</f>
        <v>14942466.679536503</v>
      </c>
      <c r="AP246" s="151">
        <f t="shared" si="74"/>
        <v>17823197.809201531</v>
      </c>
      <c r="AQ246" s="151">
        <f t="shared" si="75"/>
        <v>5881655.2770365048</v>
      </c>
      <c r="AR246" s="151">
        <f t="shared" si="76"/>
        <v>5881655.2770365048</v>
      </c>
      <c r="AS246" s="151">
        <f t="shared" si="77"/>
        <v>14942466.679536503</v>
      </c>
      <c r="AT246" s="151">
        <f>IF(K246="Bexar",(AG246/$AT$1)*'1. UC Assumptions'!$E$44-(AH246/$AT$2)*'1. UC Assumptions'!$E$42,0)</f>
        <v>0</v>
      </c>
      <c r="AU246" s="151">
        <f>IF(K246="Dallas",(AG246/$AU$1)*'1. UC Assumptions'!$F$44-(AH246/$AU$2)*'1. UC Assumptions'!$F$42,0)</f>
        <v>0</v>
      </c>
      <c r="AV246" s="151">
        <f>IF(K246="El Paso",(AG246/$AV$1)*'1. UC Assumptions'!$G$44-(AH246/$AV$2)*'1. UC Assumptions'!$G$42,0)</f>
        <v>0</v>
      </c>
      <c r="AW246" s="151">
        <f>IF(K246="Harris",(AG246/$AW$1)*'1. UC Assumptions'!$H$44-(AH246/$AW$2)*'1. UC Assumptions'!$H$42,0)</f>
        <v>0</v>
      </c>
      <c r="AX246" s="151">
        <f>IF(K246="Hidalgo",(AG246/$AX$1)*'1. UC Assumptions'!$I$44-(AH246/$AX$2)*'1. UC Assumptions'!$I$42,0)</f>
        <v>0</v>
      </c>
      <c r="AY246" s="151">
        <f>IF(K246="Jefferson",(AG246/$AY$1)*'1. UC Assumptions'!$J$44-(AH246/$AY$2)*'1. UC Assumptions'!$J$42,0)</f>
        <v>0</v>
      </c>
      <c r="AZ246" s="151">
        <f>IF(K246="Lubbock",(AG246/$AZ$1)*'1. UC Assumptions'!$K$44-(AH246/$AZ$2)*'1. UC Assumptions'!$K$42,0)</f>
        <v>0</v>
      </c>
      <c r="BA246" s="151">
        <f>IF(K246="MRSA Central",(AG246/$BA$1)*'1. UC Assumptions'!$L$44-(AH246/$BA$2)*'1. UC Assumptions'!$L$42,0)</f>
        <v>0</v>
      </c>
      <c r="BB246" s="151">
        <f>IF(K246="MRSA Northeast",(AG246/$BB$1)*'1. UC Assumptions'!$M$44-(AH246/$BB$2)*'1. UC Assumptions'!$M$42,0)</f>
        <v>0</v>
      </c>
      <c r="BC246" s="151">
        <f>IF(K246="MRSA West",(AG246/$BC$1)*'1. UC Assumptions'!$N$44-(AH246/$BC$2)*'1. UC Assumptions'!$N$42,0)</f>
        <v>0</v>
      </c>
      <c r="BD246" s="151">
        <f>IF(K246="Nueces",(AG246/$BD$1)*'1. UC Assumptions'!$O$44-(AH246/$BD$2)*'1. UC Assumptions'!$O$42,0)</f>
        <v>0</v>
      </c>
      <c r="BE246" s="151">
        <f>IF(K246="Tarrant",(AG246/$BE$1)*'1. UC Assumptions'!$P$44-(AH246/$BE$2)*'1. UC Assumptions'!$P$42,0)</f>
        <v>0</v>
      </c>
      <c r="BF246" s="151">
        <f>IF(K246="Travis",(AG246/$BF$1)*'1. UC Assumptions'!$Q$44-(AH246/$BF$2)*'1. UC Assumptions'!$Q$42,0)</f>
        <v>0</v>
      </c>
      <c r="BG246" s="151">
        <f t="shared" si="78"/>
        <v>0</v>
      </c>
      <c r="BH246" s="151">
        <f t="shared" si="79"/>
        <v>21288288.069247164</v>
      </c>
      <c r="BI246" s="151">
        <f>ROUNDDOWN(BH246*'1. UC Assumptions'!$C$23,2)</f>
        <v>7025135.0599999996</v>
      </c>
      <c r="BJ246" s="154">
        <f t="shared" si="80"/>
        <v>-6168716.1807528362</v>
      </c>
      <c r="BK246" s="154">
        <f t="shared" si="81"/>
        <v>-2035676.3424999984</v>
      </c>
      <c r="BL246" s="154">
        <f t="shared" si="82"/>
        <v>0</v>
      </c>
      <c r="BM246" s="154">
        <f t="shared" si="83"/>
        <v>0</v>
      </c>
      <c r="BN246" s="101"/>
      <c r="BO246" s="154">
        <f>(BL246*'1. UC Assumptions'!$C$23)-'3.  UC Calculations by Hospital'!BM246</f>
        <v>0</v>
      </c>
      <c r="BP246" s="13"/>
    </row>
    <row r="247" spans="2:68">
      <c r="B247" s="129" t="s">
        <v>808</v>
      </c>
      <c r="C247" s="91" t="s">
        <v>808</v>
      </c>
      <c r="D247" s="91" t="s">
        <v>214</v>
      </c>
      <c r="E247" s="91" t="s">
        <v>209</v>
      </c>
      <c r="F247" s="91"/>
      <c r="G247" s="91" t="s">
        <v>209</v>
      </c>
      <c r="H247" s="91" t="s">
        <v>209</v>
      </c>
      <c r="I247" s="150" t="s">
        <v>210</v>
      </c>
      <c r="J247" s="129" t="s">
        <v>809</v>
      </c>
      <c r="K247" s="91" t="s">
        <v>6</v>
      </c>
      <c r="L247" s="91" t="s">
        <v>223</v>
      </c>
      <c r="M247" s="151">
        <v>2903277.5563077913</v>
      </c>
      <c r="N247" s="151">
        <v>12956404.494180411</v>
      </c>
      <c r="O247" s="131">
        <v>0</v>
      </c>
      <c r="P247" s="131">
        <f t="shared" si="63"/>
        <v>12956404.494180411</v>
      </c>
      <c r="Q247" s="131">
        <v>15167222.409937384</v>
      </c>
      <c r="R247" s="131">
        <v>0</v>
      </c>
      <c r="S247" s="131">
        <f t="shared" si="64"/>
        <v>0</v>
      </c>
      <c r="T247" s="131">
        <f t="shared" si="65"/>
        <v>15167222.409937384</v>
      </c>
      <c r="U247" s="131">
        <v>0</v>
      </c>
      <c r="V247" s="131">
        <v>0</v>
      </c>
      <c r="W247" s="131">
        <v>0</v>
      </c>
      <c r="X247" s="131">
        <v>0</v>
      </c>
      <c r="Y247" s="131">
        <v>0</v>
      </c>
      <c r="Z247" s="131">
        <f t="shared" si="66"/>
        <v>0</v>
      </c>
      <c r="AA247" s="131">
        <v>0</v>
      </c>
      <c r="AB247" s="152">
        <f t="shared" si="67"/>
        <v>15167222.409937384</v>
      </c>
      <c r="AC247" s="133">
        <f>IF(D247="Physician Group Practice",(AB247/$AB$393)*'1. UC Assumptions'!$C$15,IF(E247="Rural Hospital",AB247*'1. UC Assumptions'!$C$7/'1. UC Assumptions'!$E$7,(AB247/$AB$397)*('1. UC Assumptions'!$C$9)))</f>
        <v>7130802.9820832899</v>
      </c>
      <c r="AD247" s="133">
        <f t="shared" si="68"/>
        <v>0</v>
      </c>
      <c r="AE247" s="133">
        <f t="shared" si="69"/>
        <v>8036419.4278540937</v>
      </c>
      <c r="AF247" s="133">
        <f t="shared" si="70"/>
        <v>0</v>
      </c>
      <c r="AG247" s="133">
        <f t="shared" si="71"/>
        <v>8036419.4278540937</v>
      </c>
      <c r="AH247" s="133">
        <f t="shared" si="72"/>
        <v>7130802.9820832899</v>
      </c>
      <c r="AI247" s="131">
        <f>AH247*'1. UC Assumptions'!$C$23</f>
        <v>2353164.9840874854</v>
      </c>
      <c r="AJ247" s="131">
        <v>6706821.79</v>
      </c>
      <c r="AK247" s="131">
        <f>AJ247*(1-'1. UC Assumptions'!$C$22)</f>
        <v>2213251.1906999997</v>
      </c>
      <c r="AL247" s="131"/>
      <c r="AM247" s="131">
        <f>AL247*'1. UC Assumptions'!$C$23</f>
        <v>0</v>
      </c>
      <c r="AN247" s="153">
        <f t="shared" si="73"/>
        <v>15167222.409937384</v>
      </c>
      <c r="AO247" s="151">
        <f>AN247*'1. UC Assumptions'!$C$23</f>
        <v>5005183.3952793358</v>
      </c>
      <c r="AP247" s="151">
        <f t="shared" si="74"/>
        <v>8460400.6199373826</v>
      </c>
      <c r="AQ247" s="151">
        <f t="shared" si="75"/>
        <v>2791932.2045793361</v>
      </c>
      <c r="AR247" s="151">
        <f t="shared" si="76"/>
        <v>2791932.2045793361</v>
      </c>
      <c r="AS247" s="151">
        <f t="shared" si="77"/>
        <v>5005183.3952793358</v>
      </c>
      <c r="AT247" s="151">
        <f>IF(K247="Bexar",(AG247/$AT$1)*'1. UC Assumptions'!$E$44-(AH247/$AT$2)*'1. UC Assumptions'!$E$42,0)</f>
        <v>0</v>
      </c>
      <c r="AU247" s="151">
        <f>IF(K247="Dallas",(AG247/$AU$1)*'1. UC Assumptions'!$F$44-(AH247/$AU$2)*'1. UC Assumptions'!$F$42,0)</f>
        <v>0</v>
      </c>
      <c r="AV247" s="151">
        <f>IF(K247="El Paso",(AG247/$AV$1)*'1. UC Assumptions'!$G$44-(AH247/$AV$2)*'1. UC Assumptions'!$G$42,0)</f>
        <v>0</v>
      </c>
      <c r="AW247" s="151">
        <f>IF(K247="Harris",(AG247/$AW$1)*'1. UC Assumptions'!$H$44-(AH247/$AW$2)*'1. UC Assumptions'!$H$42,0)</f>
        <v>0</v>
      </c>
      <c r="AX247" s="151">
        <f>IF(K247="Hidalgo",(AG247/$AX$1)*'1. UC Assumptions'!$I$44-(AH247/$AX$2)*'1. UC Assumptions'!$I$42,0)</f>
        <v>0</v>
      </c>
      <c r="AY247" s="151">
        <f>IF(K247="Jefferson",(AG247/$AY$1)*'1. UC Assumptions'!$J$44-(AH247/$AY$2)*'1. UC Assumptions'!$J$42,0)</f>
        <v>0</v>
      </c>
      <c r="AZ247" s="151">
        <f>IF(K247="Lubbock",(AG247/$AZ$1)*'1. UC Assumptions'!$K$44-(AH247/$AZ$2)*'1. UC Assumptions'!$K$42,0)</f>
        <v>0</v>
      </c>
      <c r="BA247" s="151">
        <f>IF(K247="MRSA Central",(AG247/$BA$1)*'1. UC Assumptions'!$L$44-(AH247/$BA$2)*'1. UC Assumptions'!$L$42,0)</f>
        <v>0</v>
      </c>
      <c r="BB247" s="151">
        <f>IF(K247="MRSA Northeast",(AG247/$BB$1)*'1. UC Assumptions'!$M$44-(AH247/$BB$2)*'1. UC Assumptions'!$M$42,0)</f>
        <v>0</v>
      </c>
      <c r="BC247" s="151">
        <f>IF(K247="MRSA West",(AG247/$BC$1)*'1. UC Assumptions'!$N$44-(AH247/$BC$2)*'1. UC Assumptions'!$N$42,0)</f>
        <v>0</v>
      </c>
      <c r="BD247" s="151">
        <f>IF(K247="Nueces",(AG247/$BD$1)*'1. UC Assumptions'!$O$44-(AH247/$BD$2)*'1. UC Assumptions'!$O$42,0)</f>
        <v>0</v>
      </c>
      <c r="BE247" s="151">
        <f>IF(K247="Tarrant",(AG247/$BE$1)*'1. UC Assumptions'!$P$44-(AH247/$BE$2)*'1. UC Assumptions'!$P$42,0)</f>
        <v>0</v>
      </c>
      <c r="BF247" s="151">
        <f>IF(K247="Travis",(AG247/$BF$1)*'1. UC Assumptions'!$Q$44-(AH247/$BF$2)*'1. UC Assumptions'!$Q$42,0)</f>
        <v>0</v>
      </c>
      <c r="BG247" s="151">
        <f t="shared" si="78"/>
        <v>0</v>
      </c>
      <c r="BH247" s="151">
        <f t="shared" si="79"/>
        <v>7130802.9820832899</v>
      </c>
      <c r="BI247" s="151">
        <f>ROUNDDOWN(BH247*'1. UC Assumptions'!$C$23,2)</f>
        <v>2353164.98</v>
      </c>
      <c r="BJ247" s="154">
        <f t="shared" si="80"/>
        <v>423981.19208328985</v>
      </c>
      <c r="BK247" s="154">
        <f t="shared" si="81"/>
        <v>139913.7893000003</v>
      </c>
      <c r="BL247" s="154">
        <f t="shared" si="82"/>
        <v>391427.95</v>
      </c>
      <c r="BM247" s="154">
        <f t="shared" si="83"/>
        <v>129171.22</v>
      </c>
      <c r="BN247" s="101"/>
      <c r="BO247" s="154">
        <f>(BL247*'1. UC Assumptions'!$C$23)-'3.  UC Calculations by Hospital'!BM247</f>
        <v>3.4999999916180968E-3</v>
      </c>
      <c r="BP247" s="13"/>
    </row>
    <row r="248" spans="2:68">
      <c r="B248" s="129" t="s">
        <v>810</v>
      </c>
      <c r="C248" s="91" t="s">
        <v>810</v>
      </c>
      <c r="D248" s="91" t="s">
        <v>214</v>
      </c>
      <c r="E248" s="91" t="s">
        <v>209</v>
      </c>
      <c r="F248" s="91"/>
      <c r="G248" s="91" t="s">
        <v>209</v>
      </c>
      <c r="H248" s="91" t="s">
        <v>209</v>
      </c>
      <c r="I248" s="150" t="s">
        <v>210</v>
      </c>
      <c r="J248" s="129" t="s">
        <v>811</v>
      </c>
      <c r="K248" s="91" t="s">
        <v>7</v>
      </c>
      <c r="L248" s="91" t="s">
        <v>7</v>
      </c>
      <c r="M248" s="151">
        <v>33796406.99284362</v>
      </c>
      <c r="N248" s="151">
        <v>29508219.59689182</v>
      </c>
      <c r="O248" s="131">
        <v>11967121.451571105</v>
      </c>
      <c r="P248" s="131">
        <f t="shared" si="63"/>
        <v>17541098.145320714</v>
      </c>
      <c r="Q248" s="131">
        <v>19352279.791623283</v>
      </c>
      <c r="R248" s="131">
        <v>24880821.549999997</v>
      </c>
      <c r="S248" s="131">
        <f t="shared" si="64"/>
        <v>0</v>
      </c>
      <c r="T248" s="131">
        <f t="shared" si="65"/>
        <v>19352279.791623283</v>
      </c>
      <c r="U248" s="131">
        <v>0</v>
      </c>
      <c r="V248" s="131">
        <v>0</v>
      </c>
      <c r="W248" s="131">
        <v>0</v>
      </c>
      <c r="X248" s="131">
        <v>0</v>
      </c>
      <c r="Y248" s="131">
        <v>0</v>
      </c>
      <c r="Z248" s="131">
        <f t="shared" si="66"/>
        <v>0</v>
      </c>
      <c r="AA248" s="131">
        <v>0</v>
      </c>
      <c r="AB248" s="152">
        <f t="shared" si="67"/>
        <v>19352279.791623283</v>
      </c>
      <c r="AC248" s="133">
        <f>IF(D248="Physician Group Practice",(AB248/$AB$393)*'1. UC Assumptions'!$C$15,IF(E248="Rural Hospital",AB248*'1. UC Assumptions'!$C$7/'1. UC Assumptions'!$E$7,(AB248/$AB$397)*('1. UC Assumptions'!$C$9)))</f>
        <v>9098389.3239281122</v>
      </c>
      <c r="AD248" s="133">
        <f t="shared" si="68"/>
        <v>0</v>
      </c>
      <c r="AE248" s="133">
        <f t="shared" si="69"/>
        <v>10253890.467695171</v>
      </c>
      <c r="AF248" s="133">
        <f t="shared" si="70"/>
        <v>0</v>
      </c>
      <c r="AG248" s="133">
        <f t="shared" si="71"/>
        <v>10253890.467695171</v>
      </c>
      <c r="AH248" s="133">
        <f t="shared" si="72"/>
        <v>9098389.3239281122</v>
      </c>
      <c r="AI248" s="131">
        <f>AH248*'1. UC Assumptions'!$C$23</f>
        <v>3002468.4768962767</v>
      </c>
      <c r="AJ248" s="131">
        <v>12080406.35</v>
      </c>
      <c r="AK248" s="131">
        <f>AJ248*(1-'1. UC Assumptions'!$C$22)</f>
        <v>3986534.0954999994</v>
      </c>
      <c r="AL248" s="131"/>
      <c r="AM248" s="131">
        <f>AL248*'1. UC Assumptions'!$C$23</f>
        <v>0</v>
      </c>
      <c r="AN248" s="153">
        <f t="shared" si="73"/>
        <v>19352279.791623283</v>
      </c>
      <c r="AO248" s="151">
        <f>AN248*'1. UC Assumptions'!$C$23</f>
        <v>6386252.3312356826</v>
      </c>
      <c r="AP248" s="151">
        <f t="shared" si="74"/>
        <v>7271873.4416232836</v>
      </c>
      <c r="AQ248" s="151">
        <f t="shared" si="75"/>
        <v>2399718.2357356832</v>
      </c>
      <c r="AR248" s="151">
        <f t="shared" si="76"/>
        <v>2399718.2357356832</v>
      </c>
      <c r="AS248" s="151">
        <f t="shared" si="77"/>
        <v>6386252.3312356826</v>
      </c>
      <c r="AT248" s="151">
        <f>IF(K248="Bexar",(AG248/$AT$1)*'1. UC Assumptions'!$E$44-(AH248/$AT$2)*'1. UC Assumptions'!$E$42,0)</f>
        <v>0</v>
      </c>
      <c r="AU248" s="151">
        <f>IF(K248="Dallas",(AG248/$AU$1)*'1. UC Assumptions'!$F$44-(AH248/$AU$2)*'1. UC Assumptions'!$F$42,0)</f>
        <v>0</v>
      </c>
      <c r="AV248" s="151">
        <f>IF(K248="El Paso",(AG248/$AV$1)*'1. UC Assumptions'!$G$44-(AH248/$AV$2)*'1. UC Assumptions'!$G$42,0)</f>
        <v>0</v>
      </c>
      <c r="AW248" s="151">
        <f>IF(K248="Harris",(AG248/$AW$1)*'1. UC Assumptions'!$H$44-(AH248/$AW$2)*'1. UC Assumptions'!$H$42,0)</f>
        <v>0</v>
      </c>
      <c r="AX248" s="151">
        <f>IF(K248="Hidalgo",(AG248/$AX$1)*'1. UC Assumptions'!$I$44-(AH248/$AX$2)*'1. UC Assumptions'!$I$42,0)</f>
        <v>0</v>
      </c>
      <c r="AY248" s="151">
        <f>IF(K248="Jefferson",(AG248/$AY$1)*'1. UC Assumptions'!$J$44-(AH248/$AY$2)*'1. UC Assumptions'!$J$42,0)</f>
        <v>0</v>
      </c>
      <c r="AZ248" s="151">
        <f>IF(K248="Lubbock",(AG248/$AZ$1)*'1. UC Assumptions'!$K$44-(AH248/$AZ$2)*'1. UC Assumptions'!$K$42,0)</f>
        <v>0</v>
      </c>
      <c r="BA248" s="151">
        <f>IF(K248="MRSA Central",(AG248/$BA$1)*'1. UC Assumptions'!$L$44-(AH248/$BA$2)*'1. UC Assumptions'!$L$42,0)</f>
        <v>0</v>
      </c>
      <c r="BB248" s="151">
        <f>IF(K248="MRSA Northeast",(AG248/$BB$1)*'1. UC Assumptions'!$M$44-(AH248/$BB$2)*'1. UC Assumptions'!$M$42,0)</f>
        <v>0</v>
      </c>
      <c r="BC248" s="151">
        <f>IF(K248="MRSA West",(AG248/$BC$1)*'1. UC Assumptions'!$N$44-(AH248/$BC$2)*'1. UC Assumptions'!$N$42,0)</f>
        <v>0</v>
      </c>
      <c r="BD248" s="151">
        <f>IF(K248="Nueces",(AG248/$BD$1)*'1. UC Assumptions'!$O$44-(AH248/$BD$2)*'1. UC Assumptions'!$O$42,0)</f>
        <v>0</v>
      </c>
      <c r="BE248" s="151">
        <f>IF(K248="Tarrant",(AG248/$BE$1)*'1. UC Assumptions'!$P$44-(AH248/$BE$2)*'1. UC Assumptions'!$P$42,0)</f>
        <v>0</v>
      </c>
      <c r="BF248" s="151">
        <f>IF(K248="Travis",(AG248/$BF$1)*'1. UC Assumptions'!$Q$44-(AH248/$BF$2)*'1. UC Assumptions'!$Q$42,0)</f>
        <v>0</v>
      </c>
      <c r="BG248" s="151">
        <f t="shared" si="78"/>
        <v>0</v>
      </c>
      <c r="BH248" s="151">
        <f t="shared" si="79"/>
        <v>9098389.3239281122</v>
      </c>
      <c r="BI248" s="151">
        <f>ROUNDDOWN(BH248*'1. UC Assumptions'!$C$23,2)</f>
        <v>3002468.47</v>
      </c>
      <c r="BJ248" s="154">
        <f t="shared" si="80"/>
        <v>-2982017.0260718875</v>
      </c>
      <c r="BK248" s="154">
        <f t="shared" si="81"/>
        <v>-984065.62549999915</v>
      </c>
      <c r="BL248" s="154">
        <f t="shared" si="82"/>
        <v>0</v>
      </c>
      <c r="BM248" s="154">
        <f t="shared" si="83"/>
        <v>0</v>
      </c>
      <c r="BN248" s="101"/>
      <c r="BO248" s="154">
        <f>(BL248*'1. UC Assumptions'!$C$23)-'3.  UC Calculations by Hospital'!BM248</f>
        <v>0</v>
      </c>
      <c r="BP248" s="13"/>
    </row>
    <row r="249" spans="2:68">
      <c r="B249" s="129" t="s">
        <v>812</v>
      </c>
      <c r="C249" s="91" t="s">
        <v>812</v>
      </c>
      <c r="D249" s="91" t="s">
        <v>214</v>
      </c>
      <c r="E249" s="91" t="s">
        <v>209</v>
      </c>
      <c r="F249" s="91"/>
      <c r="G249" s="91" t="s">
        <v>209</v>
      </c>
      <c r="H249" s="91" t="s">
        <v>209</v>
      </c>
      <c r="I249" s="150" t="s">
        <v>210</v>
      </c>
      <c r="J249" s="129" t="s">
        <v>813</v>
      </c>
      <c r="K249" s="91" t="s">
        <v>7</v>
      </c>
      <c r="L249" s="91" t="s">
        <v>371</v>
      </c>
      <c r="M249" s="151">
        <v>-9995423.3838168904</v>
      </c>
      <c r="N249" s="151">
        <v>28353292.604359698</v>
      </c>
      <c r="O249" s="131">
        <v>18567952.322293248</v>
      </c>
      <c r="P249" s="131">
        <f t="shared" si="63"/>
        <v>9785340.2820664495</v>
      </c>
      <c r="Q249" s="131">
        <v>21405462.168549046</v>
      </c>
      <c r="R249" s="131">
        <v>8883499.4699999988</v>
      </c>
      <c r="S249" s="131">
        <f t="shared" si="64"/>
        <v>8883499.4699999988</v>
      </c>
      <c r="T249" s="131">
        <f t="shared" si="65"/>
        <v>12521962.698549047</v>
      </c>
      <c r="U249" s="131">
        <v>2267886.1044216808</v>
      </c>
      <c r="V249" s="131">
        <v>0</v>
      </c>
      <c r="W249" s="131">
        <v>826005</v>
      </c>
      <c r="X249" s="131">
        <v>0</v>
      </c>
      <c r="Y249" s="131">
        <v>7755214.0035465816</v>
      </c>
      <c r="Z249" s="131">
        <f t="shared" si="66"/>
        <v>10849105.107968263</v>
      </c>
      <c r="AA249" s="131">
        <v>0</v>
      </c>
      <c r="AB249" s="152">
        <f t="shared" si="67"/>
        <v>23371067.80651731</v>
      </c>
      <c r="AC249" s="133">
        <f>IF(D249="Physician Group Practice",(AB249/$AB$393)*'1. UC Assumptions'!$C$15,IF(E249="Rural Hospital",AB249*'1. UC Assumptions'!$C$7/'1. UC Assumptions'!$E$7,(AB249/$AB$397)*('1. UC Assumptions'!$C$9)))</f>
        <v>10987804.853444647</v>
      </c>
      <c r="AD249" s="133">
        <f t="shared" si="68"/>
        <v>0</v>
      </c>
      <c r="AE249" s="133">
        <f t="shared" si="69"/>
        <v>12383262.953072663</v>
      </c>
      <c r="AF249" s="133">
        <f t="shared" si="70"/>
        <v>0</v>
      </c>
      <c r="AG249" s="133">
        <f t="shared" si="71"/>
        <v>12383262.953072663</v>
      </c>
      <c r="AH249" s="133">
        <f t="shared" si="72"/>
        <v>10987804.853444647</v>
      </c>
      <c r="AI249" s="131">
        <f>AH249*'1. UC Assumptions'!$C$23</f>
        <v>3625975.6016367329</v>
      </c>
      <c r="AJ249" s="131">
        <v>12182324.869999999</v>
      </c>
      <c r="AK249" s="131">
        <f>AJ249*(1-'1. UC Assumptions'!$C$22)</f>
        <v>4020167.2070999993</v>
      </c>
      <c r="AL249" s="131"/>
      <c r="AM249" s="131">
        <f>AL249*'1. UC Assumptions'!$C$23</f>
        <v>0</v>
      </c>
      <c r="AN249" s="153">
        <f t="shared" si="73"/>
        <v>23371067.80651731</v>
      </c>
      <c r="AO249" s="151">
        <f>AN249*'1. UC Assumptions'!$C$23</f>
        <v>7712452.3761507114</v>
      </c>
      <c r="AP249" s="151">
        <f t="shared" si="74"/>
        <v>11188742.936517311</v>
      </c>
      <c r="AQ249" s="151">
        <f t="shared" si="75"/>
        <v>3692285.1690507121</v>
      </c>
      <c r="AR249" s="151">
        <f t="shared" si="76"/>
        <v>3692285.1690507121</v>
      </c>
      <c r="AS249" s="151">
        <f t="shared" si="77"/>
        <v>7712452.3761507114</v>
      </c>
      <c r="AT249" s="151">
        <f>IF(K249="Bexar",(AG249/$AT$1)*'1. UC Assumptions'!$E$44-(AH249/$AT$2)*'1. UC Assumptions'!$E$42,0)</f>
        <v>0</v>
      </c>
      <c r="AU249" s="151">
        <f>IF(K249="Dallas",(AG249/$AU$1)*'1. UC Assumptions'!$F$44-(AH249/$AU$2)*'1. UC Assumptions'!$F$42,0)</f>
        <v>0</v>
      </c>
      <c r="AV249" s="151">
        <f>IF(K249="El Paso",(AG249/$AV$1)*'1. UC Assumptions'!$G$44-(AH249/$AV$2)*'1. UC Assumptions'!$G$42,0)</f>
        <v>0</v>
      </c>
      <c r="AW249" s="151">
        <f>IF(K249="Harris",(AG249/$AW$1)*'1. UC Assumptions'!$H$44-(AH249/$AW$2)*'1. UC Assumptions'!$H$42,0)</f>
        <v>0</v>
      </c>
      <c r="AX249" s="151">
        <f>IF(K249="Hidalgo",(AG249/$AX$1)*'1. UC Assumptions'!$I$44-(AH249/$AX$2)*'1. UC Assumptions'!$I$42,0)</f>
        <v>0</v>
      </c>
      <c r="AY249" s="151">
        <f>IF(K249="Jefferson",(AG249/$AY$1)*'1. UC Assumptions'!$J$44-(AH249/$AY$2)*'1. UC Assumptions'!$J$42,0)</f>
        <v>0</v>
      </c>
      <c r="AZ249" s="151">
        <f>IF(K249="Lubbock",(AG249/$AZ$1)*'1. UC Assumptions'!$K$44-(AH249/$AZ$2)*'1. UC Assumptions'!$K$42,0)</f>
        <v>0</v>
      </c>
      <c r="BA249" s="151">
        <f>IF(K249="MRSA Central",(AG249/$BA$1)*'1. UC Assumptions'!$L$44-(AH249/$BA$2)*'1. UC Assumptions'!$L$42,0)</f>
        <v>0</v>
      </c>
      <c r="BB249" s="151">
        <f>IF(K249="MRSA Northeast",(AG249/$BB$1)*'1. UC Assumptions'!$M$44-(AH249/$BB$2)*'1. UC Assumptions'!$M$42,0)</f>
        <v>0</v>
      </c>
      <c r="BC249" s="151">
        <f>IF(K249="MRSA West",(AG249/$BC$1)*'1. UC Assumptions'!$N$44-(AH249/$BC$2)*'1. UC Assumptions'!$N$42,0)</f>
        <v>0</v>
      </c>
      <c r="BD249" s="151">
        <f>IF(K249="Nueces",(AG249/$BD$1)*'1. UC Assumptions'!$O$44-(AH249/$BD$2)*'1. UC Assumptions'!$O$42,0)</f>
        <v>0</v>
      </c>
      <c r="BE249" s="151">
        <f>IF(K249="Tarrant",(AG249/$BE$1)*'1. UC Assumptions'!$P$44-(AH249/$BE$2)*'1. UC Assumptions'!$P$42,0)</f>
        <v>0</v>
      </c>
      <c r="BF249" s="151">
        <f>IF(K249="Travis",(AG249/$BF$1)*'1. UC Assumptions'!$Q$44-(AH249/$BF$2)*'1. UC Assumptions'!$Q$42,0)</f>
        <v>0</v>
      </c>
      <c r="BG249" s="151">
        <f t="shared" si="78"/>
        <v>0</v>
      </c>
      <c r="BH249" s="151">
        <f t="shared" si="79"/>
        <v>10987804.853444647</v>
      </c>
      <c r="BI249" s="151">
        <f>ROUNDDOWN(BH249*'1. UC Assumptions'!$C$23,2)</f>
        <v>3625975.6</v>
      </c>
      <c r="BJ249" s="154">
        <f t="shared" si="80"/>
        <v>-1194520.0165553521</v>
      </c>
      <c r="BK249" s="154">
        <f t="shared" si="81"/>
        <v>-394191.60709999921</v>
      </c>
      <c r="BL249" s="154">
        <f t="shared" si="82"/>
        <v>0</v>
      </c>
      <c r="BM249" s="154">
        <f t="shared" si="83"/>
        <v>0</v>
      </c>
      <c r="BN249" s="101"/>
      <c r="BO249" s="154">
        <f>(BL249*'1. UC Assumptions'!$C$23)-'3.  UC Calculations by Hospital'!BM249</f>
        <v>0</v>
      </c>
      <c r="BP249" s="13"/>
    </row>
    <row r="250" spans="2:68">
      <c r="B250" s="129" t="s">
        <v>814</v>
      </c>
      <c r="C250" s="91" t="s">
        <v>814</v>
      </c>
      <c r="D250" s="91" t="s">
        <v>214</v>
      </c>
      <c r="E250" s="91" t="s">
        <v>149</v>
      </c>
      <c r="F250" s="91"/>
      <c r="G250" s="91" t="s">
        <v>209</v>
      </c>
      <c r="H250" s="91" t="s">
        <v>209</v>
      </c>
      <c r="I250" s="150" t="s">
        <v>210</v>
      </c>
      <c r="J250" s="129" t="s">
        <v>815</v>
      </c>
      <c r="K250" s="91" t="s">
        <v>11</v>
      </c>
      <c r="L250" s="91" t="s">
        <v>816</v>
      </c>
      <c r="M250" s="151">
        <v>-3196168.0203468264</v>
      </c>
      <c r="N250" s="151">
        <v>8235881.3467742559</v>
      </c>
      <c r="O250" s="131">
        <v>3554666.4581720321</v>
      </c>
      <c r="P250" s="131">
        <f t="shared" si="63"/>
        <v>4681214.8886022232</v>
      </c>
      <c r="Q250" s="131">
        <v>4903366.7529005818</v>
      </c>
      <c r="R250" s="131">
        <v>2513064.41</v>
      </c>
      <c r="S250" s="131">
        <f t="shared" si="64"/>
        <v>1028017.5417446028</v>
      </c>
      <c r="T250" s="131">
        <f t="shared" si="65"/>
        <v>3875349.211155979</v>
      </c>
      <c r="U250" s="131">
        <v>286042</v>
      </c>
      <c r="V250" s="131">
        <v>0</v>
      </c>
      <c r="W250" s="131">
        <v>64142</v>
      </c>
      <c r="X250" s="131">
        <v>0</v>
      </c>
      <c r="Y250" s="131">
        <v>900296</v>
      </c>
      <c r="Z250" s="131">
        <f t="shared" si="66"/>
        <v>1250480</v>
      </c>
      <c r="AA250" s="131">
        <v>0</v>
      </c>
      <c r="AB250" s="152">
        <f t="shared" si="67"/>
        <v>5125829.211155979</v>
      </c>
      <c r="AC250" s="133">
        <f>IF(D250="Physician Group Practice",(AB250/$AB$393)*'1. UC Assumptions'!$C$15,IF(E250="Rural Hospital",AB250*'1. UC Assumptions'!$C$7/'1. UC Assumptions'!$E$7,(AB250/$AB$397)*('1. UC Assumptions'!$C$9)))</f>
        <v>4784631.0800931584</v>
      </c>
      <c r="AD250" s="133">
        <f t="shared" si="68"/>
        <v>0</v>
      </c>
      <c r="AE250" s="133">
        <f t="shared" si="69"/>
        <v>341198.13106282055</v>
      </c>
      <c r="AF250" s="133">
        <f t="shared" si="70"/>
        <v>0</v>
      </c>
      <c r="AG250" s="133">
        <f t="shared" si="71"/>
        <v>341198.13106282055</v>
      </c>
      <c r="AH250" s="133">
        <f t="shared" si="72"/>
        <v>4784631.0800931584</v>
      </c>
      <c r="AI250" s="131">
        <f>AH250*'1. UC Assumptions'!$C$23</f>
        <v>1578928.2564307421</v>
      </c>
      <c r="AJ250" s="131">
        <v>2944713.77</v>
      </c>
      <c r="AK250" s="131">
        <f>AJ250*(1-'1. UC Assumptions'!$C$22)</f>
        <v>971755.54409999994</v>
      </c>
      <c r="AL250" s="131"/>
      <c r="AM250" s="131">
        <f>AL250*'1. UC Assumptions'!$C$23</f>
        <v>0</v>
      </c>
      <c r="AN250" s="153">
        <f t="shared" si="73"/>
        <v>5125829.211155979</v>
      </c>
      <c r="AO250" s="151">
        <f>AN250*'1. UC Assumptions'!$C$23</f>
        <v>1691523.6396814729</v>
      </c>
      <c r="AP250" s="151">
        <f t="shared" si="74"/>
        <v>2181115.4411559789</v>
      </c>
      <c r="AQ250" s="151">
        <f t="shared" si="75"/>
        <v>719768.09558147297</v>
      </c>
      <c r="AR250" s="151">
        <f t="shared" si="76"/>
        <v>719768.09558147297</v>
      </c>
      <c r="AS250" s="151">
        <f t="shared" si="77"/>
        <v>1691523.6396814729</v>
      </c>
      <c r="AT250" s="151">
        <f>IF(K250="Bexar",(AG250/$AT$1)*'1. UC Assumptions'!$E$44-(AH250/$AT$2)*'1. UC Assumptions'!$E$42,0)</f>
        <v>0</v>
      </c>
      <c r="AU250" s="151">
        <f>IF(K250="Dallas",(AG250/$AU$1)*'1. UC Assumptions'!$F$44-(AH250/$AU$2)*'1. UC Assumptions'!$F$42,0)</f>
        <v>0</v>
      </c>
      <c r="AV250" s="151">
        <f>IF(K250="El Paso",(AG250/$AV$1)*'1. UC Assumptions'!$G$44-(AH250/$AV$2)*'1. UC Assumptions'!$G$42,0)</f>
        <v>0</v>
      </c>
      <c r="AW250" s="151">
        <f>IF(K250="Harris",(AG250/$AW$1)*'1. UC Assumptions'!$H$44-(AH250/$AW$2)*'1. UC Assumptions'!$H$42,0)</f>
        <v>0</v>
      </c>
      <c r="AX250" s="151">
        <f>IF(K250="Hidalgo",(AG250/$AX$1)*'1. UC Assumptions'!$I$44-(AH250/$AX$2)*'1. UC Assumptions'!$I$42,0)</f>
        <v>0</v>
      </c>
      <c r="AY250" s="151">
        <f>IF(K250="Jefferson",(AG250/$AY$1)*'1. UC Assumptions'!$J$44-(AH250/$AY$2)*'1. UC Assumptions'!$J$42,0)</f>
        <v>0</v>
      </c>
      <c r="AZ250" s="151">
        <f>IF(K250="Lubbock",(AG250/$AZ$1)*'1. UC Assumptions'!$K$44-(AH250/$AZ$2)*'1. UC Assumptions'!$K$42,0)</f>
        <v>0</v>
      </c>
      <c r="BA250" s="151">
        <f>IF(K250="MRSA Central",(AG250/$BA$1)*'1. UC Assumptions'!$L$44-(AH250/$BA$2)*'1. UC Assumptions'!$L$42,0)</f>
        <v>0</v>
      </c>
      <c r="BB250" s="151">
        <f>IF(K250="MRSA Northeast",(AG250/$BB$1)*'1. UC Assumptions'!$M$44-(AH250/$BB$2)*'1. UC Assumptions'!$M$42,0)</f>
        <v>0</v>
      </c>
      <c r="BC250" s="151">
        <f>IF(K250="MRSA West",(AG250/$BC$1)*'1. UC Assumptions'!$N$44-(AH250/$BC$2)*'1. UC Assumptions'!$N$42,0)</f>
        <v>0</v>
      </c>
      <c r="BD250" s="151">
        <f>IF(K250="Nueces",(AG250/$BD$1)*'1. UC Assumptions'!$O$44-(AH250/$BD$2)*'1. UC Assumptions'!$O$42,0)</f>
        <v>0</v>
      </c>
      <c r="BE250" s="151">
        <f>IF(K250="Tarrant",(AG250/$BE$1)*'1. UC Assumptions'!$P$44-(AH250/$BE$2)*'1. UC Assumptions'!$P$42,0)</f>
        <v>0</v>
      </c>
      <c r="BF250" s="151">
        <f>IF(K250="Travis",(AG250/$BF$1)*'1. UC Assumptions'!$Q$44-(AH250/$BF$2)*'1. UC Assumptions'!$Q$42,0)</f>
        <v>0</v>
      </c>
      <c r="BG250" s="151">
        <f t="shared" si="78"/>
        <v>0</v>
      </c>
      <c r="BH250" s="151">
        <f t="shared" si="79"/>
        <v>4784631.0800931584</v>
      </c>
      <c r="BI250" s="151">
        <f>ROUNDDOWN(BH250*'1. UC Assumptions'!$C$23,2)</f>
        <v>1578928.25</v>
      </c>
      <c r="BJ250" s="154">
        <f t="shared" si="80"/>
        <v>1839917.3100931584</v>
      </c>
      <c r="BK250" s="154">
        <f t="shared" si="81"/>
        <v>607172.70590000006</v>
      </c>
      <c r="BL250" s="154">
        <f t="shared" si="82"/>
        <v>1698648.62</v>
      </c>
      <c r="BM250" s="154">
        <f t="shared" si="83"/>
        <v>560554.04</v>
      </c>
      <c r="BN250" s="101"/>
      <c r="BO250" s="154">
        <f>(BL250*'1. UC Assumptions'!$C$23)-'3.  UC Calculations by Hospital'!BM250</f>
        <v>4.5999999856576324E-3</v>
      </c>
      <c r="BP250" s="13"/>
    </row>
    <row r="251" spans="2:68">
      <c r="B251" s="129" t="s">
        <v>817</v>
      </c>
      <c r="C251" s="91" t="s">
        <v>817</v>
      </c>
      <c r="D251" s="91" t="s">
        <v>214</v>
      </c>
      <c r="E251" s="91" t="s">
        <v>209</v>
      </c>
      <c r="F251" s="91"/>
      <c r="G251" s="91" t="s">
        <v>209</v>
      </c>
      <c r="H251" s="91" t="s">
        <v>209</v>
      </c>
      <c r="I251" s="150" t="s">
        <v>210</v>
      </c>
      <c r="J251" s="129" t="s">
        <v>818</v>
      </c>
      <c r="K251" s="91" t="s">
        <v>9</v>
      </c>
      <c r="L251" s="91" t="s">
        <v>9</v>
      </c>
      <c r="M251" s="151">
        <v>672163.4220985024</v>
      </c>
      <c r="N251" s="151">
        <v>0</v>
      </c>
      <c r="O251" s="131">
        <v>0</v>
      </c>
      <c r="P251" s="131">
        <f t="shared" si="63"/>
        <v>0</v>
      </c>
      <c r="Q251" s="131">
        <v>501946.42120142962</v>
      </c>
      <c r="R251" s="131">
        <v>0</v>
      </c>
      <c r="S251" s="131">
        <f t="shared" si="64"/>
        <v>0</v>
      </c>
      <c r="T251" s="131">
        <f t="shared" si="65"/>
        <v>501946.42120142962</v>
      </c>
      <c r="U251" s="131">
        <v>0</v>
      </c>
      <c r="V251" s="131">
        <v>0</v>
      </c>
      <c r="W251" s="131">
        <v>0</v>
      </c>
      <c r="X251" s="131">
        <v>0</v>
      </c>
      <c r="Y251" s="131">
        <v>0</v>
      </c>
      <c r="Z251" s="131">
        <f t="shared" si="66"/>
        <v>0</v>
      </c>
      <c r="AA251" s="131">
        <v>0</v>
      </c>
      <c r="AB251" s="152">
        <f t="shared" si="67"/>
        <v>501946.42120142962</v>
      </c>
      <c r="AC251" s="133">
        <f>IF(D251="Physician Group Practice",(AB251/$AB$393)*'1. UC Assumptions'!$C$15,IF(E251="Rural Hospital",AB251*'1. UC Assumptions'!$C$7/'1. UC Assumptions'!$E$7,(AB251/$AB$397)*('1. UC Assumptions'!$C$9)))</f>
        <v>235987.90473357122</v>
      </c>
      <c r="AD251" s="133">
        <f t="shared" si="68"/>
        <v>0</v>
      </c>
      <c r="AE251" s="133">
        <f t="shared" si="69"/>
        <v>265958.5164678584</v>
      </c>
      <c r="AF251" s="133">
        <f t="shared" si="70"/>
        <v>0</v>
      </c>
      <c r="AG251" s="133">
        <f t="shared" si="71"/>
        <v>265958.5164678584</v>
      </c>
      <c r="AH251" s="133">
        <f t="shared" si="72"/>
        <v>235987.90473357122</v>
      </c>
      <c r="AI251" s="131">
        <f>AH251*'1. UC Assumptions'!$C$23</f>
        <v>77876.008562078496</v>
      </c>
      <c r="AJ251" s="131">
        <v>0</v>
      </c>
      <c r="AK251" s="131">
        <f>AJ251*(1-'1. UC Assumptions'!$C$22)</f>
        <v>0</v>
      </c>
      <c r="AL251" s="131"/>
      <c r="AM251" s="131">
        <f>AL251*'1. UC Assumptions'!$C$23</f>
        <v>0</v>
      </c>
      <c r="AN251" s="153">
        <f t="shared" si="73"/>
        <v>501946.42120142962</v>
      </c>
      <c r="AO251" s="151">
        <f>AN251*'1. UC Assumptions'!$C$23</f>
        <v>165642.31899647176</v>
      </c>
      <c r="AP251" s="151">
        <f t="shared" si="74"/>
        <v>501946.42120142962</v>
      </c>
      <c r="AQ251" s="151">
        <f t="shared" si="75"/>
        <v>165642.31899647176</v>
      </c>
      <c r="AR251" s="151">
        <f t="shared" si="76"/>
        <v>165642.31899647176</v>
      </c>
      <c r="AS251" s="151">
        <f t="shared" si="77"/>
        <v>165642.31899647176</v>
      </c>
      <c r="AT251" s="151">
        <f>IF(K251="Bexar",(AG251/$AT$1)*'1. UC Assumptions'!$E$44-(AH251/$AT$2)*'1. UC Assumptions'!$E$42,0)</f>
        <v>0</v>
      </c>
      <c r="AU251" s="151">
        <f>IF(K251="Dallas",(AG251/$AU$1)*'1. UC Assumptions'!$F$44-(AH251/$AU$2)*'1. UC Assumptions'!$F$42,0)</f>
        <v>0</v>
      </c>
      <c r="AV251" s="151">
        <f>IF(K251="El Paso",(AG251/$AV$1)*'1. UC Assumptions'!$G$44-(AH251/$AV$2)*'1. UC Assumptions'!$G$42,0)</f>
        <v>0</v>
      </c>
      <c r="AW251" s="151">
        <f>IF(K251="Harris",(AG251/$AW$1)*'1. UC Assumptions'!$H$44-(AH251/$AW$2)*'1. UC Assumptions'!$H$42,0)</f>
        <v>0</v>
      </c>
      <c r="AX251" s="151">
        <f>IF(K251="Hidalgo",(AG251/$AX$1)*'1. UC Assumptions'!$I$44-(AH251/$AX$2)*'1. UC Assumptions'!$I$42,0)</f>
        <v>0</v>
      </c>
      <c r="AY251" s="151">
        <f>IF(K251="Jefferson",(AG251/$AY$1)*'1. UC Assumptions'!$J$44-(AH251/$AY$2)*'1. UC Assumptions'!$J$42,0)</f>
        <v>0</v>
      </c>
      <c r="AZ251" s="151">
        <f>IF(K251="Lubbock",(AG251/$AZ$1)*'1. UC Assumptions'!$K$44-(AH251/$AZ$2)*'1. UC Assumptions'!$K$42,0)</f>
        <v>0</v>
      </c>
      <c r="BA251" s="151">
        <f>IF(K251="MRSA Central",(AG251/$BA$1)*'1. UC Assumptions'!$L$44-(AH251/$BA$2)*'1. UC Assumptions'!$L$42,0)</f>
        <v>0</v>
      </c>
      <c r="BB251" s="151">
        <f>IF(K251="MRSA Northeast",(AG251/$BB$1)*'1. UC Assumptions'!$M$44-(AH251/$BB$2)*'1. UC Assumptions'!$M$42,0)</f>
        <v>0</v>
      </c>
      <c r="BC251" s="151">
        <f>IF(K251="MRSA West",(AG251/$BC$1)*'1. UC Assumptions'!$N$44-(AH251/$BC$2)*'1. UC Assumptions'!$N$42,0)</f>
        <v>0</v>
      </c>
      <c r="BD251" s="151">
        <f>IF(K251="Nueces",(AG251/$BD$1)*'1. UC Assumptions'!$O$44-(AH251/$BD$2)*'1. UC Assumptions'!$O$42,0)</f>
        <v>0</v>
      </c>
      <c r="BE251" s="151">
        <f>IF(K251="Tarrant",(AG251/$BE$1)*'1. UC Assumptions'!$P$44-(AH251/$BE$2)*'1. UC Assumptions'!$P$42,0)</f>
        <v>0</v>
      </c>
      <c r="BF251" s="151">
        <f>IF(K251="Travis",(AG251/$BF$1)*'1. UC Assumptions'!$Q$44-(AH251/$BF$2)*'1. UC Assumptions'!$Q$42,0)</f>
        <v>0</v>
      </c>
      <c r="BG251" s="151">
        <f t="shared" si="78"/>
        <v>0</v>
      </c>
      <c r="BH251" s="151">
        <f t="shared" si="79"/>
        <v>235987.90473357122</v>
      </c>
      <c r="BI251" s="151">
        <f>ROUNDDOWN(BH251*'1. UC Assumptions'!$C$23,2)</f>
        <v>77876</v>
      </c>
      <c r="BJ251" s="154">
        <f t="shared" si="80"/>
        <v>235987.90473357122</v>
      </c>
      <c r="BK251" s="154">
        <f t="shared" si="81"/>
        <v>77876</v>
      </c>
      <c r="BL251" s="154">
        <f t="shared" si="82"/>
        <v>217868.77</v>
      </c>
      <c r="BM251" s="154">
        <f t="shared" si="83"/>
        <v>71896.69</v>
      </c>
      <c r="BN251" s="101"/>
      <c r="BO251" s="154">
        <f>(BL251*'1. UC Assumptions'!$C$23)-'3.  UC Calculations by Hospital'!BM251</f>
        <v>4.0999999910127372E-3</v>
      </c>
      <c r="BP251" s="13"/>
    </row>
    <row r="252" spans="2:68">
      <c r="B252" s="129" t="s">
        <v>819</v>
      </c>
      <c r="C252" s="91" t="s">
        <v>819</v>
      </c>
      <c r="D252" s="91" t="s">
        <v>214</v>
      </c>
      <c r="E252" s="91" t="s">
        <v>209</v>
      </c>
      <c r="F252" s="91"/>
      <c r="G252" s="91" t="s">
        <v>209</v>
      </c>
      <c r="H252" s="91" t="s">
        <v>209</v>
      </c>
      <c r="I252" s="150" t="s">
        <v>210</v>
      </c>
      <c r="J252" s="129" t="s">
        <v>820</v>
      </c>
      <c r="K252" s="91" t="s">
        <v>8</v>
      </c>
      <c r="L252" s="91" t="s">
        <v>8</v>
      </c>
      <c r="M252" s="151">
        <v>1892237.0901643783</v>
      </c>
      <c r="N252" s="151">
        <v>10065214.059650747</v>
      </c>
      <c r="O252" s="131">
        <v>7534799.119260313</v>
      </c>
      <c r="P252" s="131">
        <f t="shared" si="63"/>
        <v>2530414.9403904341</v>
      </c>
      <c r="Q252" s="131">
        <v>9029318.7155953161</v>
      </c>
      <c r="R252" s="131">
        <v>2884691.6199999996</v>
      </c>
      <c r="S252" s="131">
        <f t="shared" si="64"/>
        <v>0</v>
      </c>
      <c r="T252" s="131">
        <f t="shared" si="65"/>
        <v>9029318.7155953161</v>
      </c>
      <c r="U252" s="131">
        <v>1059514</v>
      </c>
      <c r="V252" s="131">
        <v>0</v>
      </c>
      <c r="W252" s="131">
        <v>597330.00000000116</v>
      </c>
      <c r="X252" s="131">
        <v>0</v>
      </c>
      <c r="Y252" s="131">
        <v>1221954.43353907</v>
      </c>
      <c r="Z252" s="131">
        <f t="shared" si="66"/>
        <v>2878798.4335390711</v>
      </c>
      <c r="AA252" s="131">
        <v>0</v>
      </c>
      <c r="AB252" s="152">
        <f t="shared" si="67"/>
        <v>11908117.149134386</v>
      </c>
      <c r="AC252" s="133">
        <f>IF(D252="Physician Group Practice",(AB252/$AB$393)*'1. UC Assumptions'!$C$15,IF(E252="Rural Hospital",AB252*'1. UC Assumptions'!$C$7/'1. UC Assumptions'!$E$7,(AB252/$AB$397)*('1. UC Assumptions'!$C$9)))</f>
        <v>5598548.9618988978</v>
      </c>
      <c r="AD252" s="133">
        <f t="shared" si="68"/>
        <v>0</v>
      </c>
      <c r="AE252" s="133">
        <f t="shared" si="69"/>
        <v>6309568.1872354886</v>
      </c>
      <c r="AF252" s="133">
        <f t="shared" si="70"/>
        <v>0</v>
      </c>
      <c r="AG252" s="133">
        <f t="shared" si="71"/>
        <v>6309568.1872354886</v>
      </c>
      <c r="AH252" s="133">
        <f t="shared" si="72"/>
        <v>5598548.9618988978</v>
      </c>
      <c r="AI252" s="131">
        <f>AH252*'1. UC Assumptions'!$C$23</f>
        <v>1847521.157426636</v>
      </c>
      <c r="AJ252" s="131">
        <v>6285041.8799999999</v>
      </c>
      <c r="AK252" s="131">
        <f>AJ252*(1-'1. UC Assumptions'!$C$22)</f>
        <v>2074063.8203999996</v>
      </c>
      <c r="AL252" s="131"/>
      <c r="AM252" s="131">
        <f>AL252*'1. UC Assumptions'!$C$23</f>
        <v>0</v>
      </c>
      <c r="AN252" s="153">
        <f t="shared" si="73"/>
        <v>11908117.149134386</v>
      </c>
      <c r="AO252" s="151">
        <f>AN252*'1. UC Assumptions'!$C$23</f>
        <v>3929678.6592143471</v>
      </c>
      <c r="AP252" s="151">
        <f t="shared" si="74"/>
        <v>5623075.2691343864</v>
      </c>
      <c r="AQ252" s="151">
        <f t="shared" si="75"/>
        <v>1855614.8388143475</v>
      </c>
      <c r="AR252" s="151">
        <f t="shared" si="76"/>
        <v>1855614.8388143475</v>
      </c>
      <c r="AS252" s="151">
        <f t="shared" si="77"/>
        <v>3929678.6592143471</v>
      </c>
      <c r="AT252" s="151">
        <f>IF(K252="Bexar",(AG252/$AT$1)*'1. UC Assumptions'!$E$44-(AH252/$AT$2)*'1. UC Assumptions'!$E$42,0)</f>
        <v>0</v>
      </c>
      <c r="AU252" s="151">
        <f>IF(K252="Dallas",(AG252/$AU$1)*'1. UC Assumptions'!$F$44-(AH252/$AU$2)*'1. UC Assumptions'!$F$42,0)</f>
        <v>0</v>
      </c>
      <c r="AV252" s="151">
        <f>IF(K252="El Paso",(AG252/$AV$1)*'1. UC Assumptions'!$G$44-(AH252/$AV$2)*'1. UC Assumptions'!$G$42,0)</f>
        <v>0</v>
      </c>
      <c r="AW252" s="151">
        <f>IF(K252="Harris",(AG252/$AW$1)*'1. UC Assumptions'!$H$44-(AH252/$AW$2)*'1. UC Assumptions'!$H$42,0)</f>
        <v>0</v>
      </c>
      <c r="AX252" s="151">
        <f>IF(K252="Hidalgo",(AG252/$AX$1)*'1. UC Assumptions'!$I$44-(AH252/$AX$2)*'1. UC Assumptions'!$I$42,0)</f>
        <v>0</v>
      </c>
      <c r="AY252" s="151">
        <f>IF(K252="Jefferson",(AG252/$AY$1)*'1. UC Assumptions'!$J$44-(AH252/$AY$2)*'1. UC Assumptions'!$J$42,0)</f>
        <v>0</v>
      </c>
      <c r="AZ252" s="151">
        <f>IF(K252="Lubbock",(AG252/$AZ$1)*'1. UC Assumptions'!$K$44-(AH252/$AZ$2)*'1. UC Assumptions'!$K$42,0)</f>
        <v>0</v>
      </c>
      <c r="BA252" s="151">
        <f>IF(K252="MRSA Central",(AG252/$BA$1)*'1. UC Assumptions'!$L$44-(AH252/$BA$2)*'1. UC Assumptions'!$L$42,0)</f>
        <v>0</v>
      </c>
      <c r="BB252" s="151">
        <f>IF(K252="MRSA Northeast",(AG252/$BB$1)*'1. UC Assumptions'!$M$44-(AH252/$BB$2)*'1. UC Assumptions'!$M$42,0)</f>
        <v>0</v>
      </c>
      <c r="BC252" s="151">
        <f>IF(K252="MRSA West",(AG252/$BC$1)*'1. UC Assumptions'!$N$44-(AH252/$BC$2)*'1. UC Assumptions'!$N$42,0)</f>
        <v>0</v>
      </c>
      <c r="BD252" s="151">
        <f>IF(K252="Nueces",(AG252/$BD$1)*'1. UC Assumptions'!$O$44-(AH252/$BD$2)*'1. UC Assumptions'!$O$42,0)</f>
        <v>0</v>
      </c>
      <c r="BE252" s="151">
        <f>IF(K252="Tarrant",(AG252/$BE$1)*'1. UC Assumptions'!$P$44-(AH252/$BE$2)*'1. UC Assumptions'!$P$42,0)</f>
        <v>0</v>
      </c>
      <c r="BF252" s="151">
        <f>IF(K252="Travis",(AG252/$BF$1)*'1. UC Assumptions'!$Q$44-(AH252/$BF$2)*'1. UC Assumptions'!$Q$42,0)</f>
        <v>0</v>
      </c>
      <c r="BG252" s="151">
        <f t="shared" si="78"/>
        <v>0</v>
      </c>
      <c r="BH252" s="151">
        <f t="shared" si="79"/>
        <v>5598548.9618988978</v>
      </c>
      <c r="BI252" s="151">
        <f>ROUNDDOWN(BH252*'1. UC Assumptions'!$C$23,2)</f>
        <v>1847521.15</v>
      </c>
      <c r="BJ252" s="154">
        <f t="shared" si="80"/>
        <v>-686492.91810110211</v>
      </c>
      <c r="BK252" s="154">
        <f t="shared" si="81"/>
        <v>-226542.67039999971</v>
      </c>
      <c r="BL252" s="154">
        <f t="shared" si="82"/>
        <v>0</v>
      </c>
      <c r="BM252" s="154">
        <f t="shared" si="83"/>
        <v>0</v>
      </c>
      <c r="BN252" s="101"/>
      <c r="BO252" s="154">
        <f>(BL252*'1. UC Assumptions'!$C$23)-'3.  UC Calculations by Hospital'!BM252</f>
        <v>0</v>
      </c>
      <c r="BP252" s="13"/>
    </row>
    <row r="253" spans="2:68">
      <c r="B253" s="129" t="s">
        <v>821</v>
      </c>
      <c r="C253" s="91" t="s">
        <v>821</v>
      </c>
      <c r="D253" s="91" t="s">
        <v>214</v>
      </c>
      <c r="E253" s="91" t="s">
        <v>209</v>
      </c>
      <c r="F253" s="91"/>
      <c r="G253" s="91" t="s">
        <v>209</v>
      </c>
      <c r="H253" s="91" t="s">
        <v>209</v>
      </c>
      <c r="I253" s="150" t="s">
        <v>210</v>
      </c>
      <c r="J253" s="129" t="s">
        <v>822</v>
      </c>
      <c r="K253" s="91" t="s">
        <v>4</v>
      </c>
      <c r="L253" s="91" t="s">
        <v>260</v>
      </c>
      <c r="M253" s="151">
        <v>2482511.0694780927</v>
      </c>
      <c r="N253" s="151">
        <v>0</v>
      </c>
      <c r="O253" s="131">
        <v>0</v>
      </c>
      <c r="P253" s="131">
        <f t="shared" si="63"/>
        <v>0</v>
      </c>
      <c r="Q253" s="131">
        <v>5192051.8890200574</v>
      </c>
      <c r="R253" s="131">
        <v>0</v>
      </c>
      <c r="S253" s="131">
        <f t="shared" si="64"/>
        <v>0</v>
      </c>
      <c r="T253" s="131">
        <f t="shared" si="65"/>
        <v>5192051.8890200574</v>
      </c>
      <c r="U253" s="131">
        <v>0</v>
      </c>
      <c r="V253" s="131">
        <v>0</v>
      </c>
      <c r="W253" s="131">
        <v>0</v>
      </c>
      <c r="X253" s="131">
        <v>0</v>
      </c>
      <c r="Y253" s="131">
        <v>0</v>
      </c>
      <c r="Z253" s="131">
        <f t="shared" si="66"/>
        <v>0</v>
      </c>
      <c r="AA253" s="131">
        <v>0</v>
      </c>
      <c r="AB253" s="152">
        <f t="shared" si="67"/>
        <v>5192051.8890200574</v>
      </c>
      <c r="AC253" s="133">
        <f>IF(D253="Physician Group Practice",(AB253/$AB$393)*'1. UC Assumptions'!$C$15,IF(E253="Rural Hospital",AB253*'1. UC Assumptions'!$C$7/'1. UC Assumptions'!$E$7,(AB253/$AB$397)*('1. UC Assumptions'!$C$9)))</f>
        <v>2441020.3854529122</v>
      </c>
      <c r="AD253" s="133">
        <f t="shared" si="68"/>
        <v>0</v>
      </c>
      <c r="AE253" s="133">
        <f t="shared" si="69"/>
        <v>2751031.5035671452</v>
      </c>
      <c r="AF253" s="133">
        <f t="shared" si="70"/>
        <v>0</v>
      </c>
      <c r="AG253" s="133">
        <f t="shared" si="71"/>
        <v>2751031.5035671452</v>
      </c>
      <c r="AH253" s="133">
        <f t="shared" si="72"/>
        <v>2441020.3854529122</v>
      </c>
      <c r="AI253" s="131">
        <f>AH253*'1. UC Assumptions'!$C$23</f>
        <v>805536.72719946096</v>
      </c>
      <c r="AJ253" s="131">
        <v>2601511.1</v>
      </c>
      <c r="AK253" s="131">
        <f>AJ253*(1-'1. UC Assumptions'!$C$22)</f>
        <v>858498.66299999994</v>
      </c>
      <c r="AL253" s="131"/>
      <c r="AM253" s="131">
        <f>AL253*'1. UC Assumptions'!$C$23</f>
        <v>0</v>
      </c>
      <c r="AN253" s="153">
        <f t="shared" si="73"/>
        <v>5192051.8890200574</v>
      </c>
      <c r="AO253" s="151">
        <f>AN253*'1. UC Assumptions'!$C$23</f>
        <v>1713377.1233766188</v>
      </c>
      <c r="AP253" s="151">
        <f t="shared" si="74"/>
        <v>2590540.7890200573</v>
      </c>
      <c r="AQ253" s="151">
        <f t="shared" si="75"/>
        <v>854878.4603766189</v>
      </c>
      <c r="AR253" s="151">
        <f t="shared" si="76"/>
        <v>854878.4603766189</v>
      </c>
      <c r="AS253" s="151">
        <f t="shared" si="77"/>
        <v>1713377.1233766188</v>
      </c>
      <c r="AT253" s="151">
        <f>IF(K253="Bexar",(AG253/$AT$1)*'1. UC Assumptions'!$E$44-(AH253/$AT$2)*'1. UC Assumptions'!$E$42,0)</f>
        <v>0</v>
      </c>
      <c r="AU253" s="151">
        <f>IF(K253="Dallas",(AG253/$AU$1)*'1. UC Assumptions'!$F$44-(AH253/$AU$2)*'1. UC Assumptions'!$F$42,0)</f>
        <v>0</v>
      </c>
      <c r="AV253" s="151">
        <f>IF(K253="El Paso",(AG253/$AV$1)*'1. UC Assumptions'!$G$44-(AH253/$AV$2)*'1. UC Assumptions'!$G$42,0)</f>
        <v>0</v>
      </c>
      <c r="AW253" s="151">
        <f>IF(K253="Harris",(AG253/$AW$1)*'1. UC Assumptions'!$H$44-(AH253/$AW$2)*'1. UC Assumptions'!$H$42,0)</f>
        <v>0</v>
      </c>
      <c r="AX253" s="151">
        <f>IF(K253="Hidalgo",(AG253/$AX$1)*'1. UC Assumptions'!$I$44-(AH253/$AX$2)*'1. UC Assumptions'!$I$42,0)</f>
        <v>0</v>
      </c>
      <c r="AY253" s="151">
        <f>IF(K253="Jefferson",(AG253/$AY$1)*'1. UC Assumptions'!$J$44-(AH253/$AY$2)*'1. UC Assumptions'!$J$42,0)</f>
        <v>0</v>
      </c>
      <c r="AZ253" s="151">
        <f>IF(K253="Lubbock",(AG253/$AZ$1)*'1. UC Assumptions'!$K$44-(AH253/$AZ$2)*'1. UC Assumptions'!$K$42,0)</f>
        <v>0</v>
      </c>
      <c r="BA253" s="151">
        <f>IF(K253="MRSA Central",(AG253/$BA$1)*'1. UC Assumptions'!$L$44-(AH253/$BA$2)*'1. UC Assumptions'!$L$42,0)</f>
        <v>0</v>
      </c>
      <c r="BB253" s="151">
        <f>IF(K253="MRSA Northeast",(AG253/$BB$1)*'1. UC Assumptions'!$M$44-(AH253/$BB$2)*'1. UC Assumptions'!$M$42,0)</f>
        <v>0</v>
      </c>
      <c r="BC253" s="151">
        <f>IF(K253="MRSA West",(AG253/$BC$1)*'1. UC Assumptions'!$N$44-(AH253/$BC$2)*'1. UC Assumptions'!$N$42,0)</f>
        <v>0</v>
      </c>
      <c r="BD253" s="151">
        <f>IF(K253="Nueces",(AG253/$BD$1)*'1. UC Assumptions'!$O$44-(AH253/$BD$2)*'1. UC Assumptions'!$O$42,0)</f>
        <v>0</v>
      </c>
      <c r="BE253" s="151">
        <f>IF(K253="Tarrant",(AG253/$BE$1)*'1. UC Assumptions'!$P$44-(AH253/$BE$2)*'1. UC Assumptions'!$P$42,0)</f>
        <v>0</v>
      </c>
      <c r="BF253" s="151">
        <f>IF(K253="Travis",(AG253/$BF$1)*'1. UC Assumptions'!$Q$44-(AH253/$BF$2)*'1. UC Assumptions'!$Q$42,0)</f>
        <v>0</v>
      </c>
      <c r="BG253" s="151">
        <f t="shared" si="78"/>
        <v>0</v>
      </c>
      <c r="BH253" s="151">
        <f t="shared" si="79"/>
        <v>2441020.3854529122</v>
      </c>
      <c r="BI253" s="151">
        <f>ROUNDDOWN(BH253*'1. UC Assumptions'!$C$23,2)</f>
        <v>805536.72</v>
      </c>
      <c r="BJ253" s="154">
        <f t="shared" si="80"/>
        <v>-160490.7145470879</v>
      </c>
      <c r="BK253" s="154">
        <f t="shared" si="81"/>
        <v>-52961.94299999997</v>
      </c>
      <c r="BL253" s="154">
        <f t="shared" si="82"/>
        <v>0</v>
      </c>
      <c r="BM253" s="154">
        <f t="shared" si="83"/>
        <v>0</v>
      </c>
      <c r="BN253" s="101"/>
      <c r="BO253" s="154">
        <f>(BL253*'1. UC Assumptions'!$C$23)-'3.  UC Calculations by Hospital'!BM253</f>
        <v>0</v>
      </c>
      <c r="BP253" s="13"/>
    </row>
    <row r="254" spans="2:68">
      <c r="B254" s="129" t="s">
        <v>118</v>
      </c>
      <c r="C254" s="91" t="s">
        <v>118</v>
      </c>
      <c r="D254" s="91" t="s">
        <v>281</v>
      </c>
      <c r="E254" s="91" t="s">
        <v>209</v>
      </c>
      <c r="F254" s="91"/>
      <c r="G254" s="91" t="s">
        <v>209</v>
      </c>
      <c r="H254" s="91" t="s">
        <v>209</v>
      </c>
      <c r="I254" s="150" t="s">
        <v>283</v>
      </c>
      <c r="J254" s="129" t="s">
        <v>823</v>
      </c>
      <c r="K254" s="91" t="s">
        <v>4</v>
      </c>
      <c r="L254" s="91" t="s">
        <v>4</v>
      </c>
      <c r="M254" s="151">
        <v>25873926.45540357</v>
      </c>
      <c r="N254" s="151">
        <v>33283926.365564961</v>
      </c>
      <c r="O254" s="131">
        <v>28461228.901769217</v>
      </c>
      <c r="P254" s="131">
        <f t="shared" si="63"/>
        <v>4822697.4637957439</v>
      </c>
      <c r="Q254" s="131">
        <v>33877173.920603953</v>
      </c>
      <c r="R254" s="131">
        <v>53242068</v>
      </c>
      <c r="S254" s="131">
        <f t="shared" si="64"/>
        <v>22545444.080800686</v>
      </c>
      <c r="T254" s="131">
        <f t="shared" si="65"/>
        <v>11331729.839803267</v>
      </c>
      <c r="U254" s="131">
        <v>0</v>
      </c>
      <c r="V254" s="131">
        <v>0</v>
      </c>
      <c r="W254" s="131">
        <v>0</v>
      </c>
      <c r="X254" s="131">
        <v>0</v>
      </c>
      <c r="Y254" s="131">
        <v>0</v>
      </c>
      <c r="Z254" s="131">
        <f t="shared" si="66"/>
        <v>0</v>
      </c>
      <c r="AA254" s="131">
        <v>0</v>
      </c>
      <c r="AB254" s="152">
        <f t="shared" si="67"/>
        <v>0</v>
      </c>
      <c r="AC254" s="133">
        <f>IF(D254="Physician Group Practice",(AB254/$AB$393)*'1. UC Assumptions'!$C$15,IF(E254="Rural Hospital",AB254*'1. UC Assumptions'!$C$7/'1. UC Assumptions'!$E$7,(AB254/$AB$397)*('1. UC Assumptions'!$C$9)))</f>
        <v>0</v>
      </c>
      <c r="AD254" s="133">
        <f t="shared" si="68"/>
        <v>0</v>
      </c>
      <c r="AE254" s="133">
        <f t="shared" si="69"/>
        <v>0</v>
      </c>
      <c r="AF254" s="133">
        <f t="shared" si="70"/>
        <v>0</v>
      </c>
      <c r="AG254" s="133">
        <f t="shared" si="71"/>
        <v>0</v>
      </c>
      <c r="AH254" s="133">
        <f t="shared" si="72"/>
        <v>0</v>
      </c>
      <c r="AI254" s="131">
        <f>AH254*'1. UC Assumptions'!$C$23</f>
        <v>0</v>
      </c>
      <c r="AJ254" s="131">
        <v>4184938.68</v>
      </c>
      <c r="AK254" s="131">
        <f>AJ254*(1-'1. UC Assumptions'!$C$22)</f>
        <v>1381029.7644</v>
      </c>
      <c r="AL254" s="131"/>
      <c r="AM254" s="131">
        <f>AL254*'1. UC Assumptions'!$C$23</f>
        <v>0</v>
      </c>
      <c r="AN254" s="153">
        <f t="shared" si="73"/>
        <v>0</v>
      </c>
      <c r="AO254" s="151">
        <f>AN254*'1. UC Assumptions'!$C$23</f>
        <v>0</v>
      </c>
      <c r="AP254" s="151">
        <f t="shared" si="74"/>
        <v>0</v>
      </c>
      <c r="AQ254" s="151">
        <f t="shared" si="75"/>
        <v>0</v>
      </c>
      <c r="AR254" s="151">
        <f t="shared" si="76"/>
        <v>0</v>
      </c>
      <c r="AS254" s="151">
        <f t="shared" si="77"/>
        <v>0</v>
      </c>
      <c r="AT254" s="151">
        <f>IF(K254="Bexar",(AG254/$AT$1)*'1. UC Assumptions'!$E$44-(AH254/$AT$2)*'1. UC Assumptions'!$E$42,0)</f>
        <v>0</v>
      </c>
      <c r="AU254" s="151">
        <f>IF(K254="Dallas",(AG254/$AU$1)*'1. UC Assumptions'!$F$44-(AH254/$AU$2)*'1. UC Assumptions'!$F$42,0)</f>
        <v>0</v>
      </c>
      <c r="AV254" s="151">
        <f>IF(K254="El Paso",(AG254/$AV$1)*'1. UC Assumptions'!$G$44-(AH254/$AV$2)*'1. UC Assumptions'!$G$42,0)</f>
        <v>0</v>
      </c>
      <c r="AW254" s="151">
        <f>IF(K254="Harris",(AG254/$AW$1)*'1. UC Assumptions'!$H$44-(AH254/$AW$2)*'1. UC Assumptions'!$H$42,0)</f>
        <v>0</v>
      </c>
      <c r="AX254" s="151">
        <f>IF(K254="Hidalgo",(AG254/$AX$1)*'1. UC Assumptions'!$I$44-(AH254/$AX$2)*'1. UC Assumptions'!$I$42,0)</f>
        <v>0</v>
      </c>
      <c r="AY254" s="151">
        <f>IF(K254="Jefferson",(AG254/$AY$1)*'1. UC Assumptions'!$J$44-(AH254/$AY$2)*'1. UC Assumptions'!$J$42,0)</f>
        <v>0</v>
      </c>
      <c r="AZ254" s="151">
        <f>IF(K254="Lubbock",(AG254/$AZ$1)*'1. UC Assumptions'!$K$44-(AH254/$AZ$2)*'1. UC Assumptions'!$K$42,0)</f>
        <v>0</v>
      </c>
      <c r="BA254" s="151">
        <f>IF(K254="MRSA Central",(AG254/$BA$1)*'1. UC Assumptions'!$L$44-(AH254/$BA$2)*'1. UC Assumptions'!$L$42,0)</f>
        <v>0</v>
      </c>
      <c r="BB254" s="151">
        <f>IF(K254="MRSA Northeast",(AG254/$BB$1)*'1. UC Assumptions'!$M$44-(AH254/$BB$2)*'1. UC Assumptions'!$M$42,0)</f>
        <v>0</v>
      </c>
      <c r="BC254" s="151">
        <f>IF(K254="MRSA West",(AG254/$BC$1)*'1. UC Assumptions'!$N$44-(AH254/$BC$2)*'1. UC Assumptions'!$N$42,0)</f>
        <v>0</v>
      </c>
      <c r="BD254" s="151">
        <f>IF(K254="Nueces",(AG254/$BD$1)*'1. UC Assumptions'!$O$44-(AH254/$BD$2)*'1. UC Assumptions'!$O$42,0)</f>
        <v>0</v>
      </c>
      <c r="BE254" s="151">
        <f>IF(K254="Tarrant",(AG254/$BE$1)*'1. UC Assumptions'!$P$44-(AH254/$BE$2)*'1. UC Assumptions'!$P$42,0)</f>
        <v>0</v>
      </c>
      <c r="BF254" s="151">
        <f>IF(K254="Travis",(AG254/$BF$1)*'1. UC Assumptions'!$Q$44-(AH254/$BF$2)*'1. UC Assumptions'!$Q$42,0)</f>
        <v>0</v>
      </c>
      <c r="BG254" s="151">
        <f t="shared" si="78"/>
        <v>0</v>
      </c>
      <c r="BH254" s="151">
        <f t="shared" si="79"/>
        <v>0</v>
      </c>
      <c r="BI254" s="151">
        <f>ROUNDDOWN(BH254*'1. UC Assumptions'!$C$23,2)</f>
        <v>0</v>
      </c>
      <c r="BJ254" s="154">
        <f t="shared" si="80"/>
        <v>0</v>
      </c>
      <c r="BK254" s="154">
        <f t="shared" si="81"/>
        <v>0</v>
      </c>
      <c r="BL254" s="154">
        <f t="shared" si="82"/>
        <v>0</v>
      </c>
      <c r="BM254" s="154">
        <f t="shared" si="83"/>
        <v>0</v>
      </c>
      <c r="BN254" s="101"/>
      <c r="BO254" s="154">
        <f>(BL254*'1. UC Assumptions'!$C$23)-'3.  UC Calculations by Hospital'!BM254</f>
        <v>0</v>
      </c>
      <c r="BP254" s="13"/>
    </row>
    <row r="255" spans="2:68">
      <c r="B255" s="129" t="s">
        <v>824</v>
      </c>
      <c r="C255" s="91" t="s">
        <v>824</v>
      </c>
      <c r="D255" s="91" t="s">
        <v>286</v>
      </c>
      <c r="E255" s="91" t="s">
        <v>209</v>
      </c>
      <c r="F255" s="91"/>
      <c r="G255" s="91" t="s">
        <v>287</v>
      </c>
      <c r="H255" s="91" t="s">
        <v>209</v>
      </c>
      <c r="I255" s="150" t="s">
        <v>210</v>
      </c>
      <c r="J255" s="129" t="s">
        <v>825</v>
      </c>
      <c r="K255" s="91" t="s">
        <v>6</v>
      </c>
      <c r="L255" s="91" t="s">
        <v>6</v>
      </c>
      <c r="M255" s="151">
        <v>-592440.39692719514</v>
      </c>
      <c r="N255" s="151">
        <v>1832332.9819828577</v>
      </c>
      <c r="O255" s="131">
        <v>62896.222460827747</v>
      </c>
      <c r="P255" s="131">
        <f t="shared" si="63"/>
        <v>1769436.7595220299</v>
      </c>
      <c r="Q255" s="131">
        <v>85958.931037035567</v>
      </c>
      <c r="R255" s="131">
        <v>2945277.71</v>
      </c>
      <c r="S255" s="131">
        <f t="shared" si="64"/>
        <v>1768281.3474051652</v>
      </c>
      <c r="T255" s="131">
        <f t="shared" si="65"/>
        <v>0</v>
      </c>
      <c r="U255" s="131">
        <v>0</v>
      </c>
      <c r="V255" s="131">
        <v>0</v>
      </c>
      <c r="W255" s="131">
        <v>0</v>
      </c>
      <c r="X255" s="131">
        <v>0</v>
      </c>
      <c r="Y255" s="131">
        <v>0</v>
      </c>
      <c r="Z255" s="131">
        <f t="shared" si="66"/>
        <v>0</v>
      </c>
      <c r="AA255" s="131">
        <v>0</v>
      </c>
      <c r="AB255" s="152">
        <f t="shared" si="67"/>
        <v>0</v>
      </c>
      <c r="AC255" s="133">
        <f>IF(D255="Physician Group Practice",(AB255/$AB$393)*'1. UC Assumptions'!$C$15,IF(E255="Rural Hospital",AB255*'1. UC Assumptions'!$C$7/'1. UC Assumptions'!$E$7,(AB255/$AB$397)*('1. UC Assumptions'!$C$9)))</f>
        <v>0</v>
      </c>
      <c r="AD255" s="133">
        <f t="shared" si="68"/>
        <v>0</v>
      </c>
      <c r="AE255" s="133">
        <f t="shared" si="69"/>
        <v>0</v>
      </c>
      <c r="AF255" s="133">
        <f t="shared" si="70"/>
        <v>0</v>
      </c>
      <c r="AG255" s="133">
        <f t="shared" si="71"/>
        <v>0</v>
      </c>
      <c r="AH255" s="133">
        <f t="shared" si="72"/>
        <v>0</v>
      </c>
      <c r="AI255" s="131">
        <f>AH255*'1. UC Assumptions'!$C$23</f>
        <v>0</v>
      </c>
      <c r="AJ255" s="131">
        <v>0</v>
      </c>
      <c r="AK255" s="131">
        <f>AJ255*(1-'1. UC Assumptions'!$C$22)</f>
        <v>0</v>
      </c>
      <c r="AL255" s="131"/>
      <c r="AM255" s="131">
        <f>AL255*'1. UC Assumptions'!$C$23</f>
        <v>0</v>
      </c>
      <c r="AN255" s="153">
        <f t="shared" si="73"/>
        <v>0</v>
      </c>
      <c r="AO255" s="151">
        <f>AN255*'1. UC Assumptions'!$C$23</f>
        <v>0</v>
      </c>
      <c r="AP255" s="151">
        <f t="shared" si="74"/>
        <v>0</v>
      </c>
      <c r="AQ255" s="151">
        <f t="shared" si="75"/>
        <v>0</v>
      </c>
      <c r="AR255" s="151">
        <f t="shared" si="76"/>
        <v>0</v>
      </c>
      <c r="AS255" s="151">
        <f t="shared" si="77"/>
        <v>0</v>
      </c>
      <c r="AT255" s="151">
        <f>IF(K255="Bexar",(AG255/$AT$1)*'1. UC Assumptions'!$E$44-(AH255/$AT$2)*'1. UC Assumptions'!$E$42,0)</f>
        <v>0</v>
      </c>
      <c r="AU255" s="151">
        <f>IF(K255="Dallas",(AG255/$AU$1)*'1. UC Assumptions'!$F$44-(AH255/$AU$2)*'1. UC Assumptions'!$F$42,0)</f>
        <v>0</v>
      </c>
      <c r="AV255" s="151">
        <f>IF(K255="El Paso",(AG255/$AV$1)*'1. UC Assumptions'!$G$44-(AH255/$AV$2)*'1. UC Assumptions'!$G$42,0)</f>
        <v>0</v>
      </c>
      <c r="AW255" s="151">
        <f>IF(K255="Harris",(AG255/$AW$1)*'1. UC Assumptions'!$H$44-(AH255/$AW$2)*'1. UC Assumptions'!$H$42,0)</f>
        <v>0</v>
      </c>
      <c r="AX255" s="151">
        <f>IF(K255="Hidalgo",(AG255/$AX$1)*'1. UC Assumptions'!$I$44-(AH255/$AX$2)*'1. UC Assumptions'!$I$42,0)</f>
        <v>0</v>
      </c>
      <c r="AY255" s="151">
        <f>IF(K255="Jefferson",(AG255/$AY$1)*'1. UC Assumptions'!$J$44-(AH255/$AY$2)*'1. UC Assumptions'!$J$42,0)</f>
        <v>0</v>
      </c>
      <c r="AZ255" s="151">
        <f>IF(K255="Lubbock",(AG255/$AZ$1)*'1. UC Assumptions'!$K$44-(AH255/$AZ$2)*'1. UC Assumptions'!$K$42,0)</f>
        <v>0</v>
      </c>
      <c r="BA255" s="151">
        <f>IF(K255="MRSA Central",(AG255/$BA$1)*'1. UC Assumptions'!$L$44-(AH255/$BA$2)*'1. UC Assumptions'!$L$42,0)</f>
        <v>0</v>
      </c>
      <c r="BB255" s="151">
        <f>IF(K255="MRSA Northeast",(AG255/$BB$1)*'1. UC Assumptions'!$M$44-(AH255/$BB$2)*'1. UC Assumptions'!$M$42,0)</f>
        <v>0</v>
      </c>
      <c r="BC255" s="151">
        <f>IF(K255="MRSA West",(AG255/$BC$1)*'1. UC Assumptions'!$N$44-(AH255/$BC$2)*'1. UC Assumptions'!$N$42,0)</f>
        <v>0</v>
      </c>
      <c r="BD255" s="151">
        <f>IF(K255="Nueces",(AG255/$BD$1)*'1. UC Assumptions'!$O$44-(AH255/$BD$2)*'1. UC Assumptions'!$O$42,0)</f>
        <v>0</v>
      </c>
      <c r="BE255" s="151">
        <f>IF(K255="Tarrant",(AG255/$BE$1)*'1. UC Assumptions'!$P$44-(AH255/$BE$2)*'1. UC Assumptions'!$P$42,0)</f>
        <v>0</v>
      </c>
      <c r="BF255" s="151">
        <f>IF(K255="Travis",(AG255/$BF$1)*'1. UC Assumptions'!$Q$44-(AH255/$BF$2)*'1. UC Assumptions'!$Q$42,0)</f>
        <v>0</v>
      </c>
      <c r="BG255" s="151">
        <f t="shared" si="78"/>
        <v>0</v>
      </c>
      <c r="BH255" s="151">
        <f t="shared" si="79"/>
        <v>0</v>
      </c>
      <c r="BI255" s="151">
        <f>ROUNDDOWN(BH255*'1. UC Assumptions'!$C$23,2)</f>
        <v>0</v>
      </c>
      <c r="BJ255" s="154">
        <f t="shared" si="80"/>
        <v>0</v>
      </c>
      <c r="BK255" s="154">
        <f t="shared" si="81"/>
        <v>0</v>
      </c>
      <c r="BL255" s="154">
        <f t="shared" si="82"/>
        <v>0</v>
      </c>
      <c r="BM255" s="154">
        <f t="shared" si="83"/>
        <v>0</v>
      </c>
      <c r="BN255" s="101"/>
      <c r="BO255" s="154">
        <f>(BL255*'1. UC Assumptions'!$C$23)-'3.  UC Calculations by Hospital'!BM255</f>
        <v>0</v>
      </c>
      <c r="BP255" s="13"/>
    </row>
    <row r="256" spans="2:68">
      <c r="B256" s="129" t="s">
        <v>826</v>
      </c>
      <c r="C256" s="91" t="s">
        <v>826</v>
      </c>
      <c r="D256" s="91" t="s">
        <v>214</v>
      </c>
      <c r="E256" s="91" t="s">
        <v>149</v>
      </c>
      <c r="F256" s="91"/>
      <c r="G256" s="91" t="s">
        <v>209</v>
      </c>
      <c r="H256" s="91" t="s">
        <v>209</v>
      </c>
      <c r="I256" s="150" t="s">
        <v>210</v>
      </c>
      <c r="J256" s="129" t="s">
        <v>827</v>
      </c>
      <c r="K256" s="91" t="s">
        <v>12</v>
      </c>
      <c r="L256" s="91" t="s">
        <v>828</v>
      </c>
      <c r="M256" s="151">
        <v>123334.73676464635</v>
      </c>
      <c r="N256" s="151">
        <v>0</v>
      </c>
      <c r="O256" s="131">
        <v>0</v>
      </c>
      <c r="P256" s="131">
        <f t="shared" si="63"/>
        <v>0</v>
      </c>
      <c r="Q256" s="131">
        <v>594256.43068933126</v>
      </c>
      <c r="R256" s="131">
        <v>0</v>
      </c>
      <c r="S256" s="131">
        <f t="shared" si="64"/>
        <v>0</v>
      </c>
      <c r="T256" s="131">
        <f t="shared" si="65"/>
        <v>594256.43068933126</v>
      </c>
      <c r="U256" s="131">
        <v>0</v>
      </c>
      <c r="V256" s="131">
        <v>0</v>
      </c>
      <c r="W256" s="131">
        <v>0</v>
      </c>
      <c r="X256" s="131">
        <v>0</v>
      </c>
      <c r="Y256" s="131">
        <v>0</v>
      </c>
      <c r="Z256" s="131">
        <f t="shared" si="66"/>
        <v>0</v>
      </c>
      <c r="AA256" s="131">
        <v>0</v>
      </c>
      <c r="AB256" s="152">
        <f t="shared" si="67"/>
        <v>594256.43068933126</v>
      </c>
      <c r="AC256" s="133">
        <f>IF(D256="Physician Group Practice",(AB256/$AB$393)*'1. UC Assumptions'!$C$15,IF(E256="Rural Hospital",AB256*'1. UC Assumptions'!$C$7/'1. UC Assumptions'!$E$7,(AB256/$AB$397)*('1. UC Assumptions'!$C$9)))</f>
        <v>554700.0632859905</v>
      </c>
      <c r="AD256" s="133">
        <f t="shared" si="68"/>
        <v>0</v>
      </c>
      <c r="AE256" s="133">
        <f t="shared" si="69"/>
        <v>39556.367403340759</v>
      </c>
      <c r="AF256" s="133">
        <f t="shared" si="70"/>
        <v>0</v>
      </c>
      <c r="AG256" s="133">
        <f t="shared" si="71"/>
        <v>39556.367403340759</v>
      </c>
      <c r="AH256" s="133">
        <f t="shared" si="72"/>
        <v>554700.0632859905</v>
      </c>
      <c r="AI256" s="131">
        <f>AH256*'1. UC Assumptions'!$C$23</f>
        <v>183051.02088437683</v>
      </c>
      <c r="AJ256" s="131">
        <v>247973.77</v>
      </c>
      <c r="AK256" s="131">
        <f>AJ256*(1-'1. UC Assumptions'!$C$22)</f>
        <v>81831.344099999988</v>
      </c>
      <c r="AL256" s="131"/>
      <c r="AM256" s="131">
        <f>AL256*'1. UC Assumptions'!$C$23</f>
        <v>0</v>
      </c>
      <c r="AN256" s="153">
        <f t="shared" si="73"/>
        <v>594256.43068933126</v>
      </c>
      <c r="AO256" s="151">
        <f>AN256*'1. UC Assumptions'!$C$23</f>
        <v>196104.62212747929</v>
      </c>
      <c r="AP256" s="151">
        <f t="shared" si="74"/>
        <v>346282.66068933124</v>
      </c>
      <c r="AQ256" s="151">
        <f t="shared" si="75"/>
        <v>114273.2780274793</v>
      </c>
      <c r="AR256" s="151">
        <f t="shared" si="76"/>
        <v>114273.2780274793</v>
      </c>
      <c r="AS256" s="151">
        <f t="shared" si="77"/>
        <v>196104.62212747929</v>
      </c>
      <c r="AT256" s="151">
        <f>IF(K256="Bexar",(AG256/$AT$1)*'1. UC Assumptions'!$E$44-(AH256/$AT$2)*'1. UC Assumptions'!$E$42,0)</f>
        <v>0</v>
      </c>
      <c r="AU256" s="151">
        <f>IF(K256="Dallas",(AG256/$AU$1)*'1. UC Assumptions'!$F$44-(AH256/$AU$2)*'1. UC Assumptions'!$F$42,0)</f>
        <v>0</v>
      </c>
      <c r="AV256" s="151">
        <f>IF(K256="El Paso",(AG256/$AV$1)*'1. UC Assumptions'!$G$44-(AH256/$AV$2)*'1. UC Assumptions'!$G$42,0)</f>
        <v>0</v>
      </c>
      <c r="AW256" s="151">
        <f>IF(K256="Harris",(AG256/$AW$1)*'1. UC Assumptions'!$H$44-(AH256/$AW$2)*'1. UC Assumptions'!$H$42,0)</f>
        <v>0</v>
      </c>
      <c r="AX256" s="151">
        <f>IF(K256="Hidalgo",(AG256/$AX$1)*'1. UC Assumptions'!$I$44-(AH256/$AX$2)*'1. UC Assumptions'!$I$42,0)</f>
        <v>0</v>
      </c>
      <c r="AY256" s="151">
        <f>IF(K256="Jefferson",(AG256/$AY$1)*'1. UC Assumptions'!$J$44-(AH256/$AY$2)*'1. UC Assumptions'!$J$42,0)</f>
        <v>0</v>
      </c>
      <c r="AZ256" s="151">
        <f>IF(K256="Lubbock",(AG256/$AZ$1)*'1. UC Assumptions'!$K$44-(AH256/$AZ$2)*'1. UC Assumptions'!$K$42,0)</f>
        <v>0</v>
      </c>
      <c r="BA256" s="151">
        <f>IF(K256="MRSA Central",(AG256/$BA$1)*'1. UC Assumptions'!$L$44-(AH256/$BA$2)*'1. UC Assumptions'!$L$42,0)</f>
        <v>0</v>
      </c>
      <c r="BB256" s="151">
        <f>IF(K256="MRSA Northeast",(AG256/$BB$1)*'1. UC Assumptions'!$M$44-(AH256/$BB$2)*'1. UC Assumptions'!$M$42,0)</f>
        <v>0</v>
      </c>
      <c r="BC256" s="151">
        <f>IF(K256="MRSA West",(AG256/$BC$1)*'1. UC Assumptions'!$N$44-(AH256/$BC$2)*'1. UC Assumptions'!$N$42,0)</f>
        <v>0</v>
      </c>
      <c r="BD256" s="151">
        <f>IF(K256="Nueces",(AG256/$BD$1)*'1. UC Assumptions'!$O$44-(AH256/$BD$2)*'1. UC Assumptions'!$O$42,0)</f>
        <v>0</v>
      </c>
      <c r="BE256" s="151">
        <f>IF(K256="Tarrant",(AG256/$BE$1)*'1. UC Assumptions'!$P$44-(AH256/$BE$2)*'1. UC Assumptions'!$P$42,0)</f>
        <v>0</v>
      </c>
      <c r="BF256" s="151">
        <f>IF(K256="Travis",(AG256/$BF$1)*'1. UC Assumptions'!$Q$44-(AH256/$BF$2)*'1. UC Assumptions'!$Q$42,0)</f>
        <v>0</v>
      </c>
      <c r="BG256" s="151">
        <f t="shared" si="78"/>
        <v>0</v>
      </c>
      <c r="BH256" s="151">
        <f t="shared" si="79"/>
        <v>554700.0632859905</v>
      </c>
      <c r="BI256" s="151">
        <f>ROUNDDOWN(BH256*'1. UC Assumptions'!$C$23,2)</f>
        <v>183051.02</v>
      </c>
      <c r="BJ256" s="154">
        <f t="shared" si="80"/>
        <v>306726.29328599048</v>
      </c>
      <c r="BK256" s="154">
        <f t="shared" si="81"/>
        <v>101219.6759</v>
      </c>
      <c r="BL256" s="154">
        <f t="shared" si="82"/>
        <v>283175.87</v>
      </c>
      <c r="BM256" s="154">
        <f t="shared" si="83"/>
        <v>93448.04</v>
      </c>
      <c r="BN256" s="101"/>
      <c r="BO256" s="154">
        <f>(BL256*'1. UC Assumptions'!$C$23)-'3.  UC Calculations by Hospital'!BM256</f>
        <v>-2.9000000067753717E-3</v>
      </c>
      <c r="BP256" s="13"/>
    </row>
    <row r="257" spans="2:68">
      <c r="B257" s="129" t="s">
        <v>829</v>
      </c>
      <c r="C257" s="91" t="s">
        <v>829</v>
      </c>
      <c r="D257" s="91" t="s">
        <v>214</v>
      </c>
      <c r="E257" s="91" t="s">
        <v>149</v>
      </c>
      <c r="F257" s="91"/>
      <c r="G257" s="91" t="s">
        <v>209</v>
      </c>
      <c r="H257" s="91" t="s">
        <v>209</v>
      </c>
      <c r="I257" s="150" t="s">
        <v>210</v>
      </c>
      <c r="J257" s="129" t="s">
        <v>830</v>
      </c>
      <c r="K257" s="96" t="s">
        <v>15</v>
      </c>
      <c r="L257" s="91" t="s">
        <v>831</v>
      </c>
      <c r="M257" s="151">
        <v>-19974.543909196775</v>
      </c>
      <c r="N257" s="151">
        <v>1260425.181413237</v>
      </c>
      <c r="O257" s="131">
        <v>0</v>
      </c>
      <c r="P257" s="131">
        <f t="shared" si="63"/>
        <v>1260425.181413237</v>
      </c>
      <c r="Q257" s="131">
        <v>1210843.5573445118</v>
      </c>
      <c r="R257" s="131">
        <v>0</v>
      </c>
      <c r="S257" s="131">
        <f t="shared" si="64"/>
        <v>0</v>
      </c>
      <c r="T257" s="131">
        <f t="shared" si="65"/>
        <v>1210843.5573445118</v>
      </c>
      <c r="U257" s="131">
        <v>0</v>
      </c>
      <c r="V257" s="131">
        <v>0</v>
      </c>
      <c r="W257" s="131">
        <v>0</v>
      </c>
      <c r="X257" s="131">
        <v>0</v>
      </c>
      <c r="Y257" s="131">
        <v>0</v>
      </c>
      <c r="Z257" s="131">
        <f t="shared" si="66"/>
        <v>0</v>
      </c>
      <c r="AA257" s="131">
        <v>0</v>
      </c>
      <c r="AB257" s="152">
        <f t="shared" si="67"/>
        <v>1210843.5573445118</v>
      </c>
      <c r="AC257" s="133">
        <f>IF(D257="Physician Group Practice",(AB257/$AB$393)*'1. UC Assumptions'!$C$15,IF(E257="Rural Hospital",AB257*'1. UC Assumptions'!$C$7/'1. UC Assumptions'!$E$7,(AB257/$AB$397)*('1. UC Assumptions'!$C$9)))</f>
        <v>1130244.3914815055</v>
      </c>
      <c r="AD257" s="133">
        <f t="shared" si="68"/>
        <v>0</v>
      </c>
      <c r="AE257" s="133">
        <f t="shared" si="69"/>
        <v>80599.165863006376</v>
      </c>
      <c r="AF257" s="133">
        <f t="shared" si="70"/>
        <v>0</v>
      </c>
      <c r="AG257" s="133">
        <f t="shared" si="71"/>
        <v>80599.165863006376</v>
      </c>
      <c r="AH257" s="133">
        <f t="shared" si="72"/>
        <v>1130244.3914815055</v>
      </c>
      <c r="AI257" s="131">
        <f>AH257*'1. UC Assumptions'!$C$23</f>
        <v>372980.64918889676</v>
      </c>
      <c r="AJ257" s="131">
        <v>510215.34</v>
      </c>
      <c r="AK257" s="131">
        <f>AJ257*(1-'1. UC Assumptions'!$C$22)</f>
        <v>168371.06219999999</v>
      </c>
      <c r="AL257" s="131"/>
      <c r="AM257" s="131">
        <f>AL257*'1. UC Assumptions'!$C$23</f>
        <v>0</v>
      </c>
      <c r="AN257" s="153">
        <f t="shared" si="73"/>
        <v>1210843.5573445118</v>
      </c>
      <c r="AO257" s="151">
        <f>AN257*'1. UC Assumptions'!$C$23</f>
        <v>399578.37392368884</v>
      </c>
      <c r="AP257" s="151">
        <f t="shared" si="74"/>
        <v>700628.21734451177</v>
      </c>
      <c r="AQ257" s="151">
        <f t="shared" si="75"/>
        <v>231207.31172368885</v>
      </c>
      <c r="AR257" s="151">
        <f t="shared" si="76"/>
        <v>231207.31172368885</v>
      </c>
      <c r="AS257" s="151">
        <f t="shared" si="77"/>
        <v>399578.37392368884</v>
      </c>
      <c r="AT257" s="151">
        <f>IF(K257="Bexar",(AG257/$AT$1)*'1. UC Assumptions'!$E$44-(AH257/$AT$2)*'1. UC Assumptions'!$E$42,0)</f>
        <v>0</v>
      </c>
      <c r="AU257" s="151">
        <f>IF(K257="Dallas",(AG257/$AU$1)*'1. UC Assumptions'!$F$44-(AH257/$AU$2)*'1. UC Assumptions'!$F$42,0)</f>
        <v>0</v>
      </c>
      <c r="AV257" s="151">
        <f>IF(K257="El Paso",(AG257/$AV$1)*'1. UC Assumptions'!$G$44-(AH257/$AV$2)*'1. UC Assumptions'!$G$42,0)</f>
        <v>0</v>
      </c>
      <c r="AW257" s="151">
        <f>IF(K257="Harris",(AG257/$AW$1)*'1. UC Assumptions'!$H$44-(AH257/$AW$2)*'1. UC Assumptions'!$H$42,0)</f>
        <v>0</v>
      </c>
      <c r="AX257" s="151">
        <f>IF(K257="Hidalgo",(AG257/$AX$1)*'1. UC Assumptions'!$I$44-(AH257/$AX$2)*'1. UC Assumptions'!$I$42,0)</f>
        <v>0</v>
      </c>
      <c r="AY257" s="151">
        <f>IF(K257="Jefferson",(AG257/$AY$1)*'1. UC Assumptions'!$J$44-(AH257/$AY$2)*'1. UC Assumptions'!$J$42,0)</f>
        <v>0</v>
      </c>
      <c r="AZ257" s="151">
        <f>IF(K257="Lubbock",(AG257/$AZ$1)*'1. UC Assumptions'!$K$44-(AH257/$AZ$2)*'1. UC Assumptions'!$K$42,0)</f>
        <v>0</v>
      </c>
      <c r="BA257" s="151">
        <f>IF(K257="MRSA Central",(AG257/$BA$1)*'1. UC Assumptions'!$L$44-(AH257/$BA$2)*'1. UC Assumptions'!$L$42,0)</f>
        <v>0</v>
      </c>
      <c r="BB257" s="151">
        <f>IF(K257="MRSA Northeast",(AG257/$BB$1)*'1. UC Assumptions'!$M$44-(AH257/$BB$2)*'1. UC Assumptions'!$M$42,0)</f>
        <v>0</v>
      </c>
      <c r="BC257" s="151">
        <f>IF(K257="MRSA West",(AG257/$BC$1)*'1. UC Assumptions'!$N$44-(AH257/$BC$2)*'1. UC Assumptions'!$N$42,0)</f>
        <v>0</v>
      </c>
      <c r="BD257" s="151">
        <f>IF(K257="Nueces",(AG257/$BD$1)*'1. UC Assumptions'!$O$44-(AH257/$BD$2)*'1. UC Assumptions'!$O$42,0)</f>
        <v>0</v>
      </c>
      <c r="BE257" s="151">
        <f>IF(K257="Tarrant",(AG257/$BE$1)*'1. UC Assumptions'!$P$44-(AH257/$BE$2)*'1. UC Assumptions'!$P$42,0)</f>
        <v>0</v>
      </c>
      <c r="BF257" s="151">
        <f>IF(K257="Travis",(AG257/$BF$1)*'1. UC Assumptions'!$Q$44-(AH257/$BF$2)*'1. UC Assumptions'!$Q$42,0)</f>
        <v>0</v>
      </c>
      <c r="BG257" s="151">
        <f t="shared" si="78"/>
        <v>0</v>
      </c>
      <c r="BH257" s="151">
        <f t="shared" si="79"/>
        <v>1130244.3914815055</v>
      </c>
      <c r="BI257" s="151">
        <f>ROUNDDOWN(BH257*'1. UC Assumptions'!$C$23,2)</f>
        <v>372980.64</v>
      </c>
      <c r="BJ257" s="154">
        <f t="shared" si="80"/>
        <v>620029.05148150539</v>
      </c>
      <c r="BK257" s="154">
        <f t="shared" si="81"/>
        <v>204609.57780000003</v>
      </c>
      <c r="BL257" s="154">
        <f t="shared" si="82"/>
        <v>572423.27</v>
      </c>
      <c r="BM257" s="154">
        <f t="shared" si="83"/>
        <v>188899.67</v>
      </c>
      <c r="BN257" s="101"/>
      <c r="BO257" s="154">
        <f>(BL257*'1. UC Assumptions'!$C$23)-'3.  UC Calculations by Hospital'!BM257</f>
        <v>9.0999999665655196E-3</v>
      </c>
      <c r="BP257" s="13"/>
    </row>
    <row r="258" spans="2:68">
      <c r="B258" s="129" t="s">
        <v>832</v>
      </c>
      <c r="C258" s="91" t="s">
        <v>832</v>
      </c>
      <c r="D258" s="91" t="s">
        <v>286</v>
      </c>
      <c r="E258" s="91" t="s">
        <v>209</v>
      </c>
      <c r="F258" s="91"/>
      <c r="G258" s="91" t="s">
        <v>287</v>
      </c>
      <c r="H258" s="91" t="s">
        <v>209</v>
      </c>
      <c r="I258" s="150" t="s">
        <v>210</v>
      </c>
      <c r="J258" s="129" t="s">
        <v>833</v>
      </c>
      <c r="K258" s="91" t="s">
        <v>14</v>
      </c>
      <c r="L258" s="91" t="s">
        <v>248</v>
      </c>
      <c r="M258" s="151">
        <v>-440252.0359356674</v>
      </c>
      <c r="N258" s="151">
        <v>0</v>
      </c>
      <c r="O258" s="131">
        <v>0</v>
      </c>
      <c r="P258" s="131">
        <f t="shared" si="63"/>
        <v>0</v>
      </c>
      <c r="Q258" s="131">
        <v>13284.571254886399</v>
      </c>
      <c r="R258" s="131">
        <v>0</v>
      </c>
      <c r="S258" s="131">
        <f t="shared" si="64"/>
        <v>0</v>
      </c>
      <c r="T258" s="131">
        <f t="shared" si="65"/>
        <v>13284.571254886399</v>
      </c>
      <c r="U258" s="131">
        <v>0</v>
      </c>
      <c r="V258" s="131">
        <v>0</v>
      </c>
      <c r="W258" s="131">
        <v>0</v>
      </c>
      <c r="X258" s="131">
        <v>0</v>
      </c>
      <c r="Y258" s="131">
        <v>0</v>
      </c>
      <c r="Z258" s="131">
        <f t="shared" si="66"/>
        <v>0</v>
      </c>
      <c r="AA258" s="131">
        <v>0</v>
      </c>
      <c r="AB258" s="152">
        <f t="shared" si="67"/>
        <v>13284.571254886399</v>
      </c>
      <c r="AC258" s="133">
        <f>IF(D258="Physician Group Practice",(AB258/$AB$393)*'1. UC Assumptions'!$C$15,IF(E258="Rural Hospital",AB258*'1. UC Assumptions'!$C$7/'1. UC Assumptions'!$E$7,(AB258/$AB$397)*('1. UC Assumptions'!$C$9)))</f>
        <v>6245.682812561392</v>
      </c>
      <c r="AD258" s="133">
        <f t="shared" si="68"/>
        <v>0</v>
      </c>
      <c r="AE258" s="133">
        <f t="shared" si="69"/>
        <v>7038.8884423250074</v>
      </c>
      <c r="AF258" s="133">
        <f t="shared" si="70"/>
        <v>0</v>
      </c>
      <c r="AG258" s="133">
        <f t="shared" si="71"/>
        <v>7038.8884423250074</v>
      </c>
      <c r="AH258" s="133">
        <f t="shared" si="72"/>
        <v>6245.682812561392</v>
      </c>
      <c r="AI258" s="131">
        <f>AH258*'1. UC Assumptions'!$C$23</f>
        <v>2061.0753281452589</v>
      </c>
      <c r="AJ258" s="131">
        <v>5768.36</v>
      </c>
      <c r="AK258" s="131">
        <f>AJ258*(1-'1. UC Assumptions'!$C$22)</f>
        <v>1903.5587999999996</v>
      </c>
      <c r="AL258" s="131"/>
      <c r="AM258" s="131">
        <f>AL258*'1. UC Assumptions'!$C$23</f>
        <v>0</v>
      </c>
      <c r="AN258" s="153">
        <f t="shared" si="73"/>
        <v>13284.571254886399</v>
      </c>
      <c r="AO258" s="151">
        <f>AN258*'1. UC Assumptions'!$C$23</f>
        <v>4383.9085141125115</v>
      </c>
      <c r="AP258" s="151">
        <f t="shared" si="74"/>
        <v>7516.2112548863997</v>
      </c>
      <c r="AQ258" s="151">
        <f t="shared" si="75"/>
        <v>2480.3497141125117</v>
      </c>
      <c r="AR258" s="151">
        <f t="shared" si="76"/>
        <v>2480.3497141125117</v>
      </c>
      <c r="AS258" s="151">
        <f t="shared" si="77"/>
        <v>4383.9085141125115</v>
      </c>
      <c r="AT258" s="151">
        <f>IF(K258="Bexar",(AG258/$AT$1)*'1. UC Assumptions'!$E$44-(AH258/$AT$2)*'1. UC Assumptions'!$E$42,0)</f>
        <v>0</v>
      </c>
      <c r="AU258" s="151">
        <f>IF(K258="Dallas",(AG258/$AU$1)*'1. UC Assumptions'!$F$44-(AH258/$AU$2)*'1. UC Assumptions'!$F$42,0)</f>
        <v>0</v>
      </c>
      <c r="AV258" s="151">
        <f>IF(K258="El Paso",(AG258/$AV$1)*'1. UC Assumptions'!$G$44-(AH258/$AV$2)*'1. UC Assumptions'!$G$42,0)</f>
        <v>0</v>
      </c>
      <c r="AW258" s="151">
        <f>IF(K258="Harris",(AG258/$AW$1)*'1. UC Assumptions'!$H$44-(AH258/$AW$2)*'1. UC Assumptions'!$H$42,0)</f>
        <v>0</v>
      </c>
      <c r="AX258" s="151">
        <f>IF(K258="Hidalgo",(AG258/$AX$1)*'1. UC Assumptions'!$I$44-(AH258/$AX$2)*'1. UC Assumptions'!$I$42,0)</f>
        <v>0</v>
      </c>
      <c r="AY258" s="151">
        <f>IF(K258="Jefferson",(AG258/$AY$1)*'1. UC Assumptions'!$J$44-(AH258/$AY$2)*'1. UC Assumptions'!$J$42,0)</f>
        <v>0</v>
      </c>
      <c r="AZ258" s="151">
        <f>IF(K258="Lubbock",(AG258/$AZ$1)*'1. UC Assumptions'!$K$44-(AH258/$AZ$2)*'1. UC Assumptions'!$K$42,0)</f>
        <v>0</v>
      </c>
      <c r="BA258" s="151">
        <f>IF(K258="MRSA Central",(AG258/$BA$1)*'1. UC Assumptions'!$L$44-(AH258/$BA$2)*'1. UC Assumptions'!$L$42,0)</f>
        <v>0</v>
      </c>
      <c r="BB258" s="151">
        <f>IF(K258="MRSA Northeast",(AG258/$BB$1)*'1. UC Assumptions'!$M$44-(AH258/$BB$2)*'1. UC Assumptions'!$M$42,0)</f>
        <v>0</v>
      </c>
      <c r="BC258" s="151">
        <f>IF(K258="MRSA West",(AG258/$BC$1)*'1. UC Assumptions'!$N$44-(AH258/$BC$2)*'1. UC Assumptions'!$N$42,0)</f>
        <v>0</v>
      </c>
      <c r="BD258" s="151">
        <f>IF(K258="Nueces",(AG258/$BD$1)*'1. UC Assumptions'!$O$44-(AH258/$BD$2)*'1. UC Assumptions'!$O$42,0)</f>
        <v>0</v>
      </c>
      <c r="BE258" s="151">
        <f>IF(K258="Tarrant",(AG258/$BE$1)*'1. UC Assumptions'!$P$44-(AH258/$BE$2)*'1. UC Assumptions'!$P$42,0)</f>
        <v>0</v>
      </c>
      <c r="BF258" s="151">
        <f>IF(K258="Travis",(AG258/$BF$1)*'1. UC Assumptions'!$Q$44-(AH258/$BF$2)*'1. UC Assumptions'!$Q$42,0)</f>
        <v>0</v>
      </c>
      <c r="BG258" s="151">
        <f t="shared" si="78"/>
        <v>0</v>
      </c>
      <c r="BH258" s="151">
        <f t="shared" si="79"/>
        <v>6245.682812561392</v>
      </c>
      <c r="BI258" s="151">
        <f>ROUNDDOWN(BH258*'1. UC Assumptions'!$C$23,2)</f>
        <v>2061.0700000000002</v>
      </c>
      <c r="BJ258" s="154">
        <f t="shared" si="80"/>
        <v>477.32281256139231</v>
      </c>
      <c r="BK258" s="154">
        <f t="shared" si="81"/>
        <v>157.5112000000006</v>
      </c>
      <c r="BL258" s="154">
        <f t="shared" si="82"/>
        <v>440.67</v>
      </c>
      <c r="BM258" s="154">
        <f t="shared" si="83"/>
        <v>145.41999999999999</v>
      </c>
      <c r="BN258" s="101"/>
      <c r="BO258" s="154">
        <f>(BL258*'1. UC Assumptions'!$C$23)-'3.  UC Calculations by Hospital'!BM258</f>
        <v>1.1000000000080945E-3</v>
      </c>
      <c r="BP258" s="13"/>
    </row>
    <row r="259" spans="2:68">
      <c r="B259" s="129" t="s">
        <v>834</v>
      </c>
      <c r="C259" s="91" t="s">
        <v>834</v>
      </c>
      <c r="D259" s="91" t="s">
        <v>214</v>
      </c>
      <c r="E259" s="91" t="s">
        <v>149</v>
      </c>
      <c r="F259" s="91"/>
      <c r="G259" s="91" t="s">
        <v>209</v>
      </c>
      <c r="H259" s="91" t="s">
        <v>209</v>
      </c>
      <c r="I259" s="150" t="s">
        <v>210</v>
      </c>
      <c r="J259" s="129" t="s">
        <v>835</v>
      </c>
      <c r="K259" s="91" t="s">
        <v>12</v>
      </c>
      <c r="L259" s="91" t="s">
        <v>836</v>
      </c>
      <c r="M259" s="151">
        <v>166616.01747212795</v>
      </c>
      <c r="N259" s="151">
        <v>220604.35035793792</v>
      </c>
      <c r="O259" s="131">
        <v>158704.96408721921</v>
      </c>
      <c r="P259" s="131">
        <f t="shared" si="63"/>
        <v>61899.386270718707</v>
      </c>
      <c r="Q259" s="131">
        <v>256969.1234247424</v>
      </c>
      <c r="R259" s="131">
        <v>0</v>
      </c>
      <c r="S259" s="131">
        <f t="shared" si="64"/>
        <v>0</v>
      </c>
      <c r="T259" s="131">
        <f t="shared" si="65"/>
        <v>256969.1234247424</v>
      </c>
      <c r="U259" s="131">
        <v>0</v>
      </c>
      <c r="V259" s="131">
        <v>0</v>
      </c>
      <c r="W259" s="131">
        <v>0</v>
      </c>
      <c r="X259" s="131">
        <v>0</v>
      </c>
      <c r="Y259" s="131">
        <v>0</v>
      </c>
      <c r="Z259" s="131">
        <f t="shared" si="66"/>
        <v>0</v>
      </c>
      <c r="AA259" s="131">
        <v>0</v>
      </c>
      <c r="AB259" s="152">
        <f t="shared" si="67"/>
        <v>256969.1234247424</v>
      </c>
      <c r="AC259" s="133">
        <f>IF(D259="Physician Group Practice",(AB259/$AB$393)*'1. UC Assumptions'!$C$15,IF(E259="Rural Hospital",AB259*'1. UC Assumptions'!$C$7/'1. UC Assumptions'!$E$7,(AB259/$AB$397)*('1. UC Assumptions'!$C$9)))</f>
        <v>239864.10859854604</v>
      </c>
      <c r="AD259" s="133">
        <f t="shared" si="68"/>
        <v>0</v>
      </c>
      <c r="AE259" s="133">
        <f t="shared" si="69"/>
        <v>17105.014826196362</v>
      </c>
      <c r="AF259" s="133">
        <f t="shared" si="70"/>
        <v>0</v>
      </c>
      <c r="AG259" s="133">
        <f t="shared" si="71"/>
        <v>17105.014826196362</v>
      </c>
      <c r="AH259" s="133">
        <f t="shared" si="72"/>
        <v>239864.10859854604</v>
      </c>
      <c r="AI259" s="131">
        <f>AH259*'1. UC Assumptions'!$C$23</f>
        <v>79155.155837520186</v>
      </c>
      <c r="AJ259" s="131">
        <v>119489.21</v>
      </c>
      <c r="AK259" s="131">
        <f>AJ259*(1-'1. UC Assumptions'!$C$22)</f>
        <v>39431.439299999998</v>
      </c>
      <c r="AL259" s="131"/>
      <c r="AM259" s="131">
        <f>AL259*'1. UC Assumptions'!$C$23</f>
        <v>0</v>
      </c>
      <c r="AN259" s="153">
        <f t="shared" si="73"/>
        <v>256969.1234247424</v>
      </c>
      <c r="AO259" s="151">
        <f>AN259*'1. UC Assumptions'!$C$23</f>
        <v>84799.810730164987</v>
      </c>
      <c r="AP259" s="151">
        <f t="shared" si="74"/>
        <v>137479.91342474241</v>
      </c>
      <c r="AQ259" s="151">
        <f t="shared" si="75"/>
        <v>45368.371430164989</v>
      </c>
      <c r="AR259" s="151">
        <f t="shared" si="76"/>
        <v>45368.371430164989</v>
      </c>
      <c r="AS259" s="151">
        <f t="shared" si="77"/>
        <v>84799.810730164987</v>
      </c>
      <c r="AT259" s="151">
        <f>IF(K259="Bexar",(AG259/$AT$1)*'1. UC Assumptions'!$E$44-(AH259/$AT$2)*'1. UC Assumptions'!$E$42,0)</f>
        <v>0</v>
      </c>
      <c r="AU259" s="151">
        <f>IF(K259="Dallas",(AG259/$AU$1)*'1. UC Assumptions'!$F$44-(AH259/$AU$2)*'1. UC Assumptions'!$F$42,0)</f>
        <v>0</v>
      </c>
      <c r="AV259" s="151">
        <f>IF(K259="El Paso",(AG259/$AV$1)*'1. UC Assumptions'!$G$44-(AH259/$AV$2)*'1. UC Assumptions'!$G$42,0)</f>
        <v>0</v>
      </c>
      <c r="AW259" s="151">
        <f>IF(K259="Harris",(AG259/$AW$1)*'1. UC Assumptions'!$H$44-(AH259/$AW$2)*'1. UC Assumptions'!$H$42,0)</f>
        <v>0</v>
      </c>
      <c r="AX259" s="151">
        <f>IF(K259="Hidalgo",(AG259/$AX$1)*'1. UC Assumptions'!$I$44-(AH259/$AX$2)*'1. UC Assumptions'!$I$42,0)</f>
        <v>0</v>
      </c>
      <c r="AY259" s="151">
        <f>IF(K259="Jefferson",(AG259/$AY$1)*'1. UC Assumptions'!$J$44-(AH259/$AY$2)*'1. UC Assumptions'!$J$42,0)</f>
        <v>0</v>
      </c>
      <c r="AZ259" s="151">
        <f>IF(K259="Lubbock",(AG259/$AZ$1)*'1. UC Assumptions'!$K$44-(AH259/$AZ$2)*'1. UC Assumptions'!$K$42,0)</f>
        <v>0</v>
      </c>
      <c r="BA259" s="151">
        <f>IF(K259="MRSA Central",(AG259/$BA$1)*'1. UC Assumptions'!$L$44-(AH259/$BA$2)*'1. UC Assumptions'!$L$42,0)</f>
        <v>0</v>
      </c>
      <c r="BB259" s="151">
        <f>IF(K259="MRSA Northeast",(AG259/$BB$1)*'1. UC Assumptions'!$M$44-(AH259/$BB$2)*'1. UC Assumptions'!$M$42,0)</f>
        <v>0</v>
      </c>
      <c r="BC259" s="151">
        <f>IF(K259="MRSA West",(AG259/$BC$1)*'1. UC Assumptions'!$N$44-(AH259/$BC$2)*'1. UC Assumptions'!$N$42,0)</f>
        <v>0</v>
      </c>
      <c r="BD259" s="151">
        <f>IF(K259="Nueces",(AG259/$BD$1)*'1. UC Assumptions'!$O$44-(AH259/$BD$2)*'1. UC Assumptions'!$O$42,0)</f>
        <v>0</v>
      </c>
      <c r="BE259" s="151">
        <f>IF(K259="Tarrant",(AG259/$BE$1)*'1. UC Assumptions'!$P$44-(AH259/$BE$2)*'1. UC Assumptions'!$P$42,0)</f>
        <v>0</v>
      </c>
      <c r="BF259" s="151">
        <f>IF(K259="Travis",(AG259/$BF$1)*'1. UC Assumptions'!$Q$44-(AH259/$BF$2)*'1. UC Assumptions'!$Q$42,0)</f>
        <v>0</v>
      </c>
      <c r="BG259" s="151">
        <f t="shared" si="78"/>
        <v>0</v>
      </c>
      <c r="BH259" s="151">
        <f t="shared" si="79"/>
        <v>239864.10859854604</v>
      </c>
      <c r="BI259" s="151">
        <f>ROUNDDOWN(BH259*'1. UC Assumptions'!$C$23,2)</f>
        <v>79155.149999999994</v>
      </c>
      <c r="BJ259" s="154">
        <f t="shared" si="80"/>
        <v>120374.89859854603</v>
      </c>
      <c r="BK259" s="154">
        <f t="shared" si="81"/>
        <v>39723.710699999996</v>
      </c>
      <c r="BL259" s="154">
        <f t="shared" si="82"/>
        <v>111132.52</v>
      </c>
      <c r="BM259" s="154">
        <f t="shared" si="83"/>
        <v>36673.730000000003</v>
      </c>
      <c r="BN259" s="101"/>
      <c r="BO259" s="154">
        <f>(BL259*'1. UC Assumptions'!$C$23)-'3.  UC Calculations by Hospital'!BM259</f>
        <v>1.5999999959603883E-3</v>
      </c>
      <c r="BP259" s="13"/>
    </row>
    <row r="260" spans="2:68">
      <c r="B260" s="129" t="s">
        <v>837</v>
      </c>
      <c r="C260" s="91" t="s">
        <v>837</v>
      </c>
      <c r="D260" s="91" t="s">
        <v>214</v>
      </c>
      <c r="E260" s="91" t="s">
        <v>209</v>
      </c>
      <c r="F260" s="91"/>
      <c r="G260" s="91" t="s">
        <v>209</v>
      </c>
      <c r="H260" s="91" t="s">
        <v>209</v>
      </c>
      <c r="I260" s="150" t="s">
        <v>210</v>
      </c>
      <c r="J260" s="129" t="s">
        <v>838</v>
      </c>
      <c r="K260" s="91" t="s">
        <v>6</v>
      </c>
      <c r="L260" s="91" t="s">
        <v>6</v>
      </c>
      <c r="M260" s="151">
        <v>-3328253.1463475004</v>
      </c>
      <c r="N260" s="151">
        <v>29227127.60764917</v>
      </c>
      <c r="O260" s="131">
        <v>18363361.806245204</v>
      </c>
      <c r="P260" s="131">
        <f t="shared" ref="P260:P323" si="84">IF(N260-O260&gt;0,N260-O260,0)</f>
        <v>10863765.801403966</v>
      </c>
      <c r="Q260" s="131">
        <v>24343821.932472061</v>
      </c>
      <c r="R260" s="131">
        <v>10601298.469999999</v>
      </c>
      <c r="S260" s="131">
        <f t="shared" ref="S260:S323" si="85">IF(R260&gt;0,IF(M260+P260&lt;R260,(IF((R260-M260-P260)&gt;R260,R260,R260-M260-P260)),0),0)</f>
        <v>3065785.8149435334</v>
      </c>
      <c r="T260" s="131">
        <f t="shared" ref="T260:T318" si="86">IF(Q260-S260&gt;0,Q260-S260,0)</f>
        <v>21278036.117528528</v>
      </c>
      <c r="U260" s="131">
        <v>2584525</v>
      </c>
      <c r="V260" s="131">
        <v>0</v>
      </c>
      <c r="W260" s="131">
        <v>2663719.7312000012</v>
      </c>
      <c r="X260" s="131">
        <v>0</v>
      </c>
      <c r="Y260" s="131">
        <v>12962337.680101259</v>
      </c>
      <c r="Z260" s="131">
        <f t="shared" ref="Z260:Z323" si="87">SUM(U260:Y260)</f>
        <v>18210582.411301259</v>
      </c>
      <c r="AA260" s="131">
        <v>0</v>
      </c>
      <c r="AB260" s="152">
        <f t="shared" ref="AB260:AB323" si="88">IF(I260="Yes",Z260-Y260,T260+Z260+AA260)</f>
        <v>39488618.528829783</v>
      </c>
      <c r="AC260" s="133">
        <f>IF(D260="Physician Group Practice",(AB260/$AB$393)*'1. UC Assumptions'!$C$15,IF(E260="Rural Hospital",AB260*'1. UC Assumptions'!$C$7/'1. UC Assumptions'!$E$7,(AB260/$AB$397)*('1. UC Assumptions'!$C$9)))</f>
        <v>18565400.516526833</v>
      </c>
      <c r="AD260" s="133">
        <f t="shared" ref="AD260:AD323" si="89">IF((AC260)&gt;AB260-AA260,(AC260)-(AB260-AA260),0)</f>
        <v>0</v>
      </c>
      <c r="AE260" s="133">
        <f t="shared" ref="AE260:AE323" si="90">IF(AD260&gt;0,0,AB260-AA260-AC260)</f>
        <v>20923218.01230295</v>
      </c>
      <c r="AF260" s="133">
        <f t="shared" ref="AF260:AF323" si="91">(AE260/$AE$390)*$AD$390</f>
        <v>0</v>
      </c>
      <c r="AG260" s="133">
        <f t="shared" ref="AG260:AG323" si="92">AE260-AF260</f>
        <v>20923218.01230295</v>
      </c>
      <c r="AH260" s="133">
        <f t="shared" ref="AH260:AH323" si="93">AC260-AD260+AF260</f>
        <v>18565400.516526833</v>
      </c>
      <c r="AI260" s="131">
        <f>AH260*'1. UC Assumptions'!$C$23</f>
        <v>6126582.1704538539</v>
      </c>
      <c r="AJ260" s="131">
        <v>20548867.600000001</v>
      </c>
      <c r="AK260" s="131">
        <f>AJ260*(1-'1. UC Assumptions'!$C$22)</f>
        <v>6781126.3079999993</v>
      </c>
      <c r="AL260" s="131"/>
      <c r="AM260" s="131">
        <f>AL260*'1. UC Assumptions'!$C$23</f>
        <v>0</v>
      </c>
      <c r="AN260" s="153">
        <f t="shared" ref="AN260:AN323" si="94">AB260-AA260</f>
        <v>39488618.528829783</v>
      </c>
      <c r="AO260" s="151">
        <f>AN260*'1. UC Assumptions'!$C$23</f>
        <v>13031244.114513827</v>
      </c>
      <c r="AP260" s="151">
        <f t="shared" ref="AP260:AP323" si="95">IF(I260="Yes",AN260-AL260,AN260-AJ260)</f>
        <v>18939750.928829782</v>
      </c>
      <c r="AQ260" s="151">
        <f t="shared" ref="AQ260:AQ323" si="96">IF(I260="Yes",AO260-AM260,AO260-AK260)</f>
        <v>6250117.8065138282</v>
      </c>
      <c r="AR260" s="151">
        <f t="shared" ref="AR260:AR323" si="97">AQ260</f>
        <v>6250117.8065138282</v>
      </c>
      <c r="AS260" s="151">
        <f t="shared" ref="AS260:AS323" si="98">IF(I260="Yes",AR260+AM260,AR260+AK260)</f>
        <v>13031244.114513827</v>
      </c>
      <c r="AT260" s="151">
        <f>IF(K260="Bexar",(AG260/$AT$1)*'1. UC Assumptions'!$E$44-(AH260/$AT$2)*'1. UC Assumptions'!$E$42,0)</f>
        <v>0</v>
      </c>
      <c r="AU260" s="151">
        <f>IF(K260="Dallas",(AG260/$AU$1)*'1. UC Assumptions'!$F$44-(AH260/$AU$2)*'1. UC Assumptions'!$F$42,0)</f>
        <v>0</v>
      </c>
      <c r="AV260" s="151">
        <f>IF(K260="El Paso",(AG260/$AV$1)*'1. UC Assumptions'!$G$44-(AH260/$AV$2)*'1. UC Assumptions'!$G$42,0)</f>
        <v>0</v>
      </c>
      <c r="AW260" s="151">
        <f>IF(K260="Harris",(AG260/$AW$1)*'1. UC Assumptions'!$H$44-(AH260/$AW$2)*'1. UC Assumptions'!$H$42,0)</f>
        <v>0</v>
      </c>
      <c r="AX260" s="151">
        <f>IF(K260="Hidalgo",(AG260/$AX$1)*'1. UC Assumptions'!$I$44-(AH260/$AX$2)*'1. UC Assumptions'!$I$42,0)</f>
        <v>0</v>
      </c>
      <c r="AY260" s="151">
        <f>IF(K260="Jefferson",(AG260/$AY$1)*'1. UC Assumptions'!$J$44-(AH260/$AY$2)*'1. UC Assumptions'!$J$42,0)</f>
        <v>0</v>
      </c>
      <c r="AZ260" s="151">
        <f>IF(K260="Lubbock",(AG260/$AZ$1)*'1. UC Assumptions'!$K$44-(AH260/$AZ$2)*'1. UC Assumptions'!$K$42,0)</f>
        <v>0</v>
      </c>
      <c r="BA260" s="151">
        <f>IF(K260="MRSA Central",(AG260/$BA$1)*'1. UC Assumptions'!$L$44-(AH260/$BA$2)*'1. UC Assumptions'!$L$42,0)</f>
        <v>0</v>
      </c>
      <c r="BB260" s="151">
        <f>IF(K260="MRSA Northeast",(AG260/$BB$1)*'1. UC Assumptions'!$M$44-(AH260/$BB$2)*'1. UC Assumptions'!$M$42,0)</f>
        <v>0</v>
      </c>
      <c r="BC260" s="151">
        <f>IF(K260="MRSA West",(AG260/$BC$1)*'1. UC Assumptions'!$N$44-(AH260/$BC$2)*'1. UC Assumptions'!$N$42,0)</f>
        <v>0</v>
      </c>
      <c r="BD260" s="151">
        <f>IF(K260="Nueces",(AG260/$BD$1)*'1. UC Assumptions'!$O$44-(AH260/$BD$2)*'1. UC Assumptions'!$O$42,0)</f>
        <v>0</v>
      </c>
      <c r="BE260" s="151">
        <f>IF(K260="Tarrant",(AG260/$BE$1)*'1. UC Assumptions'!$P$44-(AH260/$BE$2)*'1. UC Assumptions'!$P$42,0)</f>
        <v>0</v>
      </c>
      <c r="BF260" s="151">
        <f>IF(K260="Travis",(AG260/$BF$1)*'1. UC Assumptions'!$Q$44-(AH260/$BF$2)*'1. UC Assumptions'!$Q$42,0)</f>
        <v>0</v>
      </c>
      <c r="BG260" s="151">
        <f t="shared" ref="BG260:BG323" si="99">SUM(AT260:BF260)</f>
        <v>0</v>
      </c>
      <c r="BH260" s="151">
        <f t="shared" ref="BH260:BH323" si="100">AH260+BG260</f>
        <v>18565400.516526833</v>
      </c>
      <c r="BI260" s="151">
        <f>ROUNDDOWN(BH260*'1. UC Assumptions'!$C$23,2)</f>
        <v>6126582.1699999999</v>
      </c>
      <c r="BJ260" s="154">
        <f t="shared" ref="BJ260:BJ323" si="101">IF(I260="Yes",BH260-AL260,BH260-AJ260)</f>
        <v>-1983467.0834731683</v>
      </c>
      <c r="BK260" s="154">
        <f t="shared" ref="BK260:BK323" si="102">IF(I260="Yes",BI260-AM260,BI260-AK260)</f>
        <v>-654544.13799999934</v>
      </c>
      <c r="BL260" s="154">
        <f t="shared" ref="BL260:BL323" si="103">ROUND(IF(BJ260&gt;0,(BJ260/$BJ$393)*$BJ$398,0),2)</f>
        <v>0</v>
      </c>
      <c r="BM260" s="154">
        <f t="shared" ref="BM260:BM323" si="104">ROUND(IF(BK260&gt;0,(BK260/$BK$393)*$BK$398,0),2)</f>
        <v>0</v>
      </c>
      <c r="BN260" s="101"/>
      <c r="BO260" s="154">
        <f>(BL260*'1. UC Assumptions'!$C$23)-'3.  UC Calculations by Hospital'!BM260</f>
        <v>0</v>
      </c>
      <c r="BP260" s="13"/>
    </row>
    <row r="261" spans="2:68">
      <c r="B261" s="129" t="s">
        <v>839</v>
      </c>
      <c r="C261" s="91" t="s">
        <v>839</v>
      </c>
      <c r="D261" s="91" t="s">
        <v>286</v>
      </c>
      <c r="E261" s="91" t="s">
        <v>209</v>
      </c>
      <c r="F261" s="91"/>
      <c r="G261" s="91" t="s">
        <v>287</v>
      </c>
      <c r="H261" s="91" t="s">
        <v>209</v>
      </c>
      <c r="I261" s="150" t="s">
        <v>210</v>
      </c>
      <c r="J261" s="129" t="s">
        <v>840</v>
      </c>
      <c r="K261" s="91" t="s">
        <v>4</v>
      </c>
      <c r="L261" s="91" t="s">
        <v>4</v>
      </c>
      <c r="M261" s="151">
        <v>-1004887.8896981202</v>
      </c>
      <c r="N261" s="151">
        <v>0</v>
      </c>
      <c r="O261" s="131">
        <v>0</v>
      </c>
      <c r="P261" s="131">
        <f t="shared" si="84"/>
        <v>0</v>
      </c>
      <c r="Q261" s="131">
        <v>107448.51420971025</v>
      </c>
      <c r="R261" s="131">
        <v>0</v>
      </c>
      <c r="S261" s="131">
        <f t="shared" si="85"/>
        <v>0</v>
      </c>
      <c r="T261" s="131">
        <f t="shared" si="86"/>
        <v>107448.51420971025</v>
      </c>
      <c r="U261" s="131">
        <v>0</v>
      </c>
      <c r="V261" s="131">
        <v>0</v>
      </c>
      <c r="W261" s="131">
        <v>0</v>
      </c>
      <c r="X261" s="131">
        <v>0</v>
      </c>
      <c r="Y261" s="131">
        <v>0</v>
      </c>
      <c r="Z261" s="131">
        <f t="shared" si="87"/>
        <v>0</v>
      </c>
      <c r="AA261" s="131">
        <v>0</v>
      </c>
      <c r="AB261" s="152">
        <f t="shared" si="88"/>
        <v>107448.51420971025</v>
      </c>
      <c r="AC261" s="133">
        <f>IF(D261="Physician Group Practice",(AB261/$AB$393)*'1. UC Assumptions'!$C$15,IF(E261="Rural Hospital",AB261*'1. UC Assumptions'!$C$7/'1. UC Assumptions'!$E$7,(AB261/$AB$397)*('1. UC Assumptions'!$C$9)))</f>
        <v>50516.446903621538</v>
      </c>
      <c r="AD261" s="133">
        <f t="shared" si="89"/>
        <v>0</v>
      </c>
      <c r="AE261" s="133">
        <f t="shared" si="90"/>
        <v>56932.067306088713</v>
      </c>
      <c r="AF261" s="133">
        <f t="shared" si="91"/>
        <v>0</v>
      </c>
      <c r="AG261" s="133">
        <f t="shared" si="92"/>
        <v>56932.067306088713</v>
      </c>
      <c r="AH261" s="133">
        <f t="shared" si="93"/>
        <v>50516.446903621538</v>
      </c>
      <c r="AI261" s="131">
        <f>AH261*'1. UC Assumptions'!$C$23</f>
        <v>16670.427478195106</v>
      </c>
      <c r="AJ261" s="131">
        <v>11842.84</v>
      </c>
      <c r="AK261" s="131">
        <f>AJ261*(1-'1. UC Assumptions'!$C$22)</f>
        <v>3908.1371999999997</v>
      </c>
      <c r="AL261" s="131"/>
      <c r="AM261" s="131">
        <f>AL261*'1. UC Assumptions'!$C$23</f>
        <v>0</v>
      </c>
      <c r="AN261" s="153">
        <f t="shared" si="94"/>
        <v>107448.51420971025</v>
      </c>
      <c r="AO261" s="151">
        <f>AN261*'1. UC Assumptions'!$C$23</f>
        <v>35458.00968920438</v>
      </c>
      <c r="AP261" s="151">
        <f t="shared" si="95"/>
        <v>95605.674209710254</v>
      </c>
      <c r="AQ261" s="151">
        <f t="shared" si="96"/>
        <v>31549.872489204379</v>
      </c>
      <c r="AR261" s="151">
        <f t="shared" si="97"/>
        <v>31549.872489204379</v>
      </c>
      <c r="AS261" s="151">
        <f t="shared" si="98"/>
        <v>35458.00968920438</v>
      </c>
      <c r="AT261" s="151">
        <f>IF(K261="Bexar",(AG261/$AT$1)*'1. UC Assumptions'!$E$44-(AH261/$AT$2)*'1. UC Assumptions'!$E$42,0)</f>
        <v>0</v>
      </c>
      <c r="AU261" s="151">
        <f>IF(K261="Dallas",(AG261/$AU$1)*'1. UC Assumptions'!$F$44-(AH261/$AU$2)*'1. UC Assumptions'!$F$42,0)</f>
        <v>0</v>
      </c>
      <c r="AV261" s="151">
        <f>IF(K261="El Paso",(AG261/$AV$1)*'1. UC Assumptions'!$G$44-(AH261/$AV$2)*'1. UC Assumptions'!$G$42,0)</f>
        <v>0</v>
      </c>
      <c r="AW261" s="151">
        <f>IF(K261="Harris",(AG261/$AW$1)*'1. UC Assumptions'!$H$44-(AH261/$AW$2)*'1. UC Assumptions'!$H$42,0)</f>
        <v>0</v>
      </c>
      <c r="AX261" s="151">
        <f>IF(K261="Hidalgo",(AG261/$AX$1)*'1. UC Assumptions'!$I$44-(AH261/$AX$2)*'1. UC Assumptions'!$I$42,0)</f>
        <v>0</v>
      </c>
      <c r="AY261" s="151">
        <f>IF(K261="Jefferson",(AG261/$AY$1)*'1. UC Assumptions'!$J$44-(AH261/$AY$2)*'1. UC Assumptions'!$J$42,0)</f>
        <v>0</v>
      </c>
      <c r="AZ261" s="151">
        <f>IF(K261="Lubbock",(AG261/$AZ$1)*'1. UC Assumptions'!$K$44-(AH261/$AZ$2)*'1. UC Assumptions'!$K$42,0)</f>
        <v>0</v>
      </c>
      <c r="BA261" s="151">
        <f>IF(K261="MRSA Central",(AG261/$BA$1)*'1. UC Assumptions'!$L$44-(AH261/$BA$2)*'1. UC Assumptions'!$L$42,0)</f>
        <v>0</v>
      </c>
      <c r="BB261" s="151">
        <f>IF(K261="MRSA Northeast",(AG261/$BB$1)*'1. UC Assumptions'!$M$44-(AH261/$BB$2)*'1. UC Assumptions'!$M$42,0)</f>
        <v>0</v>
      </c>
      <c r="BC261" s="151">
        <f>IF(K261="MRSA West",(AG261/$BC$1)*'1. UC Assumptions'!$N$44-(AH261/$BC$2)*'1. UC Assumptions'!$N$42,0)</f>
        <v>0</v>
      </c>
      <c r="BD261" s="151">
        <f>IF(K261="Nueces",(AG261/$BD$1)*'1. UC Assumptions'!$O$44-(AH261/$BD$2)*'1. UC Assumptions'!$O$42,0)</f>
        <v>0</v>
      </c>
      <c r="BE261" s="151">
        <f>IF(K261="Tarrant",(AG261/$BE$1)*'1. UC Assumptions'!$P$44-(AH261/$BE$2)*'1. UC Assumptions'!$P$42,0)</f>
        <v>0</v>
      </c>
      <c r="BF261" s="151">
        <f>IF(K261="Travis",(AG261/$BF$1)*'1. UC Assumptions'!$Q$44-(AH261/$BF$2)*'1. UC Assumptions'!$Q$42,0)</f>
        <v>0</v>
      </c>
      <c r="BG261" s="151">
        <f t="shared" si="99"/>
        <v>0</v>
      </c>
      <c r="BH261" s="151">
        <f t="shared" si="100"/>
        <v>50516.446903621538</v>
      </c>
      <c r="BI261" s="151">
        <f>ROUNDDOWN(BH261*'1. UC Assumptions'!$C$23,2)</f>
        <v>16670.419999999998</v>
      </c>
      <c r="BJ261" s="154">
        <f t="shared" si="101"/>
        <v>38673.606903621534</v>
      </c>
      <c r="BK261" s="154">
        <f t="shared" si="102"/>
        <v>12762.282799999999</v>
      </c>
      <c r="BL261" s="154">
        <f t="shared" si="103"/>
        <v>35704.25</v>
      </c>
      <c r="BM261" s="154">
        <f t="shared" si="104"/>
        <v>11782.4</v>
      </c>
      <c r="BN261" s="101"/>
      <c r="BO261" s="154">
        <f>(BL261*'1. UC Assumptions'!$C$23)-'3.  UC Calculations by Hospital'!BM261</f>
        <v>2.4999999986903276E-3</v>
      </c>
      <c r="BP261" s="13"/>
    </row>
    <row r="262" spans="2:68">
      <c r="B262" s="129" t="s">
        <v>841</v>
      </c>
      <c r="C262" s="91" t="s">
        <v>841</v>
      </c>
      <c r="D262" s="91" t="s">
        <v>214</v>
      </c>
      <c r="E262" s="91" t="s">
        <v>209</v>
      </c>
      <c r="F262" s="91"/>
      <c r="G262" s="91" t="s">
        <v>209</v>
      </c>
      <c r="H262" s="91" t="s">
        <v>209</v>
      </c>
      <c r="I262" s="150" t="s">
        <v>210</v>
      </c>
      <c r="J262" s="129" t="s">
        <v>842</v>
      </c>
      <c r="K262" s="91" t="s">
        <v>4</v>
      </c>
      <c r="L262" s="91" t="s">
        <v>260</v>
      </c>
      <c r="M262" s="151">
        <v>2465482.2713036551</v>
      </c>
      <c r="N262" s="151">
        <v>0</v>
      </c>
      <c r="O262" s="131">
        <v>0</v>
      </c>
      <c r="P262" s="131">
        <f t="shared" si="84"/>
        <v>0</v>
      </c>
      <c r="Q262" s="131">
        <v>7419533.6341950214</v>
      </c>
      <c r="R262" s="131">
        <v>0</v>
      </c>
      <c r="S262" s="131">
        <f t="shared" si="85"/>
        <v>0</v>
      </c>
      <c r="T262" s="131">
        <f t="shared" si="86"/>
        <v>7419533.6341950214</v>
      </c>
      <c r="U262" s="131">
        <v>0</v>
      </c>
      <c r="V262" s="131">
        <v>0</v>
      </c>
      <c r="W262" s="131">
        <v>0</v>
      </c>
      <c r="X262" s="131">
        <v>0</v>
      </c>
      <c r="Y262" s="131">
        <v>0</v>
      </c>
      <c r="Z262" s="131">
        <f t="shared" si="87"/>
        <v>0</v>
      </c>
      <c r="AA262" s="131">
        <v>0</v>
      </c>
      <c r="AB262" s="152">
        <f t="shared" si="88"/>
        <v>7419533.6341950214</v>
      </c>
      <c r="AC262" s="133">
        <f>IF(D262="Physician Group Practice",(AB262/$AB$393)*'1. UC Assumptions'!$C$15,IF(E262="Rural Hospital",AB262*'1. UC Assumptions'!$C$7/'1. UC Assumptions'!$E$7,(AB262/$AB$397)*('1. UC Assumptions'!$C$9)))</f>
        <v>3488261.1419821293</v>
      </c>
      <c r="AD262" s="133">
        <f t="shared" si="89"/>
        <v>0</v>
      </c>
      <c r="AE262" s="133">
        <f t="shared" si="90"/>
        <v>3931272.492212892</v>
      </c>
      <c r="AF262" s="133">
        <f t="shared" si="91"/>
        <v>0</v>
      </c>
      <c r="AG262" s="133">
        <f t="shared" si="92"/>
        <v>3931272.492212892</v>
      </c>
      <c r="AH262" s="133">
        <f t="shared" si="93"/>
        <v>3488261.1419821293</v>
      </c>
      <c r="AI262" s="131">
        <f>AH262*'1. UC Assumptions'!$C$23</f>
        <v>1151126.1768541026</v>
      </c>
      <c r="AJ262" s="131">
        <v>3410840.22</v>
      </c>
      <c r="AK262" s="131">
        <f>AJ262*(1-'1. UC Assumptions'!$C$22)</f>
        <v>1125577.2726</v>
      </c>
      <c r="AL262" s="131"/>
      <c r="AM262" s="131">
        <f>AL262*'1. UC Assumptions'!$C$23</f>
        <v>0</v>
      </c>
      <c r="AN262" s="153">
        <f t="shared" si="94"/>
        <v>7419533.6341950214</v>
      </c>
      <c r="AO262" s="151">
        <f>AN262*'1. UC Assumptions'!$C$23</f>
        <v>2448446.0992843569</v>
      </c>
      <c r="AP262" s="151">
        <f t="shared" si="95"/>
        <v>4008693.4141950211</v>
      </c>
      <c r="AQ262" s="151">
        <f t="shared" si="96"/>
        <v>1322868.8266843569</v>
      </c>
      <c r="AR262" s="151">
        <f t="shared" si="97"/>
        <v>1322868.8266843569</v>
      </c>
      <c r="AS262" s="151">
        <f t="shared" si="98"/>
        <v>2448446.0992843569</v>
      </c>
      <c r="AT262" s="151">
        <f>IF(K262="Bexar",(AG262/$AT$1)*'1. UC Assumptions'!$E$44-(AH262/$AT$2)*'1. UC Assumptions'!$E$42,0)</f>
        <v>0</v>
      </c>
      <c r="AU262" s="151">
        <f>IF(K262="Dallas",(AG262/$AU$1)*'1. UC Assumptions'!$F$44-(AH262/$AU$2)*'1. UC Assumptions'!$F$42,0)</f>
        <v>0</v>
      </c>
      <c r="AV262" s="151">
        <f>IF(K262="El Paso",(AG262/$AV$1)*'1. UC Assumptions'!$G$44-(AH262/$AV$2)*'1. UC Assumptions'!$G$42,0)</f>
        <v>0</v>
      </c>
      <c r="AW262" s="151">
        <f>IF(K262="Harris",(AG262/$AW$1)*'1. UC Assumptions'!$H$44-(AH262/$AW$2)*'1. UC Assumptions'!$H$42,0)</f>
        <v>0</v>
      </c>
      <c r="AX262" s="151">
        <f>IF(K262="Hidalgo",(AG262/$AX$1)*'1. UC Assumptions'!$I$44-(AH262/$AX$2)*'1. UC Assumptions'!$I$42,0)</f>
        <v>0</v>
      </c>
      <c r="AY262" s="151">
        <f>IF(K262="Jefferson",(AG262/$AY$1)*'1. UC Assumptions'!$J$44-(AH262/$AY$2)*'1. UC Assumptions'!$J$42,0)</f>
        <v>0</v>
      </c>
      <c r="AZ262" s="151">
        <f>IF(K262="Lubbock",(AG262/$AZ$1)*'1. UC Assumptions'!$K$44-(AH262/$AZ$2)*'1. UC Assumptions'!$K$42,0)</f>
        <v>0</v>
      </c>
      <c r="BA262" s="151">
        <f>IF(K262="MRSA Central",(AG262/$BA$1)*'1. UC Assumptions'!$L$44-(AH262/$BA$2)*'1. UC Assumptions'!$L$42,0)</f>
        <v>0</v>
      </c>
      <c r="BB262" s="151">
        <f>IF(K262="MRSA Northeast",(AG262/$BB$1)*'1. UC Assumptions'!$M$44-(AH262/$BB$2)*'1. UC Assumptions'!$M$42,0)</f>
        <v>0</v>
      </c>
      <c r="BC262" s="151">
        <f>IF(K262="MRSA West",(AG262/$BC$1)*'1. UC Assumptions'!$N$44-(AH262/$BC$2)*'1. UC Assumptions'!$N$42,0)</f>
        <v>0</v>
      </c>
      <c r="BD262" s="151">
        <f>IF(K262="Nueces",(AG262/$BD$1)*'1. UC Assumptions'!$O$44-(AH262/$BD$2)*'1. UC Assumptions'!$O$42,0)</f>
        <v>0</v>
      </c>
      <c r="BE262" s="151">
        <f>IF(K262="Tarrant",(AG262/$BE$1)*'1. UC Assumptions'!$P$44-(AH262/$BE$2)*'1. UC Assumptions'!$P$42,0)</f>
        <v>0</v>
      </c>
      <c r="BF262" s="151">
        <f>IF(K262="Travis",(AG262/$BF$1)*'1. UC Assumptions'!$Q$44-(AH262/$BF$2)*'1. UC Assumptions'!$Q$42,0)</f>
        <v>0</v>
      </c>
      <c r="BG262" s="151">
        <f t="shared" si="99"/>
        <v>0</v>
      </c>
      <c r="BH262" s="151">
        <f t="shared" si="100"/>
        <v>3488261.1419821293</v>
      </c>
      <c r="BI262" s="151">
        <f>ROUNDDOWN(BH262*'1. UC Assumptions'!$C$23,2)</f>
        <v>1151126.17</v>
      </c>
      <c r="BJ262" s="154">
        <f t="shared" si="101"/>
        <v>77420.921982129104</v>
      </c>
      <c r="BK262" s="154">
        <f t="shared" si="102"/>
        <v>25548.8973999999</v>
      </c>
      <c r="BL262" s="154">
        <f t="shared" si="103"/>
        <v>71476.55</v>
      </c>
      <c r="BM262" s="154">
        <f t="shared" si="104"/>
        <v>23587.26</v>
      </c>
      <c r="BN262" s="101"/>
      <c r="BO262" s="154">
        <f>(BL262*'1. UC Assumptions'!$C$23)-'3.  UC Calculations by Hospital'!BM262</f>
        <v>1.4999999984866008E-3</v>
      </c>
      <c r="BP262" s="13"/>
    </row>
    <row r="263" spans="2:68">
      <c r="B263" s="129" t="s">
        <v>843</v>
      </c>
      <c r="C263" s="91" t="s">
        <v>843</v>
      </c>
      <c r="D263" s="91" t="s">
        <v>214</v>
      </c>
      <c r="E263" s="91" t="s">
        <v>209</v>
      </c>
      <c r="F263" s="91"/>
      <c r="G263" s="91" t="s">
        <v>209</v>
      </c>
      <c r="H263" s="91" t="s">
        <v>209</v>
      </c>
      <c r="I263" s="150" t="s">
        <v>210</v>
      </c>
      <c r="J263" s="129" t="s">
        <v>542</v>
      </c>
      <c r="K263" s="91" t="s">
        <v>14</v>
      </c>
      <c r="L263" s="91" t="s">
        <v>14</v>
      </c>
      <c r="M263" s="151">
        <v>1196631.9167848676</v>
      </c>
      <c r="N263" s="151">
        <v>15901469.396073986</v>
      </c>
      <c r="O263" s="131">
        <v>0</v>
      </c>
      <c r="P263" s="131">
        <f t="shared" si="84"/>
        <v>15901469.396073986</v>
      </c>
      <c r="Q263" s="131">
        <v>12873192.212219441</v>
      </c>
      <c r="R263" s="131">
        <v>0</v>
      </c>
      <c r="S263" s="131">
        <f t="shared" si="85"/>
        <v>0</v>
      </c>
      <c r="T263" s="131">
        <f t="shared" si="86"/>
        <v>12873192.212219441</v>
      </c>
      <c r="U263" s="131">
        <v>0</v>
      </c>
      <c r="V263" s="131">
        <v>0</v>
      </c>
      <c r="W263" s="131">
        <v>0</v>
      </c>
      <c r="X263" s="131">
        <v>0</v>
      </c>
      <c r="Y263" s="131">
        <v>1620550</v>
      </c>
      <c r="Z263" s="131">
        <f t="shared" si="87"/>
        <v>1620550</v>
      </c>
      <c r="AA263" s="131">
        <v>0</v>
      </c>
      <c r="AB263" s="152">
        <f t="shared" si="88"/>
        <v>14493742.212219441</v>
      </c>
      <c r="AC263" s="133">
        <f>IF(D263="Physician Group Practice",(AB263/$AB$393)*'1. UC Assumptions'!$C$15,IF(E263="Rural Hospital",AB263*'1. UC Assumptions'!$C$7/'1. UC Assumptions'!$E$7,(AB263/$AB$397)*('1. UC Assumptions'!$C$9)))</f>
        <v>6814169.225917452</v>
      </c>
      <c r="AD263" s="133">
        <f t="shared" si="89"/>
        <v>0</v>
      </c>
      <c r="AE263" s="133">
        <f t="shared" si="90"/>
        <v>7679572.9863019893</v>
      </c>
      <c r="AF263" s="133">
        <f t="shared" si="91"/>
        <v>0</v>
      </c>
      <c r="AG263" s="133">
        <f t="shared" si="92"/>
        <v>7679572.9863019893</v>
      </c>
      <c r="AH263" s="133">
        <f t="shared" si="93"/>
        <v>6814169.225917452</v>
      </c>
      <c r="AI263" s="131">
        <f>AH263*'1. UC Assumptions'!$C$23</f>
        <v>2248675.8445527591</v>
      </c>
      <c r="AJ263" s="131">
        <v>6288418.4199999999</v>
      </c>
      <c r="AK263" s="131">
        <f>AJ263*(1-'1. UC Assumptions'!$C$22)</f>
        <v>2075178.0785999997</v>
      </c>
      <c r="AL263" s="131"/>
      <c r="AM263" s="131">
        <f>AL263*'1. UC Assumptions'!$C$23</f>
        <v>0</v>
      </c>
      <c r="AN263" s="153">
        <f t="shared" si="94"/>
        <v>14493742.212219441</v>
      </c>
      <c r="AO263" s="151">
        <f>AN263*'1. UC Assumptions'!$C$23</f>
        <v>4782934.9300324153</v>
      </c>
      <c r="AP263" s="151">
        <f t="shared" si="95"/>
        <v>8205323.7922194414</v>
      </c>
      <c r="AQ263" s="151">
        <f t="shared" si="96"/>
        <v>2707756.8514324157</v>
      </c>
      <c r="AR263" s="151">
        <f t="shared" si="97"/>
        <v>2707756.8514324157</v>
      </c>
      <c r="AS263" s="151">
        <f t="shared" si="98"/>
        <v>4782934.9300324153</v>
      </c>
      <c r="AT263" s="151">
        <f>IF(K263="Bexar",(AG263/$AT$1)*'1. UC Assumptions'!$E$44-(AH263/$AT$2)*'1. UC Assumptions'!$E$42,0)</f>
        <v>0</v>
      </c>
      <c r="AU263" s="151">
        <f>IF(K263="Dallas",(AG263/$AU$1)*'1. UC Assumptions'!$F$44-(AH263/$AU$2)*'1. UC Assumptions'!$F$42,0)</f>
        <v>0</v>
      </c>
      <c r="AV263" s="151">
        <f>IF(K263="El Paso",(AG263/$AV$1)*'1. UC Assumptions'!$G$44-(AH263/$AV$2)*'1. UC Assumptions'!$G$42,0)</f>
        <v>0</v>
      </c>
      <c r="AW263" s="151">
        <f>IF(K263="Harris",(AG263/$AW$1)*'1. UC Assumptions'!$H$44-(AH263/$AW$2)*'1. UC Assumptions'!$H$42,0)</f>
        <v>0</v>
      </c>
      <c r="AX263" s="151">
        <f>IF(K263="Hidalgo",(AG263/$AX$1)*'1. UC Assumptions'!$I$44-(AH263/$AX$2)*'1. UC Assumptions'!$I$42,0)</f>
        <v>0</v>
      </c>
      <c r="AY263" s="151">
        <f>IF(K263="Jefferson",(AG263/$AY$1)*'1. UC Assumptions'!$J$44-(AH263/$AY$2)*'1. UC Assumptions'!$J$42,0)</f>
        <v>0</v>
      </c>
      <c r="AZ263" s="151">
        <f>IF(K263="Lubbock",(AG263/$AZ$1)*'1. UC Assumptions'!$K$44-(AH263/$AZ$2)*'1. UC Assumptions'!$K$42,0)</f>
        <v>0</v>
      </c>
      <c r="BA263" s="151">
        <f>IF(K263="MRSA Central",(AG263/$BA$1)*'1. UC Assumptions'!$L$44-(AH263/$BA$2)*'1. UC Assumptions'!$L$42,0)</f>
        <v>0</v>
      </c>
      <c r="BB263" s="151">
        <f>IF(K263="MRSA Northeast",(AG263/$BB$1)*'1. UC Assumptions'!$M$44-(AH263/$BB$2)*'1. UC Assumptions'!$M$42,0)</f>
        <v>0</v>
      </c>
      <c r="BC263" s="151">
        <f>IF(K263="MRSA West",(AG263/$BC$1)*'1. UC Assumptions'!$N$44-(AH263/$BC$2)*'1. UC Assumptions'!$N$42,0)</f>
        <v>0</v>
      </c>
      <c r="BD263" s="151">
        <f>IF(K263="Nueces",(AG263/$BD$1)*'1. UC Assumptions'!$O$44-(AH263/$BD$2)*'1. UC Assumptions'!$O$42,0)</f>
        <v>0</v>
      </c>
      <c r="BE263" s="151">
        <f>IF(K263="Tarrant",(AG263/$BE$1)*'1. UC Assumptions'!$P$44-(AH263/$BE$2)*'1. UC Assumptions'!$P$42,0)</f>
        <v>0</v>
      </c>
      <c r="BF263" s="151">
        <f>IF(K263="Travis",(AG263/$BF$1)*'1. UC Assumptions'!$Q$44-(AH263/$BF$2)*'1. UC Assumptions'!$Q$42,0)</f>
        <v>0</v>
      </c>
      <c r="BG263" s="151">
        <f t="shared" si="99"/>
        <v>0</v>
      </c>
      <c r="BH263" s="151">
        <f t="shared" si="100"/>
        <v>6814169.225917452</v>
      </c>
      <c r="BI263" s="151">
        <f>ROUNDDOWN(BH263*'1. UC Assumptions'!$C$23,2)</f>
        <v>2248675.84</v>
      </c>
      <c r="BJ263" s="154">
        <f t="shared" si="101"/>
        <v>525750.80591745209</v>
      </c>
      <c r="BK263" s="154">
        <f t="shared" si="102"/>
        <v>173497.76140000019</v>
      </c>
      <c r="BL263" s="154">
        <f t="shared" si="103"/>
        <v>485383.7</v>
      </c>
      <c r="BM263" s="154">
        <f t="shared" si="104"/>
        <v>160176.62</v>
      </c>
      <c r="BN263" s="101"/>
      <c r="BO263" s="154">
        <f>(BL263*'1. UC Assumptions'!$C$23)-'3.  UC Calculations by Hospital'!BM263</f>
        <v>9.9999998928979039E-4</v>
      </c>
      <c r="BP263" s="13"/>
    </row>
    <row r="264" spans="2:68">
      <c r="B264" s="129" t="s">
        <v>844</v>
      </c>
      <c r="C264" s="91" t="s">
        <v>844</v>
      </c>
      <c r="D264" s="91" t="s">
        <v>214</v>
      </c>
      <c r="E264" s="91" t="s">
        <v>209</v>
      </c>
      <c r="F264" s="91"/>
      <c r="G264" s="91" t="s">
        <v>209</v>
      </c>
      <c r="H264" s="91" t="s">
        <v>227</v>
      </c>
      <c r="I264" s="150" t="s">
        <v>210</v>
      </c>
      <c r="J264" s="129" t="s">
        <v>346</v>
      </c>
      <c r="K264" s="91" t="s">
        <v>15</v>
      </c>
      <c r="L264" s="91" t="s">
        <v>15</v>
      </c>
      <c r="M264" s="151">
        <v>-87902903.701066911</v>
      </c>
      <c r="N264" s="151">
        <v>11052605.685981192</v>
      </c>
      <c r="O264" s="131">
        <v>6237565.5296312682</v>
      </c>
      <c r="P264" s="131">
        <f t="shared" si="84"/>
        <v>4815040.1563499235</v>
      </c>
      <c r="Q264" s="131">
        <v>10769577.762469267</v>
      </c>
      <c r="R264" s="131">
        <v>0</v>
      </c>
      <c r="S264" s="131">
        <f t="shared" si="85"/>
        <v>0</v>
      </c>
      <c r="T264" s="131">
        <f t="shared" si="86"/>
        <v>10769577.762469267</v>
      </c>
      <c r="U264" s="131">
        <v>525205</v>
      </c>
      <c r="V264" s="131">
        <v>0</v>
      </c>
      <c r="W264" s="131">
        <v>0</v>
      </c>
      <c r="X264" s="131">
        <v>0</v>
      </c>
      <c r="Y264" s="131">
        <v>659824</v>
      </c>
      <c r="Z264" s="131">
        <f t="shared" si="87"/>
        <v>1185029</v>
      </c>
      <c r="AA264" s="131">
        <v>0</v>
      </c>
      <c r="AB264" s="152">
        <f t="shared" si="88"/>
        <v>11954606.762469267</v>
      </c>
      <c r="AC264" s="133">
        <f>IF(D264="Physician Group Practice",(AB264/$AB$393)*'1. UC Assumptions'!$C$15,IF(E264="Rural Hospital",AB264*'1. UC Assumptions'!$C$7/'1. UC Assumptions'!$E$7,(AB264/$AB$397)*('1. UC Assumptions'!$C$9)))</f>
        <v>5620405.8493661163</v>
      </c>
      <c r="AD264" s="133">
        <f t="shared" si="89"/>
        <v>0</v>
      </c>
      <c r="AE264" s="133">
        <f t="shared" si="90"/>
        <v>6334200.9131031511</v>
      </c>
      <c r="AF264" s="133">
        <f t="shared" si="91"/>
        <v>0</v>
      </c>
      <c r="AG264" s="133">
        <f t="shared" si="92"/>
        <v>6334200.9131031511</v>
      </c>
      <c r="AH264" s="133">
        <f t="shared" si="93"/>
        <v>5620405.8493661163</v>
      </c>
      <c r="AI264" s="131">
        <f>AH264*'1. UC Assumptions'!$C$23</f>
        <v>1854733.9302908182</v>
      </c>
      <c r="AJ264" s="131">
        <v>3487253.71</v>
      </c>
      <c r="AK264" s="131">
        <f>AJ264*(1-'1. UC Assumptions'!$C$22)</f>
        <v>1150793.7242999999</v>
      </c>
      <c r="AL264" s="131"/>
      <c r="AM264" s="131">
        <f>AL264*'1. UC Assumptions'!$C$23</f>
        <v>0</v>
      </c>
      <c r="AN264" s="153">
        <f t="shared" si="94"/>
        <v>11954606.762469267</v>
      </c>
      <c r="AO264" s="151">
        <f>AN264*'1. UC Assumptions'!$C$23</f>
        <v>3945020.2316148579</v>
      </c>
      <c r="AP264" s="151">
        <f t="shared" si="95"/>
        <v>8467353.0524692684</v>
      </c>
      <c r="AQ264" s="151">
        <f t="shared" si="96"/>
        <v>2794226.507314858</v>
      </c>
      <c r="AR264" s="151">
        <f t="shared" si="97"/>
        <v>2794226.507314858</v>
      </c>
      <c r="AS264" s="151">
        <f t="shared" si="98"/>
        <v>3945020.2316148579</v>
      </c>
      <c r="AT264" s="151">
        <f>IF(K264="Bexar",(AG264/$AT$1)*'1. UC Assumptions'!$E$44-(AH264/$AT$2)*'1. UC Assumptions'!$E$42,0)</f>
        <v>0</v>
      </c>
      <c r="AU264" s="151">
        <f>IF(K264="Dallas",(AG264/$AU$1)*'1. UC Assumptions'!$F$44-(AH264/$AU$2)*'1. UC Assumptions'!$F$42,0)</f>
        <v>0</v>
      </c>
      <c r="AV264" s="151">
        <f>IF(K264="El Paso",(AG264/$AV$1)*'1. UC Assumptions'!$G$44-(AH264/$AV$2)*'1. UC Assumptions'!$G$42,0)</f>
        <v>0</v>
      </c>
      <c r="AW264" s="151">
        <f>IF(K264="Harris",(AG264/$AW$1)*'1. UC Assumptions'!$H$44-(AH264/$AW$2)*'1. UC Assumptions'!$H$42,0)</f>
        <v>0</v>
      </c>
      <c r="AX264" s="151">
        <f>IF(K264="Hidalgo",(AG264/$AX$1)*'1. UC Assumptions'!$I$44-(AH264/$AX$2)*'1. UC Assumptions'!$I$42,0)</f>
        <v>0</v>
      </c>
      <c r="AY264" s="151">
        <f>IF(K264="Jefferson",(AG264/$AY$1)*'1. UC Assumptions'!$J$44-(AH264/$AY$2)*'1. UC Assumptions'!$J$42,0)</f>
        <v>0</v>
      </c>
      <c r="AZ264" s="151">
        <f>IF(K264="Lubbock",(AG264/$AZ$1)*'1. UC Assumptions'!$K$44-(AH264/$AZ$2)*'1. UC Assumptions'!$K$42,0)</f>
        <v>0</v>
      </c>
      <c r="BA264" s="151">
        <f>IF(K264="MRSA Central",(AG264/$BA$1)*'1. UC Assumptions'!$L$44-(AH264/$BA$2)*'1. UC Assumptions'!$L$42,0)</f>
        <v>0</v>
      </c>
      <c r="BB264" s="151">
        <f>IF(K264="MRSA Northeast",(AG264/$BB$1)*'1. UC Assumptions'!$M$44-(AH264/$BB$2)*'1. UC Assumptions'!$M$42,0)</f>
        <v>0</v>
      </c>
      <c r="BC264" s="151">
        <f>IF(K264="MRSA West",(AG264/$BC$1)*'1. UC Assumptions'!$N$44-(AH264/$BC$2)*'1. UC Assumptions'!$N$42,0)</f>
        <v>0</v>
      </c>
      <c r="BD264" s="151">
        <f>IF(K264="Nueces",(AG264/$BD$1)*'1. UC Assumptions'!$O$44-(AH264/$BD$2)*'1. UC Assumptions'!$O$42,0)</f>
        <v>0</v>
      </c>
      <c r="BE264" s="151">
        <f>IF(K264="Tarrant",(AG264/$BE$1)*'1. UC Assumptions'!$P$44-(AH264/$BE$2)*'1. UC Assumptions'!$P$42,0)</f>
        <v>0</v>
      </c>
      <c r="BF264" s="151">
        <f>IF(K264="Travis",(AG264/$BF$1)*'1. UC Assumptions'!$Q$44-(AH264/$BF$2)*'1. UC Assumptions'!$Q$42,0)</f>
        <v>0</v>
      </c>
      <c r="BG264" s="151">
        <f t="shared" si="99"/>
        <v>0</v>
      </c>
      <c r="BH264" s="151">
        <f t="shared" si="100"/>
        <v>5620405.8493661163</v>
      </c>
      <c r="BI264" s="151">
        <f>ROUNDDOWN(BH264*'1. UC Assumptions'!$C$23,2)</f>
        <v>1854733.93</v>
      </c>
      <c r="BJ264" s="154">
        <f t="shared" si="101"/>
        <v>2133152.1393661164</v>
      </c>
      <c r="BK264" s="154">
        <f t="shared" si="102"/>
        <v>703940.20570000005</v>
      </c>
      <c r="BL264" s="154">
        <f t="shared" si="103"/>
        <v>1969368.9</v>
      </c>
      <c r="BM264" s="154">
        <f t="shared" si="104"/>
        <v>649891.74</v>
      </c>
      <c r="BN264" s="101"/>
      <c r="BO264" s="154">
        <f>(BL264*'1. UC Assumptions'!$C$23)-'3.  UC Calculations by Hospital'!BM264</f>
        <v>-3.0000001424923539E-3</v>
      </c>
      <c r="BP264" s="13"/>
    </row>
    <row r="265" spans="2:68">
      <c r="B265" s="129" t="s">
        <v>845</v>
      </c>
      <c r="C265" s="91" t="s">
        <v>845</v>
      </c>
      <c r="D265" s="91" t="s">
        <v>208</v>
      </c>
      <c r="E265" s="91" t="s">
        <v>149</v>
      </c>
      <c r="F265" s="91"/>
      <c r="G265" s="91" t="s">
        <v>209</v>
      </c>
      <c r="H265" s="91" t="s">
        <v>209</v>
      </c>
      <c r="I265" s="150" t="s">
        <v>210</v>
      </c>
      <c r="J265" s="129" t="s">
        <v>846</v>
      </c>
      <c r="K265" s="91" t="s">
        <v>12</v>
      </c>
      <c r="L265" s="91" t="s">
        <v>847</v>
      </c>
      <c r="M265" s="151">
        <v>-334401.72071039974</v>
      </c>
      <c r="N265" s="151">
        <v>1207554.3386267254</v>
      </c>
      <c r="O265" s="131">
        <v>304149.38477647363</v>
      </c>
      <c r="P265" s="131">
        <f t="shared" si="84"/>
        <v>903404.95385025174</v>
      </c>
      <c r="Q265" s="131">
        <v>609966.51982192637</v>
      </c>
      <c r="R265" s="131">
        <v>640392.21</v>
      </c>
      <c r="S265" s="131">
        <f t="shared" si="85"/>
        <v>71388.976860148017</v>
      </c>
      <c r="T265" s="131">
        <f t="shared" si="86"/>
        <v>538577.54296177835</v>
      </c>
      <c r="U265" s="131">
        <v>0</v>
      </c>
      <c r="V265" s="131">
        <v>0</v>
      </c>
      <c r="W265" s="131">
        <v>0</v>
      </c>
      <c r="X265" s="131">
        <v>0</v>
      </c>
      <c r="Y265" s="131">
        <v>0</v>
      </c>
      <c r="Z265" s="131">
        <f t="shared" si="87"/>
        <v>0</v>
      </c>
      <c r="AA265" s="131">
        <v>0</v>
      </c>
      <c r="AB265" s="152">
        <f t="shared" si="88"/>
        <v>538577.54296177835</v>
      </c>
      <c r="AC265" s="133">
        <f>IF(D265="Physician Group Practice",(AB265/$AB$393)*'1. UC Assumptions'!$C$15,IF(E265="Rural Hospital",AB265*'1. UC Assumptions'!$C$7/'1. UC Assumptions'!$E$7,(AB265/$AB$397)*('1. UC Assumptions'!$C$9)))</f>
        <v>502727.41149602033</v>
      </c>
      <c r="AD265" s="133">
        <f t="shared" si="89"/>
        <v>0</v>
      </c>
      <c r="AE265" s="133">
        <f t="shared" si="90"/>
        <v>35850.131465758022</v>
      </c>
      <c r="AF265" s="133">
        <f t="shared" si="91"/>
        <v>0</v>
      </c>
      <c r="AG265" s="133">
        <f t="shared" si="92"/>
        <v>35850.131465758022</v>
      </c>
      <c r="AH265" s="133">
        <f t="shared" si="93"/>
        <v>502727.41149602033</v>
      </c>
      <c r="AI265" s="131">
        <f>AH265*'1. UC Assumptions'!$C$23</f>
        <v>165900.0457936867</v>
      </c>
      <c r="AJ265" s="131">
        <v>81644.67</v>
      </c>
      <c r="AK265" s="131">
        <f>AJ265*(1-'1. UC Assumptions'!$C$22)</f>
        <v>26942.741099999996</v>
      </c>
      <c r="AL265" s="131"/>
      <c r="AM265" s="131">
        <f>AL265*'1. UC Assumptions'!$C$23</f>
        <v>0</v>
      </c>
      <c r="AN265" s="153">
        <f t="shared" si="94"/>
        <v>538577.54296177835</v>
      </c>
      <c r="AO265" s="151">
        <f>AN265*'1. UC Assumptions'!$C$23</f>
        <v>177730.58917738684</v>
      </c>
      <c r="AP265" s="151">
        <f t="shared" si="95"/>
        <v>456932.87296177837</v>
      </c>
      <c r="AQ265" s="151">
        <f t="shared" si="96"/>
        <v>150787.84807738685</v>
      </c>
      <c r="AR265" s="151">
        <f t="shared" si="97"/>
        <v>150787.84807738685</v>
      </c>
      <c r="AS265" s="151">
        <f t="shared" si="98"/>
        <v>177730.58917738684</v>
      </c>
      <c r="AT265" s="151">
        <f>IF(K265="Bexar",(AG265/$AT$1)*'1. UC Assumptions'!$E$44-(AH265/$AT$2)*'1. UC Assumptions'!$E$42,0)</f>
        <v>0</v>
      </c>
      <c r="AU265" s="151">
        <f>IF(K265="Dallas",(AG265/$AU$1)*'1. UC Assumptions'!$F$44-(AH265/$AU$2)*'1. UC Assumptions'!$F$42,0)</f>
        <v>0</v>
      </c>
      <c r="AV265" s="151">
        <f>IF(K265="El Paso",(AG265/$AV$1)*'1. UC Assumptions'!$G$44-(AH265/$AV$2)*'1. UC Assumptions'!$G$42,0)</f>
        <v>0</v>
      </c>
      <c r="AW265" s="151">
        <f>IF(K265="Harris",(AG265/$AW$1)*'1. UC Assumptions'!$H$44-(AH265/$AW$2)*'1. UC Assumptions'!$H$42,0)</f>
        <v>0</v>
      </c>
      <c r="AX265" s="151">
        <f>IF(K265="Hidalgo",(AG265/$AX$1)*'1. UC Assumptions'!$I$44-(AH265/$AX$2)*'1. UC Assumptions'!$I$42,0)</f>
        <v>0</v>
      </c>
      <c r="AY265" s="151">
        <f>IF(K265="Jefferson",(AG265/$AY$1)*'1. UC Assumptions'!$J$44-(AH265/$AY$2)*'1. UC Assumptions'!$J$42,0)</f>
        <v>0</v>
      </c>
      <c r="AZ265" s="151">
        <f>IF(K265="Lubbock",(AG265/$AZ$1)*'1. UC Assumptions'!$K$44-(AH265/$AZ$2)*'1. UC Assumptions'!$K$42,0)</f>
        <v>0</v>
      </c>
      <c r="BA265" s="151">
        <f>IF(K265="MRSA Central",(AG265/$BA$1)*'1. UC Assumptions'!$L$44-(AH265/$BA$2)*'1. UC Assumptions'!$L$42,0)</f>
        <v>0</v>
      </c>
      <c r="BB265" s="151">
        <f>IF(K265="MRSA Northeast",(AG265/$BB$1)*'1. UC Assumptions'!$M$44-(AH265/$BB$2)*'1. UC Assumptions'!$M$42,0)</f>
        <v>0</v>
      </c>
      <c r="BC265" s="151">
        <f>IF(K265="MRSA West",(AG265/$BC$1)*'1. UC Assumptions'!$N$44-(AH265/$BC$2)*'1. UC Assumptions'!$N$42,0)</f>
        <v>0</v>
      </c>
      <c r="BD265" s="151">
        <f>IF(K265="Nueces",(AG265/$BD$1)*'1. UC Assumptions'!$O$44-(AH265/$BD$2)*'1. UC Assumptions'!$O$42,0)</f>
        <v>0</v>
      </c>
      <c r="BE265" s="151">
        <f>IF(K265="Tarrant",(AG265/$BE$1)*'1. UC Assumptions'!$P$44-(AH265/$BE$2)*'1. UC Assumptions'!$P$42,0)</f>
        <v>0</v>
      </c>
      <c r="BF265" s="151">
        <f>IF(K265="Travis",(AG265/$BF$1)*'1. UC Assumptions'!$Q$44-(AH265/$BF$2)*'1. UC Assumptions'!$Q$42,0)</f>
        <v>0</v>
      </c>
      <c r="BG265" s="151">
        <f t="shared" si="99"/>
        <v>0</v>
      </c>
      <c r="BH265" s="151">
        <f t="shared" si="100"/>
        <v>502727.41149602033</v>
      </c>
      <c r="BI265" s="151">
        <f>ROUNDDOWN(BH265*'1. UC Assumptions'!$C$23,2)</f>
        <v>165900.04</v>
      </c>
      <c r="BJ265" s="154">
        <f t="shared" si="101"/>
        <v>421082.74149602035</v>
      </c>
      <c r="BK265" s="154">
        <f t="shared" si="102"/>
        <v>138957.29890000002</v>
      </c>
      <c r="BL265" s="154">
        <f t="shared" si="103"/>
        <v>388752.04</v>
      </c>
      <c r="BM265" s="154">
        <f t="shared" si="104"/>
        <v>128288.17</v>
      </c>
      <c r="BN265" s="101"/>
      <c r="BO265" s="154">
        <f>(BL265*'1. UC Assumptions'!$C$23)-'3.  UC Calculations by Hospital'!BM265</f>
        <v>3.1999999773688614E-3</v>
      </c>
      <c r="BP265" s="13"/>
    </row>
    <row r="266" spans="2:68">
      <c r="B266" s="129" t="s">
        <v>848</v>
      </c>
      <c r="C266" s="91" t="s">
        <v>848</v>
      </c>
      <c r="D266" s="91" t="s">
        <v>214</v>
      </c>
      <c r="E266" s="91" t="s">
        <v>209</v>
      </c>
      <c r="F266" s="91"/>
      <c r="G266" s="91" t="s">
        <v>209</v>
      </c>
      <c r="H266" s="91" t="s">
        <v>209</v>
      </c>
      <c r="I266" s="150" t="s">
        <v>210</v>
      </c>
      <c r="J266" s="129" t="s">
        <v>849</v>
      </c>
      <c r="K266" s="91" t="s">
        <v>15</v>
      </c>
      <c r="L266" s="91" t="s">
        <v>242</v>
      </c>
      <c r="M266" s="151">
        <v>-90192.883572650171</v>
      </c>
      <c r="N266" s="151">
        <v>0</v>
      </c>
      <c r="O266" s="131">
        <v>0</v>
      </c>
      <c r="P266" s="131">
        <f t="shared" si="84"/>
        <v>0</v>
      </c>
      <c r="Q266" s="131">
        <v>12448902.421680424</v>
      </c>
      <c r="R266" s="131">
        <v>0</v>
      </c>
      <c r="S266" s="131">
        <f t="shared" si="85"/>
        <v>0</v>
      </c>
      <c r="T266" s="131">
        <f t="shared" si="86"/>
        <v>12448902.421680424</v>
      </c>
      <c r="U266" s="131">
        <v>705808.19999999984</v>
      </c>
      <c r="V266" s="131">
        <v>0</v>
      </c>
      <c r="W266" s="131">
        <v>0</v>
      </c>
      <c r="X266" s="131">
        <v>0</v>
      </c>
      <c r="Y266" s="131">
        <v>0</v>
      </c>
      <c r="Z266" s="131">
        <f t="shared" si="87"/>
        <v>705808.19999999984</v>
      </c>
      <c r="AA266" s="131">
        <v>0</v>
      </c>
      <c r="AB266" s="152">
        <f t="shared" si="88"/>
        <v>13154710.621680424</v>
      </c>
      <c r="AC266" s="133">
        <f>IF(D266="Physician Group Practice",(AB266/$AB$393)*'1. UC Assumptions'!$C$15,IF(E266="Rural Hospital",AB266*'1. UC Assumptions'!$C$7/'1. UC Assumptions'!$E$7,(AB266/$AB$397)*('1. UC Assumptions'!$C$9)))</f>
        <v>6184629.406374529</v>
      </c>
      <c r="AD266" s="133">
        <f t="shared" si="89"/>
        <v>0</v>
      </c>
      <c r="AE266" s="133">
        <f t="shared" si="90"/>
        <v>6970081.2153058946</v>
      </c>
      <c r="AF266" s="133">
        <f t="shared" si="91"/>
        <v>0</v>
      </c>
      <c r="AG266" s="133">
        <f t="shared" si="92"/>
        <v>6970081.2153058946</v>
      </c>
      <c r="AH266" s="133">
        <f t="shared" si="93"/>
        <v>6184629.406374529</v>
      </c>
      <c r="AI266" s="131">
        <f>AH266*'1. UC Assumptions'!$C$23</f>
        <v>2040927.7041035944</v>
      </c>
      <c r="AJ266" s="131">
        <v>8013107.8899999997</v>
      </c>
      <c r="AK266" s="131">
        <f>AJ266*(1-'1. UC Assumptions'!$C$22)</f>
        <v>2644325.6036999994</v>
      </c>
      <c r="AL266" s="131"/>
      <c r="AM266" s="131">
        <f>AL266*'1. UC Assumptions'!$C$23</f>
        <v>0</v>
      </c>
      <c r="AN266" s="153">
        <f t="shared" si="94"/>
        <v>13154710.621680424</v>
      </c>
      <c r="AO266" s="151">
        <f>AN266*'1. UC Assumptions'!$C$23</f>
        <v>4341054.5051545389</v>
      </c>
      <c r="AP266" s="151">
        <f t="shared" si="95"/>
        <v>5141602.731680424</v>
      </c>
      <c r="AQ266" s="151">
        <f t="shared" si="96"/>
        <v>1696728.9014545395</v>
      </c>
      <c r="AR266" s="151">
        <f t="shared" si="97"/>
        <v>1696728.9014545395</v>
      </c>
      <c r="AS266" s="151">
        <f t="shared" si="98"/>
        <v>4341054.5051545389</v>
      </c>
      <c r="AT266" s="151">
        <f>IF(K266="Bexar",(AG266/$AT$1)*'1. UC Assumptions'!$E$44-(AH266/$AT$2)*'1. UC Assumptions'!$E$42,0)</f>
        <v>0</v>
      </c>
      <c r="AU266" s="151">
        <f>IF(K266="Dallas",(AG266/$AU$1)*'1. UC Assumptions'!$F$44-(AH266/$AU$2)*'1. UC Assumptions'!$F$42,0)</f>
        <v>0</v>
      </c>
      <c r="AV266" s="151">
        <f>IF(K266="El Paso",(AG266/$AV$1)*'1. UC Assumptions'!$G$44-(AH266/$AV$2)*'1. UC Assumptions'!$G$42,0)</f>
        <v>0</v>
      </c>
      <c r="AW266" s="151">
        <f>IF(K266="Harris",(AG266/$AW$1)*'1. UC Assumptions'!$H$44-(AH266/$AW$2)*'1. UC Assumptions'!$H$42,0)</f>
        <v>0</v>
      </c>
      <c r="AX266" s="151">
        <f>IF(K266="Hidalgo",(AG266/$AX$1)*'1. UC Assumptions'!$I$44-(AH266/$AX$2)*'1. UC Assumptions'!$I$42,0)</f>
        <v>0</v>
      </c>
      <c r="AY266" s="151">
        <f>IF(K266="Jefferson",(AG266/$AY$1)*'1. UC Assumptions'!$J$44-(AH266/$AY$2)*'1. UC Assumptions'!$J$42,0)</f>
        <v>0</v>
      </c>
      <c r="AZ266" s="151">
        <f>IF(K266="Lubbock",(AG266/$AZ$1)*'1. UC Assumptions'!$K$44-(AH266/$AZ$2)*'1. UC Assumptions'!$K$42,0)</f>
        <v>0</v>
      </c>
      <c r="BA266" s="151">
        <f>IF(K266="MRSA Central",(AG266/$BA$1)*'1. UC Assumptions'!$L$44-(AH266/$BA$2)*'1. UC Assumptions'!$L$42,0)</f>
        <v>0</v>
      </c>
      <c r="BB266" s="151">
        <f>IF(K266="MRSA Northeast",(AG266/$BB$1)*'1. UC Assumptions'!$M$44-(AH266/$BB$2)*'1. UC Assumptions'!$M$42,0)</f>
        <v>0</v>
      </c>
      <c r="BC266" s="151">
        <f>IF(K266="MRSA West",(AG266/$BC$1)*'1. UC Assumptions'!$N$44-(AH266/$BC$2)*'1. UC Assumptions'!$N$42,0)</f>
        <v>0</v>
      </c>
      <c r="BD266" s="151">
        <f>IF(K266="Nueces",(AG266/$BD$1)*'1. UC Assumptions'!$O$44-(AH266/$BD$2)*'1. UC Assumptions'!$O$42,0)</f>
        <v>0</v>
      </c>
      <c r="BE266" s="151">
        <f>IF(K266="Tarrant",(AG266/$BE$1)*'1. UC Assumptions'!$P$44-(AH266/$BE$2)*'1. UC Assumptions'!$P$42,0)</f>
        <v>0</v>
      </c>
      <c r="BF266" s="151">
        <f>IF(K266="Travis",(AG266/$BF$1)*'1. UC Assumptions'!$Q$44-(AH266/$BF$2)*'1. UC Assumptions'!$Q$42,0)</f>
        <v>0</v>
      </c>
      <c r="BG266" s="151">
        <f t="shared" si="99"/>
        <v>0</v>
      </c>
      <c r="BH266" s="151">
        <f t="shared" si="100"/>
        <v>6184629.406374529</v>
      </c>
      <c r="BI266" s="151">
        <f>ROUNDDOWN(BH266*'1. UC Assumptions'!$C$23,2)</f>
        <v>2040927.7</v>
      </c>
      <c r="BJ266" s="154">
        <f t="shared" si="101"/>
        <v>-1828478.4836254707</v>
      </c>
      <c r="BK266" s="154">
        <f t="shared" si="102"/>
        <v>-603397.90369999944</v>
      </c>
      <c r="BL266" s="154">
        <f t="shared" si="103"/>
        <v>0</v>
      </c>
      <c r="BM266" s="154">
        <f t="shared" si="104"/>
        <v>0</v>
      </c>
      <c r="BN266" s="101"/>
      <c r="BO266" s="154">
        <f>(BL266*'1. UC Assumptions'!$C$23)-'3.  UC Calculations by Hospital'!BM266</f>
        <v>0</v>
      </c>
      <c r="BP266" s="13"/>
    </row>
    <row r="267" spans="2:68">
      <c r="B267" s="129" t="s">
        <v>850</v>
      </c>
      <c r="C267" s="91" t="s">
        <v>850</v>
      </c>
      <c r="D267" s="91" t="s">
        <v>286</v>
      </c>
      <c r="E267" s="91" t="s">
        <v>209</v>
      </c>
      <c r="F267" s="91"/>
      <c r="G267" s="91" t="s">
        <v>287</v>
      </c>
      <c r="H267" s="91" t="s">
        <v>209</v>
      </c>
      <c r="I267" s="150" t="s">
        <v>210</v>
      </c>
      <c r="J267" s="129" t="s">
        <v>851</v>
      </c>
      <c r="K267" s="91" t="s">
        <v>5</v>
      </c>
      <c r="L267" s="91" t="s">
        <v>5</v>
      </c>
      <c r="M267" s="151">
        <v>-2783817.0737221343</v>
      </c>
      <c r="N267" s="151">
        <v>0</v>
      </c>
      <c r="O267" s="131">
        <v>0</v>
      </c>
      <c r="P267" s="131">
        <f t="shared" si="84"/>
        <v>0</v>
      </c>
      <c r="Q267" s="131">
        <v>26673.93383887424</v>
      </c>
      <c r="R267" s="131">
        <v>0</v>
      </c>
      <c r="S267" s="131">
        <f t="shared" si="85"/>
        <v>0</v>
      </c>
      <c r="T267" s="131">
        <f t="shared" si="86"/>
        <v>26673.93383887424</v>
      </c>
      <c r="U267" s="131">
        <v>0</v>
      </c>
      <c r="V267" s="131">
        <v>0</v>
      </c>
      <c r="W267" s="131">
        <v>0</v>
      </c>
      <c r="X267" s="131">
        <v>0</v>
      </c>
      <c r="Y267" s="131">
        <v>0</v>
      </c>
      <c r="Z267" s="131">
        <f t="shared" si="87"/>
        <v>0</v>
      </c>
      <c r="AA267" s="131">
        <v>0</v>
      </c>
      <c r="AB267" s="152">
        <f t="shared" si="88"/>
        <v>26673.93383887424</v>
      </c>
      <c r="AC267" s="133">
        <f>IF(D267="Physician Group Practice",(AB267/$AB$393)*'1. UC Assumptions'!$C$15,IF(E267="Rural Hospital",AB267*'1. UC Assumptions'!$C$7/'1. UC Assumptions'!$E$7,(AB267/$AB$397)*('1. UC Assumptions'!$C$9)))</f>
        <v>12540.632808121527</v>
      </c>
      <c r="AD267" s="133">
        <f t="shared" si="89"/>
        <v>0</v>
      </c>
      <c r="AE267" s="133">
        <f t="shared" si="90"/>
        <v>14133.301030752713</v>
      </c>
      <c r="AF267" s="133">
        <f t="shared" si="91"/>
        <v>0</v>
      </c>
      <c r="AG267" s="133">
        <f t="shared" si="92"/>
        <v>14133.301030752713</v>
      </c>
      <c r="AH267" s="133">
        <f t="shared" si="93"/>
        <v>12540.632808121527</v>
      </c>
      <c r="AI267" s="131">
        <f>AH267*'1. UC Assumptions'!$C$23</f>
        <v>4138.4088266801036</v>
      </c>
      <c r="AJ267" s="131">
        <v>33748.61</v>
      </c>
      <c r="AK267" s="131">
        <f>AJ267*(1-'1. UC Assumptions'!$C$22)</f>
        <v>11137.041299999999</v>
      </c>
      <c r="AL267" s="131"/>
      <c r="AM267" s="131">
        <f>AL267*'1. UC Assumptions'!$C$23</f>
        <v>0</v>
      </c>
      <c r="AN267" s="153">
        <f t="shared" si="94"/>
        <v>26673.93383887424</v>
      </c>
      <c r="AO267" s="151">
        <f>AN267*'1. UC Assumptions'!$C$23</f>
        <v>8802.3981668284978</v>
      </c>
      <c r="AP267" s="151">
        <f t="shared" si="95"/>
        <v>-7074.6761611257607</v>
      </c>
      <c r="AQ267" s="151">
        <f t="shared" si="96"/>
        <v>-2334.6431331715012</v>
      </c>
      <c r="AR267" s="151">
        <f t="shared" si="97"/>
        <v>-2334.6431331715012</v>
      </c>
      <c r="AS267" s="151">
        <f t="shared" si="98"/>
        <v>8802.3981668284978</v>
      </c>
      <c r="AT267" s="151">
        <f>IF(K267="Bexar",(AG267/$AT$1)*'1. UC Assumptions'!$E$44-(AH267/$AT$2)*'1. UC Assumptions'!$E$42,0)</f>
        <v>0</v>
      </c>
      <c r="AU267" s="151">
        <f>IF(K267="Dallas",(AG267/$AU$1)*'1. UC Assumptions'!$F$44-(AH267/$AU$2)*'1. UC Assumptions'!$F$42,0)</f>
        <v>0</v>
      </c>
      <c r="AV267" s="151">
        <f>IF(K267="El Paso",(AG267/$AV$1)*'1. UC Assumptions'!$G$44-(AH267/$AV$2)*'1. UC Assumptions'!$G$42,0)</f>
        <v>0</v>
      </c>
      <c r="AW267" s="151">
        <f>IF(K267="Harris",(AG267/$AW$1)*'1. UC Assumptions'!$H$44-(AH267/$AW$2)*'1. UC Assumptions'!$H$42,0)</f>
        <v>0</v>
      </c>
      <c r="AX267" s="151">
        <f>IF(K267="Hidalgo",(AG267/$AX$1)*'1. UC Assumptions'!$I$44-(AH267/$AX$2)*'1. UC Assumptions'!$I$42,0)</f>
        <v>0</v>
      </c>
      <c r="AY267" s="151">
        <f>IF(K267="Jefferson",(AG267/$AY$1)*'1. UC Assumptions'!$J$44-(AH267/$AY$2)*'1. UC Assumptions'!$J$42,0)</f>
        <v>0</v>
      </c>
      <c r="AZ267" s="151">
        <f>IF(K267="Lubbock",(AG267/$AZ$1)*'1. UC Assumptions'!$K$44-(AH267/$AZ$2)*'1. UC Assumptions'!$K$42,0)</f>
        <v>0</v>
      </c>
      <c r="BA267" s="151">
        <f>IF(K267="MRSA Central",(AG267/$BA$1)*'1. UC Assumptions'!$L$44-(AH267/$BA$2)*'1. UC Assumptions'!$L$42,0)</f>
        <v>0</v>
      </c>
      <c r="BB267" s="151">
        <f>IF(K267="MRSA Northeast",(AG267/$BB$1)*'1. UC Assumptions'!$M$44-(AH267/$BB$2)*'1. UC Assumptions'!$M$42,0)</f>
        <v>0</v>
      </c>
      <c r="BC267" s="151">
        <f>IF(K267="MRSA West",(AG267/$BC$1)*'1. UC Assumptions'!$N$44-(AH267/$BC$2)*'1. UC Assumptions'!$N$42,0)</f>
        <v>0</v>
      </c>
      <c r="BD267" s="151">
        <f>IF(K267="Nueces",(AG267/$BD$1)*'1. UC Assumptions'!$O$44-(AH267/$BD$2)*'1. UC Assumptions'!$O$42,0)</f>
        <v>0</v>
      </c>
      <c r="BE267" s="151">
        <f>IF(K267="Tarrant",(AG267/$BE$1)*'1. UC Assumptions'!$P$44-(AH267/$BE$2)*'1. UC Assumptions'!$P$42,0)</f>
        <v>0</v>
      </c>
      <c r="BF267" s="151">
        <f>IF(K267="Travis",(AG267/$BF$1)*'1. UC Assumptions'!$Q$44-(AH267/$BF$2)*'1. UC Assumptions'!$Q$42,0)</f>
        <v>0</v>
      </c>
      <c r="BG267" s="151">
        <f t="shared" si="99"/>
        <v>0</v>
      </c>
      <c r="BH267" s="151">
        <f t="shared" si="100"/>
        <v>12540.632808121527</v>
      </c>
      <c r="BI267" s="151">
        <f>ROUNDDOWN(BH267*'1. UC Assumptions'!$C$23,2)</f>
        <v>4138.3999999999996</v>
      </c>
      <c r="BJ267" s="154">
        <f t="shared" si="101"/>
        <v>-21207.977191878475</v>
      </c>
      <c r="BK267" s="154">
        <f t="shared" si="102"/>
        <v>-6998.6412999999993</v>
      </c>
      <c r="BL267" s="154">
        <f t="shared" si="103"/>
        <v>0</v>
      </c>
      <c r="BM267" s="154">
        <f t="shared" si="104"/>
        <v>0</v>
      </c>
      <c r="BN267" s="101"/>
      <c r="BO267" s="154">
        <f>(BL267*'1. UC Assumptions'!$C$23)-'3.  UC Calculations by Hospital'!BM267</f>
        <v>0</v>
      </c>
      <c r="BP267" s="13"/>
    </row>
    <row r="268" spans="2:68">
      <c r="B268" s="129" t="s">
        <v>852</v>
      </c>
      <c r="C268" s="91" t="s">
        <v>852</v>
      </c>
      <c r="D268" s="91" t="s">
        <v>214</v>
      </c>
      <c r="E268" s="91" t="s">
        <v>209</v>
      </c>
      <c r="F268" s="91"/>
      <c r="G268" s="91" t="s">
        <v>209</v>
      </c>
      <c r="H268" s="91" t="s">
        <v>209</v>
      </c>
      <c r="I268" s="150" t="s">
        <v>210</v>
      </c>
      <c r="J268" s="129" t="s">
        <v>853</v>
      </c>
      <c r="K268" s="91" t="s">
        <v>15</v>
      </c>
      <c r="L268" s="91" t="s">
        <v>242</v>
      </c>
      <c r="M268" s="151">
        <v>-1833578.5393244929</v>
      </c>
      <c r="N268" s="151">
        <v>7402161.9734780649</v>
      </c>
      <c r="O268" s="131">
        <v>4563426.2477497347</v>
      </c>
      <c r="P268" s="131">
        <f t="shared" si="84"/>
        <v>2838735.7257283302</v>
      </c>
      <c r="Q268" s="131">
        <v>5708944.1507264767</v>
      </c>
      <c r="R268" s="131">
        <v>0</v>
      </c>
      <c r="S268" s="131">
        <f t="shared" si="85"/>
        <v>0</v>
      </c>
      <c r="T268" s="131">
        <f t="shared" si="86"/>
        <v>5708944.1507264767</v>
      </c>
      <c r="U268" s="131">
        <v>1062151</v>
      </c>
      <c r="V268" s="131">
        <v>0</v>
      </c>
      <c r="W268" s="131">
        <v>56679</v>
      </c>
      <c r="X268" s="131">
        <v>0</v>
      </c>
      <c r="Y268" s="131">
        <v>480241</v>
      </c>
      <c r="Z268" s="131">
        <f t="shared" si="87"/>
        <v>1599071</v>
      </c>
      <c r="AA268" s="131">
        <v>0</v>
      </c>
      <c r="AB268" s="152">
        <f t="shared" si="88"/>
        <v>7308015.1507264767</v>
      </c>
      <c r="AC268" s="133">
        <f>IF(D268="Physician Group Practice",(AB268/$AB$393)*'1. UC Assumptions'!$C$15,IF(E268="Rural Hospital",AB268*'1. UC Assumptions'!$C$7/'1. UC Assumptions'!$E$7,(AB268/$AB$397)*('1. UC Assumptions'!$C$9)))</f>
        <v>3435831.216912007</v>
      </c>
      <c r="AD268" s="133">
        <f t="shared" si="89"/>
        <v>0</v>
      </c>
      <c r="AE268" s="133">
        <f t="shared" si="90"/>
        <v>3872183.9338144697</v>
      </c>
      <c r="AF268" s="133">
        <f t="shared" si="91"/>
        <v>0</v>
      </c>
      <c r="AG268" s="133">
        <f t="shared" si="92"/>
        <v>3872183.9338144697</v>
      </c>
      <c r="AH268" s="133">
        <f t="shared" si="93"/>
        <v>3435831.216912007</v>
      </c>
      <c r="AI268" s="131">
        <f>AH268*'1. UC Assumptions'!$C$23</f>
        <v>1133824.3015809623</v>
      </c>
      <c r="AJ268" s="131">
        <v>2975257.3</v>
      </c>
      <c r="AK268" s="131">
        <f>AJ268*(1-'1. UC Assumptions'!$C$22)</f>
        <v>981834.90899999987</v>
      </c>
      <c r="AL268" s="131"/>
      <c r="AM268" s="131">
        <f>AL268*'1. UC Assumptions'!$C$23</f>
        <v>0</v>
      </c>
      <c r="AN268" s="153">
        <f t="shared" si="94"/>
        <v>7308015.1507264767</v>
      </c>
      <c r="AO268" s="151">
        <f>AN268*'1. UC Assumptions'!$C$23</f>
        <v>2411644.9997397368</v>
      </c>
      <c r="AP268" s="151">
        <f t="shared" si="95"/>
        <v>4332757.8507264769</v>
      </c>
      <c r="AQ268" s="151">
        <f t="shared" si="96"/>
        <v>1429810.0907397368</v>
      </c>
      <c r="AR268" s="151">
        <f t="shared" si="97"/>
        <v>1429810.0907397368</v>
      </c>
      <c r="AS268" s="151">
        <f t="shared" si="98"/>
        <v>2411644.9997397368</v>
      </c>
      <c r="AT268" s="151">
        <f>IF(K268="Bexar",(AG268/$AT$1)*'1. UC Assumptions'!$E$44-(AH268/$AT$2)*'1. UC Assumptions'!$E$42,0)</f>
        <v>0</v>
      </c>
      <c r="AU268" s="151">
        <f>IF(K268="Dallas",(AG268/$AU$1)*'1. UC Assumptions'!$F$44-(AH268/$AU$2)*'1. UC Assumptions'!$F$42,0)</f>
        <v>0</v>
      </c>
      <c r="AV268" s="151">
        <f>IF(K268="El Paso",(AG268/$AV$1)*'1. UC Assumptions'!$G$44-(AH268/$AV$2)*'1. UC Assumptions'!$G$42,0)</f>
        <v>0</v>
      </c>
      <c r="AW268" s="151">
        <f>IF(K268="Harris",(AG268/$AW$1)*'1. UC Assumptions'!$H$44-(AH268/$AW$2)*'1. UC Assumptions'!$H$42,0)</f>
        <v>0</v>
      </c>
      <c r="AX268" s="151">
        <f>IF(K268="Hidalgo",(AG268/$AX$1)*'1. UC Assumptions'!$I$44-(AH268/$AX$2)*'1. UC Assumptions'!$I$42,0)</f>
        <v>0</v>
      </c>
      <c r="AY268" s="151">
        <f>IF(K268="Jefferson",(AG268/$AY$1)*'1. UC Assumptions'!$J$44-(AH268/$AY$2)*'1. UC Assumptions'!$J$42,0)</f>
        <v>0</v>
      </c>
      <c r="AZ268" s="151">
        <f>IF(K268="Lubbock",(AG268/$AZ$1)*'1. UC Assumptions'!$K$44-(AH268/$AZ$2)*'1. UC Assumptions'!$K$42,0)</f>
        <v>0</v>
      </c>
      <c r="BA268" s="151">
        <f>IF(K268="MRSA Central",(AG268/$BA$1)*'1. UC Assumptions'!$L$44-(AH268/$BA$2)*'1. UC Assumptions'!$L$42,0)</f>
        <v>0</v>
      </c>
      <c r="BB268" s="151">
        <f>IF(K268="MRSA Northeast",(AG268/$BB$1)*'1. UC Assumptions'!$M$44-(AH268/$BB$2)*'1. UC Assumptions'!$M$42,0)</f>
        <v>0</v>
      </c>
      <c r="BC268" s="151">
        <f>IF(K268="MRSA West",(AG268/$BC$1)*'1. UC Assumptions'!$N$44-(AH268/$BC$2)*'1. UC Assumptions'!$N$42,0)</f>
        <v>0</v>
      </c>
      <c r="BD268" s="151">
        <f>IF(K268="Nueces",(AG268/$BD$1)*'1. UC Assumptions'!$O$44-(AH268/$BD$2)*'1. UC Assumptions'!$O$42,0)</f>
        <v>0</v>
      </c>
      <c r="BE268" s="151">
        <f>IF(K268="Tarrant",(AG268/$BE$1)*'1. UC Assumptions'!$P$44-(AH268/$BE$2)*'1. UC Assumptions'!$P$42,0)</f>
        <v>0</v>
      </c>
      <c r="BF268" s="151">
        <f>IF(K268="Travis",(AG268/$BF$1)*'1. UC Assumptions'!$Q$44-(AH268/$BF$2)*'1. UC Assumptions'!$Q$42,0)</f>
        <v>0</v>
      </c>
      <c r="BG268" s="151">
        <f t="shared" si="99"/>
        <v>0</v>
      </c>
      <c r="BH268" s="151">
        <f t="shared" si="100"/>
        <v>3435831.216912007</v>
      </c>
      <c r="BI268" s="151">
        <f>ROUNDDOWN(BH268*'1. UC Assumptions'!$C$23,2)</f>
        <v>1133824.3</v>
      </c>
      <c r="BJ268" s="154">
        <f t="shared" si="101"/>
        <v>460573.91691200715</v>
      </c>
      <c r="BK268" s="154">
        <f t="shared" si="102"/>
        <v>151989.39100000018</v>
      </c>
      <c r="BL268" s="154">
        <f t="shared" si="103"/>
        <v>425211.09</v>
      </c>
      <c r="BM268" s="154">
        <f t="shared" si="104"/>
        <v>140319.66</v>
      </c>
      <c r="BN268" s="101"/>
      <c r="BO268" s="154">
        <f>(BL268*'1. UC Assumptions'!$C$23)-'3.  UC Calculations by Hospital'!BM268</f>
        <v>-3.0000001424923539E-4</v>
      </c>
      <c r="BP268" s="13"/>
    </row>
    <row r="269" spans="2:68">
      <c r="B269" s="129" t="s">
        <v>854</v>
      </c>
      <c r="C269" s="91" t="s">
        <v>854</v>
      </c>
      <c r="D269" s="91" t="s">
        <v>214</v>
      </c>
      <c r="E269" s="91" t="s">
        <v>209</v>
      </c>
      <c r="F269" s="91"/>
      <c r="G269" s="91" t="s">
        <v>209</v>
      </c>
      <c r="H269" s="91" t="s">
        <v>209</v>
      </c>
      <c r="I269" s="150" t="s">
        <v>210</v>
      </c>
      <c r="J269" s="129" t="s">
        <v>855</v>
      </c>
      <c r="K269" s="91" t="s">
        <v>6</v>
      </c>
      <c r="L269" s="91" t="s">
        <v>6</v>
      </c>
      <c r="M269" s="151">
        <v>-1542466.3891430674</v>
      </c>
      <c r="N269" s="151">
        <v>39780105.217591867</v>
      </c>
      <c r="O269" s="131">
        <v>0</v>
      </c>
      <c r="P269" s="131">
        <f t="shared" si="84"/>
        <v>39780105.217591867</v>
      </c>
      <c r="Q269" s="131">
        <v>30966013.801293079</v>
      </c>
      <c r="R269" s="131">
        <v>0</v>
      </c>
      <c r="S269" s="131">
        <f t="shared" si="85"/>
        <v>0</v>
      </c>
      <c r="T269" s="131">
        <f t="shared" si="86"/>
        <v>30966013.801293079</v>
      </c>
      <c r="U269" s="131">
        <v>775862</v>
      </c>
      <c r="V269" s="131">
        <v>0</v>
      </c>
      <c r="W269" s="131">
        <v>0</v>
      </c>
      <c r="X269" s="131">
        <v>0</v>
      </c>
      <c r="Y269" s="131">
        <v>0</v>
      </c>
      <c r="Z269" s="131">
        <f t="shared" si="87"/>
        <v>775862</v>
      </c>
      <c r="AA269" s="131">
        <v>0</v>
      </c>
      <c r="AB269" s="152">
        <f t="shared" si="88"/>
        <v>31741875.801293079</v>
      </c>
      <c r="AC269" s="133">
        <f>IF(D269="Physician Group Practice",(AB269/$AB$393)*'1. UC Assumptions'!$C$15,IF(E269="Rural Hospital",AB269*'1. UC Assumptions'!$C$7/'1. UC Assumptions'!$E$7,(AB269/$AB$397)*('1. UC Assumptions'!$C$9)))</f>
        <v>14923303.456833305</v>
      </c>
      <c r="AD269" s="133">
        <f t="shared" si="89"/>
        <v>0</v>
      </c>
      <c r="AE269" s="133">
        <f t="shared" si="90"/>
        <v>16818572.344459772</v>
      </c>
      <c r="AF269" s="133">
        <f t="shared" si="91"/>
        <v>0</v>
      </c>
      <c r="AG269" s="133">
        <f t="shared" si="92"/>
        <v>16818572.344459772</v>
      </c>
      <c r="AH269" s="133">
        <f t="shared" si="93"/>
        <v>14923303.456833305</v>
      </c>
      <c r="AI269" s="131">
        <f>AH269*'1. UC Assumptions'!$C$23</f>
        <v>4924690.1407549903</v>
      </c>
      <c r="AJ269" s="131">
        <v>12997993.67</v>
      </c>
      <c r="AK269" s="131">
        <f>AJ269*(1-'1. UC Assumptions'!$C$22)</f>
        <v>4289337.9110999992</v>
      </c>
      <c r="AL269" s="131"/>
      <c r="AM269" s="131">
        <f>AL269*'1. UC Assumptions'!$C$23</f>
        <v>0</v>
      </c>
      <c r="AN269" s="153">
        <f t="shared" si="94"/>
        <v>31741875.801293079</v>
      </c>
      <c r="AO269" s="151">
        <f>AN269*'1. UC Assumptions'!$C$23</f>
        <v>10474819.014426714</v>
      </c>
      <c r="AP269" s="151">
        <f t="shared" si="95"/>
        <v>18743882.131293081</v>
      </c>
      <c r="AQ269" s="151">
        <f t="shared" si="96"/>
        <v>6185481.1033267146</v>
      </c>
      <c r="AR269" s="151">
        <f t="shared" si="97"/>
        <v>6185481.1033267146</v>
      </c>
      <c r="AS269" s="151">
        <f t="shared" si="98"/>
        <v>10474819.014426714</v>
      </c>
      <c r="AT269" s="151">
        <f>IF(K269="Bexar",(AG269/$AT$1)*'1. UC Assumptions'!$E$44-(AH269/$AT$2)*'1. UC Assumptions'!$E$42,0)</f>
        <v>0</v>
      </c>
      <c r="AU269" s="151">
        <f>IF(K269="Dallas",(AG269/$AU$1)*'1. UC Assumptions'!$F$44-(AH269/$AU$2)*'1. UC Assumptions'!$F$42,0)</f>
        <v>0</v>
      </c>
      <c r="AV269" s="151">
        <f>IF(K269="El Paso",(AG269/$AV$1)*'1. UC Assumptions'!$G$44-(AH269/$AV$2)*'1. UC Assumptions'!$G$42,0)</f>
        <v>0</v>
      </c>
      <c r="AW269" s="151">
        <f>IF(K269="Harris",(AG269/$AW$1)*'1. UC Assumptions'!$H$44-(AH269/$AW$2)*'1. UC Assumptions'!$H$42,0)</f>
        <v>0</v>
      </c>
      <c r="AX269" s="151">
        <f>IF(K269="Hidalgo",(AG269/$AX$1)*'1. UC Assumptions'!$I$44-(AH269/$AX$2)*'1. UC Assumptions'!$I$42,0)</f>
        <v>0</v>
      </c>
      <c r="AY269" s="151">
        <f>IF(K269="Jefferson",(AG269/$AY$1)*'1. UC Assumptions'!$J$44-(AH269/$AY$2)*'1. UC Assumptions'!$J$42,0)</f>
        <v>0</v>
      </c>
      <c r="AZ269" s="151">
        <f>IF(K269="Lubbock",(AG269/$AZ$1)*'1. UC Assumptions'!$K$44-(AH269/$AZ$2)*'1. UC Assumptions'!$K$42,0)</f>
        <v>0</v>
      </c>
      <c r="BA269" s="151">
        <f>IF(K269="MRSA Central",(AG269/$BA$1)*'1. UC Assumptions'!$L$44-(AH269/$BA$2)*'1. UC Assumptions'!$L$42,0)</f>
        <v>0</v>
      </c>
      <c r="BB269" s="151">
        <f>IF(K269="MRSA Northeast",(AG269/$BB$1)*'1. UC Assumptions'!$M$44-(AH269/$BB$2)*'1. UC Assumptions'!$M$42,0)</f>
        <v>0</v>
      </c>
      <c r="BC269" s="151">
        <f>IF(K269="MRSA West",(AG269/$BC$1)*'1. UC Assumptions'!$N$44-(AH269/$BC$2)*'1. UC Assumptions'!$N$42,0)</f>
        <v>0</v>
      </c>
      <c r="BD269" s="151">
        <f>IF(K269="Nueces",(AG269/$BD$1)*'1. UC Assumptions'!$O$44-(AH269/$BD$2)*'1. UC Assumptions'!$O$42,0)</f>
        <v>0</v>
      </c>
      <c r="BE269" s="151">
        <f>IF(K269="Tarrant",(AG269/$BE$1)*'1. UC Assumptions'!$P$44-(AH269/$BE$2)*'1. UC Assumptions'!$P$42,0)</f>
        <v>0</v>
      </c>
      <c r="BF269" s="151">
        <f>IF(K269="Travis",(AG269/$BF$1)*'1. UC Assumptions'!$Q$44-(AH269/$BF$2)*'1. UC Assumptions'!$Q$42,0)</f>
        <v>0</v>
      </c>
      <c r="BG269" s="151">
        <f t="shared" si="99"/>
        <v>0</v>
      </c>
      <c r="BH269" s="151">
        <f t="shared" si="100"/>
        <v>14923303.456833305</v>
      </c>
      <c r="BI269" s="151">
        <f>ROUNDDOWN(BH269*'1. UC Assumptions'!$C$23,2)</f>
        <v>4924690.1399999997</v>
      </c>
      <c r="BJ269" s="154">
        <f t="shared" si="101"/>
        <v>1925309.7868333049</v>
      </c>
      <c r="BK269" s="154">
        <f t="shared" si="102"/>
        <v>635352.22890000045</v>
      </c>
      <c r="BL269" s="154">
        <f t="shared" si="103"/>
        <v>1777484.67</v>
      </c>
      <c r="BM269" s="154">
        <f t="shared" si="104"/>
        <v>586569.93999999994</v>
      </c>
      <c r="BN269" s="101"/>
      <c r="BO269" s="154">
        <f>(BL269*'1. UC Assumptions'!$C$23)-'3.  UC Calculations by Hospital'!BM269</f>
        <v>1.0999999940395355E-3</v>
      </c>
      <c r="BP269" s="13"/>
    </row>
    <row r="270" spans="2:68">
      <c r="B270" s="129" t="s">
        <v>856</v>
      </c>
      <c r="C270" s="91" t="s">
        <v>856</v>
      </c>
      <c r="D270" s="91" t="s">
        <v>286</v>
      </c>
      <c r="E270" s="91" t="s">
        <v>209</v>
      </c>
      <c r="F270" s="91"/>
      <c r="G270" s="91" t="s">
        <v>287</v>
      </c>
      <c r="H270" s="91" t="s">
        <v>209</v>
      </c>
      <c r="I270" s="150" t="s">
        <v>210</v>
      </c>
      <c r="J270" s="129" t="s">
        <v>857</v>
      </c>
      <c r="K270" s="91" t="s">
        <v>15</v>
      </c>
      <c r="L270" s="91" t="s">
        <v>15</v>
      </c>
      <c r="M270" s="151">
        <v>-79764.229483044794</v>
      </c>
      <c r="N270" s="151">
        <v>0</v>
      </c>
      <c r="O270" s="131">
        <v>0</v>
      </c>
      <c r="P270" s="131">
        <f t="shared" si="84"/>
        <v>0</v>
      </c>
      <c r="Q270" s="131">
        <v>13783.657656195946</v>
      </c>
      <c r="R270" s="131">
        <v>0</v>
      </c>
      <c r="S270" s="131">
        <f t="shared" si="85"/>
        <v>0</v>
      </c>
      <c r="T270" s="131">
        <f t="shared" si="86"/>
        <v>13783.657656195946</v>
      </c>
      <c r="U270" s="131">
        <v>0</v>
      </c>
      <c r="V270" s="131">
        <v>0</v>
      </c>
      <c r="W270" s="131">
        <v>0</v>
      </c>
      <c r="X270" s="131">
        <v>0</v>
      </c>
      <c r="Y270" s="131">
        <v>0</v>
      </c>
      <c r="Z270" s="131">
        <f t="shared" si="87"/>
        <v>0</v>
      </c>
      <c r="AA270" s="131">
        <v>0</v>
      </c>
      <c r="AB270" s="152">
        <f t="shared" si="88"/>
        <v>13783.657656195946</v>
      </c>
      <c r="AC270" s="133">
        <f>IF(D270="Physician Group Practice",(AB270/$AB$393)*'1. UC Assumptions'!$C$15,IF(E270="Rural Hospital",AB270*'1. UC Assumptions'!$C$7/'1. UC Assumptions'!$E$7,(AB270/$AB$397)*('1. UC Assumptions'!$C$9)))</f>
        <v>6480.3260915076808</v>
      </c>
      <c r="AD270" s="133">
        <f t="shared" si="89"/>
        <v>0</v>
      </c>
      <c r="AE270" s="133">
        <f t="shared" si="90"/>
        <v>7303.3315646882656</v>
      </c>
      <c r="AF270" s="133">
        <f t="shared" si="91"/>
        <v>0</v>
      </c>
      <c r="AG270" s="133">
        <f t="shared" si="92"/>
        <v>7303.3315646882656</v>
      </c>
      <c r="AH270" s="133">
        <f t="shared" si="93"/>
        <v>6480.3260915076808</v>
      </c>
      <c r="AI270" s="131">
        <f>AH270*'1. UC Assumptions'!$C$23</f>
        <v>2138.5076101975342</v>
      </c>
      <c r="AJ270" s="131">
        <v>1523.85</v>
      </c>
      <c r="AK270" s="131">
        <f>AJ270*(1-'1. UC Assumptions'!$C$22)</f>
        <v>502.87049999999994</v>
      </c>
      <c r="AL270" s="131"/>
      <c r="AM270" s="131">
        <f>AL270*'1. UC Assumptions'!$C$23</f>
        <v>0</v>
      </c>
      <c r="AN270" s="153">
        <f t="shared" si="94"/>
        <v>13783.657656195946</v>
      </c>
      <c r="AO270" s="151">
        <f>AN270*'1. UC Assumptions'!$C$23</f>
        <v>4548.6070265446615</v>
      </c>
      <c r="AP270" s="151">
        <f t="shared" si="95"/>
        <v>12259.807656195946</v>
      </c>
      <c r="AQ270" s="151">
        <f t="shared" si="96"/>
        <v>4045.7365265446615</v>
      </c>
      <c r="AR270" s="151">
        <f t="shared" si="97"/>
        <v>4045.7365265446615</v>
      </c>
      <c r="AS270" s="151">
        <f t="shared" si="98"/>
        <v>4548.6070265446615</v>
      </c>
      <c r="AT270" s="151">
        <f>IF(K270="Bexar",(AG270/$AT$1)*'1. UC Assumptions'!$E$44-(AH270/$AT$2)*'1. UC Assumptions'!$E$42,0)</f>
        <v>0</v>
      </c>
      <c r="AU270" s="151">
        <f>IF(K270="Dallas",(AG270/$AU$1)*'1. UC Assumptions'!$F$44-(AH270/$AU$2)*'1. UC Assumptions'!$F$42,0)</f>
        <v>0</v>
      </c>
      <c r="AV270" s="151">
        <f>IF(K270="El Paso",(AG270/$AV$1)*'1. UC Assumptions'!$G$44-(AH270/$AV$2)*'1. UC Assumptions'!$G$42,0)</f>
        <v>0</v>
      </c>
      <c r="AW270" s="151">
        <f>IF(K270="Harris",(AG270/$AW$1)*'1. UC Assumptions'!$H$44-(AH270/$AW$2)*'1. UC Assumptions'!$H$42,0)</f>
        <v>0</v>
      </c>
      <c r="AX270" s="151">
        <f>IF(K270="Hidalgo",(AG270/$AX$1)*'1. UC Assumptions'!$I$44-(AH270/$AX$2)*'1. UC Assumptions'!$I$42,0)</f>
        <v>0</v>
      </c>
      <c r="AY270" s="151">
        <f>IF(K270="Jefferson",(AG270/$AY$1)*'1. UC Assumptions'!$J$44-(AH270/$AY$2)*'1. UC Assumptions'!$J$42,0)</f>
        <v>0</v>
      </c>
      <c r="AZ270" s="151">
        <f>IF(K270="Lubbock",(AG270/$AZ$1)*'1. UC Assumptions'!$K$44-(AH270/$AZ$2)*'1. UC Assumptions'!$K$42,0)</f>
        <v>0</v>
      </c>
      <c r="BA270" s="151">
        <f>IF(K270="MRSA Central",(AG270/$BA$1)*'1. UC Assumptions'!$L$44-(AH270/$BA$2)*'1. UC Assumptions'!$L$42,0)</f>
        <v>0</v>
      </c>
      <c r="BB270" s="151">
        <f>IF(K270="MRSA Northeast",(AG270/$BB$1)*'1. UC Assumptions'!$M$44-(AH270/$BB$2)*'1. UC Assumptions'!$M$42,0)</f>
        <v>0</v>
      </c>
      <c r="BC270" s="151">
        <f>IF(K270="MRSA West",(AG270/$BC$1)*'1. UC Assumptions'!$N$44-(AH270/$BC$2)*'1. UC Assumptions'!$N$42,0)</f>
        <v>0</v>
      </c>
      <c r="BD270" s="151">
        <f>IF(K270="Nueces",(AG270/$BD$1)*'1. UC Assumptions'!$O$44-(AH270/$BD$2)*'1. UC Assumptions'!$O$42,0)</f>
        <v>0</v>
      </c>
      <c r="BE270" s="151">
        <f>IF(K270="Tarrant",(AG270/$BE$1)*'1. UC Assumptions'!$P$44-(AH270/$BE$2)*'1. UC Assumptions'!$P$42,0)</f>
        <v>0</v>
      </c>
      <c r="BF270" s="151">
        <f>IF(K270="Travis",(AG270/$BF$1)*'1. UC Assumptions'!$Q$44-(AH270/$BF$2)*'1. UC Assumptions'!$Q$42,0)</f>
        <v>0</v>
      </c>
      <c r="BG270" s="151">
        <f t="shared" si="99"/>
        <v>0</v>
      </c>
      <c r="BH270" s="151">
        <f t="shared" si="100"/>
        <v>6480.3260915076808</v>
      </c>
      <c r="BI270" s="151">
        <f>ROUNDDOWN(BH270*'1. UC Assumptions'!$C$23,2)</f>
        <v>2138.5</v>
      </c>
      <c r="BJ270" s="154">
        <f t="shared" si="101"/>
        <v>4956.4760915076804</v>
      </c>
      <c r="BK270" s="154">
        <f t="shared" si="102"/>
        <v>1635.6295</v>
      </c>
      <c r="BL270" s="154">
        <f t="shared" si="103"/>
        <v>4575.92</v>
      </c>
      <c r="BM270" s="154">
        <f t="shared" si="104"/>
        <v>1510.05</v>
      </c>
      <c r="BN270" s="101"/>
      <c r="BO270" s="154">
        <f>(BL270*'1. UC Assumptions'!$C$23)-'3.  UC Calculations by Hospital'!BM270</f>
        <v>3.5999999997784471E-3</v>
      </c>
      <c r="BP270" s="13"/>
    </row>
    <row r="271" spans="2:68">
      <c r="B271" s="129" t="s">
        <v>858</v>
      </c>
      <c r="C271" s="91" t="s">
        <v>858</v>
      </c>
      <c r="D271" s="91" t="s">
        <v>214</v>
      </c>
      <c r="E271" s="91" t="s">
        <v>209</v>
      </c>
      <c r="F271" s="91"/>
      <c r="G271" s="91" t="s">
        <v>209</v>
      </c>
      <c r="H271" s="91" t="s">
        <v>209</v>
      </c>
      <c r="I271" s="150" t="s">
        <v>210</v>
      </c>
      <c r="J271" s="129" t="s">
        <v>859</v>
      </c>
      <c r="K271" s="91" t="s">
        <v>4</v>
      </c>
      <c r="L271" s="91" t="s">
        <v>245</v>
      </c>
      <c r="M271" s="151">
        <v>454969.92521236523</v>
      </c>
      <c r="N271" s="151">
        <v>0</v>
      </c>
      <c r="O271" s="131">
        <v>0</v>
      </c>
      <c r="P271" s="131">
        <f t="shared" si="84"/>
        <v>0</v>
      </c>
      <c r="Q271" s="131">
        <v>3001270.8044553474</v>
      </c>
      <c r="R271" s="131">
        <v>0</v>
      </c>
      <c r="S271" s="131">
        <f t="shared" si="85"/>
        <v>0</v>
      </c>
      <c r="T271" s="131">
        <f t="shared" si="86"/>
        <v>3001270.8044553474</v>
      </c>
      <c r="U271" s="131">
        <v>0</v>
      </c>
      <c r="V271" s="131">
        <v>0</v>
      </c>
      <c r="W271" s="131">
        <v>0</v>
      </c>
      <c r="X271" s="131">
        <v>0</v>
      </c>
      <c r="Y271" s="131">
        <v>0</v>
      </c>
      <c r="Z271" s="131">
        <f t="shared" si="87"/>
        <v>0</v>
      </c>
      <c r="AA271" s="131">
        <v>0</v>
      </c>
      <c r="AB271" s="152">
        <f t="shared" si="88"/>
        <v>3001270.8044553474</v>
      </c>
      <c r="AC271" s="133">
        <f>IF(D271="Physician Group Practice",(AB271/$AB$393)*'1. UC Assumptions'!$C$15,IF(E271="Rural Hospital",AB271*'1. UC Assumptions'!$C$7/'1. UC Assumptions'!$E$7,(AB271/$AB$397)*('1. UC Assumptions'!$C$9)))</f>
        <v>1411034.2832731006</v>
      </c>
      <c r="AD271" s="133">
        <f t="shared" si="89"/>
        <v>0</v>
      </c>
      <c r="AE271" s="133">
        <f t="shared" si="90"/>
        <v>1590236.5211822467</v>
      </c>
      <c r="AF271" s="133">
        <f t="shared" si="91"/>
        <v>0</v>
      </c>
      <c r="AG271" s="133">
        <f t="shared" si="92"/>
        <v>1590236.5211822467</v>
      </c>
      <c r="AH271" s="133">
        <f t="shared" si="93"/>
        <v>1411034.2832731006</v>
      </c>
      <c r="AI271" s="131">
        <f>AH271*'1. UC Assumptions'!$C$23</f>
        <v>465641.31348012312</v>
      </c>
      <c r="AJ271" s="131">
        <v>1133853.6499999999</v>
      </c>
      <c r="AK271" s="131">
        <f>AJ271*(1-'1. UC Assumptions'!$C$22)</f>
        <v>374171.70449999993</v>
      </c>
      <c r="AL271" s="131"/>
      <c r="AM271" s="131">
        <f>AL271*'1. UC Assumptions'!$C$23</f>
        <v>0</v>
      </c>
      <c r="AN271" s="153">
        <f t="shared" si="94"/>
        <v>3001270.8044553474</v>
      </c>
      <c r="AO271" s="151">
        <f>AN271*'1. UC Assumptions'!$C$23</f>
        <v>990419.36547026446</v>
      </c>
      <c r="AP271" s="151">
        <f t="shared" si="95"/>
        <v>1867417.1544553475</v>
      </c>
      <c r="AQ271" s="151">
        <f t="shared" si="96"/>
        <v>616247.66097026458</v>
      </c>
      <c r="AR271" s="151">
        <f t="shared" si="97"/>
        <v>616247.66097026458</v>
      </c>
      <c r="AS271" s="151">
        <f t="shared" si="98"/>
        <v>990419.36547026457</v>
      </c>
      <c r="AT271" s="151">
        <f>IF(K271="Bexar",(AG271/$AT$1)*'1. UC Assumptions'!$E$44-(AH271/$AT$2)*'1. UC Assumptions'!$E$42,0)</f>
        <v>0</v>
      </c>
      <c r="AU271" s="151">
        <f>IF(K271="Dallas",(AG271/$AU$1)*'1. UC Assumptions'!$F$44-(AH271/$AU$2)*'1. UC Assumptions'!$F$42,0)</f>
        <v>0</v>
      </c>
      <c r="AV271" s="151">
        <f>IF(K271="El Paso",(AG271/$AV$1)*'1. UC Assumptions'!$G$44-(AH271/$AV$2)*'1. UC Assumptions'!$G$42,0)</f>
        <v>0</v>
      </c>
      <c r="AW271" s="151">
        <f>IF(K271="Harris",(AG271/$AW$1)*'1. UC Assumptions'!$H$44-(AH271/$AW$2)*'1. UC Assumptions'!$H$42,0)</f>
        <v>0</v>
      </c>
      <c r="AX271" s="151">
        <f>IF(K271="Hidalgo",(AG271/$AX$1)*'1. UC Assumptions'!$I$44-(AH271/$AX$2)*'1. UC Assumptions'!$I$42,0)</f>
        <v>0</v>
      </c>
      <c r="AY271" s="151">
        <f>IF(K271="Jefferson",(AG271/$AY$1)*'1. UC Assumptions'!$J$44-(AH271/$AY$2)*'1. UC Assumptions'!$J$42,0)</f>
        <v>0</v>
      </c>
      <c r="AZ271" s="151">
        <f>IF(K271="Lubbock",(AG271/$AZ$1)*'1. UC Assumptions'!$K$44-(AH271/$AZ$2)*'1. UC Assumptions'!$K$42,0)</f>
        <v>0</v>
      </c>
      <c r="BA271" s="151">
        <f>IF(K271="MRSA Central",(AG271/$BA$1)*'1. UC Assumptions'!$L$44-(AH271/$BA$2)*'1. UC Assumptions'!$L$42,0)</f>
        <v>0</v>
      </c>
      <c r="BB271" s="151">
        <f>IF(K271="MRSA Northeast",(AG271/$BB$1)*'1. UC Assumptions'!$M$44-(AH271/$BB$2)*'1. UC Assumptions'!$M$42,0)</f>
        <v>0</v>
      </c>
      <c r="BC271" s="151">
        <f>IF(K271="MRSA West",(AG271/$BC$1)*'1. UC Assumptions'!$N$44-(AH271/$BC$2)*'1. UC Assumptions'!$N$42,0)</f>
        <v>0</v>
      </c>
      <c r="BD271" s="151">
        <f>IF(K271="Nueces",(AG271/$BD$1)*'1. UC Assumptions'!$O$44-(AH271/$BD$2)*'1. UC Assumptions'!$O$42,0)</f>
        <v>0</v>
      </c>
      <c r="BE271" s="151">
        <f>IF(K271="Tarrant",(AG271/$BE$1)*'1. UC Assumptions'!$P$44-(AH271/$BE$2)*'1. UC Assumptions'!$P$42,0)</f>
        <v>0</v>
      </c>
      <c r="BF271" s="151">
        <f>IF(K271="Travis",(AG271/$BF$1)*'1. UC Assumptions'!$Q$44-(AH271/$BF$2)*'1. UC Assumptions'!$Q$42,0)</f>
        <v>0</v>
      </c>
      <c r="BG271" s="151">
        <f t="shared" si="99"/>
        <v>0</v>
      </c>
      <c r="BH271" s="151">
        <f t="shared" si="100"/>
        <v>1411034.2832731006</v>
      </c>
      <c r="BI271" s="151">
        <f>ROUNDDOWN(BH271*'1. UC Assumptions'!$C$23,2)</f>
        <v>465641.31</v>
      </c>
      <c r="BJ271" s="154">
        <f t="shared" si="101"/>
        <v>277180.63327310071</v>
      </c>
      <c r="BK271" s="154">
        <f t="shared" si="102"/>
        <v>91469.605500000063</v>
      </c>
      <c r="BL271" s="154">
        <f t="shared" si="103"/>
        <v>255898.73</v>
      </c>
      <c r="BM271" s="154">
        <f t="shared" si="104"/>
        <v>84446.58</v>
      </c>
      <c r="BN271" s="101"/>
      <c r="BO271" s="154">
        <f>(BL271*'1. UC Assumptions'!$C$23)-'3.  UC Calculations by Hospital'!BM271</f>
        <v>8.9999998454004526E-4</v>
      </c>
      <c r="BP271" s="13"/>
    </row>
    <row r="272" spans="2:68">
      <c r="B272" s="129" t="s">
        <v>860</v>
      </c>
      <c r="C272" s="91" t="s">
        <v>860</v>
      </c>
      <c r="D272" s="91" t="s">
        <v>214</v>
      </c>
      <c r="E272" s="91" t="s">
        <v>209</v>
      </c>
      <c r="F272" s="91"/>
      <c r="G272" s="91" t="s">
        <v>209</v>
      </c>
      <c r="H272" s="91" t="s">
        <v>209</v>
      </c>
      <c r="I272" s="150" t="s">
        <v>210</v>
      </c>
      <c r="J272" s="129" t="s">
        <v>861</v>
      </c>
      <c r="K272" s="91" t="s">
        <v>6</v>
      </c>
      <c r="L272" s="91" t="s">
        <v>6</v>
      </c>
      <c r="M272" s="151">
        <v>530582.2666930689</v>
      </c>
      <c r="N272" s="151">
        <v>42851435.260616116</v>
      </c>
      <c r="O272" s="131">
        <v>19646334.297722168</v>
      </c>
      <c r="P272" s="131">
        <f t="shared" si="84"/>
        <v>23205100.962893948</v>
      </c>
      <c r="Q272" s="131">
        <v>42088745.700674027</v>
      </c>
      <c r="R272" s="131">
        <v>9964273.5099999998</v>
      </c>
      <c r="S272" s="131">
        <f t="shared" si="85"/>
        <v>0</v>
      </c>
      <c r="T272" s="131">
        <f t="shared" si="86"/>
        <v>42088745.700674027</v>
      </c>
      <c r="U272" s="131">
        <v>2337211</v>
      </c>
      <c r="V272" s="131">
        <v>0</v>
      </c>
      <c r="W272" s="131">
        <v>0</v>
      </c>
      <c r="X272" s="131">
        <v>0</v>
      </c>
      <c r="Y272" s="131">
        <v>9091738.9637949392</v>
      </c>
      <c r="Z272" s="131">
        <f t="shared" si="87"/>
        <v>11428949.963794939</v>
      </c>
      <c r="AA272" s="131">
        <v>0</v>
      </c>
      <c r="AB272" s="152">
        <f t="shared" si="88"/>
        <v>53517695.664468966</v>
      </c>
      <c r="AC272" s="133">
        <f>IF(D272="Physician Group Practice",(AB272/$AB$393)*'1. UC Assumptions'!$C$15,IF(E272="Rural Hospital",AB272*'1. UC Assumptions'!$C$7/'1. UC Assumptions'!$E$7,(AB272/$AB$397)*('1. UC Assumptions'!$C$9)))</f>
        <v>25161109.498096742</v>
      </c>
      <c r="AD272" s="133">
        <f t="shared" si="89"/>
        <v>0</v>
      </c>
      <c r="AE272" s="133">
        <f t="shared" si="90"/>
        <v>28356586.166372225</v>
      </c>
      <c r="AF272" s="133">
        <f t="shared" si="91"/>
        <v>0</v>
      </c>
      <c r="AG272" s="133">
        <f t="shared" si="92"/>
        <v>28356586.166372225</v>
      </c>
      <c r="AH272" s="133">
        <f t="shared" si="93"/>
        <v>25161109.498096742</v>
      </c>
      <c r="AI272" s="131">
        <f>AH272*'1. UC Assumptions'!$C$23</f>
        <v>8303166.1343719242</v>
      </c>
      <c r="AJ272" s="131">
        <v>21688668.350000001</v>
      </c>
      <c r="AK272" s="131">
        <f>AJ272*(1-'1. UC Assumptions'!$C$22)</f>
        <v>7157260.5554999998</v>
      </c>
      <c r="AL272" s="131"/>
      <c r="AM272" s="131">
        <f>AL272*'1. UC Assumptions'!$C$23</f>
        <v>0</v>
      </c>
      <c r="AN272" s="153">
        <f t="shared" si="94"/>
        <v>53517695.664468966</v>
      </c>
      <c r="AO272" s="151">
        <f>AN272*'1. UC Assumptions'!$C$23</f>
        <v>17660839.569274757</v>
      </c>
      <c r="AP272" s="151">
        <f t="shared" si="95"/>
        <v>31829027.314468965</v>
      </c>
      <c r="AQ272" s="151">
        <f t="shared" si="96"/>
        <v>10503579.013774756</v>
      </c>
      <c r="AR272" s="151">
        <f t="shared" si="97"/>
        <v>10503579.013774756</v>
      </c>
      <c r="AS272" s="151">
        <f t="shared" si="98"/>
        <v>17660839.569274757</v>
      </c>
      <c r="AT272" s="151">
        <f>IF(K272="Bexar",(AG272/$AT$1)*'1. UC Assumptions'!$E$44-(AH272/$AT$2)*'1. UC Assumptions'!$E$42,0)</f>
        <v>0</v>
      </c>
      <c r="AU272" s="151">
        <f>IF(K272="Dallas",(AG272/$AU$1)*'1. UC Assumptions'!$F$44-(AH272/$AU$2)*'1. UC Assumptions'!$F$42,0)</f>
        <v>0</v>
      </c>
      <c r="AV272" s="151">
        <f>IF(K272="El Paso",(AG272/$AV$1)*'1. UC Assumptions'!$G$44-(AH272/$AV$2)*'1. UC Assumptions'!$G$42,0)</f>
        <v>0</v>
      </c>
      <c r="AW272" s="151">
        <f>IF(K272="Harris",(AG272/$AW$1)*'1. UC Assumptions'!$H$44-(AH272/$AW$2)*'1. UC Assumptions'!$H$42,0)</f>
        <v>0</v>
      </c>
      <c r="AX272" s="151">
        <f>IF(K272="Hidalgo",(AG272/$AX$1)*'1. UC Assumptions'!$I$44-(AH272/$AX$2)*'1. UC Assumptions'!$I$42,0)</f>
        <v>0</v>
      </c>
      <c r="AY272" s="151">
        <f>IF(K272="Jefferson",(AG272/$AY$1)*'1. UC Assumptions'!$J$44-(AH272/$AY$2)*'1. UC Assumptions'!$J$42,0)</f>
        <v>0</v>
      </c>
      <c r="AZ272" s="151">
        <f>IF(K272="Lubbock",(AG272/$AZ$1)*'1. UC Assumptions'!$K$44-(AH272/$AZ$2)*'1. UC Assumptions'!$K$42,0)</f>
        <v>0</v>
      </c>
      <c r="BA272" s="151">
        <f>IF(K272="MRSA Central",(AG272/$BA$1)*'1. UC Assumptions'!$L$44-(AH272/$BA$2)*'1. UC Assumptions'!$L$42,0)</f>
        <v>0</v>
      </c>
      <c r="BB272" s="151">
        <f>IF(K272="MRSA Northeast",(AG272/$BB$1)*'1. UC Assumptions'!$M$44-(AH272/$BB$2)*'1. UC Assumptions'!$M$42,0)</f>
        <v>0</v>
      </c>
      <c r="BC272" s="151">
        <f>IF(K272="MRSA West",(AG272/$BC$1)*'1. UC Assumptions'!$N$44-(AH272/$BC$2)*'1. UC Assumptions'!$N$42,0)</f>
        <v>0</v>
      </c>
      <c r="BD272" s="151">
        <f>IF(K272="Nueces",(AG272/$BD$1)*'1. UC Assumptions'!$O$44-(AH272/$BD$2)*'1. UC Assumptions'!$O$42,0)</f>
        <v>0</v>
      </c>
      <c r="BE272" s="151">
        <f>IF(K272="Tarrant",(AG272/$BE$1)*'1. UC Assumptions'!$P$44-(AH272/$BE$2)*'1. UC Assumptions'!$P$42,0)</f>
        <v>0</v>
      </c>
      <c r="BF272" s="151">
        <f>IF(K272="Travis",(AG272/$BF$1)*'1. UC Assumptions'!$Q$44-(AH272/$BF$2)*'1. UC Assumptions'!$Q$42,0)</f>
        <v>0</v>
      </c>
      <c r="BG272" s="151">
        <f t="shared" si="99"/>
        <v>0</v>
      </c>
      <c r="BH272" s="151">
        <f t="shared" si="100"/>
        <v>25161109.498096742</v>
      </c>
      <c r="BI272" s="151">
        <f>ROUNDDOWN(BH272*'1. UC Assumptions'!$C$23,2)</f>
        <v>8303166.1299999999</v>
      </c>
      <c r="BJ272" s="154">
        <f t="shared" si="101"/>
        <v>3472441.1480967402</v>
      </c>
      <c r="BK272" s="154">
        <f t="shared" si="102"/>
        <v>1145905.5745000001</v>
      </c>
      <c r="BL272" s="154">
        <f t="shared" si="103"/>
        <v>3205827.41</v>
      </c>
      <c r="BM272" s="154">
        <f t="shared" si="104"/>
        <v>1057923.04</v>
      </c>
      <c r="BN272" s="101"/>
      <c r="BO272" s="154">
        <f>(BL272*'1. UC Assumptions'!$C$23)-'3.  UC Calculations by Hospital'!BM272</f>
        <v>5.2999998442828655E-3</v>
      </c>
      <c r="BP272" s="13"/>
    </row>
    <row r="273" spans="2:68">
      <c r="B273" s="129" t="s">
        <v>862</v>
      </c>
      <c r="C273" s="91" t="s">
        <v>862</v>
      </c>
      <c r="D273" s="91" t="s">
        <v>214</v>
      </c>
      <c r="E273" s="91" t="s">
        <v>209</v>
      </c>
      <c r="F273" s="91"/>
      <c r="G273" s="91" t="s">
        <v>209</v>
      </c>
      <c r="H273" s="91" t="s">
        <v>209</v>
      </c>
      <c r="I273" s="150" t="s">
        <v>210</v>
      </c>
      <c r="J273" s="129" t="s">
        <v>346</v>
      </c>
      <c r="K273" s="91" t="s">
        <v>15</v>
      </c>
      <c r="L273" s="91" t="s">
        <v>242</v>
      </c>
      <c r="M273" s="151">
        <v>-1760124.4522891778</v>
      </c>
      <c r="N273" s="151">
        <v>18749573.467780013</v>
      </c>
      <c r="O273" s="131">
        <v>12390349.824597647</v>
      </c>
      <c r="P273" s="131">
        <f t="shared" si="84"/>
        <v>6359223.6431823652</v>
      </c>
      <c r="Q273" s="131">
        <v>16304340.895781511</v>
      </c>
      <c r="R273" s="131">
        <v>0</v>
      </c>
      <c r="S273" s="131">
        <f t="shared" si="85"/>
        <v>0</v>
      </c>
      <c r="T273" s="131">
        <f t="shared" si="86"/>
        <v>16304340.895781511</v>
      </c>
      <c r="U273" s="131">
        <v>749453</v>
      </c>
      <c r="V273" s="131">
        <v>0</v>
      </c>
      <c r="W273" s="131">
        <v>0</v>
      </c>
      <c r="X273" s="131">
        <v>0</v>
      </c>
      <c r="Y273" s="131">
        <v>1103443</v>
      </c>
      <c r="Z273" s="131">
        <f t="shared" si="87"/>
        <v>1852896</v>
      </c>
      <c r="AA273" s="131">
        <v>0</v>
      </c>
      <c r="AB273" s="152">
        <f t="shared" si="88"/>
        <v>18157236.89578151</v>
      </c>
      <c r="AC273" s="133">
        <f>IF(D273="Physician Group Practice",(AB273/$AB$393)*'1. UC Assumptions'!$C$15,IF(E273="Rural Hospital",AB273*'1. UC Assumptions'!$C$7/'1. UC Assumptions'!$E$7,(AB273/$AB$397)*('1. UC Assumptions'!$C$9)))</f>
        <v>8536545.1566135529</v>
      </c>
      <c r="AD273" s="133">
        <f t="shared" si="89"/>
        <v>0</v>
      </c>
      <c r="AE273" s="133">
        <f t="shared" si="90"/>
        <v>9620691.7391679566</v>
      </c>
      <c r="AF273" s="133">
        <f t="shared" si="91"/>
        <v>0</v>
      </c>
      <c r="AG273" s="133">
        <f t="shared" si="92"/>
        <v>9620691.7391679566</v>
      </c>
      <c r="AH273" s="133">
        <f t="shared" si="93"/>
        <v>8536545.1566135529</v>
      </c>
      <c r="AI273" s="131">
        <f>AH273*'1. UC Assumptions'!$C$23</f>
        <v>2817059.9016824723</v>
      </c>
      <c r="AJ273" s="131">
        <v>7467920.8200000003</v>
      </c>
      <c r="AK273" s="131">
        <f>AJ273*(1-'1. UC Assumptions'!$C$22)</f>
        <v>2464413.8706</v>
      </c>
      <c r="AL273" s="131"/>
      <c r="AM273" s="131">
        <f>AL273*'1. UC Assumptions'!$C$23</f>
        <v>0</v>
      </c>
      <c r="AN273" s="153">
        <f t="shared" si="94"/>
        <v>18157236.89578151</v>
      </c>
      <c r="AO273" s="151">
        <f>AN273*'1. UC Assumptions'!$C$23</f>
        <v>5991888.1756078973</v>
      </c>
      <c r="AP273" s="151">
        <f t="shared" si="95"/>
        <v>10689316.075781509</v>
      </c>
      <c r="AQ273" s="151">
        <f t="shared" si="96"/>
        <v>3527474.3050078973</v>
      </c>
      <c r="AR273" s="151">
        <f t="shared" si="97"/>
        <v>3527474.3050078973</v>
      </c>
      <c r="AS273" s="151">
        <f t="shared" si="98"/>
        <v>5991888.1756078973</v>
      </c>
      <c r="AT273" s="151">
        <f>IF(K273="Bexar",(AG273/$AT$1)*'1. UC Assumptions'!$E$44-(AH273/$AT$2)*'1. UC Assumptions'!$E$42,0)</f>
        <v>0</v>
      </c>
      <c r="AU273" s="151">
        <f>IF(K273="Dallas",(AG273/$AU$1)*'1. UC Assumptions'!$F$44-(AH273/$AU$2)*'1. UC Assumptions'!$F$42,0)</f>
        <v>0</v>
      </c>
      <c r="AV273" s="151">
        <f>IF(K273="El Paso",(AG273/$AV$1)*'1. UC Assumptions'!$G$44-(AH273/$AV$2)*'1. UC Assumptions'!$G$42,0)</f>
        <v>0</v>
      </c>
      <c r="AW273" s="151">
        <f>IF(K273="Harris",(AG273/$AW$1)*'1. UC Assumptions'!$H$44-(AH273/$AW$2)*'1. UC Assumptions'!$H$42,0)</f>
        <v>0</v>
      </c>
      <c r="AX273" s="151">
        <f>IF(K273="Hidalgo",(AG273/$AX$1)*'1. UC Assumptions'!$I$44-(AH273/$AX$2)*'1. UC Assumptions'!$I$42,0)</f>
        <v>0</v>
      </c>
      <c r="AY273" s="151">
        <f>IF(K273="Jefferson",(AG273/$AY$1)*'1. UC Assumptions'!$J$44-(AH273/$AY$2)*'1. UC Assumptions'!$J$42,0)</f>
        <v>0</v>
      </c>
      <c r="AZ273" s="151">
        <f>IF(K273="Lubbock",(AG273/$AZ$1)*'1. UC Assumptions'!$K$44-(AH273/$AZ$2)*'1. UC Assumptions'!$K$42,0)</f>
        <v>0</v>
      </c>
      <c r="BA273" s="151">
        <f>IF(K273="MRSA Central",(AG273/$BA$1)*'1. UC Assumptions'!$L$44-(AH273/$BA$2)*'1. UC Assumptions'!$L$42,0)</f>
        <v>0</v>
      </c>
      <c r="BB273" s="151">
        <f>IF(K273="MRSA Northeast",(AG273/$BB$1)*'1. UC Assumptions'!$M$44-(AH273/$BB$2)*'1. UC Assumptions'!$M$42,0)</f>
        <v>0</v>
      </c>
      <c r="BC273" s="151">
        <f>IF(K273="MRSA West",(AG273/$BC$1)*'1. UC Assumptions'!$N$44-(AH273/$BC$2)*'1. UC Assumptions'!$N$42,0)</f>
        <v>0</v>
      </c>
      <c r="BD273" s="151">
        <f>IF(K273="Nueces",(AG273/$BD$1)*'1. UC Assumptions'!$O$44-(AH273/$BD$2)*'1. UC Assumptions'!$O$42,0)</f>
        <v>0</v>
      </c>
      <c r="BE273" s="151">
        <f>IF(K273="Tarrant",(AG273/$BE$1)*'1. UC Assumptions'!$P$44-(AH273/$BE$2)*'1. UC Assumptions'!$P$42,0)</f>
        <v>0</v>
      </c>
      <c r="BF273" s="151">
        <f>IF(K273="Travis",(AG273/$BF$1)*'1. UC Assumptions'!$Q$44-(AH273/$BF$2)*'1. UC Assumptions'!$Q$42,0)</f>
        <v>0</v>
      </c>
      <c r="BG273" s="151">
        <f t="shared" si="99"/>
        <v>0</v>
      </c>
      <c r="BH273" s="151">
        <f t="shared" si="100"/>
        <v>8536545.1566135529</v>
      </c>
      <c r="BI273" s="151">
        <f>ROUNDDOWN(BH273*'1. UC Assumptions'!$C$23,2)</f>
        <v>2817059.9</v>
      </c>
      <c r="BJ273" s="154">
        <f t="shared" si="101"/>
        <v>1068624.3366135526</v>
      </c>
      <c r="BK273" s="154">
        <f t="shared" si="102"/>
        <v>352646.02939999988</v>
      </c>
      <c r="BL273" s="154">
        <f t="shared" si="103"/>
        <v>986575.45</v>
      </c>
      <c r="BM273" s="154">
        <f t="shared" si="104"/>
        <v>325569.90000000002</v>
      </c>
      <c r="BN273" s="101"/>
      <c r="BO273" s="154">
        <f>(BL273*'1. UC Assumptions'!$C$23)-'3.  UC Calculations by Hospital'!BM273</f>
        <v>-1.500000071246177E-3</v>
      </c>
      <c r="BP273" s="13"/>
    </row>
    <row r="274" spans="2:68">
      <c r="B274" s="129" t="s">
        <v>863</v>
      </c>
      <c r="C274" s="91" t="s">
        <v>863</v>
      </c>
      <c r="D274" s="91" t="s">
        <v>214</v>
      </c>
      <c r="E274" s="91" t="s">
        <v>209</v>
      </c>
      <c r="F274" s="91"/>
      <c r="G274" s="91" t="s">
        <v>209</v>
      </c>
      <c r="H274" s="91" t="s">
        <v>209</v>
      </c>
      <c r="I274" s="150" t="s">
        <v>210</v>
      </c>
      <c r="J274" s="129" t="s">
        <v>864</v>
      </c>
      <c r="K274" s="91" t="s">
        <v>11</v>
      </c>
      <c r="L274" s="91" t="s">
        <v>865</v>
      </c>
      <c r="M274" s="151">
        <v>2418024.7030110094</v>
      </c>
      <c r="N274" s="151">
        <v>24492536.745496549</v>
      </c>
      <c r="O274" s="131">
        <v>12020128.606476501</v>
      </c>
      <c r="P274" s="131">
        <f t="shared" si="84"/>
        <v>12472408.139020048</v>
      </c>
      <c r="Q274" s="131">
        <v>16063404.301694948</v>
      </c>
      <c r="R274" s="131">
        <v>6550884.6500000004</v>
      </c>
      <c r="S274" s="131">
        <f t="shared" si="85"/>
        <v>0</v>
      </c>
      <c r="T274" s="131">
        <f t="shared" si="86"/>
        <v>16063404.301694948</v>
      </c>
      <c r="U274" s="131">
        <v>2251</v>
      </c>
      <c r="V274" s="131">
        <v>0</v>
      </c>
      <c r="W274" s="131">
        <v>0</v>
      </c>
      <c r="X274" s="131">
        <v>0</v>
      </c>
      <c r="Y274" s="131">
        <v>2717694</v>
      </c>
      <c r="Z274" s="131">
        <f t="shared" si="87"/>
        <v>2719945</v>
      </c>
      <c r="AA274" s="131">
        <v>0</v>
      </c>
      <c r="AB274" s="152">
        <f t="shared" si="88"/>
        <v>18783349.301694948</v>
      </c>
      <c r="AC274" s="133">
        <f>IF(D274="Physician Group Practice",(AB274/$AB$393)*'1. UC Assumptions'!$C$15,IF(E274="Rural Hospital",AB274*'1. UC Assumptions'!$C$7/'1. UC Assumptions'!$E$7,(AB274/$AB$397)*('1. UC Assumptions'!$C$9)))</f>
        <v>8830909.1535627693</v>
      </c>
      <c r="AD274" s="133">
        <f t="shared" si="89"/>
        <v>0</v>
      </c>
      <c r="AE274" s="133">
        <f t="shared" si="90"/>
        <v>9952440.1481321789</v>
      </c>
      <c r="AF274" s="133">
        <f t="shared" si="91"/>
        <v>0</v>
      </c>
      <c r="AG274" s="133">
        <f t="shared" si="92"/>
        <v>9952440.1481321789</v>
      </c>
      <c r="AH274" s="133">
        <f t="shared" si="93"/>
        <v>8830909.1535627693</v>
      </c>
      <c r="AI274" s="131">
        <f>AH274*'1. UC Assumptions'!$C$23</f>
        <v>2914200.0206757137</v>
      </c>
      <c r="AJ274" s="131">
        <v>8392649.3000000007</v>
      </c>
      <c r="AK274" s="131">
        <f>AJ274*(1-'1. UC Assumptions'!$C$22)</f>
        <v>2769574.2689999999</v>
      </c>
      <c r="AL274" s="131"/>
      <c r="AM274" s="131">
        <f>AL274*'1. UC Assumptions'!$C$23</f>
        <v>0</v>
      </c>
      <c r="AN274" s="153">
        <f t="shared" si="94"/>
        <v>18783349.301694948</v>
      </c>
      <c r="AO274" s="151">
        <f>AN274*'1. UC Assumptions'!$C$23</f>
        <v>6198505.2695593322</v>
      </c>
      <c r="AP274" s="151">
        <f t="shared" si="95"/>
        <v>10390700.001694947</v>
      </c>
      <c r="AQ274" s="151">
        <f t="shared" si="96"/>
        <v>3428931.0005593323</v>
      </c>
      <c r="AR274" s="151">
        <f t="shared" si="97"/>
        <v>3428931.0005593323</v>
      </c>
      <c r="AS274" s="151">
        <f t="shared" si="98"/>
        <v>6198505.2695593322</v>
      </c>
      <c r="AT274" s="151">
        <f>IF(K274="Bexar",(AG274/$AT$1)*'1. UC Assumptions'!$E$44-(AH274/$AT$2)*'1. UC Assumptions'!$E$42,0)</f>
        <v>0</v>
      </c>
      <c r="AU274" s="151">
        <f>IF(K274="Dallas",(AG274/$AU$1)*'1. UC Assumptions'!$F$44-(AH274/$AU$2)*'1. UC Assumptions'!$F$42,0)</f>
        <v>0</v>
      </c>
      <c r="AV274" s="151">
        <f>IF(K274="El Paso",(AG274/$AV$1)*'1. UC Assumptions'!$G$44-(AH274/$AV$2)*'1. UC Assumptions'!$G$42,0)</f>
        <v>0</v>
      </c>
      <c r="AW274" s="151">
        <f>IF(K274="Harris",(AG274/$AW$1)*'1. UC Assumptions'!$H$44-(AH274/$AW$2)*'1. UC Assumptions'!$H$42,0)</f>
        <v>0</v>
      </c>
      <c r="AX274" s="151">
        <f>IF(K274="Hidalgo",(AG274/$AX$1)*'1. UC Assumptions'!$I$44-(AH274/$AX$2)*'1. UC Assumptions'!$I$42,0)</f>
        <v>0</v>
      </c>
      <c r="AY274" s="151">
        <f>IF(K274="Jefferson",(AG274/$AY$1)*'1. UC Assumptions'!$J$44-(AH274/$AY$2)*'1. UC Assumptions'!$J$42,0)</f>
        <v>0</v>
      </c>
      <c r="AZ274" s="151">
        <f>IF(K274="Lubbock",(AG274/$AZ$1)*'1. UC Assumptions'!$K$44-(AH274/$AZ$2)*'1. UC Assumptions'!$K$42,0)</f>
        <v>0</v>
      </c>
      <c r="BA274" s="151">
        <f>IF(K274="MRSA Central",(AG274/$BA$1)*'1. UC Assumptions'!$L$44-(AH274/$BA$2)*'1. UC Assumptions'!$L$42,0)</f>
        <v>0</v>
      </c>
      <c r="BB274" s="151">
        <f>IF(K274="MRSA Northeast",(AG274/$BB$1)*'1. UC Assumptions'!$M$44-(AH274/$BB$2)*'1. UC Assumptions'!$M$42,0)</f>
        <v>0</v>
      </c>
      <c r="BC274" s="151">
        <f>IF(K274="MRSA West",(AG274/$BC$1)*'1. UC Assumptions'!$N$44-(AH274/$BC$2)*'1. UC Assumptions'!$N$42,0)</f>
        <v>0</v>
      </c>
      <c r="BD274" s="151">
        <f>IF(K274="Nueces",(AG274/$BD$1)*'1. UC Assumptions'!$O$44-(AH274/$BD$2)*'1. UC Assumptions'!$O$42,0)</f>
        <v>0</v>
      </c>
      <c r="BE274" s="151">
        <f>IF(K274="Tarrant",(AG274/$BE$1)*'1. UC Assumptions'!$P$44-(AH274/$BE$2)*'1. UC Assumptions'!$P$42,0)</f>
        <v>0</v>
      </c>
      <c r="BF274" s="151">
        <f>IF(K274="Travis",(AG274/$BF$1)*'1. UC Assumptions'!$Q$44-(AH274/$BF$2)*'1. UC Assumptions'!$Q$42,0)</f>
        <v>0</v>
      </c>
      <c r="BG274" s="151">
        <f t="shared" si="99"/>
        <v>0</v>
      </c>
      <c r="BH274" s="151">
        <f t="shared" si="100"/>
        <v>8830909.1535627693</v>
      </c>
      <c r="BI274" s="151">
        <f>ROUNDDOWN(BH274*'1. UC Assumptions'!$C$23,2)</f>
        <v>2914200.02</v>
      </c>
      <c r="BJ274" s="154">
        <f t="shared" si="101"/>
        <v>438259.85356276855</v>
      </c>
      <c r="BK274" s="154">
        <f t="shared" si="102"/>
        <v>144625.75100000016</v>
      </c>
      <c r="BL274" s="154">
        <f t="shared" si="103"/>
        <v>404610.3</v>
      </c>
      <c r="BM274" s="154">
        <f t="shared" si="104"/>
        <v>133521.4</v>
      </c>
      <c r="BN274" s="101"/>
      <c r="BO274" s="154">
        <f>(BL274*'1. UC Assumptions'!$C$23)-'3.  UC Calculations by Hospital'!BM274</f>
        <v>-1.0000000183936208E-3</v>
      </c>
      <c r="BP274" s="13"/>
    </row>
    <row r="275" spans="2:68">
      <c r="B275" s="129" t="s">
        <v>866</v>
      </c>
      <c r="C275" s="91" t="s">
        <v>866</v>
      </c>
      <c r="D275" s="91" t="s">
        <v>214</v>
      </c>
      <c r="E275" s="91" t="s">
        <v>209</v>
      </c>
      <c r="F275" s="91"/>
      <c r="G275" s="91" t="s">
        <v>209</v>
      </c>
      <c r="H275" s="91" t="s">
        <v>209</v>
      </c>
      <c r="I275" s="150" t="s">
        <v>210</v>
      </c>
      <c r="J275" s="129" t="s">
        <v>867</v>
      </c>
      <c r="K275" s="91" t="s">
        <v>5</v>
      </c>
      <c r="L275" s="91" t="s">
        <v>5</v>
      </c>
      <c r="M275" s="151">
        <v>-17138602.647250079</v>
      </c>
      <c r="N275" s="151">
        <v>12868400.898510071</v>
      </c>
      <c r="O275" s="131">
        <v>10689264.097669778</v>
      </c>
      <c r="P275" s="131">
        <f t="shared" si="84"/>
        <v>2179136.8008402921</v>
      </c>
      <c r="Q275" s="131">
        <v>11958006.313266916</v>
      </c>
      <c r="R275" s="131">
        <v>0</v>
      </c>
      <c r="S275" s="131">
        <f t="shared" si="85"/>
        <v>0</v>
      </c>
      <c r="T275" s="131">
        <f t="shared" si="86"/>
        <v>11958006.313266916</v>
      </c>
      <c r="U275" s="131">
        <v>1065290</v>
      </c>
      <c r="V275" s="131">
        <v>0</v>
      </c>
      <c r="W275" s="131">
        <v>0</v>
      </c>
      <c r="X275" s="131">
        <v>0</v>
      </c>
      <c r="Y275" s="131">
        <v>517814.78710849129</v>
      </c>
      <c r="Z275" s="131">
        <f t="shared" si="87"/>
        <v>1583104.7871084912</v>
      </c>
      <c r="AA275" s="131">
        <v>0</v>
      </c>
      <c r="AB275" s="152">
        <f t="shared" si="88"/>
        <v>13541111.100375406</v>
      </c>
      <c r="AC275" s="133">
        <f>IF(D275="Physician Group Practice",(AB275/$AB$393)*'1. UC Assumptions'!$C$15,IF(E275="Rural Hospital",AB275*'1. UC Assumptions'!$C$7/'1. UC Assumptions'!$E$7,(AB275/$AB$397)*('1. UC Assumptions'!$C$9)))</f>
        <v>6366293.8938650889</v>
      </c>
      <c r="AD275" s="133">
        <f t="shared" si="89"/>
        <v>0</v>
      </c>
      <c r="AE275" s="133">
        <f t="shared" si="90"/>
        <v>7174817.2065103175</v>
      </c>
      <c r="AF275" s="133">
        <f t="shared" si="91"/>
        <v>0</v>
      </c>
      <c r="AG275" s="133">
        <f t="shared" si="92"/>
        <v>7174817.2065103175</v>
      </c>
      <c r="AH275" s="133">
        <f t="shared" si="93"/>
        <v>6366293.8938650889</v>
      </c>
      <c r="AI275" s="131">
        <f>AH275*'1. UC Assumptions'!$C$23</f>
        <v>2100876.9849754791</v>
      </c>
      <c r="AJ275" s="131">
        <v>6963552.0999999996</v>
      </c>
      <c r="AK275" s="131">
        <f>AJ275*(1-'1. UC Assumptions'!$C$22)</f>
        <v>2297972.1929999995</v>
      </c>
      <c r="AL275" s="131"/>
      <c r="AM275" s="131">
        <f>AL275*'1. UC Assumptions'!$C$23</f>
        <v>0</v>
      </c>
      <c r="AN275" s="153">
        <f t="shared" si="94"/>
        <v>13541111.100375406</v>
      </c>
      <c r="AO275" s="151">
        <f>AN275*'1. UC Assumptions'!$C$23</f>
        <v>4468566.6631238833</v>
      </c>
      <c r="AP275" s="151">
        <f t="shared" si="95"/>
        <v>6577559.0003754068</v>
      </c>
      <c r="AQ275" s="151">
        <f t="shared" si="96"/>
        <v>2170594.4701238838</v>
      </c>
      <c r="AR275" s="151">
        <f t="shared" si="97"/>
        <v>2170594.4701238838</v>
      </c>
      <c r="AS275" s="151">
        <f t="shared" si="98"/>
        <v>4468566.6631238833</v>
      </c>
      <c r="AT275" s="151">
        <f>IF(K275="Bexar",(AG275/$AT$1)*'1. UC Assumptions'!$E$44-(AH275/$AT$2)*'1. UC Assumptions'!$E$42,0)</f>
        <v>0</v>
      </c>
      <c r="AU275" s="151">
        <f>IF(K275="Dallas",(AG275/$AU$1)*'1. UC Assumptions'!$F$44-(AH275/$AU$2)*'1. UC Assumptions'!$F$42,0)</f>
        <v>0</v>
      </c>
      <c r="AV275" s="151">
        <f>IF(K275="El Paso",(AG275/$AV$1)*'1. UC Assumptions'!$G$44-(AH275/$AV$2)*'1. UC Assumptions'!$G$42,0)</f>
        <v>0</v>
      </c>
      <c r="AW275" s="151">
        <f>IF(K275="Harris",(AG275/$AW$1)*'1. UC Assumptions'!$H$44-(AH275/$AW$2)*'1. UC Assumptions'!$H$42,0)</f>
        <v>0</v>
      </c>
      <c r="AX275" s="151">
        <f>IF(K275="Hidalgo",(AG275/$AX$1)*'1. UC Assumptions'!$I$44-(AH275/$AX$2)*'1. UC Assumptions'!$I$42,0)</f>
        <v>0</v>
      </c>
      <c r="AY275" s="151">
        <f>IF(K275="Jefferson",(AG275/$AY$1)*'1. UC Assumptions'!$J$44-(AH275/$AY$2)*'1. UC Assumptions'!$J$42,0)</f>
        <v>0</v>
      </c>
      <c r="AZ275" s="151">
        <f>IF(K275="Lubbock",(AG275/$AZ$1)*'1. UC Assumptions'!$K$44-(AH275/$AZ$2)*'1. UC Assumptions'!$K$42,0)</f>
        <v>0</v>
      </c>
      <c r="BA275" s="151">
        <f>IF(K275="MRSA Central",(AG275/$BA$1)*'1. UC Assumptions'!$L$44-(AH275/$BA$2)*'1. UC Assumptions'!$L$42,0)</f>
        <v>0</v>
      </c>
      <c r="BB275" s="151">
        <f>IF(K275="MRSA Northeast",(AG275/$BB$1)*'1. UC Assumptions'!$M$44-(AH275/$BB$2)*'1. UC Assumptions'!$M$42,0)</f>
        <v>0</v>
      </c>
      <c r="BC275" s="151">
        <f>IF(K275="MRSA West",(AG275/$BC$1)*'1. UC Assumptions'!$N$44-(AH275/$BC$2)*'1. UC Assumptions'!$N$42,0)</f>
        <v>0</v>
      </c>
      <c r="BD275" s="151">
        <f>IF(K275="Nueces",(AG275/$BD$1)*'1. UC Assumptions'!$O$44-(AH275/$BD$2)*'1. UC Assumptions'!$O$42,0)</f>
        <v>0</v>
      </c>
      <c r="BE275" s="151">
        <f>IF(K275="Tarrant",(AG275/$BE$1)*'1. UC Assumptions'!$P$44-(AH275/$BE$2)*'1. UC Assumptions'!$P$42,0)</f>
        <v>0</v>
      </c>
      <c r="BF275" s="151">
        <f>IF(K275="Travis",(AG275/$BF$1)*'1. UC Assumptions'!$Q$44-(AH275/$BF$2)*'1. UC Assumptions'!$Q$42,0)</f>
        <v>0</v>
      </c>
      <c r="BG275" s="151">
        <f t="shared" si="99"/>
        <v>0</v>
      </c>
      <c r="BH275" s="151">
        <f t="shared" si="100"/>
        <v>6366293.8938650889</v>
      </c>
      <c r="BI275" s="151">
        <f>ROUNDDOWN(BH275*'1. UC Assumptions'!$C$23,2)</f>
        <v>2100876.98</v>
      </c>
      <c r="BJ275" s="154">
        <f t="shared" si="101"/>
        <v>-597258.2061349107</v>
      </c>
      <c r="BK275" s="154">
        <f t="shared" si="102"/>
        <v>-197095.21299999952</v>
      </c>
      <c r="BL275" s="154">
        <f t="shared" si="103"/>
        <v>0</v>
      </c>
      <c r="BM275" s="154">
        <f t="shared" si="104"/>
        <v>0</v>
      </c>
      <c r="BN275" s="101"/>
      <c r="BO275" s="154">
        <f>(BL275*'1. UC Assumptions'!$C$23)-'3.  UC Calculations by Hospital'!BM275</f>
        <v>0</v>
      </c>
      <c r="BP275" s="13"/>
    </row>
    <row r="276" spans="2:68">
      <c r="B276" s="129" t="s">
        <v>868</v>
      </c>
      <c r="C276" s="91" t="s">
        <v>868</v>
      </c>
      <c r="D276" s="91" t="s">
        <v>214</v>
      </c>
      <c r="E276" s="91" t="s">
        <v>149</v>
      </c>
      <c r="F276" s="91"/>
      <c r="G276" s="91" t="s">
        <v>209</v>
      </c>
      <c r="H276" s="91" t="s">
        <v>209</v>
      </c>
      <c r="I276" s="150" t="s">
        <v>210</v>
      </c>
      <c r="J276" s="129" t="s">
        <v>869</v>
      </c>
      <c r="K276" s="91" t="s">
        <v>9</v>
      </c>
      <c r="L276" s="91" t="s">
        <v>870</v>
      </c>
      <c r="M276" s="151">
        <v>-764687.56831953884</v>
      </c>
      <c r="N276" s="151">
        <v>2331444.67133414</v>
      </c>
      <c r="O276" s="131">
        <v>1541705.3458557182</v>
      </c>
      <c r="P276" s="131">
        <f t="shared" si="84"/>
        <v>789739.32547842176</v>
      </c>
      <c r="Q276" s="131">
        <v>3106143.2670150399</v>
      </c>
      <c r="R276" s="131">
        <v>390519.73</v>
      </c>
      <c r="S276" s="131">
        <f t="shared" si="85"/>
        <v>365467.97284111707</v>
      </c>
      <c r="T276" s="131">
        <f t="shared" si="86"/>
        <v>2740675.2941739229</v>
      </c>
      <c r="U276" s="131">
        <v>357408.55000000005</v>
      </c>
      <c r="V276" s="131">
        <v>0</v>
      </c>
      <c r="W276" s="131">
        <v>0</v>
      </c>
      <c r="X276" s="131">
        <v>0</v>
      </c>
      <c r="Y276" s="131">
        <v>0</v>
      </c>
      <c r="Z276" s="131">
        <f t="shared" si="87"/>
        <v>357408.55000000005</v>
      </c>
      <c r="AA276" s="131">
        <v>0</v>
      </c>
      <c r="AB276" s="152">
        <f t="shared" si="88"/>
        <v>3098083.8441739231</v>
      </c>
      <c r="AC276" s="133">
        <f>IF(D276="Physician Group Practice",(AB276/$AB$393)*'1. UC Assumptions'!$C$15,IF(E276="Rural Hospital",AB276*'1. UC Assumptions'!$C$7/'1. UC Assumptions'!$E$7,(AB276/$AB$397)*('1. UC Assumptions'!$C$9)))</f>
        <v>2891861.5191679616</v>
      </c>
      <c r="AD276" s="133">
        <f t="shared" si="89"/>
        <v>0</v>
      </c>
      <c r="AE276" s="133">
        <f t="shared" si="90"/>
        <v>206222.32500596158</v>
      </c>
      <c r="AF276" s="133">
        <f t="shared" si="91"/>
        <v>0</v>
      </c>
      <c r="AG276" s="133">
        <f t="shared" si="92"/>
        <v>206222.32500596158</v>
      </c>
      <c r="AH276" s="133">
        <f t="shared" si="93"/>
        <v>2891861.5191679616</v>
      </c>
      <c r="AI276" s="131">
        <f>AH276*'1. UC Assumptions'!$C$23</f>
        <v>954314.30132542725</v>
      </c>
      <c r="AJ276" s="131">
        <v>1128251.73</v>
      </c>
      <c r="AK276" s="131">
        <f>AJ276*(1-'1. UC Assumptions'!$C$22)</f>
        <v>372323.07089999993</v>
      </c>
      <c r="AL276" s="131"/>
      <c r="AM276" s="131">
        <f>AL276*'1. UC Assumptions'!$C$23</f>
        <v>0</v>
      </c>
      <c r="AN276" s="153">
        <f t="shared" si="94"/>
        <v>3098083.8441739231</v>
      </c>
      <c r="AO276" s="151">
        <f>AN276*'1. UC Assumptions'!$C$23</f>
        <v>1022367.6685773946</v>
      </c>
      <c r="AP276" s="151">
        <f t="shared" si="95"/>
        <v>1969832.1141739232</v>
      </c>
      <c r="AQ276" s="151">
        <f t="shared" si="96"/>
        <v>650044.59767739463</v>
      </c>
      <c r="AR276" s="151">
        <f t="shared" si="97"/>
        <v>650044.59767739463</v>
      </c>
      <c r="AS276" s="151">
        <f t="shared" si="98"/>
        <v>1022367.6685773946</v>
      </c>
      <c r="AT276" s="151">
        <f>IF(K276="Bexar",(AG276/$AT$1)*'1. UC Assumptions'!$E$44-(AH276/$AT$2)*'1. UC Assumptions'!$E$42,0)</f>
        <v>0</v>
      </c>
      <c r="AU276" s="151">
        <f>IF(K276="Dallas",(AG276/$AU$1)*'1. UC Assumptions'!$F$44-(AH276/$AU$2)*'1. UC Assumptions'!$F$42,0)</f>
        <v>0</v>
      </c>
      <c r="AV276" s="151">
        <f>IF(K276="El Paso",(AG276/$AV$1)*'1. UC Assumptions'!$G$44-(AH276/$AV$2)*'1. UC Assumptions'!$G$42,0)</f>
        <v>0</v>
      </c>
      <c r="AW276" s="151">
        <f>IF(K276="Harris",(AG276/$AW$1)*'1. UC Assumptions'!$H$44-(AH276/$AW$2)*'1. UC Assumptions'!$H$42,0)</f>
        <v>0</v>
      </c>
      <c r="AX276" s="151">
        <f>IF(K276="Hidalgo",(AG276/$AX$1)*'1. UC Assumptions'!$I$44-(AH276/$AX$2)*'1. UC Assumptions'!$I$42,0)</f>
        <v>0</v>
      </c>
      <c r="AY276" s="151">
        <f>IF(K276="Jefferson",(AG276/$AY$1)*'1. UC Assumptions'!$J$44-(AH276/$AY$2)*'1. UC Assumptions'!$J$42,0)</f>
        <v>0</v>
      </c>
      <c r="AZ276" s="151">
        <f>IF(K276="Lubbock",(AG276/$AZ$1)*'1. UC Assumptions'!$K$44-(AH276/$AZ$2)*'1. UC Assumptions'!$K$42,0)</f>
        <v>0</v>
      </c>
      <c r="BA276" s="151">
        <f>IF(K276="MRSA Central",(AG276/$BA$1)*'1. UC Assumptions'!$L$44-(AH276/$BA$2)*'1. UC Assumptions'!$L$42,0)</f>
        <v>0</v>
      </c>
      <c r="BB276" s="151">
        <f>IF(K276="MRSA Northeast",(AG276/$BB$1)*'1. UC Assumptions'!$M$44-(AH276/$BB$2)*'1. UC Assumptions'!$M$42,0)</f>
        <v>0</v>
      </c>
      <c r="BC276" s="151">
        <f>IF(K276="MRSA West",(AG276/$BC$1)*'1. UC Assumptions'!$N$44-(AH276/$BC$2)*'1. UC Assumptions'!$N$42,0)</f>
        <v>0</v>
      </c>
      <c r="BD276" s="151">
        <f>IF(K276="Nueces",(AG276/$BD$1)*'1. UC Assumptions'!$O$44-(AH276/$BD$2)*'1. UC Assumptions'!$O$42,0)</f>
        <v>0</v>
      </c>
      <c r="BE276" s="151">
        <f>IF(K276="Tarrant",(AG276/$BE$1)*'1. UC Assumptions'!$P$44-(AH276/$BE$2)*'1. UC Assumptions'!$P$42,0)</f>
        <v>0</v>
      </c>
      <c r="BF276" s="151">
        <f>IF(K276="Travis",(AG276/$BF$1)*'1. UC Assumptions'!$Q$44-(AH276/$BF$2)*'1. UC Assumptions'!$Q$42,0)</f>
        <v>0</v>
      </c>
      <c r="BG276" s="151">
        <f t="shared" si="99"/>
        <v>0</v>
      </c>
      <c r="BH276" s="151">
        <f t="shared" si="100"/>
        <v>2891861.5191679616</v>
      </c>
      <c r="BI276" s="151">
        <f>ROUNDDOWN(BH276*'1. UC Assumptions'!$C$23,2)</f>
        <v>954314.3</v>
      </c>
      <c r="BJ276" s="154">
        <f t="shared" si="101"/>
        <v>1763609.7891679616</v>
      </c>
      <c r="BK276" s="154">
        <f t="shared" si="102"/>
        <v>581991.22910000011</v>
      </c>
      <c r="BL276" s="154">
        <f t="shared" si="103"/>
        <v>1628199.98</v>
      </c>
      <c r="BM276" s="154">
        <f t="shared" si="104"/>
        <v>537305.99</v>
      </c>
      <c r="BN276" s="101"/>
      <c r="BO276" s="154">
        <f>(BL276*'1. UC Assumptions'!$C$23)-'3.  UC Calculations by Hospital'!BM276</f>
        <v>3.3999999286606908E-3</v>
      </c>
      <c r="BP276" s="13"/>
    </row>
    <row r="277" spans="2:68">
      <c r="B277" s="129" t="s">
        <v>871</v>
      </c>
      <c r="C277" s="91" t="s">
        <v>871</v>
      </c>
      <c r="D277" s="91" t="s">
        <v>208</v>
      </c>
      <c r="E277" s="91" t="s">
        <v>149</v>
      </c>
      <c r="F277" s="91"/>
      <c r="G277" s="91" t="s">
        <v>209</v>
      </c>
      <c r="H277" s="91" t="s">
        <v>209</v>
      </c>
      <c r="I277" s="150" t="s">
        <v>210</v>
      </c>
      <c r="J277" s="129" t="s">
        <v>872</v>
      </c>
      <c r="K277" s="91" t="s">
        <v>12</v>
      </c>
      <c r="L277" s="91" t="s">
        <v>873</v>
      </c>
      <c r="M277" s="151">
        <v>85603.596056473572</v>
      </c>
      <c r="N277" s="151">
        <v>0</v>
      </c>
      <c r="O277" s="131">
        <v>0</v>
      </c>
      <c r="P277" s="131">
        <f t="shared" si="84"/>
        <v>0</v>
      </c>
      <c r="Q277" s="131">
        <v>552906.58517606405</v>
      </c>
      <c r="R277" s="131">
        <v>0</v>
      </c>
      <c r="S277" s="131">
        <f t="shared" si="85"/>
        <v>0</v>
      </c>
      <c r="T277" s="131">
        <f t="shared" si="86"/>
        <v>552906.58517606405</v>
      </c>
      <c r="U277" s="131">
        <v>0</v>
      </c>
      <c r="V277" s="131">
        <v>0</v>
      </c>
      <c r="W277" s="131">
        <v>0</v>
      </c>
      <c r="X277" s="131">
        <v>0</v>
      </c>
      <c r="Y277" s="131">
        <v>0</v>
      </c>
      <c r="Z277" s="131">
        <f t="shared" si="87"/>
        <v>0</v>
      </c>
      <c r="AA277" s="131">
        <v>0</v>
      </c>
      <c r="AB277" s="152">
        <f t="shared" si="88"/>
        <v>552906.58517606405</v>
      </c>
      <c r="AC277" s="133">
        <f>IF(D277="Physician Group Practice",(AB277/$AB$393)*'1. UC Assumptions'!$C$15,IF(E277="Rural Hospital",AB277*'1. UC Assumptions'!$C$7/'1. UC Assumptions'!$E$7,(AB277/$AB$397)*('1. UC Assumptions'!$C$9)))</f>
        <v>516102.64853615122</v>
      </c>
      <c r="AD277" s="133">
        <f t="shared" si="89"/>
        <v>0</v>
      </c>
      <c r="AE277" s="133">
        <f t="shared" si="90"/>
        <v>36803.936639912834</v>
      </c>
      <c r="AF277" s="133">
        <f t="shared" si="91"/>
        <v>0</v>
      </c>
      <c r="AG277" s="133">
        <f t="shared" si="92"/>
        <v>36803.936639912834</v>
      </c>
      <c r="AH277" s="133">
        <f t="shared" si="93"/>
        <v>516102.64853615122</v>
      </c>
      <c r="AI277" s="131">
        <f>AH277*'1. UC Assumptions'!$C$23</f>
        <v>170313.87401692988</v>
      </c>
      <c r="AJ277" s="131">
        <v>182388.68</v>
      </c>
      <c r="AK277" s="131">
        <f>AJ277*(1-'1. UC Assumptions'!$C$22)</f>
        <v>60188.264399999993</v>
      </c>
      <c r="AL277" s="131"/>
      <c r="AM277" s="131">
        <f>AL277*'1. UC Assumptions'!$C$23</f>
        <v>0</v>
      </c>
      <c r="AN277" s="153">
        <f t="shared" si="94"/>
        <v>552906.58517606405</v>
      </c>
      <c r="AO277" s="151">
        <f>AN277*'1. UC Assumptions'!$C$23</f>
        <v>182459.17310810112</v>
      </c>
      <c r="AP277" s="151">
        <f t="shared" si="95"/>
        <v>370517.90517606406</v>
      </c>
      <c r="AQ277" s="151">
        <f t="shared" si="96"/>
        <v>122270.90870810114</v>
      </c>
      <c r="AR277" s="151">
        <f t="shared" si="97"/>
        <v>122270.90870810114</v>
      </c>
      <c r="AS277" s="151">
        <f t="shared" si="98"/>
        <v>182459.17310810112</v>
      </c>
      <c r="AT277" s="151">
        <f>IF(K277="Bexar",(AG277/$AT$1)*'1. UC Assumptions'!$E$44-(AH277/$AT$2)*'1. UC Assumptions'!$E$42,0)</f>
        <v>0</v>
      </c>
      <c r="AU277" s="151">
        <f>IF(K277="Dallas",(AG277/$AU$1)*'1. UC Assumptions'!$F$44-(AH277/$AU$2)*'1. UC Assumptions'!$F$42,0)</f>
        <v>0</v>
      </c>
      <c r="AV277" s="151">
        <f>IF(K277="El Paso",(AG277/$AV$1)*'1. UC Assumptions'!$G$44-(AH277/$AV$2)*'1. UC Assumptions'!$G$42,0)</f>
        <v>0</v>
      </c>
      <c r="AW277" s="151">
        <f>IF(K277="Harris",(AG277/$AW$1)*'1. UC Assumptions'!$H$44-(AH277/$AW$2)*'1. UC Assumptions'!$H$42,0)</f>
        <v>0</v>
      </c>
      <c r="AX277" s="151">
        <f>IF(K277="Hidalgo",(AG277/$AX$1)*'1. UC Assumptions'!$I$44-(AH277/$AX$2)*'1. UC Assumptions'!$I$42,0)</f>
        <v>0</v>
      </c>
      <c r="AY277" s="151">
        <f>IF(K277="Jefferson",(AG277/$AY$1)*'1. UC Assumptions'!$J$44-(AH277/$AY$2)*'1. UC Assumptions'!$J$42,0)</f>
        <v>0</v>
      </c>
      <c r="AZ277" s="151">
        <f>IF(K277="Lubbock",(AG277/$AZ$1)*'1. UC Assumptions'!$K$44-(AH277/$AZ$2)*'1. UC Assumptions'!$K$42,0)</f>
        <v>0</v>
      </c>
      <c r="BA277" s="151">
        <f>IF(K277="MRSA Central",(AG277/$BA$1)*'1. UC Assumptions'!$L$44-(AH277/$BA$2)*'1. UC Assumptions'!$L$42,0)</f>
        <v>0</v>
      </c>
      <c r="BB277" s="151">
        <f>IF(K277="MRSA Northeast",(AG277/$BB$1)*'1. UC Assumptions'!$M$44-(AH277/$BB$2)*'1. UC Assumptions'!$M$42,0)</f>
        <v>0</v>
      </c>
      <c r="BC277" s="151">
        <f>IF(K277="MRSA West",(AG277/$BC$1)*'1. UC Assumptions'!$N$44-(AH277/$BC$2)*'1. UC Assumptions'!$N$42,0)</f>
        <v>0</v>
      </c>
      <c r="BD277" s="151">
        <f>IF(K277="Nueces",(AG277/$BD$1)*'1. UC Assumptions'!$O$44-(AH277/$BD$2)*'1. UC Assumptions'!$O$42,0)</f>
        <v>0</v>
      </c>
      <c r="BE277" s="151">
        <f>IF(K277="Tarrant",(AG277/$BE$1)*'1. UC Assumptions'!$P$44-(AH277/$BE$2)*'1. UC Assumptions'!$P$42,0)</f>
        <v>0</v>
      </c>
      <c r="BF277" s="151">
        <f>IF(K277="Travis",(AG277/$BF$1)*'1. UC Assumptions'!$Q$44-(AH277/$BF$2)*'1. UC Assumptions'!$Q$42,0)</f>
        <v>0</v>
      </c>
      <c r="BG277" s="151">
        <f t="shared" si="99"/>
        <v>0</v>
      </c>
      <c r="BH277" s="151">
        <f t="shared" si="100"/>
        <v>516102.64853615122</v>
      </c>
      <c r="BI277" s="151">
        <f>ROUNDDOWN(BH277*'1. UC Assumptions'!$C$23,2)</f>
        <v>170313.87</v>
      </c>
      <c r="BJ277" s="154">
        <f t="shared" si="101"/>
        <v>333713.96853615122</v>
      </c>
      <c r="BK277" s="154">
        <f t="shared" si="102"/>
        <v>110125.60560000001</v>
      </c>
      <c r="BL277" s="154">
        <f t="shared" si="103"/>
        <v>308091.44</v>
      </c>
      <c r="BM277" s="154">
        <f t="shared" si="104"/>
        <v>101670.17</v>
      </c>
      <c r="BN277" s="101"/>
      <c r="BO277" s="154">
        <f>(BL277*'1. UC Assumptions'!$C$23)-'3.  UC Calculations by Hospital'!BM277</f>
        <v>5.1999999850522727E-3</v>
      </c>
      <c r="BP277" s="13"/>
    </row>
    <row r="278" spans="2:68">
      <c r="B278" s="129" t="s">
        <v>874</v>
      </c>
      <c r="C278" s="91" t="s">
        <v>874</v>
      </c>
      <c r="D278" s="91" t="s">
        <v>214</v>
      </c>
      <c r="E278" s="91" t="s">
        <v>149</v>
      </c>
      <c r="F278" s="91"/>
      <c r="G278" s="91" t="s">
        <v>209</v>
      </c>
      <c r="H278" s="91" t="s">
        <v>209</v>
      </c>
      <c r="I278" s="150" t="s">
        <v>210</v>
      </c>
      <c r="J278" s="129" t="s">
        <v>875</v>
      </c>
      <c r="K278" s="91" t="s">
        <v>11</v>
      </c>
      <c r="L278" s="91" t="s">
        <v>876</v>
      </c>
      <c r="M278" s="151">
        <v>152516.57426288645</v>
      </c>
      <c r="N278" s="151">
        <v>0</v>
      </c>
      <c r="O278" s="131">
        <v>0</v>
      </c>
      <c r="P278" s="131">
        <f t="shared" si="84"/>
        <v>0</v>
      </c>
      <c r="Q278" s="131">
        <v>552598.04684672004</v>
      </c>
      <c r="R278" s="131">
        <v>0</v>
      </c>
      <c r="S278" s="131">
        <f t="shared" si="85"/>
        <v>0</v>
      </c>
      <c r="T278" s="131">
        <f t="shared" si="86"/>
        <v>552598.04684672004</v>
      </c>
      <c r="U278" s="131">
        <v>0</v>
      </c>
      <c r="V278" s="131">
        <v>0</v>
      </c>
      <c r="W278" s="131">
        <v>0</v>
      </c>
      <c r="X278" s="131">
        <v>0</v>
      </c>
      <c r="Y278" s="131">
        <v>0</v>
      </c>
      <c r="Z278" s="131">
        <f t="shared" si="87"/>
        <v>0</v>
      </c>
      <c r="AA278" s="131">
        <v>0</v>
      </c>
      <c r="AB278" s="152">
        <f t="shared" si="88"/>
        <v>552598.04684672004</v>
      </c>
      <c r="AC278" s="133">
        <f>IF(D278="Physician Group Practice",(AB278/$AB$393)*'1. UC Assumptions'!$C$15,IF(E278="Rural Hospital",AB278*'1. UC Assumptions'!$C$7/'1. UC Assumptions'!$E$7,(AB278/$AB$397)*('1. UC Assumptions'!$C$9)))</f>
        <v>515814.64789875841</v>
      </c>
      <c r="AD278" s="133">
        <f t="shared" si="89"/>
        <v>0</v>
      </c>
      <c r="AE278" s="133">
        <f t="shared" si="90"/>
        <v>36783.398947961628</v>
      </c>
      <c r="AF278" s="133">
        <f t="shared" si="91"/>
        <v>0</v>
      </c>
      <c r="AG278" s="133">
        <f t="shared" si="92"/>
        <v>36783.398947961628</v>
      </c>
      <c r="AH278" s="133">
        <f t="shared" si="93"/>
        <v>515814.64789875841</v>
      </c>
      <c r="AI278" s="131">
        <f>AH278*'1. UC Assumptions'!$C$23</f>
        <v>170218.83380659026</v>
      </c>
      <c r="AJ278" s="131">
        <v>257290.48</v>
      </c>
      <c r="AK278" s="131">
        <f>AJ278*(1-'1. UC Assumptions'!$C$22)</f>
        <v>84905.858399999997</v>
      </c>
      <c r="AL278" s="131"/>
      <c r="AM278" s="131">
        <f>AL278*'1. UC Assumptions'!$C$23</f>
        <v>0</v>
      </c>
      <c r="AN278" s="153">
        <f t="shared" si="94"/>
        <v>552598.04684672004</v>
      </c>
      <c r="AO278" s="151">
        <f>AN278*'1. UC Assumptions'!$C$23</f>
        <v>182357.35545941759</v>
      </c>
      <c r="AP278" s="151">
        <f t="shared" si="95"/>
        <v>295307.56684672006</v>
      </c>
      <c r="AQ278" s="151">
        <f t="shared" si="96"/>
        <v>97451.497059417597</v>
      </c>
      <c r="AR278" s="151">
        <f t="shared" si="97"/>
        <v>97451.497059417597</v>
      </c>
      <c r="AS278" s="151">
        <f t="shared" si="98"/>
        <v>182357.35545941759</v>
      </c>
      <c r="AT278" s="151">
        <f>IF(K278="Bexar",(AG278/$AT$1)*'1. UC Assumptions'!$E$44-(AH278/$AT$2)*'1. UC Assumptions'!$E$42,0)</f>
        <v>0</v>
      </c>
      <c r="AU278" s="151">
        <f>IF(K278="Dallas",(AG278/$AU$1)*'1. UC Assumptions'!$F$44-(AH278/$AU$2)*'1. UC Assumptions'!$F$42,0)</f>
        <v>0</v>
      </c>
      <c r="AV278" s="151">
        <f>IF(K278="El Paso",(AG278/$AV$1)*'1. UC Assumptions'!$G$44-(AH278/$AV$2)*'1. UC Assumptions'!$G$42,0)</f>
        <v>0</v>
      </c>
      <c r="AW278" s="151">
        <f>IF(K278="Harris",(AG278/$AW$1)*'1. UC Assumptions'!$H$44-(AH278/$AW$2)*'1. UC Assumptions'!$H$42,0)</f>
        <v>0</v>
      </c>
      <c r="AX278" s="151">
        <f>IF(K278="Hidalgo",(AG278/$AX$1)*'1. UC Assumptions'!$I$44-(AH278/$AX$2)*'1. UC Assumptions'!$I$42,0)</f>
        <v>0</v>
      </c>
      <c r="AY278" s="151">
        <f>IF(K278="Jefferson",(AG278/$AY$1)*'1. UC Assumptions'!$J$44-(AH278/$AY$2)*'1. UC Assumptions'!$J$42,0)</f>
        <v>0</v>
      </c>
      <c r="AZ278" s="151">
        <f>IF(K278="Lubbock",(AG278/$AZ$1)*'1. UC Assumptions'!$K$44-(AH278/$AZ$2)*'1. UC Assumptions'!$K$42,0)</f>
        <v>0</v>
      </c>
      <c r="BA278" s="151">
        <f>IF(K278="MRSA Central",(AG278/$BA$1)*'1. UC Assumptions'!$L$44-(AH278/$BA$2)*'1. UC Assumptions'!$L$42,0)</f>
        <v>0</v>
      </c>
      <c r="BB278" s="151">
        <f>IF(K278="MRSA Northeast",(AG278/$BB$1)*'1. UC Assumptions'!$M$44-(AH278/$BB$2)*'1. UC Assumptions'!$M$42,0)</f>
        <v>0</v>
      </c>
      <c r="BC278" s="151">
        <f>IF(K278="MRSA West",(AG278/$BC$1)*'1. UC Assumptions'!$N$44-(AH278/$BC$2)*'1. UC Assumptions'!$N$42,0)</f>
        <v>0</v>
      </c>
      <c r="BD278" s="151">
        <f>IF(K278="Nueces",(AG278/$BD$1)*'1. UC Assumptions'!$O$44-(AH278/$BD$2)*'1. UC Assumptions'!$O$42,0)</f>
        <v>0</v>
      </c>
      <c r="BE278" s="151">
        <f>IF(K278="Tarrant",(AG278/$BE$1)*'1. UC Assumptions'!$P$44-(AH278/$BE$2)*'1. UC Assumptions'!$P$42,0)</f>
        <v>0</v>
      </c>
      <c r="BF278" s="151">
        <f>IF(K278="Travis",(AG278/$BF$1)*'1. UC Assumptions'!$Q$44-(AH278/$BF$2)*'1. UC Assumptions'!$Q$42,0)</f>
        <v>0</v>
      </c>
      <c r="BG278" s="151">
        <f t="shared" si="99"/>
        <v>0</v>
      </c>
      <c r="BH278" s="151">
        <f t="shared" si="100"/>
        <v>515814.64789875841</v>
      </c>
      <c r="BI278" s="151">
        <f>ROUNDDOWN(BH278*'1. UC Assumptions'!$C$23,2)</f>
        <v>170218.83</v>
      </c>
      <c r="BJ278" s="154">
        <f t="shared" si="101"/>
        <v>258524.1678987584</v>
      </c>
      <c r="BK278" s="154">
        <f t="shared" si="102"/>
        <v>85312.97159999999</v>
      </c>
      <c r="BL278" s="154">
        <f t="shared" si="103"/>
        <v>238674.7</v>
      </c>
      <c r="BM278" s="154">
        <f t="shared" si="104"/>
        <v>78762.649999999994</v>
      </c>
      <c r="BN278" s="101"/>
      <c r="BO278" s="154">
        <f>(BL278*'1. UC Assumptions'!$C$23)-'3.  UC Calculations by Hospital'!BM278</f>
        <v>1.0000000038417056E-3</v>
      </c>
      <c r="BP278" s="13"/>
    </row>
    <row r="279" spans="2:68">
      <c r="B279" s="129" t="s">
        <v>877</v>
      </c>
      <c r="C279" s="91" t="s">
        <v>877</v>
      </c>
      <c r="D279" s="91" t="s">
        <v>214</v>
      </c>
      <c r="E279" s="91" t="s">
        <v>209</v>
      </c>
      <c r="F279" s="91"/>
      <c r="G279" s="91" t="s">
        <v>209</v>
      </c>
      <c r="H279" s="91" t="s">
        <v>209</v>
      </c>
      <c r="I279" s="150" t="s">
        <v>210</v>
      </c>
      <c r="J279" s="129" t="s">
        <v>878</v>
      </c>
      <c r="K279" s="91" t="s">
        <v>3</v>
      </c>
      <c r="L279" s="91" t="s">
        <v>3</v>
      </c>
      <c r="M279" s="151">
        <v>-2708977.0983485505</v>
      </c>
      <c r="N279" s="151">
        <v>8868639.7985720504</v>
      </c>
      <c r="O279" s="131">
        <v>2334160.7762721921</v>
      </c>
      <c r="P279" s="131">
        <f t="shared" si="84"/>
        <v>6534479.0222998578</v>
      </c>
      <c r="Q279" s="131">
        <v>11051972.52600069</v>
      </c>
      <c r="R279" s="131">
        <v>0</v>
      </c>
      <c r="S279" s="131">
        <f t="shared" si="85"/>
        <v>0</v>
      </c>
      <c r="T279" s="131">
        <f t="shared" si="86"/>
        <v>11051972.52600069</v>
      </c>
      <c r="U279" s="131">
        <v>190785</v>
      </c>
      <c r="V279" s="131">
        <v>0</v>
      </c>
      <c r="W279" s="131">
        <v>0</v>
      </c>
      <c r="X279" s="131">
        <v>0</v>
      </c>
      <c r="Y279" s="131">
        <v>3337605.6995494501</v>
      </c>
      <c r="Z279" s="131">
        <f t="shared" si="87"/>
        <v>3528390.6995494501</v>
      </c>
      <c r="AA279" s="131">
        <v>0</v>
      </c>
      <c r="AB279" s="152">
        <f t="shared" si="88"/>
        <v>14580363.225550139</v>
      </c>
      <c r="AC279" s="133">
        <f>IF(D279="Physician Group Practice",(AB279/$AB$393)*'1. UC Assumptions'!$C$15,IF(E279="Rural Hospital",AB279*'1. UC Assumptions'!$C$7/'1. UC Assumptions'!$E$7,(AB279/$AB$397)*('1. UC Assumptions'!$C$9)))</f>
        <v>6854893.7147839777</v>
      </c>
      <c r="AD279" s="133">
        <f t="shared" si="89"/>
        <v>0</v>
      </c>
      <c r="AE279" s="133">
        <f t="shared" si="90"/>
        <v>7725469.5107661616</v>
      </c>
      <c r="AF279" s="133">
        <f t="shared" si="91"/>
        <v>0</v>
      </c>
      <c r="AG279" s="133">
        <f t="shared" si="92"/>
        <v>7725469.5107661616</v>
      </c>
      <c r="AH279" s="133">
        <f t="shared" si="93"/>
        <v>6854893.7147839777</v>
      </c>
      <c r="AI279" s="131">
        <f>AH279*'1. UC Assumptions'!$C$23</f>
        <v>2262114.9258787124</v>
      </c>
      <c r="AJ279" s="131">
        <v>4668823.75</v>
      </c>
      <c r="AK279" s="131">
        <f>AJ279*(1-'1. UC Assumptions'!$C$22)</f>
        <v>1540711.8374999999</v>
      </c>
      <c r="AL279" s="131"/>
      <c r="AM279" s="131">
        <f>AL279*'1. UC Assumptions'!$C$23</f>
        <v>0</v>
      </c>
      <c r="AN279" s="153">
        <f t="shared" si="94"/>
        <v>14580363.225550139</v>
      </c>
      <c r="AO279" s="151">
        <f>AN279*'1. UC Assumptions'!$C$23</f>
        <v>4811519.8644315451</v>
      </c>
      <c r="AP279" s="151">
        <f t="shared" si="95"/>
        <v>9911539.4755501393</v>
      </c>
      <c r="AQ279" s="151">
        <f t="shared" si="96"/>
        <v>3270808.0269315452</v>
      </c>
      <c r="AR279" s="151">
        <f t="shared" si="97"/>
        <v>3270808.0269315452</v>
      </c>
      <c r="AS279" s="151">
        <f t="shared" si="98"/>
        <v>4811519.8644315451</v>
      </c>
      <c r="AT279" s="151">
        <f>IF(K279="Bexar",(AG279/$AT$1)*'1. UC Assumptions'!$E$44-(AH279/$AT$2)*'1. UC Assumptions'!$E$42,0)</f>
        <v>0</v>
      </c>
      <c r="AU279" s="151">
        <f>IF(K279="Dallas",(AG279/$AU$1)*'1. UC Assumptions'!$F$44-(AH279/$AU$2)*'1. UC Assumptions'!$F$42,0)</f>
        <v>0</v>
      </c>
      <c r="AV279" s="151">
        <f>IF(K279="El Paso",(AG279/$AV$1)*'1. UC Assumptions'!$G$44-(AH279/$AV$2)*'1. UC Assumptions'!$G$42,0)</f>
        <v>0</v>
      </c>
      <c r="AW279" s="151">
        <f>IF(K279="Harris",(AG279/$AW$1)*'1. UC Assumptions'!$H$44-(AH279/$AW$2)*'1. UC Assumptions'!$H$42,0)</f>
        <v>0</v>
      </c>
      <c r="AX279" s="151">
        <f>IF(K279="Hidalgo",(AG279/$AX$1)*'1. UC Assumptions'!$I$44-(AH279/$AX$2)*'1. UC Assumptions'!$I$42,0)</f>
        <v>0</v>
      </c>
      <c r="AY279" s="151">
        <f>IF(K279="Jefferson",(AG279/$AY$1)*'1. UC Assumptions'!$J$44-(AH279/$AY$2)*'1. UC Assumptions'!$J$42,0)</f>
        <v>0</v>
      </c>
      <c r="AZ279" s="151">
        <f>IF(K279="Lubbock",(AG279/$AZ$1)*'1. UC Assumptions'!$K$44-(AH279/$AZ$2)*'1. UC Assumptions'!$K$42,0)</f>
        <v>0</v>
      </c>
      <c r="BA279" s="151">
        <f>IF(K279="MRSA Central",(AG279/$BA$1)*'1. UC Assumptions'!$L$44-(AH279/$BA$2)*'1. UC Assumptions'!$L$42,0)</f>
        <v>0</v>
      </c>
      <c r="BB279" s="151">
        <f>IF(K279="MRSA Northeast",(AG279/$BB$1)*'1. UC Assumptions'!$M$44-(AH279/$BB$2)*'1. UC Assumptions'!$M$42,0)</f>
        <v>0</v>
      </c>
      <c r="BC279" s="151">
        <f>IF(K279="MRSA West",(AG279/$BC$1)*'1. UC Assumptions'!$N$44-(AH279/$BC$2)*'1. UC Assumptions'!$N$42,0)</f>
        <v>0</v>
      </c>
      <c r="BD279" s="151">
        <f>IF(K279="Nueces",(AG279/$BD$1)*'1. UC Assumptions'!$O$44-(AH279/$BD$2)*'1. UC Assumptions'!$O$42,0)</f>
        <v>0</v>
      </c>
      <c r="BE279" s="151">
        <f>IF(K279="Tarrant",(AG279/$BE$1)*'1. UC Assumptions'!$P$44-(AH279/$BE$2)*'1. UC Assumptions'!$P$42,0)</f>
        <v>0</v>
      </c>
      <c r="BF279" s="151">
        <f>IF(K279="Travis",(AG279/$BF$1)*'1. UC Assumptions'!$Q$44-(AH279/$BF$2)*'1. UC Assumptions'!$Q$42,0)</f>
        <v>0</v>
      </c>
      <c r="BG279" s="151">
        <f t="shared" si="99"/>
        <v>0</v>
      </c>
      <c r="BH279" s="151">
        <f t="shared" si="100"/>
        <v>6854893.7147839777</v>
      </c>
      <c r="BI279" s="151">
        <f>ROUNDDOWN(BH279*'1. UC Assumptions'!$C$23,2)</f>
        <v>2262114.92</v>
      </c>
      <c r="BJ279" s="154">
        <f t="shared" si="101"/>
        <v>2186069.9647839777</v>
      </c>
      <c r="BK279" s="154">
        <f t="shared" si="102"/>
        <v>721403.08250000002</v>
      </c>
      <c r="BL279" s="154">
        <f t="shared" si="103"/>
        <v>2018223.7</v>
      </c>
      <c r="BM279" s="154">
        <f t="shared" si="104"/>
        <v>666013.81000000006</v>
      </c>
      <c r="BN279" s="101"/>
      <c r="BO279" s="154">
        <f>(BL279*'1. UC Assumptions'!$C$23)-'3.  UC Calculations by Hospital'!BM279</f>
        <v>1.0999999823980033E-2</v>
      </c>
      <c r="BP279" s="13"/>
    </row>
    <row r="280" spans="2:68">
      <c r="B280" s="129" t="s">
        <v>879</v>
      </c>
      <c r="C280" s="91" t="s">
        <v>879</v>
      </c>
      <c r="D280" s="91" t="s">
        <v>214</v>
      </c>
      <c r="E280" s="91" t="s">
        <v>149</v>
      </c>
      <c r="F280" s="91"/>
      <c r="G280" s="91" t="s">
        <v>209</v>
      </c>
      <c r="H280" s="91" t="s">
        <v>209</v>
      </c>
      <c r="I280" s="150" t="s">
        <v>210</v>
      </c>
      <c r="J280" s="129" t="s">
        <v>880</v>
      </c>
      <c r="K280" s="91" t="s">
        <v>12</v>
      </c>
      <c r="L280" s="91" t="s">
        <v>881</v>
      </c>
      <c r="M280" s="151">
        <v>351934.26116710412</v>
      </c>
      <c r="N280" s="151">
        <v>0</v>
      </c>
      <c r="O280" s="131">
        <v>0</v>
      </c>
      <c r="P280" s="131">
        <f t="shared" si="84"/>
        <v>0</v>
      </c>
      <c r="Q280" s="131">
        <v>836964.69974673912</v>
      </c>
      <c r="R280" s="131">
        <v>0</v>
      </c>
      <c r="S280" s="131">
        <f t="shared" si="85"/>
        <v>0</v>
      </c>
      <c r="T280" s="131">
        <f t="shared" si="86"/>
        <v>836964.69974673912</v>
      </c>
      <c r="U280" s="131">
        <v>0</v>
      </c>
      <c r="V280" s="131">
        <v>0</v>
      </c>
      <c r="W280" s="131">
        <v>0</v>
      </c>
      <c r="X280" s="131">
        <v>0</v>
      </c>
      <c r="Y280" s="131">
        <v>0</v>
      </c>
      <c r="Z280" s="131">
        <f t="shared" si="87"/>
        <v>0</v>
      </c>
      <c r="AA280" s="131">
        <v>0</v>
      </c>
      <c r="AB280" s="152">
        <f t="shared" si="88"/>
        <v>836964.69974673912</v>
      </c>
      <c r="AC280" s="133">
        <f>IF(D280="Physician Group Practice",(AB280/$AB$393)*'1. UC Assumptions'!$C$15,IF(E280="Rural Hospital",AB280*'1. UC Assumptions'!$C$7/'1. UC Assumptions'!$E$7,(AB280/$AB$397)*('1. UC Assumptions'!$C$9)))</f>
        <v>781252.58380311413</v>
      </c>
      <c r="AD280" s="133">
        <f t="shared" si="89"/>
        <v>0</v>
      </c>
      <c r="AE280" s="133">
        <f t="shared" si="90"/>
        <v>55712.115943624987</v>
      </c>
      <c r="AF280" s="133">
        <f t="shared" si="91"/>
        <v>0</v>
      </c>
      <c r="AG280" s="133">
        <f t="shared" si="92"/>
        <v>55712.115943624987</v>
      </c>
      <c r="AH280" s="133">
        <f t="shared" si="93"/>
        <v>781252.58380311413</v>
      </c>
      <c r="AI280" s="131">
        <f>AH280*'1. UC Assumptions'!$C$23</f>
        <v>257813.35265502764</v>
      </c>
      <c r="AJ280" s="131">
        <v>274413.19</v>
      </c>
      <c r="AK280" s="131">
        <f>AJ280*(1-'1. UC Assumptions'!$C$22)</f>
        <v>90556.352699999989</v>
      </c>
      <c r="AL280" s="131"/>
      <c r="AM280" s="131">
        <f>AL280*'1. UC Assumptions'!$C$23</f>
        <v>0</v>
      </c>
      <c r="AN280" s="153">
        <f t="shared" si="94"/>
        <v>836964.69974673912</v>
      </c>
      <c r="AO280" s="151">
        <f>AN280*'1. UC Assumptions'!$C$23</f>
        <v>276198.35091642389</v>
      </c>
      <c r="AP280" s="151">
        <f t="shared" si="95"/>
        <v>562551.50974673918</v>
      </c>
      <c r="AQ280" s="151">
        <f t="shared" si="96"/>
        <v>185641.9982164239</v>
      </c>
      <c r="AR280" s="151">
        <f t="shared" si="97"/>
        <v>185641.9982164239</v>
      </c>
      <c r="AS280" s="151">
        <f t="shared" si="98"/>
        <v>276198.35091642389</v>
      </c>
      <c r="AT280" s="151">
        <f>IF(K280="Bexar",(AG280/$AT$1)*'1. UC Assumptions'!$E$44-(AH280/$AT$2)*'1. UC Assumptions'!$E$42,0)</f>
        <v>0</v>
      </c>
      <c r="AU280" s="151">
        <f>IF(K280="Dallas",(AG280/$AU$1)*'1. UC Assumptions'!$F$44-(AH280/$AU$2)*'1. UC Assumptions'!$F$42,0)</f>
        <v>0</v>
      </c>
      <c r="AV280" s="151">
        <f>IF(K280="El Paso",(AG280/$AV$1)*'1. UC Assumptions'!$G$44-(AH280/$AV$2)*'1. UC Assumptions'!$G$42,0)</f>
        <v>0</v>
      </c>
      <c r="AW280" s="151">
        <f>IF(K280="Harris",(AG280/$AW$1)*'1. UC Assumptions'!$H$44-(AH280/$AW$2)*'1. UC Assumptions'!$H$42,0)</f>
        <v>0</v>
      </c>
      <c r="AX280" s="151">
        <f>IF(K280="Hidalgo",(AG280/$AX$1)*'1. UC Assumptions'!$I$44-(AH280/$AX$2)*'1. UC Assumptions'!$I$42,0)</f>
        <v>0</v>
      </c>
      <c r="AY280" s="151">
        <f>IF(K280="Jefferson",(AG280/$AY$1)*'1. UC Assumptions'!$J$44-(AH280/$AY$2)*'1. UC Assumptions'!$J$42,0)</f>
        <v>0</v>
      </c>
      <c r="AZ280" s="151">
        <f>IF(K280="Lubbock",(AG280/$AZ$1)*'1. UC Assumptions'!$K$44-(AH280/$AZ$2)*'1. UC Assumptions'!$K$42,0)</f>
        <v>0</v>
      </c>
      <c r="BA280" s="151">
        <f>IF(K280="MRSA Central",(AG280/$BA$1)*'1. UC Assumptions'!$L$44-(AH280/$BA$2)*'1. UC Assumptions'!$L$42,0)</f>
        <v>0</v>
      </c>
      <c r="BB280" s="151">
        <f>IF(K280="MRSA Northeast",(AG280/$BB$1)*'1. UC Assumptions'!$M$44-(AH280/$BB$2)*'1. UC Assumptions'!$M$42,0)</f>
        <v>0</v>
      </c>
      <c r="BC280" s="151">
        <f>IF(K280="MRSA West",(AG280/$BC$1)*'1. UC Assumptions'!$N$44-(AH280/$BC$2)*'1. UC Assumptions'!$N$42,0)</f>
        <v>0</v>
      </c>
      <c r="BD280" s="151">
        <f>IF(K280="Nueces",(AG280/$BD$1)*'1. UC Assumptions'!$O$44-(AH280/$BD$2)*'1. UC Assumptions'!$O$42,0)</f>
        <v>0</v>
      </c>
      <c r="BE280" s="151">
        <f>IF(K280="Tarrant",(AG280/$BE$1)*'1. UC Assumptions'!$P$44-(AH280/$BE$2)*'1. UC Assumptions'!$P$42,0)</f>
        <v>0</v>
      </c>
      <c r="BF280" s="151">
        <f>IF(K280="Travis",(AG280/$BF$1)*'1. UC Assumptions'!$Q$44-(AH280/$BF$2)*'1. UC Assumptions'!$Q$42,0)</f>
        <v>0</v>
      </c>
      <c r="BG280" s="151">
        <f t="shared" si="99"/>
        <v>0</v>
      </c>
      <c r="BH280" s="151">
        <f t="shared" si="100"/>
        <v>781252.58380311413</v>
      </c>
      <c r="BI280" s="151">
        <f>ROUNDDOWN(BH280*'1. UC Assumptions'!$C$23,2)</f>
        <v>257813.35</v>
      </c>
      <c r="BJ280" s="154">
        <f t="shared" si="101"/>
        <v>506839.39380311413</v>
      </c>
      <c r="BK280" s="154">
        <f t="shared" si="102"/>
        <v>167256.99730000002</v>
      </c>
      <c r="BL280" s="154">
        <f t="shared" si="103"/>
        <v>467924.31</v>
      </c>
      <c r="BM280" s="154">
        <f t="shared" si="104"/>
        <v>154415.01999999999</v>
      </c>
      <c r="BN280" s="101"/>
      <c r="BO280" s="154">
        <f>(BL280*'1. UC Assumptions'!$C$23)-'3.  UC Calculations by Hospital'!BM280</f>
        <v>2.2999999928288162E-3</v>
      </c>
      <c r="BP280" s="13"/>
    </row>
    <row r="281" spans="2:68">
      <c r="B281" s="129" t="s">
        <v>882</v>
      </c>
      <c r="C281" s="91" t="s">
        <v>882</v>
      </c>
      <c r="D281" s="91" t="s">
        <v>214</v>
      </c>
      <c r="E281" s="91" t="s">
        <v>209</v>
      </c>
      <c r="F281" s="91"/>
      <c r="G281" s="91" t="s">
        <v>209</v>
      </c>
      <c r="H281" s="91" t="s">
        <v>209</v>
      </c>
      <c r="I281" s="150" t="s">
        <v>210</v>
      </c>
      <c r="J281" s="129" t="s">
        <v>883</v>
      </c>
      <c r="K281" s="91" t="s">
        <v>11</v>
      </c>
      <c r="L281" s="91" t="s">
        <v>253</v>
      </c>
      <c r="M281" s="151">
        <v>7350977.8816287704</v>
      </c>
      <c r="N281" s="151">
        <v>5570811.2478595404</v>
      </c>
      <c r="O281" s="131">
        <v>3250478.2137882882</v>
      </c>
      <c r="P281" s="131">
        <f t="shared" si="84"/>
        <v>2320333.0340712522</v>
      </c>
      <c r="Q281" s="131">
        <v>4019166.9417139967</v>
      </c>
      <c r="R281" s="131">
        <v>2613149.65</v>
      </c>
      <c r="S281" s="131">
        <f t="shared" si="85"/>
        <v>0</v>
      </c>
      <c r="T281" s="131">
        <f t="shared" si="86"/>
        <v>4019166.9417139967</v>
      </c>
      <c r="U281" s="131">
        <v>510424</v>
      </c>
      <c r="V281" s="131">
        <v>0</v>
      </c>
      <c r="W281" s="131">
        <v>294755.76000000007</v>
      </c>
      <c r="X281" s="131">
        <v>0</v>
      </c>
      <c r="Y281" s="131">
        <v>1348999.578529601</v>
      </c>
      <c r="Z281" s="131">
        <f t="shared" si="87"/>
        <v>2154179.3385296008</v>
      </c>
      <c r="AA281" s="131">
        <v>0</v>
      </c>
      <c r="AB281" s="152">
        <f t="shared" si="88"/>
        <v>6173346.2802435979</v>
      </c>
      <c r="AC281" s="133">
        <f>IF(D281="Physician Group Practice",(AB281/$AB$393)*'1. UC Assumptions'!$C$15,IF(E281="Rural Hospital",AB281*'1. UC Assumptions'!$C$7/'1. UC Assumptions'!$E$7,(AB281/$AB$397)*('1. UC Assumptions'!$C$9)))</f>
        <v>2902371.6323795617</v>
      </c>
      <c r="AD281" s="133">
        <f t="shared" si="89"/>
        <v>0</v>
      </c>
      <c r="AE281" s="133">
        <f t="shared" si="90"/>
        <v>3270974.6478640363</v>
      </c>
      <c r="AF281" s="133">
        <f t="shared" si="91"/>
        <v>0</v>
      </c>
      <c r="AG281" s="133">
        <f t="shared" si="92"/>
        <v>3270974.6478640363</v>
      </c>
      <c r="AH281" s="133">
        <f t="shared" si="93"/>
        <v>2902371.6323795617</v>
      </c>
      <c r="AI281" s="131">
        <f>AH281*'1. UC Assumptions'!$C$23</f>
        <v>957782.6386852552</v>
      </c>
      <c r="AJ281" s="131">
        <v>3996955.54</v>
      </c>
      <c r="AK281" s="131">
        <f>AJ281*(1-'1. UC Assumptions'!$C$22)</f>
        <v>1318995.3281999999</v>
      </c>
      <c r="AL281" s="131"/>
      <c r="AM281" s="131">
        <f>AL281*'1. UC Assumptions'!$C$23</f>
        <v>0</v>
      </c>
      <c r="AN281" s="153">
        <f t="shared" si="94"/>
        <v>6173346.2802435979</v>
      </c>
      <c r="AO281" s="151">
        <f>AN281*'1. UC Assumptions'!$C$23</f>
        <v>2037204.272480387</v>
      </c>
      <c r="AP281" s="151">
        <f t="shared" si="95"/>
        <v>2176390.7402435979</v>
      </c>
      <c r="AQ281" s="151">
        <f t="shared" si="96"/>
        <v>718208.94428038714</v>
      </c>
      <c r="AR281" s="151">
        <f t="shared" si="97"/>
        <v>718208.94428038714</v>
      </c>
      <c r="AS281" s="151">
        <f t="shared" si="98"/>
        <v>2037204.272480387</v>
      </c>
      <c r="AT281" s="151">
        <f>IF(K281="Bexar",(AG281/$AT$1)*'1. UC Assumptions'!$E$44-(AH281/$AT$2)*'1. UC Assumptions'!$E$42,0)</f>
        <v>0</v>
      </c>
      <c r="AU281" s="151">
        <f>IF(K281="Dallas",(AG281/$AU$1)*'1. UC Assumptions'!$F$44-(AH281/$AU$2)*'1. UC Assumptions'!$F$42,0)</f>
        <v>0</v>
      </c>
      <c r="AV281" s="151">
        <f>IF(K281="El Paso",(AG281/$AV$1)*'1. UC Assumptions'!$G$44-(AH281/$AV$2)*'1. UC Assumptions'!$G$42,0)</f>
        <v>0</v>
      </c>
      <c r="AW281" s="151">
        <f>IF(K281="Harris",(AG281/$AW$1)*'1. UC Assumptions'!$H$44-(AH281/$AW$2)*'1. UC Assumptions'!$H$42,0)</f>
        <v>0</v>
      </c>
      <c r="AX281" s="151">
        <f>IF(K281="Hidalgo",(AG281/$AX$1)*'1. UC Assumptions'!$I$44-(AH281/$AX$2)*'1. UC Assumptions'!$I$42,0)</f>
        <v>0</v>
      </c>
      <c r="AY281" s="151">
        <f>IF(K281="Jefferson",(AG281/$AY$1)*'1. UC Assumptions'!$J$44-(AH281/$AY$2)*'1. UC Assumptions'!$J$42,0)</f>
        <v>0</v>
      </c>
      <c r="AZ281" s="151">
        <f>IF(K281="Lubbock",(AG281/$AZ$1)*'1. UC Assumptions'!$K$44-(AH281/$AZ$2)*'1. UC Assumptions'!$K$42,0)</f>
        <v>0</v>
      </c>
      <c r="BA281" s="151">
        <f>IF(K281="MRSA Central",(AG281/$BA$1)*'1. UC Assumptions'!$L$44-(AH281/$BA$2)*'1. UC Assumptions'!$L$42,0)</f>
        <v>0</v>
      </c>
      <c r="BB281" s="151">
        <f>IF(K281="MRSA Northeast",(AG281/$BB$1)*'1. UC Assumptions'!$M$44-(AH281/$BB$2)*'1. UC Assumptions'!$M$42,0)</f>
        <v>0</v>
      </c>
      <c r="BC281" s="151">
        <f>IF(K281="MRSA West",(AG281/$BC$1)*'1. UC Assumptions'!$N$44-(AH281/$BC$2)*'1. UC Assumptions'!$N$42,0)</f>
        <v>0</v>
      </c>
      <c r="BD281" s="151">
        <f>IF(K281="Nueces",(AG281/$BD$1)*'1. UC Assumptions'!$O$44-(AH281/$BD$2)*'1. UC Assumptions'!$O$42,0)</f>
        <v>0</v>
      </c>
      <c r="BE281" s="151">
        <f>IF(K281="Tarrant",(AG281/$BE$1)*'1. UC Assumptions'!$P$44-(AH281/$BE$2)*'1. UC Assumptions'!$P$42,0)</f>
        <v>0</v>
      </c>
      <c r="BF281" s="151">
        <f>IF(K281="Travis",(AG281/$BF$1)*'1. UC Assumptions'!$Q$44-(AH281/$BF$2)*'1. UC Assumptions'!$Q$42,0)</f>
        <v>0</v>
      </c>
      <c r="BG281" s="151">
        <f t="shared" si="99"/>
        <v>0</v>
      </c>
      <c r="BH281" s="151">
        <f t="shared" si="100"/>
        <v>2902371.6323795617</v>
      </c>
      <c r="BI281" s="151">
        <f>ROUNDDOWN(BH281*'1. UC Assumptions'!$C$23,2)</f>
        <v>957782.63</v>
      </c>
      <c r="BJ281" s="154">
        <f t="shared" si="101"/>
        <v>-1094583.9076204384</v>
      </c>
      <c r="BK281" s="154">
        <f t="shared" si="102"/>
        <v>-361212.69819999987</v>
      </c>
      <c r="BL281" s="154">
        <f t="shared" si="103"/>
        <v>0</v>
      </c>
      <c r="BM281" s="154">
        <f t="shared" si="104"/>
        <v>0</v>
      </c>
      <c r="BN281" s="101"/>
      <c r="BO281" s="154">
        <f>(BL281*'1. UC Assumptions'!$C$23)-'3.  UC Calculations by Hospital'!BM281</f>
        <v>0</v>
      </c>
      <c r="BP281" s="13"/>
    </row>
    <row r="282" spans="2:68">
      <c r="B282" s="129" t="s">
        <v>884</v>
      </c>
      <c r="C282" s="91" t="s">
        <v>884</v>
      </c>
      <c r="D282" s="91" t="s">
        <v>214</v>
      </c>
      <c r="E282" s="91" t="s">
        <v>209</v>
      </c>
      <c r="F282" s="91"/>
      <c r="G282" s="91" t="s">
        <v>209</v>
      </c>
      <c r="H282" s="91" t="s">
        <v>209</v>
      </c>
      <c r="I282" s="150" t="s">
        <v>210</v>
      </c>
      <c r="J282" s="129" t="s">
        <v>346</v>
      </c>
      <c r="K282" s="91" t="s">
        <v>15</v>
      </c>
      <c r="L282" s="91" t="s">
        <v>885</v>
      </c>
      <c r="M282" s="151">
        <v>-2240812.5413853745</v>
      </c>
      <c r="N282" s="151">
        <v>19526924.407625094</v>
      </c>
      <c r="O282" s="131">
        <v>14949532.150358619</v>
      </c>
      <c r="P282" s="131">
        <f t="shared" si="84"/>
        <v>4577392.2572664749</v>
      </c>
      <c r="Q282" s="131">
        <v>18469951.673811764</v>
      </c>
      <c r="R282" s="131">
        <v>2585577.58</v>
      </c>
      <c r="S282" s="131">
        <f t="shared" si="85"/>
        <v>248997.86411890015</v>
      </c>
      <c r="T282" s="131">
        <f t="shared" si="86"/>
        <v>18220953.809692863</v>
      </c>
      <c r="U282" s="131">
        <v>693396</v>
      </c>
      <c r="V282" s="131">
        <v>0</v>
      </c>
      <c r="W282" s="131">
        <v>0</v>
      </c>
      <c r="X282" s="131">
        <v>0</v>
      </c>
      <c r="Y282" s="131">
        <v>2593621</v>
      </c>
      <c r="Z282" s="131">
        <f t="shared" si="87"/>
        <v>3287017</v>
      </c>
      <c r="AA282" s="131">
        <v>0</v>
      </c>
      <c r="AB282" s="152">
        <f t="shared" si="88"/>
        <v>21507970.809692863</v>
      </c>
      <c r="AC282" s="133">
        <f>IF(D282="Physician Group Practice",(AB282/$AB$393)*'1. UC Assumptions'!$C$15,IF(E282="Rural Hospital",AB282*'1. UC Assumptions'!$C$7/'1. UC Assumptions'!$E$7,(AB282/$AB$397)*('1. UC Assumptions'!$C$9)))</f>
        <v>10111877.985505942</v>
      </c>
      <c r="AD282" s="133">
        <f t="shared" si="89"/>
        <v>0</v>
      </c>
      <c r="AE282" s="133">
        <f t="shared" si="90"/>
        <v>11396092.824186921</v>
      </c>
      <c r="AF282" s="133">
        <f t="shared" si="91"/>
        <v>0</v>
      </c>
      <c r="AG282" s="133">
        <f t="shared" si="92"/>
        <v>11396092.824186921</v>
      </c>
      <c r="AH282" s="133">
        <f t="shared" si="93"/>
        <v>10111877.985505942</v>
      </c>
      <c r="AI282" s="131">
        <f>AH282*'1. UC Assumptions'!$C$23</f>
        <v>3336919.7352169603</v>
      </c>
      <c r="AJ282" s="131">
        <v>8457746.0199999996</v>
      </c>
      <c r="AK282" s="131">
        <f>AJ282*(1-'1. UC Assumptions'!$C$22)</f>
        <v>2791056.1865999997</v>
      </c>
      <c r="AL282" s="131"/>
      <c r="AM282" s="131">
        <f>AL282*'1. UC Assumptions'!$C$23</f>
        <v>0</v>
      </c>
      <c r="AN282" s="153">
        <f t="shared" si="94"/>
        <v>21507970.809692863</v>
      </c>
      <c r="AO282" s="151">
        <f>AN282*'1. UC Assumptions'!$C$23</f>
        <v>7097630.3671986442</v>
      </c>
      <c r="AP282" s="151">
        <f t="shared" si="95"/>
        <v>13050224.789692864</v>
      </c>
      <c r="AQ282" s="151">
        <f t="shared" si="96"/>
        <v>4306574.1805986445</v>
      </c>
      <c r="AR282" s="151">
        <f t="shared" si="97"/>
        <v>4306574.1805986445</v>
      </c>
      <c r="AS282" s="151">
        <f t="shared" si="98"/>
        <v>7097630.3671986442</v>
      </c>
      <c r="AT282" s="151">
        <f>IF(K282="Bexar",(AG282/$AT$1)*'1. UC Assumptions'!$E$44-(AH282/$AT$2)*'1. UC Assumptions'!$E$42,0)</f>
        <v>0</v>
      </c>
      <c r="AU282" s="151">
        <f>IF(K282="Dallas",(AG282/$AU$1)*'1. UC Assumptions'!$F$44-(AH282/$AU$2)*'1. UC Assumptions'!$F$42,0)</f>
        <v>0</v>
      </c>
      <c r="AV282" s="151">
        <f>IF(K282="El Paso",(AG282/$AV$1)*'1. UC Assumptions'!$G$44-(AH282/$AV$2)*'1. UC Assumptions'!$G$42,0)</f>
        <v>0</v>
      </c>
      <c r="AW282" s="151">
        <f>IF(K282="Harris",(AG282/$AW$1)*'1. UC Assumptions'!$H$44-(AH282/$AW$2)*'1. UC Assumptions'!$H$42,0)</f>
        <v>0</v>
      </c>
      <c r="AX282" s="151">
        <f>IF(K282="Hidalgo",(AG282/$AX$1)*'1. UC Assumptions'!$I$44-(AH282/$AX$2)*'1. UC Assumptions'!$I$42,0)</f>
        <v>0</v>
      </c>
      <c r="AY282" s="151">
        <f>IF(K282="Jefferson",(AG282/$AY$1)*'1. UC Assumptions'!$J$44-(AH282/$AY$2)*'1. UC Assumptions'!$J$42,0)</f>
        <v>0</v>
      </c>
      <c r="AZ282" s="151">
        <f>IF(K282="Lubbock",(AG282/$AZ$1)*'1. UC Assumptions'!$K$44-(AH282/$AZ$2)*'1. UC Assumptions'!$K$42,0)</f>
        <v>0</v>
      </c>
      <c r="BA282" s="151">
        <f>IF(K282="MRSA Central",(AG282/$BA$1)*'1. UC Assumptions'!$L$44-(AH282/$BA$2)*'1. UC Assumptions'!$L$42,0)</f>
        <v>0</v>
      </c>
      <c r="BB282" s="151">
        <f>IF(K282="MRSA Northeast",(AG282/$BB$1)*'1. UC Assumptions'!$M$44-(AH282/$BB$2)*'1. UC Assumptions'!$M$42,0)</f>
        <v>0</v>
      </c>
      <c r="BC282" s="151">
        <f>IF(K282="MRSA West",(AG282/$BC$1)*'1. UC Assumptions'!$N$44-(AH282/$BC$2)*'1. UC Assumptions'!$N$42,0)</f>
        <v>0</v>
      </c>
      <c r="BD282" s="151">
        <f>IF(K282="Nueces",(AG282/$BD$1)*'1. UC Assumptions'!$O$44-(AH282/$BD$2)*'1. UC Assumptions'!$O$42,0)</f>
        <v>0</v>
      </c>
      <c r="BE282" s="151">
        <f>IF(K282="Tarrant",(AG282/$BE$1)*'1. UC Assumptions'!$P$44-(AH282/$BE$2)*'1. UC Assumptions'!$P$42,0)</f>
        <v>0</v>
      </c>
      <c r="BF282" s="151">
        <f>IF(K282="Travis",(AG282/$BF$1)*'1. UC Assumptions'!$Q$44-(AH282/$BF$2)*'1. UC Assumptions'!$Q$42,0)</f>
        <v>0</v>
      </c>
      <c r="BG282" s="151">
        <f t="shared" si="99"/>
        <v>0</v>
      </c>
      <c r="BH282" s="151">
        <f t="shared" si="100"/>
        <v>10111877.985505942</v>
      </c>
      <c r="BI282" s="151">
        <f>ROUNDDOWN(BH282*'1. UC Assumptions'!$C$23,2)</f>
        <v>3336919.73</v>
      </c>
      <c r="BJ282" s="154">
        <f t="shared" si="101"/>
        <v>1654131.9655059427</v>
      </c>
      <c r="BK282" s="154">
        <f t="shared" si="102"/>
        <v>545863.54340000032</v>
      </c>
      <c r="BL282" s="154">
        <f t="shared" si="103"/>
        <v>1527127.86</v>
      </c>
      <c r="BM282" s="154">
        <f t="shared" si="104"/>
        <v>503952.19</v>
      </c>
      <c r="BN282" s="101"/>
      <c r="BO282" s="154">
        <f>(BL282*'1. UC Assumptions'!$C$23)-'3.  UC Calculations by Hospital'!BM282</f>
        <v>3.7999999476596713E-3</v>
      </c>
      <c r="BP282" s="13"/>
    </row>
    <row r="283" spans="2:68">
      <c r="B283" s="129" t="s">
        <v>886</v>
      </c>
      <c r="C283" s="91" t="s">
        <v>886</v>
      </c>
      <c r="D283" s="91" t="s">
        <v>214</v>
      </c>
      <c r="E283" s="91" t="s">
        <v>209</v>
      </c>
      <c r="F283" s="91"/>
      <c r="G283" s="91" t="s">
        <v>209</v>
      </c>
      <c r="H283" s="91" t="s">
        <v>209</v>
      </c>
      <c r="I283" s="150" t="s">
        <v>210</v>
      </c>
      <c r="J283" s="129" t="s">
        <v>542</v>
      </c>
      <c r="K283" s="91" t="s">
        <v>4</v>
      </c>
      <c r="L283" s="91" t="s">
        <v>4</v>
      </c>
      <c r="M283" s="151">
        <v>635775.59193611355</v>
      </c>
      <c r="N283" s="151">
        <v>17477283.533702794</v>
      </c>
      <c r="O283" s="131">
        <v>0</v>
      </c>
      <c r="P283" s="131">
        <f t="shared" si="84"/>
        <v>17477283.533702794</v>
      </c>
      <c r="Q283" s="131">
        <v>13392707.51035711</v>
      </c>
      <c r="R283" s="131">
        <v>0</v>
      </c>
      <c r="S283" s="131">
        <f t="shared" si="85"/>
        <v>0</v>
      </c>
      <c r="T283" s="131">
        <f t="shared" si="86"/>
        <v>13392707.51035711</v>
      </c>
      <c r="U283" s="131">
        <v>0</v>
      </c>
      <c r="V283" s="131">
        <v>0</v>
      </c>
      <c r="W283" s="131">
        <v>0</v>
      </c>
      <c r="X283" s="131">
        <v>0</v>
      </c>
      <c r="Y283" s="131">
        <v>1706591</v>
      </c>
      <c r="Z283" s="131">
        <f t="shared" si="87"/>
        <v>1706591</v>
      </c>
      <c r="AA283" s="131">
        <v>0</v>
      </c>
      <c r="AB283" s="152">
        <f t="shared" si="88"/>
        <v>15099298.51035711</v>
      </c>
      <c r="AC283" s="133">
        <f>IF(D283="Physician Group Practice",(AB283/$AB$393)*'1. UC Assumptions'!$C$15,IF(E283="Rural Hospital",AB283*'1. UC Assumptions'!$C$7/'1. UC Assumptions'!$E$7,(AB283/$AB$397)*('1. UC Assumptions'!$C$9)))</f>
        <v>7098868.8591047544</v>
      </c>
      <c r="AD283" s="133">
        <f t="shared" si="89"/>
        <v>0</v>
      </c>
      <c r="AE283" s="133">
        <f t="shared" si="90"/>
        <v>8000429.6512523554</v>
      </c>
      <c r="AF283" s="133">
        <f t="shared" si="91"/>
        <v>0</v>
      </c>
      <c r="AG283" s="133">
        <f t="shared" si="92"/>
        <v>8000429.6512523554</v>
      </c>
      <c r="AH283" s="133">
        <f t="shared" si="93"/>
        <v>7098868.8591047544</v>
      </c>
      <c r="AI283" s="131">
        <f>AH283*'1. UC Assumptions'!$C$23</f>
        <v>2342626.7235045685</v>
      </c>
      <c r="AJ283" s="131">
        <v>6351937.5599999996</v>
      </c>
      <c r="AK283" s="131">
        <f>AJ283*(1-'1. UC Assumptions'!$C$22)</f>
        <v>2096139.3947999997</v>
      </c>
      <c r="AL283" s="131"/>
      <c r="AM283" s="131">
        <f>AL283*'1. UC Assumptions'!$C$23</f>
        <v>0</v>
      </c>
      <c r="AN283" s="153">
        <f t="shared" si="94"/>
        <v>15099298.51035711</v>
      </c>
      <c r="AO283" s="151">
        <f>AN283*'1. UC Assumptions'!$C$23</f>
        <v>4982768.5084178457</v>
      </c>
      <c r="AP283" s="151">
        <f t="shared" si="95"/>
        <v>8747360.9503571093</v>
      </c>
      <c r="AQ283" s="151">
        <f t="shared" si="96"/>
        <v>2886629.1136178458</v>
      </c>
      <c r="AR283" s="151">
        <f t="shared" si="97"/>
        <v>2886629.1136178458</v>
      </c>
      <c r="AS283" s="151">
        <f t="shared" si="98"/>
        <v>4982768.5084178457</v>
      </c>
      <c r="AT283" s="151">
        <f>IF(K283="Bexar",(AG283/$AT$1)*'1. UC Assumptions'!$E$44-(AH283/$AT$2)*'1. UC Assumptions'!$E$42,0)</f>
        <v>0</v>
      </c>
      <c r="AU283" s="151">
        <f>IF(K283="Dallas",(AG283/$AU$1)*'1. UC Assumptions'!$F$44-(AH283/$AU$2)*'1. UC Assumptions'!$F$42,0)</f>
        <v>0</v>
      </c>
      <c r="AV283" s="151">
        <f>IF(K283="El Paso",(AG283/$AV$1)*'1. UC Assumptions'!$G$44-(AH283/$AV$2)*'1. UC Assumptions'!$G$42,0)</f>
        <v>0</v>
      </c>
      <c r="AW283" s="151">
        <f>IF(K283="Harris",(AG283/$AW$1)*'1. UC Assumptions'!$H$44-(AH283/$AW$2)*'1. UC Assumptions'!$H$42,0)</f>
        <v>0</v>
      </c>
      <c r="AX283" s="151">
        <f>IF(K283="Hidalgo",(AG283/$AX$1)*'1. UC Assumptions'!$I$44-(AH283/$AX$2)*'1. UC Assumptions'!$I$42,0)</f>
        <v>0</v>
      </c>
      <c r="AY283" s="151">
        <f>IF(K283="Jefferson",(AG283/$AY$1)*'1. UC Assumptions'!$J$44-(AH283/$AY$2)*'1. UC Assumptions'!$J$42,0)</f>
        <v>0</v>
      </c>
      <c r="AZ283" s="151">
        <f>IF(K283="Lubbock",(AG283/$AZ$1)*'1. UC Assumptions'!$K$44-(AH283/$AZ$2)*'1. UC Assumptions'!$K$42,0)</f>
        <v>0</v>
      </c>
      <c r="BA283" s="151">
        <f>IF(K283="MRSA Central",(AG283/$BA$1)*'1. UC Assumptions'!$L$44-(AH283/$BA$2)*'1. UC Assumptions'!$L$42,0)</f>
        <v>0</v>
      </c>
      <c r="BB283" s="151">
        <f>IF(K283="MRSA Northeast",(AG283/$BB$1)*'1. UC Assumptions'!$M$44-(AH283/$BB$2)*'1. UC Assumptions'!$M$42,0)</f>
        <v>0</v>
      </c>
      <c r="BC283" s="151">
        <f>IF(K283="MRSA West",(AG283/$BC$1)*'1. UC Assumptions'!$N$44-(AH283/$BC$2)*'1. UC Assumptions'!$N$42,0)</f>
        <v>0</v>
      </c>
      <c r="BD283" s="151">
        <f>IF(K283="Nueces",(AG283/$BD$1)*'1. UC Assumptions'!$O$44-(AH283/$BD$2)*'1. UC Assumptions'!$O$42,0)</f>
        <v>0</v>
      </c>
      <c r="BE283" s="151">
        <f>IF(K283="Tarrant",(AG283/$BE$1)*'1. UC Assumptions'!$P$44-(AH283/$BE$2)*'1. UC Assumptions'!$P$42,0)</f>
        <v>0</v>
      </c>
      <c r="BF283" s="151">
        <f>IF(K283="Travis",(AG283/$BF$1)*'1. UC Assumptions'!$Q$44-(AH283/$BF$2)*'1. UC Assumptions'!$Q$42,0)</f>
        <v>0</v>
      </c>
      <c r="BG283" s="151">
        <f t="shared" si="99"/>
        <v>0</v>
      </c>
      <c r="BH283" s="151">
        <f t="shared" si="100"/>
        <v>7098868.8591047544</v>
      </c>
      <c r="BI283" s="151">
        <f>ROUNDDOWN(BH283*'1. UC Assumptions'!$C$23,2)</f>
        <v>2342626.7200000002</v>
      </c>
      <c r="BJ283" s="154">
        <f t="shared" si="101"/>
        <v>746931.29910475481</v>
      </c>
      <c r="BK283" s="154">
        <f t="shared" si="102"/>
        <v>246487.32520000055</v>
      </c>
      <c r="BL283" s="154">
        <f t="shared" si="103"/>
        <v>689581.98</v>
      </c>
      <c r="BM283" s="154">
        <f t="shared" si="104"/>
        <v>227562.05</v>
      </c>
      <c r="BN283" s="101"/>
      <c r="BO283" s="154">
        <f>(BL283*'1. UC Assumptions'!$C$23)-'3.  UC Calculations by Hospital'!BM283</f>
        <v>3.3999999868683517E-3</v>
      </c>
      <c r="BP283" s="13"/>
    </row>
    <row r="284" spans="2:68">
      <c r="B284" s="129" t="s">
        <v>887</v>
      </c>
      <c r="C284" s="91" t="s">
        <v>887</v>
      </c>
      <c r="D284" s="91" t="s">
        <v>214</v>
      </c>
      <c r="E284" s="91" t="s">
        <v>209</v>
      </c>
      <c r="F284" s="91"/>
      <c r="G284" s="91" t="s">
        <v>209</v>
      </c>
      <c r="H284" s="91" t="s">
        <v>209</v>
      </c>
      <c r="I284" s="150" t="s">
        <v>210</v>
      </c>
      <c r="J284" s="129" t="s">
        <v>888</v>
      </c>
      <c r="K284" s="91" t="s">
        <v>4</v>
      </c>
      <c r="L284" s="91" t="s">
        <v>4</v>
      </c>
      <c r="M284" s="151">
        <v>-6253807.1553506302</v>
      </c>
      <c r="N284" s="151">
        <v>0</v>
      </c>
      <c r="O284" s="131">
        <v>0</v>
      </c>
      <c r="P284" s="131">
        <f t="shared" si="84"/>
        <v>0</v>
      </c>
      <c r="Q284" s="131">
        <v>502197.92626053118</v>
      </c>
      <c r="R284" s="131">
        <v>0</v>
      </c>
      <c r="S284" s="131">
        <f t="shared" si="85"/>
        <v>0</v>
      </c>
      <c r="T284" s="131">
        <f t="shared" si="86"/>
        <v>502197.92626053118</v>
      </c>
      <c r="U284" s="131">
        <v>0</v>
      </c>
      <c r="V284" s="131">
        <v>0</v>
      </c>
      <c r="W284" s="131">
        <v>0</v>
      </c>
      <c r="X284" s="131">
        <v>0</v>
      </c>
      <c r="Y284" s="131">
        <v>0</v>
      </c>
      <c r="Z284" s="131">
        <f t="shared" si="87"/>
        <v>0</v>
      </c>
      <c r="AA284" s="131">
        <v>0</v>
      </c>
      <c r="AB284" s="152">
        <f t="shared" si="88"/>
        <v>502197.92626053118</v>
      </c>
      <c r="AC284" s="133">
        <f>IF(D284="Physician Group Practice",(AB284/$AB$393)*'1. UC Assumptions'!$C$15,IF(E284="Rural Hospital",AB284*'1. UC Assumptions'!$C$7/'1. UC Assumptions'!$E$7,(AB284/$AB$397)*('1. UC Assumptions'!$C$9)))</f>
        <v>236106.14873217407</v>
      </c>
      <c r="AD284" s="133">
        <f t="shared" si="89"/>
        <v>0</v>
      </c>
      <c r="AE284" s="133">
        <f t="shared" si="90"/>
        <v>266091.77752835711</v>
      </c>
      <c r="AF284" s="133">
        <f t="shared" si="91"/>
        <v>0</v>
      </c>
      <c r="AG284" s="133">
        <f t="shared" si="92"/>
        <v>266091.77752835711</v>
      </c>
      <c r="AH284" s="133">
        <f t="shared" si="93"/>
        <v>236106.14873217407</v>
      </c>
      <c r="AI284" s="131">
        <f>AH284*'1. UC Assumptions'!$C$23</f>
        <v>77915.029081617438</v>
      </c>
      <c r="AJ284" s="131">
        <v>169907.55</v>
      </c>
      <c r="AK284" s="131">
        <f>AJ284*(1-'1. UC Assumptions'!$C$22)</f>
        <v>56069.491499999989</v>
      </c>
      <c r="AL284" s="131"/>
      <c r="AM284" s="131">
        <f>AL284*'1. UC Assumptions'!$C$23</f>
        <v>0</v>
      </c>
      <c r="AN284" s="153">
        <f t="shared" si="94"/>
        <v>502197.92626053118</v>
      </c>
      <c r="AO284" s="151">
        <f>AN284*'1. UC Assumptions'!$C$23</f>
        <v>165725.31566597527</v>
      </c>
      <c r="AP284" s="151">
        <f t="shared" si="95"/>
        <v>332290.37626053119</v>
      </c>
      <c r="AQ284" s="151">
        <f t="shared" si="96"/>
        <v>109655.82416597528</v>
      </c>
      <c r="AR284" s="151">
        <f t="shared" si="97"/>
        <v>109655.82416597528</v>
      </c>
      <c r="AS284" s="151">
        <f t="shared" si="98"/>
        <v>165725.31566597527</v>
      </c>
      <c r="AT284" s="151">
        <f>IF(K284="Bexar",(AG284/$AT$1)*'1. UC Assumptions'!$E$44-(AH284/$AT$2)*'1. UC Assumptions'!$E$42,0)</f>
        <v>0</v>
      </c>
      <c r="AU284" s="151">
        <f>IF(K284="Dallas",(AG284/$AU$1)*'1. UC Assumptions'!$F$44-(AH284/$AU$2)*'1. UC Assumptions'!$F$42,0)</f>
        <v>0</v>
      </c>
      <c r="AV284" s="151">
        <f>IF(K284="El Paso",(AG284/$AV$1)*'1. UC Assumptions'!$G$44-(AH284/$AV$2)*'1. UC Assumptions'!$G$42,0)</f>
        <v>0</v>
      </c>
      <c r="AW284" s="151">
        <f>IF(K284="Harris",(AG284/$AW$1)*'1. UC Assumptions'!$H$44-(AH284/$AW$2)*'1. UC Assumptions'!$H$42,0)</f>
        <v>0</v>
      </c>
      <c r="AX284" s="151">
        <f>IF(K284="Hidalgo",(AG284/$AX$1)*'1. UC Assumptions'!$I$44-(AH284/$AX$2)*'1. UC Assumptions'!$I$42,0)</f>
        <v>0</v>
      </c>
      <c r="AY284" s="151">
        <f>IF(K284="Jefferson",(AG284/$AY$1)*'1. UC Assumptions'!$J$44-(AH284/$AY$2)*'1. UC Assumptions'!$J$42,0)</f>
        <v>0</v>
      </c>
      <c r="AZ284" s="151">
        <f>IF(K284="Lubbock",(AG284/$AZ$1)*'1. UC Assumptions'!$K$44-(AH284/$AZ$2)*'1. UC Assumptions'!$K$42,0)</f>
        <v>0</v>
      </c>
      <c r="BA284" s="151">
        <f>IF(K284="MRSA Central",(AG284/$BA$1)*'1. UC Assumptions'!$L$44-(AH284/$BA$2)*'1. UC Assumptions'!$L$42,0)</f>
        <v>0</v>
      </c>
      <c r="BB284" s="151">
        <f>IF(K284="MRSA Northeast",(AG284/$BB$1)*'1. UC Assumptions'!$M$44-(AH284/$BB$2)*'1. UC Assumptions'!$M$42,0)</f>
        <v>0</v>
      </c>
      <c r="BC284" s="151">
        <f>IF(K284="MRSA West",(AG284/$BC$1)*'1. UC Assumptions'!$N$44-(AH284/$BC$2)*'1. UC Assumptions'!$N$42,0)</f>
        <v>0</v>
      </c>
      <c r="BD284" s="151">
        <f>IF(K284="Nueces",(AG284/$BD$1)*'1. UC Assumptions'!$O$44-(AH284/$BD$2)*'1. UC Assumptions'!$O$42,0)</f>
        <v>0</v>
      </c>
      <c r="BE284" s="151">
        <f>IF(K284="Tarrant",(AG284/$BE$1)*'1. UC Assumptions'!$P$44-(AH284/$BE$2)*'1. UC Assumptions'!$P$42,0)</f>
        <v>0</v>
      </c>
      <c r="BF284" s="151">
        <f>IF(K284="Travis",(AG284/$BF$1)*'1. UC Assumptions'!$Q$44-(AH284/$BF$2)*'1. UC Assumptions'!$Q$42,0)</f>
        <v>0</v>
      </c>
      <c r="BG284" s="151">
        <f t="shared" si="99"/>
        <v>0</v>
      </c>
      <c r="BH284" s="151">
        <f t="shared" si="100"/>
        <v>236106.14873217407</v>
      </c>
      <c r="BI284" s="151">
        <f>ROUNDDOWN(BH284*'1. UC Assumptions'!$C$23,2)</f>
        <v>77915.02</v>
      </c>
      <c r="BJ284" s="154">
        <f t="shared" si="101"/>
        <v>66198.598732174083</v>
      </c>
      <c r="BK284" s="154">
        <f t="shared" si="102"/>
        <v>21845.528500000015</v>
      </c>
      <c r="BL284" s="154">
        <f t="shared" si="103"/>
        <v>61115.88</v>
      </c>
      <c r="BM284" s="154">
        <f t="shared" si="104"/>
        <v>20168.23</v>
      </c>
      <c r="BN284" s="101"/>
      <c r="BO284" s="154">
        <f>(BL284*'1. UC Assumptions'!$C$23)-'3.  UC Calculations by Hospital'!BM284</f>
        <v>1.0399999995570397E-2</v>
      </c>
      <c r="BP284" s="13"/>
    </row>
    <row r="285" spans="2:68">
      <c r="B285" s="129" t="s">
        <v>889</v>
      </c>
      <c r="C285" s="91" t="s">
        <v>889</v>
      </c>
      <c r="D285" s="91" t="s">
        <v>214</v>
      </c>
      <c r="E285" s="91" t="s">
        <v>209</v>
      </c>
      <c r="F285" s="91"/>
      <c r="G285" s="91" t="s">
        <v>209</v>
      </c>
      <c r="H285" s="91" t="s">
        <v>209</v>
      </c>
      <c r="I285" s="150" t="s">
        <v>210</v>
      </c>
      <c r="J285" s="129" t="s">
        <v>890</v>
      </c>
      <c r="K285" s="91" t="s">
        <v>6</v>
      </c>
      <c r="L285" s="91" t="s">
        <v>223</v>
      </c>
      <c r="M285" s="151">
        <v>534839.38295148232</v>
      </c>
      <c r="N285" s="151">
        <v>0</v>
      </c>
      <c r="O285" s="131">
        <v>0</v>
      </c>
      <c r="P285" s="131">
        <f t="shared" si="84"/>
        <v>0</v>
      </c>
      <c r="Q285" s="131">
        <v>577378.55421520246</v>
      </c>
      <c r="R285" s="131">
        <v>0</v>
      </c>
      <c r="S285" s="131">
        <f t="shared" si="85"/>
        <v>0</v>
      </c>
      <c r="T285" s="131">
        <f t="shared" si="86"/>
        <v>577378.55421520246</v>
      </c>
      <c r="U285" s="131">
        <v>0</v>
      </c>
      <c r="V285" s="131">
        <v>0</v>
      </c>
      <c r="W285" s="131">
        <v>0</v>
      </c>
      <c r="X285" s="131">
        <v>0</v>
      </c>
      <c r="Y285" s="131">
        <v>0</v>
      </c>
      <c r="Z285" s="131">
        <f t="shared" si="87"/>
        <v>0</v>
      </c>
      <c r="AA285" s="131">
        <v>0</v>
      </c>
      <c r="AB285" s="152">
        <f t="shared" si="88"/>
        <v>577378.55421520246</v>
      </c>
      <c r="AC285" s="133">
        <f>IF(D285="Physician Group Practice",(AB285/$AB$393)*'1. UC Assumptions'!$C$15,IF(E285="Rural Hospital",AB285*'1. UC Assumptions'!$C$7/'1. UC Assumptions'!$E$7,(AB285/$AB$397)*('1. UC Assumptions'!$C$9)))</f>
        <v>271451.99067504815</v>
      </c>
      <c r="AD285" s="133">
        <f t="shared" si="89"/>
        <v>0</v>
      </c>
      <c r="AE285" s="133">
        <f t="shared" si="90"/>
        <v>305926.56354015431</v>
      </c>
      <c r="AF285" s="133">
        <f t="shared" si="91"/>
        <v>0</v>
      </c>
      <c r="AG285" s="133">
        <f t="shared" si="92"/>
        <v>305926.56354015431</v>
      </c>
      <c r="AH285" s="133">
        <f t="shared" si="93"/>
        <v>271451.99067504815</v>
      </c>
      <c r="AI285" s="131">
        <f>AH285*'1. UC Assumptions'!$C$23</f>
        <v>89579.156922765877</v>
      </c>
      <c r="AJ285" s="131">
        <v>211090.89</v>
      </c>
      <c r="AK285" s="131">
        <f>AJ285*(1-'1. UC Assumptions'!$C$22)</f>
        <v>69659.993699999992</v>
      </c>
      <c r="AL285" s="131"/>
      <c r="AM285" s="131">
        <f>AL285*'1. UC Assumptions'!$C$23</f>
        <v>0</v>
      </c>
      <c r="AN285" s="153">
        <f t="shared" si="94"/>
        <v>577378.55421520246</v>
      </c>
      <c r="AO285" s="151">
        <f>AN285*'1. UC Assumptions'!$C$23</f>
        <v>190534.92289101679</v>
      </c>
      <c r="AP285" s="151">
        <f t="shared" si="95"/>
        <v>366287.66421520244</v>
      </c>
      <c r="AQ285" s="151">
        <f t="shared" si="96"/>
        <v>120874.9291910168</v>
      </c>
      <c r="AR285" s="151">
        <f t="shared" si="97"/>
        <v>120874.9291910168</v>
      </c>
      <c r="AS285" s="151">
        <f t="shared" si="98"/>
        <v>190534.92289101679</v>
      </c>
      <c r="AT285" s="151">
        <f>IF(K285="Bexar",(AG285/$AT$1)*'1. UC Assumptions'!$E$44-(AH285/$AT$2)*'1. UC Assumptions'!$E$42,0)</f>
        <v>0</v>
      </c>
      <c r="AU285" s="151">
        <f>IF(K285="Dallas",(AG285/$AU$1)*'1. UC Assumptions'!$F$44-(AH285/$AU$2)*'1. UC Assumptions'!$F$42,0)</f>
        <v>0</v>
      </c>
      <c r="AV285" s="151">
        <f>IF(K285="El Paso",(AG285/$AV$1)*'1. UC Assumptions'!$G$44-(AH285/$AV$2)*'1. UC Assumptions'!$G$42,0)</f>
        <v>0</v>
      </c>
      <c r="AW285" s="151">
        <f>IF(K285="Harris",(AG285/$AW$1)*'1. UC Assumptions'!$H$44-(AH285/$AW$2)*'1. UC Assumptions'!$H$42,0)</f>
        <v>0</v>
      </c>
      <c r="AX285" s="151">
        <f>IF(K285="Hidalgo",(AG285/$AX$1)*'1. UC Assumptions'!$I$44-(AH285/$AX$2)*'1. UC Assumptions'!$I$42,0)</f>
        <v>0</v>
      </c>
      <c r="AY285" s="151">
        <f>IF(K285="Jefferson",(AG285/$AY$1)*'1. UC Assumptions'!$J$44-(AH285/$AY$2)*'1. UC Assumptions'!$J$42,0)</f>
        <v>0</v>
      </c>
      <c r="AZ285" s="151">
        <f>IF(K285="Lubbock",(AG285/$AZ$1)*'1. UC Assumptions'!$K$44-(AH285/$AZ$2)*'1. UC Assumptions'!$K$42,0)</f>
        <v>0</v>
      </c>
      <c r="BA285" s="151">
        <f>IF(K285="MRSA Central",(AG285/$BA$1)*'1. UC Assumptions'!$L$44-(AH285/$BA$2)*'1. UC Assumptions'!$L$42,0)</f>
        <v>0</v>
      </c>
      <c r="BB285" s="151">
        <f>IF(K285="MRSA Northeast",(AG285/$BB$1)*'1. UC Assumptions'!$M$44-(AH285/$BB$2)*'1. UC Assumptions'!$M$42,0)</f>
        <v>0</v>
      </c>
      <c r="BC285" s="151">
        <f>IF(K285="MRSA West",(AG285/$BC$1)*'1. UC Assumptions'!$N$44-(AH285/$BC$2)*'1. UC Assumptions'!$N$42,0)</f>
        <v>0</v>
      </c>
      <c r="BD285" s="151">
        <f>IF(K285="Nueces",(AG285/$BD$1)*'1. UC Assumptions'!$O$44-(AH285/$BD$2)*'1. UC Assumptions'!$O$42,0)</f>
        <v>0</v>
      </c>
      <c r="BE285" s="151">
        <f>IF(K285="Tarrant",(AG285/$BE$1)*'1. UC Assumptions'!$P$44-(AH285/$BE$2)*'1. UC Assumptions'!$P$42,0)</f>
        <v>0</v>
      </c>
      <c r="BF285" s="151">
        <f>IF(K285="Travis",(AG285/$BF$1)*'1. UC Assumptions'!$Q$44-(AH285/$BF$2)*'1. UC Assumptions'!$Q$42,0)</f>
        <v>0</v>
      </c>
      <c r="BG285" s="151">
        <f t="shared" si="99"/>
        <v>0</v>
      </c>
      <c r="BH285" s="151">
        <f t="shared" si="100"/>
        <v>271451.99067504815</v>
      </c>
      <c r="BI285" s="151">
        <f>ROUNDDOWN(BH285*'1. UC Assumptions'!$C$23,2)</f>
        <v>89579.15</v>
      </c>
      <c r="BJ285" s="154">
        <f t="shared" si="101"/>
        <v>60361.100675048132</v>
      </c>
      <c r="BK285" s="154">
        <f t="shared" si="102"/>
        <v>19919.156300000002</v>
      </c>
      <c r="BL285" s="154">
        <f t="shared" si="103"/>
        <v>55726.58</v>
      </c>
      <c r="BM285" s="154">
        <f t="shared" si="104"/>
        <v>18389.77</v>
      </c>
      <c r="BN285" s="101"/>
      <c r="BO285" s="154">
        <f>(BL285*'1. UC Assumptions'!$C$23)-'3.  UC Calculations by Hospital'!BM285</f>
        <v>1.3999999973748345E-3</v>
      </c>
      <c r="BP285" s="13"/>
    </row>
    <row r="286" spans="2:68">
      <c r="B286" s="129" t="s">
        <v>891</v>
      </c>
      <c r="C286" s="91" t="s">
        <v>891</v>
      </c>
      <c r="D286" s="91" t="s">
        <v>214</v>
      </c>
      <c r="E286" s="91" t="s">
        <v>149</v>
      </c>
      <c r="F286" s="91"/>
      <c r="G286" s="91" t="s">
        <v>209</v>
      </c>
      <c r="H286" s="91" t="s">
        <v>209</v>
      </c>
      <c r="I286" s="150" t="s">
        <v>210</v>
      </c>
      <c r="J286" s="129" t="s">
        <v>892</v>
      </c>
      <c r="K286" s="91" t="s">
        <v>10</v>
      </c>
      <c r="L286" s="91" t="s">
        <v>650</v>
      </c>
      <c r="M286" s="151">
        <v>592699.61306447384</v>
      </c>
      <c r="N286" s="151">
        <v>1395845.2262847454</v>
      </c>
      <c r="O286" s="131">
        <v>1034780.1573245695</v>
      </c>
      <c r="P286" s="131">
        <f t="shared" si="84"/>
        <v>361065.06896017585</v>
      </c>
      <c r="Q286" s="131">
        <v>1377731.4761944832</v>
      </c>
      <c r="R286" s="131">
        <v>0</v>
      </c>
      <c r="S286" s="131">
        <f t="shared" si="85"/>
        <v>0</v>
      </c>
      <c r="T286" s="131">
        <f t="shared" si="86"/>
        <v>1377731.4761944832</v>
      </c>
      <c r="U286" s="131">
        <v>0</v>
      </c>
      <c r="V286" s="131">
        <v>0</v>
      </c>
      <c r="W286" s="131">
        <v>0</v>
      </c>
      <c r="X286" s="131">
        <v>0</v>
      </c>
      <c r="Y286" s="131">
        <v>0</v>
      </c>
      <c r="Z286" s="131">
        <f t="shared" si="87"/>
        <v>0</v>
      </c>
      <c r="AA286" s="131">
        <v>0</v>
      </c>
      <c r="AB286" s="152">
        <f t="shared" si="88"/>
        <v>1377731.4761944832</v>
      </c>
      <c r="AC286" s="133">
        <f>IF(D286="Physician Group Practice",(AB286/$AB$393)*'1. UC Assumptions'!$C$15,IF(E286="Rural Hospital",AB286*'1. UC Assumptions'!$C$7/'1. UC Assumptions'!$E$7,(AB286/$AB$397)*('1. UC Assumptions'!$C$9)))</f>
        <v>1286023.503607163</v>
      </c>
      <c r="AD286" s="133">
        <f t="shared" si="89"/>
        <v>0</v>
      </c>
      <c r="AE286" s="133">
        <f t="shared" si="90"/>
        <v>91707.972587320255</v>
      </c>
      <c r="AF286" s="133">
        <f t="shared" si="91"/>
        <v>0</v>
      </c>
      <c r="AG286" s="133">
        <f t="shared" si="92"/>
        <v>91707.972587320255</v>
      </c>
      <c r="AH286" s="133">
        <f t="shared" si="93"/>
        <v>1286023.503607163</v>
      </c>
      <c r="AI286" s="131">
        <f>AH286*'1. UC Assumptions'!$C$23</f>
        <v>424387.75619036373</v>
      </c>
      <c r="AJ286" s="131">
        <v>296132.64</v>
      </c>
      <c r="AK286" s="131">
        <f>AJ286*(1-'1. UC Assumptions'!$C$22)</f>
        <v>97723.771199999988</v>
      </c>
      <c r="AL286" s="131"/>
      <c r="AM286" s="131">
        <f>AL286*'1. UC Assumptions'!$C$23</f>
        <v>0</v>
      </c>
      <c r="AN286" s="153">
        <f t="shared" si="94"/>
        <v>1377731.4761944832</v>
      </c>
      <c r="AO286" s="151">
        <f>AN286*'1. UC Assumptions'!$C$23</f>
        <v>454651.38714417943</v>
      </c>
      <c r="AP286" s="151">
        <f t="shared" si="95"/>
        <v>1081598.8361944831</v>
      </c>
      <c r="AQ286" s="151">
        <f t="shared" si="96"/>
        <v>356927.61594417947</v>
      </c>
      <c r="AR286" s="151">
        <f t="shared" si="97"/>
        <v>356927.61594417947</v>
      </c>
      <c r="AS286" s="151">
        <f t="shared" si="98"/>
        <v>454651.38714417943</v>
      </c>
      <c r="AT286" s="151">
        <f>IF(K286="Bexar",(AG286/$AT$1)*'1. UC Assumptions'!$E$44-(AH286/$AT$2)*'1. UC Assumptions'!$E$42,0)</f>
        <v>0</v>
      </c>
      <c r="AU286" s="151">
        <f>IF(K286="Dallas",(AG286/$AU$1)*'1. UC Assumptions'!$F$44-(AH286/$AU$2)*'1. UC Assumptions'!$F$42,0)</f>
        <v>0</v>
      </c>
      <c r="AV286" s="151">
        <f>IF(K286="El Paso",(AG286/$AV$1)*'1. UC Assumptions'!$G$44-(AH286/$AV$2)*'1. UC Assumptions'!$G$42,0)</f>
        <v>0</v>
      </c>
      <c r="AW286" s="151">
        <f>IF(K286="Harris",(AG286/$AW$1)*'1. UC Assumptions'!$H$44-(AH286/$AW$2)*'1. UC Assumptions'!$H$42,0)</f>
        <v>0</v>
      </c>
      <c r="AX286" s="151">
        <f>IF(K286="Hidalgo",(AG286/$AX$1)*'1. UC Assumptions'!$I$44-(AH286/$AX$2)*'1. UC Assumptions'!$I$42,0)</f>
        <v>0</v>
      </c>
      <c r="AY286" s="151">
        <f>IF(K286="Jefferson",(AG286/$AY$1)*'1. UC Assumptions'!$J$44-(AH286/$AY$2)*'1. UC Assumptions'!$J$42,0)</f>
        <v>0</v>
      </c>
      <c r="AZ286" s="151">
        <f>IF(K286="Lubbock",(AG286/$AZ$1)*'1. UC Assumptions'!$K$44-(AH286/$AZ$2)*'1. UC Assumptions'!$K$42,0)</f>
        <v>0</v>
      </c>
      <c r="BA286" s="151">
        <f>IF(K286="MRSA Central",(AG286/$BA$1)*'1. UC Assumptions'!$L$44-(AH286/$BA$2)*'1. UC Assumptions'!$L$42,0)</f>
        <v>0</v>
      </c>
      <c r="BB286" s="151">
        <f>IF(K286="MRSA Northeast",(AG286/$BB$1)*'1. UC Assumptions'!$M$44-(AH286/$BB$2)*'1. UC Assumptions'!$M$42,0)</f>
        <v>0</v>
      </c>
      <c r="BC286" s="151">
        <f>IF(K286="MRSA West",(AG286/$BC$1)*'1. UC Assumptions'!$N$44-(AH286/$BC$2)*'1. UC Assumptions'!$N$42,0)</f>
        <v>0</v>
      </c>
      <c r="BD286" s="151">
        <f>IF(K286="Nueces",(AG286/$BD$1)*'1. UC Assumptions'!$O$44-(AH286/$BD$2)*'1. UC Assumptions'!$O$42,0)</f>
        <v>0</v>
      </c>
      <c r="BE286" s="151">
        <f>IF(K286="Tarrant",(AG286/$BE$1)*'1. UC Assumptions'!$P$44-(AH286/$BE$2)*'1. UC Assumptions'!$P$42,0)</f>
        <v>0</v>
      </c>
      <c r="BF286" s="151">
        <f>IF(K286="Travis",(AG286/$BF$1)*'1. UC Assumptions'!$Q$44-(AH286/$BF$2)*'1. UC Assumptions'!$Q$42,0)</f>
        <v>0</v>
      </c>
      <c r="BG286" s="151">
        <f t="shared" si="99"/>
        <v>0</v>
      </c>
      <c r="BH286" s="151">
        <f t="shared" si="100"/>
        <v>1286023.503607163</v>
      </c>
      <c r="BI286" s="151">
        <f>ROUNDDOWN(BH286*'1. UC Assumptions'!$C$23,2)</f>
        <v>424387.75</v>
      </c>
      <c r="BJ286" s="154">
        <f t="shared" si="101"/>
        <v>989890.86360716296</v>
      </c>
      <c r="BK286" s="154">
        <f t="shared" si="102"/>
        <v>326663.97880000004</v>
      </c>
      <c r="BL286" s="154">
        <f t="shared" si="103"/>
        <v>913887.13</v>
      </c>
      <c r="BM286" s="154">
        <f t="shared" si="104"/>
        <v>301582.75</v>
      </c>
      <c r="BN286" s="101"/>
      <c r="BO286" s="154">
        <f>(BL286*'1. UC Assumptions'!$C$23)-'3.  UC Calculations by Hospital'!BM286</f>
        <v>2.899999963119626E-3</v>
      </c>
      <c r="BP286" s="13"/>
    </row>
    <row r="287" spans="2:68">
      <c r="B287" s="129" t="s">
        <v>893</v>
      </c>
      <c r="C287" s="91" t="s">
        <v>893</v>
      </c>
      <c r="D287" s="91" t="s">
        <v>208</v>
      </c>
      <c r="E287" s="91" t="s">
        <v>149</v>
      </c>
      <c r="F287" s="91"/>
      <c r="G287" s="91" t="s">
        <v>209</v>
      </c>
      <c r="H287" s="91" t="s">
        <v>209</v>
      </c>
      <c r="I287" s="150" t="s">
        <v>210</v>
      </c>
      <c r="J287" s="129" t="s">
        <v>894</v>
      </c>
      <c r="K287" s="91" t="s">
        <v>3</v>
      </c>
      <c r="L287" s="91" t="s">
        <v>895</v>
      </c>
      <c r="M287" s="151">
        <v>192606.62691307531</v>
      </c>
      <c r="N287" s="151">
        <v>2052242.4187817909</v>
      </c>
      <c r="O287" s="131">
        <v>739466.14524966397</v>
      </c>
      <c r="P287" s="131">
        <f t="shared" si="84"/>
        <v>1312776.273532127</v>
      </c>
      <c r="Q287" s="131">
        <v>2385267.4251562241</v>
      </c>
      <c r="R287" s="131">
        <v>832870.75</v>
      </c>
      <c r="S287" s="131">
        <f t="shared" si="85"/>
        <v>0</v>
      </c>
      <c r="T287" s="131">
        <f t="shared" si="86"/>
        <v>2385267.4251562241</v>
      </c>
      <c r="U287" s="131">
        <v>47883.22</v>
      </c>
      <c r="V287" s="131">
        <v>0</v>
      </c>
      <c r="W287" s="131">
        <v>0</v>
      </c>
      <c r="X287" s="131">
        <v>0</v>
      </c>
      <c r="Y287" s="131">
        <v>0</v>
      </c>
      <c r="Z287" s="131">
        <f t="shared" si="87"/>
        <v>47883.22</v>
      </c>
      <c r="AA287" s="131">
        <v>0</v>
      </c>
      <c r="AB287" s="152">
        <f t="shared" si="88"/>
        <v>2433150.6451562243</v>
      </c>
      <c r="AC287" s="133">
        <f>IF(D287="Physician Group Practice",(AB287/$AB$393)*'1. UC Assumptions'!$C$15,IF(E287="Rural Hospital",AB287*'1. UC Assumptions'!$C$7/'1. UC Assumptions'!$E$7,(AB287/$AB$397)*('1. UC Assumptions'!$C$9)))</f>
        <v>2271189.2495414889</v>
      </c>
      <c r="AD287" s="133">
        <f t="shared" si="89"/>
        <v>0</v>
      </c>
      <c r="AE287" s="133">
        <f t="shared" si="90"/>
        <v>161961.39561473532</v>
      </c>
      <c r="AF287" s="133">
        <f t="shared" si="91"/>
        <v>0</v>
      </c>
      <c r="AG287" s="133">
        <f t="shared" si="92"/>
        <v>161961.39561473532</v>
      </c>
      <c r="AH287" s="133">
        <f t="shared" si="93"/>
        <v>2271189.2495414889</v>
      </c>
      <c r="AI287" s="131">
        <f>AH287*'1. UC Assumptions'!$C$23</f>
        <v>749492.45234869129</v>
      </c>
      <c r="AJ287" s="131">
        <v>1005422.99</v>
      </c>
      <c r="AK287" s="131">
        <f>AJ287*(1-'1. UC Assumptions'!$C$22)</f>
        <v>331789.58669999999</v>
      </c>
      <c r="AL287" s="131"/>
      <c r="AM287" s="131">
        <f>AL287*'1. UC Assumptions'!$C$23</f>
        <v>0</v>
      </c>
      <c r="AN287" s="153">
        <f t="shared" si="94"/>
        <v>2433150.6451562243</v>
      </c>
      <c r="AO287" s="151">
        <f>AN287*'1. UC Assumptions'!$C$23</f>
        <v>802939.71290155395</v>
      </c>
      <c r="AP287" s="151">
        <f t="shared" si="95"/>
        <v>1427727.6551562243</v>
      </c>
      <c r="AQ287" s="151">
        <f t="shared" si="96"/>
        <v>471150.12620155397</v>
      </c>
      <c r="AR287" s="151">
        <f t="shared" si="97"/>
        <v>471150.12620155397</v>
      </c>
      <c r="AS287" s="151">
        <f t="shared" si="98"/>
        <v>802939.71290155395</v>
      </c>
      <c r="AT287" s="151">
        <f>IF(K287="Bexar",(AG287/$AT$1)*'1. UC Assumptions'!$E$44-(AH287/$AT$2)*'1. UC Assumptions'!$E$42,0)</f>
        <v>0</v>
      </c>
      <c r="AU287" s="151">
        <f>IF(K287="Dallas",(AG287/$AU$1)*'1. UC Assumptions'!$F$44-(AH287/$AU$2)*'1. UC Assumptions'!$F$42,0)</f>
        <v>0</v>
      </c>
      <c r="AV287" s="151">
        <f>IF(K287="El Paso",(AG287/$AV$1)*'1. UC Assumptions'!$G$44-(AH287/$AV$2)*'1. UC Assumptions'!$G$42,0)</f>
        <v>0</v>
      </c>
      <c r="AW287" s="151">
        <f>IF(K287="Harris",(AG287/$AW$1)*'1. UC Assumptions'!$H$44-(AH287/$AW$2)*'1. UC Assumptions'!$H$42,0)</f>
        <v>0</v>
      </c>
      <c r="AX287" s="151">
        <f>IF(K287="Hidalgo",(AG287/$AX$1)*'1. UC Assumptions'!$I$44-(AH287/$AX$2)*'1. UC Assumptions'!$I$42,0)</f>
        <v>0</v>
      </c>
      <c r="AY287" s="151">
        <f>IF(K287="Jefferson",(AG287/$AY$1)*'1. UC Assumptions'!$J$44-(AH287/$AY$2)*'1. UC Assumptions'!$J$42,0)</f>
        <v>0</v>
      </c>
      <c r="AZ287" s="151">
        <f>IF(K287="Lubbock",(AG287/$AZ$1)*'1. UC Assumptions'!$K$44-(AH287/$AZ$2)*'1. UC Assumptions'!$K$42,0)</f>
        <v>0</v>
      </c>
      <c r="BA287" s="151">
        <f>IF(K287="MRSA Central",(AG287/$BA$1)*'1. UC Assumptions'!$L$44-(AH287/$BA$2)*'1. UC Assumptions'!$L$42,0)</f>
        <v>0</v>
      </c>
      <c r="BB287" s="151">
        <f>IF(K287="MRSA Northeast",(AG287/$BB$1)*'1. UC Assumptions'!$M$44-(AH287/$BB$2)*'1. UC Assumptions'!$M$42,0)</f>
        <v>0</v>
      </c>
      <c r="BC287" s="151">
        <f>IF(K287="MRSA West",(AG287/$BC$1)*'1. UC Assumptions'!$N$44-(AH287/$BC$2)*'1. UC Assumptions'!$N$42,0)</f>
        <v>0</v>
      </c>
      <c r="BD287" s="151">
        <f>IF(K287="Nueces",(AG287/$BD$1)*'1. UC Assumptions'!$O$44-(AH287/$BD$2)*'1. UC Assumptions'!$O$42,0)</f>
        <v>0</v>
      </c>
      <c r="BE287" s="151">
        <f>IF(K287="Tarrant",(AG287/$BE$1)*'1. UC Assumptions'!$P$44-(AH287/$BE$2)*'1. UC Assumptions'!$P$42,0)</f>
        <v>0</v>
      </c>
      <c r="BF287" s="151">
        <f>IF(K287="Travis",(AG287/$BF$1)*'1. UC Assumptions'!$Q$44-(AH287/$BF$2)*'1. UC Assumptions'!$Q$42,0)</f>
        <v>0</v>
      </c>
      <c r="BG287" s="151">
        <f t="shared" si="99"/>
        <v>0</v>
      </c>
      <c r="BH287" s="151">
        <f t="shared" si="100"/>
        <v>2271189.2495414889</v>
      </c>
      <c r="BI287" s="151">
        <f>ROUNDDOWN(BH287*'1. UC Assumptions'!$C$23,2)</f>
        <v>749492.45</v>
      </c>
      <c r="BJ287" s="154">
        <f t="shared" si="101"/>
        <v>1265766.259541489</v>
      </c>
      <c r="BK287" s="154">
        <f t="shared" si="102"/>
        <v>417702.86329999997</v>
      </c>
      <c r="BL287" s="154">
        <f t="shared" si="103"/>
        <v>1168580.83</v>
      </c>
      <c r="BM287" s="154">
        <f t="shared" si="104"/>
        <v>385631.67</v>
      </c>
      <c r="BN287" s="101"/>
      <c r="BO287" s="154">
        <f>(BL287*'1. UC Assumptions'!$C$23)-'3.  UC Calculations by Hospital'!BM287</f>
        <v>3.9000000106170774E-3</v>
      </c>
      <c r="BP287" s="13"/>
    </row>
    <row r="288" spans="2:68">
      <c r="B288" s="129" t="s">
        <v>896</v>
      </c>
      <c r="C288" s="91" t="s">
        <v>896</v>
      </c>
      <c r="D288" s="91" t="s">
        <v>208</v>
      </c>
      <c r="E288" s="91" t="s">
        <v>149</v>
      </c>
      <c r="F288" s="91"/>
      <c r="G288" s="91" t="s">
        <v>209</v>
      </c>
      <c r="H288" s="91" t="s">
        <v>209</v>
      </c>
      <c r="I288" s="150" t="s">
        <v>210</v>
      </c>
      <c r="J288" s="129" t="s">
        <v>897</v>
      </c>
      <c r="K288" s="91" t="s">
        <v>10</v>
      </c>
      <c r="L288" s="91" t="s">
        <v>898</v>
      </c>
      <c r="M288" s="151">
        <v>558133.26029045763</v>
      </c>
      <c r="N288" s="151">
        <v>0</v>
      </c>
      <c r="O288" s="131">
        <v>0</v>
      </c>
      <c r="P288" s="131">
        <f t="shared" si="84"/>
        <v>0</v>
      </c>
      <c r="Q288" s="131">
        <v>3025989.6229056255</v>
      </c>
      <c r="R288" s="131">
        <v>0</v>
      </c>
      <c r="S288" s="131">
        <f t="shared" si="85"/>
        <v>0</v>
      </c>
      <c r="T288" s="131">
        <f t="shared" si="86"/>
        <v>3025989.6229056255</v>
      </c>
      <c r="U288" s="131">
        <v>156459.27000000002</v>
      </c>
      <c r="V288" s="131">
        <v>0</v>
      </c>
      <c r="W288" s="131">
        <v>0</v>
      </c>
      <c r="X288" s="131">
        <v>0</v>
      </c>
      <c r="Y288" s="131">
        <v>0</v>
      </c>
      <c r="Z288" s="131">
        <f t="shared" si="87"/>
        <v>156459.27000000002</v>
      </c>
      <c r="AA288" s="131">
        <v>0</v>
      </c>
      <c r="AB288" s="152">
        <f t="shared" si="88"/>
        <v>3182448.8929056255</v>
      </c>
      <c r="AC288" s="133">
        <f>IF(D288="Physician Group Practice",(AB288/$AB$393)*'1. UC Assumptions'!$C$15,IF(E288="Rural Hospital",AB288*'1. UC Assumptions'!$C$7/'1. UC Assumptions'!$E$7,(AB288/$AB$397)*('1. UC Assumptions'!$C$9)))</f>
        <v>2970610.8527112547</v>
      </c>
      <c r="AD288" s="133">
        <f t="shared" si="89"/>
        <v>0</v>
      </c>
      <c r="AE288" s="133">
        <f t="shared" si="90"/>
        <v>211838.04019437078</v>
      </c>
      <c r="AF288" s="133">
        <f t="shared" si="91"/>
        <v>0</v>
      </c>
      <c r="AG288" s="133">
        <f t="shared" si="92"/>
        <v>211838.04019437078</v>
      </c>
      <c r="AH288" s="133">
        <f t="shared" si="93"/>
        <v>2970610.8527112547</v>
      </c>
      <c r="AI288" s="131">
        <f>AH288*'1. UC Assumptions'!$C$23</f>
        <v>980301.58139471395</v>
      </c>
      <c r="AJ288" s="131">
        <v>643159.29</v>
      </c>
      <c r="AK288" s="131">
        <f>AJ288*(1-'1. UC Assumptions'!$C$22)</f>
        <v>212242.56569999998</v>
      </c>
      <c r="AL288" s="131"/>
      <c r="AM288" s="131">
        <f>AL288*'1. UC Assumptions'!$C$23</f>
        <v>0</v>
      </c>
      <c r="AN288" s="153">
        <f t="shared" si="94"/>
        <v>3182448.8929056255</v>
      </c>
      <c r="AO288" s="151">
        <f>AN288*'1. UC Assumptions'!$C$23</f>
        <v>1050208.1346588563</v>
      </c>
      <c r="AP288" s="151">
        <f t="shared" si="95"/>
        <v>2539289.6029056255</v>
      </c>
      <c r="AQ288" s="151">
        <f t="shared" si="96"/>
        <v>837965.5689588564</v>
      </c>
      <c r="AR288" s="151">
        <f t="shared" si="97"/>
        <v>837965.5689588564</v>
      </c>
      <c r="AS288" s="151">
        <f t="shared" si="98"/>
        <v>1050208.1346588563</v>
      </c>
      <c r="AT288" s="151">
        <f>IF(K288="Bexar",(AG288/$AT$1)*'1. UC Assumptions'!$E$44-(AH288/$AT$2)*'1. UC Assumptions'!$E$42,0)</f>
        <v>0</v>
      </c>
      <c r="AU288" s="151">
        <f>IF(K288="Dallas",(AG288/$AU$1)*'1. UC Assumptions'!$F$44-(AH288/$AU$2)*'1. UC Assumptions'!$F$42,0)</f>
        <v>0</v>
      </c>
      <c r="AV288" s="151">
        <f>IF(K288="El Paso",(AG288/$AV$1)*'1. UC Assumptions'!$G$44-(AH288/$AV$2)*'1. UC Assumptions'!$G$42,0)</f>
        <v>0</v>
      </c>
      <c r="AW288" s="151">
        <f>IF(K288="Harris",(AG288/$AW$1)*'1. UC Assumptions'!$H$44-(AH288/$AW$2)*'1. UC Assumptions'!$H$42,0)</f>
        <v>0</v>
      </c>
      <c r="AX288" s="151">
        <f>IF(K288="Hidalgo",(AG288/$AX$1)*'1. UC Assumptions'!$I$44-(AH288/$AX$2)*'1. UC Assumptions'!$I$42,0)</f>
        <v>0</v>
      </c>
      <c r="AY288" s="151">
        <f>IF(K288="Jefferson",(AG288/$AY$1)*'1. UC Assumptions'!$J$44-(AH288/$AY$2)*'1. UC Assumptions'!$J$42,0)</f>
        <v>0</v>
      </c>
      <c r="AZ288" s="151">
        <f>IF(K288="Lubbock",(AG288/$AZ$1)*'1. UC Assumptions'!$K$44-(AH288/$AZ$2)*'1. UC Assumptions'!$K$42,0)</f>
        <v>0</v>
      </c>
      <c r="BA288" s="151">
        <f>IF(K288="MRSA Central",(AG288/$BA$1)*'1. UC Assumptions'!$L$44-(AH288/$BA$2)*'1. UC Assumptions'!$L$42,0)</f>
        <v>0</v>
      </c>
      <c r="BB288" s="151">
        <f>IF(K288="MRSA Northeast",(AG288/$BB$1)*'1. UC Assumptions'!$M$44-(AH288/$BB$2)*'1. UC Assumptions'!$M$42,0)</f>
        <v>0</v>
      </c>
      <c r="BC288" s="151">
        <f>IF(K288="MRSA West",(AG288/$BC$1)*'1. UC Assumptions'!$N$44-(AH288/$BC$2)*'1. UC Assumptions'!$N$42,0)</f>
        <v>0</v>
      </c>
      <c r="BD288" s="151">
        <f>IF(K288="Nueces",(AG288/$BD$1)*'1. UC Assumptions'!$O$44-(AH288/$BD$2)*'1. UC Assumptions'!$O$42,0)</f>
        <v>0</v>
      </c>
      <c r="BE288" s="151">
        <f>IF(K288="Tarrant",(AG288/$BE$1)*'1. UC Assumptions'!$P$44-(AH288/$BE$2)*'1. UC Assumptions'!$P$42,0)</f>
        <v>0</v>
      </c>
      <c r="BF288" s="151">
        <f>IF(K288="Travis",(AG288/$BF$1)*'1. UC Assumptions'!$Q$44-(AH288/$BF$2)*'1. UC Assumptions'!$Q$42,0)</f>
        <v>0</v>
      </c>
      <c r="BG288" s="151">
        <f t="shared" si="99"/>
        <v>0</v>
      </c>
      <c r="BH288" s="151">
        <f t="shared" si="100"/>
        <v>2970610.8527112547</v>
      </c>
      <c r="BI288" s="151">
        <f>ROUNDDOWN(BH288*'1. UC Assumptions'!$C$23,2)</f>
        <v>980301.58</v>
      </c>
      <c r="BJ288" s="154">
        <f t="shared" si="101"/>
        <v>2327451.5627112547</v>
      </c>
      <c r="BK288" s="154">
        <f t="shared" si="102"/>
        <v>768059.01429999992</v>
      </c>
      <c r="BL288" s="154">
        <f t="shared" si="103"/>
        <v>2148750.0299999998</v>
      </c>
      <c r="BM288" s="154">
        <f t="shared" si="104"/>
        <v>709087.51</v>
      </c>
      <c r="BN288" s="101"/>
      <c r="BO288" s="154">
        <f>(BL288*'1. UC Assumptions'!$C$23)-'3.  UC Calculations by Hospital'!BM288</f>
        <v>-1.0000017937272787E-4</v>
      </c>
      <c r="BP288" s="13"/>
    </row>
    <row r="289" spans="1:68">
      <c r="B289" s="129" t="s">
        <v>899</v>
      </c>
      <c r="C289" s="91" t="s">
        <v>899</v>
      </c>
      <c r="D289" s="91" t="s">
        <v>286</v>
      </c>
      <c r="E289" s="91" t="s">
        <v>209</v>
      </c>
      <c r="F289" s="91"/>
      <c r="G289" s="91" t="s">
        <v>287</v>
      </c>
      <c r="H289" s="91" t="s">
        <v>209</v>
      </c>
      <c r="I289" s="150" t="s">
        <v>210</v>
      </c>
      <c r="J289" s="129" t="s">
        <v>900</v>
      </c>
      <c r="K289" s="91" t="s">
        <v>6</v>
      </c>
      <c r="L289" s="91" t="s">
        <v>6</v>
      </c>
      <c r="M289" s="151">
        <v>-982529.72321279999</v>
      </c>
      <c r="N289" s="151">
        <v>0</v>
      </c>
      <c r="O289" s="131">
        <v>0</v>
      </c>
      <c r="P289" s="131">
        <f t="shared" si="84"/>
        <v>0</v>
      </c>
      <c r="Q289" s="131">
        <v>25832.316321279999</v>
      </c>
      <c r="R289" s="131">
        <v>0</v>
      </c>
      <c r="S289" s="131">
        <f t="shared" si="85"/>
        <v>0</v>
      </c>
      <c r="T289" s="131">
        <f t="shared" si="86"/>
        <v>25832.316321279999</v>
      </c>
      <c r="U289" s="131">
        <v>0</v>
      </c>
      <c r="V289" s="131">
        <v>0</v>
      </c>
      <c r="W289" s="131">
        <v>0</v>
      </c>
      <c r="X289" s="131">
        <v>0</v>
      </c>
      <c r="Y289" s="131">
        <v>0</v>
      </c>
      <c r="Z289" s="131">
        <f t="shared" si="87"/>
        <v>0</v>
      </c>
      <c r="AA289" s="131">
        <v>0</v>
      </c>
      <c r="AB289" s="152">
        <f t="shared" si="88"/>
        <v>25832.316321279999</v>
      </c>
      <c r="AC289" s="133">
        <f>IF(D289="Physician Group Practice",(AB289/$AB$393)*'1. UC Assumptions'!$C$15,IF(E289="Rural Hospital",AB289*'1. UC Assumptions'!$C$7/'1. UC Assumptions'!$E$7,(AB289/$AB$397)*('1. UC Assumptions'!$C$9)))</f>
        <v>12144.950029691214</v>
      </c>
      <c r="AD289" s="133">
        <f t="shared" si="89"/>
        <v>0</v>
      </c>
      <c r="AE289" s="133">
        <f t="shared" si="90"/>
        <v>13687.366291588785</v>
      </c>
      <c r="AF289" s="133">
        <f t="shared" si="91"/>
        <v>0</v>
      </c>
      <c r="AG289" s="133">
        <f t="shared" si="92"/>
        <v>13687.366291588785</v>
      </c>
      <c r="AH289" s="133">
        <f t="shared" si="93"/>
        <v>12144.950029691214</v>
      </c>
      <c r="AI289" s="131">
        <f>AH289*'1. UC Assumptions'!$C$23</f>
        <v>4007.8335097980998</v>
      </c>
      <c r="AJ289" s="131">
        <v>31987.29</v>
      </c>
      <c r="AK289" s="131">
        <f>AJ289*(1-'1. UC Assumptions'!$C$22)</f>
        <v>10555.805699999999</v>
      </c>
      <c r="AL289" s="131"/>
      <c r="AM289" s="131">
        <f>AL289*'1. UC Assumptions'!$C$23</f>
        <v>0</v>
      </c>
      <c r="AN289" s="153">
        <f t="shared" si="94"/>
        <v>25832.316321279999</v>
      </c>
      <c r="AO289" s="151">
        <f>AN289*'1. UC Assumptions'!$C$23</f>
        <v>8524.6643860223994</v>
      </c>
      <c r="AP289" s="151">
        <f t="shared" si="95"/>
        <v>-6154.9736787200018</v>
      </c>
      <c r="AQ289" s="151">
        <f t="shared" si="96"/>
        <v>-2031.1413139775996</v>
      </c>
      <c r="AR289" s="151">
        <f t="shared" si="97"/>
        <v>-2031.1413139775996</v>
      </c>
      <c r="AS289" s="151">
        <f t="shared" si="98"/>
        <v>8524.6643860223994</v>
      </c>
      <c r="AT289" s="151">
        <f>IF(K289="Bexar",(AG289/$AT$1)*'1. UC Assumptions'!$E$44-(AH289/$AT$2)*'1. UC Assumptions'!$E$42,0)</f>
        <v>0</v>
      </c>
      <c r="AU289" s="151">
        <f>IF(K289="Dallas",(AG289/$AU$1)*'1. UC Assumptions'!$F$44-(AH289/$AU$2)*'1. UC Assumptions'!$F$42,0)</f>
        <v>0</v>
      </c>
      <c r="AV289" s="151">
        <f>IF(K289="El Paso",(AG289/$AV$1)*'1. UC Assumptions'!$G$44-(AH289/$AV$2)*'1. UC Assumptions'!$G$42,0)</f>
        <v>0</v>
      </c>
      <c r="AW289" s="151">
        <f>IF(K289="Harris",(AG289/$AW$1)*'1. UC Assumptions'!$H$44-(AH289/$AW$2)*'1. UC Assumptions'!$H$42,0)</f>
        <v>0</v>
      </c>
      <c r="AX289" s="151">
        <f>IF(K289="Hidalgo",(AG289/$AX$1)*'1. UC Assumptions'!$I$44-(AH289/$AX$2)*'1. UC Assumptions'!$I$42,0)</f>
        <v>0</v>
      </c>
      <c r="AY289" s="151">
        <f>IF(K289="Jefferson",(AG289/$AY$1)*'1. UC Assumptions'!$J$44-(AH289/$AY$2)*'1. UC Assumptions'!$J$42,0)</f>
        <v>0</v>
      </c>
      <c r="AZ289" s="151">
        <f>IF(K289="Lubbock",(AG289/$AZ$1)*'1. UC Assumptions'!$K$44-(AH289/$AZ$2)*'1. UC Assumptions'!$K$42,0)</f>
        <v>0</v>
      </c>
      <c r="BA289" s="151">
        <f>IF(K289="MRSA Central",(AG289/$BA$1)*'1. UC Assumptions'!$L$44-(AH289/$BA$2)*'1. UC Assumptions'!$L$42,0)</f>
        <v>0</v>
      </c>
      <c r="BB289" s="151">
        <f>IF(K289="MRSA Northeast",(AG289/$BB$1)*'1. UC Assumptions'!$M$44-(AH289/$BB$2)*'1. UC Assumptions'!$M$42,0)</f>
        <v>0</v>
      </c>
      <c r="BC289" s="151">
        <f>IF(K289="MRSA West",(AG289/$BC$1)*'1. UC Assumptions'!$N$44-(AH289/$BC$2)*'1. UC Assumptions'!$N$42,0)</f>
        <v>0</v>
      </c>
      <c r="BD289" s="151">
        <f>IF(K289="Nueces",(AG289/$BD$1)*'1. UC Assumptions'!$O$44-(AH289/$BD$2)*'1. UC Assumptions'!$O$42,0)</f>
        <v>0</v>
      </c>
      <c r="BE289" s="151">
        <f>IF(K289="Tarrant",(AG289/$BE$1)*'1. UC Assumptions'!$P$44-(AH289/$BE$2)*'1. UC Assumptions'!$P$42,0)</f>
        <v>0</v>
      </c>
      <c r="BF289" s="151">
        <f>IF(K289="Travis",(AG289/$BF$1)*'1. UC Assumptions'!$Q$44-(AH289/$BF$2)*'1. UC Assumptions'!$Q$42,0)</f>
        <v>0</v>
      </c>
      <c r="BG289" s="151">
        <f t="shared" si="99"/>
        <v>0</v>
      </c>
      <c r="BH289" s="151">
        <f t="shared" si="100"/>
        <v>12144.950029691214</v>
      </c>
      <c r="BI289" s="151">
        <f>ROUNDDOWN(BH289*'1. UC Assumptions'!$C$23,2)</f>
        <v>4007.83</v>
      </c>
      <c r="BJ289" s="154">
        <f t="shared" si="101"/>
        <v>-19842.339970308785</v>
      </c>
      <c r="BK289" s="154">
        <f t="shared" si="102"/>
        <v>-6547.9756999999991</v>
      </c>
      <c r="BL289" s="154">
        <f t="shared" si="103"/>
        <v>0</v>
      </c>
      <c r="BM289" s="154">
        <f t="shared" si="104"/>
        <v>0</v>
      </c>
      <c r="BN289" s="101"/>
      <c r="BO289" s="154">
        <f>(BL289*'1. UC Assumptions'!$C$23)-'3.  UC Calculations by Hospital'!BM289</f>
        <v>0</v>
      </c>
      <c r="BP289" s="13"/>
    </row>
    <row r="290" spans="1:68">
      <c r="B290" s="129" t="s">
        <v>901</v>
      </c>
      <c r="C290" s="91" t="s">
        <v>901</v>
      </c>
      <c r="D290" s="91" t="s">
        <v>214</v>
      </c>
      <c r="E290" s="91" t="s">
        <v>209</v>
      </c>
      <c r="F290" s="91"/>
      <c r="G290" s="91" t="s">
        <v>209</v>
      </c>
      <c r="H290" s="91" t="s">
        <v>209</v>
      </c>
      <c r="I290" s="150" t="s">
        <v>210</v>
      </c>
      <c r="J290" s="129" t="s">
        <v>902</v>
      </c>
      <c r="K290" s="91" t="s">
        <v>14</v>
      </c>
      <c r="L290" s="91" t="s">
        <v>248</v>
      </c>
      <c r="M290" s="151">
        <v>2363606.4540563901</v>
      </c>
      <c r="N290" s="151">
        <v>0</v>
      </c>
      <c r="O290" s="131">
        <v>0</v>
      </c>
      <c r="P290" s="131">
        <f t="shared" si="84"/>
        <v>0</v>
      </c>
      <c r="Q290" s="131">
        <v>2675282.9849711764</v>
      </c>
      <c r="R290" s="131">
        <v>0</v>
      </c>
      <c r="S290" s="131">
        <f t="shared" si="85"/>
        <v>0</v>
      </c>
      <c r="T290" s="131">
        <f t="shared" si="86"/>
        <v>2675282.9849711764</v>
      </c>
      <c r="U290" s="131">
        <v>0</v>
      </c>
      <c r="V290" s="131">
        <v>0</v>
      </c>
      <c r="W290" s="131">
        <v>0</v>
      </c>
      <c r="X290" s="131">
        <v>0</v>
      </c>
      <c r="Y290" s="131">
        <v>0</v>
      </c>
      <c r="Z290" s="131">
        <f t="shared" si="87"/>
        <v>0</v>
      </c>
      <c r="AA290" s="131">
        <v>0</v>
      </c>
      <c r="AB290" s="152">
        <f t="shared" si="88"/>
        <v>2675282.9849711764</v>
      </c>
      <c r="AC290" s="133">
        <f>IF(D290="Physician Group Practice",(AB290/$AB$393)*'1. UC Assumptions'!$C$15,IF(E290="Rural Hospital",AB290*'1. UC Assumptions'!$C$7/'1. UC Assumptions'!$E$7,(AB290/$AB$397)*('1. UC Assumptions'!$C$9)))</f>
        <v>1257772.5421004035</v>
      </c>
      <c r="AD290" s="133">
        <f t="shared" si="89"/>
        <v>0</v>
      </c>
      <c r="AE290" s="133">
        <f t="shared" si="90"/>
        <v>1417510.4428707729</v>
      </c>
      <c r="AF290" s="133">
        <f t="shared" si="91"/>
        <v>0</v>
      </c>
      <c r="AG290" s="133">
        <f t="shared" si="92"/>
        <v>1417510.4428707729</v>
      </c>
      <c r="AH290" s="133">
        <f t="shared" si="93"/>
        <v>1257772.5421004035</v>
      </c>
      <c r="AI290" s="131">
        <f>AH290*'1. UC Assumptions'!$C$23</f>
        <v>415064.93889313308</v>
      </c>
      <c r="AJ290" s="131">
        <v>655863.31999999995</v>
      </c>
      <c r="AK290" s="131">
        <f>AJ290*(1-'1. UC Assumptions'!$C$22)</f>
        <v>216434.89559999996</v>
      </c>
      <c r="AL290" s="131"/>
      <c r="AM290" s="131">
        <f>AL290*'1. UC Assumptions'!$C$23</f>
        <v>0</v>
      </c>
      <c r="AN290" s="153">
        <f t="shared" si="94"/>
        <v>2675282.9849711764</v>
      </c>
      <c r="AO290" s="151">
        <f>AN290*'1. UC Assumptions'!$C$23</f>
        <v>882843.38504048809</v>
      </c>
      <c r="AP290" s="151">
        <f t="shared" si="95"/>
        <v>2019419.6649711765</v>
      </c>
      <c r="AQ290" s="151">
        <f t="shared" si="96"/>
        <v>666408.48944048816</v>
      </c>
      <c r="AR290" s="151">
        <f t="shared" si="97"/>
        <v>666408.48944048816</v>
      </c>
      <c r="AS290" s="151">
        <f t="shared" si="98"/>
        <v>882843.38504048809</v>
      </c>
      <c r="AT290" s="151">
        <f>IF(K290="Bexar",(AG290/$AT$1)*'1. UC Assumptions'!$E$44-(AH290/$AT$2)*'1. UC Assumptions'!$E$42,0)</f>
        <v>0</v>
      </c>
      <c r="AU290" s="151">
        <f>IF(K290="Dallas",(AG290/$AU$1)*'1. UC Assumptions'!$F$44-(AH290/$AU$2)*'1. UC Assumptions'!$F$42,0)</f>
        <v>0</v>
      </c>
      <c r="AV290" s="151">
        <f>IF(K290="El Paso",(AG290/$AV$1)*'1. UC Assumptions'!$G$44-(AH290/$AV$2)*'1. UC Assumptions'!$G$42,0)</f>
        <v>0</v>
      </c>
      <c r="AW290" s="151">
        <f>IF(K290="Harris",(AG290/$AW$1)*'1. UC Assumptions'!$H$44-(AH290/$AW$2)*'1. UC Assumptions'!$H$42,0)</f>
        <v>0</v>
      </c>
      <c r="AX290" s="151">
        <f>IF(K290="Hidalgo",(AG290/$AX$1)*'1. UC Assumptions'!$I$44-(AH290/$AX$2)*'1. UC Assumptions'!$I$42,0)</f>
        <v>0</v>
      </c>
      <c r="AY290" s="151">
        <f>IF(K290="Jefferson",(AG290/$AY$1)*'1. UC Assumptions'!$J$44-(AH290/$AY$2)*'1. UC Assumptions'!$J$42,0)</f>
        <v>0</v>
      </c>
      <c r="AZ290" s="151">
        <f>IF(K290="Lubbock",(AG290/$AZ$1)*'1. UC Assumptions'!$K$44-(AH290/$AZ$2)*'1. UC Assumptions'!$K$42,0)</f>
        <v>0</v>
      </c>
      <c r="BA290" s="151">
        <f>IF(K290="MRSA Central",(AG290/$BA$1)*'1. UC Assumptions'!$L$44-(AH290/$BA$2)*'1. UC Assumptions'!$L$42,0)</f>
        <v>0</v>
      </c>
      <c r="BB290" s="151">
        <f>IF(K290="MRSA Northeast",(AG290/$BB$1)*'1. UC Assumptions'!$M$44-(AH290/$BB$2)*'1. UC Assumptions'!$M$42,0)</f>
        <v>0</v>
      </c>
      <c r="BC290" s="151">
        <f>IF(K290="MRSA West",(AG290/$BC$1)*'1. UC Assumptions'!$N$44-(AH290/$BC$2)*'1. UC Assumptions'!$N$42,0)</f>
        <v>0</v>
      </c>
      <c r="BD290" s="151">
        <f>IF(K290="Nueces",(AG290/$BD$1)*'1. UC Assumptions'!$O$44-(AH290/$BD$2)*'1. UC Assumptions'!$O$42,0)</f>
        <v>0</v>
      </c>
      <c r="BE290" s="151">
        <f>IF(K290="Tarrant",(AG290/$BE$1)*'1. UC Assumptions'!$P$44-(AH290/$BE$2)*'1. UC Assumptions'!$P$42,0)</f>
        <v>0</v>
      </c>
      <c r="BF290" s="151">
        <f>IF(K290="Travis",(AG290/$BF$1)*'1. UC Assumptions'!$Q$44-(AH290/$BF$2)*'1. UC Assumptions'!$Q$42,0)</f>
        <v>0</v>
      </c>
      <c r="BG290" s="151">
        <f t="shared" si="99"/>
        <v>0</v>
      </c>
      <c r="BH290" s="151">
        <f t="shared" si="100"/>
        <v>1257772.5421004035</v>
      </c>
      <c r="BI290" s="151">
        <f>ROUNDDOWN(BH290*'1. UC Assumptions'!$C$23,2)</f>
        <v>415064.93</v>
      </c>
      <c r="BJ290" s="154">
        <f t="shared" si="101"/>
        <v>601909.22210040351</v>
      </c>
      <c r="BK290" s="154">
        <f t="shared" si="102"/>
        <v>198630.03440000003</v>
      </c>
      <c r="BL290" s="154">
        <f t="shared" si="103"/>
        <v>555694.68000000005</v>
      </c>
      <c r="BM290" s="154">
        <f t="shared" si="104"/>
        <v>183379.24</v>
      </c>
      <c r="BN290" s="101"/>
      <c r="BO290" s="154">
        <f>(BL290*'1. UC Assumptions'!$C$23)-'3.  UC Calculations by Hospital'!BM290</f>
        <v>4.4000000052619725E-3</v>
      </c>
      <c r="BP290" s="13"/>
    </row>
    <row r="291" spans="1:68">
      <c r="B291" s="129" t="s">
        <v>903</v>
      </c>
      <c r="C291" s="91" t="s">
        <v>903</v>
      </c>
      <c r="D291" s="91" t="s">
        <v>208</v>
      </c>
      <c r="E291" s="91" t="s">
        <v>149</v>
      </c>
      <c r="F291" s="91"/>
      <c r="G291" s="91" t="s">
        <v>209</v>
      </c>
      <c r="H291" s="91" t="s">
        <v>209</v>
      </c>
      <c r="I291" s="150" t="s">
        <v>210</v>
      </c>
      <c r="J291" s="129" t="s">
        <v>904</v>
      </c>
      <c r="K291" s="96" t="s">
        <v>12</v>
      </c>
      <c r="L291" s="91" t="s">
        <v>905</v>
      </c>
      <c r="M291" s="151">
        <v>2314213.8499293183</v>
      </c>
      <c r="N291" s="151">
        <v>2352176.8816343909</v>
      </c>
      <c r="O291" s="131">
        <v>1771686.3824929025</v>
      </c>
      <c r="P291" s="131">
        <f t="shared" si="84"/>
        <v>580490.49914148846</v>
      </c>
      <c r="Q291" s="131">
        <v>2882314.6574211582</v>
      </c>
      <c r="R291" s="131">
        <v>1504056.1400000001</v>
      </c>
      <c r="S291" s="131">
        <f t="shared" si="85"/>
        <v>0</v>
      </c>
      <c r="T291" s="131">
        <f t="shared" si="86"/>
        <v>2882314.6574211582</v>
      </c>
      <c r="U291" s="131">
        <v>109994</v>
      </c>
      <c r="V291" s="131">
        <v>0</v>
      </c>
      <c r="W291" s="131">
        <v>0</v>
      </c>
      <c r="X291" s="131">
        <v>0</v>
      </c>
      <c r="Y291" s="131">
        <v>0</v>
      </c>
      <c r="Z291" s="131">
        <f t="shared" si="87"/>
        <v>109994</v>
      </c>
      <c r="AA291" s="131">
        <v>0</v>
      </c>
      <c r="AB291" s="152">
        <f t="shared" si="88"/>
        <v>2992308.6574211582</v>
      </c>
      <c r="AC291" s="133">
        <f>IF(D291="Physician Group Practice",(AB291/$AB$393)*'1. UC Assumptions'!$C$15,IF(E291="Rural Hospital",AB291*'1. UC Assumptions'!$C$7/'1. UC Assumptions'!$E$7,(AB291/$AB$397)*('1. UC Assumptions'!$C$9)))</f>
        <v>2793127.2022035061</v>
      </c>
      <c r="AD291" s="133">
        <f t="shared" si="89"/>
        <v>0</v>
      </c>
      <c r="AE291" s="133">
        <f t="shared" si="90"/>
        <v>199181.45521765202</v>
      </c>
      <c r="AF291" s="133">
        <f t="shared" si="91"/>
        <v>0</v>
      </c>
      <c r="AG291" s="133">
        <f t="shared" si="92"/>
        <v>199181.45521765202</v>
      </c>
      <c r="AH291" s="133">
        <f t="shared" si="93"/>
        <v>2793127.2022035061</v>
      </c>
      <c r="AI291" s="131">
        <f>AH291*'1. UC Assumptions'!$C$23</f>
        <v>921731.9767271569</v>
      </c>
      <c r="AJ291" s="131">
        <v>786701.79</v>
      </c>
      <c r="AK291" s="131">
        <f>AJ291*(1-'1. UC Assumptions'!$C$22)</f>
        <v>259611.59069999997</v>
      </c>
      <c r="AL291" s="131"/>
      <c r="AM291" s="131">
        <f>AL291*'1. UC Assumptions'!$C$23</f>
        <v>0</v>
      </c>
      <c r="AN291" s="153">
        <f t="shared" si="94"/>
        <v>2992308.6574211582</v>
      </c>
      <c r="AO291" s="151">
        <f>AN291*'1. UC Assumptions'!$C$23</f>
        <v>987461.85694898211</v>
      </c>
      <c r="AP291" s="151">
        <f t="shared" si="95"/>
        <v>2205606.8674211581</v>
      </c>
      <c r="AQ291" s="151">
        <f t="shared" si="96"/>
        <v>727850.26624898217</v>
      </c>
      <c r="AR291" s="151">
        <f t="shared" si="97"/>
        <v>727850.26624898217</v>
      </c>
      <c r="AS291" s="151">
        <f t="shared" si="98"/>
        <v>987461.85694898211</v>
      </c>
      <c r="AT291" s="151">
        <f>IF(K291="Bexar",(AG291/$AT$1)*'1. UC Assumptions'!$E$44-(AH291/$AT$2)*'1. UC Assumptions'!$E$42,0)</f>
        <v>0</v>
      </c>
      <c r="AU291" s="151">
        <f>IF(K291="Dallas",(AG291/$AU$1)*'1. UC Assumptions'!$F$44-(AH291/$AU$2)*'1. UC Assumptions'!$F$42,0)</f>
        <v>0</v>
      </c>
      <c r="AV291" s="151">
        <f>IF(K291="El Paso",(AG291/$AV$1)*'1. UC Assumptions'!$G$44-(AH291/$AV$2)*'1. UC Assumptions'!$G$42,0)</f>
        <v>0</v>
      </c>
      <c r="AW291" s="151">
        <f>IF(K291="Harris",(AG291/$AW$1)*'1. UC Assumptions'!$H$44-(AH291/$AW$2)*'1. UC Assumptions'!$H$42,0)</f>
        <v>0</v>
      </c>
      <c r="AX291" s="151">
        <f>IF(K291="Hidalgo",(AG291/$AX$1)*'1. UC Assumptions'!$I$44-(AH291/$AX$2)*'1. UC Assumptions'!$I$42,0)</f>
        <v>0</v>
      </c>
      <c r="AY291" s="151">
        <f>IF(K291="Jefferson",(AG291/$AY$1)*'1. UC Assumptions'!$J$44-(AH291/$AY$2)*'1. UC Assumptions'!$J$42,0)</f>
        <v>0</v>
      </c>
      <c r="AZ291" s="151">
        <f>IF(K291="Lubbock",(AG291/$AZ$1)*'1. UC Assumptions'!$K$44-(AH291/$AZ$2)*'1. UC Assumptions'!$K$42,0)</f>
        <v>0</v>
      </c>
      <c r="BA291" s="151">
        <f>IF(K291="MRSA Central",(AG291/$BA$1)*'1. UC Assumptions'!$L$44-(AH291/$BA$2)*'1. UC Assumptions'!$L$42,0)</f>
        <v>0</v>
      </c>
      <c r="BB291" s="151">
        <f>IF(K291="MRSA Northeast",(AG291/$BB$1)*'1. UC Assumptions'!$M$44-(AH291/$BB$2)*'1. UC Assumptions'!$M$42,0)</f>
        <v>0</v>
      </c>
      <c r="BC291" s="151">
        <f>IF(K291="MRSA West",(AG291/$BC$1)*'1. UC Assumptions'!$N$44-(AH291/$BC$2)*'1. UC Assumptions'!$N$42,0)</f>
        <v>0</v>
      </c>
      <c r="BD291" s="151">
        <f>IF(K291="Nueces",(AG291/$BD$1)*'1. UC Assumptions'!$O$44-(AH291/$BD$2)*'1. UC Assumptions'!$O$42,0)</f>
        <v>0</v>
      </c>
      <c r="BE291" s="151">
        <f>IF(K291="Tarrant",(AG291/$BE$1)*'1. UC Assumptions'!$P$44-(AH291/$BE$2)*'1. UC Assumptions'!$P$42,0)</f>
        <v>0</v>
      </c>
      <c r="BF291" s="151">
        <f>IF(K291="Travis",(AG291/$BF$1)*'1. UC Assumptions'!$Q$44-(AH291/$BF$2)*'1. UC Assumptions'!$Q$42,0)</f>
        <v>0</v>
      </c>
      <c r="BG291" s="151">
        <f t="shared" si="99"/>
        <v>0</v>
      </c>
      <c r="BH291" s="151">
        <f t="shared" si="100"/>
        <v>2793127.2022035061</v>
      </c>
      <c r="BI291" s="151">
        <f>ROUNDDOWN(BH291*'1. UC Assumptions'!$C$23,2)</f>
        <v>921731.97</v>
      </c>
      <c r="BJ291" s="154">
        <f t="shared" si="101"/>
        <v>2006425.4122035061</v>
      </c>
      <c r="BK291" s="154">
        <f t="shared" si="102"/>
        <v>662120.37930000003</v>
      </c>
      <c r="BL291" s="154">
        <f t="shared" si="103"/>
        <v>1852372.24</v>
      </c>
      <c r="BM291" s="154">
        <f t="shared" si="104"/>
        <v>611282.82999999996</v>
      </c>
      <c r="BN291" s="101"/>
      <c r="BO291" s="154">
        <f>(BL291*'1. UC Assumptions'!$C$23)-'3.  UC Calculations by Hospital'!BM291</f>
        <v>9.1999999713152647E-3</v>
      </c>
      <c r="BP291" s="13"/>
    </row>
    <row r="292" spans="1:68">
      <c r="B292" s="129" t="s">
        <v>906</v>
      </c>
      <c r="C292" s="91" t="s">
        <v>906</v>
      </c>
      <c r="D292" s="91" t="s">
        <v>214</v>
      </c>
      <c r="E292" s="91" t="s">
        <v>209</v>
      </c>
      <c r="F292" s="91"/>
      <c r="G292" s="91" t="s">
        <v>209</v>
      </c>
      <c r="H292" s="91" t="s">
        <v>209</v>
      </c>
      <c r="I292" s="150" t="s">
        <v>210</v>
      </c>
      <c r="J292" s="129" t="s">
        <v>907</v>
      </c>
      <c r="K292" s="91" t="s">
        <v>4</v>
      </c>
      <c r="L292" s="91" t="s">
        <v>4</v>
      </c>
      <c r="M292" s="151">
        <v>-1732694.9748955385</v>
      </c>
      <c r="N292" s="151">
        <v>2629633.2962145642</v>
      </c>
      <c r="O292" s="131">
        <v>-12811.419457715207</v>
      </c>
      <c r="P292" s="131">
        <f t="shared" si="84"/>
        <v>2642444.7156722792</v>
      </c>
      <c r="Q292" s="131">
        <v>188638.1961764608</v>
      </c>
      <c r="R292" s="131">
        <v>0</v>
      </c>
      <c r="S292" s="131">
        <f t="shared" si="85"/>
        <v>0</v>
      </c>
      <c r="T292" s="131">
        <f t="shared" si="86"/>
        <v>188638.1961764608</v>
      </c>
      <c r="U292" s="131">
        <v>0</v>
      </c>
      <c r="V292" s="131">
        <v>0</v>
      </c>
      <c r="W292" s="131">
        <v>0</v>
      </c>
      <c r="X292" s="131">
        <v>0</v>
      </c>
      <c r="Y292" s="131">
        <v>2604796</v>
      </c>
      <c r="Z292" s="131">
        <f t="shared" si="87"/>
        <v>2604796</v>
      </c>
      <c r="AA292" s="131">
        <v>0</v>
      </c>
      <c r="AB292" s="152">
        <f t="shared" si="88"/>
        <v>2793434.1961764609</v>
      </c>
      <c r="AC292" s="133">
        <f>IF(D292="Physician Group Practice",(AB292/$AB$393)*'1. UC Assumptions'!$C$15,IF(E292="Rural Hospital",AB292*'1. UC Assumptions'!$C$7/'1. UC Assumptions'!$E$7,(AB292/$AB$397)*('1. UC Assumptions'!$C$9)))</f>
        <v>1313320.8149764834</v>
      </c>
      <c r="AD292" s="133">
        <f t="shared" si="89"/>
        <v>0</v>
      </c>
      <c r="AE292" s="133">
        <f t="shared" si="90"/>
        <v>1480113.3811999776</v>
      </c>
      <c r="AF292" s="133">
        <f t="shared" si="91"/>
        <v>0</v>
      </c>
      <c r="AG292" s="133">
        <f t="shared" si="92"/>
        <v>1480113.3811999776</v>
      </c>
      <c r="AH292" s="133">
        <f t="shared" si="93"/>
        <v>1313320.8149764834</v>
      </c>
      <c r="AI292" s="131">
        <f>AH292*'1. UC Assumptions'!$C$23</f>
        <v>433395.86894223944</v>
      </c>
      <c r="AJ292" s="131">
        <v>1504171.08</v>
      </c>
      <c r="AK292" s="131">
        <f>AJ292*(1-'1. UC Assumptions'!$C$22)</f>
        <v>496376.45639999997</v>
      </c>
      <c r="AL292" s="131"/>
      <c r="AM292" s="131">
        <f>AL292*'1. UC Assumptions'!$C$23</f>
        <v>0</v>
      </c>
      <c r="AN292" s="153">
        <f t="shared" si="94"/>
        <v>2793434.1961764609</v>
      </c>
      <c r="AO292" s="151">
        <f>AN292*'1. UC Assumptions'!$C$23</f>
        <v>921833.28473823203</v>
      </c>
      <c r="AP292" s="151">
        <f t="shared" si="95"/>
        <v>1289263.1161764609</v>
      </c>
      <c r="AQ292" s="151">
        <f t="shared" si="96"/>
        <v>425456.82833823207</v>
      </c>
      <c r="AR292" s="151">
        <f t="shared" si="97"/>
        <v>425456.82833823207</v>
      </c>
      <c r="AS292" s="151">
        <f t="shared" si="98"/>
        <v>921833.28473823203</v>
      </c>
      <c r="AT292" s="151">
        <f>IF(K292="Bexar",(AG292/$AT$1)*'1. UC Assumptions'!$E$44-(AH292/$AT$2)*'1. UC Assumptions'!$E$42,0)</f>
        <v>0</v>
      </c>
      <c r="AU292" s="151">
        <f>IF(K292="Dallas",(AG292/$AU$1)*'1. UC Assumptions'!$F$44-(AH292/$AU$2)*'1. UC Assumptions'!$F$42,0)</f>
        <v>0</v>
      </c>
      <c r="AV292" s="151">
        <f>IF(K292="El Paso",(AG292/$AV$1)*'1. UC Assumptions'!$G$44-(AH292/$AV$2)*'1. UC Assumptions'!$G$42,0)</f>
        <v>0</v>
      </c>
      <c r="AW292" s="151">
        <f>IF(K292="Harris",(AG292/$AW$1)*'1. UC Assumptions'!$H$44-(AH292/$AW$2)*'1. UC Assumptions'!$H$42,0)</f>
        <v>0</v>
      </c>
      <c r="AX292" s="151">
        <f>IF(K292="Hidalgo",(AG292/$AX$1)*'1. UC Assumptions'!$I$44-(AH292/$AX$2)*'1. UC Assumptions'!$I$42,0)</f>
        <v>0</v>
      </c>
      <c r="AY292" s="151">
        <f>IF(K292="Jefferson",(AG292/$AY$1)*'1. UC Assumptions'!$J$44-(AH292/$AY$2)*'1. UC Assumptions'!$J$42,0)</f>
        <v>0</v>
      </c>
      <c r="AZ292" s="151">
        <f>IF(K292="Lubbock",(AG292/$AZ$1)*'1. UC Assumptions'!$K$44-(AH292/$AZ$2)*'1. UC Assumptions'!$K$42,0)</f>
        <v>0</v>
      </c>
      <c r="BA292" s="151">
        <f>IF(K292="MRSA Central",(AG292/$BA$1)*'1. UC Assumptions'!$L$44-(AH292/$BA$2)*'1. UC Assumptions'!$L$42,0)</f>
        <v>0</v>
      </c>
      <c r="BB292" s="151">
        <f>IF(K292="MRSA Northeast",(AG292/$BB$1)*'1. UC Assumptions'!$M$44-(AH292/$BB$2)*'1. UC Assumptions'!$M$42,0)</f>
        <v>0</v>
      </c>
      <c r="BC292" s="151">
        <f>IF(K292="MRSA West",(AG292/$BC$1)*'1. UC Assumptions'!$N$44-(AH292/$BC$2)*'1. UC Assumptions'!$N$42,0)</f>
        <v>0</v>
      </c>
      <c r="BD292" s="151">
        <f>IF(K292="Nueces",(AG292/$BD$1)*'1. UC Assumptions'!$O$44-(AH292/$BD$2)*'1. UC Assumptions'!$O$42,0)</f>
        <v>0</v>
      </c>
      <c r="BE292" s="151">
        <f>IF(K292="Tarrant",(AG292/$BE$1)*'1. UC Assumptions'!$P$44-(AH292/$BE$2)*'1. UC Assumptions'!$P$42,0)</f>
        <v>0</v>
      </c>
      <c r="BF292" s="151">
        <f>IF(K292="Travis",(AG292/$BF$1)*'1. UC Assumptions'!$Q$44-(AH292/$BF$2)*'1. UC Assumptions'!$Q$42,0)</f>
        <v>0</v>
      </c>
      <c r="BG292" s="151">
        <f t="shared" si="99"/>
        <v>0</v>
      </c>
      <c r="BH292" s="151">
        <f t="shared" si="100"/>
        <v>1313320.8149764834</v>
      </c>
      <c r="BI292" s="151">
        <f>ROUNDDOWN(BH292*'1. UC Assumptions'!$C$23,2)</f>
        <v>433395.86</v>
      </c>
      <c r="BJ292" s="154">
        <f t="shared" si="101"/>
        <v>-190850.26502351672</v>
      </c>
      <c r="BK292" s="154">
        <f t="shared" si="102"/>
        <v>-62980.59639999998</v>
      </c>
      <c r="BL292" s="154">
        <f t="shared" si="103"/>
        <v>0</v>
      </c>
      <c r="BM292" s="154">
        <f t="shared" si="104"/>
        <v>0</v>
      </c>
      <c r="BN292" s="101"/>
      <c r="BO292" s="154">
        <f>(BL292*'1. UC Assumptions'!$C$23)-'3.  UC Calculations by Hospital'!BM292</f>
        <v>0</v>
      </c>
      <c r="BP292" s="13"/>
    </row>
    <row r="293" spans="1:68">
      <c r="B293" s="129" t="s">
        <v>908</v>
      </c>
      <c r="C293" s="91" t="s">
        <v>908</v>
      </c>
      <c r="D293" s="91" t="s">
        <v>214</v>
      </c>
      <c r="E293" s="91" t="s">
        <v>209</v>
      </c>
      <c r="F293" s="91"/>
      <c r="G293" s="91" t="s">
        <v>209</v>
      </c>
      <c r="H293" s="91" t="s">
        <v>209</v>
      </c>
      <c r="I293" s="150" t="s">
        <v>210</v>
      </c>
      <c r="J293" s="129" t="s">
        <v>909</v>
      </c>
      <c r="K293" s="91" t="s">
        <v>11</v>
      </c>
      <c r="L293" s="91" t="s">
        <v>865</v>
      </c>
      <c r="M293" s="151">
        <v>-804543.25192604156</v>
      </c>
      <c r="N293" s="151">
        <v>6115470.1959960395</v>
      </c>
      <c r="O293" s="131">
        <v>387558.46114657278</v>
      </c>
      <c r="P293" s="131">
        <f t="shared" si="84"/>
        <v>5727911.7348494669</v>
      </c>
      <c r="Q293" s="131">
        <v>548252.02797711361</v>
      </c>
      <c r="R293" s="131">
        <v>0</v>
      </c>
      <c r="S293" s="131">
        <f t="shared" si="85"/>
        <v>0</v>
      </c>
      <c r="T293" s="131">
        <f t="shared" si="86"/>
        <v>548252.02797711361</v>
      </c>
      <c r="U293" s="131">
        <v>0</v>
      </c>
      <c r="V293" s="131">
        <v>0</v>
      </c>
      <c r="W293" s="131">
        <v>0</v>
      </c>
      <c r="X293" s="131">
        <v>0</v>
      </c>
      <c r="Y293" s="131">
        <v>1540833</v>
      </c>
      <c r="Z293" s="131">
        <f t="shared" si="87"/>
        <v>1540833</v>
      </c>
      <c r="AA293" s="131">
        <v>0</v>
      </c>
      <c r="AB293" s="152">
        <f t="shared" si="88"/>
        <v>2089085.0279771136</v>
      </c>
      <c r="AC293" s="133">
        <f>IF(D293="Physician Group Practice",(AB293/$AB$393)*'1. UC Assumptions'!$C$15,IF(E293="Rural Hospital",AB293*'1. UC Assumptions'!$C$7/'1. UC Assumptions'!$E$7,(AB293/$AB$397)*('1. UC Assumptions'!$C$9)))</f>
        <v>982174.14795503451</v>
      </c>
      <c r="AD293" s="133">
        <f t="shared" si="89"/>
        <v>0</v>
      </c>
      <c r="AE293" s="133">
        <f t="shared" si="90"/>
        <v>1106910.8800220792</v>
      </c>
      <c r="AF293" s="133">
        <f t="shared" si="91"/>
        <v>0</v>
      </c>
      <c r="AG293" s="133">
        <f t="shared" si="92"/>
        <v>1106910.8800220792</v>
      </c>
      <c r="AH293" s="133">
        <f t="shared" si="93"/>
        <v>982174.14795503451</v>
      </c>
      <c r="AI293" s="131">
        <f>AH293*'1. UC Assumptions'!$C$23</f>
        <v>324117.46882516134</v>
      </c>
      <c r="AJ293" s="131">
        <v>178397.03</v>
      </c>
      <c r="AK293" s="131">
        <f>AJ293*(1-'1. UC Assumptions'!$C$22)</f>
        <v>58871.019899999992</v>
      </c>
      <c r="AL293" s="131"/>
      <c r="AM293" s="131">
        <f>AL293*'1. UC Assumptions'!$C$23</f>
        <v>0</v>
      </c>
      <c r="AN293" s="153">
        <f t="shared" si="94"/>
        <v>2089085.0279771136</v>
      </c>
      <c r="AO293" s="151">
        <f>AN293*'1. UC Assumptions'!$C$23</f>
        <v>689398.05923244741</v>
      </c>
      <c r="AP293" s="151">
        <f t="shared" si="95"/>
        <v>1910687.9979771136</v>
      </c>
      <c r="AQ293" s="151">
        <f t="shared" si="96"/>
        <v>630527.03933244746</v>
      </c>
      <c r="AR293" s="151">
        <f t="shared" si="97"/>
        <v>630527.03933244746</v>
      </c>
      <c r="AS293" s="151">
        <f t="shared" si="98"/>
        <v>689398.05923244741</v>
      </c>
      <c r="AT293" s="151">
        <f>IF(K293="Bexar",(AG293/$AT$1)*'1. UC Assumptions'!$E$44-(AH293/$AT$2)*'1. UC Assumptions'!$E$42,0)</f>
        <v>0</v>
      </c>
      <c r="AU293" s="151">
        <f>IF(K293="Dallas",(AG293/$AU$1)*'1. UC Assumptions'!$F$44-(AH293/$AU$2)*'1. UC Assumptions'!$F$42,0)</f>
        <v>0</v>
      </c>
      <c r="AV293" s="151">
        <f>IF(K293="El Paso",(AG293/$AV$1)*'1. UC Assumptions'!$G$44-(AH293/$AV$2)*'1. UC Assumptions'!$G$42,0)</f>
        <v>0</v>
      </c>
      <c r="AW293" s="151">
        <f>IF(K293="Harris",(AG293/$AW$1)*'1. UC Assumptions'!$H$44-(AH293/$AW$2)*'1. UC Assumptions'!$H$42,0)</f>
        <v>0</v>
      </c>
      <c r="AX293" s="151">
        <f>IF(K293="Hidalgo",(AG293/$AX$1)*'1. UC Assumptions'!$I$44-(AH293/$AX$2)*'1. UC Assumptions'!$I$42,0)</f>
        <v>0</v>
      </c>
      <c r="AY293" s="151">
        <f>IF(K293="Jefferson",(AG293/$AY$1)*'1. UC Assumptions'!$J$44-(AH293/$AY$2)*'1. UC Assumptions'!$J$42,0)</f>
        <v>0</v>
      </c>
      <c r="AZ293" s="151">
        <f>IF(K293="Lubbock",(AG293/$AZ$1)*'1. UC Assumptions'!$K$44-(AH293/$AZ$2)*'1. UC Assumptions'!$K$42,0)</f>
        <v>0</v>
      </c>
      <c r="BA293" s="151">
        <f>IF(K293="MRSA Central",(AG293/$BA$1)*'1. UC Assumptions'!$L$44-(AH293/$BA$2)*'1. UC Assumptions'!$L$42,0)</f>
        <v>0</v>
      </c>
      <c r="BB293" s="151">
        <f>IF(K293="MRSA Northeast",(AG293/$BB$1)*'1. UC Assumptions'!$M$44-(AH293/$BB$2)*'1. UC Assumptions'!$M$42,0)</f>
        <v>0</v>
      </c>
      <c r="BC293" s="151">
        <f>IF(K293="MRSA West",(AG293/$BC$1)*'1. UC Assumptions'!$N$44-(AH293/$BC$2)*'1. UC Assumptions'!$N$42,0)</f>
        <v>0</v>
      </c>
      <c r="BD293" s="151">
        <f>IF(K293="Nueces",(AG293/$BD$1)*'1. UC Assumptions'!$O$44-(AH293/$BD$2)*'1. UC Assumptions'!$O$42,0)</f>
        <v>0</v>
      </c>
      <c r="BE293" s="151">
        <f>IF(K293="Tarrant",(AG293/$BE$1)*'1. UC Assumptions'!$P$44-(AH293/$BE$2)*'1. UC Assumptions'!$P$42,0)</f>
        <v>0</v>
      </c>
      <c r="BF293" s="151">
        <f>IF(K293="Travis",(AG293/$BF$1)*'1. UC Assumptions'!$Q$44-(AH293/$BF$2)*'1. UC Assumptions'!$Q$42,0)</f>
        <v>0</v>
      </c>
      <c r="BG293" s="151">
        <f t="shared" si="99"/>
        <v>0</v>
      </c>
      <c r="BH293" s="151">
        <f t="shared" si="100"/>
        <v>982174.14795503451</v>
      </c>
      <c r="BI293" s="151">
        <f>ROUNDDOWN(BH293*'1. UC Assumptions'!$C$23,2)</f>
        <v>324117.46000000002</v>
      </c>
      <c r="BJ293" s="154">
        <f t="shared" si="101"/>
        <v>803777.11795503448</v>
      </c>
      <c r="BK293" s="154">
        <f t="shared" si="102"/>
        <v>265246.44010000001</v>
      </c>
      <c r="BL293" s="154">
        <f t="shared" si="103"/>
        <v>742063.18</v>
      </c>
      <c r="BM293" s="154">
        <f t="shared" si="104"/>
        <v>244880.84</v>
      </c>
      <c r="BN293" s="101"/>
      <c r="BO293" s="154">
        <f>(BL293*'1. UC Assumptions'!$C$23)-'3.  UC Calculations by Hospital'!BM293</f>
        <v>9.399999980814755E-3</v>
      </c>
      <c r="BP293" s="13"/>
    </row>
    <row r="294" spans="1:68" ht="15">
      <c r="A294" s="98"/>
      <c r="B294" s="129" t="s">
        <v>910</v>
      </c>
      <c r="C294" s="91" t="s">
        <v>910</v>
      </c>
      <c r="D294" s="91" t="s">
        <v>214</v>
      </c>
      <c r="E294" s="91" t="s">
        <v>149</v>
      </c>
      <c r="F294" s="91"/>
      <c r="G294" s="91" t="s">
        <v>209</v>
      </c>
      <c r="H294" s="91" t="s">
        <v>209</v>
      </c>
      <c r="I294" s="150" t="s">
        <v>210</v>
      </c>
      <c r="J294" s="129" t="s">
        <v>911</v>
      </c>
      <c r="K294" s="91" t="s">
        <v>10</v>
      </c>
      <c r="L294" s="91" t="s">
        <v>912</v>
      </c>
      <c r="M294" s="151">
        <v>262359.8431756288</v>
      </c>
      <c r="N294" s="151">
        <v>843424.76533603668</v>
      </c>
      <c r="O294" s="131">
        <v>577804.40642014716</v>
      </c>
      <c r="P294" s="131">
        <f t="shared" si="84"/>
        <v>265620.35891588952</v>
      </c>
      <c r="Q294" s="131">
        <v>892253.88351644168</v>
      </c>
      <c r="R294" s="131">
        <v>0</v>
      </c>
      <c r="S294" s="131">
        <f t="shared" si="85"/>
        <v>0</v>
      </c>
      <c r="T294" s="131">
        <f t="shared" si="86"/>
        <v>892253.88351644168</v>
      </c>
      <c r="U294" s="131">
        <v>0</v>
      </c>
      <c r="V294" s="131">
        <v>0</v>
      </c>
      <c r="W294" s="131">
        <v>0</v>
      </c>
      <c r="X294" s="131">
        <v>0</v>
      </c>
      <c r="Y294" s="131">
        <v>0</v>
      </c>
      <c r="Z294" s="131">
        <f t="shared" si="87"/>
        <v>0</v>
      </c>
      <c r="AA294" s="131">
        <v>0</v>
      </c>
      <c r="AB294" s="152">
        <f t="shared" si="88"/>
        <v>892253.88351644168</v>
      </c>
      <c r="AC294" s="133">
        <f>IF(D294="Physician Group Practice",(AB294/$AB$393)*'1. UC Assumptions'!$C$15,IF(E294="Rural Hospital",AB294*'1. UC Assumptions'!$C$7/'1. UC Assumptions'!$E$7,(AB294/$AB$397)*('1. UC Assumptions'!$C$9)))</f>
        <v>832861.47207464545</v>
      </c>
      <c r="AD294" s="133">
        <f t="shared" si="89"/>
        <v>0</v>
      </c>
      <c r="AE294" s="133">
        <f t="shared" si="90"/>
        <v>59392.411441796226</v>
      </c>
      <c r="AF294" s="133">
        <f t="shared" si="91"/>
        <v>0</v>
      </c>
      <c r="AG294" s="133">
        <f t="shared" si="92"/>
        <v>59392.411441796226</v>
      </c>
      <c r="AH294" s="133">
        <f t="shared" si="93"/>
        <v>832861.47207464545</v>
      </c>
      <c r="AI294" s="131">
        <f>AH294*'1. UC Assumptions'!$C$23</f>
        <v>274844.28578463296</v>
      </c>
      <c r="AJ294" s="99">
        <v>896299.55</v>
      </c>
      <c r="AK294" s="131">
        <f>AJ294*(1-'1. UC Assumptions'!$C$22)</f>
        <v>295778.85149999999</v>
      </c>
      <c r="AL294" s="131"/>
      <c r="AM294" s="131">
        <f>AL294*'1. UC Assumptions'!$C$23</f>
        <v>0</v>
      </c>
      <c r="AN294" s="153">
        <f t="shared" si="94"/>
        <v>892253.88351644168</v>
      </c>
      <c r="AO294" s="151">
        <f>AN294*'1. UC Assumptions'!$C$23</f>
        <v>294443.7815604257</v>
      </c>
      <c r="AP294" s="151">
        <f t="shared" si="95"/>
        <v>-4045.6664835583651</v>
      </c>
      <c r="AQ294" s="151">
        <f t="shared" si="96"/>
        <v>-1335.0699395742849</v>
      </c>
      <c r="AR294" s="151">
        <f t="shared" si="97"/>
        <v>-1335.0699395742849</v>
      </c>
      <c r="AS294" s="151">
        <f t="shared" si="98"/>
        <v>294443.7815604257</v>
      </c>
      <c r="AT294" s="151">
        <f>IF(K294="Bexar",(AG294/$AT$1)*'1. UC Assumptions'!$E$44-(AH294/$AT$2)*'1. UC Assumptions'!$E$42,0)</f>
        <v>0</v>
      </c>
      <c r="AU294" s="151">
        <f>IF(K294="Dallas",(AG294/$AU$1)*'1. UC Assumptions'!$F$44-(AH294/$AU$2)*'1. UC Assumptions'!$F$42,0)</f>
        <v>0</v>
      </c>
      <c r="AV294" s="151">
        <f>IF(K294="El Paso",(AG294/$AV$1)*'1. UC Assumptions'!$G$44-(AH294/$AV$2)*'1. UC Assumptions'!$G$42,0)</f>
        <v>0</v>
      </c>
      <c r="AW294" s="151">
        <f>IF(K294="Harris",(AG294/$AW$1)*'1. UC Assumptions'!$H$44-(AH294/$AW$2)*'1. UC Assumptions'!$H$42,0)</f>
        <v>0</v>
      </c>
      <c r="AX294" s="151">
        <f>IF(K294="Hidalgo",(AG294/$AX$1)*'1. UC Assumptions'!$I$44-(AH294/$AX$2)*'1. UC Assumptions'!$I$42,0)</f>
        <v>0</v>
      </c>
      <c r="AY294" s="151">
        <f>IF(K294="Jefferson",(AG294/$AY$1)*'1. UC Assumptions'!$J$44-(AH294/$AY$2)*'1. UC Assumptions'!$J$42,0)</f>
        <v>0</v>
      </c>
      <c r="AZ294" s="151">
        <f>IF(K294="Lubbock",(AG294/$AZ$1)*'1. UC Assumptions'!$K$44-(AH294/$AZ$2)*'1. UC Assumptions'!$K$42,0)</f>
        <v>0</v>
      </c>
      <c r="BA294" s="151">
        <f>IF(K294="MRSA Central",(AG294/$BA$1)*'1. UC Assumptions'!$L$44-(AH294/$BA$2)*'1. UC Assumptions'!$L$42,0)</f>
        <v>0</v>
      </c>
      <c r="BB294" s="151">
        <f>IF(K294="MRSA Northeast",(AG294/$BB$1)*'1. UC Assumptions'!$M$44-(AH294/$BB$2)*'1. UC Assumptions'!$M$42,0)</f>
        <v>0</v>
      </c>
      <c r="BC294" s="151">
        <f>IF(K294="MRSA West",(AG294/$BC$1)*'1. UC Assumptions'!$N$44-(AH294/$BC$2)*'1. UC Assumptions'!$N$42,0)</f>
        <v>0</v>
      </c>
      <c r="BD294" s="151">
        <f>IF(K294="Nueces",(AG294/$BD$1)*'1. UC Assumptions'!$O$44-(AH294/$BD$2)*'1. UC Assumptions'!$O$42,0)</f>
        <v>0</v>
      </c>
      <c r="BE294" s="151">
        <f>IF(K294="Tarrant",(AG294/$BE$1)*'1. UC Assumptions'!$P$44-(AH294/$BE$2)*'1. UC Assumptions'!$P$42,0)</f>
        <v>0</v>
      </c>
      <c r="BF294" s="151">
        <f>IF(K294="Travis",(AG294/$BF$1)*'1. UC Assumptions'!$Q$44-(AH294/$BF$2)*'1. UC Assumptions'!$Q$42,0)</f>
        <v>0</v>
      </c>
      <c r="BG294" s="151">
        <f t="shared" si="99"/>
        <v>0</v>
      </c>
      <c r="BH294" s="151">
        <f t="shared" si="100"/>
        <v>832861.47207464545</v>
      </c>
      <c r="BI294" s="151">
        <f>ROUNDDOWN(BH294*'1. UC Assumptions'!$C$23,2)</f>
        <v>274844.28000000003</v>
      </c>
      <c r="BJ294" s="154">
        <f t="shared" si="101"/>
        <v>-63438.077925354592</v>
      </c>
      <c r="BK294" s="154">
        <f t="shared" si="102"/>
        <v>-20934.571499999962</v>
      </c>
      <c r="BL294" s="154">
        <f t="shared" si="103"/>
        <v>0</v>
      </c>
      <c r="BM294" s="154">
        <f t="shared" si="104"/>
        <v>0</v>
      </c>
      <c r="BN294" s="101"/>
      <c r="BO294" s="154">
        <f>(BL294*'1. UC Assumptions'!$C$23)-'3.  UC Calculations by Hospital'!BM294</f>
        <v>0</v>
      </c>
      <c r="BP294" s="13"/>
    </row>
    <row r="295" spans="1:68">
      <c r="B295" s="129" t="s">
        <v>913</v>
      </c>
      <c r="C295" s="91" t="s">
        <v>913</v>
      </c>
      <c r="D295" s="91" t="s">
        <v>214</v>
      </c>
      <c r="E295" s="91" t="s">
        <v>209</v>
      </c>
      <c r="F295" s="91"/>
      <c r="G295" s="91" t="s">
        <v>209</v>
      </c>
      <c r="H295" s="91" t="s">
        <v>209</v>
      </c>
      <c r="I295" s="150" t="s">
        <v>210</v>
      </c>
      <c r="J295" s="129" t="s">
        <v>914</v>
      </c>
      <c r="K295" s="91" t="s">
        <v>6</v>
      </c>
      <c r="L295" s="91" t="s">
        <v>6</v>
      </c>
      <c r="M295" s="151">
        <v>11844444.92598507</v>
      </c>
      <c r="N295" s="151">
        <v>0</v>
      </c>
      <c r="O295" s="131">
        <v>0</v>
      </c>
      <c r="P295" s="131">
        <f t="shared" si="84"/>
        <v>0</v>
      </c>
      <c r="Q295" s="131">
        <v>28009338.24051901</v>
      </c>
      <c r="R295" s="131">
        <v>0</v>
      </c>
      <c r="S295" s="131">
        <f t="shared" si="85"/>
        <v>0</v>
      </c>
      <c r="T295" s="131">
        <f t="shared" si="86"/>
        <v>28009338.24051901</v>
      </c>
      <c r="U295" s="131">
        <v>0</v>
      </c>
      <c r="V295" s="131">
        <v>0</v>
      </c>
      <c r="W295" s="131">
        <v>0</v>
      </c>
      <c r="X295" s="131">
        <v>0</v>
      </c>
      <c r="Y295" s="131">
        <v>2719072.2593225525</v>
      </c>
      <c r="Z295" s="131">
        <f t="shared" si="87"/>
        <v>2719072.2593225525</v>
      </c>
      <c r="AA295" s="131">
        <v>0</v>
      </c>
      <c r="AB295" s="152">
        <f t="shared" si="88"/>
        <v>30728410.499841563</v>
      </c>
      <c r="AC295" s="133">
        <f>IF(D295="Physician Group Practice",(AB295/$AB$393)*'1. UC Assumptions'!$C$15,IF(E295="Rural Hospital",AB295*'1. UC Assumptions'!$C$7/'1. UC Assumptions'!$E$7,(AB295/$AB$397)*('1. UC Assumptions'!$C$9)))</f>
        <v>14446827.197798988</v>
      </c>
      <c r="AD295" s="133">
        <f t="shared" si="89"/>
        <v>0</v>
      </c>
      <c r="AE295" s="133">
        <f t="shared" si="90"/>
        <v>16281583.302042576</v>
      </c>
      <c r="AF295" s="133">
        <f t="shared" si="91"/>
        <v>0</v>
      </c>
      <c r="AG295" s="133">
        <f t="shared" si="92"/>
        <v>16281583.302042576</v>
      </c>
      <c r="AH295" s="133">
        <f t="shared" si="93"/>
        <v>14446827.197798988</v>
      </c>
      <c r="AI295" s="131">
        <f>AH295*'1. UC Assumptions'!$C$23</f>
        <v>4767452.975273665</v>
      </c>
      <c r="AJ295" s="131">
        <v>12092274.77</v>
      </c>
      <c r="AK295" s="131">
        <f>AJ295*(1-'1. UC Assumptions'!$C$22)</f>
        <v>3990450.6740999995</v>
      </c>
      <c r="AL295" s="131"/>
      <c r="AM295" s="131">
        <f>AL295*'1. UC Assumptions'!$C$23</f>
        <v>0</v>
      </c>
      <c r="AN295" s="153">
        <f t="shared" si="94"/>
        <v>30728410.499841563</v>
      </c>
      <c r="AO295" s="151">
        <f>AN295*'1. UC Assumptions'!$C$23</f>
        <v>10140375.464947715</v>
      </c>
      <c r="AP295" s="151">
        <f t="shared" si="95"/>
        <v>18636135.729841564</v>
      </c>
      <c r="AQ295" s="151">
        <f t="shared" si="96"/>
        <v>6149924.7908477159</v>
      </c>
      <c r="AR295" s="151">
        <f t="shared" si="97"/>
        <v>6149924.7908477159</v>
      </c>
      <c r="AS295" s="151">
        <f t="shared" si="98"/>
        <v>10140375.464947715</v>
      </c>
      <c r="AT295" s="151">
        <f>IF(K295="Bexar",(AG295/$AT$1)*'1. UC Assumptions'!$E$44-(AH295/$AT$2)*'1. UC Assumptions'!$E$42,0)</f>
        <v>0</v>
      </c>
      <c r="AU295" s="151">
        <f>IF(K295="Dallas",(AG295/$AU$1)*'1. UC Assumptions'!$F$44-(AH295/$AU$2)*'1. UC Assumptions'!$F$42,0)</f>
        <v>0</v>
      </c>
      <c r="AV295" s="151">
        <f>IF(K295="El Paso",(AG295/$AV$1)*'1. UC Assumptions'!$G$44-(AH295/$AV$2)*'1. UC Assumptions'!$G$42,0)</f>
        <v>0</v>
      </c>
      <c r="AW295" s="151">
        <f>IF(K295="Harris",(AG295/$AW$1)*'1. UC Assumptions'!$H$44-(AH295/$AW$2)*'1. UC Assumptions'!$H$42,0)</f>
        <v>0</v>
      </c>
      <c r="AX295" s="151">
        <f>IF(K295="Hidalgo",(AG295/$AX$1)*'1. UC Assumptions'!$I$44-(AH295/$AX$2)*'1. UC Assumptions'!$I$42,0)</f>
        <v>0</v>
      </c>
      <c r="AY295" s="151">
        <f>IF(K295="Jefferson",(AG295/$AY$1)*'1. UC Assumptions'!$J$44-(AH295/$AY$2)*'1. UC Assumptions'!$J$42,0)</f>
        <v>0</v>
      </c>
      <c r="AZ295" s="151">
        <f>IF(K295="Lubbock",(AG295/$AZ$1)*'1. UC Assumptions'!$K$44-(AH295/$AZ$2)*'1. UC Assumptions'!$K$42,0)</f>
        <v>0</v>
      </c>
      <c r="BA295" s="151">
        <f>IF(K295="MRSA Central",(AG295/$BA$1)*'1. UC Assumptions'!$L$44-(AH295/$BA$2)*'1. UC Assumptions'!$L$42,0)</f>
        <v>0</v>
      </c>
      <c r="BB295" s="151">
        <f>IF(K295="MRSA Northeast",(AG295/$BB$1)*'1. UC Assumptions'!$M$44-(AH295/$BB$2)*'1. UC Assumptions'!$M$42,0)</f>
        <v>0</v>
      </c>
      <c r="BC295" s="151">
        <f>IF(K295="MRSA West",(AG295/$BC$1)*'1. UC Assumptions'!$N$44-(AH295/$BC$2)*'1. UC Assumptions'!$N$42,0)</f>
        <v>0</v>
      </c>
      <c r="BD295" s="151">
        <f>IF(K295="Nueces",(AG295/$BD$1)*'1. UC Assumptions'!$O$44-(AH295/$BD$2)*'1. UC Assumptions'!$O$42,0)</f>
        <v>0</v>
      </c>
      <c r="BE295" s="151">
        <f>IF(K295="Tarrant",(AG295/$BE$1)*'1. UC Assumptions'!$P$44-(AH295/$BE$2)*'1. UC Assumptions'!$P$42,0)</f>
        <v>0</v>
      </c>
      <c r="BF295" s="151">
        <f>IF(K295="Travis",(AG295/$BF$1)*'1. UC Assumptions'!$Q$44-(AH295/$BF$2)*'1. UC Assumptions'!$Q$42,0)</f>
        <v>0</v>
      </c>
      <c r="BG295" s="151">
        <f t="shared" si="99"/>
        <v>0</v>
      </c>
      <c r="BH295" s="151">
        <f t="shared" si="100"/>
        <v>14446827.197798988</v>
      </c>
      <c r="BI295" s="151">
        <f>ROUNDDOWN(BH295*'1. UC Assumptions'!$C$23,2)</f>
        <v>4767452.97</v>
      </c>
      <c r="BJ295" s="154">
        <f t="shared" si="101"/>
        <v>2354552.4277989883</v>
      </c>
      <c r="BK295" s="154">
        <f t="shared" si="102"/>
        <v>777002.29590000026</v>
      </c>
      <c r="BL295" s="154">
        <f t="shared" si="103"/>
        <v>2173770.09</v>
      </c>
      <c r="BM295" s="154">
        <f t="shared" si="104"/>
        <v>717344.13</v>
      </c>
      <c r="BN295" s="101"/>
      <c r="BO295" s="154">
        <f>(BL295*'1. UC Assumptions'!$C$23)-'3.  UC Calculations by Hospital'!BM295</f>
        <v>-3.0000018887221813E-4</v>
      </c>
      <c r="BP295" s="13"/>
    </row>
    <row r="296" spans="1:68">
      <c r="B296" s="129" t="s">
        <v>915</v>
      </c>
      <c r="C296" s="91" t="s">
        <v>915</v>
      </c>
      <c r="D296" s="91" t="s">
        <v>214</v>
      </c>
      <c r="E296" s="91" t="s">
        <v>209</v>
      </c>
      <c r="F296" s="91"/>
      <c r="G296" s="91" t="s">
        <v>209</v>
      </c>
      <c r="H296" s="91" t="s">
        <v>209</v>
      </c>
      <c r="I296" s="150" t="s">
        <v>210</v>
      </c>
      <c r="J296" s="129" t="s">
        <v>916</v>
      </c>
      <c r="K296" s="91" t="s">
        <v>6</v>
      </c>
      <c r="L296" s="91" t="s">
        <v>6</v>
      </c>
      <c r="M296" s="151">
        <v>1115822.6990208991</v>
      </c>
      <c r="N296" s="151">
        <v>0</v>
      </c>
      <c r="O296" s="131">
        <v>0</v>
      </c>
      <c r="P296" s="131">
        <f t="shared" si="84"/>
        <v>0</v>
      </c>
      <c r="Q296" s="131">
        <v>2980631.4099509283</v>
      </c>
      <c r="R296" s="131">
        <v>0</v>
      </c>
      <c r="S296" s="131">
        <f t="shared" si="85"/>
        <v>0</v>
      </c>
      <c r="T296" s="131">
        <f t="shared" si="86"/>
        <v>2980631.4099509283</v>
      </c>
      <c r="U296" s="131">
        <v>0</v>
      </c>
      <c r="V296" s="131">
        <v>0</v>
      </c>
      <c r="W296" s="131">
        <v>0</v>
      </c>
      <c r="X296" s="131">
        <v>0</v>
      </c>
      <c r="Y296" s="131">
        <v>0</v>
      </c>
      <c r="Z296" s="131">
        <f t="shared" si="87"/>
        <v>0</v>
      </c>
      <c r="AA296" s="131">
        <v>0</v>
      </c>
      <c r="AB296" s="152">
        <f t="shared" si="88"/>
        <v>2980631.4099509283</v>
      </c>
      <c r="AC296" s="133">
        <f>IF(D296="Physician Group Practice",(AB296/$AB$393)*'1. UC Assumptions'!$C$15,IF(E296="Rural Hospital",AB296*'1. UC Assumptions'!$C$7/'1. UC Assumptions'!$E$7,(AB296/$AB$397)*('1. UC Assumptions'!$C$9)))</f>
        <v>1401330.7626216148</v>
      </c>
      <c r="AD296" s="133">
        <f t="shared" si="89"/>
        <v>0</v>
      </c>
      <c r="AE296" s="133">
        <f t="shared" si="90"/>
        <v>1579300.6473293134</v>
      </c>
      <c r="AF296" s="133">
        <f t="shared" si="91"/>
        <v>0</v>
      </c>
      <c r="AG296" s="133">
        <f t="shared" si="92"/>
        <v>1579300.6473293134</v>
      </c>
      <c r="AH296" s="133">
        <f t="shared" si="93"/>
        <v>1401330.7626216148</v>
      </c>
      <c r="AI296" s="131">
        <f>AH296*'1. UC Assumptions'!$C$23</f>
        <v>462439.15166513284</v>
      </c>
      <c r="AJ296" s="131">
        <v>1227479.69</v>
      </c>
      <c r="AK296" s="131">
        <f>AJ296*(1-'1. UC Assumptions'!$C$22)</f>
        <v>405068.29769999994</v>
      </c>
      <c r="AL296" s="131"/>
      <c r="AM296" s="131">
        <f>AL296*'1. UC Assumptions'!$C$23</f>
        <v>0</v>
      </c>
      <c r="AN296" s="153">
        <f t="shared" si="94"/>
        <v>2980631.4099509283</v>
      </c>
      <c r="AO296" s="151">
        <f>AN296*'1. UC Assumptions'!$C$23</f>
        <v>983608.36528380623</v>
      </c>
      <c r="AP296" s="151">
        <f t="shared" si="95"/>
        <v>1753151.7199509284</v>
      </c>
      <c r="AQ296" s="151">
        <f t="shared" si="96"/>
        <v>578540.06758380635</v>
      </c>
      <c r="AR296" s="151">
        <f t="shared" si="97"/>
        <v>578540.06758380635</v>
      </c>
      <c r="AS296" s="151">
        <f t="shared" si="98"/>
        <v>983608.36528380634</v>
      </c>
      <c r="AT296" s="151">
        <f>IF(K296="Bexar",(AG296/$AT$1)*'1. UC Assumptions'!$E$44-(AH296/$AT$2)*'1. UC Assumptions'!$E$42,0)</f>
        <v>0</v>
      </c>
      <c r="AU296" s="151">
        <f>IF(K296="Dallas",(AG296/$AU$1)*'1. UC Assumptions'!$F$44-(AH296/$AU$2)*'1. UC Assumptions'!$F$42,0)</f>
        <v>0</v>
      </c>
      <c r="AV296" s="151">
        <f>IF(K296="El Paso",(AG296/$AV$1)*'1. UC Assumptions'!$G$44-(AH296/$AV$2)*'1. UC Assumptions'!$G$42,0)</f>
        <v>0</v>
      </c>
      <c r="AW296" s="151">
        <f>IF(K296="Harris",(AG296/$AW$1)*'1. UC Assumptions'!$H$44-(AH296/$AW$2)*'1. UC Assumptions'!$H$42,0)</f>
        <v>0</v>
      </c>
      <c r="AX296" s="151">
        <f>IF(K296="Hidalgo",(AG296/$AX$1)*'1. UC Assumptions'!$I$44-(AH296/$AX$2)*'1. UC Assumptions'!$I$42,0)</f>
        <v>0</v>
      </c>
      <c r="AY296" s="151">
        <f>IF(K296="Jefferson",(AG296/$AY$1)*'1. UC Assumptions'!$J$44-(AH296/$AY$2)*'1. UC Assumptions'!$J$42,0)</f>
        <v>0</v>
      </c>
      <c r="AZ296" s="151">
        <f>IF(K296="Lubbock",(AG296/$AZ$1)*'1. UC Assumptions'!$K$44-(AH296/$AZ$2)*'1. UC Assumptions'!$K$42,0)</f>
        <v>0</v>
      </c>
      <c r="BA296" s="151">
        <f>IF(K296="MRSA Central",(AG296/$BA$1)*'1. UC Assumptions'!$L$44-(AH296/$BA$2)*'1. UC Assumptions'!$L$42,0)</f>
        <v>0</v>
      </c>
      <c r="BB296" s="151">
        <f>IF(K296="MRSA Northeast",(AG296/$BB$1)*'1. UC Assumptions'!$M$44-(AH296/$BB$2)*'1. UC Assumptions'!$M$42,0)</f>
        <v>0</v>
      </c>
      <c r="BC296" s="151">
        <f>IF(K296="MRSA West",(AG296/$BC$1)*'1. UC Assumptions'!$N$44-(AH296/$BC$2)*'1. UC Assumptions'!$N$42,0)</f>
        <v>0</v>
      </c>
      <c r="BD296" s="151">
        <f>IF(K296="Nueces",(AG296/$BD$1)*'1. UC Assumptions'!$O$44-(AH296/$BD$2)*'1. UC Assumptions'!$O$42,0)</f>
        <v>0</v>
      </c>
      <c r="BE296" s="151">
        <f>IF(K296="Tarrant",(AG296/$BE$1)*'1. UC Assumptions'!$P$44-(AH296/$BE$2)*'1. UC Assumptions'!$P$42,0)</f>
        <v>0</v>
      </c>
      <c r="BF296" s="151">
        <f>IF(K296="Travis",(AG296/$BF$1)*'1. UC Assumptions'!$Q$44-(AH296/$BF$2)*'1. UC Assumptions'!$Q$42,0)</f>
        <v>0</v>
      </c>
      <c r="BG296" s="151">
        <f t="shared" si="99"/>
        <v>0</v>
      </c>
      <c r="BH296" s="151">
        <f t="shared" si="100"/>
        <v>1401330.7626216148</v>
      </c>
      <c r="BI296" s="151">
        <f>ROUNDDOWN(BH296*'1. UC Assumptions'!$C$23,2)</f>
        <v>462439.15</v>
      </c>
      <c r="BJ296" s="154">
        <f t="shared" si="101"/>
        <v>173851.07262161491</v>
      </c>
      <c r="BK296" s="154">
        <f t="shared" si="102"/>
        <v>57370.852300000086</v>
      </c>
      <c r="BL296" s="154">
        <f t="shared" si="103"/>
        <v>160502.79999999999</v>
      </c>
      <c r="BM296" s="154">
        <f t="shared" si="104"/>
        <v>52965.919999999998</v>
      </c>
      <c r="BN296" s="101"/>
      <c r="BO296" s="154">
        <f>(BL296*'1. UC Assumptions'!$C$23)-'3.  UC Calculations by Hospital'!BM296</f>
        <v>3.9999999935389496E-3</v>
      </c>
      <c r="BP296" s="13"/>
    </row>
    <row r="297" spans="1:68">
      <c r="B297" s="129" t="s">
        <v>917</v>
      </c>
      <c r="C297" s="91" t="s">
        <v>917</v>
      </c>
      <c r="D297" s="91" t="s">
        <v>214</v>
      </c>
      <c r="E297" s="91" t="s">
        <v>149</v>
      </c>
      <c r="F297" s="91"/>
      <c r="G297" s="91" t="s">
        <v>209</v>
      </c>
      <c r="H297" s="91" t="s">
        <v>209</v>
      </c>
      <c r="I297" s="150" t="s">
        <v>210</v>
      </c>
      <c r="J297" s="129" t="s">
        <v>918</v>
      </c>
      <c r="K297" s="91" t="s">
        <v>10</v>
      </c>
      <c r="L297" s="91" t="s">
        <v>919</v>
      </c>
      <c r="M297" s="151">
        <v>232264.31507955206</v>
      </c>
      <c r="N297" s="151">
        <v>1586574.1794111615</v>
      </c>
      <c r="O297" s="131">
        <v>1119015.4296061439</v>
      </c>
      <c r="P297" s="131">
        <f t="shared" si="84"/>
        <v>467558.74980501761</v>
      </c>
      <c r="Q297" s="131">
        <v>1607092.9712371968</v>
      </c>
      <c r="R297" s="131">
        <v>0</v>
      </c>
      <c r="S297" s="131">
        <f t="shared" si="85"/>
        <v>0</v>
      </c>
      <c r="T297" s="131">
        <f t="shared" si="86"/>
        <v>1607092.9712371968</v>
      </c>
      <c r="U297" s="131">
        <v>0</v>
      </c>
      <c r="V297" s="131">
        <v>0</v>
      </c>
      <c r="W297" s="131">
        <v>0</v>
      </c>
      <c r="X297" s="131">
        <v>0</v>
      </c>
      <c r="Y297" s="131">
        <v>0</v>
      </c>
      <c r="Z297" s="131">
        <f t="shared" si="87"/>
        <v>0</v>
      </c>
      <c r="AA297" s="131">
        <v>0</v>
      </c>
      <c r="AB297" s="152">
        <f t="shared" si="88"/>
        <v>1607092.9712371968</v>
      </c>
      <c r="AC297" s="133">
        <f>IF(D297="Physician Group Practice",(AB297/$AB$393)*'1. UC Assumptions'!$C$15,IF(E297="Rural Hospital",AB297*'1. UC Assumptions'!$C$7/'1. UC Assumptions'!$E$7,(AB297/$AB$397)*('1. UC Assumptions'!$C$9)))</f>
        <v>1500117.6711166012</v>
      </c>
      <c r="AD297" s="133">
        <f t="shared" si="89"/>
        <v>0</v>
      </c>
      <c r="AE297" s="133">
        <f t="shared" si="90"/>
        <v>106975.30012059561</v>
      </c>
      <c r="AF297" s="133">
        <f t="shared" si="91"/>
        <v>0</v>
      </c>
      <c r="AG297" s="133">
        <f t="shared" si="92"/>
        <v>106975.30012059561</v>
      </c>
      <c r="AH297" s="133">
        <f t="shared" si="93"/>
        <v>1500117.6711166012</v>
      </c>
      <c r="AI297" s="131">
        <f>AH297*'1. UC Assumptions'!$C$23</f>
        <v>495038.83146847831</v>
      </c>
      <c r="AJ297" s="131">
        <v>301470.17</v>
      </c>
      <c r="AK297" s="131">
        <f>AJ297*(1-'1. UC Assumptions'!$C$22)</f>
        <v>99485.156099999978</v>
      </c>
      <c r="AL297" s="131"/>
      <c r="AM297" s="131">
        <f>AL297*'1. UC Assumptions'!$C$23</f>
        <v>0</v>
      </c>
      <c r="AN297" s="153">
        <f t="shared" si="94"/>
        <v>1607092.9712371968</v>
      </c>
      <c r="AO297" s="151">
        <f>AN297*'1. UC Assumptions'!$C$23</f>
        <v>530340.68050827493</v>
      </c>
      <c r="AP297" s="151">
        <f t="shared" si="95"/>
        <v>1305622.8012371969</v>
      </c>
      <c r="AQ297" s="151">
        <f t="shared" si="96"/>
        <v>430855.52440827497</v>
      </c>
      <c r="AR297" s="151">
        <f t="shared" si="97"/>
        <v>430855.52440827497</v>
      </c>
      <c r="AS297" s="151">
        <f t="shared" si="98"/>
        <v>530340.68050827493</v>
      </c>
      <c r="AT297" s="151">
        <f>IF(K297="Bexar",(AG297/$AT$1)*'1. UC Assumptions'!$E$44-(AH297/$AT$2)*'1. UC Assumptions'!$E$42,0)</f>
        <v>0</v>
      </c>
      <c r="AU297" s="151">
        <f>IF(K297="Dallas",(AG297/$AU$1)*'1. UC Assumptions'!$F$44-(AH297/$AU$2)*'1. UC Assumptions'!$F$42,0)</f>
        <v>0</v>
      </c>
      <c r="AV297" s="151">
        <f>IF(K297="El Paso",(AG297/$AV$1)*'1. UC Assumptions'!$G$44-(AH297/$AV$2)*'1. UC Assumptions'!$G$42,0)</f>
        <v>0</v>
      </c>
      <c r="AW297" s="151">
        <f>IF(K297="Harris",(AG297/$AW$1)*'1. UC Assumptions'!$H$44-(AH297/$AW$2)*'1. UC Assumptions'!$H$42,0)</f>
        <v>0</v>
      </c>
      <c r="AX297" s="151">
        <f>IF(K297="Hidalgo",(AG297/$AX$1)*'1. UC Assumptions'!$I$44-(AH297/$AX$2)*'1. UC Assumptions'!$I$42,0)</f>
        <v>0</v>
      </c>
      <c r="AY297" s="151">
        <f>IF(K297="Jefferson",(AG297/$AY$1)*'1. UC Assumptions'!$J$44-(AH297/$AY$2)*'1. UC Assumptions'!$J$42,0)</f>
        <v>0</v>
      </c>
      <c r="AZ297" s="151">
        <f>IF(K297="Lubbock",(AG297/$AZ$1)*'1. UC Assumptions'!$K$44-(AH297/$AZ$2)*'1. UC Assumptions'!$K$42,0)</f>
        <v>0</v>
      </c>
      <c r="BA297" s="151">
        <f>IF(K297="MRSA Central",(AG297/$BA$1)*'1. UC Assumptions'!$L$44-(AH297/$BA$2)*'1. UC Assumptions'!$L$42,0)</f>
        <v>0</v>
      </c>
      <c r="BB297" s="151">
        <f>IF(K297="MRSA Northeast",(AG297/$BB$1)*'1. UC Assumptions'!$M$44-(AH297/$BB$2)*'1. UC Assumptions'!$M$42,0)</f>
        <v>0</v>
      </c>
      <c r="BC297" s="151">
        <f>IF(K297="MRSA West",(AG297/$BC$1)*'1. UC Assumptions'!$N$44-(AH297/$BC$2)*'1. UC Assumptions'!$N$42,0)</f>
        <v>0</v>
      </c>
      <c r="BD297" s="151">
        <f>IF(K297="Nueces",(AG297/$BD$1)*'1. UC Assumptions'!$O$44-(AH297/$BD$2)*'1. UC Assumptions'!$O$42,0)</f>
        <v>0</v>
      </c>
      <c r="BE297" s="151">
        <f>IF(K297="Tarrant",(AG297/$BE$1)*'1. UC Assumptions'!$P$44-(AH297/$BE$2)*'1. UC Assumptions'!$P$42,0)</f>
        <v>0</v>
      </c>
      <c r="BF297" s="151">
        <f>IF(K297="Travis",(AG297/$BF$1)*'1. UC Assumptions'!$Q$44-(AH297/$BF$2)*'1. UC Assumptions'!$Q$42,0)</f>
        <v>0</v>
      </c>
      <c r="BG297" s="151">
        <f t="shared" si="99"/>
        <v>0</v>
      </c>
      <c r="BH297" s="151">
        <f t="shared" si="100"/>
        <v>1500117.6711166012</v>
      </c>
      <c r="BI297" s="151">
        <f>ROUNDDOWN(BH297*'1. UC Assumptions'!$C$23,2)</f>
        <v>495038.83</v>
      </c>
      <c r="BJ297" s="154">
        <f t="shared" si="101"/>
        <v>1198647.5011166013</v>
      </c>
      <c r="BK297" s="154">
        <f t="shared" si="102"/>
        <v>395553.67390000005</v>
      </c>
      <c r="BL297" s="154">
        <f t="shared" si="103"/>
        <v>1106615.45</v>
      </c>
      <c r="BM297" s="154">
        <f t="shared" si="104"/>
        <v>365183.1</v>
      </c>
      <c r="BN297" s="101"/>
      <c r="BO297" s="154">
        <f>(BL297*'1. UC Assumptions'!$C$23)-'3.  UC Calculations by Hospital'!BM297</f>
        <v>-1.500000013038516E-3</v>
      </c>
      <c r="BP297" s="13"/>
    </row>
    <row r="298" spans="1:68">
      <c r="B298" s="129" t="s">
        <v>920</v>
      </c>
      <c r="C298" s="91" t="s">
        <v>920</v>
      </c>
      <c r="D298" s="91" t="s">
        <v>214</v>
      </c>
      <c r="E298" s="91" t="s">
        <v>209</v>
      </c>
      <c r="F298" s="91"/>
      <c r="G298" s="91" t="s">
        <v>209</v>
      </c>
      <c r="H298" s="91" t="s">
        <v>209</v>
      </c>
      <c r="I298" s="150" t="s">
        <v>210</v>
      </c>
      <c r="J298" s="129" t="s">
        <v>921</v>
      </c>
      <c r="K298" s="91" t="s">
        <v>9</v>
      </c>
      <c r="L298" s="91" t="s">
        <v>9</v>
      </c>
      <c r="M298" s="151">
        <v>1327774.2224038658</v>
      </c>
      <c r="N298" s="151">
        <v>0</v>
      </c>
      <c r="O298" s="131">
        <v>0</v>
      </c>
      <c r="P298" s="131">
        <f t="shared" si="84"/>
        <v>0</v>
      </c>
      <c r="Q298" s="131">
        <v>891970.21575710725</v>
      </c>
      <c r="R298" s="131">
        <v>0</v>
      </c>
      <c r="S298" s="131">
        <f t="shared" si="85"/>
        <v>0</v>
      </c>
      <c r="T298" s="131">
        <f t="shared" si="86"/>
        <v>891970.21575710725</v>
      </c>
      <c r="U298" s="131">
        <v>0</v>
      </c>
      <c r="V298" s="131">
        <v>0</v>
      </c>
      <c r="W298" s="131">
        <v>0</v>
      </c>
      <c r="X298" s="131">
        <v>0</v>
      </c>
      <c r="Y298" s="131">
        <v>16015</v>
      </c>
      <c r="Z298" s="131">
        <f t="shared" si="87"/>
        <v>16015</v>
      </c>
      <c r="AA298" s="131">
        <v>0</v>
      </c>
      <c r="AB298" s="152">
        <f t="shared" si="88"/>
        <v>907985.21575710725</v>
      </c>
      <c r="AC298" s="133">
        <f>IF(D298="Physician Group Practice",(AB298/$AB$393)*'1. UC Assumptions'!$C$15,IF(E298="Rural Hospital",AB298*'1. UC Assumptions'!$C$7/'1. UC Assumptions'!$E$7,(AB298/$AB$397)*('1. UC Assumptions'!$C$9)))</f>
        <v>426885.26014929387</v>
      </c>
      <c r="AD298" s="133">
        <f t="shared" si="89"/>
        <v>0</v>
      </c>
      <c r="AE298" s="133">
        <f t="shared" si="90"/>
        <v>481099.95560781338</v>
      </c>
      <c r="AF298" s="133">
        <f t="shared" si="91"/>
        <v>0</v>
      </c>
      <c r="AG298" s="133">
        <f t="shared" si="92"/>
        <v>481099.95560781338</v>
      </c>
      <c r="AH298" s="133">
        <f t="shared" si="93"/>
        <v>426885.26014929387</v>
      </c>
      <c r="AI298" s="131">
        <f>AH298*'1. UC Assumptions'!$C$23</f>
        <v>140872.13584926695</v>
      </c>
      <c r="AJ298" s="131">
        <v>0</v>
      </c>
      <c r="AK298" s="131">
        <f>AJ298*(1-'1. UC Assumptions'!$C$22)</f>
        <v>0</v>
      </c>
      <c r="AL298" s="131"/>
      <c r="AM298" s="131">
        <f>AL298*'1. UC Assumptions'!$C$23</f>
        <v>0</v>
      </c>
      <c r="AN298" s="153">
        <f t="shared" si="94"/>
        <v>907985.21575710725</v>
      </c>
      <c r="AO298" s="151">
        <f>AN298*'1. UC Assumptions'!$C$23</f>
        <v>299635.12119984534</v>
      </c>
      <c r="AP298" s="151">
        <f t="shared" si="95"/>
        <v>907985.21575710725</v>
      </c>
      <c r="AQ298" s="151">
        <f t="shared" si="96"/>
        <v>299635.12119984534</v>
      </c>
      <c r="AR298" s="151">
        <f t="shared" si="97"/>
        <v>299635.12119984534</v>
      </c>
      <c r="AS298" s="151">
        <f t="shared" si="98"/>
        <v>299635.12119984534</v>
      </c>
      <c r="AT298" s="151">
        <f>IF(K298="Bexar",(AG298/$AT$1)*'1. UC Assumptions'!$E$44-(AH298/$AT$2)*'1. UC Assumptions'!$E$42,0)</f>
        <v>0</v>
      </c>
      <c r="AU298" s="151">
        <f>IF(K298="Dallas",(AG298/$AU$1)*'1. UC Assumptions'!$F$44-(AH298/$AU$2)*'1. UC Assumptions'!$F$42,0)</f>
        <v>0</v>
      </c>
      <c r="AV298" s="151">
        <f>IF(K298="El Paso",(AG298/$AV$1)*'1. UC Assumptions'!$G$44-(AH298/$AV$2)*'1. UC Assumptions'!$G$42,0)</f>
        <v>0</v>
      </c>
      <c r="AW298" s="151">
        <f>IF(K298="Harris",(AG298/$AW$1)*'1. UC Assumptions'!$H$44-(AH298/$AW$2)*'1. UC Assumptions'!$H$42,0)</f>
        <v>0</v>
      </c>
      <c r="AX298" s="151">
        <f>IF(K298="Hidalgo",(AG298/$AX$1)*'1. UC Assumptions'!$I$44-(AH298/$AX$2)*'1. UC Assumptions'!$I$42,0)</f>
        <v>0</v>
      </c>
      <c r="AY298" s="151">
        <f>IF(K298="Jefferson",(AG298/$AY$1)*'1. UC Assumptions'!$J$44-(AH298/$AY$2)*'1. UC Assumptions'!$J$42,0)</f>
        <v>0</v>
      </c>
      <c r="AZ298" s="151">
        <f>IF(K298="Lubbock",(AG298/$AZ$1)*'1. UC Assumptions'!$K$44-(AH298/$AZ$2)*'1. UC Assumptions'!$K$42,0)</f>
        <v>0</v>
      </c>
      <c r="BA298" s="151">
        <f>IF(K298="MRSA Central",(AG298/$BA$1)*'1. UC Assumptions'!$L$44-(AH298/$BA$2)*'1. UC Assumptions'!$L$42,0)</f>
        <v>0</v>
      </c>
      <c r="BB298" s="151">
        <f>IF(K298="MRSA Northeast",(AG298/$BB$1)*'1. UC Assumptions'!$M$44-(AH298/$BB$2)*'1. UC Assumptions'!$M$42,0)</f>
        <v>0</v>
      </c>
      <c r="BC298" s="151">
        <f>IF(K298="MRSA West",(AG298/$BC$1)*'1. UC Assumptions'!$N$44-(AH298/$BC$2)*'1. UC Assumptions'!$N$42,0)</f>
        <v>0</v>
      </c>
      <c r="BD298" s="151">
        <f>IF(K298="Nueces",(AG298/$BD$1)*'1. UC Assumptions'!$O$44-(AH298/$BD$2)*'1. UC Assumptions'!$O$42,0)</f>
        <v>0</v>
      </c>
      <c r="BE298" s="151">
        <f>IF(K298="Tarrant",(AG298/$BE$1)*'1. UC Assumptions'!$P$44-(AH298/$BE$2)*'1. UC Assumptions'!$P$42,0)</f>
        <v>0</v>
      </c>
      <c r="BF298" s="151">
        <f>IF(K298="Travis",(AG298/$BF$1)*'1. UC Assumptions'!$Q$44-(AH298/$BF$2)*'1. UC Assumptions'!$Q$42,0)</f>
        <v>0</v>
      </c>
      <c r="BG298" s="151">
        <f t="shared" si="99"/>
        <v>0</v>
      </c>
      <c r="BH298" s="151">
        <f t="shared" si="100"/>
        <v>426885.26014929387</v>
      </c>
      <c r="BI298" s="151">
        <f>ROUNDDOWN(BH298*'1. UC Assumptions'!$C$23,2)</f>
        <v>140872.13</v>
      </c>
      <c r="BJ298" s="154">
        <f t="shared" si="101"/>
        <v>426885.26014929387</v>
      </c>
      <c r="BK298" s="154">
        <f t="shared" si="102"/>
        <v>140872.13</v>
      </c>
      <c r="BL298" s="154">
        <f t="shared" si="103"/>
        <v>394109.05</v>
      </c>
      <c r="BM298" s="154">
        <f t="shared" si="104"/>
        <v>130055.98</v>
      </c>
      <c r="BN298" s="101"/>
      <c r="BO298" s="154">
        <f>(BL298*'1. UC Assumptions'!$C$23)-'3.  UC Calculations by Hospital'!BM298</f>
        <v>6.4999999885912985E-3</v>
      </c>
      <c r="BP298" s="13"/>
    </row>
    <row r="299" spans="1:68">
      <c r="B299" s="129" t="s">
        <v>922</v>
      </c>
      <c r="C299" s="91" t="s">
        <v>922</v>
      </c>
      <c r="D299" s="91" t="s">
        <v>286</v>
      </c>
      <c r="E299" s="91" t="s">
        <v>209</v>
      </c>
      <c r="F299" s="91"/>
      <c r="G299" s="91" t="s">
        <v>287</v>
      </c>
      <c r="H299" s="91" t="s">
        <v>209</v>
      </c>
      <c r="I299" s="150" t="s">
        <v>210</v>
      </c>
      <c r="J299" s="129" t="s">
        <v>923</v>
      </c>
      <c r="K299" s="91" t="s">
        <v>14</v>
      </c>
      <c r="L299" s="91" t="s">
        <v>248</v>
      </c>
      <c r="M299" s="151">
        <v>-6481.0956815360978</v>
      </c>
      <c r="N299" s="151">
        <v>0</v>
      </c>
      <c r="O299" s="131">
        <v>0</v>
      </c>
      <c r="P299" s="131">
        <f t="shared" si="84"/>
        <v>0</v>
      </c>
      <c r="Q299" s="131">
        <v>6220.4445234176001</v>
      </c>
      <c r="R299" s="131">
        <v>0</v>
      </c>
      <c r="S299" s="131">
        <f t="shared" si="85"/>
        <v>0</v>
      </c>
      <c r="T299" s="131">
        <f t="shared" si="86"/>
        <v>6220.4445234176001</v>
      </c>
      <c r="U299" s="131">
        <v>0</v>
      </c>
      <c r="V299" s="131">
        <v>0</v>
      </c>
      <c r="W299" s="131">
        <v>0</v>
      </c>
      <c r="X299" s="131">
        <v>0</v>
      </c>
      <c r="Y299" s="131">
        <v>0</v>
      </c>
      <c r="Z299" s="131">
        <f t="shared" si="87"/>
        <v>0</v>
      </c>
      <c r="AA299" s="131">
        <v>0</v>
      </c>
      <c r="AB299" s="152">
        <f t="shared" si="88"/>
        <v>6220.4445234176001</v>
      </c>
      <c r="AC299" s="133">
        <f>IF(D299="Physician Group Practice",(AB299/$AB$393)*'1. UC Assumptions'!$C$15,IF(E299="Rural Hospital",AB299*'1. UC Assumptions'!$C$7/'1. UC Assumptions'!$E$7,(AB299/$AB$397)*('1. UC Assumptions'!$C$9)))</f>
        <v>2924.5146644917572</v>
      </c>
      <c r="AD299" s="133">
        <f t="shared" si="89"/>
        <v>0</v>
      </c>
      <c r="AE299" s="133">
        <f t="shared" si="90"/>
        <v>3295.9298589258428</v>
      </c>
      <c r="AF299" s="133">
        <f t="shared" si="91"/>
        <v>0</v>
      </c>
      <c r="AG299" s="133">
        <f t="shared" si="92"/>
        <v>3295.9298589258428</v>
      </c>
      <c r="AH299" s="133">
        <f t="shared" si="93"/>
        <v>2924.5146644917572</v>
      </c>
      <c r="AI299" s="131">
        <f>AH299*'1. UC Assumptions'!$C$23</f>
        <v>965.08983928227974</v>
      </c>
      <c r="AJ299" s="131">
        <v>0</v>
      </c>
      <c r="AK299" s="131">
        <f>AJ299*(1-'1. UC Assumptions'!$C$22)</f>
        <v>0</v>
      </c>
      <c r="AL299" s="131"/>
      <c r="AM299" s="131">
        <f>AL299*'1. UC Assumptions'!$C$23</f>
        <v>0</v>
      </c>
      <c r="AN299" s="153">
        <f t="shared" si="94"/>
        <v>6220.4445234176001</v>
      </c>
      <c r="AO299" s="151">
        <f>AN299*'1. UC Assumptions'!$C$23</f>
        <v>2052.7466927278078</v>
      </c>
      <c r="AP299" s="151">
        <f t="shared" si="95"/>
        <v>6220.4445234176001</v>
      </c>
      <c r="AQ299" s="151">
        <f t="shared" si="96"/>
        <v>2052.7466927278078</v>
      </c>
      <c r="AR299" s="151">
        <f t="shared" si="97"/>
        <v>2052.7466927278078</v>
      </c>
      <c r="AS299" s="151">
        <f t="shared" si="98"/>
        <v>2052.7466927278078</v>
      </c>
      <c r="AT299" s="151">
        <f>IF(K299="Bexar",(AG299/$AT$1)*'1. UC Assumptions'!$E$44-(AH299/$AT$2)*'1. UC Assumptions'!$E$42,0)</f>
        <v>0</v>
      </c>
      <c r="AU299" s="151">
        <f>IF(K299="Dallas",(AG299/$AU$1)*'1. UC Assumptions'!$F$44-(AH299/$AU$2)*'1. UC Assumptions'!$F$42,0)</f>
        <v>0</v>
      </c>
      <c r="AV299" s="151">
        <f>IF(K299="El Paso",(AG299/$AV$1)*'1. UC Assumptions'!$G$44-(AH299/$AV$2)*'1. UC Assumptions'!$G$42,0)</f>
        <v>0</v>
      </c>
      <c r="AW299" s="151">
        <f>IF(K299="Harris",(AG299/$AW$1)*'1. UC Assumptions'!$H$44-(AH299/$AW$2)*'1. UC Assumptions'!$H$42,0)</f>
        <v>0</v>
      </c>
      <c r="AX299" s="151">
        <f>IF(K299="Hidalgo",(AG299/$AX$1)*'1. UC Assumptions'!$I$44-(AH299/$AX$2)*'1. UC Assumptions'!$I$42,0)</f>
        <v>0</v>
      </c>
      <c r="AY299" s="151">
        <f>IF(K299="Jefferson",(AG299/$AY$1)*'1. UC Assumptions'!$J$44-(AH299/$AY$2)*'1. UC Assumptions'!$J$42,0)</f>
        <v>0</v>
      </c>
      <c r="AZ299" s="151">
        <f>IF(K299="Lubbock",(AG299/$AZ$1)*'1. UC Assumptions'!$K$44-(AH299/$AZ$2)*'1. UC Assumptions'!$K$42,0)</f>
        <v>0</v>
      </c>
      <c r="BA299" s="151">
        <f>IF(K299="MRSA Central",(AG299/$BA$1)*'1. UC Assumptions'!$L$44-(AH299/$BA$2)*'1. UC Assumptions'!$L$42,0)</f>
        <v>0</v>
      </c>
      <c r="BB299" s="151">
        <f>IF(K299="MRSA Northeast",(AG299/$BB$1)*'1. UC Assumptions'!$M$44-(AH299/$BB$2)*'1. UC Assumptions'!$M$42,0)</f>
        <v>0</v>
      </c>
      <c r="BC299" s="151">
        <f>IF(K299="MRSA West",(AG299/$BC$1)*'1. UC Assumptions'!$N$44-(AH299/$BC$2)*'1. UC Assumptions'!$N$42,0)</f>
        <v>0</v>
      </c>
      <c r="BD299" s="151">
        <f>IF(K299="Nueces",(AG299/$BD$1)*'1. UC Assumptions'!$O$44-(AH299/$BD$2)*'1. UC Assumptions'!$O$42,0)</f>
        <v>0</v>
      </c>
      <c r="BE299" s="151">
        <f>IF(K299="Tarrant",(AG299/$BE$1)*'1. UC Assumptions'!$P$44-(AH299/$BE$2)*'1. UC Assumptions'!$P$42,0)</f>
        <v>0</v>
      </c>
      <c r="BF299" s="151">
        <f>IF(K299="Travis",(AG299/$BF$1)*'1. UC Assumptions'!$Q$44-(AH299/$BF$2)*'1. UC Assumptions'!$Q$42,0)</f>
        <v>0</v>
      </c>
      <c r="BG299" s="151">
        <f t="shared" si="99"/>
        <v>0</v>
      </c>
      <c r="BH299" s="151">
        <f t="shared" si="100"/>
        <v>2924.5146644917572</v>
      </c>
      <c r="BI299" s="151">
        <f>ROUNDDOWN(BH299*'1. UC Assumptions'!$C$23,2)</f>
        <v>965.08</v>
      </c>
      <c r="BJ299" s="154">
        <f t="shared" si="101"/>
        <v>2924.5146644917572</v>
      </c>
      <c r="BK299" s="154">
        <f t="shared" si="102"/>
        <v>965.08</v>
      </c>
      <c r="BL299" s="154">
        <f t="shared" si="103"/>
        <v>2699.97</v>
      </c>
      <c r="BM299" s="154">
        <f t="shared" si="104"/>
        <v>890.98</v>
      </c>
      <c r="BN299" s="101"/>
      <c r="BO299" s="154">
        <f>(BL299*'1. UC Assumptions'!$C$23)-'3.  UC Calculations by Hospital'!BM299</f>
        <v>1.0099999999852116E-2</v>
      </c>
      <c r="BP299" s="13"/>
    </row>
    <row r="300" spans="1:68">
      <c r="B300" s="129" t="s">
        <v>924</v>
      </c>
      <c r="C300" s="91" t="s">
        <v>924</v>
      </c>
      <c r="D300" s="91" t="s">
        <v>208</v>
      </c>
      <c r="E300" s="91" t="s">
        <v>149</v>
      </c>
      <c r="F300" s="91"/>
      <c r="G300" s="91" t="s">
        <v>209</v>
      </c>
      <c r="H300" s="91" t="s">
        <v>209</v>
      </c>
      <c r="I300" s="150" t="s">
        <v>210</v>
      </c>
      <c r="J300" s="129" t="s">
        <v>925</v>
      </c>
      <c r="K300" s="91" t="s">
        <v>8</v>
      </c>
      <c r="L300" s="91" t="s">
        <v>926</v>
      </c>
      <c r="M300" s="151">
        <v>523692.67191091203</v>
      </c>
      <c r="N300" s="151">
        <v>0</v>
      </c>
      <c r="O300" s="131">
        <v>0</v>
      </c>
      <c r="P300" s="131">
        <f t="shared" si="84"/>
        <v>0</v>
      </c>
      <c r="Q300" s="131">
        <v>1451432.0975021056</v>
      </c>
      <c r="R300" s="131">
        <v>0</v>
      </c>
      <c r="S300" s="131">
        <f t="shared" si="85"/>
        <v>0</v>
      </c>
      <c r="T300" s="131">
        <f t="shared" si="86"/>
        <v>1451432.0975021056</v>
      </c>
      <c r="U300" s="131">
        <v>0</v>
      </c>
      <c r="V300" s="131">
        <v>0</v>
      </c>
      <c r="W300" s="131">
        <v>0</v>
      </c>
      <c r="X300" s="131">
        <v>0</v>
      </c>
      <c r="Y300" s="131">
        <v>0</v>
      </c>
      <c r="Z300" s="131">
        <f t="shared" si="87"/>
        <v>0</v>
      </c>
      <c r="AA300" s="131">
        <v>0</v>
      </c>
      <c r="AB300" s="152">
        <f t="shared" si="88"/>
        <v>1451432.0975021056</v>
      </c>
      <c r="AC300" s="133">
        <f>IF(D300="Physician Group Practice",(AB300/$AB$393)*'1. UC Assumptions'!$C$15,IF(E300="Rural Hospital",AB300*'1. UC Assumptions'!$C$7/'1. UC Assumptions'!$E$7,(AB300/$AB$397)*('1. UC Assumptions'!$C$9)))</f>
        <v>1354818.2817404559</v>
      </c>
      <c r="AD300" s="133">
        <f t="shared" si="89"/>
        <v>0</v>
      </c>
      <c r="AE300" s="133">
        <f t="shared" si="90"/>
        <v>96613.815761649748</v>
      </c>
      <c r="AF300" s="133">
        <f t="shared" si="91"/>
        <v>0</v>
      </c>
      <c r="AG300" s="133">
        <f t="shared" si="92"/>
        <v>96613.815761649748</v>
      </c>
      <c r="AH300" s="133">
        <f t="shared" si="93"/>
        <v>1354818.2817404559</v>
      </c>
      <c r="AI300" s="131">
        <f>AH300*'1. UC Assumptions'!$C$23</f>
        <v>447090.03297435038</v>
      </c>
      <c r="AJ300" s="131">
        <v>238585.33</v>
      </c>
      <c r="AK300" s="131">
        <f>AJ300*(1-'1. UC Assumptions'!$C$22)</f>
        <v>78733.15889999998</v>
      </c>
      <c r="AL300" s="131"/>
      <c r="AM300" s="131">
        <f>AL300*'1. UC Assumptions'!$C$23</f>
        <v>0</v>
      </c>
      <c r="AN300" s="153">
        <f t="shared" si="94"/>
        <v>1451432.0975021056</v>
      </c>
      <c r="AO300" s="151">
        <f>AN300*'1. UC Assumptions'!$C$23</f>
        <v>478972.59217569482</v>
      </c>
      <c r="AP300" s="151">
        <f t="shared" si="95"/>
        <v>1212846.7675021056</v>
      </c>
      <c r="AQ300" s="151">
        <f t="shared" si="96"/>
        <v>400239.43327569484</v>
      </c>
      <c r="AR300" s="151">
        <f t="shared" si="97"/>
        <v>400239.43327569484</v>
      </c>
      <c r="AS300" s="151">
        <f t="shared" si="98"/>
        <v>478972.59217569482</v>
      </c>
      <c r="AT300" s="151">
        <f>IF(K300="Bexar",(AG300/$AT$1)*'1. UC Assumptions'!$E$44-(AH300/$AT$2)*'1. UC Assumptions'!$E$42,0)</f>
        <v>0</v>
      </c>
      <c r="AU300" s="151">
        <f>IF(K300="Dallas",(AG300/$AU$1)*'1. UC Assumptions'!$F$44-(AH300/$AU$2)*'1. UC Assumptions'!$F$42,0)</f>
        <v>0</v>
      </c>
      <c r="AV300" s="151">
        <f>IF(K300="El Paso",(AG300/$AV$1)*'1. UC Assumptions'!$G$44-(AH300/$AV$2)*'1. UC Assumptions'!$G$42,0)</f>
        <v>0</v>
      </c>
      <c r="AW300" s="151">
        <f>IF(K300="Harris",(AG300/$AW$1)*'1. UC Assumptions'!$H$44-(AH300/$AW$2)*'1. UC Assumptions'!$H$42,0)</f>
        <v>0</v>
      </c>
      <c r="AX300" s="151">
        <f>IF(K300="Hidalgo",(AG300/$AX$1)*'1. UC Assumptions'!$I$44-(AH300/$AX$2)*'1. UC Assumptions'!$I$42,0)</f>
        <v>0</v>
      </c>
      <c r="AY300" s="151">
        <f>IF(K300="Jefferson",(AG300/$AY$1)*'1. UC Assumptions'!$J$44-(AH300/$AY$2)*'1. UC Assumptions'!$J$42,0)</f>
        <v>0</v>
      </c>
      <c r="AZ300" s="151">
        <f>IF(K300="Lubbock",(AG300/$AZ$1)*'1. UC Assumptions'!$K$44-(AH300/$AZ$2)*'1. UC Assumptions'!$K$42,0)</f>
        <v>0</v>
      </c>
      <c r="BA300" s="151">
        <f>IF(K300="MRSA Central",(AG300/$BA$1)*'1. UC Assumptions'!$L$44-(AH300/$BA$2)*'1. UC Assumptions'!$L$42,0)</f>
        <v>0</v>
      </c>
      <c r="BB300" s="151">
        <f>IF(K300="MRSA Northeast",(AG300/$BB$1)*'1. UC Assumptions'!$M$44-(AH300/$BB$2)*'1. UC Assumptions'!$M$42,0)</f>
        <v>0</v>
      </c>
      <c r="BC300" s="151">
        <f>IF(K300="MRSA West",(AG300/$BC$1)*'1. UC Assumptions'!$N$44-(AH300/$BC$2)*'1. UC Assumptions'!$N$42,0)</f>
        <v>0</v>
      </c>
      <c r="BD300" s="151">
        <f>IF(K300="Nueces",(AG300/$BD$1)*'1. UC Assumptions'!$O$44-(AH300/$BD$2)*'1. UC Assumptions'!$O$42,0)</f>
        <v>0</v>
      </c>
      <c r="BE300" s="151">
        <f>IF(K300="Tarrant",(AG300/$BE$1)*'1. UC Assumptions'!$P$44-(AH300/$BE$2)*'1. UC Assumptions'!$P$42,0)</f>
        <v>0</v>
      </c>
      <c r="BF300" s="151">
        <f>IF(K300="Travis",(AG300/$BF$1)*'1. UC Assumptions'!$Q$44-(AH300/$BF$2)*'1. UC Assumptions'!$Q$42,0)</f>
        <v>0</v>
      </c>
      <c r="BG300" s="151">
        <f t="shared" si="99"/>
        <v>0</v>
      </c>
      <c r="BH300" s="151">
        <f t="shared" si="100"/>
        <v>1354818.2817404559</v>
      </c>
      <c r="BI300" s="151">
        <f>ROUNDDOWN(BH300*'1. UC Assumptions'!$C$23,2)</f>
        <v>447090.03</v>
      </c>
      <c r="BJ300" s="154">
        <f t="shared" si="101"/>
        <v>1116232.9517404558</v>
      </c>
      <c r="BK300" s="154">
        <f t="shared" si="102"/>
        <v>368356.87110000005</v>
      </c>
      <c r="BL300" s="154">
        <f t="shared" si="103"/>
        <v>1030528.68</v>
      </c>
      <c r="BM300" s="154">
        <f t="shared" si="104"/>
        <v>340074.46</v>
      </c>
      <c r="BN300" s="155"/>
      <c r="BO300" s="154">
        <f>(BL300*'1. UC Assumptions'!$C$23)-'3.  UC Calculations by Hospital'!BM300</f>
        <v>4.3999999761581421E-3</v>
      </c>
      <c r="BP300" s="13"/>
    </row>
    <row r="301" spans="1:68">
      <c r="B301" s="129" t="s">
        <v>927</v>
      </c>
      <c r="C301" s="91" t="s">
        <v>927</v>
      </c>
      <c r="D301" s="91" t="s">
        <v>214</v>
      </c>
      <c r="E301" s="91" t="s">
        <v>209</v>
      </c>
      <c r="F301" s="91"/>
      <c r="G301" s="91" t="s">
        <v>209</v>
      </c>
      <c r="H301" s="91" t="s">
        <v>209</v>
      </c>
      <c r="I301" s="150" t="s">
        <v>210</v>
      </c>
      <c r="J301" s="129" t="s">
        <v>346</v>
      </c>
      <c r="K301" s="96" t="s">
        <v>15</v>
      </c>
      <c r="L301" s="91" t="s">
        <v>928</v>
      </c>
      <c r="M301" s="151">
        <v>231476.18873182722</v>
      </c>
      <c r="N301" s="151">
        <v>3321428.6882129153</v>
      </c>
      <c r="O301" s="131">
        <v>3085685.5324890111</v>
      </c>
      <c r="P301" s="131">
        <f t="shared" si="84"/>
        <v>235743.15572390426</v>
      </c>
      <c r="Q301" s="131">
        <v>1029495.7879653887</v>
      </c>
      <c r="R301" s="131">
        <v>0</v>
      </c>
      <c r="S301" s="131">
        <f t="shared" si="85"/>
        <v>0</v>
      </c>
      <c r="T301" s="131">
        <f t="shared" si="86"/>
        <v>1029495.7879653887</v>
      </c>
      <c r="U301" s="131">
        <v>8670</v>
      </c>
      <c r="V301" s="131">
        <v>0</v>
      </c>
      <c r="W301" s="131">
        <v>0</v>
      </c>
      <c r="X301" s="131">
        <v>0</v>
      </c>
      <c r="Y301" s="131">
        <v>238798</v>
      </c>
      <c r="Z301" s="131">
        <f t="shared" si="87"/>
        <v>247468</v>
      </c>
      <c r="AA301" s="131">
        <v>0</v>
      </c>
      <c r="AB301" s="152">
        <f t="shared" si="88"/>
        <v>1276963.7879653887</v>
      </c>
      <c r="AC301" s="133">
        <f>IF(D301="Physician Group Practice",(AB301/$AB$393)*'1. UC Assumptions'!$C$15,IF(E301="Rural Hospital",AB301*'1. UC Assumptions'!$C$7/'1. UC Assumptions'!$E$7,(AB301/$AB$397)*('1. UC Assumptions'!$C$9)))</f>
        <v>600358.91484455124</v>
      </c>
      <c r="AD301" s="133">
        <f t="shared" si="89"/>
        <v>0</v>
      </c>
      <c r="AE301" s="133">
        <f t="shared" si="90"/>
        <v>676604.8731208375</v>
      </c>
      <c r="AF301" s="133">
        <f t="shared" si="91"/>
        <v>0</v>
      </c>
      <c r="AG301" s="133">
        <f t="shared" si="92"/>
        <v>676604.8731208375</v>
      </c>
      <c r="AH301" s="133">
        <f t="shared" si="93"/>
        <v>600358.91484455124</v>
      </c>
      <c r="AI301" s="131">
        <f>AH301*'1. UC Assumptions'!$C$23</f>
        <v>198118.44189870189</v>
      </c>
      <c r="AJ301" s="131">
        <v>466546.21</v>
      </c>
      <c r="AK301" s="131">
        <f>AJ301*(1-'1. UC Assumptions'!$C$22)</f>
        <v>153960.2493</v>
      </c>
      <c r="AL301" s="131"/>
      <c r="AM301" s="131">
        <f>AL301*'1. UC Assumptions'!$C$23</f>
        <v>0</v>
      </c>
      <c r="AN301" s="153">
        <f t="shared" si="94"/>
        <v>1276963.7879653887</v>
      </c>
      <c r="AO301" s="151">
        <f>AN301*'1. UC Assumptions'!$C$23</f>
        <v>421398.0500285782</v>
      </c>
      <c r="AP301" s="151">
        <f t="shared" si="95"/>
        <v>810417.57796538877</v>
      </c>
      <c r="AQ301" s="151">
        <f t="shared" si="96"/>
        <v>267437.80072857824</v>
      </c>
      <c r="AR301" s="151">
        <f t="shared" si="97"/>
        <v>267437.80072857824</v>
      </c>
      <c r="AS301" s="151">
        <f t="shared" si="98"/>
        <v>421398.05002857826</v>
      </c>
      <c r="AT301" s="151">
        <f>IF(K301="Bexar",(AG301/$AT$1)*'1. UC Assumptions'!$E$44-(AH301/$AT$2)*'1. UC Assumptions'!$E$42,0)</f>
        <v>0</v>
      </c>
      <c r="AU301" s="151">
        <f>IF(K301="Dallas",(AG301/$AU$1)*'1. UC Assumptions'!$F$44-(AH301/$AU$2)*'1. UC Assumptions'!$F$42,0)</f>
        <v>0</v>
      </c>
      <c r="AV301" s="151">
        <f>IF(K301="El Paso",(AG301/$AV$1)*'1. UC Assumptions'!$G$44-(AH301/$AV$2)*'1. UC Assumptions'!$G$42,0)</f>
        <v>0</v>
      </c>
      <c r="AW301" s="151">
        <f>IF(K301="Harris",(AG301/$AW$1)*'1. UC Assumptions'!$H$44-(AH301/$AW$2)*'1. UC Assumptions'!$H$42,0)</f>
        <v>0</v>
      </c>
      <c r="AX301" s="151">
        <f>IF(K301="Hidalgo",(AG301/$AX$1)*'1. UC Assumptions'!$I$44-(AH301/$AX$2)*'1. UC Assumptions'!$I$42,0)</f>
        <v>0</v>
      </c>
      <c r="AY301" s="151">
        <f>IF(K301="Jefferson",(AG301/$AY$1)*'1. UC Assumptions'!$J$44-(AH301/$AY$2)*'1. UC Assumptions'!$J$42,0)</f>
        <v>0</v>
      </c>
      <c r="AZ301" s="151">
        <f>IF(K301="Lubbock",(AG301/$AZ$1)*'1. UC Assumptions'!$K$44-(AH301/$AZ$2)*'1. UC Assumptions'!$K$42,0)</f>
        <v>0</v>
      </c>
      <c r="BA301" s="151">
        <f>IF(K301="MRSA Central",(AG301/$BA$1)*'1. UC Assumptions'!$L$44-(AH301/$BA$2)*'1. UC Assumptions'!$L$42,0)</f>
        <v>0</v>
      </c>
      <c r="BB301" s="151">
        <f>IF(K301="MRSA Northeast",(AG301/$BB$1)*'1. UC Assumptions'!$M$44-(AH301/$BB$2)*'1. UC Assumptions'!$M$42,0)</f>
        <v>0</v>
      </c>
      <c r="BC301" s="151">
        <f>IF(K301="MRSA West",(AG301/$BC$1)*'1. UC Assumptions'!$N$44-(AH301/$BC$2)*'1. UC Assumptions'!$N$42,0)</f>
        <v>0</v>
      </c>
      <c r="BD301" s="151">
        <f>IF(K301="Nueces",(AG301/$BD$1)*'1. UC Assumptions'!$O$44-(AH301/$BD$2)*'1. UC Assumptions'!$O$42,0)</f>
        <v>0</v>
      </c>
      <c r="BE301" s="151">
        <f>IF(K301="Tarrant",(AG301/$BE$1)*'1. UC Assumptions'!$P$44-(AH301/$BE$2)*'1. UC Assumptions'!$P$42,0)</f>
        <v>0</v>
      </c>
      <c r="BF301" s="151">
        <f>IF(K301="Travis",(AG301/$BF$1)*'1. UC Assumptions'!$Q$44-(AH301/$BF$2)*'1. UC Assumptions'!$Q$42,0)</f>
        <v>0</v>
      </c>
      <c r="BG301" s="151">
        <f t="shared" si="99"/>
        <v>0</v>
      </c>
      <c r="BH301" s="151">
        <f t="shared" si="100"/>
        <v>600358.91484455124</v>
      </c>
      <c r="BI301" s="151">
        <f>ROUNDDOWN(BH301*'1. UC Assumptions'!$C$23,2)</f>
        <v>198118.44</v>
      </c>
      <c r="BJ301" s="154">
        <f t="shared" si="101"/>
        <v>133812.70484455122</v>
      </c>
      <c r="BK301" s="154">
        <f t="shared" si="102"/>
        <v>44158.190700000006</v>
      </c>
      <c r="BL301" s="154">
        <f t="shared" si="103"/>
        <v>123538.58</v>
      </c>
      <c r="BM301" s="154">
        <f t="shared" si="104"/>
        <v>40767.730000000003</v>
      </c>
      <c r="BN301" s="101"/>
      <c r="BO301" s="154">
        <f>(BL301*'1. UC Assumptions'!$C$23)-'3.  UC Calculations by Hospital'!BM301</f>
        <v>1.3999999937368557E-3</v>
      </c>
      <c r="BP301" s="13"/>
    </row>
    <row r="302" spans="1:68">
      <c r="B302" s="129" t="s">
        <v>929</v>
      </c>
      <c r="C302" s="91" t="s">
        <v>929</v>
      </c>
      <c r="D302" s="91" t="s">
        <v>214</v>
      </c>
      <c r="E302" s="91" t="s">
        <v>209</v>
      </c>
      <c r="F302" s="91"/>
      <c r="G302" s="91" t="s">
        <v>209</v>
      </c>
      <c r="H302" s="91" t="s">
        <v>227</v>
      </c>
      <c r="I302" s="150" t="s">
        <v>210</v>
      </c>
      <c r="J302" s="129" t="s">
        <v>930</v>
      </c>
      <c r="K302" s="91" t="s">
        <v>5</v>
      </c>
      <c r="L302" s="91" t="s">
        <v>5</v>
      </c>
      <c r="M302" s="151">
        <v>-22234197.209136192</v>
      </c>
      <c r="N302" s="151">
        <v>4922197.3213027045</v>
      </c>
      <c r="O302" s="131">
        <v>4005939.0959247947</v>
      </c>
      <c r="P302" s="131">
        <f t="shared" si="84"/>
        <v>916258.22537790984</v>
      </c>
      <c r="Q302" s="131">
        <v>4502733.2873384356</v>
      </c>
      <c r="R302" s="131">
        <v>0</v>
      </c>
      <c r="S302" s="131">
        <f t="shared" si="85"/>
        <v>0</v>
      </c>
      <c r="T302" s="131">
        <f t="shared" si="86"/>
        <v>4502733.2873384356</v>
      </c>
      <c r="U302" s="131">
        <v>236217</v>
      </c>
      <c r="V302" s="131">
        <v>0</v>
      </c>
      <c r="W302" s="131">
        <v>0</v>
      </c>
      <c r="X302" s="131">
        <v>0</v>
      </c>
      <c r="Y302" s="131">
        <v>651184.55720601324</v>
      </c>
      <c r="Z302" s="131">
        <f t="shared" si="87"/>
        <v>887401.55720601324</v>
      </c>
      <c r="AA302" s="131">
        <v>0</v>
      </c>
      <c r="AB302" s="152">
        <f t="shared" si="88"/>
        <v>5390134.8445444489</v>
      </c>
      <c r="AC302" s="133">
        <f>IF(D302="Physician Group Practice",(AB302/$AB$393)*'1. UC Assumptions'!$C$15,IF(E302="Rural Hospital",AB302*'1. UC Assumptions'!$C$7/'1. UC Assumptions'!$E$7,(AB302/$AB$397)*('1. UC Assumptions'!$C$9)))</f>
        <v>2534148.2167575918</v>
      </c>
      <c r="AD302" s="133">
        <f t="shared" si="89"/>
        <v>0</v>
      </c>
      <c r="AE302" s="133">
        <f t="shared" si="90"/>
        <v>2855986.6277868571</v>
      </c>
      <c r="AF302" s="133">
        <f t="shared" si="91"/>
        <v>0</v>
      </c>
      <c r="AG302" s="133">
        <f t="shared" si="92"/>
        <v>2855986.6277868571</v>
      </c>
      <c r="AH302" s="133">
        <f t="shared" si="93"/>
        <v>2534148.2167575918</v>
      </c>
      <c r="AI302" s="131">
        <f>AH302*'1. UC Assumptions'!$C$23</f>
        <v>836268.91153000516</v>
      </c>
      <c r="AJ302" s="131">
        <v>2162592.87</v>
      </c>
      <c r="AK302" s="131">
        <f>AJ302*(1-'1. UC Assumptions'!$C$22)</f>
        <v>713655.64709999994</v>
      </c>
      <c r="AL302" s="131"/>
      <c r="AM302" s="131">
        <f>AL302*'1. UC Assumptions'!$C$23</f>
        <v>0</v>
      </c>
      <c r="AN302" s="153">
        <f t="shared" si="94"/>
        <v>5390134.8445444489</v>
      </c>
      <c r="AO302" s="151">
        <f>AN302*'1. UC Assumptions'!$C$23</f>
        <v>1778744.4986996679</v>
      </c>
      <c r="AP302" s="151">
        <f t="shared" si="95"/>
        <v>3227541.9745444488</v>
      </c>
      <c r="AQ302" s="151">
        <f t="shared" si="96"/>
        <v>1065088.8515996679</v>
      </c>
      <c r="AR302" s="151">
        <f t="shared" si="97"/>
        <v>1065088.8515996679</v>
      </c>
      <c r="AS302" s="151">
        <f t="shared" si="98"/>
        <v>1778744.4986996679</v>
      </c>
      <c r="AT302" s="151">
        <f>IF(K302="Bexar",(AG302/$AT$1)*'1. UC Assumptions'!$E$44-(AH302/$AT$2)*'1. UC Assumptions'!$E$42,0)</f>
        <v>0</v>
      </c>
      <c r="AU302" s="151">
        <f>IF(K302="Dallas",(AG302/$AU$1)*'1. UC Assumptions'!$F$44-(AH302/$AU$2)*'1. UC Assumptions'!$F$42,0)</f>
        <v>0</v>
      </c>
      <c r="AV302" s="151">
        <f>IF(K302="El Paso",(AG302/$AV$1)*'1. UC Assumptions'!$G$44-(AH302/$AV$2)*'1. UC Assumptions'!$G$42,0)</f>
        <v>0</v>
      </c>
      <c r="AW302" s="151">
        <f>IF(K302="Harris",(AG302/$AW$1)*'1. UC Assumptions'!$H$44-(AH302/$AW$2)*'1. UC Assumptions'!$H$42,0)</f>
        <v>0</v>
      </c>
      <c r="AX302" s="151">
        <f>IF(K302="Hidalgo",(AG302/$AX$1)*'1. UC Assumptions'!$I$44-(AH302/$AX$2)*'1. UC Assumptions'!$I$42,0)</f>
        <v>0</v>
      </c>
      <c r="AY302" s="151">
        <f>IF(K302="Jefferson",(AG302/$AY$1)*'1. UC Assumptions'!$J$44-(AH302/$AY$2)*'1. UC Assumptions'!$J$42,0)</f>
        <v>0</v>
      </c>
      <c r="AZ302" s="151">
        <f>IF(K302="Lubbock",(AG302/$AZ$1)*'1. UC Assumptions'!$K$44-(AH302/$AZ$2)*'1. UC Assumptions'!$K$42,0)</f>
        <v>0</v>
      </c>
      <c r="BA302" s="151">
        <f>IF(K302="MRSA Central",(AG302/$BA$1)*'1. UC Assumptions'!$L$44-(AH302/$BA$2)*'1. UC Assumptions'!$L$42,0)</f>
        <v>0</v>
      </c>
      <c r="BB302" s="151">
        <f>IF(K302="MRSA Northeast",(AG302/$BB$1)*'1. UC Assumptions'!$M$44-(AH302/$BB$2)*'1. UC Assumptions'!$M$42,0)</f>
        <v>0</v>
      </c>
      <c r="BC302" s="151">
        <f>IF(K302="MRSA West",(AG302/$BC$1)*'1. UC Assumptions'!$N$44-(AH302/$BC$2)*'1. UC Assumptions'!$N$42,0)</f>
        <v>0</v>
      </c>
      <c r="BD302" s="151">
        <f>IF(K302="Nueces",(AG302/$BD$1)*'1. UC Assumptions'!$O$44-(AH302/$BD$2)*'1. UC Assumptions'!$O$42,0)</f>
        <v>0</v>
      </c>
      <c r="BE302" s="151">
        <f>IF(K302="Tarrant",(AG302/$BE$1)*'1. UC Assumptions'!$P$44-(AH302/$BE$2)*'1. UC Assumptions'!$P$42,0)</f>
        <v>0</v>
      </c>
      <c r="BF302" s="151">
        <f>IF(K302="Travis",(AG302/$BF$1)*'1. UC Assumptions'!$Q$44-(AH302/$BF$2)*'1. UC Assumptions'!$Q$42,0)</f>
        <v>0</v>
      </c>
      <c r="BG302" s="151">
        <f t="shared" si="99"/>
        <v>0</v>
      </c>
      <c r="BH302" s="151">
        <f t="shared" si="100"/>
        <v>2534148.2167575918</v>
      </c>
      <c r="BI302" s="151">
        <f>ROUNDDOWN(BH302*'1. UC Assumptions'!$C$23,2)</f>
        <v>836268.91</v>
      </c>
      <c r="BJ302" s="154">
        <f t="shared" si="101"/>
        <v>371555.3467575917</v>
      </c>
      <c r="BK302" s="154">
        <f t="shared" si="102"/>
        <v>122613.26290000009</v>
      </c>
      <c r="BL302" s="154">
        <f t="shared" si="103"/>
        <v>343027.36</v>
      </c>
      <c r="BM302" s="154">
        <f t="shared" si="104"/>
        <v>113199.03</v>
      </c>
      <c r="BN302" s="101"/>
      <c r="BO302" s="154">
        <f>(BL302*'1. UC Assumptions'!$C$23)-'3.  UC Calculations by Hospital'!BM302</f>
        <v>-1.2000000133411959E-3</v>
      </c>
      <c r="BP302" s="13"/>
    </row>
    <row r="303" spans="1:68">
      <c r="B303" s="129" t="s">
        <v>931</v>
      </c>
      <c r="C303" s="91" t="s">
        <v>931</v>
      </c>
      <c r="D303" s="91" t="s">
        <v>214</v>
      </c>
      <c r="E303" s="91" t="s">
        <v>209</v>
      </c>
      <c r="F303" s="91"/>
      <c r="G303" s="91" t="s">
        <v>209</v>
      </c>
      <c r="H303" s="91" t="s">
        <v>209</v>
      </c>
      <c r="I303" s="150" t="s">
        <v>210</v>
      </c>
      <c r="J303" s="129" t="s">
        <v>932</v>
      </c>
      <c r="K303" s="91" t="s">
        <v>7</v>
      </c>
      <c r="L303" s="91" t="s">
        <v>237</v>
      </c>
      <c r="M303" s="151">
        <v>-28568909.237365305</v>
      </c>
      <c r="N303" s="151">
        <v>28448055.526189703</v>
      </c>
      <c r="O303" s="131">
        <v>21394518.748861961</v>
      </c>
      <c r="P303" s="131">
        <f t="shared" si="84"/>
        <v>7053536.7773277424</v>
      </c>
      <c r="Q303" s="131">
        <v>24403183.534968406</v>
      </c>
      <c r="R303" s="131">
        <v>0</v>
      </c>
      <c r="S303" s="131">
        <f t="shared" si="85"/>
        <v>0</v>
      </c>
      <c r="T303" s="131">
        <f t="shared" si="86"/>
        <v>24403183.534968406</v>
      </c>
      <c r="U303" s="131">
        <v>1103243</v>
      </c>
      <c r="V303" s="131">
        <v>0</v>
      </c>
      <c r="W303" s="131">
        <v>0</v>
      </c>
      <c r="X303" s="131">
        <v>0</v>
      </c>
      <c r="Y303" s="131">
        <v>0</v>
      </c>
      <c r="Z303" s="131">
        <f t="shared" si="87"/>
        <v>1103243</v>
      </c>
      <c r="AA303" s="131">
        <v>0</v>
      </c>
      <c r="AB303" s="152">
        <f t="shared" si="88"/>
        <v>25506426.534968406</v>
      </c>
      <c r="AC303" s="133">
        <f>IF(D303="Physician Group Practice",(AB303/$AB$393)*'1. UC Assumptions'!$C$15,IF(E303="Rural Hospital",AB303*'1. UC Assumptions'!$C$7/'1. UC Assumptions'!$E$7,(AB303/$AB$397)*('1. UC Assumptions'!$C$9)))</f>
        <v>11991734.378383916</v>
      </c>
      <c r="AD303" s="133">
        <f t="shared" si="89"/>
        <v>0</v>
      </c>
      <c r="AE303" s="133">
        <f t="shared" si="90"/>
        <v>13514692.15658449</v>
      </c>
      <c r="AF303" s="133">
        <f t="shared" si="91"/>
        <v>0</v>
      </c>
      <c r="AG303" s="133">
        <f t="shared" si="92"/>
        <v>13514692.15658449</v>
      </c>
      <c r="AH303" s="133">
        <f t="shared" si="93"/>
        <v>11991734.378383916</v>
      </c>
      <c r="AI303" s="131">
        <f>AH303*'1. UC Assumptions'!$C$23</f>
        <v>3957272.3448666916</v>
      </c>
      <c r="AJ303" s="131">
        <v>12483488.23</v>
      </c>
      <c r="AK303" s="131">
        <f>AJ303*(1-'1. UC Assumptions'!$C$22)</f>
        <v>4119551.1158999996</v>
      </c>
      <c r="AL303" s="131"/>
      <c r="AM303" s="131">
        <f>AL303*'1. UC Assumptions'!$C$23</f>
        <v>0</v>
      </c>
      <c r="AN303" s="153">
        <f t="shared" si="94"/>
        <v>25506426.534968406</v>
      </c>
      <c r="AO303" s="151">
        <f>AN303*'1. UC Assumptions'!$C$23</f>
        <v>8417120.756539572</v>
      </c>
      <c r="AP303" s="151">
        <f t="shared" si="95"/>
        <v>13022938.304968406</v>
      </c>
      <c r="AQ303" s="151">
        <f t="shared" si="96"/>
        <v>4297569.6406395724</v>
      </c>
      <c r="AR303" s="151">
        <f t="shared" si="97"/>
        <v>4297569.6406395724</v>
      </c>
      <c r="AS303" s="151">
        <f t="shared" si="98"/>
        <v>8417120.756539572</v>
      </c>
      <c r="AT303" s="151">
        <f>IF(K303="Bexar",(AG303/$AT$1)*'1. UC Assumptions'!$E$44-(AH303/$AT$2)*'1. UC Assumptions'!$E$42,0)</f>
        <v>0</v>
      </c>
      <c r="AU303" s="151">
        <f>IF(K303="Dallas",(AG303/$AU$1)*'1. UC Assumptions'!$F$44-(AH303/$AU$2)*'1. UC Assumptions'!$F$42,0)</f>
        <v>0</v>
      </c>
      <c r="AV303" s="151">
        <f>IF(K303="El Paso",(AG303/$AV$1)*'1. UC Assumptions'!$G$44-(AH303/$AV$2)*'1. UC Assumptions'!$G$42,0)</f>
        <v>0</v>
      </c>
      <c r="AW303" s="151">
        <f>IF(K303="Harris",(AG303/$AW$1)*'1. UC Assumptions'!$H$44-(AH303/$AW$2)*'1. UC Assumptions'!$H$42,0)</f>
        <v>0</v>
      </c>
      <c r="AX303" s="151">
        <f>IF(K303="Hidalgo",(AG303/$AX$1)*'1. UC Assumptions'!$I$44-(AH303/$AX$2)*'1. UC Assumptions'!$I$42,0)</f>
        <v>0</v>
      </c>
      <c r="AY303" s="151">
        <f>IF(K303="Jefferson",(AG303/$AY$1)*'1. UC Assumptions'!$J$44-(AH303/$AY$2)*'1. UC Assumptions'!$J$42,0)</f>
        <v>0</v>
      </c>
      <c r="AZ303" s="151">
        <f>IF(K303="Lubbock",(AG303/$AZ$1)*'1. UC Assumptions'!$K$44-(AH303/$AZ$2)*'1. UC Assumptions'!$K$42,0)</f>
        <v>0</v>
      </c>
      <c r="BA303" s="151">
        <f>IF(K303="MRSA Central",(AG303/$BA$1)*'1. UC Assumptions'!$L$44-(AH303/$BA$2)*'1. UC Assumptions'!$L$42,0)</f>
        <v>0</v>
      </c>
      <c r="BB303" s="151">
        <f>IF(K303="MRSA Northeast",(AG303/$BB$1)*'1. UC Assumptions'!$M$44-(AH303/$BB$2)*'1. UC Assumptions'!$M$42,0)</f>
        <v>0</v>
      </c>
      <c r="BC303" s="151">
        <f>IF(K303="MRSA West",(AG303/$BC$1)*'1. UC Assumptions'!$N$44-(AH303/$BC$2)*'1. UC Assumptions'!$N$42,0)</f>
        <v>0</v>
      </c>
      <c r="BD303" s="151">
        <f>IF(K303="Nueces",(AG303/$BD$1)*'1. UC Assumptions'!$O$44-(AH303/$BD$2)*'1. UC Assumptions'!$O$42,0)</f>
        <v>0</v>
      </c>
      <c r="BE303" s="151">
        <f>IF(K303="Tarrant",(AG303/$BE$1)*'1. UC Assumptions'!$P$44-(AH303/$BE$2)*'1. UC Assumptions'!$P$42,0)</f>
        <v>0</v>
      </c>
      <c r="BF303" s="151">
        <f>IF(K303="Travis",(AG303/$BF$1)*'1. UC Assumptions'!$Q$44-(AH303/$BF$2)*'1. UC Assumptions'!$Q$42,0)</f>
        <v>0</v>
      </c>
      <c r="BG303" s="151">
        <f t="shared" si="99"/>
        <v>0</v>
      </c>
      <c r="BH303" s="151">
        <f t="shared" si="100"/>
        <v>11991734.378383916</v>
      </c>
      <c r="BI303" s="151">
        <f>ROUNDDOWN(BH303*'1. UC Assumptions'!$C$23,2)</f>
        <v>3957272.34</v>
      </c>
      <c r="BJ303" s="154">
        <f t="shared" si="101"/>
        <v>-491753.85161608458</v>
      </c>
      <c r="BK303" s="154">
        <f t="shared" si="102"/>
        <v>-162278.77589999977</v>
      </c>
      <c r="BL303" s="154">
        <f t="shared" si="103"/>
        <v>0</v>
      </c>
      <c r="BM303" s="154">
        <f t="shared" si="104"/>
        <v>0</v>
      </c>
      <c r="BN303" s="101"/>
      <c r="BO303" s="154">
        <f>(BL303*'1. UC Assumptions'!$C$23)-'3.  UC Calculations by Hospital'!BM303</f>
        <v>0</v>
      </c>
      <c r="BP303" s="13"/>
    </row>
    <row r="304" spans="1:68">
      <c r="B304" s="129" t="s">
        <v>933</v>
      </c>
      <c r="C304" s="91" t="s">
        <v>933</v>
      </c>
      <c r="D304" s="91" t="s">
        <v>214</v>
      </c>
      <c r="E304" s="91" t="s">
        <v>209</v>
      </c>
      <c r="F304" s="91"/>
      <c r="G304" s="91" t="s">
        <v>209</v>
      </c>
      <c r="H304" s="91" t="s">
        <v>209</v>
      </c>
      <c r="I304" s="150" t="s">
        <v>210</v>
      </c>
      <c r="J304" s="129" t="s">
        <v>934</v>
      </c>
      <c r="K304" s="91" t="s">
        <v>7</v>
      </c>
      <c r="L304" s="91" t="s">
        <v>237</v>
      </c>
      <c r="M304" s="151">
        <v>-11346707.060947821</v>
      </c>
      <c r="N304" s="151">
        <v>14883653.455298161</v>
      </c>
      <c r="O304" s="131">
        <v>8655691.39020909</v>
      </c>
      <c r="P304" s="131">
        <f t="shared" si="84"/>
        <v>6227962.0650890712</v>
      </c>
      <c r="Q304" s="131">
        <v>15941039.22227872</v>
      </c>
      <c r="R304" s="131">
        <v>3524697.21</v>
      </c>
      <c r="S304" s="131">
        <f t="shared" si="85"/>
        <v>3524697.21</v>
      </c>
      <c r="T304" s="131">
        <f t="shared" si="86"/>
        <v>12416342.012278721</v>
      </c>
      <c r="U304" s="131">
        <v>1220802</v>
      </c>
      <c r="V304" s="131">
        <v>0</v>
      </c>
      <c r="W304" s="131">
        <v>0</v>
      </c>
      <c r="X304" s="131">
        <v>0</v>
      </c>
      <c r="Y304" s="131">
        <v>0</v>
      </c>
      <c r="Z304" s="131">
        <f t="shared" si="87"/>
        <v>1220802</v>
      </c>
      <c r="AA304" s="131">
        <v>0</v>
      </c>
      <c r="AB304" s="152">
        <f t="shared" si="88"/>
        <v>13637144.012278721</v>
      </c>
      <c r="AC304" s="133">
        <f>IF(D304="Physician Group Practice",(AB304/$AB$393)*'1. UC Assumptions'!$C$15,IF(E304="Rural Hospital",AB304*'1. UC Assumptions'!$C$7/'1. UC Assumptions'!$E$7,(AB304/$AB$397)*('1. UC Assumptions'!$C$9)))</f>
        <v>6411443.3454963649</v>
      </c>
      <c r="AD304" s="133">
        <f t="shared" si="89"/>
        <v>0</v>
      </c>
      <c r="AE304" s="133">
        <f t="shared" si="90"/>
        <v>7225700.6667823559</v>
      </c>
      <c r="AF304" s="133">
        <f t="shared" si="91"/>
        <v>0</v>
      </c>
      <c r="AG304" s="133">
        <f t="shared" si="92"/>
        <v>7225700.6667823559</v>
      </c>
      <c r="AH304" s="133">
        <f t="shared" si="93"/>
        <v>6411443.3454963649</v>
      </c>
      <c r="AI304" s="131">
        <f>AH304*'1. UC Assumptions'!$C$23</f>
        <v>2115776.3040138003</v>
      </c>
      <c r="AJ304" s="131">
        <v>7952247.8399999999</v>
      </c>
      <c r="AK304" s="131">
        <f>AJ304*(1-'1. UC Assumptions'!$C$22)</f>
        <v>2624241.7871999997</v>
      </c>
      <c r="AL304" s="131"/>
      <c r="AM304" s="131">
        <f>AL304*'1. UC Assumptions'!$C$23</f>
        <v>0</v>
      </c>
      <c r="AN304" s="153">
        <f t="shared" si="94"/>
        <v>13637144.012278721</v>
      </c>
      <c r="AO304" s="151">
        <f>AN304*'1. UC Assumptions'!$C$23</f>
        <v>4500257.5240519773</v>
      </c>
      <c r="AP304" s="151">
        <f t="shared" si="95"/>
        <v>5684896.1722787209</v>
      </c>
      <c r="AQ304" s="151">
        <f t="shared" si="96"/>
        <v>1876015.7368519777</v>
      </c>
      <c r="AR304" s="151">
        <f t="shared" si="97"/>
        <v>1876015.7368519777</v>
      </c>
      <c r="AS304" s="151">
        <f t="shared" si="98"/>
        <v>4500257.5240519773</v>
      </c>
      <c r="AT304" s="151">
        <f>IF(K304="Bexar",(AG304/$AT$1)*'1. UC Assumptions'!$E$44-(AH304/$AT$2)*'1. UC Assumptions'!$E$42,0)</f>
        <v>0</v>
      </c>
      <c r="AU304" s="151">
        <f>IF(K304="Dallas",(AG304/$AU$1)*'1. UC Assumptions'!$F$44-(AH304/$AU$2)*'1. UC Assumptions'!$F$42,0)</f>
        <v>0</v>
      </c>
      <c r="AV304" s="151">
        <f>IF(K304="El Paso",(AG304/$AV$1)*'1. UC Assumptions'!$G$44-(AH304/$AV$2)*'1. UC Assumptions'!$G$42,0)</f>
        <v>0</v>
      </c>
      <c r="AW304" s="151">
        <f>IF(K304="Harris",(AG304/$AW$1)*'1. UC Assumptions'!$H$44-(AH304/$AW$2)*'1. UC Assumptions'!$H$42,0)</f>
        <v>0</v>
      </c>
      <c r="AX304" s="151">
        <f>IF(K304="Hidalgo",(AG304/$AX$1)*'1. UC Assumptions'!$I$44-(AH304/$AX$2)*'1. UC Assumptions'!$I$42,0)</f>
        <v>0</v>
      </c>
      <c r="AY304" s="151">
        <f>IF(K304="Jefferson",(AG304/$AY$1)*'1. UC Assumptions'!$J$44-(AH304/$AY$2)*'1. UC Assumptions'!$J$42,0)</f>
        <v>0</v>
      </c>
      <c r="AZ304" s="151">
        <f>IF(K304="Lubbock",(AG304/$AZ$1)*'1. UC Assumptions'!$K$44-(AH304/$AZ$2)*'1. UC Assumptions'!$K$42,0)</f>
        <v>0</v>
      </c>
      <c r="BA304" s="151">
        <f>IF(K304="MRSA Central",(AG304/$BA$1)*'1. UC Assumptions'!$L$44-(AH304/$BA$2)*'1. UC Assumptions'!$L$42,0)</f>
        <v>0</v>
      </c>
      <c r="BB304" s="151">
        <f>IF(K304="MRSA Northeast",(AG304/$BB$1)*'1. UC Assumptions'!$M$44-(AH304/$BB$2)*'1. UC Assumptions'!$M$42,0)</f>
        <v>0</v>
      </c>
      <c r="BC304" s="151">
        <f>IF(K304="MRSA West",(AG304/$BC$1)*'1. UC Assumptions'!$N$44-(AH304/$BC$2)*'1. UC Assumptions'!$N$42,0)</f>
        <v>0</v>
      </c>
      <c r="BD304" s="151">
        <f>IF(K304="Nueces",(AG304/$BD$1)*'1. UC Assumptions'!$O$44-(AH304/$BD$2)*'1. UC Assumptions'!$O$42,0)</f>
        <v>0</v>
      </c>
      <c r="BE304" s="151">
        <f>IF(K304="Tarrant",(AG304/$BE$1)*'1. UC Assumptions'!$P$44-(AH304/$BE$2)*'1. UC Assumptions'!$P$42,0)</f>
        <v>0</v>
      </c>
      <c r="BF304" s="151">
        <f>IF(K304="Travis",(AG304/$BF$1)*'1. UC Assumptions'!$Q$44-(AH304/$BF$2)*'1. UC Assumptions'!$Q$42,0)</f>
        <v>0</v>
      </c>
      <c r="BG304" s="151">
        <f t="shared" si="99"/>
        <v>0</v>
      </c>
      <c r="BH304" s="151">
        <f t="shared" si="100"/>
        <v>6411443.3454963649</v>
      </c>
      <c r="BI304" s="151">
        <f>ROUNDDOWN(BH304*'1. UC Assumptions'!$C$23,2)</f>
        <v>2115776.2999999998</v>
      </c>
      <c r="BJ304" s="154">
        <f t="shared" si="101"/>
        <v>-1540804.494503635</v>
      </c>
      <c r="BK304" s="154">
        <f t="shared" si="102"/>
        <v>-508465.48719999986</v>
      </c>
      <c r="BL304" s="154">
        <f t="shared" si="103"/>
        <v>0</v>
      </c>
      <c r="BM304" s="154">
        <f t="shared" si="104"/>
        <v>0</v>
      </c>
      <c r="BN304" s="101"/>
      <c r="BO304" s="154">
        <f>(BL304*'1. UC Assumptions'!$C$23)-'3.  UC Calculations by Hospital'!BM304</f>
        <v>0</v>
      </c>
      <c r="BP304" s="13"/>
    </row>
    <row r="305" spans="2:68">
      <c r="B305" s="129" t="s">
        <v>935</v>
      </c>
      <c r="C305" s="91" t="s">
        <v>935</v>
      </c>
      <c r="D305" s="91" t="s">
        <v>214</v>
      </c>
      <c r="E305" s="91" t="s">
        <v>209</v>
      </c>
      <c r="F305" s="91"/>
      <c r="G305" s="91" t="s">
        <v>209</v>
      </c>
      <c r="H305" s="91" t="s">
        <v>209</v>
      </c>
      <c r="I305" s="150" t="s">
        <v>210</v>
      </c>
      <c r="J305" s="129" t="s">
        <v>936</v>
      </c>
      <c r="K305" s="91" t="s">
        <v>6</v>
      </c>
      <c r="L305" s="91" t="s">
        <v>384</v>
      </c>
      <c r="M305" s="151">
        <v>5055237.9321281612</v>
      </c>
      <c r="N305" s="151">
        <v>0</v>
      </c>
      <c r="O305" s="131">
        <v>0</v>
      </c>
      <c r="P305" s="131">
        <f t="shared" si="84"/>
        <v>0</v>
      </c>
      <c r="Q305" s="131">
        <v>6011444.8451454537</v>
      </c>
      <c r="R305" s="131">
        <v>0</v>
      </c>
      <c r="S305" s="131">
        <f t="shared" si="85"/>
        <v>0</v>
      </c>
      <c r="T305" s="131">
        <f t="shared" si="86"/>
        <v>6011444.8451454537</v>
      </c>
      <c r="U305" s="131">
        <v>0</v>
      </c>
      <c r="V305" s="131">
        <v>0</v>
      </c>
      <c r="W305" s="131">
        <v>0</v>
      </c>
      <c r="X305" s="131">
        <v>0</v>
      </c>
      <c r="Y305" s="131">
        <v>0</v>
      </c>
      <c r="Z305" s="131">
        <f t="shared" si="87"/>
        <v>0</v>
      </c>
      <c r="AA305" s="131">
        <v>0</v>
      </c>
      <c r="AB305" s="152">
        <f t="shared" si="88"/>
        <v>6011444.8451454537</v>
      </c>
      <c r="AC305" s="133">
        <f>IF(D305="Physician Group Practice",(AB305/$AB$393)*'1. UC Assumptions'!$C$15,IF(E305="Rural Hospital",AB305*'1. UC Assumptions'!$C$7/'1. UC Assumptions'!$E$7,(AB305/$AB$397)*('1. UC Assumptions'!$C$9)))</f>
        <v>2826254.3839475084</v>
      </c>
      <c r="AD305" s="133">
        <f t="shared" si="89"/>
        <v>0</v>
      </c>
      <c r="AE305" s="133">
        <f t="shared" si="90"/>
        <v>3185190.4611979453</v>
      </c>
      <c r="AF305" s="133">
        <f t="shared" si="91"/>
        <v>0</v>
      </c>
      <c r="AG305" s="133">
        <f t="shared" si="92"/>
        <v>3185190.4611979453</v>
      </c>
      <c r="AH305" s="133">
        <f t="shared" si="93"/>
        <v>2826254.3839475084</v>
      </c>
      <c r="AI305" s="131">
        <f>AH305*'1. UC Assumptions'!$C$23</f>
        <v>932663.94670267764</v>
      </c>
      <c r="AJ305" s="131">
        <v>2487053.29</v>
      </c>
      <c r="AK305" s="131">
        <f>AJ305*(1-'1. UC Assumptions'!$C$22)</f>
        <v>820727.58569999994</v>
      </c>
      <c r="AL305" s="131"/>
      <c r="AM305" s="131">
        <f>AL305*'1. UC Assumptions'!$C$23</f>
        <v>0</v>
      </c>
      <c r="AN305" s="153">
        <f t="shared" si="94"/>
        <v>6011444.8451454537</v>
      </c>
      <c r="AO305" s="151">
        <f>AN305*'1. UC Assumptions'!$C$23</f>
        <v>1983776.7988979996</v>
      </c>
      <c r="AP305" s="151">
        <f t="shared" si="95"/>
        <v>3524391.5551454537</v>
      </c>
      <c r="AQ305" s="151">
        <f t="shared" si="96"/>
        <v>1163049.2131979996</v>
      </c>
      <c r="AR305" s="151">
        <f t="shared" si="97"/>
        <v>1163049.2131979996</v>
      </c>
      <c r="AS305" s="151">
        <f t="shared" si="98"/>
        <v>1983776.7988979996</v>
      </c>
      <c r="AT305" s="151">
        <f>IF(K305="Bexar",(AG305/$AT$1)*'1. UC Assumptions'!$E$44-(AH305/$AT$2)*'1. UC Assumptions'!$E$42,0)</f>
        <v>0</v>
      </c>
      <c r="AU305" s="151">
        <f>IF(K305="Dallas",(AG305/$AU$1)*'1. UC Assumptions'!$F$44-(AH305/$AU$2)*'1. UC Assumptions'!$F$42,0)</f>
        <v>0</v>
      </c>
      <c r="AV305" s="151">
        <f>IF(K305="El Paso",(AG305/$AV$1)*'1. UC Assumptions'!$G$44-(AH305/$AV$2)*'1. UC Assumptions'!$G$42,0)</f>
        <v>0</v>
      </c>
      <c r="AW305" s="151">
        <f>IF(K305="Harris",(AG305/$AW$1)*'1. UC Assumptions'!$H$44-(AH305/$AW$2)*'1. UC Assumptions'!$H$42,0)</f>
        <v>0</v>
      </c>
      <c r="AX305" s="151">
        <f>IF(K305="Hidalgo",(AG305/$AX$1)*'1. UC Assumptions'!$I$44-(AH305/$AX$2)*'1. UC Assumptions'!$I$42,0)</f>
        <v>0</v>
      </c>
      <c r="AY305" s="151">
        <f>IF(K305="Jefferson",(AG305/$AY$1)*'1. UC Assumptions'!$J$44-(AH305/$AY$2)*'1. UC Assumptions'!$J$42,0)</f>
        <v>0</v>
      </c>
      <c r="AZ305" s="151">
        <f>IF(K305="Lubbock",(AG305/$AZ$1)*'1. UC Assumptions'!$K$44-(AH305/$AZ$2)*'1. UC Assumptions'!$K$42,0)</f>
        <v>0</v>
      </c>
      <c r="BA305" s="151">
        <f>IF(K305="MRSA Central",(AG305/$BA$1)*'1. UC Assumptions'!$L$44-(AH305/$BA$2)*'1. UC Assumptions'!$L$42,0)</f>
        <v>0</v>
      </c>
      <c r="BB305" s="151">
        <f>IF(K305="MRSA Northeast",(AG305/$BB$1)*'1. UC Assumptions'!$M$44-(AH305/$BB$2)*'1. UC Assumptions'!$M$42,0)</f>
        <v>0</v>
      </c>
      <c r="BC305" s="151">
        <f>IF(K305="MRSA West",(AG305/$BC$1)*'1. UC Assumptions'!$N$44-(AH305/$BC$2)*'1. UC Assumptions'!$N$42,0)</f>
        <v>0</v>
      </c>
      <c r="BD305" s="151">
        <f>IF(K305="Nueces",(AG305/$BD$1)*'1. UC Assumptions'!$O$44-(AH305/$BD$2)*'1. UC Assumptions'!$O$42,0)</f>
        <v>0</v>
      </c>
      <c r="BE305" s="151">
        <f>IF(K305="Tarrant",(AG305/$BE$1)*'1. UC Assumptions'!$P$44-(AH305/$BE$2)*'1. UC Assumptions'!$P$42,0)</f>
        <v>0</v>
      </c>
      <c r="BF305" s="151">
        <f>IF(K305="Travis",(AG305/$BF$1)*'1. UC Assumptions'!$Q$44-(AH305/$BF$2)*'1. UC Assumptions'!$Q$42,0)</f>
        <v>0</v>
      </c>
      <c r="BG305" s="151">
        <f t="shared" si="99"/>
        <v>0</v>
      </c>
      <c r="BH305" s="151">
        <f t="shared" si="100"/>
        <v>2826254.3839475084</v>
      </c>
      <c r="BI305" s="151">
        <f>ROUNDDOWN(BH305*'1. UC Assumptions'!$C$23,2)</f>
        <v>932663.94</v>
      </c>
      <c r="BJ305" s="154">
        <f t="shared" si="101"/>
        <v>339201.09394750837</v>
      </c>
      <c r="BK305" s="154">
        <f t="shared" si="102"/>
        <v>111936.35430000001</v>
      </c>
      <c r="BL305" s="154">
        <f t="shared" si="103"/>
        <v>313157.26</v>
      </c>
      <c r="BM305" s="154">
        <f t="shared" si="104"/>
        <v>103341.89</v>
      </c>
      <c r="BN305" s="101"/>
      <c r="BO305" s="154">
        <f>(BL305*'1. UC Assumptions'!$C$23)-'3.  UC Calculations by Hospital'!BM305</f>
        <v>5.799999984446913E-3</v>
      </c>
      <c r="BP305" s="13"/>
    </row>
    <row r="306" spans="2:68">
      <c r="B306" s="129" t="s">
        <v>937</v>
      </c>
      <c r="C306" s="91" t="s">
        <v>937</v>
      </c>
      <c r="D306" s="91" t="s">
        <v>214</v>
      </c>
      <c r="E306" s="91" t="s">
        <v>149</v>
      </c>
      <c r="F306" s="91"/>
      <c r="G306" s="91" t="s">
        <v>209</v>
      </c>
      <c r="H306" s="91" t="s">
        <v>209</v>
      </c>
      <c r="I306" s="150" t="s">
        <v>210</v>
      </c>
      <c r="J306" s="129" t="s">
        <v>938</v>
      </c>
      <c r="K306" s="91" t="s">
        <v>12</v>
      </c>
      <c r="L306" s="91" t="s">
        <v>939</v>
      </c>
      <c r="M306" s="151">
        <v>-1063843.2354808829</v>
      </c>
      <c r="N306" s="151">
        <v>2244997.4637598214</v>
      </c>
      <c r="O306" s="131">
        <v>400114.05397859839</v>
      </c>
      <c r="P306" s="131">
        <f t="shared" si="84"/>
        <v>1844883.4097812229</v>
      </c>
      <c r="Q306" s="131">
        <v>746608.1176026368</v>
      </c>
      <c r="R306" s="131">
        <v>411184.6</v>
      </c>
      <c r="S306" s="131">
        <f t="shared" si="85"/>
        <v>0</v>
      </c>
      <c r="T306" s="131">
        <f t="shared" si="86"/>
        <v>746608.1176026368</v>
      </c>
      <c r="U306" s="131">
        <v>0</v>
      </c>
      <c r="V306" s="131">
        <v>0</v>
      </c>
      <c r="W306" s="131">
        <v>0</v>
      </c>
      <c r="X306" s="131">
        <v>0</v>
      </c>
      <c r="Y306" s="131">
        <v>0</v>
      </c>
      <c r="Z306" s="131">
        <f t="shared" si="87"/>
        <v>0</v>
      </c>
      <c r="AA306" s="131">
        <v>0</v>
      </c>
      <c r="AB306" s="152">
        <f t="shared" si="88"/>
        <v>746608.1176026368</v>
      </c>
      <c r="AC306" s="133">
        <f>IF(D306="Physician Group Practice",(AB306/$AB$393)*'1. UC Assumptions'!$C$15,IF(E306="Rural Hospital",AB306*'1. UC Assumptions'!$C$7/'1. UC Assumptions'!$E$7,(AB306/$AB$397)*('1. UC Assumptions'!$C$9)))</f>
        <v>696910.54012426024</v>
      </c>
      <c r="AD306" s="133">
        <f t="shared" si="89"/>
        <v>0</v>
      </c>
      <c r="AE306" s="133">
        <f t="shared" si="90"/>
        <v>49697.577478376566</v>
      </c>
      <c r="AF306" s="133">
        <f t="shared" si="91"/>
        <v>0</v>
      </c>
      <c r="AG306" s="133">
        <f t="shared" si="92"/>
        <v>49697.577478376566</v>
      </c>
      <c r="AH306" s="133">
        <f t="shared" si="93"/>
        <v>696910.54012426024</v>
      </c>
      <c r="AI306" s="131">
        <f>AH306*'1. UC Assumptions'!$C$23</f>
        <v>229980.47824100585</v>
      </c>
      <c r="AJ306" s="131">
        <v>563220.21</v>
      </c>
      <c r="AK306" s="131">
        <f>AJ306*(1-'1. UC Assumptions'!$C$22)</f>
        <v>185862.66929999998</v>
      </c>
      <c r="AL306" s="131"/>
      <c r="AM306" s="131">
        <f>AL306*'1. UC Assumptions'!$C$23</f>
        <v>0</v>
      </c>
      <c r="AN306" s="153">
        <f t="shared" si="94"/>
        <v>746608.1176026368</v>
      </c>
      <c r="AO306" s="151">
        <f>AN306*'1. UC Assumptions'!$C$23</f>
        <v>246380.67880887011</v>
      </c>
      <c r="AP306" s="151">
        <f t="shared" si="95"/>
        <v>183387.90760263684</v>
      </c>
      <c r="AQ306" s="151">
        <f t="shared" si="96"/>
        <v>60518.009508870135</v>
      </c>
      <c r="AR306" s="151">
        <f t="shared" si="97"/>
        <v>60518.009508870135</v>
      </c>
      <c r="AS306" s="151">
        <f t="shared" si="98"/>
        <v>246380.67880887011</v>
      </c>
      <c r="AT306" s="151">
        <f>IF(K306="Bexar",(AG306/$AT$1)*'1. UC Assumptions'!$E$44-(AH306/$AT$2)*'1. UC Assumptions'!$E$42,0)</f>
        <v>0</v>
      </c>
      <c r="AU306" s="151">
        <f>IF(K306="Dallas",(AG306/$AU$1)*'1. UC Assumptions'!$F$44-(AH306/$AU$2)*'1. UC Assumptions'!$F$42,0)</f>
        <v>0</v>
      </c>
      <c r="AV306" s="151">
        <f>IF(K306="El Paso",(AG306/$AV$1)*'1. UC Assumptions'!$G$44-(AH306/$AV$2)*'1. UC Assumptions'!$G$42,0)</f>
        <v>0</v>
      </c>
      <c r="AW306" s="151">
        <f>IF(K306="Harris",(AG306/$AW$1)*'1. UC Assumptions'!$H$44-(AH306/$AW$2)*'1. UC Assumptions'!$H$42,0)</f>
        <v>0</v>
      </c>
      <c r="AX306" s="151">
        <f>IF(K306="Hidalgo",(AG306/$AX$1)*'1. UC Assumptions'!$I$44-(AH306/$AX$2)*'1. UC Assumptions'!$I$42,0)</f>
        <v>0</v>
      </c>
      <c r="AY306" s="151">
        <f>IF(K306="Jefferson",(AG306/$AY$1)*'1. UC Assumptions'!$J$44-(AH306/$AY$2)*'1. UC Assumptions'!$J$42,0)</f>
        <v>0</v>
      </c>
      <c r="AZ306" s="151">
        <f>IF(K306="Lubbock",(AG306/$AZ$1)*'1. UC Assumptions'!$K$44-(AH306/$AZ$2)*'1. UC Assumptions'!$K$42,0)</f>
        <v>0</v>
      </c>
      <c r="BA306" s="151">
        <f>IF(K306="MRSA Central",(AG306/$BA$1)*'1. UC Assumptions'!$L$44-(AH306/$BA$2)*'1. UC Assumptions'!$L$42,0)</f>
        <v>0</v>
      </c>
      <c r="BB306" s="151">
        <f>IF(K306="MRSA Northeast",(AG306/$BB$1)*'1. UC Assumptions'!$M$44-(AH306/$BB$2)*'1. UC Assumptions'!$M$42,0)</f>
        <v>0</v>
      </c>
      <c r="BC306" s="151">
        <f>IF(K306="MRSA West",(AG306/$BC$1)*'1. UC Assumptions'!$N$44-(AH306/$BC$2)*'1. UC Assumptions'!$N$42,0)</f>
        <v>0</v>
      </c>
      <c r="BD306" s="151">
        <f>IF(K306="Nueces",(AG306/$BD$1)*'1. UC Assumptions'!$O$44-(AH306/$BD$2)*'1. UC Assumptions'!$O$42,0)</f>
        <v>0</v>
      </c>
      <c r="BE306" s="151">
        <f>IF(K306="Tarrant",(AG306/$BE$1)*'1. UC Assumptions'!$P$44-(AH306/$BE$2)*'1. UC Assumptions'!$P$42,0)</f>
        <v>0</v>
      </c>
      <c r="BF306" s="151">
        <f>IF(K306="Travis",(AG306/$BF$1)*'1. UC Assumptions'!$Q$44-(AH306/$BF$2)*'1. UC Assumptions'!$Q$42,0)</f>
        <v>0</v>
      </c>
      <c r="BG306" s="151">
        <f t="shared" si="99"/>
        <v>0</v>
      </c>
      <c r="BH306" s="151">
        <f t="shared" si="100"/>
        <v>696910.54012426024</v>
      </c>
      <c r="BI306" s="151">
        <f>ROUNDDOWN(BH306*'1. UC Assumptions'!$C$23,2)</f>
        <v>229980.47</v>
      </c>
      <c r="BJ306" s="154">
        <f t="shared" si="101"/>
        <v>133690.33012426028</v>
      </c>
      <c r="BK306" s="154">
        <f t="shared" si="102"/>
        <v>44117.800700000022</v>
      </c>
      <c r="BL306" s="154">
        <f t="shared" si="103"/>
        <v>123425.60000000001</v>
      </c>
      <c r="BM306" s="154">
        <f t="shared" si="104"/>
        <v>40730.44</v>
      </c>
      <c r="BN306" s="101"/>
      <c r="BO306" s="154">
        <f>(BL306*'1. UC Assumptions'!$C$23)-'3.  UC Calculations by Hospital'!BM306</f>
        <v>7.9999999943538569E-3</v>
      </c>
      <c r="BP306" s="13"/>
    </row>
    <row r="307" spans="2:68">
      <c r="B307" s="129" t="s">
        <v>940</v>
      </c>
      <c r="C307" s="91" t="s">
        <v>940</v>
      </c>
      <c r="D307" s="91" t="s">
        <v>214</v>
      </c>
      <c r="E307" s="91" t="s">
        <v>149</v>
      </c>
      <c r="F307" s="91"/>
      <c r="G307" s="91" t="s">
        <v>209</v>
      </c>
      <c r="H307" s="91" t="s">
        <v>209</v>
      </c>
      <c r="I307" s="150" t="s">
        <v>210</v>
      </c>
      <c r="J307" s="129" t="s">
        <v>941</v>
      </c>
      <c r="K307" s="91" t="s">
        <v>6</v>
      </c>
      <c r="L307" s="91" t="s">
        <v>942</v>
      </c>
      <c r="M307" s="151">
        <v>-449477.11077086732</v>
      </c>
      <c r="N307" s="151">
        <v>1694890.4522704857</v>
      </c>
      <c r="O307" s="131">
        <v>295800.22592494084</v>
      </c>
      <c r="P307" s="131">
        <f t="shared" si="84"/>
        <v>1399090.2263455449</v>
      </c>
      <c r="Q307" s="131">
        <v>586277.10701038083</v>
      </c>
      <c r="R307" s="131">
        <v>0</v>
      </c>
      <c r="S307" s="131">
        <f t="shared" si="85"/>
        <v>0</v>
      </c>
      <c r="T307" s="131">
        <f t="shared" si="86"/>
        <v>586277.10701038083</v>
      </c>
      <c r="U307" s="131">
        <v>0</v>
      </c>
      <c r="V307" s="131">
        <v>0</v>
      </c>
      <c r="W307" s="131">
        <v>0</v>
      </c>
      <c r="X307" s="131">
        <v>0</v>
      </c>
      <c r="Y307" s="131">
        <v>505593</v>
      </c>
      <c r="Z307" s="131">
        <f t="shared" si="87"/>
        <v>505593</v>
      </c>
      <c r="AA307" s="131">
        <v>0</v>
      </c>
      <c r="AB307" s="152">
        <f t="shared" si="88"/>
        <v>1091870.1070103808</v>
      </c>
      <c r="AC307" s="133">
        <f>IF(D307="Physician Group Practice",(AB307/$AB$393)*'1. UC Assumptions'!$C$15,IF(E307="Rural Hospital",AB307*'1. UC Assumptions'!$C$7/'1. UC Assumptions'!$E$7,(AB307/$AB$397)*('1. UC Assumptions'!$C$9)))</f>
        <v>1019190.346423647</v>
      </c>
      <c r="AD307" s="133">
        <f t="shared" si="89"/>
        <v>0</v>
      </c>
      <c r="AE307" s="133">
        <f t="shared" si="90"/>
        <v>72679.760586733813</v>
      </c>
      <c r="AF307" s="133">
        <f t="shared" si="91"/>
        <v>0</v>
      </c>
      <c r="AG307" s="133">
        <f t="shared" si="92"/>
        <v>72679.760586733813</v>
      </c>
      <c r="AH307" s="133">
        <f t="shared" si="93"/>
        <v>1019190.346423647</v>
      </c>
      <c r="AI307" s="131">
        <f>AH307*'1. UC Assumptions'!$C$23</f>
        <v>336332.8143198035</v>
      </c>
      <c r="AJ307" s="131">
        <v>508881.88</v>
      </c>
      <c r="AK307" s="131">
        <f>AJ307*(1-'1. UC Assumptions'!$C$22)</f>
        <v>167931.02039999998</v>
      </c>
      <c r="AL307" s="131"/>
      <c r="AM307" s="131">
        <f>AL307*'1. UC Assumptions'!$C$23</f>
        <v>0</v>
      </c>
      <c r="AN307" s="153">
        <f t="shared" si="94"/>
        <v>1091870.1070103808</v>
      </c>
      <c r="AO307" s="151">
        <f>AN307*'1. UC Assumptions'!$C$23</f>
        <v>360317.13531342562</v>
      </c>
      <c r="AP307" s="151">
        <f t="shared" si="95"/>
        <v>582988.22701038083</v>
      </c>
      <c r="AQ307" s="151">
        <f t="shared" si="96"/>
        <v>192386.11491342564</v>
      </c>
      <c r="AR307" s="151">
        <f t="shared" si="97"/>
        <v>192386.11491342564</v>
      </c>
      <c r="AS307" s="151">
        <f t="shared" si="98"/>
        <v>360317.13531342562</v>
      </c>
      <c r="AT307" s="151">
        <f>IF(K307="Bexar",(AG307/$AT$1)*'1. UC Assumptions'!$E$44-(AH307/$AT$2)*'1. UC Assumptions'!$E$42,0)</f>
        <v>0</v>
      </c>
      <c r="AU307" s="151">
        <f>IF(K307="Dallas",(AG307/$AU$1)*'1. UC Assumptions'!$F$44-(AH307/$AU$2)*'1. UC Assumptions'!$F$42,0)</f>
        <v>0</v>
      </c>
      <c r="AV307" s="151">
        <f>IF(K307="El Paso",(AG307/$AV$1)*'1. UC Assumptions'!$G$44-(AH307/$AV$2)*'1. UC Assumptions'!$G$42,0)</f>
        <v>0</v>
      </c>
      <c r="AW307" s="151">
        <f>IF(K307="Harris",(AG307/$AW$1)*'1. UC Assumptions'!$H$44-(AH307/$AW$2)*'1. UC Assumptions'!$H$42,0)</f>
        <v>0</v>
      </c>
      <c r="AX307" s="151">
        <f>IF(K307="Hidalgo",(AG307/$AX$1)*'1. UC Assumptions'!$I$44-(AH307/$AX$2)*'1. UC Assumptions'!$I$42,0)</f>
        <v>0</v>
      </c>
      <c r="AY307" s="151">
        <f>IF(K307="Jefferson",(AG307/$AY$1)*'1. UC Assumptions'!$J$44-(AH307/$AY$2)*'1. UC Assumptions'!$J$42,0)</f>
        <v>0</v>
      </c>
      <c r="AZ307" s="151">
        <f>IF(K307="Lubbock",(AG307/$AZ$1)*'1. UC Assumptions'!$K$44-(AH307/$AZ$2)*'1. UC Assumptions'!$K$42,0)</f>
        <v>0</v>
      </c>
      <c r="BA307" s="151">
        <f>IF(K307="MRSA Central",(AG307/$BA$1)*'1. UC Assumptions'!$L$44-(AH307/$BA$2)*'1. UC Assumptions'!$L$42,0)</f>
        <v>0</v>
      </c>
      <c r="BB307" s="151">
        <f>IF(K307="MRSA Northeast",(AG307/$BB$1)*'1. UC Assumptions'!$M$44-(AH307/$BB$2)*'1. UC Assumptions'!$M$42,0)</f>
        <v>0</v>
      </c>
      <c r="BC307" s="151">
        <f>IF(K307="MRSA West",(AG307/$BC$1)*'1. UC Assumptions'!$N$44-(AH307/$BC$2)*'1. UC Assumptions'!$N$42,0)</f>
        <v>0</v>
      </c>
      <c r="BD307" s="151">
        <f>IF(K307="Nueces",(AG307/$BD$1)*'1. UC Assumptions'!$O$44-(AH307/$BD$2)*'1. UC Assumptions'!$O$42,0)</f>
        <v>0</v>
      </c>
      <c r="BE307" s="151">
        <f>IF(K307="Tarrant",(AG307/$BE$1)*'1. UC Assumptions'!$P$44-(AH307/$BE$2)*'1. UC Assumptions'!$P$42,0)</f>
        <v>0</v>
      </c>
      <c r="BF307" s="151">
        <f>IF(K307="Travis",(AG307/$BF$1)*'1. UC Assumptions'!$Q$44-(AH307/$BF$2)*'1. UC Assumptions'!$Q$42,0)</f>
        <v>0</v>
      </c>
      <c r="BG307" s="151">
        <f t="shared" si="99"/>
        <v>0</v>
      </c>
      <c r="BH307" s="151">
        <f t="shared" si="100"/>
        <v>1019190.346423647</v>
      </c>
      <c r="BI307" s="151">
        <f>ROUNDDOWN(BH307*'1. UC Assumptions'!$C$23,2)</f>
        <v>336332.81</v>
      </c>
      <c r="BJ307" s="154">
        <f t="shared" si="101"/>
        <v>510308.46642364701</v>
      </c>
      <c r="BK307" s="154">
        <f t="shared" si="102"/>
        <v>168401.78960000002</v>
      </c>
      <c r="BL307" s="154">
        <f t="shared" si="103"/>
        <v>471127.03</v>
      </c>
      <c r="BM307" s="154">
        <f t="shared" si="104"/>
        <v>155471.91</v>
      </c>
      <c r="BN307" s="101"/>
      <c r="BO307" s="154">
        <f>(BL307*'1. UC Assumptions'!$C$23)-'3.  UC Calculations by Hospital'!BM307</f>
        <v>9.8999999754596502E-3</v>
      </c>
      <c r="BP307" s="13"/>
    </row>
    <row r="308" spans="2:68">
      <c r="B308" s="129" t="s">
        <v>943</v>
      </c>
      <c r="C308" s="91" t="s">
        <v>943</v>
      </c>
      <c r="D308" s="91" t="s">
        <v>214</v>
      </c>
      <c r="E308" s="91" t="s">
        <v>209</v>
      </c>
      <c r="F308" s="91"/>
      <c r="G308" s="91" t="s">
        <v>209</v>
      </c>
      <c r="H308" s="91" t="s">
        <v>209</v>
      </c>
      <c r="I308" s="150" t="s">
        <v>210</v>
      </c>
      <c r="J308" s="129" t="s">
        <v>944</v>
      </c>
      <c r="K308" s="91" t="s">
        <v>10</v>
      </c>
      <c r="L308" s="91" t="s">
        <v>327</v>
      </c>
      <c r="M308" s="151">
        <v>1116865.5864540227</v>
      </c>
      <c r="N308" s="151">
        <v>0</v>
      </c>
      <c r="O308" s="131">
        <v>0</v>
      </c>
      <c r="P308" s="131">
        <f t="shared" si="84"/>
        <v>0</v>
      </c>
      <c r="Q308" s="131">
        <v>7145585.9928918835</v>
      </c>
      <c r="R308" s="131">
        <v>0</v>
      </c>
      <c r="S308" s="131">
        <f t="shared" si="85"/>
        <v>0</v>
      </c>
      <c r="T308" s="131">
        <f t="shared" si="86"/>
        <v>7145585.9928918835</v>
      </c>
      <c r="U308" s="131">
        <v>1039630</v>
      </c>
      <c r="V308" s="131">
        <v>0</v>
      </c>
      <c r="W308" s="131">
        <v>0</v>
      </c>
      <c r="X308" s="131">
        <v>0</v>
      </c>
      <c r="Y308" s="131">
        <v>832705.6477066949</v>
      </c>
      <c r="Z308" s="131">
        <f t="shared" si="87"/>
        <v>1872335.6477066949</v>
      </c>
      <c r="AA308" s="131">
        <v>0</v>
      </c>
      <c r="AB308" s="152">
        <f t="shared" si="88"/>
        <v>9017921.6405985784</v>
      </c>
      <c r="AC308" s="133">
        <f>IF(D308="Physician Group Practice",(AB308/$AB$393)*'1. UC Assumptions'!$C$15,IF(E308="Rural Hospital",AB308*'1. UC Assumptions'!$C$7/'1. UC Assumptions'!$E$7,(AB308/$AB$397)*('1. UC Assumptions'!$C$9)))</f>
        <v>4239736.2410168052</v>
      </c>
      <c r="AD308" s="133">
        <f t="shared" si="89"/>
        <v>0</v>
      </c>
      <c r="AE308" s="133">
        <f t="shared" si="90"/>
        <v>4778185.3995817732</v>
      </c>
      <c r="AF308" s="133">
        <f t="shared" si="91"/>
        <v>0</v>
      </c>
      <c r="AG308" s="133">
        <f t="shared" si="92"/>
        <v>4778185.3995817732</v>
      </c>
      <c r="AH308" s="133">
        <f t="shared" si="93"/>
        <v>4239736.2410168052</v>
      </c>
      <c r="AI308" s="131">
        <f>AH308*'1. UC Assumptions'!$C$23</f>
        <v>1399112.9595355454</v>
      </c>
      <c r="AJ308" s="131">
        <v>4212906.2300000004</v>
      </c>
      <c r="AK308" s="131">
        <f>AJ308*(1-'1. UC Assumptions'!$C$22)</f>
        <v>1390259.0559</v>
      </c>
      <c r="AL308" s="131"/>
      <c r="AM308" s="131">
        <f>AL308*'1. UC Assumptions'!$C$23</f>
        <v>0</v>
      </c>
      <c r="AN308" s="153">
        <f t="shared" si="94"/>
        <v>9017921.6405985784</v>
      </c>
      <c r="AO308" s="151">
        <f>AN308*'1. UC Assumptions'!$C$23</f>
        <v>2975914.1413975307</v>
      </c>
      <c r="AP308" s="151">
        <f t="shared" si="95"/>
        <v>4805015.4105985779</v>
      </c>
      <c r="AQ308" s="151">
        <f t="shared" si="96"/>
        <v>1585655.0854975306</v>
      </c>
      <c r="AR308" s="151">
        <f t="shared" si="97"/>
        <v>1585655.0854975306</v>
      </c>
      <c r="AS308" s="151">
        <f t="shared" si="98"/>
        <v>2975914.1413975307</v>
      </c>
      <c r="AT308" s="151">
        <f>IF(K308="Bexar",(AG308/$AT$1)*'1. UC Assumptions'!$E$44-(AH308/$AT$2)*'1. UC Assumptions'!$E$42,0)</f>
        <v>0</v>
      </c>
      <c r="AU308" s="151">
        <f>IF(K308="Dallas",(AG308/$AU$1)*'1. UC Assumptions'!$F$44-(AH308/$AU$2)*'1. UC Assumptions'!$F$42,0)</f>
        <v>0</v>
      </c>
      <c r="AV308" s="151">
        <f>IF(K308="El Paso",(AG308/$AV$1)*'1. UC Assumptions'!$G$44-(AH308/$AV$2)*'1. UC Assumptions'!$G$42,0)</f>
        <v>0</v>
      </c>
      <c r="AW308" s="151">
        <f>IF(K308="Harris",(AG308/$AW$1)*'1. UC Assumptions'!$H$44-(AH308/$AW$2)*'1. UC Assumptions'!$H$42,0)</f>
        <v>0</v>
      </c>
      <c r="AX308" s="151">
        <f>IF(K308="Hidalgo",(AG308/$AX$1)*'1. UC Assumptions'!$I$44-(AH308/$AX$2)*'1. UC Assumptions'!$I$42,0)</f>
        <v>0</v>
      </c>
      <c r="AY308" s="151">
        <f>IF(K308="Jefferson",(AG308/$AY$1)*'1. UC Assumptions'!$J$44-(AH308/$AY$2)*'1. UC Assumptions'!$J$42,0)</f>
        <v>0</v>
      </c>
      <c r="AZ308" s="151">
        <f>IF(K308="Lubbock",(AG308/$AZ$1)*'1. UC Assumptions'!$K$44-(AH308/$AZ$2)*'1. UC Assumptions'!$K$42,0)</f>
        <v>0</v>
      </c>
      <c r="BA308" s="151">
        <f>IF(K308="MRSA Central",(AG308/$BA$1)*'1. UC Assumptions'!$L$44-(AH308/$BA$2)*'1. UC Assumptions'!$L$42,0)</f>
        <v>0</v>
      </c>
      <c r="BB308" s="151">
        <f>IF(K308="MRSA Northeast",(AG308/$BB$1)*'1. UC Assumptions'!$M$44-(AH308/$BB$2)*'1. UC Assumptions'!$M$42,0)</f>
        <v>0</v>
      </c>
      <c r="BC308" s="151">
        <f>IF(K308="MRSA West",(AG308/$BC$1)*'1. UC Assumptions'!$N$44-(AH308/$BC$2)*'1. UC Assumptions'!$N$42,0)</f>
        <v>0</v>
      </c>
      <c r="BD308" s="151">
        <f>IF(K308="Nueces",(AG308/$BD$1)*'1. UC Assumptions'!$O$44-(AH308/$BD$2)*'1. UC Assumptions'!$O$42,0)</f>
        <v>0</v>
      </c>
      <c r="BE308" s="151">
        <f>IF(K308="Tarrant",(AG308/$BE$1)*'1. UC Assumptions'!$P$44-(AH308/$BE$2)*'1. UC Assumptions'!$P$42,0)</f>
        <v>0</v>
      </c>
      <c r="BF308" s="151">
        <f>IF(K308="Travis",(AG308/$BF$1)*'1. UC Assumptions'!$Q$44-(AH308/$BF$2)*'1. UC Assumptions'!$Q$42,0)</f>
        <v>0</v>
      </c>
      <c r="BG308" s="151">
        <f t="shared" si="99"/>
        <v>0</v>
      </c>
      <c r="BH308" s="151">
        <f t="shared" si="100"/>
        <v>4239736.2410168052</v>
      </c>
      <c r="BI308" s="151">
        <f>ROUNDDOWN(BH308*'1. UC Assumptions'!$C$23,2)</f>
        <v>1399112.95</v>
      </c>
      <c r="BJ308" s="154">
        <f t="shared" si="101"/>
        <v>26830.011016804725</v>
      </c>
      <c r="BK308" s="154">
        <f t="shared" si="102"/>
        <v>8853.8940999999177</v>
      </c>
      <c r="BL308" s="154">
        <f t="shared" si="103"/>
        <v>24770.01</v>
      </c>
      <c r="BM308" s="154">
        <f t="shared" si="104"/>
        <v>8174.09</v>
      </c>
      <c r="BN308" s="101"/>
      <c r="BO308" s="154">
        <f>(BL308*'1. UC Assumptions'!$C$23)-'3.  UC Calculations by Hospital'!BM308</f>
        <v>1.329999999870779E-2</v>
      </c>
      <c r="BP308" s="13"/>
    </row>
    <row r="309" spans="2:68">
      <c r="B309" s="129" t="s">
        <v>945</v>
      </c>
      <c r="C309" s="91" t="s">
        <v>945</v>
      </c>
      <c r="D309" s="91" t="s">
        <v>214</v>
      </c>
      <c r="E309" s="91" t="s">
        <v>209</v>
      </c>
      <c r="F309" s="91"/>
      <c r="G309" s="91" t="s">
        <v>209</v>
      </c>
      <c r="H309" s="91" t="s">
        <v>209</v>
      </c>
      <c r="I309" s="150" t="s">
        <v>210</v>
      </c>
      <c r="J309" s="129" t="s">
        <v>946</v>
      </c>
      <c r="K309" s="91" t="s">
        <v>14</v>
      </c>
      <c r="L309" s="91" t="s">
        <v>14</v>
      </c>
      <c r="M309" s="151">
        <v>-7490517.6645243382</v>
      </c>
      <c r="N309" s="151">
        <v>17776525.222422052</v>
      </c>
      <c r="O309" s="131">
        <v>9985524.3151286785</v>
      </c>
      <c r="P309" s="131">
        <f t="shared" si="84"/>
        <v>7791000.9072933737</v>
      </c>
      <c r="Q309" s="131">
        <v>11994428.237952385</v>
      </c>
      <c r="R309" s="131">
        <v>0</v>
      </c>
      <c r="S309" s="131">
        <f t="shared" si="85"/>
        <v>0</v>
      </c>
      <c r="T309" s="131">
        <f t="shared" si="86"/>
        <v>11994428.237952385</v>
      </c>
      <c r="U309" s="131">
        <v>50996</v>
      </c>
      <c r="V309" s="131">
        <v>0</v>
      </c>
      <c r="W309" s="131">
        <v>0</v>
      </c>
      <c r="X309" s="131">
        <v>0</v>
      </c>
      <c r="Y309" s="131">
        <v>0</v>
      </c>
      <c r="Z309" s="131">
        <f t="shared" si="87"/>
        <v>50996</v>
      </c>
      <c r="AA309" s="131">
        <v>0</v>
      </c>
      <c r="AB309" s="152">
        <f t="shared" si="88"/>
        <v>12045424.237952385</v>
      </c>
      <c r="AC309" s="133">
        <f>IF(D309="Physician Group Practice",(AB309/$AB$393)*'1. UC Assumptions'!$C$15,IF(E309="Rural Hospital",AB309*'1. UC Assumptions'!$C$7/'1. UC Assumptions'!$E$7,(AB309/$AB$397)*('1. UC Assumptions'!$C$9)))</f>
        <v>5663103.2864773432</v>
      </c>
      <c r="AD309" s="133">
        <f t="shared" si="89"/>
        <v>0</v>
      </c>
      <c r="AE309" s="133">
        <f t="shared" si="90"/>
        <v>6382320.9514750419</v>
      </c>
      <c r="AF309" s="133">
        <f t="shared" si="91"/>
        <v>0</v>
      </c>
      <c r="AG309" s="133">
        <f t="shared" si="92"/>
        <v>6382320.9514750419</v>
      </c>
      <c r="AH309" s="133">
        <f t="shared" si="93"/>
        <v>5663103.2864773432</v>
      </c>
      <c r="AI309" s="131">
        <f>AH309*'1. UC Assumptions'!$C$23</f>
        <v>1868824.0845375231</v>
      </c>
      <c r="AJ309" s="131">
        <v>8346643.4299999997</v>
      </c>
      <c r="AK309" s="131">
        <f>AJ309*(1-'1. UC Assumptions'!$C$22)</f>
        <v>2754392.3318999996</v>
      </c>
      <c r="AL309" s="131"/>
      <c r="AM309" s="131">
        <f>AL309*'1. UC Assumptions'!$C$23</f>
        <v>0</v>
      </c>
      <c r="AN309" s="153">
        <f t="shared" si="94"/>
        <v>12045424.237952385</v>
      </c>
      <c r="AO309" s="151">
        <f>AN309*'1. UC Assumptions'!$C$23</f>
        <v>3974989.9985242868</v>
      </c>
      <c r="AP309" s="151">
        <f t="shared" si="95"/>
        <v>3698780.8079523854</v>
      </c>
      <c r="AQ309" s="151">
        <f t="shared" si="96"/>
        <v>1220597.6666242871</v>
      </c>
      <c r="AR309" s="151">
        <f t="shared" si="97"/>
        <v>1220597.6666242871</v>
      </c>
      <c r="AS309" s="151">
        <f t="shared" si="98"/>
        <v>3974989.9985242868</v>
      </c>
      <c r="AT309" s="151">
        <f>IF(K309="Bexar",(AG309/$AT$1)*'1. UC Assumptions'!$E$44-(AH309/$AT$2)*'1. UC Assumptions'!$E$42,0)</f>
        <v>0</v>
      </c>
      <c r="AU309" s="151">
        <f>IF(K309="Dallas",(AG309/$AU$1)*'1. UC Assumptions'!$F$44-(AH309/$AU$2)*'1. UC Assumptions'!$F$42,0)</f>
        <v>0</v>
      </c>
      <c r="AV309" s="151">
        <f>IF(K309="El Paso",(AG309/$AV$1)*'1. UC Assumptions'!$G$44-(AH309/$AV$2)*'1. UC Assumptions'!$G$42,0)</f>
        <v>0</v>
      </c>
      <c r="AW309" s="151">
        <f>IF(K309="Harris",(AG309/$AW$1)*'1. UC Assumptions'!$H$44-(AH309/$AW$2)*'1. UC Assumptions'!$H$42,0)</f>
        <v>0</v>
      </c>
      <c r="AX309" s="151">
        <f>IF(K309="Hidalgo",(AG309/$AX$1)*'1. UC Assumptions'!$I$44-(AH309/$AX$2)*'1. UC Assumptions'!$I$42,0)</f>
        <v>0</v>
      </c>
      <c r="AY309" s="151">
        <f>IF(K309="Jefferson",(AG309/$AY$1)*'1. UC Assumptions'!$J$44-(AH309/$AY$2)*'1. UC Assumptions'!$J$42,0)</f>
        <v>0</v>
      </c>
      <c r="AZ309" s="151">
        <f>IF(K309="Lubbock",(AG309/$AZ$1)*'1. UC Assumptions'!$K$44-(AH309/$AZ$2)*'1. UC Assumptions'!$K$42,0)</f>
        <v>0</v>
      </c>
      <c r="BA309" s="151">
        <f>IF(K309="MRSA Central",(AG309/$BA$1)*'1. UC Assumptions'!$L$44-(AH309/$BA$2)*'1. UC Assumptions'!$L$42,0)</f>
        <v>0</v>
      </c>
      <c r="BB309" s="151">
        <f>IF(K309="MRSA Northeast",(AG309/$BB$1)*'1. UC Assumptions'!$M$44-(AH309/$BB$2)*'1. UC Assumptions'!$M$42,0)</f>
        <v>0</v>
      </c>
      <c r="BC309" s="151">
        <f>IF(K309="MRSA West",(AG309/$BC$1)*'1. UC Assumptions'!$N$44-(AH309/$BC$2)*'1. UC Assumptions'!$N$42,0)</f>
        <v>0</v>
      </c>
      <c r="BD309" s="151">
        <f>IF(K309="Nueces",(AG309/$BD$1)*'1. UC Assumptions'!$O$44-(AH309/$BD$2)*'1. UC Assumptions'!$O$42,0)</f>
        <v>0</v>
      </c>
      <c r="BE309" s="151">
        <f>IF(K309="Tarrant",(AG309/$BE$1)*'1. UC Assumptions'!$P$44-(AH309/$BE$2)*'1. UC Assumptions'!$P$42,0)</f>
        <v>0</v>
      </c>
      <c r="BF309" s="151">
        <f>IF(K309="Travis",(AG309/$BF$1)*'1. UC Assumptions'!$Q$44-(AH309/$BF$2)*'1. UC Assumptions'!$Q$42,0)</f>
        <v>0</v>
      </c>
      <c r="BG309" s="151">
        <f t="shared" si="99"/>
        <v>0</v>
      </c>
      <c r="BH309" s="151">
        <f t="shared" si="100"/>
        <v>5663103.2864773432</v>
      </c>
      <c r="BI309" s="151">
        <f>ROUNDDOWN(BH309*'1. UC Assumptions'!$C$23,2)</f>
        <v>1868824.08</v>
      </c>
      <c r="BJ309" s="154">
        <f t="shared" si="101"/>
        <v>-2683540.1435226565</v>
      </c>
      <c r="BK309" s="154">
        <f t="shared" si="102"/>
        <v>-885568.25189999957</v>
      </c>
      <c r="BL309" s="154">
        <f t="shared" si="103"/>
        <v>0</v>
      </c>
      <c r="BM309" s="154">
        <f t="shared" si="104"/>
        <v>0</v>
      </c>
      <c r="BN309" s="101"/>
      <c r="BO309" s="154">
        <f>(BL309*'1. UC Assumptions'!$C$23)-'3.  UC Calculations by Hospital'!BM309</f>
        <v>0</v>
      </c>
      <c r="BP309" s="13"/>
    </row>
    <row r="310" spans="2:68">
      <c r="B310" s="129" t="s">
        <v>947</v>
      </c>
      <c r="C310" s="91" t="s">
        <v>947</v>
      </c>
      <c r="D310" s="91" t="s">
        <v>214</v>
      </c>
      <c r="E310" s="91" t="s">
        <v>209</v>
      </c>
      <c r="F310" s="91"/>
      <c r="G310" s="91" t="s">
        <v>209</v>
      </c>
      <c r="H310" s="91" t="s">
        <v>209</v>
      </c>
      <c r="I310" s="150" t="s">
        <v>210</v>
      </c>
      <c r="J310" s="129" t="s">
        <v>948</v>
      </c>
      <c r="K310" s="91" t="s">
        <v>4</v>
      </c>
      <c r="L310" s="91" t="s">
        <v>260</v>
      </c>
      <c r="M310" s="151">
        <v>1377905.4964471557</v>
      </c>
      <c r="N310" s="151">
        <v>0</v>
      </c>
      <c r="O310" s="131">
        <v>0</v>
      </c>
      <c r="P310" s="131">
        <f t="shared" si="84"/>
        <v>0</v>
      </c>
      <c r="Q310" s="131">
        <v>10329571.97212434</v>
      </c>
      <c r="R310" s="131">
        <v>0</v>
      </c>
      <c r="S310" s="131">
        <f t="shared" si="85"/>
        <v>0</v>
      </c>
      <c r="T310" s="131">
        <f t="shared" si="86"/>
        <v>10329571.97212434</v>
      </c>
      <c r="U310" s="131">
        <v>0</v>
      </c>
      <c r="V310" s="131">
        <v>0</v>
      </c>
      <c r="W310" s="131">
        <v>0</v>
      </c>
      <c r="X310" s="131">
        <v>0</v>
      </c>
      <c r="Y310" s="131">
        <v>0</v>
      </c>
      <c r="Z310" s="131">
        <f t="shared" si="87"/>
        <v>0</v>
      </c>
      <c r="AA310" s="131">
        <v>0</v>
      </c>
      <c r="AB310" s="152">
        <f t="shared" si="88"/>
        <v>10329571.97212434</v>
      </c>
      <c r="AC310" s="133">
        <f>IF(D310="Physician Group Practice",(AB310/$AB$393)*'1. UC Assumptions'!$C$15,IF(E310="Rural Hospital",AB310*'1. UC Assumptions'!$C$7/'1. UC Assumptions'!$E$7,(AB310/$AB$397)*('1. UC Assumptions'!$C$9)))</f>
        <v>4856402.8819283526</v>
      </c>
      <c r="AD310" s="133">
        <f t="shared" si="89"/>
        <v>0</v>
      </c>
      <c r="AE310" s="133">
        <f t="shared" si="90"/>
        <v>5473169.0901959874</v>
      </c>
      <c r="AF310" s="133">
        <f t="shared" si="91"/>
        <v>0</v>
      </c>
      <c r="AG310" s="133">
        <f t="shared" si="92"/>
        <v>5473169.0901959874</v>
      </c>
      <c r="AH310" s="133">
        <f t="shared" si="93"/>
        <v>4856402.8819283526</v>
      </c>
      <c r="AI310" s="131">
        <f>AH310*'1. UC Assumptions'!$C$23</f>
        <v>1602612.9510363562</v>
      </c>
      <c r="AJ310" s="131">
        <v>3320836.77</v>
      </c>
      <c r="AK310" s="131">
        <f>AJ310*(1-'1. UC Assumptions'!$C$22)</f>
        <v>1095876.1340999999</v>
      </c>
      <c r="AL310" s="131"/>
      <c r="AM310" s="131">
        <f>AL310*'1. UC Assumptions'!$C$23</f>
        <v>0</v>
      </c>
      <c r="AN310" s="153">
        <f t="shared" si="94"/>
        <v>10329571.97212434</v>
      </c>
      <c r="AO310" s="151">
        <f>AN310*'1. UC Assumptions'!$C$23</f>
        <v>3408758.7508010319</v>
      </c>
      <c r="AP310" s="151">
        <f t="shared" si="95"/>
        <v>7008735.2021243405</v>
      </c>
      <c r="AQ310" s="151">
        <f t="shared" si="96"/>
        <v>2312882.616701032</v>
      </c>
      <c r="AR310" s="151">
        <f t="shared" si="97"/>
        <v>2312882.616701032</v>
      </c>
      <c r="AS310" s="151">
        <f t="shared" si="98"/>
        <v>3408758.7508010319</v>
      </c>
      <c r="AT310" s="151">
        <f>IF(K310="Bexar",(AG310/$AT$1)*'1. UC Assumptions'!$E$44-(AH310/$AT$2)*'1. UC Assumptions'!$E$42,0)</f>
        <v>0</v>
      </c>
      <c r="AU310" s="151">
        <f>IF(K310="Dallas",(AG310/$AU$1)*'1. UC Assumptions'!$F$44-(AH310/$AU$2)*'1. UC Assumptions'!$F$42,0)</f>
        <v>0</v>
      </c>
      <c r="AV310" s="151">
        <f>IF(K310="El Paso",(AG310/$AV$1)*'1. UC Assumptions'!$G$44-(AH310/$AV$2)*'1. UC Assumptions'!$G$42,0)</f>
        <v>0</v>
      </c>
      <c r="AW310" s="151">
        <f>IF(K310="Harris",(AG310/$AW$1)*'1. UC Assumptions'!$H$44-(AH310/$AW$2)*'1. UC Assumptions'!$H$42,0)</f>
        <v>0</v>
      </c>
      <c r="AX310" s="151">
        <f>IF(K310="Hidalgo",(AG310/$AX$1)*'1. UC Assumptions'!$I$44-(AH310/$AX$2)*'1. UC Assumptions'!$I$42,0)</f>
        <v>0</v>
      </c>
      <c r="AY310" s="151">
        <f>IF(K310="Jefferson",(AG310/$AY$1)*'1. UC Assumptions'!$J$44-(AH310/$AY$2)*'1. UC Assumptions'!$J$42,0)</f>
        <v>0</v>
      </c>
      <c r="AZ310" s="151">
        <f>IF(K310="Lubbock",(AG310/$AZ$1)*'1. UC Assumptions'!$K$44-(AH310/$AZ$2)*'1. UC Assumptions'!$K$42,0)</f>
        <v>0</v>
      </c>
      <c r="BA310" s="151">
        <f>IF(K310="MRSA Central",(AG310/$BA$1)*'1. UC Assumptions'!$L$44-(AH310/$BA$2)*'1. UC Assumptions'!$L$42,0)</f>
        <v>0</v>
      </c>
      <c r="BB310" s="151">
        <f>IF(K310="MRSA Northeast",(AG310/$BB$1)*'1. UC Assumptions'!$M$44-(AH310/$BB$2)*'1. UC Assumptions'!$M$42,0)</f>
        <v>0</v>
      </c>
      <c r="BC310" s="151">
        <f>IF(K310="MRSA West",(AG310/$BC$1)*'1. UC Assumptions'!$N$44-(AH310/$BC$2)*'1. UC Assumptions'!$N$42,0)</f>
        <v>0</v>
      </c>
      <c r="BD310" s="151">
        <f>IF(K310="Nueces",(AG310/$BD$1)*'1. UC Assumptions'!$O$44-(AH310/$BD$2)*'1. UC Assumptions'!$O$42,0)</f>
        <v>0</v>
      </c>
      <c r="BE310" s="151">
        <f>IF(K310="Tarrant",(AG310/$BE$1)*'1. UC Assumptions'!$P$44-(AH310/$BE$2)*'1. UC Assumptions'!$P$42,0)</f>
        <v>0</v>
      </c>
      <c r="BF310" s="151">
        <f>IF(K310="Travis",(AG310/$BF$1)*'1. UC Assumptions'!$Q$44-(AH310/$BF$2)*'1. UC Assumptions'!$Q$42,0)</f>
        <v>0</v>
      </c>
      <c r="BG310" s="151">
        <f t="shared" si="99"/>
        <v>0</v>
      </c>
      <c r="BH310" s="151">
        <f t="shared" si="100"/>
        <v>4856402.8819283526</v>
      </c>
      <c r="BI310" s="151">
        <f>ROUNDDOWN(BH310*'1. UC Assumptions'!$C$23,2)</f>
        <v>1602612.95</v>
      </c>
      <c r="BJ310" s="154">
        <f t="shared" si="101"/>
        <v>1535566.1119283526</v>
      </c>
      <c r="BK310" s="154">
        <f t="shared" si="102"/>
        <v>506736.81590000005</v>
      </c>
      <c r="BL310" s="154">
        <f t="shared" si="103"/>
        <v>1417665.48</v>
      </c>
      <c r="BM310" s="154">
        <f t="shared" si="104"/>
        <v>467829.61</v>
      </c>
      <c r="BN310" s="101"/>
      <c r="BO310" s="154">
        <f>(BL310*'1. UC Assumptions'!$C$23)-'3.  UC Calculations by Hospital'!BM310</f>
        <v>-1.6000000759959221E-3</v>
      </c>
      <c r="BP310" s="13"/>
    </row>
    <row r="311" spans="2:68">
      <c r="B311" s="129" t="s">
        <v>949</v>
      </c>
      <c r="C311" s="91" t="s">
        <v>949</v>
      </c>
      <c r="D311" s="91" t="s">
        <v>214</v>
      </c>
      <c r="E311" s="91" t="s">
        <v>209</v>
      </c>
      <c r="F311" s="91"/>
      <c r="G311" s="91" t="s">
        <v>209</v>
      </c>
      <c r="H311" s="91" t="s">
        <v>227</v>
      </c>
      <c r="I311" s="150" t="s">
        <v>210</v>
      </c>
      <c r="J311" s="129" t="s">
        <v>950</v>
      </c>
      <c r="K311" s="91" t="s">
        <v>4</v>
      </c>
      <c r="L311" s="91" t="s">
        <v>4</v>
      </c>
      <c r="M311" s="151">
        <v>22977992.30890635</v>
      </c>
      <c r="N311" s="151">
        <v>10781271.089252222</v>
      </c>
      <c r="O311" s="131">
        <v>9269908.598077694</v>
      </c>
      <c r="P311" s="131">
        <f t="shared" si="84"/>
        <v>1511362.4911745284</v>
      </c>
      <c r="Q311" s="131">
        <v>9252089.4211488981</v>
      </c>
      <c r="R311" s="131">
        <v>888023.38</v>
      </c>
      <c r="S311" s="131">
        <f t="shared" si="85"/>
        <v>0</v>
      </c>
      <c r="T311" s="131">
        <f t="shared" si="86"/>
        <v>9252089.4211488981</v>
      </c>
      <c r="U311" s="131">
        <v>0</v>
      </c>
      <c r="V311" s="131">
        <v>0</v>
      </c>
      <c r="W311" s="131">
        <v>0</v>
      </c>
      <c r="X311" s="131">
        <v>0</v>
      </c>
      <c r="Y311" s="131">
        <v>3682182</v>
      </c>
      <c r="Z311" s="131">
        <f t="shared" si="87"/>
        <v>3682182</v>
      </c>
      <c r="AA311" s="131">
        <v>0</v>
      </c>
      <c r="AB311" s="152">
        <f t="shared" si="88"/>
        <v>12934271.421148898</v>
      </c>
      <c r="AC311" s="133">
        <f>IF(D311="Physician Group Practice",(AB311/$AB$393)*'1. UC Assumptions'!$C$15,IF(E311="Rural Hospital",AB311*'1. UC Assumptions'!$C$7/'1. UC Assumptions'!$E$7,(AB311/$AB$397)*('1. UC Assumptions'!$C$9)))</f>
        <v>6080990.8846971281</v>
      </c>
      <c r="AD311" s="133">
        <f t="shared" si="89"/>
        <v>0</v>
      </c>
      <c r="AE311" s="133">
        <f t="shared" si="90"/>
        <v>6853280.53645177</v>
      </c>
      <c r="AF311" s="133">
        <f t="shared" si="91"/>
        <v>0</v>
      </c>
      <c r="AG311" s="133">
        <f t="shared" si="92"/>
        <v>6853280.53645177</v>
      </c>
      <c r="AH311" s="133">
        <f t="shared" si="93"/>
        <v>6080990.8846971281</v>
      </c>
      <c r="AI311" s="131">
        <f>AH311*'1. UC Assumptions'!$C$23</f>
        <v>2006726.9919500521</v>
      </c>
      <c r="AJ311" s="131">
        <v>5909509.3700000001</v>
      </c>
      <c r="AK311" s="131">
        <f>AJ311*(1-'1. UC Assumptions'!$C$22)</f>
        <v>1950138.0920999998</v>
      </c>
      <c r="AL311" s="131"/>
      <c r="AM311" s="131">
        <f>AL311*'1. UC Assumptions'!$C$23</f>
        <v>0</v>
      </c>
      <c r="AN311" s="153">
        <f t="shared" si="94"/>
        <v>12934271.421148898</v>
      </c>
      <c r="AO311" s="151">
        <f>AN311*'1. UC Assumptions'!$C$23</f>
        <v>4268309.5689791357</v>
      </c>
      <c r="AP311" s="151">
        <f t="shared" si="95"/>
        <v>7024762.051148898</v>
      </c>
      <c r="AQ311" s="151">
        <f t="shared" si="96"/>
        <v>2318171.4768791357</v>
      </c>
      <c r="AR311" s="151">
        <f t="shared" si="97"/>
        <v>2318171.4768791357</v>
      </c>
      <c r="AS311" s="151">
        <f t="shared" si="98"/>
        <v>4268309.5689791357</v>
      </c>
      <c r="AT311" s="151">
        <f>IF(K311="Bexar",(AG311/$AT$1)*'1. UC Assumptions'!$E$44-(AH311/$AT$2)*'1. UC Assumptions'!$E$42,0)</f>
        <v>0</v>
      </c>
      <c r="AU311" s="151">
        <f>IF(K311="Dallas",(AG311/$AU$1)*'1. UC Assumptions'!$F$44-(AH311/$AU$2)*'1. UC Assumptions'!$F$42,0)</f>
        <v>0</v>
      </c>
      <c r="AV311" s="151">
        <f>IF(K311="El Paso",(AG311/$AV$1)*'1. UC Assumptions'!$G$44-(AH311/$AV$2)*'1. UC Assumptions'!$G$42,0)</f>
        <v>0</v>
      </c>
      <c r="AW311" s="151">
        <f>IF(K311="Harris",(AG311/$AW$1)*'1. UC Assumptions'!$H$44-(AH311/$AW$2)*'1. UC Assumptions'!$H$42,0)</f>
        <v>0</v>
      </c>
      <c r="AX311" s="151">
        <f>IF(K311="Hidalgo",(AG311/$AX$1)*'1. UC Assumptions'!$I$44-(AH311/$AX$2)*'1. UC Assumptions'!$I$42,0)</f>
        <v>0</v>
      </c>
      <c r="AY311" s="151">
        <f>IF(K311="Jefferson",(AG311/$AY$1)*'1. UC Assumptions'!$J$44-(AH311/$AY$2)*'1. UC Assumptions'!$J$42,0)</f>
        <v>0</v>
      </c>
      <c r="AZ311" s="151">
        <f>IF(K311="Lubbock",(AG311/$AZ$1)*'1. UC Assumptions'!$K$44-(AH311/$AZ$2)*'1. UC Assumptions'!$K$42,0)</f>
        <v>0</v>
      </c>
      <c r="BA311" s="151">
        <f>IF(K311="MRSA Central",(AG311/$BA$1)*'1. UC Assumptions'!$L$44-(AH311/$BA$2)*'1. UC Assumptions'!$L$42,0)</f>
        <v>0</v>
      </c>
      <c r="BB311" s="151">
        <f>IF(K311="MRSA Northeast",(AG311/$BB$1)*'1. UC Assumptions'!$M$44-(AH311/$BB$2)*'1. UC Assumptions'!$M$42,0)</f>
        <v>0</v>
      </c>
      <c r="BC311" s="151">
        <f>IF(K311="MRSA West",(AG311/$BC$1)*'1. UC Assumptions'!$N$44-(AH311/$BC$2)*'1. UC Assumptions'!$N$42,0)</f>
        <v>0</v>
      </c>
      <c r="BD311" s="151">
        <f>IF(K311="Nueces",(AG311/$BD$1)*'1. UC Assumptions'!$O$44-(AH311/$BD$2)*'1. UC Assumptions'!$O$42,0)</f>
        <v>0</v>
      </c>
      <c r="BE311" s="151">
        <f>IF(K311="Tarrant",(AG311/$BE$1)*'1. UC Assumptions'!$P$44-(AH311/$BE$2)*'1. UC Assumptions'!$P$42,0)</f>
        <v>0</v>
      </c>
      <c r="BF311" s="151">
        <f>IF(K311="Travis",(AG311/$BF$1)*'1. UC Assumptions'!$Q$44-(AH311/$BF$2)*'1. UC Assumptions'!$Q$42,0)</f>
        <v>0</v>
      </c>
      <c r="BG311" s="151">
        <f t="shared" si="99"/>
        <v>0</v>
      </c>
      <c r="BH311" s="151">
        <f t="shared" si="100"/>
        <v>6080990.8846971281</v>
      </c>
      <c r="BI311" s="151">
        <f>ROUNDDOWN(BH311*'1. UC Assumptions'!$C$23,2)</f>
        <v>2006726.99</v>
      </c>
      <c r="BJ311" s="154">
        <f t="shared" si="101"/>
        <v>171481.51469712798</v>
      </c>
      <c r="BK311" s="154">
        <f t="shared" si="102"/>
        <v>56588.897900000215</v>
      </c>
      <c r="BL311" s="154">
        <f t="shared" si="103"/>
        <v>158315.18</v>
      </c>
      <c r="BM311" s="154">
        <f t="shared" si="104"/>
        <v>52244.01</v>
      </c>
      <c r="BN311" s="101"/>
      <c r="BO311" s="154">
        <f>(BL311*'1. UC Assumptions'!$C$23)-'3.  UC Calculations by Hospital'!BM311</f>
        <v>-6.0000001394655555E-4</v>
      </c>
      <c r="BP311" s="13"/>
    </row>
    <row r="312" spans="2:68">
      <c r="B312" s="129" t="s">
        <v>951</v>
      </c>
      <c r="C312" s="91" t="s">
        <v>951</v>
      </c>
      <c r="D312" s="91" t="s">
        <v>208</v>
      </c>
      <c r="E312" s="91" t="s">
        <v>149</v>
      </c>
      <c r="F312" s="91"/>
      <c r="G312" s="91" t="s">
        <v>209</v>
      </c>
      <c r="H312" s="91" t="s">
        <v>209</v>
      </c>
      <c r="I312" s="150" t="s">
        <v>210</v>
      </c>
      <c r="J312" s="129" t="s">
        <v>952</v>
      </c>
      <c r="K312" s="91" t="s">
        <v>9</v>
      </c>
      <c r="L312" s="91" t="s">
        <v>953</v>
      </c>
      <c r="M312" s="151">
        <v>-14727.011645875207</v>
      </c>
      <c r="N312" s="151">
        <v>0</v>
      </c>
      <c r="O312" s="131">
        <v>0</v>
      </c>
      <c r="P312" s="131">
        <f t="shared" si="84"/>
        <v>0</v>
      </c>
      <c r="Q312" s="131">
        <v>618267.09626393602</v>
      </c>
      <c r="R312" s="131">
        <v>0</v>
      </c>
      <c r="S312" s="131">
        <f t="shared" si="85"/>
        <v>0</v>
      </c>
      <c r="T312" s="131">
        <f t="shared" si="86"/>
        <v>618267.09626393602</v>
      </c>
      <c r="U312" s="131">
        <v>0</v>
      </c>
      <c r="V312" s="131">
        <v>0</v>
      </c>
      <c r="W312" s="131">
        <v>0</v>
      </c>
      <c r="X312" s="131">
        <v>0</v>
      </c>
      <c r="Y312" s="131">
        <v>0</v>
      </c>
      <c r="Z312" s="131">
        <f t="shared" si="87"/>
        <v>0</v>
      </c>
      <c r="AA312" s="131">
        <v>0</v>
      </c>
      <c r="AB312" s="152">
        <f t="shared" si="88"/>
        <v>618267.09626393602</v>
      </c>
      <c r="AC312" s="133">
        <f>IF(D312="Physician Group Practice",(AB312/$AB$393)*'1. UC Assumptions'!$C$15,IF(E312="Rural Hospital",AB312*'1. UC Assumptions'!$C$7/'1. UC Assumptions'!$E$7,(AB312/$AB$397)*('1. UC Assumptions'!$C$9)))</f>
        <v>577112.4715090238</v>
      </c>
      <c r="AD312" s="133">
        <f t="shared" si="89"/>
        <v>0</v>
      </c>
      <c r="AE312" s="133">
        <f t="shared" si="90"/>
        <v>41154.62475491222</v>
      </c>
      <c r="AF312" s="133">
        <f t="shared" si="91"/>
        <v>0</v>
      </c>
      <c r="AG312" s="133">
        <f t="shared" si="92"/>
        <v>41154.62475491222</v>
      </c>
      <c r="AH312" s="133">
        <f t="shared" si="93"/>
        <v>577112.4715090238</v>
      </c>
      <c r="AI312" s="131">
        <f>AH312*'1. UC Assumptions'!$C$23</f>
        <v>190447.11559797783</v>
      </c>
      <c r="AJ312" s="131">
        <v>275294.40000000002</v>
      </c>
      <c r="AK312" s="131">
        <f>AJ312*(1-'1. UC Assumptions'!$C$22)</f>
        <v>90847.152000000002</v>
      </c>
      <c r="AL312" s="131"/>
      <c r="AM312" s="131">
        <f>AL312*'1. UC Assumptions'!$C$23</f>
        <v>0</v>
      </c>
      <c r="AN312" s="153">
        <f t="shared" si="94"/>
        <v>618267.09626393602</v>
      </c>
      <c r="AO312" s="151">
        <f>AN312*'1. UC Assumptions'!$C$23</f>
        <v>204028.14176709886</v>
      </c>
      <c r="AP312" s="151">
        <f t="shared" si="95"/>
        <v>342972.696263936</v>
      </c>
      <c r="AQ312" s="151">
        <f t="shared" si="96"/>
        <v>113180.98976709886</v>
      </c>
      <c r="AR312" s="151">
        <f t="shared" si="97"/>
        <v>113180.98976709886</v>
      </c>
      <c r="AS312" s="151">
        <f t="shared" si="98"/>
        <v>204028.14176709886</v>
      </c>
      <c r="AT312" s="151">
        <f>IF(K312="Bexar",(AG312/$AT$1)*'1. UC Assumptions'!$E$44-(AH312/$AT$2)*'1. UC Assumptions'!$E$42,0)</f>
        <v>0</v>
      </c>
      <c r="AU312" s="151">
        <f>IF(K312="Dallas",(AG312/$AU$1)*'1. UC Assumptions'!$F$44-(AH312/$AU$2)*'1. UC Assumptions'!$F$42,0)</f>
        <v>0</v>
      </c>
      <c r="AV312" s="151">
        <f>IF(K312="El Paso",(AG312/$AV$1)*'1. UC Assumptions'!$G$44-(AH312/$AV$2)*'1. UC Assumptions'!$G$42,0)</f>
        <v>0</v>
      </c>
      <c r="AW312" s="151">
        <f>IF(K312="Harris",(AG312/$AW$1)*'1. UC Assumptions'!$H$44-(AH312/$AW$2)*'1. UC Assumptions'!$H$42,0)</f>
        <v>0</v>
      </c>
      <c r="AX312" s="151">
        <f>IF(K312="Hidalgo",(AG312/$AX$1)*'1. UC Assumptions'!$I$44-(AH312/$AX$2)*'1. UC Assumptions'!$I$42,0)</f>
        <v>0</v>
      </c>
      <c r="AY312" s="151">
        <f>IF(K312="Jefferson",(AG312/$AY$1)*'1. UC Assumptions'!$J$44-(AH312/$AY$2)*'1. UC Assumptions'!$J$42,0)</f>
        <v>0</v>
      </c>
      <c r="AZ312" s="151">
        <f>IF(K312="Lubbock",(AG312/$AZ$1)*'1. UC Assumptions'!$K$44-(AH312/$AZ$2)*'1. UC Assumptions'!$K$42,0)</f>
        <v>0</v>
      </c>
      <c r="BA312" s="151">
        <f>IF(K312="MRSA Central",(AG312/$BA$1)*'1. UC Assumptions'!$L$44-(AH312/$BA$2)*'1. UC Assumptions'!$L$42,0)</f>
        <v>0</v>
      </c>
      <c r="BB312" s="151">
        <f>IF(K312="MRSA Northeast",(AG312/$BB$1)*'1. UC Assumptions'!$M$44-(AH312/$BB$2)*'1. UC Assumptions'!$M$42,0)</f>
        <v>0</v>
      </c>
      <c r="BC312" s="151">
        <f>IF(K312="MRSA West",(AG312/$BC$1)*'1. UC Assumptions'!$N$44-(AH312/$BC$2)*'1. UC Assumptions'!$N$42,0)</f>
        <v>0</v>
      </c>
      <c r="BD312" s="151">
        <f>IF(K312="Nueces",(AG312/$BD$1)*'1. UC Assumptions'!$O$44-(AH312/$BD$2)*'1. UC Assumptions'!$O$42,0)</f>
        <v>0</v>
      </c>
      <c r="BE312" s="151">
        <f>IF(K312="Tarrant",(AG312/$BE$1)*'1. UC Assumptions'!$P$44-(AH312/$BE$2)*'1. UC Assumptions'!$P$42,0)</f>
        <v>0</v>
      </c>
      <c r="BF312" s="151">
        <f>IF(K312="Travis",(AG312/$BF$1)*'1. UC Assumptions'!$Q$44-(AH312/$BF$2)*'1. UC Assumptions'!$Q$42,0)</f>
        <v>0</v>
      </c>
      <c r="BG312" s="151">
        <f t="shared" si="99"/>
        <v>0</v>
      </c>
      <c r="BH312" s="151">
        <f t="shared" si="100"/>
        <v>577112.4715090238</v>
      </c>
      <c r="BI312" s="151">
        <f>ROUNDDOWN(BH312*'1. UC Assumptions'!$C$23,2)</f>
        <v>190447.11</v>
      </c>
      <c r="BJ312" s="154">
        <f t="shared" si="101"/>
        <v>301818.07150902378</v>
      </c>
      <c r="BK312" s="154">
        <f t="shared" si="102"/>
        <v>99599.957999999984</v>
      </c>
      <c r="BL312" s="154">
        <f t="shared" si="103"/>
        <v>278644.51</v>
      </c>
      <c r="BM312" s="154">
        <f t="shared" si="104"/>
        <v>91952.68</v>
      </c>
      <c r="BN312" s="101"/>
      <c r="BO312" s="154">
        <f>(BL312*'1. UC Assumptions'!$C$23)-'3.  UC Calculations by Hospital'!BM312</f>
        <v>8.3000000013271347E-3</v>
      </c>
      <c r="BP312" s="13"/>
    </row>
    <row r="313" spans="2:68">
      <c r="B313" s="129" t="s">
        <v>954</v>
      </c>
      <c r="C313" s="91" t="s">
        <v>954</v>
      </c>
      <c r="D313" s="91" t="s">
        <v>214</v>
      </c>
      <c r="E313" s="91" t="s">
        <v>209</v>
      </c>
      <c r="F313" s="91"/>
      <c r="G313" s="91" t="s">
        <v>209</v>
      </c>
      <c r="H313" s="91" t="s">
        <v>209</v>
      </c>
      <c r="I313" s="150" t="s">
        <v>210</v>
      </c>
      <c r="J313" s="129" t="s">
        <v>955</v>
      </c>
      <c r="K313" s="91" t="s">
        <v>14</v>
      </c>
      <c r="L313" s="91" t="s">
        <v>14</v>
      </c>
      <c r="M313" s="151">
        <v>-371921.83450896206</v>
      </c>
      <c r="N313" s="151">
        <v>6561098.6141706556</v>
      </c>
      <c r="O313" s="131">
        <v>3541118.1391146919</v>
      </c>
      <c r="P313" s="131">
        <f t="shared" si="84"/>
        <v>3019980.4750559637</v>
      </c>
      <c r="Q313" s="131">
        <v>8252692.2776004253</v>
      </c>
      <c r="R313" s="131">
        <v>0</v>
      </c>
      <c r="S313" s="131">
        <f t="shared" si="85"/>
        <v>0</v>
      </c>
      <c r="T313" s="131">
        <f t="shared" si="86"/>
        <v>8252692.2776004253</v>
      </c>
      <c r="U313" s="131">
        <v>0</v>
      </c>
      <c r="V313" s="131">
        <v>0</v>
      </c>
      <c r="W313" s="131">
        <v>0</v>
      </c>
      <c r="X313" s="131">
        <v>0</v>
      </c>
      <c r="Y313" s="131">
        <v>0</v>
      </c>
      <c r="Z313" s="131">
        <f t="shared" si="87"/>
        <v>0</v>
      </c>
      <c r="AA313" s="131">
        <v>0</v>
      </c>
      <c r="AB313" s="152">
        <f t="shared" si="88"/>
        <v>8252692.2776004253</v>
      </c>
      <c r="AC313" s="133">
        <f>IF(D313="Physician Group Practice",(AB313/$AB$393)*'1. UC Assumptions'!$C$15,IF(E313="Rural Hospital",AB313*'1. UC Assumptions'!$C$7/'1. UC Assumptions'!$E$7,(AB313/$AB$397)*('1. UC Assumptions'!$C$9)))</f>
        <v>3879967.0178748174</v>
      </c>
      <c r="AD313" s="133">
        <f t="shared" si="89"/>
        <v>0</v>
      </c>
      <c r="AE313" s="133">
        <f t="shared" si="90"/>
        <v>4372725.2597256079</v>
      </c>
      <c r="AF313" s="133">
        <f t="shared" si="91"/>
        <v>0</v>
      </c>
      <c r="AG313" s="133">
        <f t="shared" si="92"/>
        <v>4372725.2597256079</v>
      </c>
      <c r="AH313" s="133">
        <f t="shared" si="93"/>
        <v>3879967.0178748174</v>
      </c>
      <c r="AI313" s="131">
        <f>AH313*'1. UC Assumptions'!$C$23</f>
        <v>1280389.1158986895</v>
      </c>
      <c r="AJ313" s="131">
        <v>2793058.03</v>
      </c>
      <c r="AK313" s="131">
        <f>AJ313*(1-'1. UC Assumptions'!$C$22)</f>
        <v>921709.14989999984</v>
      </c>
      <c r="AL313" s="131"/>
      <c r="AM313" s="131">
        <f>AL313*'1. UC Assumptions'!$C$23</f>
        <v>0</v>
      </c>
      <c r="AN313" s="153">
        <f t="shared" si="94"/>
        <v>8252692.2776004253</v>
      </c>
      <c r="AO313" s="151">
        <f>AN313*'1. UC Assumptions'!$C$23</f>
        <v>2723388.45160814</v>
      </c>
      <c r="AP313" s="151">
        <f t="shared" si="95"/>
        <v>5459634.247600425</v>
      </c>
      <c r="AQ313" s="151">
        <f t="shared" si="96"/>
        <v>1801679.3017081402</v>
      </c>
      <c r="AR313" s="151">
        <f t="shared" si="97"/>
        <v>1801679.3017081402</v>
      </c>
      <c r="AS313" s="151">
        <f t="shared" si="98"/>
        <v>2723388.45160814</v>
      </c>
      <c r="AT313" s="151">
        <f>IF(K313="Bexar",(AG313/$AT$1)*'1. UC Assumptions'!$E$44-(AH313/$AT$2)*'1. UC Assumptions'!$E$42,0)</f>
        <v>0</v>
      </c>
      <c r="AU313" s="151">
        <f>IF(K313="Dallas",(AG313/$AU$1)*'1. UC Assumptions'!$F$44-(AH313/$AU$2)*'1. UC Assumptions'!$F$42,0)</f>
        <v>0</v>
      </c>
      <c r="AV313" s="151">
        <f>IF(K313="El Paso",(AG313/$AV$1)*'1. UC Assumptions'!$G$44-(AH313/$AV$2)*'1. UC Assumptions'!$G$42,0)</f>
        <v>0</v>
      </c>
      <c r="AW313" s="151">
        <f>IF(K313="Harris",(AG313/$AW$1)*'1. UC Assumptions'!$H$44-(AH313/$AW$2)*'1. UC Assumptions'!$H$42,0)</f>
        <v>0</v>
      </c>
      <c r="AX313" s="151">
        <f>IF(K313="Hidalgo",(AG313/$AX$1)*'1. UC Assumptions'!$I$44-(AH313/$AX$2)*'1. UC Assumptions'!$I$42,0)</f>
        <v>0</v>
      </c>
      <c r="AY313" s="151">
        <f>IF(K313="Jefferson",(AG313/$AY$1)*'1. UC Assumptions'!$J$44-(AH313/$AY$2)*'1. UC Assumptions'!$J$42,0)</f>
        <v>0</v>
      </c>
      <c r="AZ313" s="151">
        <f>IF(K313="Lubbock",(AG313/$AZ$1)*'1. UC Assumptions'!$K$44-(AH313/$AZ$2)*'1. UC Assumptions'!$K$42,0)</f>
        <v>0</v>
      </c>
      <c r="BA313" s="151">
        <f>IF(K313="MRSA Central",(AG313/$BA$1)*'1. UC Assumptions'!$L$44-(AH313/$BA$2)*'1. UC Assumptions'!$L$42,0)</f>
        <v>0</v>
      </c>
      <c r="BB313" s="151">
        <f>IF(K313="MRSA Northeast",(AG313/$BB$1)*'1. UC Assumptions'!$M$44-(AH313/$BB$2)*'1. UC Assumptions'!$M$42,0)</f>
        <v>0</v>
      </c>
      <c r="BC313" s="151">
        <f>IF(K313="MRSA West",(AG313/$BC$1)*'1. UC Assumptions'!$N$44-(AH313/$BC$2)*'1. UC Assumptions'!$N$42,0)</f>
        <v>0</v>
      </c>
      <c r="BD313" s="151">
        <f>IF(K313="Nueces",(AG313/$BD$1)*'1. UC Assumptions'!$O$44-(AH313/$BD$2)*'1. UC Assumptions'!$O$42,0)</f>
        <v>0</v>
      </c>
      <c r="BE313" s="151">
        <f>IF(K313="Tarrant",(AG313/$BE$1)*'1. UC Assumptions'!$P$44-(AH313/$BE$2)*'1. UC Assumptions'!$P$42,0)</f>
        <v>0</v>
      </c>
      <c r="BF313" s="151">
        <f>IF(K313="Travis",(AG313/$BF$1)*'1. UC Assumptions'!$Q$44-(AH313/$BF$2)*'1. UC Assumptions'!$Q$42,0)</f>
        <v>0</v>
      </c>
      <c r="BG313" s="151">
        <f t="shared" si="99"/>
        <v>0</v>
      </c>
      <c r="BH313" s="151">
        <f t="shared" si="100"/>
        <v>3879967.0178748174</v>
      </c>
      <c r="BI313" s="151">
        <f>ROUNDDOWN(BH313*'1. UC Assumptions'!$C$23,2)</f>
        <v>1280389.1100000001</v>
      </c>
      <c r="BJ313" s="154">
        <f t="shared" si="101"/>
        <v>1086908.9878748176</v>
      </c>
      <c r="BK313" s="154">
        <f t="shared" si="102"/>
        <v>358679.96010000026</v>
      </c>
      <c r="BL313" s="154">
        <f t="shared" si="103"/>
        <v>1003456.21</v>
      </c>
      <c r="BM313" s="154">
        <f t="shared" si="104"/>
        <v>331140.53999999998</v>
      </c>
      <c r="BN313" s="101"/>
      <c r="BO313" s="154">
        <f>(BL313*'1. UC Assumptions'!$C$23)-'3.  UC Calculations by Hospital'!BM313</f>
        <v>9.2999999760650098E-3</v>
      </c>
      <c r="BP313" s="13"/>
    </row>
    <row r="314" spans="2:68">
      <c r="B314" s="129" t="s">
        <v>956</v>
      </c>
      <c r="C314" s="91" t="s">
        <v>956</v>
      </c>
      <c r="D314" s="91" t="s">
        <v>214</v>
      </c>
      <c r="E314" s="91" t="s">
        <v>149</v>
      </c>
      <c r="F314" s="91"/>
      <c r="G314" s="91" t="s">
        <v>209</v>
      </c>
      <c r="H314" s="91" t="s">
        <v>209</v>
      </c>
      <c r="I314" s="150" t="s">
        <v>210</v>
      </c>
      <c r="J314" s="129" t="s">
        <v>957</v>
      </c>
      <c r="K314" s="91" t="s">
        <v>12</v>
      </c>
      <c r="L314" s="91" t="s">
        <v>958</v>
      </c>
      <c r="M314" s="151">
        <v>541139.35043786233</v>
      </c>
      <c r="N314" s="151">
        <v>962595.64731335908</v>
      </c>
      <c r="O314" s="131">
        <v>957462.33756149758</v>
      </c>
      <c r="P314" s="131">
        <f t="shared" si="84"/>
        <v>5133.3097518614959</v>
      </c>
      <c r="Q314" s="131">
        <v>957462.33756149758</v>
      </c>
      <c r="R314" s="131">
        <v>111656.39</v>
      </c>
      <c r="S314" s="131">
        <f t="shared" si="85"/>
        <v>0</v>
      </c>
      <c r="T314" s="131">
        <f t="shared" si="86"/>
        <v>957462.33756149758</v>
      </c>
      <c r="U314" s="131">
        <v>0</v>
      </c>
      <c r="V314" s="131">
        <v>0</v>
      </c>
      <c r="W314" s="131">
        <v>0</v>
      </c>
      <c r="X314" s="131">
        <v>0</v>
      </c>
      <c r="Y314" s="131">
        <v>0</v>
      </c>
      <c r="Z314" s="131">
        <f t="shared" si="87"/>
        <v>0</v>
      </c>
      <c r="AA314" s="131">
        <v>0</v>
      </c>
      <c r="AB314" s="152">
        <f t="shared" si="88"/>
        <v>957462.33756149758</v>
      </c>
      <c r="AC314" s="133">
        <f>IF(D314="Physician Group Practice",(AB314/$AB$393)*'1. UC Assumptions'!$C$15,IF(E314="Rural Hospital",AB314*'1. UC Assumptions'!$C$7/'1. UC Assumptions'!$E$7,(AB314/$AB$397)*('1. UC Assumptions'!$C$9)))</f>
        <v>893729.35960194748</v>
      </c>
      <c r="AD314" s="133">
        <f t="shared" si="89"/>
        <v>0</v>
      </c>
      <c r="AE314" s="133">
        <f t="shared" si="90"/>
        <v>63732.977959550102</v>
      </c>
      <c r="AF314" s="133">
        <f t="shared" si="91"/>
        <v>0</v>
      </c>
      <c r="AG314" s="133">
        <f t="shared" si="92"/>
        <v>63732.977959550102</v>
      </c>
      <c r="AH314" s="133">
        <f t="shared" si="93"/>
        <v>893729.35960194748</v>
      </c>
      <c r="AI314" s="131">
        <f>AH314*'1. UC Assumptions'!$C$23</f>
        <v>294930.68866864266</v>
      </c>
      <c r="AJ314" s="131">
        <v>453646.62</v>
      </c>
      <c r="AK314" s="131">
        <f>AJ314*(1-'1. UC Assumptions'!$C$22)</f>
        <v>149703.38459999999</v>
      </c>
      <c r="AL314" s="131"/>
      <c r="AM314" s="131">
        <f>AL314*'1. UC Assumptions'!$C$23</f>
        <v>0</v>
      </c>
      <c r="AN314" s="153">
        <f t="shared" si="94"/>
        <v>957462.33756149758</v>
      </c>
      <c r="AO314" s="151">
        <f>AN314*'1. UC Assumptions'!$C$23</f>
        <v>315962.57139529416</v>
      </c>
      <c r="AP314" s="151">
        <f t="shared" si="95"/>
        <v>503815.71756149759</v>
      </c>
      <c r="AQ314" s="151">
        <f t="shared" si="96"/>
        <v>166259.18679529417</v>
      </c>
      <c r="AR314" s="151">
        <f t="shared" si="97"/>
        <v>166259.18679529417</v>
      </c>
      <c r="AS314" s="151">
        <f t="shared" si="98"/>
        <v>315962.57139529416</v>
      </c>
      <c r="AT314" s="151">
        <f>IF(K314="Bexar",(AG314/$AT$1)*'1. UC Assumptions'!$E$44-(AH314/$AT$2)*'1. UC Assumptions'!$E$42,0)</f>
        <v>0</v>
      </c>
      <c r="AU314" s="151">
        <f>IF(K314="Dallas",(AG314/$AU$1)*'1. UC Assumptions'!$F$44-(AH314/$AU$2)*'1. UC Assumptions'!$F$42,0)</f>
        <v>0</v>
      </c>
      <c r="AV314" s="151">
        <f>IF(K314="El Paso",(AG314/$AV$1)*'1. UC Assumptions'!$G$44-(AH314/$AV$2)*'1. UC Assumptions'!$G$42,0)</f>
        <v>0</v>
      </c>
      <c r="AW314" s="151">
        <f>IF(K314="Harris",(AG314/$AW$1)*'1. UC Assumptions'!$H$44-(AH314/$AW$2)*'1. UC Assumptions'!$H$42,0)</f>
        <v>0</v>
      </c>
      <c r="AX314" s="151">
        <f>IF(K314="Hidalgo",(AG314/$AX$1)*'1. UC Assumptions'!$I$44-(AH314/$AX$2)*'1. UC Assumptions'!$I$42,0)</f>
        <v>0</v>
      </c>
      <c r="AY314" s="151">
        <f>IF(K314="Jefferson",(AG314/$AY$1)*'1. UC Assumptions'!$J$44-(AH314/$AY$2)*'1. UC Assumptions'!$J$42,0)</f>
        <v>0</v>
      </c>
      <c r="AZ314" s="151">
        <f>IF(K314="Lubbock",(AG314/$AZ$1)*'1. UC Assumptions'!$K$44-(AH314/$AZ$2)*'1. UC Assumptions'!$K$42,0)</f>
        <v>0</v>
      </c>
      <c r="BA314" s="151">
        <f>IF(K314="MRSA Central",(AG314/$BA$1)*'1. UC Assumptions'!$L$44-(AH314/$BA$2)*'1. UC Assumptions'!$L$42,0)</f>
        <v>0</v>
      </c>
      <c r="BB314" s="151">
        <f>IF(K314="MRSA Northeast",(AG314/$BB$1)*'1. UC Assumptions'!$M$44-(AH314/$BB$2)*'1. UC Assumptions'!$M$42,0)</f>
        <v>0</v>
      </c>
      <c r="BC314" s="151">
        <f>IF(K314="MRSA West",(AG314/$BC$1)*'1. UC Assumptions'!$N$44-(AH314/$BC$2)*'1. UC Assumptions'!$N$42,0)</f>
        <v>0</v>
      </c>
      <c r="BD314" s="151">
        <f>IF(K314="Nueces",(AG314/$BD$1)*'1. UC Assumptions'!$O$44-(AH314/$BD$2)*'1. UC Assumptions'!$O$42,0)</f>
        <v>0</v>
      </c>
      <c r="BE314" s="151">
        <f>IF(K314="Tarrant",(AG314/$BE$1)*'1. UC Assumptions'!$P$44-(AH314/$BE$2)*'1. UC Assumptions'!$P$42,0)</f>
        <v>0</v>
      </c>
      <c r="BF314" s="151">
        <f>IF(K314="Travis",(AG314/$BF$1)*'1. UC Assumptions'!$Q$44-(AH314/$BF$2)*'1. UC Assumptions'!$Q$42,0)</f>
        <v>0</v>
      </c>
      <c r="BG314" s="151">
        <f t="shared" si="99"/>
        <v>0</v>
      </c>
      <c r="BH314" s="151">
        <f t="shared" si="100"/>
        <v>893729.35960194748</v>
      </c>
      <c r="BI314" s="151">
        <f>ROUNDDOWN(BH314*'1. UC Assumptions'!$C$23,2)</f>
        <v>294930.68</v>
      </c>
      <c r="BJ314" s="154">
        <f t="shared" si="101"/>
        <v>440082.73960194748</v>
      </c>
      <c r="BK314" s="154">
        <f t="shared" si="102"/>
        <v>145227.2954</v>
      </c>
      <c r="BL314" s="154">
        <f t="shared" si="103"/>
        <v>406293.22</v>
      </c>
      <c r="BM314" s="154">
        <f t="shared" si="104"/>
        <v>134076.76</v>
      </c>
      <c r="BN314" s="101"/>
      <c r="BO314" s="154">
        <f>(BL314*'1. UC Assumptions'!$C$23)-'3.  UC Calculations by Hospital'!BM314</f>
        <v>2.5999999779742211E-3</v>
      </c>
      <c r="BP314" s="13"/>
    </row>
    <row r="315" spans="2:68">
      <c r="B315" s="129" t="s">
        <v>959</v>
      </c>
      <c r="C315" s="91" t="s">
        <v>959</v>
      </c>
      <c r="D315" s="91" t="s">
        <v>214</v>
      </c>
      <c r="E315" s="91" t="s">
        <v>209</v>
      </c>
      <c r="F315" s="91"/>
      <c r="G315" s="91" t="s">
        <v>209</v>
      </c>
      <c r="H315" s="91" t="s">
        <v>209</v>
      </c>
      <c r="I315" s="150" t="s">
        <v>210</v>
      </c>
      <c r="J315" s="129" t="s">
        <v>960</v>
      </c>
      <c r="K315" s="91" t="s">
        <v>9</v>
      </c>
      <c r="L315" s="91" t="s">
        <v>725</v>
      </c>
      <c r="M315" s="151">
        <v>5819776.1934338436</v>
      </c>
      <c r="N315" s="151">
        <v>23864513.546134237</v>
      </c>
      <c r="O315" s="131">
        <v>14132613.339786565</v>
      </c>
      <c r="P315" s="131">
        <f t="shared" si="84"/>
        <v>9731900.2063476723</v>
      </c>
      <c r="Q315" s="131">
        <v>19416087.60875567</v>
      </c>
      <c r="R315" s="131">
        <v>5555444.9800000004</v>
      </c>
      <c r="S315" s="131">
        <f t="shared" si="85"/>
        <v>0</v>
      </c>
      <c r="T315" s="131">
        <f t="shared" si="86"/>
        <v>19416087.60875567</v>
      </c>
      <c r="U315" s="131">
        <v>5037696</v>
      </c>
      <c r="V315" s="131">
        <v>0</v>
      </c>
      <c r="W315" s="131">
        <v>0</v>
      </c>
      <c r="X315" s="131">
        <v>0</v>
      </c>
      <c r="Y315" s="131">
        <v>6099886.3455435289</v>
      </c>
      <c r="Z315" s="131">
        <f t="shared" si="87"/>
        <v>11137582.34554353</v>
      </c>
      <c r="AA315" s="131">
        <v>0</v>
      </c>
      <c r="AB315" s="152">
        <f t="shared" si="88"/>
        <v>30553669.9542992</v>
      </c>
      <c r="AC315" s="133">
        <f>IF(D315="Physician Group Practice",(AB315/$AB$393)*'1. UC Assumptions'!$C$15,IF(E315="Rural Hospital",AB315*'1. UC Assumptions'!$C$7/'1. UC Assumptions'!$E$7,(AB315/$AB$397)*('1. UC Assumptions'!$C$9)))</f>
        <v>14364673.697997471</v>
      </c>
      <c r="AD315" s="133">
        <f t="shared" si="89"/>
        <v>0</v>
      </c>
      <c r="AE315" s="133">
        <f t="shared" si="90"/>
        <v>16188996.256301729</v>
      </c>
      <c r="AF315" s="133">
        <f t="shared" si="91"/>
        <v>0</v>
      </c>
      <c r="AG315" s="133">
        <f t="shared" si="92"/>
        <v>16188996.256301729</v>
      </c>
      <c r="AH315" s="133">
        <f t="shared" si="93"/>
        <v>14364673.697997471</v>
      </c>
      <c r="AI315" s="131">
        <f>AH315*'1. UC Assumptions'!$C$23</f>
        <v>4740342.3203391647</v>
      </c>
      <c r="AJ315" s="131">
        <v>13235051.939999999</v>
      </c>
      <c r="AK315" s="131">
        <f>AJ315*(1-'1. UC Assumptions'!$C$22)</f>
        <v>4367567.1401999993</v>
      </c>
      <c r="AL315" s="131"/>
      <c r="AM315" s="131">
        <f>AL315*'1. UC Assumptions'!$C$23</f>
        <v>0</v>
      </c>
      <c r="AN315" s="153">
        <f t="shared" si="94"/>
        <v>30553669.9542992</v>
      </c>
      <c r="AO315" s="151">
        <f>AN315*'1. UC Assumptions'!$C$23</f>
        <v>10082711.084918736</v>
      </c>
      <c r="AP315" s="151">
        <f t="shared" si="95"/>
        <v>17318618.014299199</v>
      </c>
      <c r="AQ315" s="151">
        <f t="shared" si="96"/>
        <v>5715143.9447187362</v>
      </c>
      <c r="AR315" s="151">
        <f t="shared" si="97"/>
        <v>5715143.9447187362</v>
      </c>
      <c r="AS315" s="151">
        <f t="shared" si="98"/>
        <v>10082711.084918736</v>
      </c>
      <c r="AT315" s="151">
        <f>IF(K315="Bexar",(AG315/$AT$1)*'1. UC Assumptions'!$E$44-(AH315/$AT$2)*'1. UC Assumptions'!$E$42,0)</f>
        <v>0</v>
      </c>
      <c r="AU315" s="151">
        <f>IF(K315="Dallas",(AG315/$AU$1)*'1. UC Assumptions'!$F$44-(AH315/$AU$2)*'1. UC Assumptions'!$F$42,0)</f>
        <v>0</v>
      </c>
      <c r="AV315" s="151">
        <f>IF(K315="El Paso",(AG315/$AV$1)*'1. UC Assumptions'!$G$44-(AH315/$AV$2)*'1. UC Assumptions'!$G$42,0)</f>
        <v>0</v>
      </c>
      <c r="AW315" s="151">
        <f>IF(K315="Harris",(AG315/$AW$1)*'1. UC Assumptions'!$H$44-(AH315/$AW$2)*'1. UC Assumptions'!$H$42,0)</f>
        <v>0</v>
      </c>
      <c r="AX315" s="151">
        <f>IF(K315="Hidalgo",(AG315/$AX$1)*'1. UC Assumptions'!$I$44-(AH315/$AX$2)*'1. UC Assumptions'!$I$42,0)</f>
        <v>0</v>
      </c>
      <c r="AY315" s="151">
        <f>IF(K315="Jefferson",(AG315/$AY$1)*'1. UC Assumptions'!$J$44-(AH315/$AY$2)*'1. UC Assumptions'!$J$42,0)</f>
        <v>0</v>
      </c>
      <c r="AZ315" s="151">
        <f>IF(K315="Lubbock",(AG315/$AZ$1)*'1. UC Assumptions'!$K$44-(AH315/$AZ$2)*'1. UC Assumptions'!$K$42,0)</f>
        <v>0</v>
      </c>
      <c r="BA315" s="151">
        <f>IF(K315="MRSA Central",(AG315/$BA$1)*'1. UC Assumptions'!$L$44-(AH315/$BA$2)*'1. UC Assumptions'!$L$42,0)</f>
        <v>0</v>
      </c>
      <c r="BB315" s="151">
        <f>IF(K315="MRSA Northeast",(AG315/$BB$1)*'1. UC Assumptions'!$M$44-(AH315/$BB$2)*'1. UC Assumptions'!$M$42,0)</f>
        <v>0</v>
      </c>
      <c r="BC315" s="151">
        <f>IF(K315="MRSA West",(AG315/$BC$1)*'1. UC Assumptions'!$N$44-(AH315/$BC$2)*'1. UC Assumptions'!$N$42,0)</f>
        <v>0</v>
      </c>
      <c r="BD315" s="151">
        <f>IF(K315="Nueces",(AG315/$BD$1)*'1. UC Assumptions'!$O$44-(AH315/$BD$2)*'1. UC Assumptions'!$O$42,0)</f>
        <v>0</v>
      </c>
      <c r="BE315" s="151">
        <f>IF(K315="Tarrant",(AG315/$BE$1)*'1. UC Assumptions'!$P$44-(AH315/$BE$2)*'1. UC Assumptions'!$P$42,0)</f>
        <v>0</v>
      </c>
      <c r="BF315" s="151">
        <f>IF(K315="Travis",(AG315/$BF$1)*'1. UC Assumptions'!$Q$44-(AH315/$BF$2)*'1. UC Assumptions'!$Q$42,0)</f>
        <v>0</v>
      </c>
      <c r="BG315" s="151">
        <f t="shared" si="99"/>
        <v>0</v>
      </c>
      <c r="BH315" s="151">
        <f t="shared" si="100"/>
        <v>14364673.697997471</v>
      </c>
      <c r="BI315" s="151">
        <f>ROUNDDOWN(BH315*'1. UC Assumptions'!$C$23,2)</f>
        <v>4740342.32</v>
      </c>
      <c r="BJ315" s="154">
        <f t="shared" si="101"/>
        <v>1129621.7579974718</v>
      </c>
      <c r="BK315" s="154">
        <f t="shared" si="102"/>
        <v>372775.17980000097</v>
      </c>
      <c r="BL315" s="154">
        <f t="shared" si="103"/>
        <v>1042889.5</v>
      </c>
      <c r="BM315" s="154">
        <f t="shared" si="104"/>
        <v>344153.53</v>
      </c>
      <c r="BN315" s="101"/>
      <c r="BO315" s="154">
        <f>(BL315*'1. UC Assumptions'!$C$23)-'3.  UC Calculations by Hospital'!BM315</f>
        <v>4.999999946448952E-3</v>
      </c>
      <c r="BP315" s="13"/>
    </row>
    <row r="316" spans="2:68">
      <c r="B316" s="129" t="s">
        <v>961</v>
      </c>
      <c r="C316" s="91" t="s">
        <v>961</v>
      </c>
      <c r="D316" s="91" t="s">
        <v>214</v>
      </c>
      <c r="E316" s="91" t="s">
        <v>149</v>
      </c>
      <c r="F316" s="91"/>
      <c r="G316" s="91" t="s">
        <v>209</v>
      </c>
      <c r="H316" s="91" t="s">
        <v>209</v>
      </c>
      <c r="I316" s="150" t="s">
        <v>210</v>
      </c>
      <c r="J316" s="129" t="s">
        <v>962</v>
      </c>
      <c r="K316" s="91" t="s">
        <v>12</v>
      </c>
      <c r="L316" s="91" t="s">
        <v>963</v>
      </c>
      <c r="M316" s="151">
        <v>739179.10663797753</v>
      </c>
      <c r="N316" s="151">
        <v>1317992.6842719826</v>
      </c>
      <c r="O316" s="131">
        <v>570464.29115235829</v>
      </c>
      <c r="P316" s="131">
        <f t="shared" si="84"/>
        <v>747528.39311962435</v>
      </c>
      <c r="Q316" s="131">
        <v>1281926.6380634112</v>
      </c>
      <c r="R316" s="131">
        <v>89773.25</v>
      </c>
      <c r="S316" s="131">
        <f t="shared" si="85"/>
        <v>0</v>
      </c>
      <c r="T316" s="131">
        <f t="shared" si="86"/>
        <v>1281926.6380634112</v>
      </c>
      <c r="U316" s="131">
        <v>19654</v>
      </c>
      <c r="V316" s="131">
        <v>0</v>
      </c>
      <c r="W316" s="131">
        <v>0</v>
      </c>
      <c r="X316" s="131">
        <v>0</v>
      </c>
      <c r="Y316" s="131">
        <v>0</v>
      </c>
      <c r="Z316" s="131">
        <f t="shared" si="87"/>
        <v>19654</v>
      </c>
      <c r="AA316" s="131">
        <v>0</v>
      </c>
      <c r="AB316" s="152">
        <f t="shared" si="88"/>
        <v>1301580.6380634112</v>
      </c>
      <c r="AC316" s="133">
        <f>IF(D316="Physician Group Practice",(AB316/$AB$393)*'1. UC Assumptions'!$C$15,IF(E316="Rural Hospital",AB316*'1. UC Assumptions'!$C$7/'1. UC Assumptions'!$E$7,(AB316/$AB$397)*('1. UC Assumptions'!$C$9)))</f>
        <v>1214941.6060472361</v>
      </c>
      <c r="AD316" s="133">
        <f t="shared" si="89"/>
        <v>0</v>
      </c>
      <c r="AE316" s="133">
        <f t="shared" si="90"/>
        <v>86639.032016175101</v>
      </c>
      <c r="AF316" s="133">
        <f t="shared" si="91"/>
        <v>0</v>
      </c>
      <c r="AG316" s="133">
        <f t="shared" si="92"/>
        <v>86639.032016175101</v>
      </c>
      <c r="AH316" s="133">
        <f t="shared" si="93"/>
        <v>1214941.6060472361</v>
      </c>
      <c r="AI316" s="131">
        <f>AH316*'1. UC Assumptions'!$C$23</f>
        <v>400930.7299955879</v>
      </c>
      <c r="AJ316" s="131">
        <v>247312.64000000001</v>
      </c>
      <c r="AK316" s="131">
        <f>AJ316*(1-'1. UC Assumptions'!$C$22)</f>
        <v>81613.171199999997</v>
      </c>
      <c r="AL316" s="131"/>
      <c r="AM316" s="131">
        <f>AL316*'1. UC Assumptions'!$C$23</f>
        <v>0</v>
      </c>
      <c r="AN316" s="153">
        <f t="shared" si="94"/>
        <v>1301580.6380634112</v>
      </c>
      <c r="AO316" s="151">
        <f>AN316*'1. UC Assumptions'!$C$23</f>
        <v>429521.61056092568</v>
      </c>
      <c r="AP316" s="151">
        <f t="shared" si="95"/>
        <v>1054267.9980634111</v>
      </c>
      <c r="AQ316" s="151">
        <f t="shared" si="96"/>
        <v>347908.43936092569</v>
      </c>
      <c r="AR316" s="151">
        <f t="shared" si="97"/>
        <v>347908.43936092569</v>
      </c>
      <c r="AS316" s="151">
        <f t="shared" si="98"/>
        <v>429521.61056092568</v>
      </c>
      <c r="AT316" s="151">
        <f>IF(K316="Bexar",(AG316/$AT$1)*'1. UC Assumptions'!$E$44-(AH316/$AT$2)*'1. UC Assumptions'!$E$42,0)</f>
        <v>0</v>
      </c>
      <c r="AU316" s="151">
        <f>IF(K316="Dallas",(AG316/$AU$1)*'1. UC Assumptions'!$F$44-(AH316/$AU$2)*'1. UC Assumptions'!$F$42,0)</f>
        <v>0</v>
      </c>
      <c r="AV316" s="151">
        <f>IF(K316="El Paso",(AG316/$AV$1)*'1. UC Assumptions'!$G$44-(AH316/$AV$2)*'1. UC Assumptions'!$G$42,0)</f>
        <v>0</v>
      </c>
      <c r="AW316" s="151">
        <f>IF(K316="Harris",(AG316/$AW$1)*'1. UC Assumptions'!$H$44-(AH316/$AW$2)*'1. UC Assumptions'!$H$42,0)</f>
        <v>0</v>
      </c>
      <c r="AX316" s="151">
        <f>IF(K316="Hidalgo",(AG316/$AX$1)*'1. UC Assumptions'!$I$44-(AH316/$AX$2)*'1. UC Assumptions'!$I$42,0)</f>
        <v>0</v>
      </c>
      <c r="AY316" s="151">
        <f>IF(K316="Jefferson",(AG316/$AY$1)*'1. UC Assumptions'!$J$44-(AH316/$AY$2)*'1. UC Assumptions'!$J$42,0)</f>
        <v>0</v>
      </c>
      <c r="AZ316" s="151">
        <f>IF(K316="Lubbock",(AG316/$AZ$1)*'1. UC Assumptions'!$K$44-(AH316/$AZ$2)*'1. UC Assumptions'!$K$42,0)</f>
        <v>0</v>
      </c>
      <c r="BA316" s="151">
        <f>IF(K316="MRSA Central",(AG316/$BA$1)*'1. UC Assumptions'!$L$44-(AH316/$BA$2)*'1. UC Assumptions'!$L$42,0)</f>
        <v>0</v>
      </c>
      <c r="BB316" s="151">
        <f>IF(K316="MRSA Northeast",(AG316/$BB$1)*'1. UC Assumptions'!$M$44-(AH316/$BB$2)*'1. UC Assumptions'!$M$42,0)</f>
        <v>0</v>
      </c>
      <c r="BC316" s="151">
        <f>IF(K316="MRSA West",(AG316/$BC$1)*'1. UC Assumptions'!$N$44-(AH316/$BC$2)*'1. UC Assumptions'!$N$42,0)</f>
        <v>0</v>
      </c>
      <c r="BD316" s="151">
        <f>IF(K316="Nueces",(AG316/$BD$1)*'1. UC Assumptions'!$O$44-(AH316/$BD$2)*'1. UC Assumptions'!$O$42,0)</f>
        <v>0</v>
      </c>
      <c r="BE316" s="151">
        <f>IF(K316="Tarrant",(AG316/$BE$1)*'1. UC Assumptions'!$P$44-(AH316/$BE$2)*'1. UC Assumptions'!$P$42,0)</f>
        <v>0</v>
      </c>
      <c r="BF316" s="151">
        <f>IF(K316="Travis",(AG316/$BF$1)*'1. UC Assumptions'!$Q$44-(AH316/$BF$2)*'1. UC Assumptions'!$Q$42,0)</f>
        <v>0</v>
      </c>
      <c r="BG316" s="151">
        <f t="shared" si="99"/>
        <v>0</v>
      </c>
      <c r="BH316" s="151">
        <f t="shared" si="100"/>
        <v>1214941.6060472361</v>
      </c>
      <c r="BI316" s="151">
        <f>ROUNDDOWN(BH316*'1. UC Assumptions'!$C$23,2)</f>
        <v>400930.72</v>
      </c>
      <c r="BJ316" s="154">
        <f t="shared" si="101"/>
        <v>967628.96604723611</v>
      </c>
      <c r="BK316" s="154">
        <f t="shared" si="102"/>
        <v>319317.54879999999</v>
      </c>
      <c r="BL316" s="154">
        <f t="shared" si="103"/>
        <v>893334.5</v>
      </c>
      <c r="BM316" s="154">
        <f t="shared" si="104"/>
        <v>294800.37</v>
      </c>
      <c r="BN316" s="101"/>
      <c r="BO316" s="154">
        <f>(BL316*'1. UC Assumptions'!$C$23)-'3.  UC Calculations by Hospital'!BM316</f>
        <v>1.4999999955762178E-2</v>
      </c>
      <c r="BP316" s="13"/>
    </row>
    <row r="317" spans="2:68">
      <c r="B317" s="129" t="s">
        <v>964</v>
      </c>
      <c r="C317" s="91" t="s">
        <v>964</v>
      </c>
      <c r="D317" s="91" t="s">
        <v>214</v>
      </c>
      <c r="E317" s="91" t="s">
        <v>209</v>
      </c>
      <c r="F317" s="91"/>
      <c r="G317" s="91" t="s">
        <v>209</v>
      </c>
      <c r="H317" s="91" t="s">
        <v>209</v>
      </c>
      <c r="I317" s="150" t="s">
        <v>210</v>
      </c>
      <c r="J317" s="129" t="s">
        <v>965</v>
      </c>
      <c r="K317" s="91" t="s">
        <v>10</v>
      </c>
      <c r="L317" s="91" t="s">
        <v>553</v>
      </c>
      <c r="M317" s="151">
        <v>-181554.27681458805</v>
      </c>
      <c r="N317" s="151">
        <v>8216057.5560155623</v>
      </c>
      <c r="O317" s="131">
        <v>4906826.7231715564</v>
      </c>
      <c r="P317" s="131">
        <f t="shared" si="84"/>
        <v>3309230.8328440059</v>
      </c>
      <c r="Q317" s="131">
        <v>8048960.4468828375</v>
      </c>
      <c r="R317" s="131">
        <v>0</v>
      </c>
      <c r="S317" s="131">
        <f t="shared" si="85"/>
        <v>0</v>
      </c>
      <c r="T317" s="131">
        <f t="shared" si="86"/>
        <v>8048960.4468828375</v>
      </c>
      <c r="U317" s="131">
        <v>701365.35000000009</v>
      </c>
      <c r="V317" s="131">
        <v>0</v>
      </c>
      <c r="W317" s="131">
        <v>0</v>
      </c>
      <c r="X317" s="131">
        <v>0</v>
      </c>
      <c r="Y317" s="131">
        <v>0</v>
      </c>
      <c r="Z317" s="131">
        <f t="shared" si="87"/>
        <v>701365.35000000009</v>
      </c>
      <c r="AA317" s="131">
        <v>0</v>
      </c>
      <c r="AB317" s="152">
        <f t="shared" si="88"/>
        <v>8750325.796882838</v>
      </c>
      <c r="AC317" s="133">
        <f>IF(D317="Physician Group Practice",(AB317/$AB$393)*'1. UC Assumptions'!$C$15,IF(E317="Rural Hospital",AB317*'1. UC Assumptions'!$C$7/'1. UC Assumptions'!$E$7,(AB317/$AB$397)*('1. UC Assumptions'!$C$9)))</f>
        <v>4113927.230718975</v>
      </c>
      <c r="AD317" s="133">
        <f t="shared" si="89"/>
        <v>0</v>
      </c>
      <c r="AE317" s="133">
        <f t="shared" si="90"/>
        <v>4636398.5661638631</v>
      </c>
      <c r="AF317" s="133">
        <f t="shared" si="91"/>
        <v>0</v>
      </c>
      <c r="AG317" s="133">
        <f t="shared" si="92"/>
        <v>4636398.5661638631</v>
      </c>
      <c r="AH317" s="133">
        <f t="shared" si="93"/>
        <v>4113927.230718975</v>
      </c>
      <c r="AI317" s="131">
        <f>AH317*'1. UC Assumptions'!$C$23</f>
        <v>1357595.9861372616</v>
      </c>
      <c r="AJ317" s="131">
        <v>2901305.91</v>
      </c>
      <c r="AK317" s="131">
        <f>AJ317*(1-'1. UC Assumptions'!$C$22)</f>
        <v>957430.95029999991</v>
      </c>
      <c r="AL317" s="131"/>
      <c r="AM317" s="131">
        <f>AL317*'1. UC Assumptions'!$C$23</f>
        <v>0</v>
      </c>
      <c r="AN317" s="153">
        <f t="shared" si="94"/>
        <v>8750325.796882838</v>
      </c>
      <c r="AO317" s="151">
        <f>AN317*'1. UC Assumptions'!$C$23</f>
        <v>2887607.512971336</v>
      </c>
      <c r="AP317" s="151">
        <f t="shared" si="95"/>
        <v>5849019.8868828379</v>
      </c>
      <c r="AQ317" s="151">
        <f t="shared" si="96"/>
        <v>1930176.5626713361</v>
      </c>
      <c r="AR317" s="151">
        <f t="shared" si="97"/>
        <v>1930176.5626713361</v>
      </c>
      <c r="AS317" s="151">
        <f t="shared" si="98"/>
        <v>2887607.512971336</v>
      </c>
      <c r="AT317" s="151">
        <f>IF(K317="Bexar",(AG317/$AT$1)*'1. UC Assumptions'!$E$44-(AH317/$AT$2)*'1. UC Assumptions'!$E$42,0)</f>
        <v>0</v>
      </c>
      <c r="AU317" s="151">
        <f>IF(K317="Dallas",(AG317/$AU$1)*'1. UC Assumptions'!$F$44-(AH317/$AU$2)*'1. UC Assumptions'!$F$42,0)</f>
        <v>0</v>
      </c>
      <c r="AV317" s="151">
        <f>IF(K317="El Paso",(AG317/$AV$1)*'1. UC Assumptions'!$G$44-(AH317/$AV$2)*'1. UC Assumptions'!$G$42,0)</f>
        <v>0</v>
      </c>
      <c r="AW317" s="151">
        <f>IF(K317="Harris",(AG317/$AW$1)*'1. UC Assumptions'!$H$44-(AH317/$AW$2)*'1. UC Assumptions'!$H$42,0)</f>
        <v>0</v>
      </c>
      <c r="AX317" s="151">
        <f>IF(K317="Hidalgo",(AG317/$AX$1)*'1. UC Assumptions'!$I$44-(AH317/$AX$2)*'1. UC Assumptions'!$I$42,0)</f>
        <v>0</v>
      </c>
      <c r="AY317" s="151">
        <f>IF(K317="Jefferson",(AG317/$AY$1)*'1. UC Assumptions'!$J$44-(AH317/$AY$2)*'1. UC Assumptions'!$J$42,0)</f>
        <v>0</v>
      </c>
      <c r="AZ317" s="151">
        <f>IF(K317="Lubbock",(AG317/$AZ$1)*'1. UC Assumptions'!$K$44-(AH317/$AZ$2)*'1. UC Assumptions'!$K$42,0)</f>
        <v>0</v>
      </c>
      <c r="BA317" s="151">
        <f>IF(K317="MRSA Central",(AG317/$BA$1)*'1. UC Assumptions'!$L$44-(AH317/$BA$2)*'1. UC Assumptions'!$L$42,0)</f>
        <v>0</v>
      </c>
      <c r="BB317" s="151">
        <f>IF(K317="MRSA Northeast",(AG317/$BB$1)*'1. UC Assumptions'!$M$44-(AH317/$BB$2)*'1. UC Assumptions'!$M$42,0)</f>
        <v>0</v>
      </c>
      <c r="BC317" s="151">
        <f>IF(K317="MRSA West",(AG317/$BC$1)*'1. UC Assumptions'!$N$44-(AH317/$BC$2)*'1. UC Assumptions'!$N$42,0)</f>
        <v>0</v>
      </c>
      <c r="BD317" s="151">
        <f>IF(K317="Nueces",(AG317/$BD$1)*'1. UC Assumptions'!$O$44-(AH317/$BD$2)*'1. UC Assumptions'!$O$42,0)</f>
        <v>0</v>
      </c>
      <c r="BE317" s="151">
        <f>IF(K317="Tarrant",(AG317/$BE$1)*'1. UC Assumptions'!$P$44-(AH317/$BE$2)*'1. UC Assumptions'!$P$42,0)</f>
        <v>0</v>
      </c>
      <c r="BF317" s="151">
        <f>IF(K317="Travis",(AG317/$BF$1)*'1. UC Assumptions'!$Q$44-(AH317/$BF$2)*'1. UC Assumptions'!$Q$42,0)</f>
        <v>0</v>
      </c>
      <c r="BG317" s="151">
        <f t="shared" si="99"/>
        <v>0</v>
      </c>
      <c r="BH317" s="151">
        <f t="shared" si="100"/>
        <v>4113927.230718975</v>
      </c>
      <c r="BI317" s="151">
        <f>ROUNDDOWN(BH317*'1. UC Assumptions'!$C$23,2)</f>
        <v>1357595.98</v>
      </c>
      <c r="BJ317" s="154">
        <f t="shared" si="101"/>
        <v>1212621.3207189748</v>
      </c>
      <c r="BK317" s="154">
        <f t="shared" si="102"/>
        <v>400165.02970000007</v>
      </c>
      <c r="BL317" s="154">
        <f t="shared" si="103"/>
        <v>1119516.3600000001</v>
      </c>
      <c r="BM317" s="154">
        <f t="shared" si="104"/>
        <v>369440.39</v>
      </c>
      <c r="BN317" s="101"/>
      <c r="BO317" s="154">
        <f>(BL317*'1. UC Assumptions'!$C$23)-'3.  UC Calculations by Hospital'!BM317</f>
        <v>8.7999999523162842E-3</v>
      </c>
      <c r="BP317" s="13"/>
    </row>
    <row r="318" spans="2:68">
      <c r="B318" s="129" t="s">
        <v>966</v>
      </c>
      <c r="C318" s="91" t="s">
        <v>966</v>
      </c>
      <c r="D318" s="91" t="s">
        <v>214</v>
      </c>
      <c r="E318" s="91" t="s">
        <v>209</v>
      </c>
      <c r="F318" s="91"/>
      <c r="G318" s="91" t="s">
        <v>209</v>
      </c>
      <c r="H318" s="91" t="s">
        <v>209</v>
      </c>
      <c r="I318" s="150" t="s">
        <v>210</v>
      </c>
      <c r="J318" s="129" t="s">
        <v>967</v>
      </c>
      <c r="K318" s="91" t="s">
        <v>14</v>
      </c>
      <c r="L318" s="91" t="s">
        <v>248</v>
      </c>
      <c r="M318" s="151">
        <v>199663.27456588796</v>
      </c>
      <c r="N318" s="151">
        <v>0</v>
      </c>
      <c r="O318" s="131">
        <v>0</v>
      </c>
      <c r="P318" s="131">
        <f t="shared" si="84"/>
        <v>0</v>
      </c>
      <c r="Q318" s="131">
        <v>879478.21616148483</v>
      </c>
      <c r="R318" s="131">
        <v>0</v>
      </c>
      <c r="S318" s="131">
        <f t="shared" si="85"/>
        <v>0</v>
      </c>
      <c r="T318" s="131">
        <f t="shared" si="86"/>
        <v>879478.21616148483</v>
      </c>
      <c r="U318" s="131">
        <v>0</v>
      </c>
      <c r="V318" s="131">
        <v>0</v>
      </c>
      <c r="W318" s="131">
        <v>0</v>
      </c>
      <c r="X318" s="131">
        <v>0</v>
      </c>
      <c r="Y318" s="131">
        <v>0</v>
      </c>
      <c r="Z318" s="131">
        <f t="shared" si="87"/>
        <v>0</v>
      </c>
      <c r="AA318" s="131">
        <v>0</v>
      </c>
      <c r="AB318" s="152">
        <f t="shared" si="88"/>
        <v>879478.21616148483</v>
      </c>
      <c r="AC318" s="133">
        <f>IF(D318="Physician Group Practice",(AB318/$AB$393)*'1. UC Assumptions'!$C$15,IF(E318="Rural Hospital",AB318*'1. UC Assumptions'!$C$7/'1. UC Assumptions'!$E$7,(AB318/$AB$397)*('1. UC Assumptions'!$C$9)))</f>
        <v>413482.8195288197</v>
      </c>
      <c r="AD318" s="133">
        <f t="shared" si="89"/>
        <v>0</v>
      </c>
      <c r="AE318" s="133">
        <f t="shared" si="90"/>
        <v>465995.39663266513</v>
      </c>
      <c r="AF318" s="133">
        <f t="shared" si="91"/>
        <v>0</v>
      </c>
      <c r="AG318" s="133">
        <f t="shared" si="92"/>
        <v>465995.39663266513</v>
      </c>
      <c r="AH318" s="133">
        <f t="shared" si="93"/>
        <v>413482.8195288197</v>
      </c>
      <c r="AI318" s="131">
        <f>AH318*'1. UC Assumptions'!$C$23</f>
        <v>136449.33044451047</v>
      </c>
      <c r="AJ318" s="131">
        <v>437931.42</v>
      </c>
      <c r="AK318" s="131">
        <f>AJ318*(1-'1. UC Assumptions'!$C$22)</f>
        <v>144517.36859999999</v>
      </c>
      <c r="AL318" s="131"/>
      <c r="AM318" s="131">
        <f>AL318*'1. UC Assumptions'!$C$23</f>
        <v>0</v>
      </c>
      <c r="AN318" s="153">
        <f t="shared" si="94"/>
        <v>879478.21616148483</v>
      </c>
      <c r="AO318" s="151">
        <f>AN318*'1. UC Assumptions'!$C$23</f>
        <v>290227.81133328995</v>
      </c>
      <c r="AP318" s="151">
        <f t="shared" si="95"/>
        <v>441546.79616148485</v>
      </c>
      <c r="AQ318" s="151">
        <f t="shared" si="96"/>
        <v>145710.44273328996</v>
      </c>
      <c r="AR318" s="151">
        <f t="shared" si="97"/>
        <v>145710.44273328996</v>
      </c>
      <c r="AS318" s="151">
        <f t="shared" si="98"/>
        <v>290227.81133328995</v>
      </c>
      <c r="AT318" s="151">
        <f>IF(K318="Bexar",(AG318/$AT$1)*'1. UC Assumptions'!$E$44-(AH318/$AT$2)*'1. UC Assumptions'!$E$42,0)</f>
        <v>0</v>
      </c>
      <c r="AU318" s="151">
        <f>IF(K318="Dallas",(AG318/$AU$1)*'1. UC Assumptions'!$F$44-(AH318/$AU$2)*'1. UC Assumptions'!$F$42,0)</f>
        <v>0</v>
      </c>
      <c r="AV318" s="151">
        <f>IF(K318="El Paso",(AG318/$AV$1)*'1. UC Assumptions'!$G$44-(AH318/$AV$2)*'1. UC Assumptions'!$G$42,0)</f>
        <v>0</v>
      </c>
      <c r="AW318" s="151">
        <f>IF(K318="Harris",(AG318/$AW$1)*'1. UC Assumptions'!$H$44-(AH318/$AW$2)*'1. UC Assumptions'!$H$42,0)</f>
        <v>0</v>
      </c>
      <c r="AX318" s="151">
        <f>IF(K318="Hidalgo",(AG318/$AX$1)*'1. UC Assumptions'!$I$44-(AH318/$AX$2)*'1. UC Assumptions'!$I$42,0)</f>
        <v>0</v>
      </c>
      <c r="AY318" s="151">
        <f>IF(K318="Jefferson",(AG318/$AY$1)*'1. UC Assumptions'!$J$44-(AH318/$AY$2)*'1. UC Assumptions'!$J$42,0)</f>
        <v>0</v>
      </c>
      <c r="AZ318" s="151">
        <f>IF(K318="Lubbock",(AG318/$AZ$1)*'1. UC Assumptions'!$K$44-(AH318/$AZ$2)*'1. UC Assumptions'!$K$42,0)</f>
        <v>0</v>
      </c>
      <c r="BA318" s="151">
        <f>IF(K318="MRSA Central",(AG318/$BA$1)*'1. UC Assumptions'!$L$44-(AH318/$BA$2)*'1. UC Assumptions'!$L$42,0)</f>
        <v>0</v>
      </c>
      <c r="BB318" s="151">
        <f>IF(K318="MRSA Northeast",(AG318/$BB$1)*'1. UC Assumptions'!$M$44-(AH318/$BB$2)*'1. UC Assumptions'!$M$42,0)</f>
        <v>0</v>
      </c>
      <c r="BC318" s="151">
        <f>IF(K318="MRSA West",(AG318/$BC$1)*'1. UC Assumptions'!$N$44-(AH318/$BC$2)*'1. UC Assumptions'!$N$42,0)</f>
        <v>0</v>
      </c>
      <c r="BD318" s="151">
        <f>IF(K318="Nueces",(AG318/$BD$1)*'1. UC Assumptions'!$O$44-(AH318/$BD$2)*'1. UC Assumptions'!$O$42,0)</f>
        <v>0</v>
      </c>
      <c r="BE318" s="151">
        <f>IF(K318="Tarrant",(AG318/$BE$1)*'1. UC Assumptions'!$P$44-(AH318/$BE$2)*'1. UC Assumptions'!$P$42,0)</f>
        <v>0</v>
      </c>
      <c r="BF318" s="151">
        <f>IF(K318="Travis",(AG318/$BF$1)*'1. UC Assumptions'!$Q$44-(AH318/$BF$2)*'1. UC Assumptions'!$Q$42,0)</f>
        <v>0</v>
      </c>
      <c r="BG318" s="151">
        <f t="shared" si="99"/>
        <v>0</v>
      </c>
      <c r="BH318" s="151">
        <f t="shared" si="100"/>
        <v>413482.8195288197</v>
      </c>
      <c r="BI318" s="151">
        <f>ROUNDDOWN(BH318*'1. UC Assumptions'!$C$23,2)</f>
        <v>136449.32999999999</v>
      </c>
      <c r="BJ318" s="154">
        <f t="shared" si="101"/>
        <v>-24448.600471180282</v>
      </c>
      <c r="BK318" s="154">
        <f t="shared" si="102"/>
        <v>-8068.0385999999999</v>
      </c>
      <c r="BL318" s="154">
        <f t="shared" si="103"/>
        <v>0</v>
      </c>
      <c r="BM318" s="154">
        <f t="shared" si="104"/>
        <v>0</v>
      </c>
      <c r="BN318" s="101"/>
      <c r="BO318" s="154">
        <f>(BL318*'1. UC Assumptions'!$C$23)-'3.  UC Calculations by Hospital'!BM318</f>
        <v>0</v>
      </c>
      <c r="BP318" s="13"/>
    </row>
    <row r="319" spans="2:68">
      <c r="B319" s="129" t="s">
        <v>968</v>
      </c>
      <c r="C319" s="91" t="s">
        <v>968</v>
      </c>
      <c r="D319" s="91" t="s">
        <v>208</v>
      </c>
      <c r="E319" s="91" t="s">
        <v>149</v>
      </c>
      <c r="F319" s="91"/>
      <c r="G319" s="91" t="s">
        <v>209</v>
      </c>
      <c r="H319" s="91" t="s">
        <v>209</v>
      </c>
      <c r="I319" s="150" t="s">
        <v>210</v>
      </c>
      <c r="J319" s="129" t="s">
        <v>969</v>
      </c>
      <c r="K319" s="91" t="s">
        <v>11</v>
      </c>
      <c r="L319" s="91" t="s">
        <v>970</v>
      </c>
      <c r="M319" s="151">
        <v>623349.75171159045</v>
      </c>
      <c r="N319" s="151">
        <v>1718993.4997129643</v>
      </c>
      <c r="O319" s="131">
        <v>0</v>
      </c>
      <c r="P319" s="131">
        <f t="shared" si="84"/>
        <v>1718993.4997129643</v>
      </c>
      <c r="Q319" s="131">
        <v>1382878.6202611967</v>
      </c>
      <c r="R319" s="131">
        <v>0</v>
      </c>
      <c r="S319" s="131">
        <f t="shared" si="85"/>
        <v>0</v>
      </c>
      <c r="T319" s="131">
        <f>IF(Q319&gt;S319,Q319-S319,0)</f>
        <v>1382878.6202611967</v>
      </c>
      <c r="U319" s="131">
        <v>0</v>
      </c>
      <c r="V319" s="131">
        <v>0</v>
      </c>
      <c r="W319" s="131">
        <v>0</v>
      </c>
      <c r="X319" s="131">
        <v>0</v>
      </c>
      <c r="Y319" s="131">
        <v>53763</v>
      </c>
      <c r="Z319" s="131">
        <f t="shared" si="87"/>
        <v>53763</v>
      </c>
      <c r="AA319" s="131">
        <v>0</v>
      </c>
      <c r="AB319" s="152">
        <f t="shared" si="88"/>
        <v>1436641.6202611967</v>
      </c>
      <c r="AC319" s="133">
        <f>IF(D319="Physician Group Practice",(AB319/$AB$393)*'1. UC Assumptions'!$C$15,IF(E319="Rural Hospital",AB319*'1. UC Assumptions'!$C$7/'1. UC Assumptions'!$E$7,(AB319/$AB$397)*('1. UC Assumptions'!$C$9)))</f>
        <v>1341012.3248540566</v>
      </c>
      <c r="AD319" s="133">
        <f t="shared" si="89"/>
        <v>0</v>
      </c>
      <c r="AE319" s="133">
        <f t="shared" si="90"/>
        <v>95629.295407140162</v>
      </c>
      <c r="AF319" s="133">
        <f t="shared" si="91"/>
        <v>0</v>
      </c>
      <c r="AG319" s="133">
        <f t="shared" si="92"/>
        <v>95629.295407140162</v>
      </c>
      <c r="AH319" s="133">
        <f t="shared" si="93"/>
        <v>1341012.3248540566</v>
      </c>
      <c r="AI319" s="131">
        <f>AH319*'1. UC Assumptions'!$C$23</f>
        <v>442534.0672018386</v>
      </c>
      <c r="AJ319" s="131">
        <v>937665.99</v>
      </c>
      <c r="AK319" s="131">
        <f>AJ319*(1-'1. UC Assumptions'!$C$22)</f>
        <v>309429.77669999999</v>
      </c>
      <c r="AL319" s="131"/>
      <c r="AM319" s="131">
        <f>AL319*'1. UC Assumptions'!$C$23</f>
        <v>0</v>
      </c>
      <c r="AN319" s="153">
        <f t="shared" si="94"/>
        <v>1436641.6202611967</v>
      </c>
      <c r="AO319" s="151">
        <f>AN319*'1. UC Assumptions'!$C$23</f>
        <v>474091.73468619486</v>
      </c>
      <c r="AP319" s="151">
        <f t="shared" si="95"/>
        <v>498975.63026119675</v>
      </c>
      <c r="AQ319" s="151">
        <f t="shared" si="96"/>
        <v>164661.95798619487</v>
      </c>
      <c r="AR319" s="151">
        <f t="shared" si="97"/>
        <v>164661.95798619487</v>
      </c>
      <c r="AS319" s="151">
        <f t="shared" si="98"/>
        <v>474091.73468619486</v>
      </c>
      <c r="AT319" s="151">
        <f>IF(K319="Bexar",(AG319/$AT$1)*'1. UC Assumptions'!$E$44-(AH319/$AT$2)*'1. UC Assumptions'!$E$42,0)</f>
        <v>0</v>
      </c>
      <c r="AU319" s="151">
        <f>IF(K319="Dallas",(AG319/$AU$1)*'1. UC Assumptions'!$F$44-(AH319/$AU$2)*'1. UC Assumptions'!$F$42,0)</f>
        <v>0</v>
      </c>
      <c r="AV319" s="151">
        <f>IF(K319="El Paso",(AG319/$AV$1)*'1. UC Assumptions'!$G$44-(AH319/$AV$2)*'1. UC Assumptions'!$G$42,0)</f>
        <v>0</v>
      </c>
      <c r="AW319" s="151">
        <f>IF(K319="Harris",(AG319/$AW$1)*'1. UC Assumptions'!$H$44-(AH319/$AW$2)*'1. UC Assumptions'!$H$42,0)</f>
        <v>0</v>
      </c>
      <c r="AX319" s="151">
        <f>IF(K319="Hidalgo",(AG319/$AX$1)*'1. UC Assumptions'!$I$44-(AH319/$AX$2)*'1. UC Assumptions'!$I$42,0)</f>
        <v>0</v>
      </c>
      <c r="AY319" s="151">
        <f>IF(K319="Jefferson",(AG319/$AY$1)*'1. UC Assumptions'!$J$44-(AH319/$AY$2)*'1. UC Assumptions'!$J$42,0)</f>
        <v>0</v>
      </c>
      <c r="AZ319" s="151">
        <f>IF(K319="Lubbock",(AG319/$AZ$1)*'1. UC Assumptions'!$K$44-(AH319/$AZ$2)*'1. UC Assumptions'!$K$42,0)</f>
        <v>0</v>
      </c>
      <c r="BA319" s="151">
        <f>IF(K319="MRSA Central",(AG319/$BA$1)*'1. UC Assumptions'!$L$44-(AH319/$BA$2)*'1. UC Assumptions'!$L$42,0)</f>
        <v>0</v>
      </c>
      <c r="BB319" s="151">
        <f>IF(K319="MRSA Northeast",(AG319/$BB$1)*'1. UC Assumptions'!$M$44-(AH319/$BB$2)*'1. UC Assumptions'!$M$42,0)</f>
        <v>0</v>
      </c>
      <c r="BC319" s="151">
        <f>IF(K319="MRSA West",(AG319/$BC$1)*'1. UC Assumptions'!$N$44-(AH319/$BC$2)*'1. UC Assumptions'!$N$42,0)</f>
        <v>0</v>
      </c>
      <c r="BD319" s="151">
        <f>IF(K319="Nueces",(AG319/$BD$1)*'1. UC Assumptions'!$O$44-(AH319/$BD$2)*'1. UC Assumptions'!$O$42,0)</f>
        <v>0</v>
      </c>
      <c r="BE319" s="151">
        <f>IF(K319="Tarrant",(AG319/$BE$1)*'1. UC Assumptions'!$P$44-(AH319/$BE$2)*'1. UC Assumptions'!$P$42,0)</f>
        <v>0</v>
      </c>
      <c r="BF319" s="151">
        <f>IF(K319="Travis",(AG319/$BF$1)*'1. UC Assumptions'!$Q$44-(AH319/$BF$2)*'1. UC Assumptions'!$Q$42,0)</f>
        <v>0</v>
      </c>
      <c r="BG319" s="151">
        <f t="shared" si="99"/>
        <v>0</v>
      </c>
      <c r="BH319" s="151">
        <f t="shared" si="100"/>
        <v>1341012.3248540566</v>
      </c>
      <c r="BI319" s="151">
        <f>ROUNDDOWN(BH319*'1. UC Assumptions'!$C$23,2)</f>
        <v>442534.06</v>
      </c>
      <c r="BJ319" s="154">
        <f t="shared" si="101"/>
        <v>403346.33485405659</v>
      </c>
      <c r="BK319" s="154">
        <f t="shared" si="102"/>
        <v>133104.28330000001</v>
      </c>
      <c r="BL319" s="154">
        <f t="shared" si="103"/>
        <v>372377.44</v>
      </c>
      <c r="BM319" s="154">
        <f t="shared" si="104"/>
        <v>122884.55</v>
      </c>
      <c r="BN319" s="101"/>
      <c r="BO319" s="154">
        <f>(BL319*'1. UC Assumptions'!$C$23)-'3.  UC Calculations by Hospital'!BM319</f>
        <v>5.1999999850522727E-3</v>
      </c>
      <c r="BP319" s="13"/>
    </row>
    <row r="320" spans="2:68">
      <c r="B320" s="129" t="s">
        <v>971</v>
      </c>
      <c r="C320" s="91" t="s">
        <v>971</v>
      </c>
      <c r="D320" s="91" t="s">
        <v>286</v>
      </c>
      <c r="E320" s="91" t="s">
        <v>209</v>
      </c>
      <c r="F320" s="91"/>
      <c r="G320" s="91" t="s">
        <v>287</v>
      </c>
      <c r="H320" s="91" t="s">
        <v>209</v>
      </c>
      <c r="I320" s="150" t="s">
        <v>210</v>
      </c>
      <c r="J320" s="129" t="s">
        <v>972</v>
      </c>
      <c r="K320" s="91" t="s">
        <v>15</v>
      </c>
      <c r="L320" s="91" t="s">
        <v>15</v>
      </c>
      <c r="M320" s="151">
        <v>-944068.00211251131</v>
      </c>
      <c r="N320" s="151">
        <v>0</v>
      </c>
      <c r="O320" s="131">
        <v>0</v>
      </c>
      <c r="P320" s="131">
        <f t="shared" si="84"/>
        <v>0</v>
      </c>
      <c r="Q320" s="131">
        <v>32568.245003127071</v>
      </c>
      <c r="R320" s="131">
        <v>0</v>
      </c>
      <c r="S320" s="131">
        <f t="shared" si="85"/>
        <v>0</v>
      </c>
      <c r="T320" s="131">
        <f t="shared" ref="T320:T351" si="105">IF(Q320-S320&gt;0,Q320-S320,0)</f>
        <v>32568.245003127071</v>
      </c>
      <c r="U320" s="131">
        <v>0</v>
      </c>
      <c r="V320" s="131">
        <v>0</v>
      </c>
      <c r="W320" s="131">
        <v>0</v>
      </c>
      <c r="X320" s="131">
        <v>0</v>
      </c>
      <c r="Y320" s="131">
        <v>0</v>
      </c>
      <c r="Z320" s="131">
        <f t="shared" si="87"/>
        <v>0</v>
      </c>
      <c r="AA320" s="131">
        <v>0</v>
      </c>
      <c r="AB320" s="152">
        <f t="shared" si="88"/>
        <v>32568.245003127071</v>
      </c>
      <c r="AC320" s="133">
        <f>IF(D320="Physician Group Practice",(AB320/$AB$393)*'1. UC Assumptions'!$C$15,IF(E320="Rural Hospital",AB320*'1. UC Assumptions'!$C$7/'1. UC Assumptions'!$E$7,(AB320/$AB$397)*('1. UC Assumptions'!$C$9)))</f>
        <v>15311.817306599152</v>
      </c>
      <c r="AD320" s="133">
        <f t="shared" si="89"/>
        <v>0</v>
      </c>
      <c r="AE320" s="133">
        <f t="shared" si="90"/>
        <v>17256.42769652792</v>
      </c>
      <c r="AF320" s="133">
        <f t="shared" si="91"/>
        <v>0</v>
      </c>
      <c r="AG320" s="133">
        <f t="shared" si="92"/>
        <v>17256.42769652792</v>
      </c>
      <c r="AH320" s="133">
        <f t="shared" si="93"/>
        <v>15311.817306599152</v>
      </c>
      <c r="AI320" s="131">
        <f>AH320*'1. UC Assumptions'!$C$23</f>
        <v>5052.8997111777198</v>
      </c>
      <c r="AJ320" s="131">
        <v>5249.59</v>
      </c>
      <c r="AK320" s="131">
        <f>AJ320*(1-'1. UC Assumptions'!$C$22)</f>
        <v>1732.3646999999999</v>
      </c>
      <c r="AL320" s="131"/>
      <c r="AM320" s="131">
        <f>AL320*'1. UC Assumptions'!$C$23</f>
        <v>0</v>
      </c>
      <c r="AN320" s="153">
        <f t="shared" si="94"/>
        <v>32568.245003127071</v>
      </c>
      <c r="AO320" s="151">
        <f>AN320*'1. UC Assumptions'!$C$23</f>
        <v>10747.520851031932</v>
      </c>
      <c r="AP320" s="151">
        <f t="shared" si="95"/>
        <v>27318.655003127071</v>
      </c>
      <c r="AQ320" s="151">
        <f t="shared" si="96"/>
        <v>9015.1561510319316</v>
      </c>
      <c r="AR320" s="151">
        <f t="shared" si="97"/>
        <v>9015.1561510319316</v>
      </c>
      <c r="AS320" s="151">
        <f t="shared" si="98"/>
        <v>10747.520851031932</v>
      </c>
      <c r="AT320" s="151">
        <f>IF(K320="Bexar",(AG320/$AT$1)*'1. UC Assumptions'!$E$44-(AH320/$AT$2)*'1. UC Assumptions'!$E$42,0)</f>
        <v>0</v>
      </c>
      <c r="AU320" s="151">
        <f>IF(K320="Dallas",(AG320/$AU$1)*'1. UC Assumptions'!$F$44-(AH320/$AU$2)*'1. UC Assumptions'!$F$42,0)</f>
        <v>0</v>
      </c>
      <c r="AV320" s="151">
        <f>IF(K320="El Paso",(AG320/$AV$1)*'1. UC Assumptions'!$G$44-(AH320/$AV$2)*'1. UC Assumptions'!$G$42,0)</f>
        <v>0</v>
      </c>
      <c r="AW320" s="151">
        <f>IF(K320="Harris",(AG320/$AW$1)*'1. UC Assumptions'!$H$44-(AH320/$AW$2)*'1. UC Assumptions'!$H$42,0)</f>
        <v>0</v>
      </c>
      <c r="AX320" s="151">
        <f>IF(K320="Hidalgo",(AG320/$AX$1)*'1. UC Assumptions'!$I$44-(AH320/$AX$2)*'1. UC Assumptions'!$I$42,0)</f>
        <v>0</v>
      </c>
      <c r="AY320" s="151">
        <f>IF(K320="Jefferson",(AG320/$AY$1)*'1. UC Assumptions'!$J$44-(AH320/$AY$2)*'1. UC Assumptions'!$J$42,0)</f>
        <v>0</v>
      </c>
      <c r="AZ320" s="151">
        <f>IF(K320="Lubbock",(AG320/$AZ$1)*'1. UC Assumptions'!$K$44-(AH320/$AZ$2)*'1. UC Assumptions'!$K$42,0)</f>
        <v>0</v>
      </c>
      <c r="BA320" s="151">
        <f>IF(K320="MRSA Central",(AG320/$BA$1)*'1. UC Assumptions'!$L$44-(AH320/$BA$2)*'1. UC Assumptions'!$L$42,0)</f>
        <v>0</v>
      </c>
      <c r="BB320" s="151">
        <f>IF(K320="MRSA Northeast",(AG320/$BB$1)*'1. UC Assumptions'!$M$44-(AH320/$BB$2)*'1. UC Assumptions'!$M$42,0)</f>
        <v>0</v>
      </c>
      <c r="BC320" s="151">
        <f>IF(K320="MRSA West",(AG320/$BC$1)*'1. UC Assumptions'!$N$44-(AH320/$BC$2)*'1. UC Assumptions'!$N$42,0)</f>
        <v>0</v>
      </c>
      <c r="BD320" s="151">
        <f>IF(K320="Nueces",(AG320/$BD$1)*'1. UC Assumptions'!$O$44-(AH320/$BD$2)*'1. UC Assumptions'!$O$42,0)</f>
        <v>0</v>
      </c>
      <c r="BE320" s="151">
        <f>IF(K320="Tarrant",(AG320/$BE$1)*'1. UC Assumptions'!$P$44-(AH320/$BE$2)*'1. UC Assumptions'!$P$42,0)</f>
        <v>0</v>
      </c>
      <c r="BF320" s="151">
        <f>IF(K320="Travis",(AG320/$BF$1)*'1. UC Assumptions'!$Q$44-(AH320/$BF$2)*'1. UC Assumptions'!$Q$42,0)</f>
        <v>0</v>
      </c>
      <c r="BG320" s="151">
        <f t="shared" si="99"/>
        <v>0</v>
      </c>
      <c r="BH320" s="151">
        <f t="shared" si="100"/>
        <v>15311.817306599152</v>
      </c>
      <c r="BI320" s="151">
        <f>ROUNDDOWN(BH320*'1. UC Assumptions'!$C$23,2)</f>
        <v>5052.8900000000003</v>
      </c>
      <c r="BJ320" s="154">
        <f t="shared" si="101"/>
        <v>10062.227306599152</v>
      </c>
      <c r="BK320" s="154">
        <f t="shared" si="102"/>
        <v>3320.5253000000002</v>
      </c>
      <c r="BL320" s="154">
        <f t="shared" si="103"/>
        <v>9289.65</v>
      </c>
      <c r="BM320" s="154">
        <f t="shared" si="104"/>
        <v>3065.58</v>
      </c>
      <c r="BN320" s="101"/>
      <c r="BO320" s="154">
        <f>(BL320*'1. UC Assumptions'!$C$23)-'3.  UC Calculations by Hospital'!BM320</f>
        <v>4.4999999995525286E-3</v>
      </c>
      <c r="BP320" s="13"/>
    </row>
    <row r="321" spans="2:68">
      <c r="B321" s="129" t="s">
        <v>973</v>
      </c>
      <c r="C321" s="91" t="s">
        <v>973</v>
      </c>
      <c r="D321" s="91" t="s">
        <v>214</v>
      </c>
      <c r="E321" s="91" t="s">
        <v>209</v>
      </c>
      <c r="F321" s="91"/>
      <c r="G321" s="91" t="s">
        <v>287</v>
      </c>
      <c r="H321" s="91" t="s">
        <v>209</v>
      </c>
      <c r="I321" s="150" t="s">
        <v>210</v>
      </c>
      <c r="J321" s="129" t="s">
        <v>974</v>
      </c>
      <c r="K321" s="91" t="s">
        <v>4</v>
      </c>
      <c r="L321" s="91" t="s">
        <v>4</v>
      </c>
      <c r="M321" s="151">
        <v>133439.47425625485</v>
      </c>
      <c r="N321" s="151">
        <v>2172016.0943839615</v>
      </c>
      <c r="O321" s="131">
        <v>310547.52227807319</v>
      </c>
      <c r="P321" s="131">
        <f t="shared" si="84"/>
        <v>1861468.5721058883</v>
      </c>
      <c r="Q321" s="131">
        <v>424946.60777993058</v>
      </c>
      <c r="R321" s="131">
        <v>0</v>
      </c>
      <c r="S321" s="131">
        <f t="shared" si="85"/>
        <v>0</v>
      </c>
      <c r="T321" s="131">
        <f t="shared" si="105"/>
        <v>424946.60777993058</v>
      </c>
      <c r="U321" s="131">
        <v>14788</v>
      </c>
      <c r="V321" s="131">
        <v>0</v>
      </c>
      <c r="W321" s="131">
        <v>0</v>
      </c>
      <c r="X321" s="131">
        <v>0</v>
      </c>
      <c r="Y321" s="131">
        <v>0</v>
      </c>
      <c r="Z321" s="131">
        <f t="shared" si="87"/>
        <v>14788</v>
      </c>
      <c r="AA321" s="131">
        <v>0</v>
      </c>
      <c r="AB321" s="152">
        <f t="shared" si="88"/>
        <v>439734.60777993058</v>
      </c>
      <c r="AC321" s="133">
        <f>IF(D321="Physician Group Practice",(AB321/$AB$393)*'1. UC Assumptions'!$C$15,IF(E321="Rural Hospital",AB321*'1. UC Assumptions'!$C$7/'1. UC Assumptions'!$E$7,(AB321/$AB$397)*('1. UC Assumptions'!$C$9)))</f>
        <v>206739.29396775423</v>
      </c>
      <c r="AD321" s="133">
        <f t="shared" si="89"/>
        <v>0</v>
      </c>
      <c r="AE321" s="133">
        <f t="shared" si="90"/>
        <v>232995.31381217635</v>
      </c>
      <c r="AF321" s="133">
        <f t="shared" si="91"/>
        <v>0</v>
      </c>
      <c r="AG321" s="133">
        <f t="shared" si="92"/>
        <v>232995.31381217635</v>
      </c>
      <c r="AH321" s="133">
        <f t="shared" si="93"/>
        <v>206739.29396775423</v>
      </c>
      <c r="AI321" s="131">
        <f>AH321*'1. UC Assumptions'!$C$23</f>
        <v>68223.967009358894</v>
      </c>
      <c r="AJ321" s="131">
        <v>156301.37</v>
      </c>
      <c r="AK321" s="131">
        <f>AJ321*(1-'1. UC Assumptions'!$C$22)</f>
        <v>51579.452099999995</v>
      </c>
      <c r="AL321" s="131"/>
      <c r="AM321" s="131">
        <f>AL321*'1. UC Assumptions'!$C$23</f>
        <v>0</v>
      </c>
      <c r="AN321" s="153">
        <f t="shared" si="94"/>
        <v>439734.60777993058</v>
      </c>
      <c r="AO321" s="151">
        <f>AN321*'1. UC Assumptions'!$C$23</f>
        <v>145112.42056737706</v>
      </c>
      <c r="AP321" s="151">
        <f t="shared" si="95"/>
        <v>283433.23777993058</v>
      </c>
      <c r="AQ321" s="151">
        <f t="shared" si="96"/>
        <v>93532.968467377068</v>
      </c>
      <c r="AR321" s="151">
        <f t="shared" si="97"/>
        <v>93532.968467377068</v>
      </c>
      <c r="AS321" s="151">
        <f t="shared" si="98"/>
        <v>145112.42056737706</v>
      </c>
      <c r="AT321" s="151">
        <f>IF(K321="Bexar",(AG321/$AT$1)*'1. UC Assumptions'!$E$44-(AH321/$AT$2)*'1. UC Assumptions'!$E$42,0)</f>
        <v>0</v>
      </c>
      <c r="AU321" s="151">
        <f>IF(K321="Dallas",(AG321/$AU$1)*'1. UC Assumptions'!$F$44-(AH321/$AU$2)*'1. UC Assumptions'!$F$42,0)</f>
        <v>0</v>
      </c>
      <c r="AV321" s="151">
        <f>IF(K321="El Paso",(AG321/$AV$1)*'1. UC Assumptions'!$G$44-(AH321/$AV$2)*'1. UC Assumptions'!$G$42,0)</f>
        <v>0</v>
      </c>
      <c r="AW321" s="151">
        <f>IF(K321="Harris",(AG321/$AW$1)*'1. UC Assumptions'!$H$44-(AH321/$AW$2)*'1. UC Assumptions'!$H$42,0)</f>
        <v>0</v>
      </c>
      <c r="AX321" s="151">
        <f>IF(K321="Hidalgo",(AG321/$AX$1)*'1. UC Assumptions'!$I$44-(AH321/$AX$2)*'1. UC Assumptions'!$I$42,0)</f>
        <v>0</v>
      </c>
      <c r="AY321" s="151">
        <f>IF(K321="Jefferson",(AG321/$AY$1)*'1. UC Assumptions'!$J$44-(AH321/$AY$2)*'1. UC Assumptions'!$J$42,0)</f>
        <v>0</v>
      </c>
      <c r="AZ321" s="151">
        <f>IF(K321="Lubbock",(AG321/$AZ$1)*'1. UC Assumptions'!$K$44-(AH321/$AZ$2)*'1. UC Assumptions'!$K$42,0)</f>
        <v>0</v>
      </c>
      <c r="BA321" s="151">
        <f>IF(K321="MRSA Central",(AG321/$BA$1)*'1. UC Assumptions'!$L$44-(AH321/$BA$2)*'1. UC Assumptions'!$L$42,0)</f>
        <v>0</v>
      </c>
      <c r="BB321" s="151">
        <f>IF(K321="MRSA Northeast",(AG321/$BB$1)*'1. UC Assumptions'!$M$44-(AH321/$BB$2)*'1. UC Assumptions'!$M$42,0)</f>
        <v>0</v>
      </c>
      <c r="BC321" s="151">
        <f>IF(K321="MRSA West",(AG321/$BC$1)*'1. UC Assumptions'!$N$44-(AH321/$BC$2)*'1. UC Assumptions'!$N$42,0)</f>
        <v>0</v>
      </c>
      <c r="BD321" s="151">
        <f>IF(K321="Nueces",(AG321/$BD$1)*'1. UC Assumptions'!$O$44-(AH321/$BD$2)*'1. UC Assumptions'!$O$42,0)</f>
        <v>0</v>
      </c>
      <c r="BE321" s="151">
        <f>IF(K321="Tarrant",(AG321/$BE$1)*'1. UC Assumptions'!$P$44-(AH321/$BE$2)*'1. UC Assumptions'!$P$42,0)</f>
        <v>0</v>
      </c>
      <c r="BF321" s="151">
        <f>IF(K321="Travis",(AG321/$BF$1)*'1. UC Assumptions'!$Q$44-(AH321/$BF$2)*'1. UC Assumptions'!$Q$42,0)</f>
        <v>0</v>
      </c>
      <c r="BG321" s="151">
        <f t="shared" si="99"/>
        <v>0</v>
      </c>
      <c r="BH321" s="151">
        <f t="shared" si="100"/>
        <v>206739.29396775423</v>
      </c>
      <c r="BI321" s="151">
        <f>ROUNDDOWN(BH321*'1. UC Assumptions'!$C$23,2)</f>
        <v>68223.960000000006</v>
      </c>
      <c r="BJ321" s="154">
        <f t="shared" si="101"/>
        <v>50437.923967754235</v>
      </c>
      <c r="BK321" s="154">
        <f t="shared" si="102"/>
        <v>16644.507900000011</v>
      </c>
      <c r="BL321" s="154">
        <f t="shared" si="103"/>
        <v>46565.3</v>
      </c>
      <c r="BM321" s="154">
        <f t="shared" si="104"/>
        <v>15366.54</v>
      </c>
      <c r="BN321" s="101"/>
      <c r="BO321" s="154">
        <f>(BL321*'1. UC Assumptions'!$C$23)-'3.  UC Calculations by Hospital'!BM321</f>
        <v>8.9999999981955625E-3</v>
      </c>
      <c r="BP321" s="13"/>
    </row>
    <row r="322" spans="2:68">
      <c r="B322" s="129" t="s">
        <v>975</v>
      </c>
      <c r="C322" s="91" t="s">
        <v>975</v>
      </c>
      <c r="D322" s="91" t="s">
        <v>214</v>
      </c>
      <c r="E322" s="91" t="s">
        <v>209</v>
      </c>
      <c r="F322" s="91"/>
      <c r="G322" s="91" t="s">
        <v>209</v>
      </c>
      <c r="H322" s="91" t="s">
        <v>209</v>
      </c>
      <c r="I322" s="150" t="s">
        <v>210</v>
      </c>
      <c r="J322" s="129" t="s">
        <v>976</v>
      </c>
      <c r="K322" s="91" t="s">
        <v>6</v>
      </c>
      <c r="L322" s="91" t="s">
        <v>6</v>
      </c>
      <c r="M322" s="151">
        <v>1609305.6269763056</v>
      </c>
      <c r="N322" s="151">
        <v>0</v>
      </c>
      <c r="O322" s="131">
        <v>0</v>
      </c>
      <c r="P322" s="131">
        <f t="shared" si="84"/>
        <v>0</v>
      </c>
      <c r="Q322" s="131">
        <v>13446981.469538677</v>
      </c>
      <c r="R322" s="131">
        <v>0</v>
      </c>
      <c r="S322" s="131">
        <f t="shared" si="85"/>
        <v>0</v>
      </c>
      <c r="T322" s="131">
        <f t="shared" si="105"/>
        <v>13446981.469538677</v>
      </c>
      <c r="U322" s="131">
        <v>0</v>
      </c>
      <c r="V322" s="131">
        <v>0</v>
      </c>
      <c r="W322" s="131">
        <v>0</v>
      </c>
      <c r="X322" s="131">
        <v>0</v>
      </c>
      <c r="Y322" s="131">
        <v>599347.23147813324</v>
      </c>
      <c r="Z322" s="131">
        <f t="shared" si="87"/>
        <v>599347.23147813324</v>
      </c>
      <c r="AA322" s="131">
        <v>0</v>
      </c>
      <c r="AB322" s="152">
        <f t="shared" si="88"/>
        <v>14046328.70101681</v>
      </c>
      <c r="AC322" s="133">
        <f>IF(D322="Physician Group Practice",(AB322/$AB$393)*'1. UC Assumptions'!$C$15,IF(E322="Rural Hospital",AB322*'1. UC Assumptions'!$C$7/'1. UC Assumptions'!$E$7,(AB322/$AB$397)*('1. UC Assumptions'!$C$9)))</f>
        <v>6603819.7292411355</v>
      </c>
      <c r="AD322" s="133">
        <f t="shared" si="89"/>
        <v>0</v>
      </c>
      <c r="AE322" s="133">
        <f t="shared" si="90"/>
        <v>7442508.9717756743</v>
      </c>
      <c r="AF322" s="133">
        <f t="shared" si="91"/>
        <v>0</v>
      </c>
      <c r="AG322" s="133">
        <f t="shared" si="92"/>
        <v>7442508.9717756743</v>
      </c>
      <c r="AH322" s="133">
        <f t="shared" si="93"/>
        <v>6603819.7292411355</v>
      </c>
      <c r="AI322" s="131">
        <f>AH322*'1. UC Assumptions'!$C$23</f>
        <v>2179260.5106495745</v>
      </c>
      <c r="AJ322" s="131">
        <v>5862117.6100000003</v>
      </c>
      <c r="AK322" s="131">
        <f>AJ322*(1-'1. UC Assumptions'!$C$22)</f>
        <v>1934498.8112999999</v>
      </c>
      <c r="AL322" s="131"/>
      <c r="AM322" s="131">
        <f>AL322*'1. UC Assumptions'!$C$23</f>
        <v>0</v>
      </c>
      <c r="AN322" s="153">
        <f t="shared" si="94"/>
        <v>14046328.70101681</v>
      </c>
      <c r="AO322" s="151">
        <f>AN322*'1. UC Assumptions'!$C$23</f>
        <v>4635288.471335547</v>
      </c>
      <c r="AP322" s="151">
        <f t="shared" si="95"/>
        <v>8184211.0910168095</v>
      </c>
      <c r="AQ322" s="151">
        <f t="shared" si="96"/>
        <v>2700789.6600355469</v>
      </c>
      <c r="AR322" s="151">
        <f t="shared" si="97"/>
        <v>2700789.6600355469</v>
      </c>
      <c r="AS322" s="151">
        <f t="shared" si="98"/>
        <v>4635288.471335547</v>
      </c>
      <c r="AT322" s="151">
        <f>IF(K322="Bexar",(AG322/$AT$1)*'1. UC Assumptions'!$E$44-(AH322/$AT$2)*'1. UC Assumptions'!$E$42,0)</f>
        <v>0</v>
      </c>
      <c r="AU322" s="151">
        <f>IF(K322="Dallas",(AG322/$AU$1)*'1. UC Assumptions'!$F$44-(AH322/$AU$2)*'1. UC Assumptions'!$F$42,0)</f>
        <v>0</v>
      </c>
      <c r="AV322" s="151">
        <f>IF(K322="El Paso",(AG322/$AV$1)*'1. UC Assumptions'!$G$44-(AH322/$AV$2)*'1. UC Assumptions'!$G$42,0)</f>
        <v>0</v>
      </c>
      <c r="AW322" s="151">
        <f>IF(K322="Harris",(AG322/$AW$1)*'1. UC Assumptions'!$H$44-(AH322/$AW$2)*'1. UC Assumptions'!$H$42,0)</f>
        <v>0</v>
      </c>
      <c r="AX322" s="151">
        <f>IF(K322="Hidalgo",(AG322/$AX$1)*'1. UC Assumptions'!$I$44-(AH322/$AX$2)*'1. UC Assumptions'!$I$42,0)</f>
        <v>0</v>
      </c>
      <c r="AY322" s="151">
        <f>IF(K322="Jefferson",(AG322/$AY$1)*'1. UC Assumptions'!$J$44-(AH322/$AY$2)*'1. UC Assumptions'!$J$42,0)</f>
        <v>0</v>
      </c>
      <c r="AZ322" s="151">
        <f>IF(K322="Lubbock",(AG322/$AZ$1)*'1. UC Assumptions'!$K$44-(AH322/$AZ$2)*'1. UC Assumptions'!$K$42,0)</f>
        <v>0</v>
      </c>
      <c r="BA322" s="151">
        <f>IF(K322="MRSA Central",(AG322/$BA$1)*'1. UC Assumptions'!$L$44-(AH322/$BA$2)*'1. UC Assumptions'!$L$42,0)</f>
        <v>0</v>
      </c>
      <c r="BB322" s="151">
        <f>IF(K322="MRSA Northeast",(AG322/$BB$1)*'1. UC Assumptions'!$M$44-(AH322/$BB$2)*'1. UC Assumptions'!$M$42,0)</f>
        <v>0</v>
      </c>
      <c r="BC322" s="151">
        <f>IF(K322="MRSA West",(AG322/$BC$1)*'1. UC Assumptions'!$N$44-(AH322/$BC$2)*'1. UC Assumptions'!$N$42,0)</f>
        <v>0</v>
      </c>
      <c r="BD322" s="151">
        <f>IF(K322="Nueces",(AG322/$BD$1)*'1. UC Assumptions'!$O$44-(AH322/$BD$2)*'1. UC Assumptions'!$O$42,0)</f>
        <v>0</v>
      </c>
      <c r="BE322" s="151">
        <f>IF(K322="Tarrant",(AG322/$BE$1)*'1. UC Assumptions'!$P$44-(AH322/$BE$2)*'1. UC Assumptions'!$P$42,0)</f>
        <v>0</v>
      </c>
      <c r="BF322" s="151">
        <f>IF(K322="Travis",(AG322/$BF$1)*'1. UC Assumptions'!$Q$44-(AH322/$BF$2)*'1. UC Assumptions'!$Q$42,0)</f>
        <v>0</v>
      </c>
      <c r="BG322" s="151">
        <f t="shared" si="99"/>
        <v>0</v>
      </c>
      <c r="BH322" s="151">
        <f t="shared" si="100"/>
        <v>6603819.7292411355</v>
      </c>
      <c r="BI322" s="151">
        <f>ROUNDDOWN(BH322*'1. UC Assumptions'!$C$23,2)</f>
        <v>2179260.5099999998</v>
      </c>
      <c r="BJ322" s="154">
        <f t="shared" si="101"/>
        <v>741702.11924113519</v>
      </c>
      <c r="BK322" s="154">
        <f t="shared" si="102"/>
        <v>244761.69869999983</v>
      </c>
      <c r="BL322" s="154">
        <f t="shared" si="103"/>
        <v>684754.29</v>
      </c>
      <c r="BM322" s="154">
        <f t="shared" si="104"/>
        <v>225968.92</v>
      </c>
      <c r="BN322" s="101"/>
      <c r="BO322" s="154">
        <f>(BL322*'1. UC Assumptions'!$C$23)-'3.  UC Calculations by Hospital'!BM322</f>
        <v>-4.3000000296160579E-3</v>
      </c>
      <c r="BP322" s="13"/>
    </row>
    <row r="323" spans="2:68">
      <c r="B323" s="129" t="s">
        <v>977</v>
      </c>
      <c r="C323" s="91" t="s">
        <v>977</v>
      </c>
      <c r="D323" s="91" t="s">
        <v>286</v>
      </c>
      <c r="E323" s="91" t="s">
        <v>209</v>
      </c>
      <c r="F323" s="91"/>
      <c r="G323" s="91" t="s">
        <v>287</v>
      </c>
      <c r="H323" s="91" t="s">
        <v>209</v>
      </c>
      <c r="I323" s="150" t="s">
        <v>210</v>
      </c>
      <c r="J323" s="129" t="s">
        <v>978</v>
      </c>
      <c r="K323" s="91" t="s">
        <v>12</v>
      </c>
      <c r="L323" s="91" t="s">
        <v>679</v>
      </c>
      <c r="M323" s="151">
        <v>16012.31764769268</v>
      </c>
      <c r="N323" s="151">
        <v>4691026.4114979925</v>
      </c>
      <c r="O323" s="131">
        <v>0</v>
      </c>
      <c r="P323" s="131">
        <f t="shared" si="84"/>
        <v>4691026.4114979925</v>
      </c>
      <c r="Q323" s="131">
        <v>0</v>
      </c>
      <c r="R323" s="131">
        <v>1794094.88</v>
      </c>
      <c r="S323" s="131">
        <f t="shared" si="85"/>
        <v>0</v>
      </c>
      <c r="T323" s="131">
        <f t="shared" si="105"/>
        <v>0</v>
      </c>
      <c r="U323" s="131">
        <v>0</v>
      </c>
      <c r="V323" s="131">
        <v>0</v>
      </c>
      <c r="W323" s="131">
        <v>73481</v>
      </c>
      <c r="X323" s="131">
        <v>0</v>
      </c>
      <c r="Y323" s="131">
        <v>81450.164664068201</v>
      </c>
      <c r="Z323" s="131">
        <f t="shared" si="87"/>
        <v>154931.1646640682</v>
      </c>
      <c r="AA323" s="131">
        <v>0</v>
      </c>
      <c r="AB323" s="152">
        <f t="shared" si="88"/>
        <v>154931.1646640682</v>
      </c>
      <c r="AC323" s="133">
        <f>IF(D323="Physician Group Practice",(AB323/$AB$393)*'1. UC Assumptions'!$C$15,IF(E323="Rural Hospital",AB323*'1. UC Assumptions'!$C$7/'1. UC Assumptions'!$E$7,(AB323/$AB$397)*('1. UC Assumptions'!$C$9)))</f>
        <v>72840.206409865365</v>
      </c>
      <c r="AD323" s="133">
        <f t="shared" si="89"/>
        <v>0</v>
      </c>
      <c r="AE323" s="133">
        <f t="shared" si="90"/>
        <v>82090.958254202837</v>
      </c>
      <c r="AF323" s="133">
        <f t="shared" si="91"/>
        <v>0</v>
      </c>
      <c r="AG323" s="133">
        <f t="shared" si="92"/>
        <v>82090.958254202837</v>
      </c>
      <c r="AH323" s="133">
        <f t="shared" si="93"/>
        <v>72840.206409865365</v>
      </c>
      <c r="AI323" s="131">
        <f>AH323*'1. UC Assumptions'!$C$23</f>
        <v>24037.268115255567</v>
      </c>
      <c r="AJ323" s="131">
        <v>55060.81</v>
      </c>
      <c r="AK323" s="131">
        <f>AJ323*(1-'1. UC Assumptions'!$C$22)</f>
        <v>18170.067299999999</v>
      </c>
      <c r="AL323" s="131"/>
      <c r="AM323" s="131">
        <f>AL323*'1. UC Assumptions'!$C$23</f>
        <v>0</v>
      </c>
      <c r="AN323" s="153">
        <f t="shared" si="94"/>
        <v>154931.1646640682</v>
      </c>
      <c r="AO323" s="151">
        <f>AN323*'1. UC Assumptions'!$C$23</f>
        <v>51127.284339142498</v>
      </c>
      <c r="AP323" s="151">
        <f t="shared" si="95"/>
        <v>99870.354664068203</v>
      </c>
      <c r="AQ323" s="151">
        <f t="shared" si="96"/>
        <v>32957.217039142502</v>
      </c>
      <c r="AR323" s="151">
        <f t="shared" si="97"/>
        <v>32957.217039142502</v>
      </c>
      <c r="AS323" s="151">
        <f t="shared" si="98"/>
        <v>51127.284339142498</v>
      </c>
      <c r="AT323" s="151">
        <f>IF(K323="Bexar",(AG323/$AT$1)*'1. UC Assumptions'!$E$44-(AH323/$AT$2)*'1. UC Assumptions'!$E$42,0)</f>
        <v>0</v>
      </c>
      <c r="AU323" s="151">
        <f>IF(K323="Dallas",(AG323/$AU$1)*'1. UC Assumptions'!$F$44-(AH323/$AU$2)*'1. UC Assumptions'!$F$42,0)</f>
        <v>0</v>
      </c>
      <c r="AV323" s="151">
        <f>IF(K323="El Paso",(AG323/$AV$1)*'1. UC Assumptions'!$G$44-(AH323/$AV$2)*'1. UC Assumptions'!$G$42,0)</f>
        <v>0</v>
      </c>
      <c r="AW323" s="151">
        <f>IF(K323="Harris",(AG323/$AW$1)*'1. UC Assumptions'!$H$44-(AH323/$AW$2)*'1. UC Assumptions'!$H$42,0)</f>
        <v>0</v>
      </c>
      <c r="AX323" s="151">
        <f>IF(K323="Hidalgo",(AG323/$AX$1)*'1. UC Assumptions'!$I$44-(AH323/$AX$2)*'1. UC Assumptions'!$I$42,0)</f>
        <v>0</v>
      </c>
      <c r="AY323" s="151">
        <f>IF(K323="Jefferson",(AG323/$AY$1)*'1. UC Assumptions'!$J$44-(AH323/$AY$2)*'1. UC Assumptions'!$J$42,0)</f>
        <v>0</v>
      </c>
      <c r="AZ323" s="151">
        <f>IF(K323="Lubbock",(AG323/$AZ$1)*'1. UC Assumptions'!$K$44-(AH323/$AZ$2)*'1. UC Assumptions'!$K$42,0)</f>
        <v>0</v>
      </c>
      <c r="BA323" s="151">
        <f>IF(K323="MRSA Central",(AG323/$BA$1)*'1. UC Assumptions'!$L$44-(AH323/$BA$2)*'1. UC Assumptions'!$L$42,0)</f>
        <v>0</v>
      </c>
      <c r="BB323" s="151">
        <f>IF(K323="MRSA Northeast",(AG323/$BB$1)*'1. UC Assumptions'!$M$44-(AH323/$BB$2)*'1. UC Assumptions'!$M$42,0)</f>
        <v>0</v>
      </c>
      <c r="BC323" s="151">
        <f>IF(K323="MRSA West",(AG323/$BC$1)*'1. UC Assumptions'!$N$44-(AH323/$BC$2)*'1. UC Assumptions'!$N$42,0)</f>
        <v>0</v>
      </c>
      <c r="BD323" s="151">
        <f>IF(K323="Nueces",(AG323/$BD$1)*'1. UC Assumptions'!$O$44-(AH323/$BD$2)*'1. UC Assumptions'!$O$42,0)</f>
        <v>0</v>
      </c>
      <c r="BE323" s="151">
        <f>IF(K323="Tarrant",(AG323/$BE$1)*'1. UC Assumptions'!$P$44-(AH323/$BE$2)*'1. UC Assumptions'!$P$42,0)</f>
        <v>0</v>
      </c>
      <c r="BF323" s="151">
        <f>IF(K323="Travis",(AG323/$BF$1)*'1. UC Assumptions'!$Q$44-(AH323/$BF$2)*'1. UC Assumptions'!$Q$42,0)</f>
        <v>0</v>
      </c>
      <c r="BG323" s="151">
        <f t="shared" si="99"/>
        <v>0</v>
      </c>
      <c r="BH323" s="151">
        <f t="shared" si="100"/>
        <v>72840.206409865365</v>
      </c>
      <c r="BI323" s="151">
        <f>ROUNDDOWN(BH323*'1. UC Assumptions'!$C$23,2)</f>
        <v>24037.26</v>
      </c>
      <c r="BJ323" s="154">
        <f t="shared" si="101"/>
        <v>17779.396409865367</v>
      </c>
      <c r="BK323" s="154">
        <f t="shared" si="102"/>
        <v>5867.1926999999996</v>
      </c>
      <c r="BL323" s="154">
        <f t="shared" si="103"/>
        <v>16414.3</v>
      </c>
      <c r="BM323" s="154">
        <f t="shared" si="104"/>
        <v>5416.71</v>
      </c>
      <c r="BN323" s="101"/>
      <c r="BO323" s="154">
        <f>(BL323*'1. UC Assumptions'!$C$23)-'3.  UC Calculations by Hospital'!BM323</f>
        <v>8.9999999991050572E-3</v>
      </c>
      <c r="BP323" s="13"/>
    </row>
    <row r="324" spans="2:68">
      <c r="B324" s="129" t="s">
        <v>979</v>
      </c>
      <c r="C324" s="91" t="s">
        <v>979</v>
      </c>
      <c r="D324" s="91" t="s">
        <v>208</v>
      </c>
      <c r="E324" s="91" t="s">
        <v>149</v>
      </c>
      <c r="F324" s="91"/>
      <c r="G324" s="91" t="s">
        <v>209</v>
      </c>
      <c r="H324" s="91" t="s">
        <v>209</v>
      </c>
      <c r="I324" s="150" t="s">
        <v>210</v>
      </c>
      <c r="J324" s="129" t="s">
        <v>980</v>
      </c>
      <c r="K324" s="91" t="s">
        <v>12</v>
      </c>
      <c r="L324" s="91" t="s">
        <v>981</v>
      </c>
      <c r="M324" s="151">
        <v>249150.27338557437</v>
      </c>
      <c r="N324" s="151">
        <v>0</v>
      </c>
      <c r="O324" s="131">
        <v>0</v>
      </c>
      <c r="P324" s="131">
        <f t="shared" ref="P324:P388" si="106">IF(N324-O324&gt;0,N324-O324,0)</f>
        <v>0</v>
      </c>
      <c r="Q324" s="131">
        <v>2295894.7842797567</v>
      </c>
      <c r="R324" s="131">
        <v>0</v>
      </c>
      <c r="S324" s="131">
        <f t="shared" ref="S324:S388" si="107">IF(R324&gt;0,IF(M324+P324&lt;R324,(IF((R324-M324-P324)&gt;R324,R324,R324-M324-P324)),0),0)</f>
        <v>0</v>
      </c>
      <c r="T324" s="131">
        <f t="shared" si="105"/>
        <v>2295894.7842797567</v>
      </c>
      <c r="U324" s="131">
        <v>0</v>
      </c>
      <c r="V324" s="131">
        <v>0</v>
      </c>
      <c r="W324" s="131">
        <v>0</v>
      </c>
      <c r="X324" s="131">
        <v>0</v>
      </c>
      <c r="Y324" s="131">
        <v>0</v>
      </c>
      <c r="Z324" s="131">
        <f t="shared" ref="Z324:Z388" si="108">SUM(U324:Y324)</f>
        <v>0</v>
      </c>
      <c r="AA324" s="131">
        <v>0</v>
      </c>
      <c r="AB324" s="152">
        <f t="shared" ref="AB324:AB388" si="109">IF(I324="Yes",Z324-Y324,T324+Z324+AA324)</f>
        <v>2295894.7842797567</v>
      </c>
      <c r="AC324" s="133">
        <f>IF(D324="Physician Group Practice",(AB324/$AB$393)*'1. UC Assumptions'!$C$15,IF(E324="Rural Hospital",AB324*'1. UC Assumptions'!$C$7/'1. UC Assumptions'!$E$7,(AB324/$AB$397)*('1. UC Assumptions'!$C$9)))</f>
        <v>2143069.753003214</v>
      </c>
      <c r="AD324" s="133">
        <f t="shared" ref="AD324:AD388" si="110">IF((AC324)&gt;AB324-AA324,(AC324)-(AB324-AA324),0)</f>
        <v>0</v>
      </c>
      <c r="AE324" s="133">
        <f t="shared" ref="AE324:AE388" si="111">IF(AD324&gt;0,0,AB324-AA324-AC324)</f>
        <v>152825.03127654269</v>
      </c>
      <c r="AF324" s="133">
        <f t="shared" ref="AF324:AF372" si="112">(AE324/$AE$390)*$AD$390</f>
        <v>0</v>
      </c>
      <c r="AG324" s="133">
        <f t="shared" ref="AG324:AG388" si="113">AE324-AF324</f>
        <v>152825.03127654269</v>
      </c>
      <c r="AH324" s="133">
        <f t="shared" ref="AH324:AH389" si="114">AC324-AD324+AF324</f>
        <v>2143069.753003214</v>
      </c>
      <c r="AI324" s="131">
        <f>AH324*'1. UC Assumptions'!$C$23</f>
        <v>707213.01849106059</v>
      </c>
      <c r="AJ324" s="131">
        <v>394249.73</v>
      </c>
      <c r="AK324" s="131">
        <f>AJ324*(1-'1. UC Assumptions'!$C$22)</f>
        <v>130102.41089999997</v>
      </c>
      <c r="AL324" s="131"/>
      <c r="AM324" s="131">
        <f>AL324*'1. UC Assumptions'!$C$23</f>
        <v>0</v>
      </c>
      <c r="AN324" s="153">
        <f t="shared" ref="AN324:AN389" si="115">AB324-AA324</f>
        <v>2295894.7842797567</v>
      </c>
      <c r="AO324" s="151">
        <f>AN324*'1. UC Assumptions'!$C$23</f>
        <v>757645.27881231962</v>
      </c>
      <c r="AP324" s="151">
        <f t="shared" ref="AP324:AP389" si="116">IF(I324="Yes",AN324-AL324,AN324-AJ324)</f>
        <v>1901645.0542797567</v>
      </c>
      <c r="AQ324" s="151">
        <f t="shared" ref="AQ324:AQ389" si="117">IF(I324="Yes",AO324-AM324,AO324-AK324)</f>
        <v>627542.86791231961</v>
      </c>
      <c r="AR324" s="151">
        <f t="shared" ref="AR324:AR388" si="118">AQ324</f>
        <v>627542.86791231961</v>
      </c>
      <c r="AS324" s="151">
        <f t="shared" ref="AS324:AS388" si="119">IF(I324="Yes",AR324+AM324,AR324+AK324)</f>
        <v>757645.27881231962</v>
      </c>
      <c r="AT324" s="151">
        <f>IF(K324="Bexar",(AG324/$AT$1)*'1. UC Assumptions'!$E$44-(AH324/$AT$2)*'1. UC Assumptions'!$E$42,0)</f>
        <v>0</v>
      </c>
      <c r="AU324" s="151">
        <f>IF(K324="Dallas",(AG324/$AU$1)*'1. UC Assumptions'!$F$44-(AH324/$AU$2)*'1. UC Assumptions'!$F$42,0)</f>
        <v>0</v>
      </c>
      <c r="AV324" s="151">
        <f>IF(K324="El Paso",(AG324/$AV$1)*'1. UC Assumptions'!$G$44-(AH324/$AV$2)*'1. UC Assumptions'!$G$42,0)</f>
        <v>0</v>
      </c>
      <c r="AW324" s="151">
        <f>IF(K324="Harris",(AG324/$AW$1)*'1. UC Assumptions'!$H$44-(AH324/$AW$2)*'1. UC Assumptions'!$H$42,0)</f>
        <v>0</v>
      </c>
      <c r="AX324" s="151">
        <f>IF(K324="Hidalgo",(AG324/$AX$1)*'1. UC Assumptions'!$I$44-(AH324/$AX$2)*'1. UC Assumptions'!$I$42,0)</f>
        <v>0</v>
      </c>
      <c r="AY324" s="151">
        <f>IF(K324="Jefferson",(AG324/$AY$1)*'1. UC Assumptions'!$J$44-(AH324/$AY$2)*'1. UC Assumptions'!$J$42,0)</f>
        <v>0</v>
      </c>
      <c r="AZ324" s="151">
        <f>IF(K324="Lubbock",(AG324/$AZ$1)*'1. UC Assumptions'!$K$44-(AH324/$AZ$2)*'1. UC Assumptions'!$K$42,0)</f>
        <v>0</v>
      </c>
      <c r="BA324" s="151">
        <f>IF(K324="MRSA Central",(AG324/$BA$1)*'1. UC Assumptions'!$L$44-(AH324/$BA$2)*'1. UC Assumptions'!$L$42,0)</f>
        <v>0</v>
      </c>
      <c r="BB324" s="151">
        <f>IF(K324="MRSA Northeast",(AG324/$BB$1)*'1. UC Assumptions'!$M$44-(AH324/$BB$2)*'1. UC Assumptions'!$M$42,0)</f>
        <v>0</v>
      </c>
      <c r="BC324" s="151">
        <f>IF(K324="MRSA West",(AG324/$BC$1)*'1. UC Assumptions'!$N$44-(AH324/$BC$2)*'1. UC Assumptions'!$N$42,0)</f>
        <v>0</v>
      </c>
      <c r="BD324" s="151">
        <f>IF(K324="Nueces",(AG324/$BD$1)*'1. UC Assumptions'!$O$44-(AH324/$BD$2)*'1. UC Assumptions'!$O$42,0)</f>
        <v>0</v>
      </c>
      <c r="BE324" s="151">
        <f>IF(K324="Tarrant",(AG324/$BE$1)*'1. UC Assumptions'!$P$44-(AH324/$BE$2)*'1. UC Assumptions'!$P$42,0)</f>
        <v>0</v>
      </c>
      <c r="BF324" s="151">
        <f>IF(K324="Travis",(AG324/$BF$1)*'1. UC Assumptions'!$Q$44-(AH324/$BF$2)*'1. UC Assumptions'!$Q$42,0)</f>
        <v>0</v>
      </c>
      <c r="BG324" s="151">
        <f t="shared" ref="BG324:BG388" si="120">SUM(AT324:BF324)</f>
        <v>0</v>
      </c>
      <c r="BH324" s="151">
        <f t="shared" ref="BH324:BH388" si="121">AH324+BG324</f>
        <v>2143069.753003214</v>
      </c>
      <c r="BI324" s="151">
        <f>ROUNDDOWN(BH324*'1. UC Assumptions'!$C$23,2)</f>
        <v>707213.01</v>
      </c>
      <c r="BJ324" s="154">
        <f t="shared" ref="BJ324:BJ389" si="122">IF(I324="Yes",BH324-AL324,BH324-AJ324)</f>
        <v>1748820.023003214</v>
      </c>
      <c r="BK324" s="154">
        <f t="shared" ref="BK324:BK389" si="123">IF(I324="Yes",BI324-AM324,BI324-AK324)</f>
        <v>577110.59909999999</v>
      </c>
      <c r="BL324" s="154">
        <f t="shared" ref="BL324:BL389" si="124">ROUND(IF(BJ324&gt;0,(BJ324/$BJ$393)*$BJ$398,0),2)</f>
        <v>1614545.77</v>
      </c>
      <c r="BM324" s="154">
        <f t="shared" ref="BM324:BM389" si="125">ROUND(IF(BK324&gt;0,(BK324/$BK$393)*$BK$398,0),2)</f>
        <v>532800.1</v>
      </c>
      <c r="BN324" s="101"/>
      <c r="BO324" s="154">
        <f>(BL324*'1. UC Assumptions'!$C$23)-'3.  UC Calculations by Hospital'!BM324</f>
        <v>4.1000000201165676E-3</v>
      </c>
      <c r="BP324" s="13"/>
    </row>
    <row r="325" spans="2:68">
      <c r="B325" s="129" t="s">
        <v>982</v>
      </c>
      <c r="C325" s="91" t="s">
        <v>982</v>
      </c>
      <c r="D325" s="91" t="s">
        <v>214</v>
      </c>
      <c r="E325" s="91" t="s">
        <v>209</v>
      </c>
      <c r="F325" s="91"/>
      <c r="G325" s="91" t="s">
        <v>209</v>
      </c>
      <c r="H325" s="91" t="s">
        <v>209</v>
      </c>
      <c r="I325" s="150" t="s">
        <v>210</v>
      </c>
      <c r="J325" s="129" t="s">
        <v>983</v>
      </c>
      <c r="K325" s="91" t="s">
        <v>6</v>
      </c>
      <c r="L325" s="91" t="s">
        <v>6</v>
      </c>
      <c r="M325" s="151">
        <v>2685708.0005996712</v>
      </c>
      <c r="N325" s="151">
        <v>0</v>
      </c>
      <c r="O325" s="131">
        <v>0</v>
      </c>
      <c r="P325" s="131">
        <f t="shared" si="106"/>
        <v>0</v>
      </c>
      <c r="Q325" s="131">
        <v>5892694.1230210261</v>
      </c>
      <c r="R325" s="131">
        <v>0</v>
      </c>
      <c r="S325" s="131">
        <f t="shared" si="107"/>
        <v>0</v>
      </c>
      <c r="T325" s="131">
        <f t="shared" si="105"/>
        <v>5892694.1230210261</v>
      </c>
      <c r="U325" s="131">
        <v>0</v>
      </c>
      <c r="V325" s="131">
        <v>0</v>
      </c>
      <c r="W325" s="131">
        <v>0</v>
      </c>
      <c r="X325" s="131">
        <v>0</v>
      </c>
      <c r="Y325" s="131">
        <v>0</v>
      </c>
      <c r="Z325" s="131">
        <f t="shared" si="108"/>
        <v>0</v>
      </c>
      <c r="AA325" s="131">
        <v>0</v>
      </c>
      <c r="AB325" s="152">
        <f t="shared" si="109"/>
        <v>5892694.1230210261</v>
      </c>
      <c r="AC325" s="133">
        <f>IF(D325="Physician Group Practice",(AB325/$AB$393)*'1. UC Assumptions'!$C$15,IF(E325="Rural Hospital",AB325*'1. UC Assumptions'!$C$7/'1. UC Assumptions'!$E$7,(AB325/$AB$397)*('1. UC Assumptions'!$C$9)))</f>
        <v>2770424.2536466164</v>
      </c>
      <c r="AD325" s="133">
        <f t="shared" si="110"/>
        <v>0</v>
      </c>
      <c r="AE325" s="133">
        <f t="shared" si="111"/>
        <v>3122269.8693744098</v>
      </c>
      <c r="AF325" s="133">
        <f t="shared" si="112"/>
        <v>0</v>
      </c>
      <c r="AG325" s="133">
        <f t="shared" si="113"/>
        <v>3122269.8693744098</v>
      </c>
      <c r="AH325" s="133">
        <f t="shared" si="114"/>
        <v>2770424.2536466164</v>
      </c>
      <c r="AI325" s="131">
        <f>AH325*'1. UC Assumptions'!$C$23</f>
        <v>914240.00370338326</v>
      </c>
      <c r="AJ325" s="131">
        <v>2255774.9300000002</v>
      </c>
      <c r="AK325" s="131">
        <f>AJ325*(1-'1. UC Assumptions'!$C$22)</f>
        <v>744405.72690000001</v>
      </c>
      <c r="AL325" s="131"/>
      <c r="AM325" s="131">
        <f>AL325*'1. UC Assumptions'!$C$23</f>
        <v>0</v>
      </c>
      <c r="AN325" s="153">
        <f t="shared" si="115"/>
        <v>5892694.1230210261</v>
      </c>
      <c r="AO325" s="151">
        <f>AN325*'1. UC Assumptions'!$C$23</f>
        <v>1944589.0605969385</v>
      </c>
      <c r="AP325" s="151">
        <f t="shared" si="116"/>
        <v>3636919.193021026</v>
      </c>
      <c r="AQ325" s="151">
        <f t="shared" si="117"/>
        <v>1200183.3336969386</v>
      </c>
      <c r="AR325" s="151">
        <f t="shared" si="118"/>
        <v>1200183.3336969386</v>
      </c>
      <c r="AS325" s="151">
        <f t="shared" si="119"/>
        <v>1944589.0605969387</v>
      </c>
      <c r="AT325" s="151">
        <f>IF(K325="Bexar",(AG325/$AT$1)*'1. UC Assumptions'!$E$44-(AH325/$AT$2)*'1. UC Assumptions'!$E$42,0)</f>
        <v>0</v>
      </c>
      <c r="AU325" s="151">
        <f>IF(K325="Dallas",(AG325/$AU$1)*'1. UC Assumptions'!$F$44-(AH325/$AU$2)*'1. UC Assumptions'!$F$42,0)</f>
        <v>0</v>
      </c>
      <c r="AV325" s="151">
        <f>IF(K325="El Paso",(AG325/$AV$1)*'1. UC Assumptions'!$G$44-(AH325/$AV$2)*'1. UC Assumptions'!$G$42,0)</f>
        <v>0</v>
      </c>
      <c r="AW325" s="151">
        <f>IF(K325="Harris",(AG325/$AW$1)*'1. UC Assumptions'!$H$44-(AH325/$AW$2)*'1. UC Assumptions'!$H$42,0)</f>
        <v>0</v>
      </c>
      <c r="AX325" s="151">
        <f>IF(K325="Hidalgo",(AG325/$AX$1)*'1. UC Assumptions'!$I$44-(AH325/$AX$2)*'1. UC Assumptions'!$I$42,0)</f>
        <v>0</v>
      </c>
      <c r="AY325" s="151">
        <f>IF(K325="Jefferson",(AG325/$AY$1)*'1. UC Assumptions'!$J$44-(AH325/$AY$2)*'1. UC Assumptions'!$J$42,0)</f>
        <v>0</v>
      </c>
      <c r="AZ325" s="151">
        <f>IF(K325="Lubbock",(AG325/$AZ$1)*'1. UC Assumptions'!$K$44-(AH325/$AZ$2)*'1. UC Assumptions'!$K$42,0)</f>
        <v>0</v>
      </c>
      <c r="BA325" s="151">
        <f>IF(K325="MRSA Central",(AG325/$BA$1)*'1. UC Assumptions'!$L$44-(AH325/$BA$2)*'1. UC Assumptions'!$L$42,0)</f>
        <v>0</v>
      </c>
      <c r="BB325" s="151">
        <f>IF(K325="MRSA Northeast",(AG325/$BB$1)*'1. UC Assumptions'!$M$44-(AH325/$BB$2)*'1. UC Assumptions'!$M$42,0)</f>
        <v>0</v>
      </c>
      <c r="BC325" s="151">
        <f>IF(K325="MRSA West",(AG325/$BC$1)*'1. UC Assumptions'!$N$44-(AH325/$BC$2)*'1. UC Assumptions'!$N$42,0)</f>
        <v>0</v>
      </c>
      <c r="BD325" s="151">
        <f>IF(K325="Nueces",(AG325/$BD$1)*'1. UC Assumptions'!$O$44-(AH325/$BD$2)*'1. UC Assumptions'!$O$42,0)</f>
        <v>0</v>
      </c>
      <c r="BE325" s="151">
        <f>IF(K325="Tarrant",(AG325/$BE$1)*'1. UC Assumptions'!$P$44-(AH325/$BE$2)*'1. UC Assumptions'!$P$42,0)</f>
        <v>0</v>
      </c>
      <c r="BF325" s="151">
        <f>IF(K325="Travis",(AG325/$BF$1)*'1. UC Assumptions'!$Q$44-(AH325/$BF$2)*'1. UC Assumptions'!$Q$42,0)</f>
        <v>0</v>
      </c>
      <c r="BG325" s="151">
        <f t="shared" si="120"/>
        <v>0</v>
      </c>
      <c r="BH325" s="151">
        <f t="shared" si="121"/>
        <v>2770424.2536466164</v>
      </c>
      <c r="BI325" s="151">
        <f>ROUNDDOWN(BH325*'1. UC Assumptions'!$C$23,2)</f>
        <v>914240</v>
      </c>
      <c r="BJ325" s="154">
        <f t="shared" si="122"/>
        <v>514649.32364661619</v>
      </c>
      <c r="BK325" s="154">
        <f t="shared" si="123"/>
        <v>169834.27309999999</v>
      </c>
      <c r="BL325" s="154">
        <f t="shared" si="124"/>
        <v>475134.59</v>
      </c>
      <c r="BM325" s="154">
        <f t="shared" si="125"/>
        <v>156794.41</v>
      </c>
      <c r="BN325" s="101"/>
      <c r="BO325" s="154">
        <f>(BL325*'1. UC Assumptions'!$C$23)-'3.  UC Calculations by Hospital'!BM325</f>
        <v>4.6999999904073775E-3</v>
      </c>
      <c r="BP325" s="13"/>
    </row>
    <row r="326" spans="2:68">
      <c r="B326" s="129" t="s">
        <v>984</v>
      </c>
      <c r="C326" s="91" t="s">
        <v>984</v>
      </c>
      <c r="D326" s="91" t="s">
        <v>214</v>
      </c>
      <c r="E326" s="91" t="s">
        <v>209</v>
      </c>
      <c r="F326" s="91"/>
      <c r="G326" s="91" t="s">
        <v>209</v>
      </c>
      <c r="H326" s="91" t="s">
        <v>209</v>
      </c>
      <c r="I326" s="150" t="s">
        <v>210</v>
      </c>
      <c r="J326" s="129" t="s">
        <v>985</v>
      </c>
      <c r="K326" s="91" t="s">
        <v>3</v>
      </c>
      <c r="L326" s="91" t="s">
        <v>986</v>
      </c>
      <c r="M326" s="151">
        <v>368623.47756881971</v>
      </c>
      <c r="N326" s="151">
        <v>8816469.7527748644</v>
      </c>
      <c r="O326" s="131">
        <v>6446817.2416884992</v>
      </c>
      <c r="P326" s="131">
        <f t="shared" si="106"/>
        <v>2369652.5110863652</v>
      </c>
      <c r="Q326" s="131">
        <v>7691884.5257332735</v>
      </c>
      <c r="R326" s="131">
        <v>0</v>
      </c>
      <c r="S326" s="131">
        <f t="shared" si="107"/>
        <v>0</v>
      </c>
      <c r="T326" s="131">
        <f t="shared" si="105"/>
        <v>7691884.5257332735</v>
      </c>
      <c r="U326" s="131">
        <v>395516</v>
      </c>
      <c r="V326" s="131">
        <v>0</v>
      </c>
      <c r="W326" s="131">
        <v>0</v>
      </c>
      <c r="X326" s="131">
        <v>0</v>
      </c>
      <c r="Y326" s="131">
        <v>0</v>
      </c>
      <c r="Z326" s="131">
        <f t="shared" si="108"/>
        <v>395516</v>
      </c>
      <c r="AA326" s="131">
        <v>0</v>
      </c>
      <c r="AB326" s="152">
        <f t="shared" si="109"/>
        <v>8087400.5257332735</v>
      </c>
      <c r="AC326" s="133">
        <f>IF(D326="Physician Group Practice",(AB326/$AB$393)*'1. UC Assumptions'!$C$15,IF(E326="Rural Hospital",AB326*'1. UC Assumptions'!$C$7/'1. UC Assumptions'!$E$7,(AB326/$AB$397)*('1. UC Assumptions'!$C$9)))</f>
        <v>3802255.8269084468</v>
      </c>
      <c r="AD326" s="133">
        <f t="shared" si="110"/>
        <v>0</v>
      </c>
      <c r="AE326" s="133">
        <f t="shared" si="111"/>
        <v>4285144.6988248266</v>
      </c>
      <c r="AF326" s="133">
        <f t="shared" si="112"/>
        <v>0</v>
      </c>
      <c r="AG326" s="133">
        <f t="shared" si="113"/>
        <v>4285144.6988248266</v>
      </c>
      <c r="AH326" s="133">
        <f t="shared" si="114"/>
        <v>3802255.8269084468</v>
      </c>
      <c r="AI326" s="131">
        <f>AH326*'1. UC Assumptions'!$C$23</f>
        <v>1254744.4228797874</v>
      </c>
      <c r="AJ326" s="131">
        <v>2706934.3</v>
      </c>
      <c r="AK326" s="131">
        <f>AJ326*(1-'1. UC Assumptions'!$C$22)</f>
        <v>893288.31899999978</v>
      </c>
      <c r="AL326" s="131"/>
      <c r="AM326" s="131">
        <f>AL326*'1. UC Assumptions'!$C$23</f>
        <v>0</v>
      </c>
      <c r="AN326" s="153">
        <f t="shared" si="115"/>
        <v>8087400.5257332735</v>
      </c>
      <c r="AO326" s="151">
        <f>AN326*'1. UC Assumptions'!$C$23</f>
        <v>2668842.1734919799</v>
      </c>
      <c r="AP326" s="151">
        <f t="shared" si="116"/>
        <v>5380466.2257332737</v>
      </c>
      <c r="AQ326" s="151">
        <f t="shared" si="117"/>
        <v>1775553.8544919803</v>
      </c>
      <c r="AR326" s="151">
        <f t="shared" si="118"/>
        <v>1775553.8544919803</v>
      </c>
      <c r="AS326" s="151">
        <f t="shared" si="119"/>
        <v>2668842.1734919799</v>
      </c>
      <c r="AT326" s="151">
        <f>IF(K326="Bexar",(AG326/$AT$1)*'1. UC Assumptions'!$E$44-(AH326/$AT$2)*'1. UC Assumptions'!$E$42,0)</f>
        <v>0</v>
      </c>
      <c r="AU326" s="151">
        <f>IF(K326="Dallas",(AG326/$AU$1)*'1. UC Assumptions'!$F$44-(AH326/$AU$2)*'1. UC Assumptions'!$F$42,0)</f>
        <v>0</v>
      </c>
      <c r="AV326" s="151">
        <f>IF(K326="El Paso",(AG326/$AV$1)*'1. UC Assumptions'!$G$44-(AH326/$AV$2)*'1. UC Assumptions'!$G$42,0)</f>
        <v>0</v>
      </c>
      <c r="AW326" s="151">
        <f>IF(K326="Harris",(AG326/$AW$1)*'1. UC Assumptions'!$H$44-(AH326/$AW$2)*'1. UC Assumptions'!$H$42,0)</f>
        <v>0</v>
      </c>
      <c r="AX326" s="151">
        <f>IF(K326="Hidalgo",(AG326/$AX$1)*'1. UC Assumptions'!$I$44-(AH326/$AX$2)*'1. UC Assumptions'!$I$42,0)</f>
        <v>0</v>
      </c>
      <c r="AY326" s="151">
        <f>IF(K326="Jefferson",(AG326/$AY$1)*'1. UC Assumptions'!$J$44-(AH326/$AY$2)*'1. UC Assumptions'!$J$42,0)</f>
        <v>0</v>
      </c>
      <c r="AZ326" s="151">
        <f>IF(K326="Lubbock",(AG326/$AZ$1)*'1. UC Assumptions'!$K$44-(AH326/$AZ$2)*'1. UC Assumptions'!$K$42,0)</f>
        <v>0</v>
      </c>
      <c r="BA326" s="151">
        <f>IF(K326="MRSA Central",(AG326/$BA$1)*'1. UC Assumptions'!$L$44-(AH326/$BA$2)*'1. UC Assumptions'!$L$42,0)</f>
        <v>0</v>
      </c>
      <c r="BB326" s="151">
        <f>IF(K326="MRSA Northeast",(AG326/$BB$1)*'1. UC Assumptions'!$M$44-(AH326/$BB$2)*'1. UC Assumptions'!$M$42,0)</f>
        <v>0</v>
      </c>
      <c r="BC326" s="151">
        <f>IF(K326="MRSA West",(AG326/$BC$1)*'1. UC Assumptions'!$N$44-(AH326/$BC$2)*'1. UC Assumptions'!$N$42,0)</f>
        <v>0</v>
      </c>
      <c r="BD326" s="151">
        <f>IF(K326="Nueces",(AG326/$BD$1)*'1. UC Assumptions'!$O$44-(AH326/$BD$2)*'1. UC Assumptions'!$O$42,0)</f>
        <v>0</v>
      </c>
      <c r="BE326" s="151">
        <f>IF(K326="Tarrant",(AG326/$BE$1)*'1. UC Assumptions'!$P$44-(AH326/$BE$2)*'1. UC Assumptions'!$P$42,0)</f>
        <v>0</v>
      </c>
      <c r="BF326" s="151">
        <f>IF(K326="Travis",(AG326/$BF$1)*'1. UC Assumptions'!$Q$44-(AH326/$BF$2)*'1. UC Assumptions'!$Q$42,0)</f>
        <v>0</v>
      </c>
      <c r="BG326" s="151">
        <f t="shared" si="120"/>
        <v>0</v>
      </c>
      <c r="BH326" s="151">
        <f t="shared" si="121"/>
        <v>3802255.8269084468</v>
      </c>
      <c r="BI326" s="151">
        <f>ROUNDDOWN(BH326*'1. UC Assumptions'!$C$23,2)</f>
        <v>1254744.42</v>
      </c>
      <c r="BJ326" s="154">
        <f t="shared" si="122"/>
        <v>1095321.526908447</v>
      </c>
      <c r="BK326" s="154">
        <f t="shared" si="123"/>
        <v>361456.10100000014</v>
      </c>
      <c r="BL326" s="154">
        <f t="shared" si="124"/>
        <v>1011222.83</v>
      </c>
      <c r="BM326" s="154">
        <f t="shared" si="125"/>
        <v>333703.53000000003</v>
      </c>
      <c r="BN326" s="101"/>
      <c r="BO326" s="154">
        <f>(BL326*'1. UC Assumptions'!$C$23)-'3.  UC Calculations by Hospital'!BM326</f>
        <v>3.8999998942017555E-3</v>
      </c>
      <c r="BP326" s="13"/>
    </row>
    <row r="327" spans="2:68">
      <c r="B327" s="129" t="s">
        <v>987</v>
      </c>
      <c r="C327" s="91" t="s">
        <v>987</v>
      </c>
      <c r="D327" s="91" t="s">
        <v>286</v>
      </c>
      <c r="E327" s="91" t="s">
        <v>209</v>
      </c>
      <c r="F327" s="91"/>
      <c r="G327" s="91" t="s">
        <v>287</v>
      </c>
      <c r="H327" s="91" t="s">
        <v>209</v>
      </c>
      <c r="I327" s="150" t="s">
        <v>210</v>
      </c>
      <c r="J327" s="129" t="s">
        <v>988</v>
      </c>
      <c r="K327" s="91" t="s">
        <v>15</v>
      </c>
      <c r="L327" s="91" t="s">
        <v>242</v>
      </c>
      <c r="M327" s="151">
        <v>-744287.40120310173</v>
      </c>
      <c r="N327" s="151">
        <v>1294116.5268621261</v>
      </c>
      <c r="O327" s="131">
        <v>108314.34010912295</v>
      </c>
      <c r="P327" s="131">
        <f t="shared" si="106"/>
        <v>1185802.1867530032</v>
      </c>
      <c r="Q327" s="131">
        <v>138294.85594053662</v>
      </c>
      <c r="R327" s="131">
        <v>534734.24999999988</v>
      </c>
      <c r="S327" s="131">
        <f t="shared" si="107"/>
        <v>93219.464450098341</v>
      </c>
      <c r="T327" s="131">
        <f t="shared" si="105"/>
        <v>45075.391490438284</v>
      </c>
      <c r="U327" s="131">
        <v>8099</v>
      </c>
      <c r="V327" s="131">
        <v>0</v>
      </c>
      <c r="W327" s="131">
        <v>0</v>
      </c>
      <c r="X327" s="131">
        <v>0</v>
      </c>
      <c r="Y327" s="131">
        <v>0</v>
      </c>
      <c r="Z327" s="131">
        <f t="shared" si="108"/>
        <v>8099</v>
      </c>
      <c r="AA327" s="131">
        <v>0</v>
      </c>
      <c r="AB327" s="152">
        <f t="shared" si="109"/>
        <v>53174.391490438284</v>
      </c>
      <c r="AC327" s="133">
        <f>IF(D327="Physician Group Practice",(AB327/$AB$393)*'1. UC Assumptions'!$C$15,IF(E327="Rural Hospital",AB327*'1. UC Assumptions'!$C$7/'1. UC Assumptions'!$E$7,(AB327/$AB$397)*('1. UC Assumptions'!$C$9)))</f>
        <v>24999.706548909704</v>
      </c>
      <c r="AD327" s="133">
        <f t="shared" si="110"/>
        <v>0</v>
      </c>
      <c r="AE327" s="133">
        <f t="shared" si="111"/>
        <v>28174.68494152858</v>
      </c>
      <c r="AF327" s="133">
        <f t="shared" si="112"/>
        <v>0</v>
      </c>
      <c r="AG327" s="133">
        <f t="shared" si="113"/>
        <v>28174.68494152858</v>
      </c>
      <c r="AH327" s="133">
        <f t="shared" si="114"/>
        <v>24999.706548909704</v>
      </c>
      <c r="AI327" s="131">
        <f>AH327*'1. UC Assumptions'!$C$23</f>
        <v>8249.9031611402006</v>
      </c>
      <c r="AJ327" s="131">
        <v>53174.39</v>
      </c>
      <c r="AK327" s="131">
        <f>AJ327*(1-'1. UC Assumptions'!$C$22)</f>
        <v>17547.548699999999</v>
      </c>
      <c r="AL327" s="131"/>
      <c r="AM327" s="131">
        <f>AL327*'1. UC Assumptions'!$C$23</f>
        <v>0</v>
      </c>
      <c r="AN327" s="153">
        <f t="shared" si="115"/>
        <v>53174.391490438284</v>
      </c>
      <c r="AO327" s="151">
        <f>AN327*'1. UC Assumptions'!$C$23</f>
        <v>17547.549191844631</v>
      </c>
      <c r="AP327" s="151">
        <f t="shared" si="116"/>
        <v>1.4904382842360064E-3</v>
      </c>
      <c r="AQ327" s="151">
        <f t="shared" si="117"/>
        <v>4.918446320516523E-4</v>
      </c>
      <c r="AR327" s="151">
        <f t="shared" si="118"/>
        <v>4.918446320516523E-4</v>
      </c>
      <c r="AS327" s="151">
        <f t="shared" si="119"/>
        <v>17547.549191844631</v>
      </c>
      <c r="AT327" s="151">
        <f>IF(K327="Bexar",(AG327/$AT$1)*'1. UC Assumptions'!$E$44-(AH327/$AT$2)*'1. UC Assumptions'!$E$42,0)</f>
        <v>0</v>
      </c>
      <c r="AU327" s="151">
        <f>IF(K327="Dallas",(AG327/$AU$1)*'1. UC Assumptions'!$F$44-(AH327/$AU$2)*'1. UC Assumptions'!$F$42,0)</f>
        <v>0</v>
      </c>
      <c r="AV327" s="151">
        <f>IF(K327="El Paso",(AG327/$AV$1)*'1. UC Assumptions'!$G$44-(AH327/$AV$2)*'1. UC Assumptions'!$G$42,0)</f>
        <v>0</v>
      </c>
      <c r="AW327" s="151">
        <f>IF(K327="Harris",(AG327/$AW$1)*'1. UC Assumptions'!$H$44-(AH327/$AW$2)*'1. UC Assumptions'!$H$42,0)</f>
        <v>0</v>
      </c>
      <c r="AX327" s="151">
        <f>IF(K327="Hidalgo",(AG327/$AX$1)*'1. UC Assumptions'!$I$44-(AH327/$AX$2)*'1. UC Assumptions'!$I$42,0)</f>
        <v>0</v>
      </c>
      <c r="AY327" s="151">
        <f>IF(K327="Jefferson",(AG327/$AY$1)*'1. UC Assumptions'!$J$44-(AH327/$AY$2)*'1. UC Assumptions'!$J$42,0)</f>
        <v>0</v>
      </c>
      <c r="AZ327" s="151">
        <f>IF(K327="Lubbock",(AG327/$AZ$1)*'1. UC Assumptions'!$K$44-(AH327/$AZ$2)*'1. UC Assumptions'!$K$42,0)</f>
        <v>0</v>
      </c>
      <c r="BA327" s="151">
        <f>IF(K327="MRSA Central",(AG327/$BA$1)*'1. UC Assumptions'!$L$44-(AH327/$BA$2)*'1. UC Assumptions'!$L$42,0)</f>
        <v>0</v>
      </c>
      <c r="BB327" s="151">
        <f>IF(K327="MRSA Northeast",(AG327/$BB$1)*'1. UC Assumptions'!$M$44-(AH327/$BB$2)*'1. UC Assumptions'!$M$42,0)</f>
        <v>0</v>
      </c>
      <c r="BC327" s="151">
        <f>IF(K327="MRSA West",(AG327/$BC$1)*'1. UC Assumptions'!$N$44-(AH327/$BC$2)*'1. UC Assumptions'!$N$42,0)</f>
        <v>0</v>
      </c>
      <c r="BD327" s="151">
        <f>IF(K327="Nueces",(AG327/$BD$1)*'1. UC Assumptions'!$O$44-(AH327/$BD$2)*'1. UC Assumptions'!$O$42,0)</f>
        <v>0</v>
      </c>
      <c r="BE327" s="151">
        <f>IF(K327="Tarrant",(AG327/$BE$1)*'1. UC Assumptions'!$P$44-(AH327/$BE$2)*'1. UC Assumptions'!$P$42,0)</f>
        <v>0</v>
      </c>
      <c r="BF327" s="151">
        <f>IF(K327="Travis",(AG327/$BF$1)*'1. UC Assumptions'!$Q$44-(AH327/$BF$2)*'1. UC Assumptions'!$Q$42,0)</f>
        <v>0</v>
      </c>
      <c r="BG327" s="151">
        <f t="shared" si="120"/>
        <v>0</v>
      </c>
      <c r="BH327" s="151">
        <f t="shared" si="121"/>
        <v>24999.706548909704</v>
      </c>
      <c r="BI327" s="151">
        <f>ROUNDDOWN(BH327*'1. UC Assumptions'!$C$23,2)</f>
        <v>8249.9</v>
      </c>
      <c r="BJ327" s="154">
        <f t="shared" si="122"/>
        <v>-28174.683451090295</v>
      </c>
      <c r="BK327" s="154">
        <f t="shared" si="123"/>
        <v>-9297.6486999999997</v>
      </c>
      <c r="BL327" s="154">
        <f t="shared" si="124"/>
        <v>0</v>
      </c>
      <c r="BM327" s="154">
        <f t="shared" si="125"/>
        <v>0</v>
      </c>
      <c r="BN327" s="101"/>
      <c r="BO327" s="154">
        <f>(BL327*'1. UC Assumptions'!$C$23)-'3.  UC Calculations by Hospital'!BM327</f>
        <v>0</v>
      </c>
      <c r="BP327" s="13"/>
    </row>
    <row r="328" spans="2:68">
      <c r="B328" s="129" t="s">
        <v>989</v>
      </c>
      <c r="C328" s="91" t="s">
        <v>989</v>
      </c>
      <c r="D328" s="91" t="s">
        <v>208</v>
      </c>
      <c r="E328" s="91" t="s">
        <v>149</v>
      </c>
      <c r="F328" s="91"/>
      <c r="G328" s="91" t="s">
        <v>209</v>
      </c>
      <c r="H328" s="91" t="s">
        <v>209</v>
      </c>
      <c r="I328" s="150" t="s">
        <v>210</v>
      </c>
      <c r="J328" s="129" t="s">
        <v>990</v>
      </c>
      <c r="K328" s="91" t="s">
        <v>12</v>
      </c>
      <c r="L328" s="91" t="s">
        <v>407</v>
      </c>
      <c r="M328" s="151">
        <v>593264.7785969408</v>
      </c>
      <c r="N328" s="151">
        <v>542224.86547414714</v>
      </c>
      <c r="O328" s="131">
        <v>-5663.0319513599998</v>
      </c>
      <c r="P328" s="131">
        <f t="shared" si="106"/>
        <v>547887.8974255072</v>
      </c>
      <c r="Q328" s="131">
        <v>710205.69315422722</v>
      </c>
      <c r="R328" s="131">
        <v>368696.63</v>
      </c>
      <c r="S328" s="131">
        <f t="shared" si="107"/>
        <v>0</v>
      </c>
      <c r="T328" s="131">
        <f t="shared" si="105"/>
        <v>710205.69315422722</v>
      </c>
      <c r="U328" s="131">
        <v>0</v>
      </c>
      <c r="V328" s="131">
        <v>0</v>
      </c>
      <c r="W328" s="131">
        <v>0</v>
      </c>
      <c r="X328" s="131">
        <v>0</v>
      </c>
      <c r="Y328" s="131">
        <v>0</v>
      </c>
      <c r="Z328" s="131">
        <f t="shared" si="108"/>
        <v>0</v>
      </c>
      <c r="AA328" s="131">
        <v>0</v>
      </c>
      <c r="AB328" s="152">
        <f t="shared" si="109"/>
        <v>710205.69315422722</v>
      </c>
      <c r="AC328" s="133">
        <f>IF(D328="Physician Group Practice",(AB328/$AB$393)*'1. UC Assumptions'!$C$15,IF(E328="Rural Hospital",AB328*'1. UC Assumptions'!$C$7/'1. UC Assumptions'!$E$7,(AB328/$AB$397)*('1. UC Assumptions'!$C$9)))</f>
        <v>662931.22395283356</v>
      </c>
      <c r="AD328" s="133">
        <f t="shared" si="110"/>
        <v>0</v>
      </c>
      <c r="AE328" s="133">
        <f t="shared" si="111"/>
        <v>47274.469201393658</v>
      </c>
      <c r="AF328" s="133">
        <f t="shared" si="112"/>
        <v>0</v>
      </c>
      <c r="AG328" s="133">
        <f t="shared" si="113"/>
        <v>47274.469201393658</v>
      </c>
      <c r="AH328" s="133">
        <f t="shared" si="114"/>
        <v>662931.22395283356</v>
      </c>
      <c r="AI328" s="131">
        <f>AH328*'1. UC Assumptions'!$C$23</f>
        <v>218767.30390443504</v>
      </c>
      <c r="AJ328" s="131">
        <v>609917.74</v>
      </c>
      <c r="AK328" s="131">
        <f>AJ328*(1-'1. UC Assumptions'!$C$22)</f>
        <v>201272.85419999997</v>
      </c>
      <c r="AL328" s="131"/>
      <c r="AM328" s="131">
        <f>AL328*'1. UC Assumptions'!$C$23</f>
        <v>0</v>
      </c>
      <c r="AN328" s="153">
        <f t="shared" si="115"/>
        <v>710205.69315422722</v>
      </c>
      <c r="AO328" s="151">
        <f>AN328*'1. UC Assumptions'!$C$23</f>
        <v>234367.87874089496</v>
      </c>
      <c r="AP328" s="151">
        <f t="shared" si="116"/>
        <v>100287.95315422723</v>
      </c>
      <c r="AQ328" s="151">
        <f t="shared" si="117"/>
        <v>33095.024540894985</v>
      </c>
      <c r="AR328" s="151">
        <f t="shared" si="118"/>
        <v>33095.024540894985</v>
      </c>
      <c r="AS328" s="151">
        <f t="shared" si="119"/>
        <v>234367.87874089496</v>
      </c>
      <c r="AT328" s="151">
        <f>IF(K328="Bexar",(AG328/$AT$1)*'1. UC Assumptions'!$E$44-(AH328/$AT$2)*'1. UC Assumptions'!$E$42,0)</f>
        <v>0</v>
      </c>
      <c r="AU328" s="151">
        <f>IF(K328="Dallas",(AG328/$AU$1)*'1. UC Assumptions'!$F$44-(AH328/$AU$2)*'1. UC Assumptions'!$F$42,0)</f>
        <v>0</v>
      </c>
      <c r="AV328" s="151">
        <f>IF(K328="El Paso",(AG328/$AV$1)*'1. UC Assumptions'!$G$44-(AH328/$AV$2)*'1. UC Assumptions'!$G$42,0)</f>
        <v>0</v>
      </c>
      <c r="AW328" s="151">
        <f>IF(K328="Harris",(AG328/$AW$1)*'1. UC Assumptions'!$H$44-(AH328/$AW$2)*'1. UC Assumptions'!$H$42,0)</f>
        <v>0</v>
      </c>
      <c r="AX328" s="151">
        <f>IF(K328="Hidalgo",(AG328/$AX$1)*'1. UC Assumptions'!$I$44-(AH328/$AX$2)*'1. UC Assumptions'!$I$42,0)</f>
        <v>0</v>
      </c>
      <c r="AY328" s="151">
        <f>IF(K328="Jefferson",(AG328/$AY$1)*'1. UC Assumptions'!$J$44-(AH328/$AY$2)*'1. UC Assumptions'!$J$42,0)</f>
        <v>0</v>
      </c>
      <c r="AZ328" s="151">
        <f>IF(K328="Lubbock",(AG328/$AZ$1)*'1. UC Assumptions'!$K$44-(AH328/$AZ$2)*'1. UC Assumptions'!$K$42,0)</f>
        <v>0</v>
      </c>
      <c r="BA328" s="151">
        <f>IF(K328="MRSA Central",(AG328/$BA$1)*'1. UC Assumptions'!$L$44-(AH328/$BA$2)*'1. UC Assumptions'!$L$42,0)</f>
        <v>0</v>
      </c>
      <c r="BB328" s="151">
        <f>IF(K328="MRSA Northeast",(AG328/$BB$1)*'1. UC Assumptions'!$M$44-(AH328/$BB$2)*'1. UC Assumptions'!$M$42,0)</f>
        <v>0</v>
      </c>
      <c r="BC328" s="151">
        <f>IF(K328="MRSA West",(AG328/$BC$1)*'1. UC Assumptions'!$N$44-(AH328/$BC$2)*'1. UC Assumptions'!$N$42,0)</f>
        <v>0</v>
      </c>
      <c r="BD328" s="151">
        <f>IF(K328="Nueces",(AG328/$BD$1)*'1. UC Assumptions'!$O$44-(AH328/$BD$2)*'1. UC Assumptions'!$O$42,0)</f>
        <v>0</v>
      </c>
      <c r="BE328" s="151">
        <f>IF(K328="Tarrant",(AG328/$BE$1)*'1. UC Assumptions'!$P$44-(AH328/$BE$2)*'1. UC Assumptions'!$P$42,0)</f>
        <v>0</v>
      </c>
      <c r="BF328" s="151">
        <f>IF(K328="Travis",(AG328/$BF$1)*'1. UC Assumptions'!$Q$44-(AH328/$BF$2)*'1. UC Assumptions'!$Q$42,0)</f>
        <v>0</v>
      </c>
      <c r="BG328" s="151">
        <f t="shared" si="120"/>
        <v>0</v>
      </c>
      <c r="BH328" s="151">
        <f t="shared" si="121"/>
        <v>662931.22395283356</v>
      </c>
      <c r="BI328" s="151">
        <f>ROUNDDOWN(BH328*'1. UC Assumptions'!$C$23,2)</f>
        <v>218767.3</v>
      </c>
      <c r="BJ328" s="154">
        <f t="shared" si="122"/>
        <v>53013.483952833572</v>
      </c>
      <c r="BK328" s="154">
        <f t="shared" si="123"/>
        <v>17494.445800000016</v>
      </c>
      <c r="BL328" s="154">
        <f t="shared" si="124"/>
        <v>48943.11</v>
      </c>
      <c r="BM328" s="154">
        <f t="shared" si="125"/>
        <v>16151.22</v>
      </c>
      <c r="BN328" s="101"/>
      <c r="BO328" s="154">
        <f>(BL328*'1. UC Assumptions'!$C$23)-'3.  UC Calculations by Hospital'!BM328</f>
        <v>6.2999999991006916E-3</v>
      </c>
      <c r="BP328" s="13"/>
    </row>
    <row r="329" spans="2:68">
      <c r="B329" s="129" t="s">
        <v>991</v>
      </c>
      <c r="C329" s="91" t="s">
        <v>991</v>
      </c>
      <c r="D329" s="91" t="s">
        <v>286</v>
      </c>
      <c r="E329" s="91" t="s">
        <v>209</v>
      </c>
      <c r="F329" s="91"/>
      <c r="G329" s="91" t="s">
        <v>287</v>
      </c>
      <c r="H329" s="91" t="s">
        <v>209</v>
      </c>
      <c r="I329" s="150" t="s">
        <v>210</v>
      </c>
      <c r="J329" s="129" t="s">
        <v>992</v>
      </c>
      <c r="K329" s="91" t="s">
        <v>6</v>
      </c>
      <c r="L329" s="91" t="s">
        <v>6</v>
      </c>
      <c r="M329" s="151">
        <v>-528111.60381936596</v>
      </c>
      <c r="N329" s="151">
        <v>1261122.8057743846</v>
      </c>
      <c r="O329" s="131">
        <v>174867.09506569899</v>
      </c>
      <c r="P329" s="131">
        <f t="shared" si="106"/>
        <v>1086255.7107086857</v>
      </c>
      <c r="Q329" s="131">
        <v>211800.44886590383</v>
      </c>
      <c r="R329" s="131">
        <v>0</v>
      </c>
      <c r="S329" s="131">
        <f t="shared" si="107"/>
        <v>0</v>
      </c>
      <c r="T329" s="131">
        <f t="shared" si="105"/>
        <v>211800.44886590383</v>
      </c>
      <c r="U329" s="131">
        <v>8891</v>
      </c>
      <c r="V329" s="131">
        <v>0</v>
      </c>
      <c r="W329" s="131">
        <v>0</v>
      </c>
      <c r="X329" s="131">
        <v>0</v>
      </c>
      <c r="Y329" s="131">
        <v>0</v>
      </c>
      <c r="Z329" s="131">
        <f t="shared" si="108"/>
        <v>8891</v>
      </c>
      <c r="AA329" s="131">
        <v>0</v>
      </c>
      <c r="AB329" s="152">
        <f t="shared" si="109"/>
        <v>220691.44886590383</v>
      </c>
      <c r="AC329" s="133">
        <f>IF(D329="Physician Group Practice",(AB329/$AB$393)*'1. UC Assumptions'!$C$15,IF(E329="Rural Hospital",AB329*'1. UC Assumptions'!$C$7/'1. UC Assumptions'!$E$7,(AB329/$AB$397)*('1. UC Assumptions'!$C$9)))</f>
        <v>103757.11512360988</v>
      </c>
      <c r="AD329" s="133">
        <f t="shared" si="110"/>
        <v>0</v>
      </c>
      <c r="AE329" s="133">
        <f t="shared" si="111"/>
        <v>116934.33374229395</v>
      </c>
      <c r="AF329" s="133">
        <f t="shared" si="112"/>
        <v>0</v>
      </c>
      <c r="AG329" s="133">
        <f t="shared" si="113"/>
        <v>116934.33374229395</v>
      </c>
      <c r="AH329" s="133">
        <f t="shared" si="114"/>
        <v>103757.11512360988</v>
      </c>
      <c r="AI329" s="131">
        <f>AH329*'1. UC Assumptions'!$C$23</f>
        <v>34239.847990791255</v>
      </c>
      <c r="AJ329" s="131">
        <v>69028.350000000006</v>
      </c>
      <c r="AK329" s="131">
        <f>AJ329*(1-'1. UC Assumptions'!$C$22)</f>
        <v>22779.355499999998</v>
      </c>
      <c r="AL329" s="131"/>
      <c r="AM329" s="131">
        <f>AL329*'1. UC Assumptions'!$C$23</f>
        <v>0</v>
      </c>
      <c r="AN329" s="153">
        <f t="shared" si="115"/>
        <v>220691.44886590383</v>
      </c>
      <c r="AO329" s="151">
        <f>AN329*'1. UC Assumptions'!$C$23</f>
        <v>72828.178125748251</v>
      </c>
      <c r="AP329" s="151">
        <f t="shared" si="116"/>
        <v>151663.09886590383</v>
      </c>
      <c r="AQ329" s="151">
        <f t="shared" si="117"/>
        <v>50048.822625748253</v>
      </c>
      <c r="AR329" s="151">
        <f t="shared" si="118"/>
        <v>50048.822625748253</v>
      </c>
      <c r="AS329" s="151">
        <f t="shared" si="119"/>
        <v>72828.178125748251</v>
      </c>
      <c r="AT329" s="151">
        <f>IF(K329="Bexar",(AG329/$AT$1)*'1. UC Assumptions'!$E$44-(AH329/$AT$2)*'1. UC Assumptions'!$E$42,0)</f>
        <v>0</v>
      </c>
      <c r="AU329" s="151">
        <f>IF(K329="Dallas",(AG329/$AU$1)*'1. UC Assumptions'!$F$44-(AH329/$AU$2)*'1. UC Assumptions'!$F$42,0)</f>
        <v>0</v>
      </c>
      <c r="AV329" s="151">
        <f>IF(K329="El Paso",(AG329/$AV$1)*'1. UC Assumptions'!$G$44-(AH329/$AV$2)*'1. UC Assumptions'!$G$42,0)</f>
        <v>0</v>
      </c>
      <c r="AW329" s="151">
        <f>IF(K329="Harris",(AG329/$AW$1)*'1. UC Assumptions'!$H$44-(AH329/$AW$2)*'1. UC Assumptions'!$H$42,0)</f>
        <v>0</v>
      </c>
      <c r="AX329" s="151">
        <f>IF(K329="Hidalgo",(AG329/$AX$1)*'1. UC Assumptions'!$I$44-(AH329/$AX$2)*'1. UC Assumptions'!$I$42,0)</f>
        <v>0</v>
      </c>
      <c r="AY329" s="151">
        <f>IF(K329="Jefferson",(AG329/$AY$1)*'1. UC Assumptions'!$J$44-(AH329/$AY$2)*'1. UC Assumptions'!$J$42,0)</f>
        <v>0</v>
      </c>
      <c r="AZ329" s="151">
        <f>IF(K329="Lubbock",(AG329/$AZ$1)*'1. UC Assumptions'!$K$44-(AH329/$AZ$2)*'1. UC Assumptions'!$K$42,0)</f>
        <v>0</v>
      </c>
      <c r="BA329" s="151">
        <f>IF(K329="MRSA Central",(AG329/$BA$1)*'1. UC Assumptions'!$L$44-(AH329/$BA$2)*'1. UC Assumptions'!$L$42,0)</f>
        <v>0</v>
      </c>
      <c r="BB329" s="151">
        <f>IF(K329="MRSA Northeast",(AG329/$BB$1)*'1. UC Assumptions'!$M$44-(AH329/$BB$2)*'1. UC Assumptions'!$M$42,0)</f>
        <v>0</v>
      </c>
      <c r="BC329" s="151">
        <f>IF(K329="MRSA West",(AG329/$BC$1)*'1. UC Assumptions'!$N$44-(AH329/$BC$2)*'1. UC Assumptions'!$N$42,0)</f>
        <v>0</v>
      </c>
      <c r="BD329" s="151">
        <f>IF(K329="Nueces",(AG329/$BD$1)*'1. UC Assumptions'!$O$44-(AH329/$BD$2)*'1. UC Assumptions'!$O$42,0)</f>
        <v>0</v>
      </c>
      <c r="BE329" s="151">
        <f>IF(K329="Tarrant",(AG329/$BE$1)*'1. UC Assumptions'!$P$44-(AH329/$BE$2)*'1. UC Assumptions'!$P$42,0)</f>
        <v>0</v>
      </c>
      <c r="BF329" s="151">
        <f>IF(K329="Travis",(AG329/$BF$1)*'1. UC Assumptions'!$Q$44-(AH329/$BF$2)*'1. UC Assumptions'!$Q$42,0)</f>
        <v>0</v>
      </c>
      <c r="BG329" s="151">
        <f t="shared" si="120"/>
        <v>0</v>
      </c>
      <c r="BH329" s="151">
        <f t="shared" si="121"/>
        <v>103757.11512360988</v>
      </c>
      <c r="BI329" s="151">
        <f>ROUNDDOWN(BH329*'1. UC Assumptions'!$C$23,2)</f>
        <v>34239.839999999997</v>
      </c>
      <c r="BJ329" s="154">
        <f t="shared" si="122"/>
        <v>34728.765123609875</v>
      </c>
      <c r="BK329" s="154">
        <f t="shared" si="123"/>
        <v>11460.484499999999</v>
      </c>
      <c r="BL329" s="154">
        <f t="shared" si="124"/>
        <v>32062.29</v>
      </c>
      <c r="BM329" s="154">
        <f t="shared" si="125"/>
        <v>10580.55</v>
      </c>
      <c r="BN329" s="101"/>
      <c r="BO329" s="154">
        <f>(BL329*'1. UC Assumptions'!$C$23)-'3.  UC Calculations by Hospital'!BM329</f>
        <v>5.6999999997060513E-3</v>
      </c>
      <c r="BP329" s="13"/>
    </row>
    <row r="330" spans="2:68">
      <c r="B330" s="129" t="s">
        <v>993</v>
      </c>
      <c r="C330" s="91" t="s">
        <v>993</v>
      </c>
      <c r="D330" s="91" t="s">
        <v>286</v>
      </c>
      <c r="E330" s="91" t="s">
        <v>209</v>
      </c>
      <c r="F330" s="91"/>
      <c r="G330" s="91" t="s">
        <v>287</v>
      </c>
      <c r="H330" s="91" t="s">
        <v>209</v>
      </c>
      <c r="I330" s="150" t="s">
        <v>210</v>
      </c>
      <c r="J330" s="129" t="s">
        <v>994</v>
      </c>
      <c r="K330" s="91" t="s">
        <v>3</v>
      </c>
      <c r="L330" s="91" t="s">
        <v>3</v>
      </c>
      <c r="M330" s="151">
        <v>-1061863.976082922</v>
      </c>
      <c r="N330" s="151">
        <v>1246183.2951129652</v>
      </c>
      <c r="O330" s="131">
        <v>154729.08236623832</v>
      </c>
      <c r="P330" s="131">
        <f t="shared" si="106"/>
        <v>1091454.2127467268</v>
      </c>
      <c r="Q330" s="131">
        <v>210661.16527397159</v>
      </c>
      <c r="R330" s="131">
        <v>184319.31999999995</v>
      </c>
      <c r="S330" s="131">
        <f t="shared" si="107"/>
        <v>154729.08333619498</v>
      </c>
      <c r="T330" s="131">
        <f t="shared" si="105"/>
        <v>55932.081937776617</v>
      </c>
      <c r="U330" s="131">
        <v>12646</v>
      </c>
      <c r="V330" s="131">
        <v>0</v>
      </c>
      <c r="W330" s="131">
        <v>0</v>
      </c>
      <c r="X330" s="131">
        <v>0</v>
      </c>
      <c r="Y330" s="131">
        <v>0</v>
      </c>
      <c r="Z330" s="131">
        <f t="shared" si="108"/>
        <v>12646</v>
      </c>
      <c r="AA330" s="131">
        <v>0</v>
      </c>
      <c r="AB330" s="152">
        <f t="shared" si="109"/>
        <v>68578.081937776617</v>
      </c>
      <c r="AC330" s="133">
        <f>IF(D330="Physician Group Practice",(AB330/$AB$393)*'1. UC Assumptions'!$C$15,IF(E330="Rural Hospital",AB330*'1. UC Assumptions'!$C$7/'1. UC Assumptions'!$E$7,(AB330/$AB$397)*('1. UC Assumptions'!$C$9)))</f>
        <v>32241.683939905288</v>
      </c>
      <c r="AD330" s="133">
        <f t="shared" si="110"/>
        <v>0</v>
      </c>
      <c r="AE330" s="133">
        <f t="shared" si="111"/>
        <v>36336.397997871332</v>
      </c>
      <c r="AF330" s="133">
        <f t="shared" si="112"/>
        <v>0</v>
      </c>
      <c r="AG330" s="133">
        <f t="shared" si="113"/>
        <v>36336.397997871332</v>
      </c>
      <c r="AH330" s="133">
        <f t="shared" si="114"/>
        <v>32241.683939905288</v>
      </c>
      <c r="AI330" s="131">
        <f>AH330*'1. UC Assumptions'!$C$23</f>
        <v>10639.755700168744</v>
      </c>
      <c r="AJ330" s="131">
        <v>10555.06</v>
      </c>
      <c r="AK330" s="131">
        <f>AJ330*(1-'1. UC Assumptions'!$C$22)</f>
        <v>3483.1697999999992</v>
      </c>
      <c r="AL330" s="131"/>
      <c r="AM330" s="131">
        <f>AL330*'1. UC Assumptions'!$C$23</f>
        <v>0</v>
      </c>
      <c r="AN330" s="153">
        <f t="shared" si="115"/>
        <v>68578.081937776617</v>
      </c>
      <c r="AO330" s="151">
        <f>AN330*'1. UC Assumptions'!$C$23</f>
        <v>22630.767039466282</v>
      </c>
      <c r="AP330" s="151">
        <f t="shared" si="116"/>
        <v>58023.021937776619</v>
      </c>
      <c r="AQ330" s="151">
        <f t="shared" si="117"/>
        <v>19147.597239466282</v>
      </c>
      <c r="AR330" s="151">
        <f t="shared" si="118"/>
        <v>19147.597239466282</v>
      </c>
      <c r="AS330" s="151">
        <f t="shared" si="119"/>
        <v>22630.767039466282</v>
      </c>
      <c r="AT330" s="151">
        <f>IF(K330="Bexar",(AG330/$AT$1)*'1. UC Assumptions'!$E$44-(AH330/$AT$2)*'1. UC Assumptions'!$E$42,0)</f>
        <v>0</v>
      </c>
      <c r="AU330" s="151">
        <f>IF(K330="Dallas",(AG330/$AU$1)*'1. UC Assumptions'!$F$44-(AH330/$AU$2)*'1. UC Assumptions'!$F$42,0)</f>
        <v>0</v>
      </c>
      <c r="AV330" s="151">
        <f>IF(K330="El Paso",(AG330/$AV$1)*'1. UC Assumptions'!$G$44-(AH330/$AV$2)*'1. UC Assumptions'!$G$42,0)</f>
        <v>0</v>
      </c>
      <c r="AW330" s="151">
        <f>IF(K330="Harris",(AG330/$AW$1)*'1. UC Assumptions'!$H$44-(AH330/$AW$2)*'1. UC Assumptions'!$H$42,0)</f>
        <v>0</v>
      </c>
      <c r="AX330" s="151">
        <f>IF(K330="Hidalgo",(AG330/$AX$1)*'1. UC Assumptions'!$I$44-(AH330/$AX$2)*'1. UC Assumptions'!$I$42,0)</f>
        <v>0</v>
      </c>
      <c r="AY330" s="151">
        <f>IF(K330="Jefferson",(AG330/$AY$1)*'1. UC Assumptions'!$J$44-(AH330/$AY$2)*'1. UC Assumptions'!$J$42,0)</f>
        <v>0</v>
      </c>
      <c r="AZ330" s="151">
        <f>IF(K330="Lubbock",(AG330/$AZ$1)*'1. UC Assumptions'!$K$44-(AH330/$AZ$2)*'1. UC Assumptions'!$K$42,0)</f>
        <v>0</v>
      </c>
      <c r="BA330" s="151">
        <f>IF(K330="MRSA Central",(AG330/$BA$1)*'1. UC Assumptions'!$L$44-(AH330/$BA$2)*'1. UC Assumptions'!$L$42,0)</f>
        <v>0</v>
      </c>
      <c r="BB330" s="151">
        <f>IF(K330="MRSA Northeast",(AG330/$BB$1)*'1. UC Assumptions'!$M$44-(AH330/$BB$2)*'1. UC Assumptions'!$M$42,0)</f>
        <v>0</v>
      </c>
      <c r="BC330" s="151">
        <f>IF(K330="MRSA West",(AG330/$BC$1)*'1. UC Assumptions'!$N$44-(AH330/$BC$2)*'1. UC Assumptions'!$N$42,0)</f>
        <v>0</v>
      </c>
      <c r="BD330" s="151">
        <f>IF(K330="Nueces",(AG330/$BD$1)*'1. UC Assumptions'!$O$44-(AH330/$BD$2)*'1. UC Assumptions'!$O$42,0)</f>
        <v>0</v>
      </c>
      <c r="BE330" s="151">
        <f>IF(K330="Tarrant",(AG330/$BE$1)*'1. UC Assumptions'!$P$44-(AH330/$BE$2)*'1. UC Assumptions'!$P$42,0)</f>
        <v>0</v>
      </c>
      <c r="BF330" s="151">
        <f>IF(K330="Travis",(AG330/$BF$1)*'1. UC Assumptions'!$Q$44-(AH330/$BF$2)*'1. UC Assumptions'!$Q$42,0)</f>
        <v>0</v>
      </c>
      <c r="BG330" s="151">
        <f t="shared" si="120"/>
        <v>0</v>
      </c>
      <c r="BH330" s="151">
        <f t="shared" si="121"/>
        <v>32241.683939905288</v>
      </c>
      <c r="BI330" s="151">
        <f>ROUNDDOWN(BH330*'1. UC Assumptions'!$C$23,2)</f>
        <v>10639.75</v>
      </c>
      <c r="BJ330" s="154">
        <f t="shared" si="122"/>
        <v>21686.623939905287</v>
      </c>
      <c r="BK330" s="154">
        <f t="shared" si="123"/>
        <v>7156.5802000000003</v>
      </c>
      <c r="BL330" s="154">
        <f t="shared" si="124"/>
        <v>20021.53</v>
      </c>
      <c r="BM330" s="154">
        <f t="shared" si="125"/>
        <v>6607.1</v>
      </c>
      <c r="BN330" s="101"/>
      <c r="BO330" s="154">
        <f>(BL330*'1. UC Assumptions'!$C$23)-'3.  UC Calculations by Hospital'!BM330</f>
        <v>4.8999999980878783E-3</v>
      </c>
      <c r="BP330" s="13"/>
    </row>
    <row r="331" spans="2:68">
      <c r="B331" s="129" t="s">
        <v>995</v>
      </c>
      <c r="C331" s="91" t="s">
        <v>995</v>
      </c>
      <c r="D331" s="91" t="s">
        <v>214</v>
      </c>
      <c r="E331" s="91" t="s">
        <v>209</v>
      </c>
      <c r="F331" s="91"/>
      <c r="G331" s="91" t="s">
        <v>209</v>
      </c>
      <c r="H331" s="91" t="s">
        <v>209</v>
      </c>
      <c r="I331" s="150" t="s">
        <v>210</v>
      </c>
      <c r="J331" s="129" t="s">
        <v>996</v>
      </c>
      <c r="K331" s="91" t="s">
        <v>6</v>
      </c>
      <c r="L331" s="91" t="s">
        <v>263</v>
      </c>
      <c r="M331" s="151">
        <v>828154.69270912022</v>
      </c>
      <c r="N331" s="151">
        <v>0</v>
      </c>
      <c r="O331" s="131">
        <v>0</v>
      </c>
      <c r="P331" s="131">
        <f t="shared" si="106"/>
        <v>0</v>
      </c>
      <c r="Q331" s="131">
        <v>8671117.4921423364</v>
      </c>
      <c r="R331" s="131">
        <v>0</v>
      </c>
      <c r="S331" s="131">
        <f t="shared" si="107"/>
        <v>0</v>
      </c>
      <c r="T331" s="131">
        <f t="shared" si="105"/>
        <v>8671117.4921423364</v>
      </c>
      <c r="U331" s="131">
        <v>234196</v>
      </c>
      <c r="V331" s="131">
        <v>0</v>
      </c>
      <c r="W331" s="131">
        <v>0</v>
      </c>
      <c r="X331" s="131">
        <v>0</v>
      </c>
      <c r="Y331" s="131">
        <v>2332684.3482964206</v>
      </c>
      <c r="Z331" s="131">
        <f t="shared" si="108"/>
        <v>2566880.3482964206</v>
      </c>
      <c r="AA331" s="131">
        <v>0</v>
      </c>
      <c r="AB331" s="152">
        <f t="shared" si="109"/>
        <v>11237997.840438757</v>
      </c>
      <c r="AC331" s="133">
        <f>IF(D331="Physician Group Practice",(AB331/$AB$393)*'1. UC Assumptions'!$C$15,IF(E331="Rural Hospital",AB331*'1. UC Assumptions'!$C$7/'1. UC Assumptions'!$E$7,(AB331/$AB$397)*('1. UC Assumptions'!$C$9)))</f>
        <v>5283495.312941554</v>
      </c>
      <c r="AD331" s="133">
        <f t="shared" si="110"/>
        <v>0</v>
      </c>
      <c r="AE331" s="133">
        <f t="shared" si="111"/>
        <v>5954502.5274972031</v>
      </c>
      <c r="AF331" s="133">
        <f t="shared" si="112"/>
        <v>0</v>
      </c>
      <c r="AG331" s="133">
        <f t="shared" si="113"/>
        <v>5954502.5274972031</v>
      </c>
      <c r="AH331" s="133">
        <f t="shared" si="114"/>
        <v>5283495.312941554</v>
      </c>
      <c r="AI331" s="131">
        <f>AH331*'1. UC Assumptions'!$C$23</f>
        <v>1743553.4532707126</v>
      </c>
      <c r="AJ331" s="131">
        <v>4255895.2</v>
      </c>
      <c r="AK331" s="131">
        <f>AJ331*(1-'1. UC Assumptions'!$C$22)</f>
        <v>1404445.416</v>
      </c>
      <c r="AL331" s="131"/>
      <c r="AM331" s="131">
        <f>AL331*'1. UC Assumptions'!$C$23</f>
        <v>0</v>
      </c>
      <c r="AN331" s="153">
        <f t="shared" si="115"/>
        <v>11237997.840438757</v>
      </c>
      <c r="AO331" s="151">
        <f>AN331*'1. UC Assumptions'!$C$23</f>
        <v>3708539.2873447896</v>
      </c>
      <c r="AP331" s="151">
        <f t="shared" si="116"/>
        <v>6982102.6404387569</v>
      </c>
      <c r="AQ331" s="151">
        <f t="shared" si="117"/>
        <v>2304093.8713447899</v>
      </c>
      <c r="AR331" s="151">
        <f t="shared" si="118"/>
        <v>2304093.8713447899</v>
      </c>
      <c r="AS331" s="151">
        <f t="shared" si="119"/>
        <v>3708539.2873447901</v>
      </c>
      <c r="AT331" s="151">
        <f>IF(K331="Bexar",(AG331/$AT$1)*'1. UC Assumptions'!$E$44-(AH331/$AT$2)*'1. UC Assumptions'!$E$42,0)</f>
        <v>0</v>
      </c>
      <c r="AU331" s="151">
        <f>IF(K331="Dallas",(AG331/$AU$1)*'1. UC Assumptions'!$F$44-(AH331/$AU$2)*'1. UC Assumptions'!$F$42,0)</f>
        <v>0</v>
      </c>
      <c r="AV331" s="151">
        <f>IF(K331="El Paso",(AG331/$AV$1)*'1. UC Assumptions'!$G$44-(AH331/$AV$2)*'1. UC Assumptions'!$G$42,0)</f>
        <v>0</v>
      </c>
      <c r="AW331" s="151">
        <f>IF(K331="Harris",(AG331/$AW$1)*'1. UC Assumptions'!$H$44-(AH331/$AW$2)*'1. UC Assumptions'!$H$42,0)</f>
        <v>0</v>
      </c>
      <c r="AX331" s="151">
        <f>IF(K331="Hidalgo",(AG331/$AX$1)*'1. UC Assumptions'!$I$44-(AH331/$AX$2)*'1. UC Assumptions'!$I$42,0)</f>
        <v>0</v>
      </c>
      <c r="AY331" s="151">
        <f>IF(K331="Jefferson",(AG331/$AY$1)*'1. UC Assumptions'!$J$44-(AH331/$AY$2)*'1. UC Assumptions'!$J$42,0)</f>
        <v>0</v>
      </c>
      <c r="AZ331" s="151">
        <f>IF(K331="Lubbock",(AG331/$AZ$1)*'1. UC Assumptions'!$K$44-(AH331/$AZ$2)*'1. UC Assumptions'!$K$42,0)</f>
        <v>0</v>
      </c>
      <c r="BA331" s="151">
        <f>IF(K331="MRSA Central",(AG331/$BA$1)*'1. UC Assumptions'!$L$44-(AH331/$BA$2)*'1. UC Assumptions'!$L$42,0)</f>
        <v>0</v>
      </c>
      <c r="BB331" s="151">
        <f>IF(K331="MRSA Northeast",(AG331/$BB$1)*'1. UC Assumptions'!$M$44-(AH331/$BB$2)*'1. UC Assumptions'!$M$42,0)</f>
        <v>0</v>
      </c>
      <c r="BC331" s="151">
        <f>IF(K331="MRSA West",(AG331/$BC$1)*'1. UC Assumptions'!$N$44-(AH331/$BC$2)*'1. UC Assumptions'!$N$42,0)</f>
        <v>0</v>
      </c>
      <c r="BD331" s="151">
        <f>IF(K331="Nueces",(AG331/$BD$1)*'1. UC Assumptions'!$O$44-(AH331/$BD$2)*'1. UC Assumptions'!$O$42,0)</f>
        <v>0</v>
      </c>
      <c r="BE331" s="151">
        <f>IF(K331="Tarrant",(AG331/$BE$1)*'1. UC Assumptions'!$P$44-(AH331/$BE$2)*'1. UC Assumptions'!$P$42,0)</f>
        <v>0</v>
      </c>
      <c r="BF331" s="151">
        <f>IF(K331="Travis",(AG331/$BF$1)*'1. UC Assumptions'!$Q$44-(AH331/$BF$2)*'1. UC Assumptions'!$Q$42,0)</f>
        <v>0</v>
      </c>
      <c r="BG331" s="151">
        <f t="shared" si="120"/>
        <v>0</v>
      </c>
      <c r="BH331" s="151">
        <f t="shared" si="121"/>
        <v>5283495.312941554</v>
      </c>
      <c r="BI331" s="151">
        <f>ROUNDDOWN(BH331*'1. UC Assumptions'!$C$23,2)</f>
        <v>1743553.45</v>
      </c>
      <c r="BJ331" s="154">
        <f t="shared" si="122"/>
        <v>1027600.1129415538</v>
      </c>
      <c r="BK331" s="154">
        <f t="shared" si="123"/>
        <v>339108.03399999999</v>
      </c>
      <c r="BL331" s="154">
        <f t="shared" si="124"/>
        <v>948701.06</v>
      </c>
      <c r="BM331" s="154">
        <f t="shared" si="125"/>
        <v>313071.34999999998</v>
      </c>
      <c r="BN331" s="101"/>
      <c r="BO331" s="154">
        <f>(BL331*'1. UC Assumptions'!$C$23)-'3.  UC Calculations by Hospital'!BM331</f>
        <v>-2.0000000949949026E-4</v>
      </c>
      <c r="BP331" s="13"/>
    </row>
    <row r="332" spans="2:68">
      <c r="B332" s="129" t="s">
        <v>997</v>
      </c>
      <c r="C332" s="91" t="s">
        <v>997</v>
      </c>
      <c r="D332" s="91" t="s">
        <v>214</v>
      </c>
      <c r="E332" s="91" t="s">
        <v>149</v>
      </c>
      <c r="F332" s="91"/>
      <c r="G332" s="91" t="s">
        <v>209</v>
      </c>
      <c r="H332" s="91" t="s">
        <v>209</v>
      </c>
      <c r="I332" s="150" t="s">
        <v>210</v>
      </c>
      <c r="J332" s="129" t="s">
        <v>998</v>
      </c>
      <c r="K332" s="91" t="s">
        <v>12</v>
      </c>
      <c r="L332" s="91" t="s">
        <v>999</v>
      </c>
      <c r="M332" s="151">
        <v>381957.9058367745</v>
      </c>
      <c r="N332" s="151">
        <v>0</v>
      </c>
      <c r="O332" s="131">
        <v>0</v>
      </c>
      <c r="P332" s="131">
        <f t="shared" si="106"/>
        <v>0</v>
      </c>
      <c r="Q332" s="131">
        <v>840880.00795706874</v>
      </c>
      <c r="R332" s="131">
        <v>0</v>
      </c>
      <c r="S332" s="131">
        <f t="shared" si="107"/>
        <v>0</v>
      </c>
      <c r="T332" s="131">
        <f t="shared" si="105"/>
        <v>840880.00795706874</v>
      </c>
      <c r="U332" s="131">
        <v>0</v>
      </c>
      <c r="V332" s="131">
        <v>0</v>
      </c>
      <c r="W332" s="131">
        <v>0</v>
      </c>
      <c r="X332" s="131">
        <v>0</v>
      </c>
      <c r="Y332" s="131">
        <v>0</v>
      </c>
      <c r="Z332" s="131">
        <f t="shared" si="108"/>
        <v>0</v>
      </c>
      <c r="AA332" s="131">
        <v>0</v>
      </c>
      <c r="AB332" s="152">
        <f t="shared" si="109"/>
        <v>840880.00795706874</v>
      </c>
      <c r="AC332" s="133">
        <f>IF(D332="Physician Group Practice",(AB332/$AB$393)*'1. UC Assumptions'!$C$15,IF(E332="Rural Hospital",AB332*'1. UC Assumptions'!$C$7/'1. UC Assumptions'!$E$7,(AB332/$AB$397)*('1. UC Assumptions'!$C$9)))</f>
        <v>784907.27157743857</v>
      </c>
      <c r="AD332" s="133">
        <f t="shared" si="110"/>
        <v>0</v>
      </c>
      <c r="AE332" s="133">
        <f t="shared" si="111"/>
        <v>55972.736379630165</v>
      </c>
      <c r="AF332" s="133">
        <f t="shared" si="112"/>
        <v>0</v>
      </c>
      <c r="AG332" s="133">
        <f t="shared" si="113"/>
        <v>55972.736379630165</v>
      </c>
      <c r="AH332" s="133">
        <f t="shared" si="114"/>
        <v>784907.27157743857</v>
      </c>
      <c r="AI332" s="131">
        <f>AH332*'1. UC Assumptions'!$C$23</f>
        <v>259019.3996205547</v>
      </c>
      <c r="AJ332" s="131">
        <v>287643.69</v>
      </c>
      <c r="AK332" s="131">
        <f>AJ332*(1-'1. UC Assumptions'!$C$22)</f>
        <v>94922.417699999991</v>
      </c>
      <c r="AL332" s="131"/>
      <c r="AM332" s="131">
        <f>AL332*'1. UC Assumptions'!$C$23</f>
        <v>0</v>
      </c>
      <c r="AN332" s="153">
        <f t="shared" si="115"/>
        <v>840880.00795706874</v>
      </c>
      <c r="AO332" s="151">
        <f>AN332*'1. UC Assumptions'!$C$23</f>
        <v>277490.40262583265</v>
      </c>
      <c r="AP332" s="151">
        <f t="shared" si="116"/>
        <v>553236.31795706879</v>
      </c>
      <c r="AQ332" s="151">
        <f t="shared" si="117"/>
        <v>182567.98492583266</v>
      </c>
      <c r="AR332" s="151">
        <f t="shared" si="118"/>
        <v>182567.98492583266</v>
      </c>
      <c r="AS332" s="151">
        <f t="shared" si="119"/>
        <v>277490.40262583265</v>
      </c>
      <c r="AT332" s="151">
        <f>IF(K332="Bexar",(AG332/$AT$1)*'1. UC Assumptions'!$E$44-(AH332/$AT$2)*'1. UC Assumptions'!$E$42,0)</f>
        <v>0</v>
      </c>
      <c r="AU332" s="151">
        <f>IF(K332="Dallas",(AG332/$AU$1)*'1. UC Assumptions'!$F$44-(AH332/$AU$2)*'1. UC Assumptions'!$F$42,0)</f>
        <v>0</v>
      </c>
      <c r="AV332" s="151">
        <f>IF(K332="El Paso",(AG332/$AV$1)*'1. UC Assumptions'!$G$44-(AH332/$AV$2)*'1. UC Assumptions'!$G$42,0)</f>
        <v>0</v>
      </c>
      <c r="AW332" s="151">
        <f>IF(K332="Harris",(AG332/$AW$1)*'1. UC Assumptions'!$H$44-(AH332/$AW$2)*'1. UC Assumptions'!$H$42,0)</f>
        <v>0</v>
      </c>
      <c r="AX332" s="151">
        <f>IF(K332="Hidalgo",(AG332/$AX$1)*'1. UC Assumptions'!$I$44-(AH332/$AX$2)*'1. UC Assumptions'!$I$42,0)</f>
        <v>0</v>
      </c>
      <c r="AY332" s="151">
        <f>IF(K332="Jefferson",(AG332/$AY$1)*'1. UC Assumptions'!$J$44-(AH332/$AY$2)*'1. UC Assumptions'!$J$42,0)</f>
        <v>0</v>
      </c>
      <c r="AZ332" s="151">
        <f>IF(K332="Lubbock",(AG332/$AZ$1)*'1. UC Assumptions'!$K$44-(AH332/$AZ$2)*'1. UC Assumptions'!$K$42,0)</f>
        <v>0</v>
      </c>
      <c r="BA332" s="151">
        <f>IF(K332="MRSA Central",(AG332/$BA$1)*'1. UC Assumptions'!$L$44-(AH332/$BA$2)*'1. UC Assumptions'!$L$42,0)</f>
        <v>0</v>
      </c>
      <c r="BB332" s="151">
        <f>IF(K332="MRSA Northeast",(AG332/$BB$1)*'1. UC Assumptions'!$M$44-(AH332/$BB$2)*'1. UC Assumptions'!$M$42,0)</f>
        <v>0</v>
      </c>
      <c r="BC332" s="151">
        <f>IF(K332="MRSA West",(AG332/$BC$1)*'1. UC Assumptions'!$N$44-(AH332/$BC$2)*'1. UC Assumptions'!$N$42,0)</f>
        <v>0</v>
      </c>
      <c r="BD332" s="151">
        <f>IF(K332="Nueces",(AG332/$BD$1)*'1. UC Assumptions'!$O$44-(AH332/$BD$2)*'1. UC Assumptions'!$O$42,0)</f>
        <v>0</v>
      </c>
      <c r="BE332" s="151">
        <f>IF(K332="Tarrant",(AG332/$BE$1)*'1. UC Assumptions'!$P$44-(AH332/$BE$2)*'1. UC Assumptions'!$P$42,0)</f>
        <v>0</v>
      </c>
      <c r="BF332" s="151">
        <f>IF(K332="Travis",(AG332/$BF$1)*'1. UC Assumptions'!$Q$44-(AH332/$BF$2)*'1. UC Assumptions'!$Q$42,0)</f>
        <v>0</v>
      </c>
      <c r="BG332" s="151">
        <f t="shared" si="120"/>
        <v>0</v>
      </c>
      <c r="BH332" s="151">
        <f t="shared" si="121"/>
        <v>784907.27157743857</v>
      </c>
      <c r="BI332" s="151">
        <f>ROUNDDOWN(BH332*'1. UC Assumptions'!$C$23,2)</f>
        <v>259019.39</v>
      </c>
      <c r="BJ332" s="154">
        <f t="shared" si="122"/>
        <v>497263.58157743857</v>
      </c>
      <c r="BK332" s="154">
        <f t="shared" si="123"/>
        <v>164096.97230000002</v>
      </c>
      <c r="BL332" s="154">
        <f t="shared" si="124"/>
        <v>459083.73</v>
      </c>
      <c r="BM332" s="154">
        <f t="shared" si="125"/>
        <v>151497.62</v>
      </c>
      <c r="BN332" s="101"/>
      <c r="BO332" s="154">
        <f>(BL332*'1. UC Assumptions'!$C$23)-'3.  UC Calculations by Hospital'!BM332</f>
        <v>1.0899999993853271E-2</v>
      </c>
      <c r="BP332" s="13"/>
    </row>
    <row r="333" spans="2:68">
      <c r="B333" s="129" t="s">
        <v>1000</v>
      </c>
      <c r="C333" s="91" t="s">
        <v>1000</v>
      </c>
      <c r="D333" s="91" t="s">
        <v>214</v>
      </c>
      <c r="E333" s="91" t="s">
        <v>209</v>
      </c>
      <c r="F333" s="91"/>
      <c r="G333" s="91" t="s">
        <v>209</v>
      </c>
      <c r="H333" s="91" t="s">
        <v>209</v>
      </c>
      <c r="I333" s="150" t="s">
        <v>210</v>
      </c>
      <c r="J333" s="129" t="s">
        <v>1001</v>
      </c>
      <c r="K333" s="91" t="s">
        <v>14</v>
      </c>
      <c r="L333" s="91" t="s">
        <v>14</v>
      </c>
      <c r="M333" s="151">
        <v>-986253.89830735826</v>
      </c>
      <c r="N333" s="151">
        <v>0</v>
      </c>
      <c r="O333" s="131">
        <v>0</v>
      </c>
      <c r="P333" s="131">
        <f t="shared" si="106"/>
        <v>0</v>
      </c>
      <c r="Q333" s="131">
        <v>9280306.1994588282</v>
      </c>
      <c r="R333" s="131">
        <v>0</v>
      </c>
      <c r="S333" s="131">
        <f t="shared" si="107"/>
        <v>0</v>
      </c>
      <c r="T333" s="131">
        <f t="shared" si="105"/>
        <v>9280306.1994588282</v>
      </c>
      <c r="U333" s="131">
        <v>0</v>
      </c>
      <c r="V333" s="131">
        <v>0</v>
      </c>
      <c r="W333" s="131">
        <v>0</v>
      </c>
      <c r="X333" s="131">
        <v>0</v>
      </c>
      <c r="Y333" s="131">
        <v>2793064</v>
      </c>
      <c r="Z333" s="131">
        <f t="shared" si="108"/>
        <v>2793064</v>
      </c>
      <c r="AA333" s="131">
        <v>0</v>
      </c>
      <c r="AB333" s="152">
        <f t="shared" si="109"/>
        <v>12073370.199458828</v>
      </c>
      <c r="AC333" s="133">
        <f>IF(D333="Physician Group Practice",(AB333/$AB$393)*'1. UC Assumptions'!$C$15,IF(E333="Rural Hospital",AB333*'1. UC Assumptions'!$C$7/'1. UC Assumptions'!$E$7,(AB333/$AB$397)*('1. UC Assumptions'!$C$9)))</f>
        <v>5676241.9575049914</v>
      </c>
      <c r="AD333" s="133">
        <f t="shared" si="110"/>
        <v>0</v>
      </c>
      <c r="AE333" s="133">
        <f t="shared" si="111"/>
        <v>6397128.2419538368</v>
      </c>
      <c r="AF333" s="133">
        <f t="shared" si="112"/>
        <v>0</v>
      </c>
      <c r="AG333" s="133">
        <f t="shared" si="113"/>
        <v>6397128.2419538368</v>
      </c>
      <c r="AH333" s="133">
        <f t="shared" si="114"/>
        <v>5676241.9575049914</v>
      </c>
      <c r="AI333" s="131">
        <f>AH333*'1. UC Assumptions'!$C$23</f>
        <v>1873159.845976647</v>
      </c>
      <c r="AJ333" s="131">
        <v>5185774.76</v>
      </c>
      <c r="AK333" s="131">
        <f>AJ333*(1-'1. UC Assumptions'!$C$22)</f>
        <v>1711305.6707999997</v>
      </c>
      <c r="AL333" s="131"/>
      <c r="AM333" s="131">
        <f>AL333*'1. UC Assumptions'!$C$23</f>
        <v>0</v>
      </c>
      <c r="AN333" s="153">
        <f t="shared" si="115"/>
        <v>12073370.199458828</v>
      </c>
      <c r="AO333" s="151">
        <f>AN333*'1. UC Assumptions'!$C$23</f>
        <v>3984212.165821413</v>
      </c>
      <c r="AP333" s="151">
        <f t="shared" si="116"/>
        <v>6887595.4394588284</v>
      </c>
      <c r="AQ333" s="151">
        <f t="shared" si="117"/>
        <v>2272906.4950214131</v>
      </c>
      <c r="AR333" s="151">
        <f t="shared" si="118"/>
        <v>2272906.4950214131</v>
      </c>
      <c r="AS333" s="151">
        <f t="shared" si="119"/>
        <v>3984212.1658214126</v>
      </c>
      <c r="AT333" s="151">
        <f>IF(K333="Bexar",(AG333/$AT$1)*'1. UC Assumptions'!$E$44-(AH333/$AT$2)*'1. UC Assumptions'!$E$42,0)</f>
        <v>0</v>
      </c>
      <c r="AU333" s="151">
        <f>IF(K333="Dallas",(AG333/$AU$1)*'1. UC Assumptions'!$F$44-(AH333/$AU$2)*'1. UC Assumptions'!$F$42,0)</f>
        <v>0</v>
      </c>
      <c r="AV333" s="151">
        <f>IF(K333="El Paso",(AG333/$AV$1)*'1. UC Assumptions'!$G$44-(AH333/$AV$2)*'1. UC Assumptions'!$G$42,0)</f>
        <v>0</v>
      </c>
      <c r="AW333" s="151">
        <f>IF(K333="Harris",(AG333/$AW$1)*'1. UC Assumptions'!$H$44-(AH333/$AW$2)*'1. UC Assumptions'!$H$42,0)</f>
        <v>0</v>
      </c>
      <c r="AX333" s="151">
        <f>IF(K333="Hidalgo",(AG333/$AX$1)*'1. UC Assumptions'!$I$44-(AH333/$AX$2)*'1. UC Assumptions'!$I$42,0)</f>
        <v>0</v>
      </c>
      <c r="AY333" s="151">
        <f>IF(K333="Jefferson",(AG333/$AY$1)*'1. UC Assumptions'!$J$44-(AH333/$AY$2)*'1. UC Assumptions'!$J$42,0)</f>
        <v>0</v>
      </c>
      <c r="AZ333" s="151">
        <f>IF(K333="Lubbock",(AG333/$AZ$1)*'1. UC Assumptions'!$K$44-(AH333/$AZ$2)*'1. UC Assumptions'!$K$42,0)</f>
        <v>0</v>
      </c>
      <c r="BA333" s="151">
        <f>IF(K333="MRSA Central",(AG333/$BA$1)*'1. UC Assumptions'!$L$44-(AH333/$BA$2)*'1. UC Assumptions'!$L$42,0)</f>
        <v>0</v>
      </c>
      <c r="BB333" s="151">
        <f>IF(K333="MRSA Northeast",(AG333/$BB$1)*'1. UC Assumptions'!$M$44-(AH333/$BB$2)*'1. UC Assumptions'!$M$42,0)</f>
        <v>0</v>
      </c>
      <c r="BC333" s="151">
        <f>IF(K333="MRSA West",(AG333/$BC$1)*'1. UC Assumptions'!$N$44-(AH333/$BC$2)*'1. UC Assumptions'!$N$42,0)</f>
        <v>0</v>
      </c>
      <c r="BD333" s="151">
        <f>IF(K333="Nueces",(AG333/$BD$1)*'1. UC Assumptions'!$O$44-(AH333/$BD$2)*'1. UC Assumptions'!$O$42,0)</f>
        <v>0</v>
      </c>
      <c r="BE333" s="151">
        <f>IF(K333="Tarrant",(AG333/$BE$1)*'1. UC Assumptions'!$P$44-(AH333/$BE$2)*'1. UC Assumptions'!$P$42,0)</f>
        <v>0</v>
      </c>
      <c r="BF333" s="151">
        <f>IF(K333="Travis",(AG333/$BF$1)*'1. UC Assumptions'!$Q$44-(AH333/$BF$2)*'1. UC Assumptions'!$Q$42,0)</f>
        <v>0</v>
      </c>
      <c r="BG333" s="151">
        <f t="shared" si="120"/>
        <v>0</v>
      </c>
      <c r="BH333" s="151">
        <f t="shared" si="121"/>
        <v>5676241.9575049914</v>
      </c>
      <c r="BI333" s="151">
        <f>ROUNDDOWN(BH333*'1. UC Assumptions'!$C$23,2)</f>
        <v>1873159.84</v>
      </c>
      <c r="BJ333" s="154">
        <f t="shared" si="122"/>
        <v>490467.19750499167</v>
      </c>
      <c r="BK333" s="154">
        <f t="shared" si="123"/>
        <v>161854.16920000035</v>
      </c>
      <c r="BL333" s="154">
        <f t="shared" si="124"/>
        <v>452809.17</v>
      </c>
      <c r="BM333" s="154">
        <f t="shared" si="125"/>
        <v>149427.01999999999</v>
      </c>
      <c r="BN333" s="101"/>
      <c r="BO333" s="154">
        <f>(BL333*'1. UC Assumptions'!$C$23)-'3.  UC Calculations by Hospital'!BM333</f>
        <v>6.0999999986961484E-3</v>
      </c>
      <c r="BP333" s="13"/>
    </row>
    <row r="334" spans="2:68">
      <c r="B334" s="129" t="s">
        <v>1002</v>
      </c>
      <c r="C334" s="91" t="s">
        <v>1002</v>
      </c>
      <c r="D334" s="91" t="s">
        <v>214</v>
      </c>
      <c r="E334" s="91" t="s">
        <v>149</v>
      </c>
      <c r="F334" s="91"/>
      <c r="G334" s="91" t="s">
        <v>209</v>
      </c>
      <c r="H334" s="91" t="s">
        <v>209</v>
      </c>
      <c r="I334" s="150" t="s">
        <v>210</v>
      </c>
      <c r="J334" s="129" t="s">
        <v>1003</v>
      </c>
      <c r="K334" s="91" t="s">
        <v>15</v>
      </c>
      <c r="L334" s="91" t="s">
        <v>347</v>
      </c>
      <c r="M334" s="151">
        <v>44215.891657728818</v>
      </c>
      <c r="N334" s="151">
        <v>7200361.5104553448</v>
      </c>
      <c r="O334" s="131">
        <v>3402576.2019264512</v>
      </c>
      <c r="P334" s="131">
        <f t="shared" si="106"/>
        <v>3797785.3085288936</v>
      </c>
      <c r="Q334" s="131">
        <v>6921098.0953210881</v>
      </c>
      <c r="R334" s="131">
        <v>1012106.9</v>
      </c>
      <c r="S334" s="131">
        <f t="shared" si="107"/>
        <v>0</v>
      </c>
      <c r="T334" s="131">
        <f t="shared" si="105"/>
        <v>6921098.0953210881</v>
      </c>
      <c r="U334" s="131">
        <v>1195297.8</v>
      </c>
      <c r="V334" s="131">
        <v>0</v>
      </c>
      <c r="W334" s="131">
        <v>0</v>
      </c>
      <c r="X334" s="131">
        <v>0</v>
      </c>
      <c r="Y334" s="131">
        <v>0</v>
      </c>
      <c r="Z334" s="131">
        <f t="shared" si="108"/>
        <v>1195297.8</v>
      </c>
      <c r="AA334" s="131">
        <v>0</v>
      </c>
      <c r="AB334" s="152">
        <f t="shared" si="109"/>
        <v>8116395.8953210879</v>
      </c>
      <c r="AC334" s="133">
        <f>IF(D334="Physician Group Practice",(AB334/$AB$393)*'1. UC Assumptions'!$C$15,IF(E334="Rural Hospital",AB334*'1. UC Assumptions'!$C$7/'1. UC Assumptions'!$E$7,(AB334/$AB$397)*('1. UC Assumptions'!$C$9)))</f>
        <v>7576132.2625761004</v>
      </c>
      <c r="AD334" s="133">
        <f t="shared" si="110"/>
        <v>0</v>
      </c>
      <c r="AE334" s="133">
        <f t="shared" si="111"/>
        <v>540263.6327449875</v>
      </c>
      <c r="AF334" s="133">
        <f t="shared" si="112"/>
        <v>0</v>
      </c>
      <c r="AG334" s="133">
        <f t="shared" si="113"/>
        <v>540263.6327449875</v>
      </c>
      <c r="AH334" s="133">
        <f t="shared" si="114"/>
        <v>7576132.2625761004</v>
      </c>
      <c r="AI334" s="131">
        <f>AH334*'1. UC Assumptions'!$C$23</f>
        <v>2500123.6466501127</v>
      </c>
      <c r="AJ334" s="131">
        <v>3468921.88</v>
      </c>
      <c r="AK334" s="131">
        <f>AJ334*(1-'1. UC Assumptions'!$C$22)</f>
        <v>1144744.2203999998</v>
      </c>
      <c r="AL334" s="131"/>
      <c r="AM334" s="131">
        <f>AL334*'1. UC Assumptions'!$C$23</f>
        <v>0</v>
      </c>
      <c r="AN334" s="153">
        <f t="shared" si="115"/>
        <v>8116395.8953210879</v>
      </c>
      <c r="AO334" s="151">
        <f>AN334*'1. UC Assumptions'!$C$23</f>
        <v>2678410.6454559588</v>
      </c>
      <c r="AP334" s="151">
        <f t="shared" si="116"/>
        <v>4647474.015321088</v>
      </c>
      <c r="AQ334" s="151">
        <f t="shared" si="117"/>
        <v>1533666.425055959</v>
      </c>
      <c r="AR334" s="151">
        <f t="shared" si="118"/>
        <v>1533666.425055959</v>
      </c>
      <c r="AS334" s="151">
        <f t="shared" si="119"/>
        <v>2678410.6454559588</v>
      </c>
      <c r="AT334" s="151">
        <f>IF(K334="Bexar",(AG334/$AT$1)*'1. UC Assumptions'!$E$44-(AH334/$AT$2)*'1. UC Assumptions'!$E$42,0)</f>
        <v>0</v>
      </c>
      <c r="AU334" s="151">
        <f>IF(K334="Dallas",(AG334/$AU$1)*'1. UC Assumptions'!$F$44-(AH334/$AU$2)*'1. UC Assumptions'!$F$42,0)</f>
        <v>0</v>
      </c>
      <c r="AV334" s="151">
        <f>IF(K334="El Paso",(AG334/$AV$1)*'1. UC Assumptions'!$G$44-(AH334/$AV$2)*'1. UC Assumptions'!$G$42,0)</f>
        <v>0</v>
      </c>
      <c r="AW334" s="151">
        <f>IF(K334="Harris",(AG334/$AW$1)*'1. UC Assumptions'!$H$44-(AH334/$AW$2)*'1. UC Assumptions'!$H$42,0)</f>
        <v>0</v>
      </c>
      <c r="AX334" s="151">
        <f>IF(K334="Hidalgo",(AG334/$AX$1)*'1. UC Assumptions'!$I$44-(AH334/$AX$2)*'1. UC Assumptions'!$I$42,0)</f>
        <v>0</v>
      </c>
      <c r="AY334" s="151">
        <f>IF(K334="Jefferson",(AG334/$AY$1)*'1. UC Assumptions'!$J$44-(AH334/$AY$2)*'1. UC Assumptions'!$J$42,0)</f>
        <v>0</v>
      </c>
      <c r="AZ334" s="151">
        <f>IF(K334="Lubbock",(AG334/$AZ$1)*'1. UC Assumptions'!$K$44-(AH334/$AZ$2)*'1. UC Assumptions'!$K$42,0)</f>
        <v>0</v>
      </c>
      <c r="BA334" s="151">
        <f>IF(K334="MRSA Central",(AG334/$BA$1)*'1. UC Assumptions'!$L$44-(AH334/$BA$2)*'1. UC Assumptions'!$L$42,0)</f>
        <v>0</v>
      </c>
      <c r="BB334" s="151">
        <f>IF(K334="MRSA Northeast",(AG334/$BB$1)*'1. UC Assumptions'!$M$44-(AH334/$BB$2)*'1. UC Assumptions'!$M$42,0)</f>
        <v>0</v>
      </c>
      <c r="BC334" s="151">
        <f>IF(K334="MRSA West",(AG334/$BC$1)*'1. UC Assumptions'!$N$44-(AH334/$BC$2)*'1. UC Assumptions'!$N$42,0)</f>
        <v>0</v>
      </c>
      <c r="BD334" s="151">
        <f>IF(K334="Nueces",(AG334/$BD$1)*'1. UC Assumptions'!$O$44-(AH334/$BD$2)*'1. UC Assumptions'!$O$42,0)</f>
        <v>0</v>
      </c>
      <c r="BE334" s="151">
        <f>IF(K334="Tarrant",(AG334/$BE$1)*'1. UC Assumptions'!$P$44-(AH334/$BE$2)*'1. UC Assumptions'!$P$42,0)</f>
        <v>0</v>
      </c>
      <c r="BF334" s="151">
        <f>IF(K334="Travis",(AG334/$BF$1)*'1. UC Assumptions'!$Q$44-(AH334/$BF$2)*'1. UC Assumptions'!$Q$42,0)</f>
        <v>0</v>
      </c>
      <c r="BG334" s="151">
        <f t="shared" si="120"/>
        <v>0</v>
      </c>
      <c r="BH334" s="151">
        <f t="shared" si="121"/>
        <v>7576132.2625761004</v>
      </c>
      <c r="BI334" s="151">
        <f>ROUNDDOWN(BH334*'1. UC Assumptions'!$C$23,2)</f>
        <v>2500123.64</v>
      </c>
      <c r="BJ334" s="154">
        <f t="shared" si="122"/>
        <v>4107210.3825761005</v>
      </c>
      <c r="BK334" s="154">
        <f t="shared" si="123"/>
        <v>1355379.4196000004</v>
      </c>
      <c r="BL334" s="154">
        <f t="shared" si="124"/>
        <v>3791859.12</v>
      </c>
      <c r="BM334" s="154">
        <f t="shared" si="125"/>
        <v>1251313.5</v>
      </c>
      <c r="BN334" s="101"/>
      <c r="BO334" s="154">
        <f>(BL334*'1. UC Assumptions'!$C$23)-'3.  UC Calculations by Hospital'!BM334</f>
        <v>9.5999999903142452E-3</v>
      </c>
      <c r="BP334" s="13"/>
    </row>
    <row r="335" spans="2:68">
      <c r="B335" s="129" t="s">
        <v>1004</v>
      </c>
      <c r="C335" s="91" t="s">
        <v>1004</v>
      </c>
      <c r="D335" s="91" t="s">
        <v>214</v>
      </c>
      <c r="E335" s="91" t="s">
        <v>209</v>
      </c>
      <c r="F335" s="91"/>
      <c r="G335" s="91" t="s">
        <v>209</v>
      </c>
      <c r="H335" s="91" t="s">
        <v>209</v>
      </c>
      <c r="I335" s="150" t="s">
        <v>210</v>
      </c>
      <c r="J335" s="129" t="s">
        <v>1005</v>
      </c>
      <c r="K335" s="91" t="s">
        <v>4</v>
      </c>
      <c r="L335" s="91" t="s">
        <v>4</v>
      </c>
      <c r="M335" s="151">
        <v>-2645319.0212973547</v>
      </c>
      <c r="N335" s="151">
        <v>15444587.657052055</v>
      </c>
      <c r="O335" s="131">
        <v>8697062.2770752683</v>
      </c>
      <c r="P335" s="131">
        <f t="shared" si="106"/>
        <v>6747525.3799767867</v>
      </c>
      <c r="Q335" s="131">
        <v>13614739.404781928</v>
      </c>
      <c r="R335" s="131">
        <v>2747966.07</v>
      </c>
      <c r="S335" s="131">
        <f t="shared" si="107"/>
        <v>0</v>
      </c>
      <c r="T335" s="131">
        <f t="shared" si="105"/>
        <v>13614739.404781928</v>
      </c>
      <c r="U335" s="131">
        <v>0</v>
      </c>
      <c r="V335" s="131">
        <v>0</v>
      </c>
      <c r="W335" s="131">
        <v>0</v>
      </c>
      <c r="X335" s="131">
        <v>0</v>
      </c>
      <c r="Y335" s="131">
        <v>0</v>
      </c>
      <c r="Z335" s="131">
        <f t="shared" si="108"/>
        <v>0</v>
      </c>
      <c r="AA335" s="131">
        <v>0</v>
      </c>
      <c r="AB335" s="152">
        <f t="shared" si="109"/>
        <v>13614739.404781928</v>
      </c>
      <c r="AC335" s="133">
        <f>IF(D335="Physician Group Practice",(AB335/$AB$393)*'1. UC Assumptions'!$C$15,IF(E335="Rural Hospital",AB335*'1. UC Assumptions'!$C$7/'1. UC Assumptions'!$E$7,(AB335/$AB$397)*('1. UC Assumptions'!$C$9)))</f>
        <v>6400909.9177116007</v>
      </c>
      <c r="AD335" s="133">
        <f t="shared" si="110"/>
        <v>0</v>
      </c>
      <c r="AE335" s="133">
        <f t="shared" si="111"/>
        <v>7213829.4870703276</v>
      </c>
      <c r="AF335" s="133">
        <f t="shared" si="112"/>
        <v>0</v>
      </c>
      <c r="AG335" s="133">
        <f t="shared" si="113"/>
        <v>7213829.4870703276</v>
      </c>
      <c r="AH335" s="133">
        <f t="shared" si="114"/>
        <v>6400909.9177116007</v>
      </c>
      <c r="AI335" s="131">
        <f>AH335*'1. UC Assumptions'!$C$23</f>
        <v>2112300.2728448277</v>
      </c>
      <c r="AJ335" s="131">
        <v>5069997.38</v>
      </c>
      <c r="AK335" s="131">
        <f>AJ335*(1-'1. UC Assumptions'!$C$22)</f>
        <v>1673099.1353999998</v>
      </c>
      <c r="AL335" s="131"/>
      <c r="AM335" s="131">
        <f>AL335*'1. UC Assumptions'!$C$23</f>
        <v>0</v>
      </c>
      <c r="AN335" s="153">
        <f t="shared" si="115"/>
        <v>13614739.404781928</v>
      </c>
      <c r="AO335" s="151">
        <f>AN335*'1. UC Assumptions'!$C$23</f>
        <v>4492864.0035780361</v>
      </c>
      <c r="AP335" s="151">
        <f t="shared" si="116"/>
        <v>8544742.0247819275</v>
      </c>
      <c r="AQ335" s="151">
        <f t="shared" si="117"/>
        <v>2819764.8681780361</v>
      </c>
      <c r="AR335" s="151">
        <f t="shared" si="118"/>
        <v>2819764.8681780361</v>
      </c>
      <c r="AS335" s="151">
        <f t="shared" si="119"/>
        <v>4492864.0035780361</v>
      </c>
      <c r="AT335" s="151">
        <f>IF(K335="Bexar",(AG335/$AT$1)*'1. UC Assumptions'!$E$44-(AH335/$AT$2)*'1. UC Assumptions'!$E$42,0)</f>
        <v>0</v>
      </c>
      <c r="AU335" s="151">
        <f>IF(K335="Dallas",(AG335/$AU$1)*'1. UC Assumptions'!$F$44-(AH335/$AU$2)*'1. UC Assumptions'!$F$42,0)</f>
        <v>0</v>
      </c>
      <c r="AV335" s="151">
        <f>IF(K335="El Paso",(AG335/$AV$1)*'1. UC Assumptions'!$G$44-(AH335/$AV$2)*'1. UC Assumptions'!$G$42,0)</f>
        <v>0</v>
      </c>
      <c r="AW335" s="151">
        <f>IF(K335="Harris",(AG335/$AW$1)*'1. UC Assumptions'!$H$44-(AH335/$AW$2)*'1. UC Assumptions'!$H$42,0)</f>
        <v>0</v>
      </c>
      <c r="AX335" s="151">
        <f>IF(K335="Hidalgo",(AG335/$AX$1)*'1. UC Assumptions'!$I$44-(AH335/$AX$2)*'1. UC Assumptions'!$I$42,0)</f>
        <v>0</v>
      </c>
      <c r="AY335" s="151">
        <f>IF(K335="Jefferson",(AG335/$AY$1)*'1. UC Assumptions'!$J$44-(AH335/$AY$2)*'1. UC Assumptions'!$J$42,0)</f>
        <v>0</v>
      </c>
      <c r="AZ335" s="151">
        <f>IF(K335="Lubbock",(AG335/$AZ$1)*'1. UC Assumptions'!$K$44-(AH335/$AZ$2)*'1. UC Assumptions'!$K$42,0)</f>
        <v>0</v>
      </c>
      <c r="BA335" s="151">
        <f>IF(K335="MRSA Central",(AG335/$BA$1)*'1. UC Assumptions'!$L$44-(AH335/$BA$2)*'1. UC Assumptions'!$L$42,0)</f>
        <v>0</v>
      </c>
      <c r="BB335" s="151">
        <f>IF(K335="MRSA Northeast",(AG335/$BB$1)*'1. UC Assumptions'!$M$44-(AH335/$BB$2)*'1. UC Assumptions'!$M$42,0)</f>
        <v>0</v>
      </c>
      <c r="BC335" s="151">
        <f>IF(K335="MRSA West",(AG335/$BC$1)*'1. UC Assumptions'!$N$44-(AH335/$BC$2)*'1. UC Assumptions'!$N$42,0)</f>
        <v>0</v>
      </c>
      <c r="BD335" s="151">
        <f>IF(K335="Nueces",(AG335/$BD$1)*'1. UC Assumptions'!$O$44-(AH335/$BD$2)*'1. UC Assumptions'!$O$42,0)</f>
        <v>0</v>
      </c>
      <c r="BE335" s="151">
        <f>IF(K335="Tarrant",(AG335/$BE$1)*'1. UC Assumptions'!$P$44-(AH335/$BE$2)*'1. UC Assumptions'!$P$42,0)</f>
        <v>0</v>
      </c>
      <c r="BF335" s="151">
        <f>IF(K335="Travis",(AG335/$BF$1)*'1. UC Assumptions'!$Q$44-(AH335/$BF$2)*'1. UC Assumptions'!$Q$42,0)</f>
        <v>0</v>
      </c>
      <c r="BG335" s="151">
        <f t="shared" si="120"/>
        <v>0</v>
      </c>
      <c r="BH335" s="151">
        <f t="shared" si="121"/>
        <v>6400909.9177116007</v>
      </c>
      <c r="BI335" s="151">
        <f>ROUNDDOWN(BH335*'1. UC Assumptions'!$C$23,2)</f>
        <v>2112300.27</v>
      </c>
      <c r="BJ335" s="154">
        <f t="shared" si="122"/>
        <v>1330912.5377116008</v>
      </c>
      <c r="BK335" s="154">
        <f t="shared" si="123"/>
        <v>439201.13460000022</v>
      </c>
      <c r="BL335" s="154">
        <f t="shared" si="124"/>
        <v>1228725.19</v>
      </c>
      <c r="BM335" s="154">
        <f t="shared" si="125"/>
        <v>405479.31</v>
      </c>
      <c r="BN335" s="101"/>
      <c r="BO335" s="154">
        <f>(BL335*'1. UC Assumptions'!$C$23)-'3.  UC Calculations by Hospital'!BM335</f>
        <v>2.6999999536201358E-3</v>
      </c>
      <c r="BP335" s="13"/>
    </row>
    <row r="336" spans="2:68">
      <c r="B336" s="129" t="s">
        <v>1006</v>
      </c>
      <c r="C336" s="91" t="s">
        <v>1006</v>
      </c>
      <c r="D336" s="91" t="s">
        <v>214</v>
      </c>
      <c r="E336" s="91" t="s">
        <v>209</v>
      </c>
      <c r="F336" s="91"/>
      <c r="G336" s="91" t="s">
        <v>209</v>
      </c>
      <c r="H336" s="91" t="s">
        <v>227</v>
      </c>
      <c r="I336" s="150" t="s">
        <v>210</v>
      </c>
      <c r="J336" s="129" t="s">
        <v>1007</v>
      </c>
      <c r="K336" s="91" t="s">
        <v>4</v>
      </c>
      <c r="L336" s="91" t="s">
        <v>260</v>
      </c>
      <c r="M336" s="151">
        <v>5337293.9426951343</v>
      </c>
      <c r="N336" s="151">
        <v>4524196.357883825</v>
      </c>
      <c r="O336" s="131">
        <v>2219555.8073701379</v>
      </c>
      <c r="P336" s="131">
        <f t="shared" si="106"/>
        <v>2304640.5505136871</v>
      </c>
      <c r="Q336" s="131">
        <v>2601195.0201848578</v>
      </c>
      <c r="R336" s="131">
        <v>2733055.23</v>
      </c>
      <c r="S336" s="131">
        <f t="shared" si="107"/>
        <v>0</v>
      </c>
      <c r="T336" s="131">
        <f t="shared" si="105"/>
        <v>2601195.0201848578</v>
      </c>
      <c r="U336" s="131">
        <v>174023</v>
      </c>
      <c r="V336" s="131">
        <v>0</v>
      </c>
      <c r="W336" s="131">
        <v>92334</v>
      </c>
      <c r="X336" s="131">
        <v>0</v>
      </c>
      <c r="Y336" s="131">
        <v>1350567.8249414626</v>
      </c>
      <c r="Z336" s="131">
        <f t="shared" si="108"/>
        <v>1616924.8249414626</v>
      </c>
      <c r="AA336" s="131">
        <v>0</v>
      </c>
      <c r="AB336" s="152">
        <f t="shared" si="109"/>
        <v>4218119.8451263206</v>
      </c>
      <c r="AC336" s="133">
        <f>IF(D336="Physician Group Practice",(AB336/$AB$393)*'1. UC Assumptions'!$C$15,IF(E336="Rural Hospital",AB336*'1. UC Assumptions'!$C$7/'1. UC Assumptions'!$E$7,(AB336/$AB$397)*('1. UC Assumptions'!$C$9)))</f>
        <v>1983130.5137784714</v>
      </c>
      <c r="AD336" s="133">
        <f t="shared" si="110"/>
        <v>0</v>
      </c>
      <c r="AE336" s="133">
        <f t="shared" si="111"/>
        <v>2234989.3313478492</v>
      </c>
      <c r="AF336" s="133">
        <f t="shared" si="112"/>
        <v>0</v>
      </c>
      <c r="AG336" s="133">
        <f t="shared" si="113"/>
        <v>2234989.3313478492</v>
      </c>
      <c r="AH336" s="133">
        <f t="shared" si="114"/>
        <v>1983130.5137784714</v>
      </c>
      <c r="AI336" s="131">
        <f>AH336*'1. UC Assumptions'!$C$23</f>
        <v>654433.06954689545</v>
      </c>
      <c r="AJ336" s="131">
        <v>0</v>
      </c>
      <c r="AK336" s="131">
        <f>AJ336*(1-'1. UC Assumptions'!$C$22)</f>
        <v>0</v>
      </c>
      <c r="AL336" s="131"/>
      <c r="AM336" s="131">
        <f>AL336*'1. UC Assumptions'!$C$23</f>
        <v>0</v>
      </c>
      <c r="AN336" s="153">
        <f t="shared" si="115"/>
        <v>4218119.8451263206</v>
      </c>
      <c r="AO336" s="151">
        <f>AN336*'1. UC Assumptions'!$C$23</f>
        <v>1391979.5488916857</v>
      </c>
      <c r="AP336" s="151">
        <f t="shared" si="116"/>
        <v>4218119.8451263206</v>
      </c>
      <c r="AQ336" s="151">
        <f t="shared" si="117"/>
        <v>1391979.5488916857</v>
      </c>
      <c r="AR336" s="151">
        <f t="shared" si="118"/>
        <v>1391979.5488916857</v>
      </c>
      <c r="AS336" s="151">
        <f t="shared" si="119"/>
        <v>1391979.5488916857</v>
      </c>
      <c r="AT336" s="151">
        <f>IF(K336="Bexar",(AG336/$AT$1)*'1. UC Assumptions'!$E$44-(AH336/$AT$2)*'1. UC Assumptions'!$E$42,0)</f>
        <v>0</v>
      </c>
      <c r="AU336" s="151">
        <f>IF(K336="Dallas",(AG336/$AU$1)*'1. UC Assumptions'!$F$44-(AH336/$AU$2)*'1. UC Assumptions'!$F$42,0)</f>
        <v>0</v>
      </c>
      <c r="AV336" s="151">
        <f>IF(K336="El Paso",(AG336/$AV$1)*'1. UC Assumptions'!$G$44-(AH336/$AV$2)*'1. UC Assumptions'!$G$42,0)</f>
        <v>0</v>
      </c>
      <c r="AW336" s="151">
        <f>IF(K336="Harris",(AG336/$AW$1)*'1. UC Assumptions'!$H$44-(AH336/$AW$2)*'1. UC Assumptions'!$H$42,0)</f>
        <v>0</v>
      </c>
      <c r="AX336" s="151">
        <f>IF(K336="Hidalgo",(AG336/$AX$1)*'1. UC Assumptions'!$I$44-(AH336/$AX$2)*'1. UC Assumptions'!$I$42,0)</f>
        <v>0</v>
      </c>
      <c r="AY336" s="151">
        <f>IF(K336="Jefferson",(AG336/$AY$1)*'1. UC Assumptions'!$J$44-(AH336/$AY$2)*'1. UC Assumptions'!$J$42,0)</f>
        <v>0</v>
      </c>
      <c r="AZ336" s="151">
        <f>IF(K336="Lubbock",(AG336/$AZ$1)*'1. UC Assumptions'!$K$44-(AH336/$AZ$2)*'1. UC Assumptions'!$K$42,0)</f>
        <v>0</v>
      </c>
      <c r="BA336" s="151">
        <f>IF(K336="MRSA Central",(AG336/$BA$1)*'1. UC Assumptions'!$L$44-(AH336/$BA$2)*'1. UC Assumptions'!$L$42,0)</f>
        <v>0</v>
      </c>
      <c r="BB336" s="151">
        <f>IF(K336="MRSA Northeast",(AG336/$BB$1)*'1. UC Assumptions'!$M$44-(AH336/$BB$2)*'1. UC Assumptions'!$M$42,0)</f>
        <v>0</v>
      </c>
      <c r="BC336" s="151">
        <f>IF(K336="MRSA West",(AG336/$BC$1)*'1. UC Assumptions'!$N$44-(AH336/$BC$2)*'1. UC Assumptions'!$N$42,0)</f>
        <v>0</v>
      </c>
      <c r="BD336" s="151">
        <f>IF(K336="Nueces",(AG336/$BD$1)*'1. UC Assumptions'!$O$44-(AH336/$BD$2)*'1. UC Assumptions'!$O$42,0)</f>
        <v>0</v>
      </c>
      <c r="BE336" s="151">
        <f>IF(K336="Tarrant",(AG336/$BE$1)*'1. UC Assumptions'!$P$44-(AH336/$BE$2)*'1. UC Assumptions'!$P$42,0)</f>
        <v>0</v>
      </c>
      <c r="BF336" s="151">
        <f>IF(K336="Travis",(AG336/$BF$1)*'1. UC Assumptions'!$Q$44-(AH336/$BF$2)*'1. UC Assumptions'!$Q$42,0)</f>
        <v>0</v>
      </c>
      <c r="BG336" s="151">
        <f t="shared" si="120"/>
        <v>0</v>
      </c>
      <c r="BH336" s="151">
        <f t="shared" si="121"/>
        <v>1983130.5137784714</v>
      </c>
      <c r="BI336" s="151">
        <f>ROUNDDOWN(BH336*'1. UC Assumptions'!$C$23,2)</f>
        <v>654433.06000000006</v>
      </c>
      <c r="BJ336" s="154">
        <f t="shared" si="122"/>
        <v>1983130.5137784714</v>
      </c>
      <c r="BK336" s="154">
        <f t="shared" si="123"/>
        <v>654433.06000000006</v>
      </c>
      <c r="BL336" s="154">
        <f t="shared" si="124"/>
        <v>1830865.9199999999</v>
      </c>
      <c r="BM336" s="154">
        <f t="shared" si="125"/>
        <v>604185.74</v>
      </c>
      <c r="BN336" s="101"/>
      <c r="BO336" s="154">
        <f>(BL336*'1. UC Assumptions'!$C$23)-'3.  UC Calculations by Hospital'!BM336</f>
        <v>1.3599999947473407E-2</v>
      </c>
      <c r="BP336" s="13"/>
    </row>
    <row r="337" spans="1:68">
      <c r="B337" s="129" t="s">
        <v>1008</v>
      </c>
      <c r="C337" s="91" t="s">
        <v>1008</v>
      </c>
      <c r="D337" s="91" t="s">
        <v>286</v>
      </c>
      <c r="E337" s="91" t="s">
        <v>209</v>
      </c>
      <c r="F337" s="91"/>
      <c r="G337" s="91" t="s">
        <v>287</v>
      </c>
      <c r="H337" s="91" t="s">
        <v>209</v>
      </c>
      <c r="I337" s="150" t="s">
        <v>210</v>
      </c>
      <c r="J337" s="129" t="s">
        <v>1009</v>
      </c>
      <c r="K337" s="91" t="s">
        <v>6</v>
      </c>
      <c r="L337" s="91" t="s">
        <v>6</v>
      </c>
      <c r="M337" s="151">
        <v>346223.38833225024</v>
      </c>
      <c r="N337" s="151">
        <v>2643394.1128257657</v>
      </c>
      <c r="O337" s="131">
        <v>80296.061211751818</v>
      </c>
      <c r="P337" s="131">
        <f t="shared" si="106"/>
        <v>2563098.051614014</v>
      </c>
      <c r="Q337" s="131">
        <v>102222.96909678947</v>
      </c>
      <c r="R337" s="131">
        <v>2659342.0099999998</v>
      </c>
      <c r="S337" s="131">
        <f t="shared" si="107"/>
        <v>0</v>
      </c>
      <c r="T337" s="131">
        <f t="shared" si="105"/>
        <v>102222.96909678947</v>
      </c>
      <c r="U337" s="131">
        <v>0</v>
      </c>
      <c r="V337" s="131">
        <v>0</v>
      </c>
      <c r="W337" s="131">
        <v>0</v>
      </c>
      <c r="X337" s="131">
        <v>0</v>
      </c>
      <c r="Y337" s="131">
        <v>0</v>
      </c>
      <c r="Z337" s="131">
        <f t="shared" si="108"/>
        <v>0</v>
      </c>
      <c r="AA337" s="131">
        <v>0</v>
      </c>
      <c r="AB337" s="152">
        <f t="shared" si="109"/>
        <v>102222.96909678947</v>
      </c>
      <c r="AC337" s="133">
        <f>IF(D337="Physician Group Practice",(AB337/$AB$393)*'1. UC Assumptions'!$C$15,IF(E337="Rural Hospital",AB337*'1. UC Assumptions'!$C$7/'1. UC Assumptions'!$E$7,(AB337/$AB$397)*('1. UC Assumptions'!$C$9)))</f>
        <v>48059.679826097017</v>
      </c>
      <c r="AD337" s="133">
        <f t="shared" si="110"/>
        <v>0</v>
      </c>
      <c r="AE337" s="133">
        <f t="shared" si="111"/>
        <v>54163.289270692454</v>
      </c>
      <c r="AF337" s="133">
        <f t="shared" si="112"/>
        <v>0</v>
      </c>
      <c r="AG337" s="133">
        <f t="shared" si="113"/>
        <v>54163.289270692454</v>
      </c>
      <c r="AH337" s="133">
        <f t="shared" si="114"/>
        <v>48059.679826097017</v>
      </c>
      <c r="AI337" s="131">
        <f>AH337*'1. UC Assumptions'!$C$23</f>
        <v>15859.694342612014</v>
      </c>
      <c r="AJ337" s="131">
        <v>0</v>
      </c>
      <c r="AK337" s="131">
        <f>AJ337*(1-'1. UC Assumptions'!$C$22)</f>
        <v>0</v>
      </c>
      <c r="AL337" s="131"/>
      <c r="AM337" s="131">
        <f>AL337*'1. UC Assumptions'!$C$23</f>
        <v>0</v>
      </c>
      <c r="AN337" s="153">
        <f t="shared" si="115"/>
        <v>102222.96909678947</v>
      </c>
      <c r="AO337" s="151">
        <f>AN337*'1. UC Assumptions'!$C$23</f>
        <v>33733.579801940519</v>
      </c>
      <c r="AP337" s="151">
        <f t="shared" si="116"/>
        <v>102222.96909678947</v>
      </c>
      <c r="AQ337" s="151">
        <f t="shared" si="117"/>
        <v>33733.579801940519</v>
      </c>
      <c r="AR337" s="151">
        <f t="shared" si="118"/>
        <v>33733.579801940519</v>
      </c>
      <c r="AS337" s="151">
        <f t="shared" si="119"/>
        <v>33733.579801940519</v>
      </c>
      <c r="AT337" s="151">
        <f>IF(K337="Bexar",(AG337/$AT$1)*'1. UC Assumptions'!$E$44-(AH337/$AT$2)*'1. UC Assumptions'!$E$42,0)</f>
        <v>0</v>
      </c>
      <c r="AU337" s="151">
        <f>IF(K337="Dallas",(AG337/$AU$1)*'1. UC Assumptions'!$F$44-(AH337/$AU$2)*'1. UC Assumptions'!$F$42,0)</f>
        <v>0</v>
      </c>
      <c r="AV337" s="151">
        <f>IF(K337="El Paso",(AG337/$AV$1)*'1. UC Assumptions'!$G$44-(AH337/$AV$2)*'1. UC Assumptions'!$G$42,0)</f>
        <v>0</v>
      </c>
      <c r="AW337" s="151">
        <f>IF(K337="Harris",(AG337/$AW$1)*'1. UC Assumptions'!$H$44-(AH337/$AW$2)*'1. UC Assumptions'!$H$42,0)</f>
        <v>0</v>
      </c>
      <c r="AX337" s="151">
        <f>IF(K337="Hidalgo",(AG337/$AX$1)*'1. UC Assumptions'!$I$44-(AH337/$AX$2)*'1. UC Assumptions'!$I$42,0)</f>
        <v>0</v>
      </c>
      <c r="AY337" s="151">
        <f>IF(K337="Jefferson",(AG337/$AY$1)*'1. UC Assumptions'!$J$44-(AH337/$AY$2)*'1. UC Assumptions'!$J$42,0)</f>
        <v>0</v>
      </c>
      <c r="AZ337" s="151">
        <f>IF(K337="Lubbock",(AG337/$AZ$1)*'1. UC Assumptions'!$K$44-(AH337/$AZ$2)*'1. UC Assumptions'!$K$42,0)</f>
        <v>0</v>
      </c>
      <c r="BA337" s="151">
        <f>IF(K337="MRSA Central",(AG337/$BA$1)*'1. UC Assumptions'!$L$44-(AH337/$BA$2)*'1. UC Assumptions'!$L$42,0)</f>
        <v>0</v>
      </c>
      <c r="BB337" s="151">
        <f>IF(K337="MRSA Northeast",(AG337/$BB$1)*'1. UC Assumptions'!$M$44-(AH337/$BB$2)*'1. UC Assumptions'!$M$42,0)</f>
        <v>0</v>
      </c>
      <c r="BC337" s="151">
        <f>IF(K337="MRSA West",(AG337/$BC$1)*'1. UC Assumptions'!$N$44-(AH337/$BC$2)*'1. UC Assumptions'!$N$42,0)</f>
        <v>0</v>
      </c>
      <c r="BD337" s="151">
        <f>IF(K337="Nueces",(AG337/$BD$1)*'1. UC Assumptions'!$O$44-(AH337/$BD$2)*'1. UC Assumptions'!$O$42,0)</f>
        <v>0</v>
      </c>
      <c r="BE337" s="151">
        <f>IF(K337="Tarrant",(AG337/$BE$1)*'1. UC Assumptions'!$P$44-(AH337/$BE$2)*'1. UC Assumptions'!$P$42,0)</f>
        <v>0</v>
      </c>
      <c r="BF337" s="151">
        <f>IF(K337="Travis",(AG337/$BF$1)*'1. UC Assumptions'!$Q$44-(AH337/$BF$2)*'1. UC Assumptions'!$Q$42,0)</f>
        <v>0</v>
      </c>
      <c r="BG337" s="151">
        <f t="shared" si="120"/>
        <v>0</v>
      </c>
      <c r="BH337" s="151">
        <f t="shared" si="121"/>
        <v>48059.679826097017</v>
      </c>
      <c r="BI337" s="151">
        <f>ROUNDDOWN(BH337*'1. UC Assumptions'!$C$23,2)</f>
        <v>15859.69</v>
      </c>
      <c r="BJ337" s="154">
        <f t="shared" si="122"/>
        <v>48059.679826097017</v>
      </c>
      <c r="BK337" s="154">
        <f t="shared" si="123"/>
        <v>15859.69</v>
      </c>
      <c r="BL337" s="154">
        <f t="shared" si="124"/>
        <v>44369.66</v>
      </c>
      <c r="BM337" s="154">
        <f t="shared" si="125"/>
        <v>14641.98</v>
      </c>
      <c r="BN337" s="101"/>
      <c r="BO337" s="154">
        <f>(BL337*'1. UC Assumptions'!$C$23)-'3.  UC Calculations by Hospital'!BM337</f>
        <v>7.7999999994062819E-3</v>
      </c>
      <c r="BP337" s="13"/>
    </row>
    <row r="338" spans="1:68">
      <c r="B338" s="129" t="s">
        <v>1010</v>
      </c>
      <c r="C338" s="91" t="s">
        <v>1010</v>
      </c>
      <c r="D338" s="91" t="s">
        <v>208</v>
      </c>
      <c r="E338" s="91" t="s">
        <v>149</v>
      </c>
      <c r="F338" s="91"/>
      <c r="G338" s="91" t="s">
        <v>209</v>
      </c>
      <c r="H338" s="91" t="s">
        <v>209</v>
      </c>
      <c r="I338" s="150" t="s">
        <v>210</v>
      </c>
      <c r="J338" s="129" t="s">
        <v>1011</v>
      </c>
      <c r="K338" s="91" t="s">
        <v>12</v>
      </c>
      <c r="L338" s="91" t="s">
        <v>1012</v>
      </c>
      <c r="M338" s="151">
        <v>471951.90014085115</v>
      </c>
      <c r="N338" s="151">
        <v>0</v>
      </c>
      <c r="O338" s="131">
        <v>0</v>
      </c>
      <c r="P338" s="131">
        <f t="shared" si="106"/>
        <v>0</v>
      </c>
      <c r="Q338" s="131">
        <v>182492.76365178879</v>
      </c>
      <c r="R338" s="131">
        <v>0</v>
      </c>
      <c r="S338" s="131">
        <f t="shared" si="107"/>
        <v>0</v>
      </c>
      <c r="T338" s="131">
        <f t="shared" si="105"/>
        <v>182492.76365178879</v>
      </c>
      <c r="U338" s="131">
        <v>0</v>
      </c>
      <c r="V338" s="131">
        <v>0</v>
      </c>
      <c r="W338" s="131">
        <v>0</v>
      </c>
      <c r="X338" s="131">
        <v>0</v>
      </c>
      <c r="Y338" s="131">
        <v>0</v>
      </c>
      <c r="Z338" s="131">
        <f t="shared" si="108"/>
        <v>0</v>
      </c>
      <c r="AA338" s="131">
        <v>0</v>
      </c>
      <c r="AB338" s="152">
        <f t="shared" si="109"/>
        <v>182492.76365178879</v>
      </c>
      <c r="AC338" s="133">
        <f>IF(D338="Physician Group Practice",(AB338/$AB$393)*'1. UC Assumptions'!$C$15,IF(E338="Rural Hospital",AB338*'1. UC Assumptions'!$C$7/'1. UC Assumptions'!$E$7,(AB338/$AB$397)*('1. UC Assumptions'!$C$9)))</f>
        <v>170345.22862370755</v>
      </c>
      <c r="AD338" s="133">
        <f t="shared" si="110"/>
        <v>0</v>
      </c>
      <c r="AE338" s="133">
        <f t="shared" si="111"/>
        <v>12147.535028081242</v>
      </c>
      <c r="AF338" s="133">
        <f t="shared" si="112"/>
        <v>0</v>
      </c>
      <c r="AG338" s="133">
        <f t="shared" si="113"/>
        <v>12147.535028081242</v>
      </c>
      <c r="AH338" s="133">
        <f t="shared" si="114"/>
        <v>170345.22862370755</v>
      </c>
      <c r="AI338" s="131">
        <f>AH338*'1. UC Assumptions'!$C$23</f>
        <v>56213.925445823486</v>
      </c>
      <c r="AJ338" s="131">
        <v>63771.59</v>
      </c>
      <c r="AK338" s="131">
        <f>AJ338*(1-'1. UC Assumptions'!$C$22)</f>
        <v>21044.624699999997</v>
      </c>
      <c r="AL338" s="131"/>
      <c r="AM338" s="131">
        <f>AL338*'1. UC Assumptions'!$C$23</f>
        <v>0</v>
      </c>
      <c r="AN338" s="153">
        <f t="shared" si="115"/>
        <v>182492.76365178879</v>
      </c>
      <c r="AO338" s="151">
        <f>AN338*'1. UC Assumptions'!$C$23</f>
        <v>60222.61200509029</v>
      </c>
      <c r="AP338" s="151">
        <f t="shared" si="116"/>
        <v>118721.17365178879</v>
      </c>
      <c r="AQ338" s="151">
        <f t="shared" si="117"/>
        <v>39177.987305090297</v>
      </c>
      <c r="AR338" s="151">
        <f t="shared" si="118"/>
        <v>39177.987305090297</v>
      </c>
      <c r="AS338" s="151">
        <f t="shared" si="119"/>
        <v>60222.612005090297</v>
      </c>
      <c r="AT338" s="151">
        <f>IF(K338="Bexar",(AG338/$AT$1)*'1. UC Assumptions'!$E$44-(AH338/$AT$2)*'1. UC Assumptions'!$E$42,0)</f>
        <v>0</v>
      </c>
      <c r="AU338" s="151">
        <f>IF(K338="Dallas",(AG338/$AU$1)*'1. UC Assumptions'!$F$44-(AH338/$AU$2)*'1. UC Assumptions'!$F$42,0)</f>
        <v>0</v>
      </c>
      <c r="AV338" s="151">
        <f>IF(K338="El Paso",(AG338/$AV$1)*'1. UC Assumptions'!$G$44-(AH338/$AV$2)*'1. UC Assumptions'!$G$42,0)</f>
        <v>0</v>
      </c>
      <c r="AW338" s="151">
        <f>IF(K338="Harris",(AG338/$AW$1)*'1. UC Assumptions'!$H$44-(AH338/$AW$2)*'1. UC Assumptions'!$H$42,0)</f>
        <v>0</v>
      </c>
      <c r="AX338" s="151">
        <f>IF(K338="Hidalgo",(AG338/$AX$1)*'1. UC Assumptions'!$I$44-(AH338/$AX$2)*'1. UC Assumptions'!$I$42,0)</f>
        <v>0</v>
      </c>
      <c r="AY338" s="151">
        <f>IF(K338="Jefferson",(AG338/$AY$1)*'1. UC Assumptions'!$J$44-(AH338/$AY$2)*'1. UC Assumptions'!$J$42,0)</f>
        <v>0</v>
      </c>
      <c r="AZ338" s="151">
        <f>IF(K338="Lubbock",(AG338/$AZ$1)*'1. UC Assumptions'!$K$44-(AH338/$AZ$2)*'1. UC Assumptions'!$K$42,0)</f>
        <v>0</v>
      </c>
      <c r="BA338" s="151">
        <f>IF(K338="MRSA Central",(AG338/$BA$1)*'1. UC Assumptions'!$L$44-(AH338/$BA$2)*'1. UC Assumptions'!$L$42,0)</f>
        <v>0</v>
      </c>
      <c r="BB338" s="151">
        <f>IF(K338="MRSA Northeast",(AG338/$BB$1)*'1. UC Assumptions'!$M$44-(AH338/$BB$2)*'1. UC Assumptions'!$M$42,0)</f>
        <v>0</v>
      </c>
      <c r="BC338" s="151">
        <f>IF(K338="MRSA West",(AG338/$BC$1)*'1. UC Assumptions'!$N$44-(AH338/$BC$2)*'1. UC Assumptions'!$N$42,0)</f>
        <v>0</v>
      </c>
      <c r="BD338" s="151">
        <f>IF(K338="Nueces",(AG338/$BD$1)*'1. UC Assumptions'!$O$44-(AH338/$BD$2)*'1. UC Assumptions'!$O$42,0)</f>
        <v>0</v>
      </c>
      <c r="BE338" s="151">
        <f>IF(K338="Tarrant",(AG338/$BE$1)*'1. UC Assumptions'!$P$44-(AH338/$BE$2)*'1. UC Assumptions'!$P$42,0)</f>
        <v>0</v>
      </c>
      <c r="BF338" s="151">
        <f>IF(K338="Travis",(AG338/$BF$1)*'1. UC Assumptions'!$Q$44-(AH338/$BF$2)*'1. UC Assumptions'!$Q$42,0)</f>
        <v>0</v>
      </c>
      <c r="BG338" s="151">
        <f t="shared" si="120"/>
        <v>0</v>
      </c>
      <c r="BH338" s="151">
        <f t="shared" si="121"/>
        <v>170345.22862370755</v>
      </c>
      <c r="BI338" s="151">
        <f>ROUNDDOWN(BH338*'1. UC Assumptions'!$C$23,2)</f>
        <v>56213.919999999998</v>
      </c>
      <c r="BJ338" s="154">
        <f t="shared" si="122"/>
        <v>106573.63862370755</v>
      </c>
      <c r="BK338" s="154">
        <f t="shared" si="123"/>
        <v>35169.295299999998</v>
      </c>
      <c r="BL338" s="154">
        <f t="shared" si="124"/>
        <v>98390.92</v>
      </c>
      <c r="BM338" s="154">
        <f t="shared" si="125"/>
        <v>32469</v>
      </c>
      <c r="BN338" s="101"/>
      <c r="BO338" s="154">
        <f>(BL338*'1. UC Assumptions'!$C$23)-'3.  UC Calculations by Hospital'!BM338</f>
        <v>3.599999996367842E-3</v>
      </c>
      <c r="BP338" s="13"/>
    </row>
    <row r="339" spans="1:68">
      <c r="B339" s="129" t="s">
        <v>1013</v>
      </c>
      <c r="C339" s="91" t="s">
        <v>1013</v>
      </c>
      <c r="D339" s="91" t="s">
        <v>214</v>
      </c>
      <c r="E339" s="91" t="s">
        <v>149</v>
      </c>
      <c r="F339" s="91"/>
      <c r="G339" s="91" t="s">
        <v>209</v>
      </c>
      <c r="H339" s="91" t="s">
        <v>209</v>
      </c>
      <c r="I339" s="150" t="s">
        <v>210</v>
      </c>
      <c r="J339" s="129" t="s">
        <v>1014</v>
      </c>
      <c r="K339" s="91" t="s">
        <v>11</v>
      </c>
      <c r="L339" s="91" t="s">
        <v>1015</v>
      </c>
      <c r="M339" s="151">
        <v>-274048.81093578186</v>
      </c>
      <c r="N339" s="151">
        <v>6871173.462396102</v>
      </c>
      <c r="O339" s="131">
        <v>4467749.4914741246</v>
      </c>
      <c r="P339" s="131">
        <f t="shared" si="106"/>
        <v>2403423.9709219774</v>
      </c>
      <c r="Q339" s="131">
        <v>7910469.9219684098</v>
      </c>
      <c r="R339" s="131">
        <v>1463822.37</v>
      </c>
      <c r="S339" s="131">
        <f t="shared" si="107"/>
        <v>0</v>
      </c>
      <c r="T339" s="131">
        <f t="shared" si="105"/>
        <v>7910469.9219684098</v>
      </c>
      <c r="U339" s="131">
        <v>1071716</v>
      </c>
      <c r="V339" s="131">
        <v>0</v>
      </c>
      <c r="W339" s="131">
        <v>1741780.9960912841</v>
      </c>
      <c r="X339" s="131">
        <v>0</v>
      </c>
      <c r="Y339" s="131">
        <v>789245</v>
      </c>
      <c r="Z339" s="131">
        <f t="shared" si="108"/>
        <v>3602741.9960912839</v>
      </c>
      <c r="AA339" s="131">
        <v>0</v>
      </c>
      <c r="AB339" s="152">
        <f t="shared" si="109"/>
        <v>11513211.918059694</v>
      </c>
      <c r="AC339" s="133">
        <f>IF(D339="Physician Group Practice",(AB339/$AB$393)*'1. UC Assumptions'!$C$15,IF(E339="Rural Hospital",AB339*'1. UC Assumptions'!$C$7/'1. UC Assumptions'!$E$7,(AB339/$AB$397)*('1. UC Assumptions'!$C$9)))</f>
        <v>10746841.009637201</v>
      </c>
      <c r="AD339" s="133">
        <f t="shared" si="110"/>
        <v>0</v>
      </c>
      <c r="AE339" s="133">
        <f t="shared" si="111"/>
        <v>766370.90842249244</v>
      </c>
      <c r="AF339" s="133">
        <f t="shared" si="112"/>
        <v>0</v>
      </c>
      <c r="AG339" s="133">
        <f t="shared" si="113"/>
        <v>766370.90842249244</v>
      </c>
      <c r="AH339" s="133">
        <f t="shared" si="114"/>
        <v>10746841.009637201</v>
      </c>
      <c r="AI339" s="131">
        <f>AH339*'1. UC Assumptions'!$C$23</f>
        <v>3546457.5331802759</v>
      </c>
      <c r="AJ339" s="131">
        <v>5341885.87</v>
      </c>
      <c r="AK339" s="131">
        <f>AJ339*(1-'1. UC Assumptions'!$C$22)</f>
        <v>1762822.3370999999</v>
      </c>
      <c r="AL339" s="131"/>
      <c r="AM339" s="131">
        <f>AL339*'1. UC Assumptions'!$C$23</f>
        <v>0</v>
      </c>
      <c r="AN339" s="153">
        <f t="shared" si="115"/>
        <v>11513211.918059694</v>
      </c>
      <c r="AO339" s="151">
        <f>AN339*'1. UC Assumptions'!$C$23</f>
        <v>3799359.9329596986</v>
      </c>
      <c r="AP339" s="151">
        <f t="shared" si="116"/>
        <v>6171326.0480596935</v>
      </c>
      <c r="AQ339" s="151">
        <f t="shared" si="117"/>
        <v>2036537.5958596987</v>
      </c>
      <c r="AR339" s="151">
        <f t="shared" si="118"/>
        <v>2036537.5958596987</v>
      </c>
      <c r="AS339" s="151">
        <f t="shared" si="119"/>
        <v>3799359.9329596986</v>
      </c>
      <c r="AT339" s="151">
        <f>IF(K339="Bexar",(AG339/$AT$1)*'1. UC Assumptions'!$E$44-(AH339/$AT$2)*'1. UC Assumptions'!$E$42,0)</f>
        <v>0</v>
      </c>
      <c r="AU339" s="151">
        <f>IF(K339="Dallas",(AG339/$AU$1)*'1. UC Assumptions'!$F$44-(AH339/$AU$2)*'1. UC Assumptions'!$F$42,0)</f>
        <v>0</v>
      </c>
      <c r="AV339" s="151">
        <f>IF(K339="El Paso",(AG339/$AV$1)*'1. UC Assumptions'!$G$44-(AH339/$AV$2)*'1. UC Assumptions'!$G$42,0)</f>
        <v>0</v>
      </c>
      <c r="AW339" s="151">
        <f>IF(K339="Harris",(AG339/$AW$1)*'1. UC Assumptions'!$H$44-(AH339/$AW$2)*'1. UC Assumptions'!$H$42,0)</f>
        <v>0</v>
      </c>
      <c r="AX339" s="151">
        <f>IF(K339="Hidalgo",(AG339/$AX$1)*'1. UC Assumptions'!$I$44-(AH339/$AX$2)*'1. UC Assumptions'!$I$42,0)</f>
        <v>0</v>
      </c>
      <c r="AY339" s="151">
        <f>IF(K339="Jefferson",(AG339/$AY$1)*'1. UC Assumptions'!$J$44-(AH339/$AY$2)*'1. UC Assumptions'!$J$42,0)</f>
        <v>0</v>
      </c>
      <c r="AZ339" s="151">
        <f>IF(K339="Lubbock",(AG339/$AZ$1)*'1. UC Assumptions'!$K$44-(AH339/$AZ$2)*'1. UC Assumptions'!$K$42,0)</f>
        <v>0</v>
      </c>
      <c r="BA339" s="151">
        <f>IF(K339="MRSA Central",(AG339/$BA$1)*'1. UC Assumptions'!$L$44-(AH339/$BA$2)*'1. UC Assumptions'!$L$42,0)</f>
        <v>0</v>
      </c>
      <c r="BB339" s="151">
        <f>IF(K339="MRSA Northeast",(AG339/$BB$1)*'1. UC Assumptions'!$M$44-(AH339/$BB$2)*'1. UC Assumptions'!$M$42,0)</f>
        <v>0</v>
      </c>
      <c r="BC339" s="151">
        <f>IF(K339="MRSA West",(AG339/$BC$1)*'1. UC Assumptions'!$N$44-(AH339/$BC$2)*'1. UC Assumptions'!$N$42,0)</f>
        <v>0</v>
      </c>
      <c r="BD339" s="151">
        <f>IF(K339="Nueces",(AG339/$BD$1)*'1. UC Assumptions'!$O$44-(AH339/$BD$2)*'1. UC Assumptions'!$O$42,0)</f>
        <v>0</v>
      </c>
      <c r="BE339" s="151">
        <f>IF(K339="Tarrant",(AG339/$BE$1)*'1. UC Assumptions'!$P$44-(AH339/$BE$2)*'1. UC Assumptions'!$P$42,0)</f>
        <v>0</v>
      </c>
      <c r="BF339" s="151">
        <f>IF(K339="Travis",(AG339/$BF$1)*'1. UC Assumptions'!$Q$44-(AH339/$BF$2)*'1. UC Assumptions'!$Q$42,0)</f>
        <v>0</v>
      </c>
      <c r="BG339" s="151">
        <f t="shared" si="120"/>
        <v>0</v>
      </c>
      <c r="BH339" s="151">
        <f t="shared" si="121"/>
        <v>10746841.009637201</v>
      </c>
      <c r="BI339" s="151">
        <f>ROUNDDOWN(BH339*'1. UC Assumptions'!$C$23,2)</f>
        <v>3546457.53</v>
      </c>
      <c r="BJ339" s="154">
        <f t="shared" si="122"/>
        <v>5404955.1396372011</v>
      </c>
      <c r="BK339" s="154">
        <f t="shared" si="123"/>
        <v>1783635.1928999999</v>
      </c>
      <c r="BL339" s="154">
        <f t="shared" si="124"/>
        <v>4989963.1500000004</v>
      </c>
      <c r="BM339" s="154">
        <f t="shared" si="125"/>
        <v>1646687.83</v>
      </c>
      <c r="BN339" s="101"/>
      <c r="BO339" s="154">
        <f>(BL339*'1. UC Assumptions'!$C$23)-'3.  UC Calculations by Hospital'!BM339</f>
        <v>9.4999999273568392E-3</v>
      </c>
      <c r="BP339" s="13"/>
    </row>
    <row r="340" spans="1:68">
      <c r="B340" s="129" t="s">
        <v>1016</v>
      </c>
      <c r="C340" s="91" t="s">
        <v>1016</v>
      </c>
      <c r="D340" s="91" t="s">
        <v>214</v>
      </c>
      <c r="E340" s="91" t="s">
        <v>209</v>
      </c>
      <c r="F340" s="91"/>
      <c r="G340" s="91" t="s">
        <v>209</v>
      </c>
      <c r="H340" s="91" t="s">
        <v>209</v>
      </c>
      <c r="I340" s="150" t="s">
        <v>210</v>
      </c>
      <c r="J340" s="129" t="s">
        <v>1017</v>
      </c>
      <c r="K340" s="91" t="s">
        <v>5</v>
      </c>
      <c r="L340" s="91" t="s">
        <v>5</v>
      </c>
      <c r="M340" s="151">
        <v>2063397.540381352</v>
      </c>
      <c r="N340" s="151">
        <v>6597661.5075877635</v>
      </c>
      <c r="O340" s="131">
        <v>4830762.8593560653</v>
      </c>
      <c r="P340" s="131">
        <f t="shared" si="106"/>
        <v>1766898.6482316982</v>
      </c>
      <c r="Q340" s="131">
        <v>6567833.6575254267</v>
      </c>
      <c r="R340" s="131">
        <v>0</v>
      </c>
      <c r="S340" s="131">
        <f t="shared" si="107"/>
        <v>0</v>
      </c>
      <c r="T340" s="131">
        <f t="shared" si="105"/>
        <v>6567833.6575254267</v>
      </c>
      <c r="U340" s="131">
        <v>364166</v>
      </c>
      <c r="V340" s="131">
        <v>0</v>
      </c>
      <c r="W340" s="131">
        <v>0</v>
      </c>
      <c r="X340" s="131">
        <v>0</v>
      </c>
      <c r="Y340" s="131">
        <v>279774.31483596779</v>
      </c>
      <c r="Z340" s="131">
        <f t="shared" si="108"/>
        <v>643940.31483596773</v>
      </c>
      <c r="AA340" s="131">
        <v>0</v>
      </c>
      <c r="AB340" s="152">
        <f t="shared" si="109"/>
        <v>7211773.9723613942</v>
      </c>
      <c r="AC340" s="133">
        <f>IF(D340="Physician Group Practice",(AB340/$AB$393)*'1. UC Assumptions'!$C$15,IF(E340="Rural Hospital",AB340*'1. UC Assumptions'!$C$7/'1. UC Assumptions'!$E$7,(AB340/$AB$397)*('1. UC Assumptions'!$C$9)))</f>
        <v>3390583.849718703</v>
      </c>
      <c r="AD340" s="133">
        <f t="shared" si="110"/>
        <v>0</v>
      </c>
      <c r="AE340" s="133">
        <f t="shared" si="111"/>
        <v>3821190.1226426912</v>
      </c>
      <c r="AF340" s="133">
        <f t="shared" si="112"/>
        <v>0</v>
      </c>
      <c r="AG340" s="133">
        <f t="shared" si="113"/>
        <v>3821190.1226426912</v>
      </c>
      <c r="AH340" s="133">
        <f t="shared" si="114"/>
        <v>3390583.849718703</v>
      </c>
      <c r="AI340" s="131">
        <f>AH340*'1. UC Assumptions'!$C$23</f>
        <v>1118892.6704071718</v>
      </c>
      <c r="AJ340" s="131">
        <v>3014858.55</v>
      </c>
      <c r="AK340" s="131">
        <f>AJ340*(1-'1. UC Assumptions'!$C$22)</f>
        <v>994903.32149999985</v>
      </c>
      <c r="AL340" s="131"/>
      <c r="AM340" s="131">
        <f>AL340*'1. UC Assumptions'!$C$23</f>
        <v>0</v>
      </c>
      <c r="AN340" s="153">
        <f t="shared" si="115"/>
        <v>7211773.9723613942</v>
      </c>
      <c r="AO340" s="151">
        <f>AN340*'1. UC Assumptions'!$C$23</f>
        <v>2379885.4108792599</v>
      </c>
      <c r="AP340" s="151">
        <f t="shared" si="116"/>
        <v>4196915.4223613944</v>
      </c>
      <c r="AQ340" s="151">
        <f t="shared" si="117"/>
        <v>1384982.0893792601</v>
      </c>
      <c r="AR340" s="151">
        <f t="shared" si="118"/>
        <v>1384982.0893792601</v>
      </c>
      <c r="AS340" s="151">
        <f t="shared" si="119"/>
        <v>2379885.4108792599</v>
      </c>
      <c r="AT340" s="151">
        <f>IF(K340="Bexar",(AG340/$AT$1)*'1. UC Assumptions'!$E$44-(AH340/$AT$2)*'1. UC Assumptions'!$E$42,0)</f>
        <v>0</v>
      </c>
      <c r="AU340" s="151">
        <f>IF(K340="Dallas",(AG340/$AU$1)*'1. UC Assumptions'!$F$44-(AH340/$AU$2)*'1. UC Assumptions'!$F$42,0)</f>
        <v>0</v>
      </c>
      <c r="AV340" s="151">
        <f>IF(K340="El Paso",(AG340/$AV$1)*'1. UC Assumptions'!$G$44-(AH340/$AV$2)*'1. UC Assumptions'!$G$42,0)</f>
        <v>0</v>
      </c>
      <c r="AW340" s="151">
        <f>IF(K340="Harris",(AG340/$AW$1)*'1. UC Assumptions'!$H$44-(AH340/$AW$2)*'1. UC Assumptions'!$H$42,0)</f>
        <v>0</v>
      </c>
      <c r="AX340" s="151">
        <f>IF(K340="Hidalgo",(AG340/$AX$1)*'1. UC Assumptions'!$I$44-(AH340/$AX$2)*'1. UC Assumptions'!$I$42,0)</f>
        <v>0</v>
      </c>
      <c r="AY340" s="151">
        <f>IF(K340="Jefferson",(AG340/$AY$1)*'1. UC Assumptions'!$J$44-(AH340/$AY$2)*'1. UC Assumptions'!$J$42,0)</f>
        <v>0</v>
      </c>
      <c r="AZ340" s="151">
        <f>IF(K340="Lubbock",(AG340/$AZ$1)*'1. UC Assumptions'!$K$44-(AH340/$AZ$2)*'1. UC Assumptions'!$K$42,0)</f>
        <v>0</v>
      </c>
      <c r="BA340" s="151">
        <f>IF(K340="MRSA Central",(AG340/$BA$1)*'1. UC Assumptions'!$L$44-(AH340/$BA$2)*'1. UC Assumptions'!$L$42,0)</f>
        <v>0</v>
      </c>
      <c r="BB340" s="151">
        <f>IF(K340="MRSA Northeast",(AG340/$BB$1)*'1. UC Assumptions'!$M$44-(AH340/$BB$2)*'1. UC Assumptions'!$M$42,0)</f>
        <v>0</v>
      </c>
      <c r="BC340" s="151">
        <f>IF(K340="MRSA West",(AG340/$BC$1)*'1. UC Assumptions'!$N$44-(AH340/$BC$2)*'1. UC Assumptions'!$N$42,0)</f>
        <v>0</v>
      </c>
      <c r="BD340" s="151">
        <f>IF(K340="Nueces",(AG340/$BD$1)*'1. UC Assumptions'!$O$44-(AH340/$BD$2)*'1. UC Assumptions'!$O$42,0)</f>
        <v>0</v>
      </c>
      <c r="BE340" s="151">
        <f>IF(K340="Tarrant",(AG340/$BE$1)*'1. UC Assumptions'!$P$44-(AH340/$BE$2)*'1. UC Assumptions'!$P$42,0)</f>
        <v>0</v>
      </c>
      <c r="BF340" s="151">
        <f>IF(K340="Travis",(AG340/$BF$1)*'1. UC Assumptions'!$Q$44-(AH340/$BF$2)*'1. UC Assumptions'!$Q$42,0)</f>
        <v>0</v>
      </c>
      <c r="BG340" s="151">
        <f t="shared" si="120"/>
        <v>0</v>
      </c>
      <c r="BH340" s="151">
        <f t="shared" si="121"/>
        <v>3390583.849718703</v>
      </c>
      <c r="BI340" s="151">
        <f>ROUNDDOWN(BH340*'1. UC Assumptions'!$C$23,2)</f>
        <v>1118892.67</v>
      </c>
      <c r="BJ340" s="154">
        <f t="shared" si="122"/>
        <v>375725.29971870314</v>
      </c>
      <c r="BK340" s="154">
        <f t="shared" si="123"/>
        <v>123989.34850000008</v>
      </c>
      <c r="BL340" s="154">
        <f t="shared" si="124"/>
        <v>346877.14</v>
      </c>
      <c r="BM340" s="154">
        <f t="shared" si="125"/>
        <v>114469.46</v>
      </c>
      <c r="BN340" s="101"/>
      <c r="BO340" s="154">
        <f>(BL340*'1. UC Assumptions'!$C$23)-'3.  UC Calculations by Hospital'!BM340</f>
        <v>-3.8000000204192474E-3</v>
      </c>
      <c r="BP340" s="13"/>
    </row>
    <row r="341" spans="1:68">
      <c r="B341" s="129" t="s">
        <v>1018</v>
      </c>
      <c r="C341" s="91" t="s">
        <v>1018</v>
      </c>
      <c r="D341" s="91" t="s">
        <v>286</v>
      </c>
      <c r="E341" s="91" t="s">
        <v>209</v>
      </c>
      <c r="F341" s="91"/>
      <c r="G341" s="91" t="s">
        <v>287</v>
      </c>
      <c r="H341" s="91" t="s">
        <v>209</v>
      </c>
      <c r="I341" s="150" t="s">
        <v>210</v>
      </c>
      <c r="J341" s="129" t="s">
        <v>1019</v>
      </c>
      <c r="K341" s="91" t="s">
        <v>7</v>
      </c>
      <c r="L341" s="91" t="s">
        <v>237</v>
      </c>
      <c r="M341" s="151">
        <v>3279.6602619646546</v>
      </c>
      <c r="N341" s="151">
        <v>541794.99175424001</v>
      </c>
      <c r="O341" s="131">
        <v>250985.23899904001</v>
      </c>
      <c r="P341" s="131">
        <f t="shared" si="106"/>
        <v>290809.75275520002</v>
      </c>
      <c r="Q341" s="131">
        <v>286840.57411072002</v>
      </c>
      <c r="R341" s="131">
        <v>1431010.42</v>
      </c>
      <c r="S341" s="131">
        <f t="shared" si="107"/>
        <v>1136921.0069828352</v>
      </c>
      <c r="T341" s="131">
        <f t="shared" si="105"/>
        <v>0</v>
      </c>
      <c r="U341" s="131">
        <v>0</v>
      </c>
      <c r="V341" s="131">
        <v>0</v>
      </c>
      <c r="W341" s="131">
        <v>0</v>
      </c>
      <c r="X341" s="131">
        <v>0</v>
      </c>
      <c r="Y341" s="131">
        <v>0</v>
      </c>
      <c r="Z341" s="131">
        <f t="shared" si="108"/>
        <v>0</v>
      </c>
      <c r="AA341" s="131">
        <v>0</v>
      </c>
      <c r="AB341" s="152">
        <f t="shared" si="109"/>
        <v>0</v>
      </c>
      <c r="AC341" s="133">
        <f>IF(D341="Physician Group Practice",(AB341/$AB$393)*'1. UC Assumptions'!$C$15,IF(E341="Rural Hospital",AB341*'1. UC Assumptions'!$C$7/'1. UC Assumptions'!$E$7,(AB341/$AB$397)*('1. UC Assumptions'!$C$9)))</f>
        <v>0</v>
      </c>
      <c r="AD341" s="133">
        <f t="shared" si="110"/>
        <v>0</v>
      </c>
      <c r="AE341" s="133">
        <f t="shared" si="111"/>
        <v>0</v>
      </c>
      <c r="AF341" s="133">
        <f t="shared" si="112"/>
        <v>0</v>
      </c>
      <c r="AG341" s="133">
        <f t="shared" si="113"/>
        <v>0</v>
      </c>
      <c r="AH341" s="133">
        <f t="shared" si="114"/>
        <v>0</v>
      </c>
      <c r="AI341" s="131">
        <f>AH341*'1. UC Assumptions'!$C$23</f>
        <v>0</v>
      </c>
      <c r="AJ341" s="131">
        <v>0</v>
      </c>
      <c r="AK341" s="131">
        <f>AJ341*(1-'1. UC Assumptions'!$C$22)</f>
        <v>0</v>
      </c>
      <c r="AL341" s="131"/>
      <c r="AM341" s="131">
        <f>AL341*'1. UC Assumptions'!$C$23</f>
        <v>0</v>
      </c>
      <c r="AN341" s="153">
        <f t="shared" si="115"/>
        <v>0</v>
      </c>
      <c r="AO341" s="151">
        <f>AN341*'1. UC Assumptions'!$C$23</f>
        <v>0</v>
      </c>
      <c r="AP341" s="151">
        <f t="shared" si="116"/>
        <v>0</v>
      </c>
      <c r="AQ341" s="151">
        <f t="shared" si="117"/>
        <v>0</v>
      </c>
      <c r="AR341" s="151">
        <f t="shared" si="118"/>
        <v>0</v>
      </c>
      <c r="AS341" s="151">
        <f t="shared" si="119"/>
        <v>0</v>
      </c>
      <c r="AT341" s="151">
        <f>IF(K341="Bexar",(AG341/$AT$1)*'1. UC Assumptions'!$E$44-(AH341/$AT$2)*'1. UC Assumptions'!$E$42,0)</f>
        <v>0</v>
      </c>
      <c r="AU341" s="151">
        <f>IF(K341="Dallas",(AG341/$AU$1)*'1. UC Assumptions'!$F$44-(AH341/$AU$2)*'1. UC Assumptions'!$F$42,0)</f>
        <v>0</v>
      </c>
      <c r="AV341" s="151">
        <f>IF(K341="El Paso",(AG341/$AV$1)*'1. UC Assumptions'!$G$44-(AH341/$AV$2)*'1. UC Assumptions'!$G$42,0)</f>
        <v>0</v>
      </c>
      <c r="AW341" s="151">
        <f>IF(K341="Harris",(AG341/$AW$1)*'1. UC Assumptions'!$H$44-(AH341/$AW$2)*'1. UC Assumptions'!$H$42,0)</f>
        <v>0</v>
      </c>
      <c r="AX341" s="151">
        <f>IF(K341="Hidalgo",(AG341/$AX$1)*'1. UC Assumptions'!$I$44-(AH341/$AX$2)*'1. UC Assumptions'!$I$42,0)</f>
        <v>0</v>
      </c>
      <c r="AY341" s="151">
        <f>IF(K341="Jefferson",(AG341/$AY$1)*'1. UC Assumptions'!$J$44-(AH341/$AY$2)*'1. UC Assumptions'!$J$42,0)</f>
        <v>0</v>
      </c>
      <c r="AZ341" s="151">
        <f>IF(K341="Lubbock",(AG341/$AZ$1)*'1. UC Assumptions'!$K$44-(AH341/$AZ$2)*'1. UC Assumptions'!$K$42,0)</f>
        <v>0</v>
      </c>
      <c r="BA341" s="151">
        <f>IF(K341="MRSA Central",(AG341/$BA$1)*'1. UC Assumptions'!$L$44-(AH341/$BA$2)*'1. UC Assumptions'!$L$42,0)</f>
        <v>0</v>
      </c>
      <c r="BB341" s="151">
        <f>IF(K341="MRSA Northeast",(AG341/$BB$1)*'1. UC Assumptions'!$M$44-(AH341/$BB$2)*'1. UC Assumptions'!$M$42,0)</f>
        <v>0</v>
      </c>
      <c r="BC341" s="151">
        <f>IF(K341="MRSA West",(AG341/$BC$1)*'1. UC Assumptions'!$N$44-(AH341/$BC$2)*'1. UC Assumptions'!$N$42,0)</f>
        <v>0</v>
      </c>
      <c r="BD341" s="151">
        <f>IF(K341="Nueces",(AG341/$BD$1)*'1. UC Assumptions'!$O$44-(AH341/$BD$2)*'1. UC Assumptions'!$O$42,0)</f>
        <v>0</v>
      </c>
      <c r="BE341" s="151">
        <f>IF(K341="Tarrant",(AG341/$BE$1)*'1. UC Assumptions'!$P$44-(AH341/$BE$2)*'1. UC Assumptions'!$P$42,0)</f>
        <v>0</v>
      </c>
      <c r="BF341" s="151">
        <f>IF(K341="Travis",(AG341/$BF$1)*'1. UC Assumptions'!$Q$44-(AH341/$BF$2)*'1. UC Assumptions'!$Q$42,0)</f>
        <v>0</v>
      </c>
      <c r="BG341" s="151">
        <f t="shared" si="120"/>
        <v>0</v>
      </c>
      <c r="BH341" s="151">
        <f t="shared" si="121"/>
        <v>0</v>
      </c>
      <c r="BI341" s="151">
        <f>ROUNDDOWN(BH341*'1. UC Assumptions'!$C$23,2)</f>
        <v>0</v>
      </c>
      <c r="BJ341" s="154">
        <f t="shared" si="122"/>
        <v>0</v>
      </c>
      <c r="BK341" s="154">
        <f t="shared" si="123"/>
        <v>0</v>
      </c>
      <c r="BL341" s="154">
        <f t="shared" si="124"/>
        <v>0</v>
      </c>
      <c r="BM341" s="154">
        <f t="shared" si="125"/>
        <v>0</v>
      </c>
      <c r="BN341" s="101"/>
      <c r="BO341" s="154">
        <f>(BL341*'1. UC Assumptions'!$C$23)-'3.  UC Calculations by Hospital'!BM341</f>
        <v>0</v>
      </c>
      <c r="BP341" s="13"/>
    </row>
    <row r="342" spans="1:68">
      <c r="B342" s="129" t="s">
        <v>1020</v>
      </c>
      <c r="C342" s="91" t="s">
        <v>1020</v>
      </c>
      <c r="D342" s="91" t="s">
        <v>208</v>
      </c>
      <c r="E342" s="91" t="s">
        <v>149</v>
      </c>
      <c r="F342" s="91"/>
      <c r="G342" s="91" t="s">
        <v>209</v>
      </c>
      <c r="H342" s="91" t="s">
        <v>209</v>
      </c>
      <c r="I342" s="150" t="s">
        <v>210</v>
      </c>
      <c r="J342" s="129" t="s">
        <v>1021</v>
      </c>
      <c r="K342" s="96" t="s">
        <v>10</v>
      </c>
      <c r="L342" s="91" t="s">
        <v>1022</v>
      </c>
      <c r="M342" s="151">
        <v>240952.3288637696</v>
      </c>
      <c r="N342" s="151">
        <v>1359557.1344252722</v>
      </c>
      <c r="O342" s="131">
        <v>0</v>
      </c>
      <c r="P342" s="131">
        <f t="shared" si="106"/>
        <v>1359557.1344252722</v>
      </c>
      <c r="Q342" s="131">
        <v>1334313.6759667455</v>
      </c>
      <c r="R342" s="131">
        <v>0</v>
      </c>
      <c r="S342" s="131">
        <f t="shared" si="107"/>
        <v>0</v>
      </c>
      <c r="T342" s="131">
        <f t="shared" si="105"/>
        <v>1334313.6759667455</v>
      </c>
      <c r="U342" s="131">
        <v>0</v>
      </c>
      <c r="V342" s="131">
        <v>0</v>
      </c>
      <c r="W342" s="131">
        <v>0</v>
      </c>
      <c r="X342" s="131">
        <v>0</v>
      </c>
      <c r="Y342" s="131">
        <v>0</v>
      </c>
      <c r="Z342" s="131">
        <f t="shared" si="108"/>
        <v>0</v>
      </c>
      <c r="AA342" s="131">
        <v>0</v>
      </c>
      <c r="AB342" s="152">
        <f t="shared" si="109"/>
        <v>1334313.6759667455</v>
      </c>
      <c r="AC342" s="133">
        <f>IF(D342="Physician Group Practice",(AB342/$AB$393)*'1. UC Assumptions'!$C$15,IF(E342="Rural Hospital",AB342*'1. UC Assumptions'!$C$7/'1. UC Assumptions'!$E$7,(AB342/$AB$397)*('1. UC Assumptions'!$C$9)))</f>
        <v>1245495.7864630211</v>
      </c>
      <c r="AD342" s="133">
        <f t="shared" si="110"/>
        <v>0</v>
      </c>
      <c r="AE342" s="133">
        <f t="shared" si="111"/>
        <v>88817.889503724407</v>
      </c>
      <c r="AF342" s="133">
        <f t="shared" si="112"/>
        <v>0</v>
      </c>
      <c r="AG342" s="133">
        <f t="shared" si="113"/>
        <v>88817.889503724407</v>
      </c>
      <c r="AH342" s="133">
        <f t="shared" si="114"/>
        <v>1245495.7864630211</v>
      </c>
      <c r="AI342" s="131">
        <f>AH342*'1. UC Assumptions'!$C$23</f>
        <v>411013.60953279689</v>
      </c>
      <c r="AJ342" s="131">
        <v>511695.47</v>
      </c>
      <c r="AK342" s="131">
        <f>AJ342*(1-'1. UC Assumptions'!$C$22)</f>
        <v>168859.50509999998</v>
      </c>
      <c r="AL342" s="131"/>
      <c r="AM342" s="131">
        <f>AL342*'1. UC Assumptions'!$C$23</f>
        <v>0</v>
      </c>
      <c r="AN342" s="153">
        <f t="shared" si="115"/>
        <v>1334313.6759667455</v>
      </c>
      <c r="AO342" s="151">
        <f>AN342*'1. UC Assumptions'!$C$23</f>
        <v>440323.51306902594</v>
      </c>
      <c r="AP342" s="151">
        <f t="shared" si="116"/>
        <v>822618.2059667455</v>
      </c>
      <c r="AQ342" s="151">
        <f t="shared" si="117"/>
        <v>271464.00796902599</v>
      </c>
      <c r="AR342" s="151">
        <f t="shared" si="118"/>
        <v>271464.00796902599</v>
      </c>
      <c r="AS342" s="151">
        <f t="shared" si="119"/>
        <v>440323.51306902594</v>
      </c>
      <c r="AT342" s="151">
        <f>IF(K342="Bexar",(AG342/$AT$1)*'1. UC Assumptions'!$E$44-(AH342/$AT$2)*'1. UC Assumptions'!$E$42,0)</f>
        <v>0</v>
      </c>
      <c r="AU342" s="151">
        <f>IF(K342="Dallas",(AG342/$AU$1)*'1. UC Assumptions'!$F$44-(AH342/$AU$2)*'1. UC Assumptions'!$F$42,0)</f>
        <v>0</v>
      </c>
      <c r="AV342" s="151">
        <f>IF(K342="El Paso",(AG342/$AV$1)*'1. UC Assumptions'!$G$44-(AH342/$AV$2)*'1. UC Assumptions'!$G$42,0)</f>
        <v>0</v>
      </c>
      <c r="AW342" s="151">
        <f>IF(K342="Harris",(AG342/$AW$1)*'1. UC Assumptions'!$H$44-(AH342/$AW$2)*'1. UC Assumptions'!$H$42,0)</f>
        <v>0</v>
      </c>
      <c r="AX342" s="151">
        <f>IF(K342="Hidalgo",(AG342/$AX$1)*'1. UC Assumptions'!$I$44-(AH342/$AX$2)*'1. UC Assumptions'!$I$42,0)</f>
        <v>0</v>
      </c>
      <c r="AY342" s="151">
        <f>IF(K342="Jefferson",(AG342/$AY$1)*'1. UC Assumptions'!$J$44-(AH342/$AY$2)*'1. UC Assumptions'!$J$42,0)</f>
        <v>0</v>
      </c>
      <c r="AZ342" s="151">
        <f>IF(K342="Lubbock",(AG342/$AZ$1)*'1. UC Assumptions'!$K$44-(AH342/$AZ$2)*'1. UC Assumptions'!$K$42,0)</f>
        <v>0</v>
      </c>
      <c r="BA342" s="151">
        <f>IF(K342="MRSA Central",(AG342/$BA$1)*'1. UC Assumptions'!$L$44-(AH342/$BA$2)*'1. UC Assumptions'!$L$42,0)</f>
        <v>0</v>
      </c>
      <c r="BB342" s="151">
        <f>IF(K342="MRSA Northeast",(AG342/$BB$1)*'1. UC Assumptions'!$M$44-(AH342/$BB$2)*'1. UC Assumptions'!$M$42,0)</f>
        <v>0</v>
      </c>
      <c r="BC342" s="151">
        <f>IF(K342="MRSA West",(AG342/$BC$1)*'1. UC Assumptions'!$N$44-(AH342/$BC$2)*'1. UC Assumptions'!$N$42,0)</f>
        <v>0</v>
      </c>
      <c r="BD342" s="151">
        <f>IF(K342="Nueces",(AG342/$BD$1)*'1. UC Assumptions'!$O$44-(AH342/$BD$2)*'1. UC Assumptions'!$O$42,0)</f>
        <v>0</v>
      </c>
      <c r="BE342" s="151">
        <f>IF(K342="Tarrant",(AG342/$BE$1)*'1. UC Assumptions'!$P$44-(AH342/$BE$2)*'1. UC Assumptions'!$P$42,0)</f>
        <v>0</v>
      </c>
      <c r="BF342" s="151">
        <f>IF(K342="Travis",(AG342/$BF$1)*'1. UC Assumptions'!$Q$44-(AH342/$BF$2)*'1. UC Assumptions'!$Q$42,0)</f>
        <v>0</v>
      </c>
      <c r="BG342" s="151">
        <f t="shared" si="120"/>
        <v>0</v>
      </c>
      <c r="BH342" s="151">
        <f t="shared" si="121"/>
        <v>1245495.7864630211</v>
      </c>
      <c r="BI342" s="151">
        <f>ROUNDDOWN(BH342*'1. UC Assumptions'!$C$23,2)</f>
        <v>411013.6</v>
      </c>
      <c r="BJ342" s="154">
        <f t="shared" si="122"/>
        <v>733800.3164630211</v>
      </c>
      <c r="BK342" s="154">
        <f t="shared" si="123"/>
        <v>242154.0949</v>
      </c>
      <c r="BL342" s="154">
        <f t="shared" si="124"/>
        <v>677459.19</v>
      </c>
      <c r="BM342" s="154">
        <f t="shared" si="125"/>
        <v>223561.52</v>
      </c>
      <c r="BN342" s="101"/>
      <c r="BO342" s="154">
        <f>(BL342*'1. UC Assumptions'!$C$23)-'3.  UC Calculations by Hospital'!BM342</f>
        <v>1.2699999962933362E-2</v>
      </c>
      <c r="BP342" s="13"/>
    </row>
    <row r="343" spans="1:68">
      <c r="B343" s="129" t="s">
        <v>1023</v>
      </c>
      <c r="C343" s="91" t="s">
        <v>1023</v>
      </c>
      <c r="D343" s="91" t="s">
        <v>214</v>
      </c>
      <c r="E343" s="91" t="s">
        <v>209</v>
      </c>
      <c r="F343" s="91"/>
      <c r="G343" s="91" t="s">
        <v>209</v>
      </c>
      <c r="H343" s="91" t="s">
        <v>209</v>
      </c>
      <c r="I343" s="150" t="s">
        <v>210</v>
      </c>
      <c r="J343" s="129" t="s">
        <v>1024</v>
      </c>
      <c r="K343" s="91" t="s">
        <v>6</v>
      </c>
      <c r="L343" s="91" t="s">
        <v>223</v>
      </c>
      <c r="M343" s="151">
        <v>5846109.8317766134</v>
      </c>
      <c r="N343" s="151">
        <v>0</v>
      </c>
      <c r="O343" s="131">
        <v>0</v>
      </c>
      <c r="P343" s="131">
        <f t="shared" si="106"/>
        <v>0</v>
      </c>
      <c r="Q343" s="131">
        <v>18385860.532062642</v>
      </c>
      <c r="R343" s="131">
        <v>0</v>
      </c>
      <c r="S343" s="131">
        <f t="shared" si="107"/>
        <v>0</v>
      </c>
      <c r="T343" s="131">
        <f t="shared" si="105"/>
        <v>18385860.532062642</v>
      </c>
      <c r="U343" s="131">
        <v>0</v>
      </c>
      <c r="V343" s="131">
        <v>0</v>
      </c>
      <c r="W343" s="131">
        <v>0</v>
      </c>
      <c r="X343" s="131">
        <v>0</v>
      </c>
      <c r="Y343" s="131">
        <v>2885527</v>
      </c>
      <c r="Z343" s="131">
        <f t="shared" si="108"/>
        <v>2885527</v>
      </c>
      <c r="AA343" s="131">
        <v>0</v>
      </c>
      <c r="AB343" s="152">
        <f t="shared" si="109"/>
        <v>21271387.532062642</v>
      </c>
      <c r="AC343" s="133">
        <f>IF(D343="Physician Group Practice",(AB343/$AB$393)*'1. UC Assumptions'!$C$15,IF(E343="Rural Hospital",AB343*'1. UC Assumptions'!$C$7/'1. UC Assumptions'!$E$7,(AB343/$AB$397)*('1. UC Assumptions'!$C$9)))</f>
        <v>10000649.396906141</v>
      </c>
      <c r="AD343" s="133">
        <f t="shared" si="110"/>
        <v>0</v>
      </c>
      <c r="AE343" s="133">
        <f t="shared" si="111"/>
        <v>11270738.135156501</v>
      </c>
      <c r="AF343" s="133">
        <f t="shared" si="112"/>
        <v>0</v>
      </c>
      <c r="AG343" s="133">
        <f t="shared" si="113"/>
        <v>11270738.135156501</v>
      </c>
      <c r="AH343" s="133">
        <f t="shared" si="114"/>
        <v>10000649.396906141</v>
      </c>
      <c r="AI343" s="131">
        <f>AH343*'1. UC Assumptions'!$C$23</f>
        <v>3300214.3009790261</v>
      </c>
      <c r="AJ343" s="131">
        <v>7686210.9800000004</v>
      </c>
      <c r="AK343" s="131">
        <f>AJ343*(1-'1. UC Assumptions'!$C$22)</f>
        <v>2536449.6233999999</v>
      </c>
      <c r="AL343" s="131"/>
      <c r="AM343" s="131">
        <f>AL343*'1. UC Assumptions'!$C$23</f>
        <v>0</v>
      </c>
      <c r="AN343" s="153">
        <f t="shared" si="115"/>
        <v>21271387.532062642</v>
      </c>
      <c r="AO343" s="151">
        <f>AN343*'1. UC Assumptions'!$C$23</f>
        <v>7019557.885580671</v>
      </c>
      <c r="AP343" s="151">
        <f t="shared" si="116"/>
        <v>13585176.552062642</v>
      </c>
      <c r="AQ343" s="151">
        <f t="shared" si="117"/>
        <v>4483108.2621806711</v>
      </c>
      <c r="AR343" s="151">
        <f t="shared" si="118"/>
        <v>4483108.2621806711</v>
      </c>
      <c r="AS343" s="151">
        <f t="shared" si="119"/>
        <v>7019557.885580671</v>
      </c>
      <c r="AT343" s="151">
        <f>IF(K343="Bexar",(AG343/$AT$1)*'1. UC Assumptions'!$E$44-(AH343/$AT$2)*'1. UC Assumptions'!$E$42,0)</f>
        <v>0</v>
      </c>
      <c r="AU343" s="151">
        <f>IF(K343="Dallas",(AG343/$AU$1)*'1. UC Assumptions'!$F$44-(AH343/$AU$2)*'1. UC Assumptions'!$F$42,0)</f>
        <v>0</v>
      </c>
      <c r="AV343" s="151">
        <f>IF(K343="El Paso",(AG343/$AV$1)*'1. UC Assumptions'!$G$44-(AH343/$AV$2)*'1. UC Assumptions'!$G$42,0)</f>
        <v>0</v>
      </c>
      <c r="AW343" s="151">
        <f>IF(K343="Harris",(AG343/$AW$1)*'1. UC Assumptions'!$H$44-(AH343/$AW$2)*'1. UC Assumptions'!$H$42,0)</f>
        <v>0</v>
      </c>
      <c r="AX343" s="151">
        <f>IF(K343="Hidalgo",(AG343/$AX$1)*'1. UC Assumptions'!$I$44-(AH343/$AX$2)*'1. UC Assumptions'!$I$42,0)</f>
        <v>0</v>
      </c>
      <c r="AY343" s="151">
        <f>IF(K343="Jefferson",(AG343/$AY$1)*'1. UC Assumptions'!$J$44-(AH343/$AY$2)*'1. UC Assumptions'!$J$42,0)</f>
        <v>0</v>
      </c>
      <c r="AZ343" s="151">
        <f>IF(K343="Lubbock",(AG343/$AZ$1)*'1. UC Assumptions'!$K$44-(AH343/$AZ$2)*'1. UC Assumptions'!$K$42,0)</f>
        <v>0</v>
      </c>
      <c r="BA343" s="151">
        <f>IF(K343="MRSA Central",(AG343/$BA$1)*'1. UC Assumptions'!$L$44-(AH343/$BA$2)*'1. UC Assumptions'!$L$42,0)</f>
        <v>0</v>
      </c>
      <c r="BB343" s="151">
        <f>IF(K343="MRSA Northeast",(AG343/$BB$1)*'1. UC Assumptions'!$M$44-(AH343/$BB$2)*'1. UC Assumptions'!$M$42,0)</f>
        <v>0</v>
      </c>
      <c r="BC343" s="151">
        <f>IF(K343="MRSA West",(AG343/$BC$1)*'1. UC Assumptions'!$N$44-(AH343/$BC$2)*'1. UC Assumptions'!$N$42,0)</f>
        <v>0</v>
      </c>
      <c r="BD343" s="151">
        <f>IF(K343="Nueces",(AG343/$BD$1)*'1. UC Assumptions'!$O$44-(AH343/$BD$2)*'1. UC Assumptions'!$O$42,0)</f>
        <v>0</v>
      </c>
      <c r="BE343" s="151">
        <f>IF(K343="Tarrant",(AG343/$BE$1)*'1. UC Assumptions'!$P$44-(AH343/$BE$2)*'1. UC Assumptions'!$P$42,0)</f>
        <v>0</v>
      </c>
      <c r="BF343" s="151">
        <f>IF(K343="Travis",(AG343/$BF$1)*'1. UC Assumptions'!$Q$44-(AH343/$BF$2)*'1. UC Assumptions'!$Q$42,0)</f>
        <v>0</v>
      </c>
      <c r="BG343" s="151">
        <f t="shared" si="120"/>
        <v>0</v>
      </c>
      <c r="BH343" s="151">
        <f t="shared" si="121"/>
        <v>10000649.396906141</v>
      </c>
      <c r="BI343" s="151">
        <f>ROUNDDOWN(BH343*'1. UC Assumptions'!$C$23,2)</f>
        <v>3300214.3</v>
      </c>
      <c r="BJ343" s="154">
        <f t="shared" si="122"/>
        <v>2314438.4169061407</v>
      </c>
      <c r="BK343" s="154">
        <f t="shared" si="123"/>
        <v>763764.67659999989</v>
      </c>
      <c r="BL343" s="154">
        <f t="shared" si="124"/>
        <v>2136736.0299999998</v>
      </c>
      <c r="BM343" s="154">
        <f t="shared" si="125"/>
        <v>705122.89</v>
      </c>
      <c r="BN343" s="101"/>
      <c r="BO343" s="154">
        <f>(BL343*'1. UC Assumptions'!$C$23)-'3.  UC Calculations by Hospital'!BM343</f>
        <v>-1.0000017937272787E-4</v>
      </c>
      <c r="BP343" s="13"/>
    </row>
    <row r="344" spans="1:68">
      <c r="B344" s="129" t="s">
        <v>1025</v>
      </c>
      <c r="C344" s="91" t="s">
        <v>1025</v>
      </c>
      <c r="D344" s="91" t="s">
        <v>214</v>
      </c>
      <c r="E344" s="91" t="s">
        <v>209</v>
      </c>
      <c r="F344" s="91"/>
      <c r="G344" s="91" t="s">
        <v>209</v>
      </c>
      <c r="H344" s="91" t="s">
        <v>209</v>
      </c>
      <c r="I344" s="150" t="s">
        <v>210</v>
      </c>
      <c r="J344" s="129" t="s">
        <v>1026</v>
      </c>
      <c r="K344" s="91" t="s">
        <v>6</v>
      </c>
      <c r="L344" s="91" t="s">
        <v>6</v>
      </c>
      <c r="M344" s="151">
        <v>-604486.28850150912</v>
      </c>
      <c r="N344" s="151">
        <v>17013297.369321253</v>
      </c>
      <c r="O344" s="131">
        <v>12558533.054131465</v>
      </c>
      <c r="P344" s="131">
        <f t="shared" si="106"/>
        <v>4454764.3151897881</v>
      </c>
      <c r="Q344" s="131">
        <v>18506186.468533758</v>
      </c>
      <c r="R344" s="131">
        <v>0</v>
      </c>
      <c r="S344" s="131">
        <f t="shared" si="107"/>
        <v>0</v>
      </c>
      <c r="T344" s="131">
        <f t="shared" si="105"/>
        <v>18506186.468533758</v>
      </c>
      <c r="U344" s="131">
        <v>753036</v>
      </c>
      <c r="V344" s="131">
        <v>0</v>
      </c>
      <c r="W344" s="131">
        <v>0</v>
      </c>
      <c r="X344" s="131">
        <v>0</v>
      </c>
      <c r="Y344" s="131">
        <v>2542295.8143891767</v>
      </c>
      <c r="Z344" s="131">
        <f t="shared" si="108"/>
        <v>3295331.8143891767</v>
      </c>
      <c r="AA344" s="131">
        <v>0</v>
      </c>
      <c r="AB344" s="152">
        <f t="shared" si="109"/>
        <v>21801518.282922935</v>
      </c>
      <c r="AC344" s="133">
        <f>IF(D344="Physician Group Practice",(AB344/$AB$393)*'1. UC Assumptions'!$C$15,IF(E344="Rural Hospital",AB344*'1. UC Assumptions'!$C$7/'1. UC Assumptions'!$E$7,(AB344/$AB$397)*('1. UC Assumptions'!$C$9)))</f>
        <v>10249888.040407</v>
      </c>
      <c r="AD344" s="133">
        <f t="shared" si="110"/>
        <v>0</v>
      </c>
      <c r="AE344" s="133">
        <f t="shared" si="111"/>
        <v>11551630.242515935</v>
      </c>
      <c r="AF344" s="133">
        <f t="shared" si="112"/>
        <v>0</v>
      </c>
      <c r="AG344" s="133">
        <f t="shared" si="113"/>
        <v>11551630.242515935</v>
      </c>
      <c r="AH344" s="133">
        <f t="shared" si="114"/>
        <v>10249888.040407</v>
      </c>
      <c r="AI344" s="131">
        <f>AH344*'1. UC Assumptions'!$C$23</f>
        <v>3382463.0533343097</v>
      </c>
      <c r="AJ344" s="131">
        <v>12674542.57</v>
      </c>
      <c r="AK344" s="131">
        <f>AJ344*(1-'1. UC Assumptions'!$C$22)</f>
        <v>4182599.0480999998</v>
      </c>
      <c r="AL344" s="131"/>
      <c r="AM344" s="131">
        <f>AL344*'1. UC Assumptions'!$C$23</f>
        <v>0</v>
      </c>
      <c r="AN344" s="153">
        <f t="shared" si="115"/>
        <v>21801518.282922935</v>
      </c>
      <c r="AO344" s="151">
        <f>AN344*'1. UC Assumptions'!$C$23</f>
        <v>7194501.0333645679</v>
      </c>
      <c r="AP344" s="151">
        <f t="shared" si="116"/>
        <v>9126975.7129229344</v>
      </c>
      <c r="AQ344" s="151">
        <f t="shared" si="117"/>
        <v>3011901.9852645681</v>
      </c>
      <c r="AR344" s="151">
        <f t="shared" si="118"/>
        <v>3011901.9852645681</v>
      </c>
      <c r="AS344" s="151">
        <f t="shared" si="119"/>
        <v>7194501.0333645679</v>
      </c>
      <c r="AT344" s="151">
        <f>IF(K344="Bexar",(AG344/$AT$1)*'1. UC Assumptions'!$E$44-(AH344/$AT$2)*'1. UC Assumptions'!$E$42,0)</f>
        <v>0</v>
      </c>
      <c r="AU344" s="151">
        <f>IF(K344="Dallas",(AG344/$AU$1)*'1. UC Assumptions'!$F$44-(AH344/$AU$2)*'1. UC Assumptions'!$F$42,0)</f>
        <v>0</v>
      </c>
      <c r="AV344" s="151">
        <f>IF(K344="El Paso",(AG344/$AV$1)*'1. UC Assumptions'!$G$44-(AH344/$AV$2)*'1. UC Assumptions'!$G$42,0)</f>
        <v>0</v>
      </c>
      <c r="AW344" s="151">
        <f>IF(K344="Harris",(AG344/$AW$1)*'1. UC Assumptions'!$H$44-(AH344/$AW$2)*'1. UC Assumptions'!$H$42,0)</f>
        <v>0</v>
      </c>
      <c r="AX344" s="151">
        <f>IF(K344="Hidalgo",(AG344/$AX$1)*'1. UC Assumptions'!$I$44-(AH344/$AX$2)*'1. UC Assumptions'!$I$42,0)</f>
        <v>0</v>
      </c>
      <c r="AY344" s="151">
        <f>IF(K344="Jefferson",(AG344/$AY$1)*'1. UC Assumptions'!$J$44-(AH344/$AY$2)*'1. UC Assumptions'!$J$42,0)</f>
        <v>0</v>
      </c>
      <c r="AZ344" s="151">
        <f>IF(K344="Lubbock",(AG344/$AZ$1)*'1. UC Assumptions'!$K$44-(AH344/$AZ$2)*'1. UC Assumptions'!$K$42,0)</f>
        <v>0</v>
      </c>
      <c r="BA344" s="151">
        <f>IF(K344="MRSA Central",(AG344/$BA$1)*'1. UC Assumptions'!$L$44-(AH344/$BA$2)*'1. UC Assumptions'!$L$42,0)</f>
        <v>0</v>
      </c>
      <c r="BB344" s="151">
        <f>IF(K344="MRSA Northeast",(AG344/$BB$1)*'1. UC Assumptions'!$M$44-(AH344/$BB$2)*'1. UC Assumptions'!$M$42,0)</f>
        <v>0</v>
      </c>
      <c r="BC344" s="151">
        <f>IF(K344="MRSA West",(AG344/$BC$1)*'1. UC Assumptions'!$N$44-(AH344/$BC$2)*'1. UC Assumptions'!$N$42,0)</f>
        <v>0</v>
      </c>
      <c r="BD344" s="151">
        <f>IF(K344="Nueces",(AG344/$BD$1)*'1. UC Assumptions'!$O$44-(AH344/$BD$2)*'1. UC Assumptions'!$O$42,0)</f>
        <v>0</v>
      </c>
      <c r="BE344" s="151">
        <f>IF(K344="Tarrant",(AG344/$BE$1)*'1. UC Assumptions'!$P$44-(AH344/$BE$2)*'1. UC Assumptions'!$P$42,0)</f>
        <v>0</v>
      </c>
      <c r="BF344" s="151">
        <f>IF(K344="Travis",(AG344/$BF$1)*'1. UC Assumptions'!$Q$44-(AH344/$BF$2)*'1. UC Assumptions'!$Q$42,0)</f>
        <v>0</v>
      </c>
      <c r="BG344" s="151">
        <f t="shared" si="120"/>
        <v>0</v>
      </c>
      <c r="BH344" s="151">
        <f t="shared" si="121"/>
        <v>10249888.040407</v>
      </c>
      <c r="BI344" s="151">
        <f>ROUNDDOWN(BH344*'1. UC Assumptions'!$C$23,2)</f>
        <v>3382463.05</v>
      </c>
      <c r="BJ344" s="154">
        <f t="shared" si="122"/>
        <v>-2424654.5295930002</v>
      </c>
      <c r="BK344" s="154">
        <f t="shared" si="123"/>
        <v>-800135.99809999997</v>
      </c>
      <c r="BL344" s="154">
        <f t="shared" si="124"/>
        <v>0</v>
      </c>
      <c r="BM344" s="154">
        <f t="shared" si="125"/>
        <v>0</v>
      </c>
      <c r="BN344" s="101"/>
      <c r="BO344" s="154">
        <f>(BL344*'1. UC Assumptions'!$C$23)-'3.  UC Calculations by Hospital'!BM344</f>
        <v>0</v>
      </c>
      <c r="BP344" s="13"/>
    </row>
    <row r="345" spans="1:68">
      <c r="B345" s="129" t="s">
        <v>1027</v>
      </c>
      <c r="C345" s="91" t="s">
        <v>1027</v>
      </c>
      <c r="D345" s="91" t="s">
        <v>214</v>
      </c>
      <c r="E345" s="91" t="s">
        <v>209</v>
      </c>
      <c r="F345" s="91"/>
      <c r="G345" s="91" t="s">
        <v>209</v>
      </c>
      <c r="H345" s="91" t="s">
        <v>209</v>
      </c>
      <c r="I345" s="150" t="s">
        <v>210</v>
      </c>
      <c r="J345" s="129" t="s">
        <v>1028</v>
      </c>
      <c r="K345" s="91" t="s">
        <v>6</v>
      </c>
      <c r="L345" s="91" t="s">
        <v>6</v>
      </c>
      <c r="M345" s="151">
        <v>2677482.1630915911</v>
      </c>
      <c r="N345" s="151">
        <v>0</v>
      </c>
      <c r="O345" s="131">
        <v>0</v>
      </c>
      <c r="P345" s="131">
        <f t="shared" si="106"/>
        <v>0</v>
      </c>
      <c r="Q345" s="131">
        <v>4488307.7458452694</v>
      </c>
      <c r="R345" s="131">
        <v>0</v>
      </c>
      <c r="S345" s="131">
        <f t="shared" si="107"/>
        <v>0</v>
      </c>
      <c r="T345" s="131">
        <f t="shared" si="105"/>
        <v>4488307.7458452694</v>
      </c>
      <c r="U345" s="131">
        <v>0</v>
      </c>
      <c r="V345" s="131">
        <v>0</v>
      </c>
      <c r="W345" s="131">
        <v>0</v>
      </c>
      <c r="X345" s="131">
        <v>0</v>
      </c>
      <c r="Y345" s="131">
        <v>1441710.1162981794</v>
      </c>
      <c r="Z345" s="131">
        <f t="shared" si="108"/>
        <v>1441710.1162981794</v>
      </c>
      <c r="AA345" s="131">
        <v>0</v>
      </c>
      <c r="AB345" s="152">
        <f t="shared" si="109"/>
        <v>5930017.8621434486</v>
      </c>
      <c r="AC345" s="133">
        <f>IF(D345="Physician Group Practice",(AB345/$AB$393)*'1. UC Assumptions'!$C$15,IF(E345="Rural Hospital",AB345*'1. UC Assumptions'!$C$7/'1. UC Assumptions'!$E$7,(AB345/$AB$397)*('1. UC Assumptions'!$C$9)))</f>
        <v>2787971.8456211556</v>
      </c>
      <c r="AD345" s="133">
        <f t="shared" si="110"/>
        <v>0</v>
      </c>
      <c r="AE345" s="133">
        <f t="shared" si="111"/>
        <v>3142046.016522293</v>
      </c>
      <c r="AF345" s="133">
        <f t="shared" si="112"/>
        <v>0</v>
      </c>
      <c r="AG345" s="133">
        <f t="shared" si="113"/>
        <v>3142046.016522293</v>
      </c>
      <c r="AH345" s="133">
        <f t="shared" si="114"/>
        <v>2787971.8456211556</v>
      </c>
      <c r="AI345" s="131">
        <f>AH345*'1. UC Assumptions'!$C$23</f>
        <v>920030.70905498124</v>
      </c>
      <c r="AJ345" s="131">
        <v>2479091.15</v>
      </c>
      <c r="AK345" s="131">
        <f>AJ345*(1-'1. UC Assumptions'!$C$22)</f>
        <v>818100.07949999988</v>
      </c>
      <c r="AL345" s="131"/>
      <c r="AM345" s="131">
        <f>AL345*'1. UC Assumptions'!$C$23</f>
        <v>0</v>
      </c>
      <c r="AN345" s="153">
        <f t="shared" si="115"/>
        <v>5930017.8621434486</v>
      </c>
      <c r="AO345" s="151">
        <f>AN345*'1. UC Assumptions'!$C$23</f>
        <v>1956905.8945073378</v>
      </c>
      <c r="AP345" s="151">
        <f t="shared" si="116"/>
        <v>3450926.7121434486</v>
      </c>
      <c r="AQ345" s="151">
        <f t="shared" si="117"/>
        <v>1138805.8150073378</v>
      </c>
      <c r="AR345" s="151">
        <f t="shared" si="118"/>
        <v>1138805.8150073378</v>
      </c>
      <c r="AS345" s="151">
        <f t="shared" si="119"/>
        <v>1956905.8945073378</v>
      </c>
      <c r="AT345" s="151">
        <f>IF(K345="Bexar",(AG345/$AT$1)*'1. UC Assumptions'!$E$44-(AH345/$AT$2)*'1. UC Assumptions'!$E$42,0)</f>
        <v>0</v>
      </c>
      <c r="AU345" s="151">
        <f>IF(K345="Dallas",(AG345/$AU$1)*'1. UC Assumptions'!$F$44-(AH345/$AU$2)*'1. UC Assumptions'!$F$42,0)</f>
        <v>0</v>
      </c>
      <c r="AV345" s="151">
        <f>IF(K345="El Paso",(AG345/$AV$1)*'1. UC Assumptions'!$G$44-(AH345/$AV$2)*'1. UC Assumptions'!$G$42,0)</f>
        <v>0</v>
      </c>
      <c r="AW345" s="151">
        <f>IF(K345="Harris",(AG345/$AW$1)*'1. UC Assumptions'!$H$44-(AH345/$AW$2)*'1. UC Assumptions'!$H$42,0)</f>
        <v>0</v>
      </c>
      <c r="AX345" s="151">
        <f>IF(K345="Hidalgo",(AG345/$AX$1)*'1. UC Assumptions'!$I$44-(AH345/$AX$2)*'1. UC Assumptions'!$I$42,0)</f>
        <v>0</v>
      </c>
      <c r="AY345" s="151">
        <f>IF(K345="Jefferson",(AG345/$AY$1)*'1. UC Assumptions'!$J$44-(AH345/$AY$2)*'1. UC Assumptions'!$J$42,0)</f>
        <v>0</v>
      </c>
      <c r="AZ345" s="151">
        <f>IF(K345="Lubbock",(AG345/$AZ$1)*'1. UC Assumptions'!$K$44-(AH345/$AZ$2)*'1. UC Assumptions'!$K$42,0)</f>
        <v>0</v>
      </c>
      <c r="BA345" s="151">
        <f>IF(K345="MRSA Central",(AG345/$BA$1)*'1. UC Assumptions'!$L$44-(AH345/$BA$2)*'1. UC Assumptions'!$L$42,0)</f>
        <v>0</v>
      </c>
      <c r="BB345" s="151">
        <f>IF(K345="MRSA Northeast",(AG345/$BB$1)*'1. UC Assumptions'!$M$44-(AH345/$BB$2)*'1. UC Assumptions'!$M$42,0)</f>
        <v>0</v>
      </c>
      <c r="BC345" s="151">
        <f>IF(K345="MRSA West",(AG345/$BC$1)*'1. UC Assumptions'!$N$44-(AH345/$BC$2)*'1. UC Assumptions'!$N$42,0)</f>
        <v>0</v>
      </c>
      <c r="BD345" s="151">
        <f>IF(K345="Nueces",(AG345/$BD$1)*'1. UC Assumptions'!$O$44-(AH345/$BD$2)*'1. UC Assumptions'!$O$42,0)</f>
        <v>0</v>
      </c>
      <c r="BE345" s="151">
        <f>IF(K345="Tarrant",(AG345/$BE$1)*'1. UC Assumptions'!$P$44-(AH345/$BE$2)*'1. UC Assumptions'!$P$42,0)</f>
        <v>0</v>
      </c>
      <c r="BF345" s="151">
        <f>IF(K345="Travis",(AG345/$BF$1)*'1. UC Assumptions'!$Q$44-(AH345/$BF$2)*'1. UC Assumptions'!$Q$42,0)</f>
        <v>0</v>
      </c>
      <c r="BG345" s="151">
        <f t="shared" si="120"/>
        <v>0</v>
      </c>
      <c r="BH345" s="151">
        <f t="shared" si="121"/>
        <v>2787971.8456211556</v>
      </c>
      <c r="BI345" s="151">
        <f>ROUNDDOWN(BH345*'1. UC Assumptions'!$C$23,2)</f>
        <v>920030.7</v>
      </c>
      <c r="BJ345" s="154">
        <f t="shared" si="122"/>
        <v>308880.69562115567</v>
      </c>
      <c r="BK345" s="154">
        <f t="shared" si="123"/>
        <v>101930.62050000008</v>
      </c>
      <c r="BL345" s="154">
        <f t="shared" si="124"/>
        <v>285164.86</v>
      </c>
      <c r="BM345" s="154">
        <f t="shared" si="125"/>
        <v>94104.4</v>
      </c>
      <c r="BN345" s="101"/>
      <c r="BO345" s="154">
        <f>(BL345*'1. UC Assumptions'!$C$23)-'3.  UC Calculations by Hospital'!BM345</f>
        <v>3.799999991315417E-3</v>
      </c>
      <c r="BP345" s="13"/>
    </row>
    <row r="346" spans="1:68">
      <c r="B346" s="129" t="s">
        <v>1029</v>
      </c>
      <c r="C346" s="91" t="s">
        <v>1029</v>
      </c>
      <c r="D346" s="91" t="s">
        <v>214</v>
      </c>
      <c r="E346" s="91" t="s">
        <v>149</v>
      </c>
      <c r="F346" s="91"/>
      <c r="G346" s="91" t="s">
        <v>209</v>
      </c>
      <c r="H346" s="91" t="s">
        <v>209</v>
      </c>
      <c r="I346" s="150" t="s">
        <v>210</v>
      </c>
      <c r="J346" s="129" t="s">
        <v>1030</v>
      </c>
      <c r="K346" s="96" t="s">
        <v>3</v>
      </c>
      <c r="L346" s="91" t="s">
        <v>1031</v>
      </c>
      <c r="M346" s="151">
        <v>-1245016.6896577538</v>
      </c>
      <c r="N346" s="151">
        <v>5077708.2316607218</v>
      </c>
      <c r="O346" s="131">
        <v>2444777.4111645697</v>
      </c>
      <c r="P346" s="131">
        <f t="shared" si="106"/>
        <v>2632930.8204961522</v>
      </c>
      <c r="Q346" s="131">
        <v>4719089.3441405958</v>
      </c>
      <c r="R346" s="131">
        <v>692584.52</v>
      </c>
      <c r="S346" s="131">
        <f t="shared" si="107"/>
        <v>0</v>
      </c>
      <c r="T346" s="131">
        <f t="shared" si="105"/>
        <v>4719089.3441405958</v>
      </c>
      <c r="U346" s="131">
        <v>281950</v>
      </c>
      <c r="V346" s="131">
        <v>0</v>
      </c>
      <c r="W346" s="131">
        <v>0</v>
      </c>
      <c r="X346" s="131">
        <v>0</v>
      </c>
      <c r="Y346" s="131">
        <v>0</v>
      </c>
      <c r="Z346" s="131">
        <f t="shared" si="108"/>
        <v>281950</v>
      </c>
      <c r="AA346" s="131">
        <v>0</v>
      </c>
      <c r="AB346" s="152">
        <f t="shared" si="109"/>
        <v>5001039.3441405958</v>
      </c>
      <c r="AC346" s="133">
        <f>IF(D346="Physician Group Practice",(AB346/$AB$393)*'1. UC Assumptions'!$C$15,IF(E346="Rural Hospital",AB346*'1. UC Assumptions'!$C$7/'1. UC Assumptions'!$E$7,(AB346/$AB$397)*('1. UC Assumptions'!$C$9)))</f>
        <v>4668147.7850775914</v>
      </c>
      <c r="AD346" s="133">
        <f t="shared" si="110"/>
        <v>0</v>
      </c>
      <c r="AE346" s="133">
        <f t="shared" si="111"/>
        <v>332891.55906300433</v>
      </c>
      <c r="AF346" s="133">
        <f t="shared" si="112"/>
        <v>0</v>
      </c>
      <c r="AG346" s="133">
        <f t="shared" si="113"/>
        <v>332891.55906300433</v>
      </c>
      <c r="AH346" s="133">
        <f t="shared" si="114"/>
        <v>4668147.7850775914</v>
      </c>
      <c r="AI346" s="131">
        <f>AH346*'1. UC Assumptions'!$C$23</f>
        <v>1540488.7690756051</v>
      </c>
      <c r="AJ346" s="131">
        <v>1938984.81</v>
      </c>
      <c r="AK346" s="131">
        <f>AJ346*(1-'1. UC Assumptions'!$C$22)</f>
        <v>639864.98729999992</v>
      </c>
      <c r="AL346" s="131"/>
      <c r="AM346" s="131">
        <f>AL346*'1. UC Assumptions'!$C$23</f>
        <v>0</v>
      </c>
      <c r="AN346" s="153">
        <f t="shared" si="115"/>
        <v>5001039.3441405958</v>
      </c>
      <c r="AO346" s="151">
        <f>AN346*'1. UC Assumptions'!$C$23</f>
        <v>1650342.9835663964</v>
      </c>
      <c r="AP346" s="151">
        <f t="shared" si="116"/>
        <v>3062054.5341405957</v>
      </c>
      <c r="AQ346" s="151">
        <f t="shared" si="117"/>
        <v>1010477.9962663965</v>
      </c>
      <c r="AR346" s="151">
        <f t="shared" si="118"/>
        <v>1010477.9962663965</v>
      </c>
      <c r="AS346" s="151">
        <f t="shared" si="119"/>
        <v>1650342.9835663964</v>
      </c>
      <c r="AT346" s="151">
        <f>IF(K346="Bexar",(AG346/$AT$1)*'1. UC Assumptions'!$E$44-(AH346/$AT$2)*'1. UC Assumptions'!$E$42,0)</f>
        <v>0</v>
      </c>
      <c r="AU346" s="151">
        <f>IF(K346="Dallas",(AG346/$AU$1)*'1. UC Assumptions'!$F$44-(AH346/$AU$2)*'1. UC Assumptions'!$F$42,0)</f>
        <v>0</v>
      </c>
      <c r="AV346" s="151">
        <f>IF(K346="El Paso",(AG346/$AV$1)*'1. UC Assumptions'!$G$44-(AH346/$AV$2)*'1. UC Assumptions'!$G$42,0)</f>
        <v>0</v>
      </c>
      <c r="AW346" s="151">
        <f>IF(K346="Harris",(AG346/$AW$1)*'1. UC Assumptions'!$H$44-(AH346/$AW$2)*'1. UC Assumptions'!$H$42,0)</f>
        <v>0</v>
      </c>
      <c r="AX346" s="151">
        <f>IF(K346="Hidalgo",(AG346/$AX$1)*'1. UC Assumptions'!$I$44-(AH346/$AX$2)*'1. UC Assumptions'!$I$42,0)</f>
        <v>0</v>
      </c>
      <c r="AY346" s="151">
        <f>IF(K346="Jefferson",(AG346/$AY$1)*'1. UC Assumptions'!$J$44-(AH346/$AY$2)*'1. UC Assumptions'!$J$42,0)</f>
        <v>0</v>
      </c>
      <c r="AZ346" s="151">
        <f>IF(K346="Lubbock",(AG346/$AZ$1)*'1. UC Assumptions'!$K$44-(AH346/$AZ$2)*'1. UC Assumptions'!$K$42,0)</f>
        <v>0</v>
      </c>
      <c r="BA346" s="151">
        <f>IF(K346="MRSA Central",(AG346/$BA$1)*'1. UC Assumptions'!$L$44-(AH346/$BA$2)*'1. UC Assumptions'!$L$42,0)</f>
        <v>0</v>
      </c>
      <c r="BB346" s="151">
        <f>IF(K346="MRSA Northeast",(AG346/$BB$1)*'1. UC Assumptions'!$M$44-(AH346/$BB$2)*'1. UC Assumptions'!$M$42,0)</f>
        <v>0</v>
      </c>
      <c r="BC346" s="151">
        <f>IF(K346="MRSA West",(AG346/$BC$1)*'1. UC Assumptions'!$N$44-(AH346/$BC$2)*'1. UC Assumptions'!$N$42,0)</f>
        <v>0</v>
      </c>
      <c r="BD346" s="151">
        <f>IF(K346="Nueces",(AG346/$BD$1)*'1. UC Assumptions'!$O$44-(AH346/$BD$2)*'1. UC Assumptions'!$O$42,0)</f>
        <v>0</v>
      </c>
      <c r="BE346" s="151">
        <f>IF(K346="Tarrant",(AG346/$BE$1)*'1. UC Assumptions'!$P$44-(AH346/$BE$2)*'1. UC Assumptions'!$P$42,0)</f>
        <v>0</v>
      </c>
      <c r="BF346" s="151">
        <f>IF(K346="Travis",(AG346/$BF$1)*'1. UC Assumptions'!$Q$44-(AH346/$BF$2)*'1. UC Assumptions'!$Q$42,0)</f>
        <v>0</v>
      </c>
      <c r="BG346" s="151">
        <f t="shared" si="120"/>
        <v>0</v>
      </c>
      <c r="BH346" s="151">
        <f t="shared" si="121"/>
        <v>4668147.7850775914</v>
      </c>
      <c r="BI346" s="151">
        <f>ROUNDDOWN(BH346*'1. UC Assumptions'!$C$23,2)</f>
        <v>1540488.76</v>
      </c>
      <c r="BJ346" s="154">
        <f t="shared" si="122"/>
        <v>2729162.9750775914</v>
      </c>
      <c r="BK346" s="154">
        <f t="shared" si="123"/>
        <v>900623.77270000009</v>
      </c>
      <c r="BL346" s="154">
        <f t="shared" si="124"/>
        <v>2519618.08</v>
      </c>
      <c r="BM346" s="154">
        <f t="shared" si="125"/>
        <v>831473.96</v>
      </c>
      <c r="BN346" s="101"/>
      <c r="BO346" s="154">
        <f>(BL346*'1. UC Assumptions'!$C$23)-'3.  UC Calculations by Hospital'!BM346</f>
        <v>6.3999999547377229E-3</v>
      </c>
      <c r="BP346" s="13"/>
    </row>
    <row r="347" spans="1:68">
      <c r="B347" s="129" t="s">
        <v>1032</v>
      </c>
      <c r="C347" s="91" t="s">
        <v>1032</v>
      </c>
      <c r="D347" s="91" t="s">
        <v>214</v>
      </c>
      <c r="E347" s="91" t="s">
        <v>209</v>
      </c>
      <c r="F347" s="91"/>
      <c r="G347" s="91" t="s">
        <v>209</v>
      </c>
      <c r="H347" s="91" t="s">
        <v>209</v>
      </c>
      <c r="I347" s="150" t="s">
        <v>210</v>
      </c>
      <c r="J347" s="129" t="s">
        <v>1033</v>
      </c>
      <c r="K347" s="96" t="s">
        <v>14</v>
      </c>
      <c r="L347" s="91" t="s">
        <v>1034</v>
      </c>
      <c r="M347" s="151">
        <v>-1163132.9239769327</v>
      </c>
      <c r="N347" s="151">
        <v>0</v>
      </c>
      <c r="O347" s="131">
        <v>0</v>
      </c>
      <c r="P347" s="131">
        <f t="shared" si="106"/>
        <v>0</v>
      </c>
      <c r="Q347" s="131">
        <v>8003458.1812132867</v>
      </c>
      <c r="R347" s="131">
        <v>0</v>
      </c>
      <c r="S347" s="131">
        <f t="shared" si="107"/>
        <v>0</v>
      </c>
      <c r="T347" s="131">
        <f t="shared" si="105"/>
        <v>8003458.1812132867</v>
      </c>
      <c r="U347" s="131">
        <v>181961</v>
      </c>
      <c r="V347" s="131">
        <v>0</v>
      </c>
      <c r="W347" s="131">
        <v>0</v>
      </c>
      <c r="X347" s="131">
        <v>0</v>
      </c>
      <c r="Y347" s="131">
        <v>0</v>
      </c>
      <c r="Z347" s="131">
        <f t="shared" si="108"/>
        <v>181961</v>
      </c>
      <c r="AA347" s="131">
        <v>0</v>
      </c>
      <c r="AB347" s="152">
        <f t="shared" si="109"/>
        <v>8185419.1812132867</v>
      </c>
      <c r="AC347" s="133">
        <f>IF(D347="Physician Group Practice",(AB347/$AB$393)*'1. UC Assumptions'!$C$15,IF(E347="Rural Hospital",AB347*'1. UC Assumptions'!$C$7/'1. UC Assumptions'!$E$7,(AB347/$AB$397)*('1. UC Assumptions'!$C$9)))</f>
        <v>3848338.8671583696</v>
      </c>
      <c r="AD347" s="133">
        <f t="shared" si="110"/>
        <v>0</v>
      </c>
      <c r="AE347" s="133">
        <f t="shared" si="111"/>
        <v>4337080.3140549175</v>
      </c>
      <c r="AF347" s="133">
        <f t="shared" si="112"/>
        <v>0</v>
      </c>
      <c r="AG347" s="133">
        <f t="shared" si="113"/>
        <v>4337080.3140549175</v>
      </c>
      <c r="AH347" s="133">
        <f t="shared" si="114"/>
        <v>3848338.8671583696</v>
      </c>
      <c r="AI347" s="131">
        <f>AH347*'1. UC Assumptions'!$C$23</f>
        <v>1269951.8261622619</v>
      </c>
      <c r="AJ347" s="131">
        <v>3680251.89</v>
      </c>
      <c r="AK347" s="131">
        <f>AJ347*(1-'1. UC Assumptions'!$C$22)</f>
        <v>1214483.1236999999</v>
      </c>
      <c r="AL347" s="131"/>
      <c r="AM347" s="131">
        <f>AL347*'1. UC Assumptions'!$C$23</f>
        <v>0</v>
      </c>
      <c r="AN347" s="153">
        <f t="shared" si="115"/>
        <v>8185419.1812132867</v>
      </c>
      <c r="AO347" s="151">
        <f>AN347*'1. UC Assumptions'!$C$23</f>
        <v>2701188.3298003841</v>
      </c>
      <c r="AP347" s="151">
        <f t="shared" si="116"/>
        <v>4505167.291213287</v>
      </c>
      <c r="AQ347" s="151">
        <f t="shared" si="117"/>
        <v>1486705.2061003842</v>
      </c>
      <c r="AR347" s="151">
        <f t="shared" si="118"/>
        <v>1486705.2061003842</v>
      </c>
      <c r="AS347" s="151">
        <f t="shared" si="119"/>
        <v>2701188.3298003841</v>
      </c>
      <c r="AT347" s="151">
        <f>IF(K347="Bexar",(AG347/$AT$1)*'1. UC Assumptions'!$E$44-(AH347/$AT$2)*'1. UC Assumptions'!$E$42,0)</f>
        <v>0</v>
      </c>
      <c r="AU347" s="151">
        <f>IF(K347="Dallas",(AG347/$AU$1)*'1. UC Assumptions'!$F$44-(AH347/$AU$2)*'1. UC Assumptions'!$F$42,0)</f>
        <v>0</v>
      </c>
      <c r="AV347" s="151">
        <f>IF(K347="El Paso",(AG347/$AV$1)*'1. UC Assumptions'!$G$44-(AH347/$AV$2)*'1. UC Assumptions'!$G$42,0)</f>
        <v>0</v>
      </c>
      <c r="AW347" s="151">
        <f>IF(K347="Harris",(AG347/$AW$1)*'1. UC Assumptions'!$H$44-(AH347/$AW$2)*'1. UC Assumptions'!$H$42,0)</f>
        <v>0</v>
      </c>
      <c r="AX347" s="151">
        <f>IF(K347="Hidalgo",(AG347/$AX$1)*'1. UC Assumptions'!$I$44-(AH347/$AX$2)*'1. UC Assumptions'!$I$42,0)</f>
        <v>0</v>
      </c>
      <c r="AY347" s="151">
        <f>IF(K347="Jefferson",(AG347/$AY$1)*'1. UC Assumptions'!$J$44-(AH347/$AY$2)*'1. UC Assumptions'!$J$42,0)</f>
        <v>0</v>
      </c>
      <c r="AZ347" s="151">
        <f>IF(K347="Lubbock",(AG347/$AZ$1)*'1. UC Assumptions'!$K$44-(AH347/$AZ$2)*'1. UC Assumptions'!$K$42,0)</f>
        <v>0</v>
      </c>
      <c r="BA347" s="151">
        <f>IF(K347="MRSA Central",(AG347/$BA$1)*'1. UC Assumptions'!$L$44-(AH347/$BA$2)*'1. UC Assumptions'!$L$42,0)</f>
        <v>0</v>
      </c>
      <c r="BB347" s="151">
        <f>IF(K347="MRSA Northeast",(AG347/$BB$1)*'1. UC Assumptions'!$M$44-(AH347/$BB$2)*'1. UC Assumptions'!$M$42,0)</f>
        <v>0</v>
      </c>
      <c r="BC347" s="151">
        <f>IF(K347="MRSA West",(AG347/$BC$1)*'1. UC Assumptions'!$N$44-(AH347/$BC$2)*'1. UC Assumptions'!$N$42,0)</f>
        <v>0</v>
      </c>
      <c r="BD347" s="151">
        <f>IF(K347="Nueces",(AG347/$BD$1)*'1. UC Assumptions'!$O$44-(AH347/$BD$2)*'1. UC Assumptions'!$O$42,0)</f>
        <v>0</v>
      </c>
      <c r="BE347" s="151">
        <f>IF(K347="Tarrant",(AG347/$BE$1)*'1. UC Assumptions'!$P$44-(AH347/$BE$2)*'1. UC Assumptions'!$P$42,0)</f>
        <v>0</v>
      </c>
      <c r="BF347" s="151">
        <f>IF(K347="Travis",(AG347/$BF$1)*'1. UC Assumptions'!$Q$44-(AH347/$BF$2)*'1. UC Assumptions'!$Q$42,0)</f>
        <v>0</v>
      </c>
      <c r="BG347" s="151">
        <f t="shared" si="120"/>
        <v>0</v>
      </c>
      <c r="BH347" s="151">
        <f t="shared" si="121"/>
        <v>3848338.8671583696</v>
      </c>
      <c r="BI347" s="151">
        <f>ROUNDDOWN(BH347*'1. UC Assumptions'!$C$23,2)</f>
        <v>1269951.82</v>
      </c>
      <c r="BJ347" s="154">
        <f t="shared" si="122"/>
        <v>168086.9771583695</v>
      </c>
      <c r="BK347" s="154">
        <f t="shared" si="123"/>
        <v>55468.696300000185</v>
      </c>
      <c r="BL347" s="154">
        <f t="shared" si="124"/>
        <v>155181.26999999999</v>
      </c>
      <c r="BM347" s="154">
        <f t="shared" si="125"/>
        <v>51209.81</v>
      </c>
      <c r="BN347" s="101"/>
      <c r="BO347" s="154">
        <f>(BL347*'1. UC Assumptions'!$C$23)-'3.  UC Calculations by Hospital'!BM347</f>
        <v>9.09999999566935E-3</v>
      </c>
      <c r="BP347" s="13"/>
    </row>
    <row r="348" spans="1:68">
      <c r="B348" s="129" t="s">
        <v>1035</v>
      </c>
      <c r="C348" s="91" t="s">
        <v>1035</v>
      </c>
      <c r="D348" s="91" t="s">
        <v>214</v>
      </c>
      <c r="E348" s="91" t="s">
        <v>149</v>
      </c>
      <c r="F348" s="91"/>
      <c r="G348" s="91" t="s">
        <v>209</v>
      </c>
      <c r="H348" s="91" t="s">
        <v>209</v>
      </c>
      <c r="I348" s="150" t="s">
        <v>210</v>
      </c>
      <c r="J348" s="129" t="s">
        <v>1036</v>
      </c>
      <c r="K348" s="91" t="s">
        <v>11</v>
      </c>
      <c r="L348" s="91" t="s">
        <v>1037</v>
      </c>
      <c r="M348" s="151">
        <v>-3313473.8823407884</v>
      </c>
      <c r="N348" s="151">
        <v>3176181.3151962818</v>
      </c>
      <c r="O348" s="131">
        <v>2638902.6175961345</v>
      </c>
      <c r="P348" s="131">
        <f t="shared" si="106"/>
        <v>537278.69760014722</v>
      </c>
      <c r="Q348" s="131">
        <v>2960731.8912127488</v>
      </c>
      <c r="R348" s="131">
        <v>0</v>
      </c>
      <c r="S348" s="131">
        <f t="shared" si="107"/>
        <v>0</v>
      </c>
      <c r="T348" s="131">
        <f t="shared" si="105"/>
        <v>2960731.8912127488</v>
      </c>
      <c r="U348" s="131">
        <v>177636</v>
      </c>
      <c r="V348" s="131">
        <v>0</v>
      </c>
      <c r="W348" s="131">
        <v>0</v>
      </c>
      <c r="X348" s="131">
        <v>0</v>
      </c>
      <c r="Y348" s="131">
        <v>1192978.2708747876</v>
      </c>
      <c r="Z348" s="131">
        <f t="shared" si="108"/>
        <v>1370614.2708747876</v>
      </c>
      <c r="AA348" s="131">
        <v>0</v>
      </c>
      <c r="AB348" s="152">
        <f t="shared" si="109"/>
        <v>4331346.1620875364</v>
      </c>
      <c r="AC348" s="133">
        <f>IF(D348="Physician Group Practice",(AB348/$AB$393)*'1. UC Assumptions'!$C$15,IF(E348="Rural Hospital",AB348*'1. UC Assumptions'!$C$7/'1. UC Assumptions'!$E$7,(AB348/$AB$397)*('1. UC Assumptions'!$C$9)))</f>
        <v>4043032.37818815</v>
      </c>
      <c r="AD348" s="133">
        <f t="shared" si="110"/>
        <v>0</v>
      </c>
      <c r="AE348" s="133">
        <f t="shared" si="111"/>
        <v>288313.78389938641</v>
      </c>
      <c r="AF348" s="133">
        <f t="shared" si="112"/>
        <v>0</v>
      </c>
      <c r="AG348" s="133">
        <f t="shared" si="113"/>
        <v>288313.78389938641</v>
      </c>
      <c r="AH348" s="133">
        <f t="shared" si="114"/>
        <v>4043032.37818815</v>
      </c>
      <c r="AI348" s="131">
        <f>AH348*'1. UC Assumptions'!$C$23</f>
        <v>1334200.6848020894</v>
      </c>
      <c r="AJ348" s="131">
        <v>1546566.62</v>
      </c>
      <c r="AK348" s="131">
        <f>AJ348*(1-'1. UC Assumptions'!$C$22)</f>
        <v>510366.98459999997</v>
      </c>
      <c r="AL348" s="131"/>
      <c r="AM348" s="131">
        <f>AL348*'1. UC Assumptions'!$C$23</f>
        <v>0</v>
      </c>
      <c r="AN348" s="153">
        <f t="shared" si="115"/>
        <v>4331346.1620875364</v>
      </c>
      <c r="AO348" s="151">
        <f>AN348*'1. UC Assumptions'!$C$23</f>
        <v>1429344.2334888868</v>
      </c>
      <c r="AP348" s="151">
        <f t="shared" si="116"/>
        <v>2784779.5420875363</v>
      </c>
      <c r="AQ348" s="151">
        <f t="shared" si="117"/>
        <v>918977.24888888688</v>
      </c>
      <c r="AR348" s="151">
        <f t="shared" si="118"/>
        <v>918977.24888888688</v>
      </c>
      <c r="AS348" s="151">
        <f t="shared" si="119"/>
        <v>1429344.2334888868</v>
      </c>
      <c r="AT348" s="151">
        <f>IF(K348="Bexar",(AG348/$AT$1)*'1. UC Assumptions'!$E$44-(AH348/$AT$2)*'1. UC Assumptions'!$E$42,0)</f>
        <v>0</v>
      </c>
      <c r="AU348" s="151">
        <f>IF(K348="Dallas",(AG348/$AU$1)*'1. UC Assumptions'!$F$44-(AH348/$AU$2)*'1. UC Assumptions'!$F$42,0)</f>
        <v>0</v>
      </c>
      <c r="AV348" s="151">
        <f>IF(K348="El Paso",(AG348/$AV$1)*'1. UC Assumptions'!$G$44-(AH348/$AV$2)*'1. UC Assumptions'!$G$42,0)</f>
        <v>0</v>
      </c>
      <c r="AW348" s="151">
        <f>IF(K348="Harris",(AG348/$AW$1)*'1. UC Assumptions'!$H$44-(AH348/$AW$2)*'1. UC Assumptions'!$H$42,0)</f>
        <v>0</v>
      </c>
      <c r="AX348" s="151">
        <f>IF(K348="Hidalgo",(AG348/$AX$1)*'1. UC Assumptions'!$I$44-(AH348/$AX$2)*'1. UC Assumptions'!$I$42,0)</f>
        <v>0</v>
      </c>
      <c r="AY348" s="151">
        <f>IF(K348="Jefferson",(AG348/$AY$1)*'1. UC Assumptions'!$J$44-(AH348/$AY$2)*'1. UC Assumptions'!$J$42,0)</f>
        <v>0</v>
      </c>
      <c r="AZ348" s="151">
        <f>IF(K348="Lubbock",(AG348/$AZ$1)*'1. UC Assumptions'!$K$44-(AH348/$AZ$2)*'1. UC Assumptions'!$K$42,0)</f>
        <v>0</v>
      </c>
      <c r="BA348" s="151">
        <f>IF(K348="MRSA Central",(AG348/$BA$1)*'1. UC Assumptions'!$L$44-(AH348/$BA$2)*'1. UC Assumptions'!$L$42,0)</f>
        <v>0</v>
      </c>
      <c r="BB348" s="151">
        <f>IF(K348="MRSA Northeast",(AG348/$BB$1)*'1. UC Assumptions'!$M$44-(AH348/$BB$2)*'1. UC Assumptions'!$M$42,0)</f>
        <v>0</v>
      </c>
      <c r="BC348" s="151">
        <f>IF(K348="MRSA West",(AG348/$BC$1)*'1. UC Assumptions'!$N$44-(AH348/$BC$2)*'1. UC Assumptions'!$N$42,0)</f>
        <v>0</v>
      </c>
      <c r="BD348" s="151">
        <f>IF(K348="Nueces",(AG348/$BD$1)*'1. UC Assumptions'!$O$44-(AH348/$BD$2)*'1. UC Assumptions'!$O$42,0)</f>
        <v>0</v>
      </c>
      <c r="BE348" s="151">
        <f>IF(K348="Tarrant",(AG348/$BE$1)*'1. UC Assumptions'!$P$44-(AH348/$BE$2)*'1. UC Assumptions'!$P$42,0)</f>
        <v>0</v>
      </c>
      <c r="BF348" s="151">
        <f>IF(K348="Travis",(AG348/$BF$1)*'1. UC Assumptions'!$Q$44-(AH348/$BF$2)*'1. UC Assumptions'!$Q$42,0)</f>
        <v>0</v>
      </c>
      <c r="BG348" s="151">
        <f t="shared" si="120"/>
        <v>0</v>
      </c>
      <c r="BH348" s="151">
        <f t="shared" si="121"/>
        <v>4043032.37818815</v>
      </c>
      <c r="BI348" s="151">
        <f>ROUNDDOWN(BH348*'1. UC Assumptions'!$C$23,2)</f>
        <v>1334200.68</v>
      </c>
      <c r="BJ348" s="154">
        <f t="shared" si="122"/>
        <v>2496465.7581881499</v>
      </c>
      <c r="BK348" s="154">
        <f t="shared" si="123"/>
        <v>823833.69539999997</v>
      </c>
      <c r="BL348" s="154">
        <f t="shared" si="124"/>
        <v>2304787.33</v>
      </c>
      <c r="BM348" s="154">
        <f t="shared" si="125"/>
        <v>760579.81</v>
      </c>
      <c r="BN348" s="101"/>
      <c r="BO348" s="154">
        <f>(BL348*'1. UC Assumptions'!$C$23)-'3.  UC Calculations by Hospital'!BM348</f>
        <v>8.8999998988583684E-3</v>
      </c>
      <c r="BP348" s="13"/>
    </row>
    <row r="349" spans="1:68">
      <c r="B349" s="129" t="s">
        <v>1038</v>
      </c>
      <c r="C349" s="91" t="s">
        <v>1038</v>
      </c>
      <c r="D349" s="91" t="s">
        <v>214</v>
      </c>
      <c r="E349" s="91" t="s">
        <v>149</v>
      </c>
      <c r="F349" s="91"/>
      <c r="G349" s="91" t="s">
        <v>209</v>
      </c>
      <c r="H349" s="91" t="s">
        <v>209</v>
      </c>
      <c r="I349" s="150" t="s">
        <v>210</v>
      </c>
      <c r="J349" s="129" t="s">
        <v>1039</v>
      </c>
      <c r="K349" s="91" t="s">
        <v>11</v>
      </c>
      <c r="L349" s="91" t="s">
        <v>634</v>
      </c>
      <c r="M349" s="151">
        <v>-3187719.0210621953</v>
      </c>
      <c r="N349" s="151">
        <v>4032787.2849593777</v>
      </c>
      <c r="O349" s="131">
        <v>3130175.3796377345</v>
      </c>
      <c r="P349" s="131">
        <f t="shared" si="106"/>
        <v>902611.90532164322</v>
      </c>
      <c r="Q349" s="131">
        <v>3539558.9194312706</v>
      </c>
      <c r="R349" s="131">
        <v>800286.10000000009</v>
      </c>
      <c r="S349" s="131">
        <f t="shared" si="107"/>
        <v>800286.10000000009</v>
      </c>
      <c r="T349" s="131">
        <f t="shared" si="105"/>
        <v>2739272.8194312705</v>
      </c>
      <c r="U349" s="131">
        <v>192036</v>
      </c>
      <c r="V349" s="131">
        <v>0</v>
      </c>
      <c r="W349" s="131">
        <v>0</v>
      </c>
      <c r="X349" s="131">
        <v>0</v>
      </c>
      <c r="Y349" s="131">
        <v>2183434.3651871611</v>
      </c>
      <c r="Z349" s="131">
        <f t="shared" si="108"/>
        <v>2375470.3651871611</v>
      </c>
      <c r="AA349" s="131">
        <v>0</v>
      </c>
      <c r="AB349" s="152">
        <f t="shared" si="109"/>
        <v>5114743.1846184321</v>
      </c>
      <c r="AC349" s="133">
        <f>IF(D349="Physician Group Practice",(AB349/$AB$393)*'1. UC Assumptions'!$C$15,IF(E349="Rural Hospital",AB349*'1. UC Assumptions'!$C$7/'1. UC Assumptions'!$E$7,(AB349/$AB$397)*('1. UC Assumptions'!$C$9)))</f>
        <v>4774282.9890933959</v>
      </c>
      <c r="AD349" s="133">
        <f t="shared" si="110"/>
        <v>0</v>
      </c>
      <c r="AE349" s="133">
        <f t="shared" si="111"/>
        <v>340460.19552503619</v>
      </c>
      <c r="AF349" s="133">
        <f t="shared" si="112"/>
        <v>0</v>
      </c>
      <c r="AG349" s="133">
        <f t="shared" si="113"/>
        <v>340460.19552503619</v>
      </c>
      <c r="AH349" s="133">
        <f t="shared" si="114"/>
        <v>4774282.9890933959</v>
      </c>
      <c r="AI349" s="131">
        <f>AH349*'1. UC Assumptions'!$C$23</f>
        <v>1575513.3864008205</v>
      </c>
      <c r="AJ349" s="131">
        <v>1679714.74</v>
      </c>
      <c r="AK349" s="131">
        <f>AJ349*(1-'1. UC Assumptions'!$C$22)</f>
        <v>554305.86419999995</v>
      </c>
      <c r="AL349" s="131"/>
      <c r="AM349" s="131">
        <f>AL349*'1. UC Assumptions'!$C$23</f>
        <v>0</v>
      </c>
      <c r="AN349" s="153">
        <f t="shared" si="115"/>
        <v>5114743.1846184321</v>
      </c>
      <c r="AO349" s="151">
        <f>AN349*'1. UC Assumptions'!$C$23</f>
        <v>1687865.2509240825</v>
      </c>
      <c r="AP349" s="151">
        <f t="shared" si="116"/>
        <v>3435028.4446184319</v>
      </c>
      <c r="AQ349" s="151">
        <f t="shared" si="117"/>
        <v>1133559.3867240825</v>
      </c>
      <c r="AR349" s="151">
        <f t="shared" si="118"/>
        <v>1133559.3867240825</v>
      </c>
      <c r="AS349" s="151">
        <f t="shared" si="119"/>
        <v>1687865.2509240825</v>
      </c>
      <c r="AT349" s="151">
        <f>IF(K349="Bexar",(AG349/$AT$1)*'1. UC Assumptions'!$E$44-(AH349/$AT$2)*'1. UC Assumptions'!$E$42,0)</f>
        <v>0</v>
      </c>
      <c r="AU349" s="151">
        <f>IF(K349="Dallas",(AG349/$AU$1)*'1. UC Assumptions'!$F$44-(AH349/$AU$2)*'1. UC Assumptions'!$F$42,0)</f>
        <v>0</v>
      </c>
      <c r="AV349" s="151">
        <f>IF(K349="El Paso",(AG349/$AV$1)*'1. UC Assumptions'!$G$44-(AH349/$AV$2)*'1. UC Assumptions'!$G$42,0)</f>
        <v>0</v>
      </c>
      <c r="AW349" s="151">
        <f>IF(K349="Harris",(AG349/$AW$1)*'1. UC Assumptions'!$H$44-(AH349/$AW$2)*'1. UC Assumptions'!$H$42,0)</f>
        <v>0</v>
      </c>
      <c r="AX349" s="151">
        <f>IF(K349="Hidalgo",(AG349/$AX$1)*'1. UC Assumptions'!$I$44-(AH349/$AX$2)*'1. UC Assumptions'!$I$42,0)</f>
        <v>0</v>
      </c>
      <c r="AY349" s="151">
        <f>IF(K349="Jefferson",(AG349/$AY$1)*'1. UC Assumptions'!$J$44-(AH349/$AY$2)*'1. UC Assumptions'!$J$42,0)</f>
        <v>0</v>
      </c>
      <c r="AZ349" s="151">
        <f>IF(K349="Lubbock",(AG349/$AZ$1)*'1. UC Assumptions'!$K$44-(AH349/$AZ$2)*'1. UC Assumptions'!$K$42,0)</f>
        <v>0</v>
      </c>
      <c r="BA349" s="151">
        <f>IF(K349="MRSA Central",(AG349/$BA$1)*'1. UC Assumptions'!$L$44-(AH349/$BA$2)*'1. UC Assumptions'!$L$42,0)</f>
        <v>0</v>
      </c>
      <c r="BB349" s="151">
        <f>IF(K349="MRSA Northeast",(AG349/$BB$1)*'1. UC Assumptions'!$M$44-(AH349/$BB$2)*'1. UC Assumptions'!$M$42,0)</f>
        <v>0</v>
      </c>
      <c r="BC349" s="151">
        <f>IF(K349="MRSA West",(AG349/$BC$1)*'1. UC Assumptions'!$N$44-(AH349/$BC$2)*'1. UC Assumptions'!$N$42,0)</f>
        <v>0</v>
      </c>
      <c r="BD349" s="151">
        <f>IF(K349="Nueces",(AG349/$BD$1)*'1. UC Assumptions'!$O$44-(AH349/$BD$2)*'1. UC Assumptions'!$O$42,0)</f>
        <v>0</v>
      </c>
      <c r="BE349" s="151">
        <f>IF(K349="Tarrant",(AG349/$BE$1)*'1. UC Assumptions'!$P$44-(AH349/$BE$2)*'1. UC Assumptions'!$P$42,0)</f>
        <v>0</v>
      </c>
      <c r="BF349" s="151">
        <f>IF(K349="Travis",(AG349/$BF$1)*'1. UC Assumptions'!$Q$44-(AH349/$BF$2)*'1. UC Assumptions'!$Q$42,0)</f>
        <v>0</v>
      </c>
      <c r="BG349" s="151">
        <f t="shared" si="120"/>
        <v>0</v>
      </c>
      <c r="BH349" s="151">
        <f t="shared" si="121"/>
        <v>4774282.9890933959</v>
      </c>
      <c r="BI349" s="151">
        <f>ROUNDDOWN(BH349*'1. UC Assumptions'!$C$23,2)</f>
        <v>1575513.38</v>
      </c>
      <c r="BJ349" s="154">
        <f t="shared" si="122"/>
        <v>3094568.2490933957</v>
      </c>
      <c r="BK349" s="154">
        <f t="shared" si="123"/>
        <v>1021207.5157999999</v>
      </c>
      <c r="BL349" s="154">
        <f t="shared" si="124"/>
        <v>2856967.56</v>
      </c>
      <c r="BM349" s="154">
        <f t="shared" si="125"/>
        <v>942799.29</v>
      </c>
      <c r="BN349" s="101"/>
      <c r="BO349" s="154">
        <f>(BL349*'1. UC Assumptions'!$C$23)-'3.  UC Calculations by Hospital'!BM349</f>
        <v>4.7999998787418008E-3</v>
      </c>
      <c r="BP349" s="13"/>
    </row>
    <row r="350" spans="1:68">
      <c r="B350" s="129" t="s">
        <v>1040</v>
      </c>
      <c r="C350" s="91" t="s">
        <v>1040</v>
      </c>
      <c r="D350" s="91" t="s">
        <v>214</v>
      </c>
      <c r="E350" s="91" t="s">
        <v>209</v>
      </c>
      <c r="F350" s="91"/>
      <c r="G350" s="91" t="s">
        <v>209</v>
      </c>
      <c r="H350" s="91" t="s">
        <v>209</v>
      </c>
      <c r="I350" s="150" t="s">
        <v>210</v>
      </c>
      <c r="J350" s="129" t="s">
        <v>1041</v>
      </c>
      <c r="K350" s="91" t="s">
        <v>11</v>
      </c>
      <c r="L350" s="91" t="s">
        <v>1042</v>
      </c>
      <c r="M350" s="151">
        <v>-7852292.6445730831</v>
      </c>
      <c r="N350" s="151">
        <v>10656132.848335652</v>
      </c>
      <c r="O350" s="131">
        <v>5019951.0944825085</v>
      </c>
      <c r="P350" s="131">
        <f t="shared" si="106"/>
        <v>5636181.7538531432</v>
      </c>
      <c r="Q350" s="131">
        <v>9399957.9523367174</v>
      </c>
      <c r="R350" s="131">
        <v>2616351.9300000002</v>
      </c>
      <c r="S350" s="131">
        <f t="shared" si="107"/>
        <v>2616351.9300000002</v>
      </c>
      <c r="T350" s="131">
        <f t="shared" si="105"/>
        <v>6783606.0223367177</v>
      </c>
      <c r="U350" s="131">
        <v>477577</v>
      </c>
      <c r="V350" s="131">
        <v>0</v>
      </c>
      <c r="W350" s="131">
        <v>0</v>
      </c>
      <c r="X350" s="131">
        <v>0</v>
      </c>
      <c r="Y350" s="131">
        <v>3196485.2828873373</v>
      </c>
      <c r="Z350" s="131">
        <f t="shared" si="108"/>
        <v>3674062.2828873373</v>
      </c>
      <c r="AA350" s="131">
        <v>0</v>
      </c>
      <c r="AB350" s="152">
        <f t="shared" si="109"/>
        <v>10457668.305224055</v>
      </c>
      <c r="AC350" s="133">
        <f>IF(D350="Physician Group Practice",(AB350/$AB$393)*'1. UC Assumptions'!$C$15,IF(E350="Rural Hospital",AB350*'1. UC Assumptions'!$C$7/'1. UC Assumptions'!$E$7,(AB350/$AB$397)*('1. UC Assumptions'!$C$9)))</f>
        <v>4916626.8101713331</v>
      </c>
      <c r="AD350" s="133">
        <f t="shared" si="110"/>
        <v>0</v>
      </c>
      <c r="AE350" s="133">
        <f t="shared" si="111"/>
        <v>5541041.4950527223</v>
      </c>
      <c r="AF350" s="133">
        <f t="shared" si="112"/>
        <v>0</v>
      </c>
      <c r="AG350" s="133">
        <f t="shared" si="113"/>
        <v>5541041.4950527223</v>
      </c>
      <c r="AH350" s="133">
        <f t="shared" si="114"/>
        <v>4916626.8101713331</v>
      </c>
      <c r="AI350" s="131">
        <f>AH350*'1. UC Assumptions'!$C$23</f>
        <v>1622486.8473565397</v>
      </c>
      <c r="AJ350" s="131">
        <v>5381483.5999999996</v>
      </c>
      <c r="AK350" s="131">
        <f>AJ350*(1-'1. UC Assumptions'!$C$22)</f>
        <v>1775889.5879999998</v>
      </c>
      <c r="AL350" s="131"/>
      <c r="AM350" s="131">
        <f>AL350*'1. UC Assumptions'!$C$23</f>
        <v>0</v>
      </c>
      <c r="AN350" s="153">
        <f t="shared" si="115"/>
        <v>10457668.305224055</v>
      </c>
      <c r="AO350" s="151">
        <f>AN350*'1. UC Assumptions'!$C$23</f>
        <v>3451030.540723938</v>
      </c>
      <c r="AP350" s="151">
        <f t="shared" si="116"/>
        <v>5076184.7052240558</v>
      </c>
      <c r="AQ350" s="151">
        <f t="shared" si="117"/>
        <v>1675140.9527239383</v>
      </c>
      <c r="AR350" s="151">
        <f t="shared" si="118"/>
        <v>1675140.9527239383</v>
      </c>
      <c r="AS350" s="151">
        <f t="shared" si="119"/>
        <v>3451030.540723938</v>
      </c>
      <c r="AT350" s="151">
        <f>IF(K350="Bexar",(AG350/$AT$1)*'1. UC Assumptions'!$E$44-(AH350/$AT$2)*'1. UC Assumptions'!$E$42,0)</f>
        <v>0</v>
      </c>
      <c r="AU350" s="151">
        <f>IF(K350="Dallas",(AG350/$AU$1)*'1. UC Assumptions'!$F$44-(AH350/$AU$2)*'1. UC Assumptions'!$F$42,0)</f>
        <v>0</v>
      </c>
      <c r="AV350" s="151">
        <f>IF(K350="El Paso",(AG350/$AV$1)*'1. UC Assumptions'!$G$44-(AH350/$AV$2)*'1. UC Assumptions'!$G$42,0)</f>
        <v>0</v>
      </c>
      <c r="AW350" s="151">
        <f>IF(K350="Harris",(AG350/$AW$1)*'1. UC Assumptions'!$H$44-(AH350/$AW$2)*'1. UC Assumptions'!$H$42,0)</f>
        <v>0</v>
      </c>
      <c r="AX350" s="151">
        <f>IF(K350="Hidalgo",(AG350/$AX$1)*'1. UC Assumptions'!$I$44-(AH350/$AX$2)*'1. UC Assumptions'!$I$42,0)</f>
        <v>0</v>
      </c>
      <c r="AY350" s="151">
        <f>IF(K350="Jefferson",(AG350/$AY$1)*'1. UC Assumptions'!$J$44-(AH350/$AY$2)*'1. UC Assumptions'!$J$42,0)</f>
        <v>0</v>
      </c>
      <c r="AZ350" s="151">
        <f>IF(K350="Lubbock",(AG350/$AZ$1)*'1. UC Assumptions'!$K$44-(AH350/$AZ$2)*'1. UC Assumptions'!$K$42,0)</f>
        <v>0</v>
      </c>
      <c r="BA350" s="151">
        <f>IF(K350="MRSA Central",(AG350/$BA$1)*'1. UC Assumptions'!$L$44-(AH350/$BA$2)*'1. UC Assumptions'!$L$42,0)</f>
        <v>0</v>
      </c>
      <c r="BB350" s="151">
        <f>IF(K350="MRSA Northeast",(AG350/$BB$1)*'1. UC Assumptions'!$M$44-(AH350/$BB$2)*'1. UC Assumptions'!$M$42,0)</f>
        <v>0</v>
      </c>
      <c r="BC350" s="151">
        <f>IF(K350="MRSA West",(AG350/$BC$1)*'1. UC Assumptions'!$N$44-(AH350/$BC$2)*'1. UC Assumptions'!$N$42,0)</f>
        <v>0</v>
      </c>
      <c r="BD350" s="151">
        <f>IF(K350="Nueces",(AG350/$BD$1)*'1. UC Assumptions'!$O$44-(AH350/$BD$2)*'1. UC Assumptions'!$O$42,0)</f>
        <v>0</v>
      </c>
      <c r="BE350" s="151">
        <f>IF(K350="Tarrant",(AG350/$BE$1)*'1. UC Assumptions'!$P$44-(AH350/$BE$2)*'1. UC Assumptions'!$P$42,0)</f>
        <v>0</v>
      </c>
      <c r="BF350" s="151">
        <f>IF(K350="Travis",(AG350/$BF$1)*'1. UC Assumptions'!$Q$44-(AH350/$BF$2)*'1. UC Assumptions'!$Q$42,0)</f>
        <v>0</v>
      </c>
      <c r="BG350" s="151">
        <f t="shared" si="120"/>
        <v>0</v>
      </c>
      <c r="BH350" s="151">
        <f t="shared" si="121"/>
        <v>4916626.8101713331</v>
      </c>
      <c r="BI350" s="151">
        <f>ROUNDDOWN(BH350*'1. UC Assumptions'!$C$23,2)</f>
        <v>1622486.84</v>
      </c>
      <c r="BJ350" s="154">
        <f t="shared" si="122"/>
        <v>-464856.78982866649</v>
      </c>
      <c r="BK350" s="154">
        <f t="shared" si="123"/>
        <v>-153402.74799999967</v>
      </c>
      <c r="BL350" s="154">
        <f t="shared" si="124"/>
        <v>0</v>
      </c>
      <c r="BM350" s="154">
        <f t="shared" si="125"/>
        <v>0</v>
      </c>
      <c r="BN350" s="101"/>
      <c r="BO350" s="154">
        <f>(BL350*'1. UC Assumptions'!$C$23)-'3.  UC Calculations by Hospital'!BM350</f>
        <v>0</v>
      </c>
      <c r="BP350" s="13"/>
    </row>
    <row r="351" spans="1:68">
      <c r="B351" s="129" t="s">
        <v>1043</v>
      </c>
      <c r="C351" s="91" t="s">
        <v>1043</v>
      </c>
      <c r="D351" s="91" t="s">
        <v>214</v>
      </c>
      <c r="E351" s="91" t="s">
        <v>149</v>
      </c>
      <c r="F351" s="91"/>
      <c r="G351" s="91" t="s">
        <v>209</v>
      </c>
      <c r="H351" s="91" t="s">
        <v>209</v>
      </c>
      <c r="I351" s="150" t="s">
        <v>210</v>
      </c>
      <c r="J351" s="129" t="s">
        <v>1044</v>
      </c>
      <c r="K351" s="91" t="s">
        <v>11</v>
      </c>
      <c r="L351" s="91" t="s">
        <v>1045</v>
      </c>
      <c r="M351" s="151">
        <v>-52422.758404352135</v>
      </c>
      <c r="N351" s="151">
        <v>2793236.7588234553</v>
      </c>
      <c r="O351" s="131">
        <v>1645424.3870118656</v>
      </c>
      <c r="P351" s="131">
        <f t="shared" si="106"/>
        <v>1147812.3718115897</v>
      </c>
      <c r="Q351" s="131">
        <v>2202733.7793857534</v>
      </c>
      <c r="R351" s="131">
        <v>416632.22000000003</v>
      </c>
      <c r="S351" s="131">
        <f t="shared" si="107"/>
        <v>0</v>
      </c>
      <c r="T351" s="131">
        <f t="shared" si="105"/>
        <v>2202733.7793857534</v>
      </c>
      <c r="U351" s="131">
        <v>66006</v>
      </c>
      <c r="V351" s="131">
        <v>0</v>
      </c>
      <c r="W351" s="131">
        <v>0</v>
      </c>
      <c r="X351" s="131">
        <v>0</v>
      </c>
      <c r="Y351" s="131">
        <v>405503.01953975152</v>
      </c>
      <c r="Z351" s="131">
        <f t="shared" si="108"/>
        <v>471509.01953975152</v>
      </c>
      <c r="AA351" s="131">
        <v>0</v>
      </c>
      <c r="AB351" s="152">
        <f t="shared" si="109"/>
        <v>2674242.798925505</v>
      </c>
      <c r="AC351" s="133">
        <f>IF(D351="Physician Group Practice",(AB351/$AB$393)*'1. UC Assumptions'!$C$15,IF(E351="Rural Hospital",AB351*'1. UC Assumptions'!$C$7/'1. UC Assumptions'!$E$7,(AB351/$AB$397)*('1. UC Assumptions'!$C$9)))</f>
        <v>2496233.2306363946</v>
      </c>
      <c r="AD351" s="133">
        <f t="shared" si="110"/>
        <v>0</v>
      </c>
      <c r="AE351" s="133">
        <f t="shared" si="111"/>
        <v>178009.56828911044</v>
      </c>
      <c r="AF351" s="133">
        <f t="shared" si="112"/>
        <v>0</v>
      </c>
      <c r="AG351" s="133">
        <f t="shared" si="113"/>
        <v>178009.56828911044</v>
      </c>
      <c r="AH351" s="133">
        <f t="shared" si="114"/>
        <v>2496233.2306363946</v>
      </c>
      <c r="AI351" s="131">
        <f>AH351*'1. UC Assumptions'!$C$23</f>
        <v>823756.96611001017</v>
      </c>
      <c r="AJ351" s="131">
        <v>1148429.1200000001</v>
      </c>
      <c r="AK351" s="131">
        <f>AJ351*(1-'1. UC Assumptions'!$C$22)</f>
        <v>378981.60959999997</v>
      </c>
      <c r="AL351" s="131"/>
      <c r="AM351" s="131">
        <f>AL351*'1. UC Assumptions'!$C$23</f>
        <v>0</v>
      </c>
      <c r="AN351" s="153">
        <f t="shared" si="115"/>
        <v>2674242.798925505</v>
      </c>
      <c r="AO351" s="151">
        <f>AN351*'1. UC Assumptions'!$C$23</f>
        <v>882500.12364541658</v>
      </c>
      <c r="AP351" s="151">
        <f t="shared" si="116"/>
        <v>1525813.6789255049</v>
      </c>
      <c r="AQ351" s="151">
        <f t="shared" si="117"/>
        <v>503518.51404541661</v>
      </c>
      <c r="AR351" s="151">
        <f t="shared" si="118"/>
        <v>503518.51404541661</v>
      </c>
      <c r="AS351" s="151">
        <f t="shared" si="119"/>
        <v>882500.12364541658</v>
      </c>
      <c r="AT351" s="151">
        <f>IF(K351="Bexar",(AG351/$AT$1)*'1. UC Assumptions'!$E$44-(AH351/$AT$2)*'1. UC Assumptions'!$E$42,0)</f>
        <v>0</v>
      </c>
      <c r="AU351" s="151">
        <f>IF(K351="Dallas",(AG351/$AU$1)*'1. UC Assumptions'!$F$44-(AH351/$AU$2)*'1. UC Assumptions'!$F$42,0)</f>
        <v>0</v>
      </c>
      <c r="AV351" s="151">
        <f>IF(K351="El Paso",(AG351/$AV$1)*'1. UC Assumptions'!$G$44-(AH351/$AV$2)*'1. UC Assumptions'!$G$42,0)</f>
        <v>0</v>
      </c>
      <c r="AW351" s="151">
        <f>IF(K351="Harris",(AG351/$AW$1)*'1. UC Assumptions'!$H$44-(AH351/$AW$2)*'1. UC Assumptions'!$H$42,0)</f>
        <v>0</v>
      </c>
      <c r="AX351" s="151">
        <f>IF(K351="Hidalgo",(AG351/$AX$1)*'1. UC Assumptions'!$I$44-(AH351/$AX$2)*'1. UC Assumptions'!$I$42,0)</f>
        <v>0</v>
      </c>
      <c r="AY351" s="151">
        <f>IF(K351="Jefferson",(AG351/$AY$1)*'1. UC Assumptions'!$J$44-(AH351/$AY$2)*'1. UC Assumptions'!$J$42,0)</f>
        <v>0</v>
      </c>
      <c r="AZ351" s="151">
        <f>IF(K351="Lubbock",(AG351/$AZ$1)*'1. UC Assumptions'!$K$44-(AH351/$AZ$2)*'1. UC Assumptions'!$K$42,0)</f>
        <v>0</v>
      </c>
      <c r="BA351" s="151">
        <f>IF(K351="MRSA Central",(AG351/$BA$1)*'1. UC Assumptions'!$L$44-(AH351/$BA$2)*'1. UC Assumptions'!$L$42,0)</f>
        <v>0</v>
      </c>
      <c r="BB351" s="151">
        <f>IF(K351="MRSA Northeast",(AG351/$BB$1)*'1. UC Assumptions'!$M$44-(AH351/$BB$2)*'1. UC Assumptions'!$M$42,0)</f>
        <v>0</v>
      </c>
      <c r="BC351" s="151">
        <f>IF(K351="MRSA West",(AG351/$BC$1)*'1. UC Assumptions'!$N$44-(AH351/$BC$2)*'1. UC Assumptions'!$N$42,0)</f>
        <v>0</v>
      </c>
      <c r="BD351" s="151">
        <f>IF(K351="Nueces",(AG351/$BD$1)*'1. UC Assumptions'!$O$44-(AH351/$BD$2)*'1. UC Assumptions'!$O$42,0)</f>
        <v>0</v>
      </c>
      <c r="BE351" s="151">
        <f>IF(K351="Tarrant",(AG351/$BE$1)*'1. UC Assumptions'!$P$44-(AH351/$BE$2)*'1. UC Assumptions'!$P$42,0)</f>
        <v>0</v>
      </c>
      <c r="BF351" s="151">
        <f>IF(K351="Travis",(AG351/$BF$1)*'1. UC Assumptions'!$Q$44-(AH351/$BF$2)*'1. UC Assumptions'!$Q$42,0)</f>
        <v>0</v>
      </c>
      <c r="BG351" s="151">
        <f t="shared" si="120"/>
        <v>0</v>
      </c>
      <c r="BH351" s="151">
        <f t="shared" si="121"/>
        <v>2496233.2306363946</v>
      </c>
      <c r="BI351" s="151">
        <f>ROUNDDOWN(BH351*'1. UC Assumptions'!$C$23,2)</f>
        <v>823756.96</v>
      </c>
      <c r="BJ351" s="154">
        <f t="shared" si="122"/>
        <v>1347804.1106363945</v>
      </c>
      <c r="BK351" s="154">
        <f t="shared" si="123"/>
        <v>444775.3504</v>
      </c>
      <c r="BL351" s="154">
        <f t="shared" si="124"/>
        <v>1244319.83</v>
      </c>
      <c r="BM351" s="154">
        <f t="shared" si="125"/>
        <v>410625.54</v>
      </c>
      <c r="BN351" s="101"/>
      <c r="BO351" s="154">
        <f>(BL351*'1. UC Assumptions'!$C$23)-'3.  UC Calculations by Hospital'!BM351</f>
        <v>3.9000000106170774E-3</v>
      </c>
      <c r="BP351" s="13"/>
    </row>
    <row r="352" spans="1:68" ht="15">
      <c r="A352" s="98"/>
      <c r="B352" s="129" t="s">
        <v>1046</v>
      </c>
      <c r="C352" s="91" t="s">
        <v>1046</v>
      </c>
      <c r="D352" s="91" t="s">
        <v>214</v>
      </c>
      <c r="E352" s="91" t="s">
        <v>209</v>
      </c>
      <c r="F352" s="91"/>
      <c r="G352" s="91" t="s">
        <v>209</v>
      </c>
      <c r="H352" s="91" t="s">
        <v>209</v>
      </c>
      <c r="I352" s="150" t="s">
        <v>210</v>
      </c>
      <c r="J352" s="129" t="s">
        <v>1047</v>
      </c>
      <c r="K352" s="91" t="s">
        <v>4</v>
      </c>
      <c r="L352" s="91" t="s">
        <v>260</v>
      </c>
      <c r="M352" s="151">
        <v>2128819.5619120635</v>
      </c>
      <c r="N352" s="151">
        <v>0</v>
      </c>
      <c r="O352" s="131">
        <v>0</v>
      </c>
      <c r="P352" s="131">
        <f t="shared" si="106"/>
        <v>0</v>
      </c>
      <c r="Q352" s="131">
        <v>3656358.0896471548</v>
      </c>
      <c r="R352" s="131">
        <v>0</v>
      </c>
      <c r="S352" s="131">
        <f t="shared" si="107"/>
        <v>0</v>
      </c>
      <c r="T352" s="131">
        <f t="shared" ref="T352:T384" si="126">IF(Q352-S352&gt;0,Q352-S352,0)</f>
        <v>3656358.0896471548</v>
      </c>
      <c r="U352" s="131">
        <v>0</v>
      </c>
      <c r="V352" s="131">
        <v>0</v>
      </c>
      <c r="W352" s="131">
        <v>0</v>
      </c>
      <c r="X352" s="131">
        <v>0</v>
      </c>
      <c r="Y352" s="131">
        <v>0</v>
      </c>
      <c r="Z352" s="131">
        <f t="shared" si="108"/>
        <v>0</v>
      </c>
      <c r="AA352" s="131">
        <v>0</v>
      </c>
      <c r="AB352" s="152">
        <f t="shared" si="109"/>
        <v>3656358.0896471548</v>
      </c>
      <c r="AC352" s="133">
        <f>IF(D352="Physician Group Practice",(AB352/$AB$393)*'1. UC Assumptions'!$C$15,IF(E352="Rural Hospital",AB352*'1. UC Assumptions'!$C$7/'1. UC Assumptions'!$E$7,(AB352/$AB$397)*('1. UC Assumptions'!$C$9)))</f>
        <v>1719020.6924201048</v>
      </c>
      <c r="AD352" s="133">
        <f t="shared" si="110"/>
        <v>0</v>
      </c>
      <c r="AE352" s="133">
        <f t="shared" si="111"/>
        <v>1937337.39722705</v>
      </c>
      <c r="AF352" s="133">
        <f t="shared" si="112"/>
        <v>0</v>
      </c>
      <c r="AG352" s="133">
        <f t="shared" si="113"/>
        <v>1937337.39722705</v>
      </c>
      <c r="AH352" s="133">
        <f t="shared" si="114"/>
        <v>1719020.6924201048</v>
      </c>
      <c r="AI352" s="131">
        <f>AH352*'1. UC Assumptions'!$C$23</f>
        <v>567276.82849863451</v>
      </c>
      <c r="AJ352" s="99">
        <v>1322052.3700000001</v>
      </c>
      <c r="AK352" s="131">
        <f>AJ352*(1-'1. UC Assumptions'!$C$22)</f>
        <v>436277.28210000001</v>
      </c>
      <c r="AL352" s="131"/>
      <c r="AM352" s="131">
        <f>AL352*'1. UC Assumptions'!$C$23</f>
        <v>0</v>
      </c>
      <c r="AN352" s="153">
        <f t="shared" si="115"/>
        <v>3656358.0896471548</v>
      </c>
      <c r="AO352" s="151">
        <f>AN352*'1. UC Assumptions'!$C$23</f>
        <v>1206598.1695835609</v>
      </c>
      <c r="AP352" s="151">
        <f t="shared" si="116"/>
        <v>2334305.7196471547</v>
      </c>
      <c r="AQ352" s="151">
        <f t="shared" si="117"/>
        <v>770320.88748356095</v>
      </c>
      <c r="AR352" s="151">
        <f t="shared" si="118"/>
        <v>770320.88748356095</v>
      </c>
      <c r="AS352" s="151">
        <f t="shared" si="119"/>
        <v>1206598.1695835609</v>
      </c>
      <c r="AT352" s="151">
        <f>IF(K352="Bexar",(AG352/$AT$1)*'1. UC Assumptions'!$E$44-(AH352/$AT$2)*'1. UC Assumptions'!$E$42,0)</f>
        <v>0</v>
      </c>
      <c r="AU352" s="151">
        <f>IF(K352="Dallas",(AG352/$AU$1)*'1. UC Assumptions'!$F$44-(AH352/$AU$2)*'1. UC Assumptions'!$F$42,0)</f>
        <v>0</v>
      </c>
      <c r="AV352" s="151">
        <f>IF(K352="El Paso",(AG352/$AV$1)*'1. UC Assumptions'!$G$44-(AH352/$AV$2)*'1. UC Assumptions'!$G$42,0)</f>
        <v>0</v>
      </c>
      <c r="AW352" s="151">
        <f>IF(K352="Harris",(AG352/$AW$1)*'1. UC Assumptions'!$H$44-(AH352/$AW$2)*'1. UC Assumptions'!$H$42,0)</f>
        <v>0</v>
      </c>
      <c r="AX352" s="151">
        <f>IF(K352="Hidalgo",(AG352/$AX$1)*'1. UC Assumptions'!$I$44-(AH352/$AX$2)*'1. UC Assumptions'!$I$42,0)</f>
        <v>0</v>
      </c>
      <c r="AY352" s="151">
        <f>IF(K352="Jefferson",(AG352/$AY$1)*'1. UC Assumptions'!$J$44-(AH352/$AY$2)*'1. UC Assumptions'!$J$42,0)</f>
        <v>0</v>
      </c>
      <c r="AZ352" s="151">
        <f>IF(K352="Lubbock",(AG352/$AZ$1)*'1. UC Assumptions'!$K$44-(AH352/$AZ$2)*'1. UC Assumptions'!$K$42,0)</f>
        <v>0</v>
      </c>
      <c r="BA352" s="151">
        <f>IF(K352="MRSA Central",(AG352/$BA$1)*'1. UC Assumptions'!$L$44-(AH352/$BA$2)*'1. UC Assumptions'!$L$42,0)</f>
        <v>0</v>
      </c>
      <c r="BB352" s="151">
        <f>IF(K352="MRSA Northeast",(AG352/$BB$1)*'1. UC Assumptions'!$M$44-(AH352/$BB$2)*'1. UC Assumptions'!$M$42,0)</f>
        <v>0</v>
      </c>
      <c r="BC352" s="151">
        <f>IF(K352="MRSA West",(AG352/$BC$1)*'1. UC Assumptions'!$N$44-(AH352/$BC$2)*'1. UC Assumptions'!$N$42,0)</f>
        <v>0</v>
      </c>
      <c r="BD352" s="151">
        <f>IF(K352="Nueces",(AG352/$BD$1)*'1. UC Assumptions'!$O$44-(AH352/$BD$2)*'1. UC Assumptions'!$O$42,0)</f>
        <v>0</v>
      </c>
      <c r="BE352" s="151">
        <f>IF(K352="Tarrant",(AG352/$BE$1)*'1. UC Assumptions'!$P$44-(AH352/$BE$2)*'1. UC Assumptions'!$P$42,0)</f>
        <v>0</v>
      </c>
      <c r="BF352" s="151">
        <f>IF(K352="Travis",(AG352/$BF$1)*'1. UC Assumptions'!$Q$44-(AH352/$BF$2)*'1. UC Assumptions'!$Q$42,0)</f>
        <v>0</v>
      </c>
      <c r="BG352" s="151">
        <f t="shared" si="120"/>
        <v>0</v>
      </c>
      <c r="BH352" s="151">
        <f t="shared" si="121"/>
        <v>1719020.6924201048</v>
      </c>
      <c r="BI352" s="151">
        <f>ROUNDDOWN(BH352*'1. UC Assumptions'!$C$23,2)</f>
        <v>567276.81999999995</v>
      </c>
      <c r="BJ352" s="154">
        <f t="shared" si="122"/>
        <v>396968.32242010464</v>
      </c>
      <c r="BK352" s="154">
        <f t="shared" si="123"/>
        <v>130999.53789999994</v>
      </c>
      <c r="BL352" s="154">
        <f t="shared" si="124"/>
        <v>366489.13</v>
      </c>
      <c r="BM352" s="154">
        <f t="shared" si="125"/>
        <v>120941.4</v>
      </c>
      <c r="BN352" s="101"/>
      <c r="BO352" s="154">
        <f>(BL352*'1. UC Assumptions'!$C$23)-'3.  UC Calculations by Hospital'!BM352</f>
        <v>1.2899999986984767E-2</v>
      </c>
      <c r="BP352" s="13"/>
    </row>
    <row r="353" spans="1:68">
      <c r="B353" s="129" t="s">
        <v>1048</v>
      </c>
      <c r="C353" s="91" t="s">
        <v>1048</v>
      </c>
      <c r="D353" s="91" t="s">
        <v>214</v>
      </c>
      <c r="E353" s="91" t="s">
        <v>209</v>
      </c>
      <c r="F353" s="91"/>
      <c r="G353" s="91" t="s">
        <v>209</v>
      </c>
      <c r="H353" s="91" t="s">
        <v>209</v>
      </c>
      <c r="I353" s="150" t="s">
        <v>210</v>
      </c>
      <c r="J353" s="129" t="s">
        <v>1049</v>
      </c>
      <c r="K353" s="91" t="s">
        <v>11</v>
      </c>
      <c r="L353" s="91" t="s">
        <v>314</v>
      </c>
      <c r="M353" s="151">
        <v>-120287.70267503461</v>
      </c>
      <c r="N353" s="151">
        <v>36258389.073363006</v>
      </c>
      <c r="O353" s="131">
        <v>25658104.648139402</v>
      </c>
      <c r="P353" s="131">
        <f t="shared" si="106"/>
        <v>10600284.425223604</v>
      </c>
      <c r="Q353" s="131">
        <v>32445614.41606098</v>
      </c>
      <c r="R353" s="131">
        <v>6549212.0600000005</v>
      </c>
      <c r="S353" s="131">
        <f t="shared" si="107"/>
        <v>0</v>
      </c>
      <c r="T353" s="131">
        <f t="shared" si="126"/>
        <v>32445614.41606098</v>
      </c>
      <c r="U353" s="131">
        <v>1589659</v>
      </c>
      <c r="V353" s="131">
        <v>0</v>
      </c>
      <c r="W353" s="131">
        <v>11673159.759383928</v>
      </c>
      <c r="X353" s="131">
        <v>0</v>
      </c>
      <c r="Y353" s="131">
        <v>13087292.34308048</v>
      </c>
      <c r="Z353" s="131">
        <f t="shared" si="108"/>
        <v>26350111.102464408</v>
      </c>
      <c r="AA353" s="131">
        <v>0</v>
      </c>
      <c r="AB353" s="152">
        <f t="shared" si="109"/>
        <v>58795725.518525392</v>
      </c>
      <c r="AC353" s="133">
        <f>IF(D353="Physician Group Practice",(AB353/$AB$393)*'1. UC Assumptions'!$C$15,IF(E353="Rural Hospital",AB353*'1. UC Assumptions'!$C$7/'1. UC Assumptions'!$E$7,(AB353/$AB$397)*('1. UC Assumptions'!$C$9)))</f>
        <v>27642552.046085697</v>
      </c>
      <c r="AD353" s="133">
        <f t="shared" si="110"/>
        <v>0</v>
      </c>
      <c r="AE353" s="133">
        <f t="shared" si="111"/>
        <v>31153173.472439695</v>
      </c>
      <c r="AF353" s="133">
        <f t="shared" si="112"/>
        <v>0</v>
      </c>
      <c r="AG353" s="133">
        <f t="shared" si="113"/>
        <v>31153173.472439695</v>
      </c>
      <c r="AH353" s="133">
        <f t="shared" si="114"/>
        <v>27642552.046085697</v>
      </c>
      <c r="AI353" s="131">
        <f>AH353*'1. UC Assumptions'!$C$23</f>
        <v>9122042.175208278</v>
      </c>
      <c r="AJ353" s="131">
        <v>12024088.93</v>
      </c>
      <c r="AK353" s="131">
        <f>AJ353*(1-'1. UC Assumptions'!$C$22)</f>
        <v>3967949.3468999993</v>
      </c>
      <c r="AL353" s="131"/>
      <c r="AM353" s="131">
        <f>AL353*'1. UC Assumptions'!$C$23</f>
        <v>0</v>
      </c>
      <c r="AN353" s="153">
        <f t="shared" si="115"/>
        <v>58795725.518525392</v>
      </c>
      <c r="AO353" s="151">
        <f>AN353*'1. UC Assumptions'!$C$23</f>
        <v>19402589.421113376</v>
      </c>
      <c r="AP353" s="151">
        <f t="shared" si="116"/>
        <v>46771636.588525392</v>
      </c>
      <c r="AQ353" s="151">
        <f t="shared" si="117"/>
        <v>15434640.074213376</v>
      </c>
      <c r="AR353" s="151">
        <f t="shared" si="118"/>
        <v>15434640.074213376</v>
      </c>
      <c r="AS353" s="151">
        <f t="shared" si="119"/>
        <v>19402589.421113376</v>
      </c>
      <c r="AT353" s="151">
        <f>IF(K353="Bexar",(AG353/$AT$1)*'1. UC Assumptions'!$E$44-(AH353/$AT$2)*'1. UC Assumptions'!$E$42,0)</f>
        <v>0</v>
      </c>
      <c r="AU353" s="151">
        <f>IF(K353="Dallas",(AG353/$AU$1)*'1. UC Assumptions'!$F$44-(AH353/$AU$2)*'1. UC Assumptions'!$F$42,0)</f>
        <v>0</v>
      </c>
      <c r="AV353" s="151">
        <f>IF(K353="El Paso",(AG353/$AV$1)*'1. UC Assumptions'!$G$44-(AH353/$AV$2)*'1. UC Assumptions'!$G$42,0)</f>
        <v>0</v>
      </c>
      <c r="AW353" s="151">
        <f>IF(K353="Harris",(AG353/$AW$1)*'1. UC Assumptions'!$H$44-(AH353/$AW$2)*'1. UC Assumptions'!$H$42,0)</f>
        <v>0</v>
      </c>
      <c r="AX353" s="151">
        <f>IF(K353="Hidalgo",(AG353/$AX$1)*'1. UC Assumptions'!$I$44-(AH353/$AX$2)*'1. UC Assumptions'!$I$42,0)</f>
        <v>0</v>
      </c>
      <c r="AY353" s="151">
        <f>IF(K353="Jefferson",(AG353/$AY$1)*'1. UC Assumptions'!$J$44-(AH353/$AY$2)*'1. UC Assumptions'!$J$42,0)</f>
        <v>0</v>
      </c>
      <c r="AZ353" s="151">
        <f>IF(K353="Lubbock",(AG353/$AZ$1)*'1. UC Assumptions'!$K$44-(AH353/$AZ$2)*'1. UC Assumptions'!$K$42,0)</f>
        <v>0</v>
      </c>
      <c r="BA353" s="151">
        <f>IF(K353="MRSA Central",(AG353/$BA$1)*'1. UC Assumptions'!$L$44-(AH353/$BA$2)*'1. UC Assumptions'!$L$42,0)</f>
        <v>0</v>
      </c>
      <c r="BB353" s="151">
        <f>IF(K353="MRSA Northeast",(AG353/$BB$1)*'1. UC Assumptions'!$M$44-(AH353/$BB$2)*'1. UC Assumptions'!$M$42,0)</f>
        <v>0</v>
      </c>
      <c r="BC353" s="151">
        <f>IF(K353="MRSA West",(AG353/$BC$1)*'1. UC Assumptions'!$N$44-(AH353/$BC$2)*'1. UC Assumptions'!$N$42,0)</f>
        <v>0</v>
      </c>
      <c r="BD353" s="151">
        <f>IF(K353="Nueces",(AG353/$BD$1)*'1. UC Assumptions'!$O$44-(AH353/$BD$2)*'1. UC Assumptions'!$O$42,0)</f>
        <v>0</v>
      </c>
      <c r="BE353" s="151">
        <f>IF(K353="Tarrant",(AG353/$BE$1)*'1. UC Assumptions'!$P$44-(AH353/$BE$2)*'1. UC Assumptions'!$P$42,0)</f>
        <v>0</v>
      </c>
      <c r="BF353" s="151">
        <f>IF(K353="Travis",(AG353/$BF$1)*'1. UC Assumptions'!$Q$44-(AH353/$BF$2)*'1. UC Assumptions'!$Q$42,0)</f>
        <v>0</v>
      </c>
      <c r="BG353" s="151">
        <f t="shared" si="120"/>
        <v>0</v>
      </c>
      <c r="BH353" s="151">
        <f t="shared" si="121"/>
        <v>27642552.046085697</v>
      </c>
      <c r="BI353" s="151">
        <f>ROUNDDOWN(BH353*'1. UC Assumptions'!$C$23,2)</f>
        <v>9122042.1699999999</v>
      </c>
      <c r="BJ353" s="154">
        <f t="shared" si="122"/>
        <v>15618463.116085697</v>
      </c>
      <c r="BK353" s="154">
        <f t="shared" si="123"/>
        <v>5154092.8231000006</v>
      </c>
      <c r="BL353" s="154">
        <f t="shared" si="124"/>
        <v>14419278.859999999</v>
      </c>
      <c r="BM353" s="154">
        <f t="shared" si="125"/>
        <v>4758362.01</v>
      </c>
      <c r="BN353" s="101"/>
      <c r="BO353" s="154">
        <f>(BL353*'1. UC Assumptions'!$C$23)-'3.  UC Calculations by Hospital'!BM353</f>
        <v>1.3799999840557575E-2</v>
      </c>
      <c r="BP353" s="13"/>
    </row>
    <row r="354" spans="1:68">
      <c r="B354" s="129" t="s">
        <v>1050</v>
      </c>
      <c r="C354" s="91" t="s">
        <v>1050</v>
      </c>
      <c r="D354" s="91" t="s">
        <v>214</v>
      </c>
      <c r="E354" s="91" t="s">
        <v>149</v>
      </c>
      <c r="F354" s="91"/>
      <c r="G354" s="91" t="s">
        <v>209</v>
      </c>
      <c r="H354" s="91" t="s">
        <v>209</v>
      </c>
      <c r="I354" s="150" t="s">
        <v>210</v>
      </c>
      <c r="J354" s="129" t="s">
        <v>1051</v>
      </c>
      <c r="K354" s="91" t="s">
        <v>11</v>
      </c>
      <c r="L354" s="91" t="s">
        <v>1052</v>
      </c>
      <c r="M354" s="151">
        <v>-172013.90028426267</v>
      </c>
      <c r="N354" s="151">
        <v>0</v>
      </c>
      <c r="O354" s="131">
        <v>0</v>
      </c>
      <c r="P354" s="131">
        <f t="shared" si="106"/>
        <v>0</v>
      </c>
      <c r="Q354" s="131">
        <v>3855758.3955939328</v>
      </c>
      <c r="R354" s="131">
        <v>0</v>
      </c>
      <c r="S354" s="131">
        <f t="shared" si="107"/>
        <v>0</v>
      </c>
      <c r="T354" s="131">
        <f t="shared" si="126"/>
        <v>3855758.3955939328</v>
      </c>
      <c r="U354" s="131">
        <v>173630</v>
      </c>
      <c r="V354" s="131">
        <v>0</v>
      </c>
      <c r="W354" s="131">
        <v>0</v>
      </c>
      <c r="X354" s="131">
        <v>0</v>
      </c>
      <c r="Y354" s="131">
        <v>2679438.9515746478</v>
      </c>
      <c r="Z354" s="131">
        <f t="shared" si="108"/>
        <v>2853068.9515746478</v>
      </c>
      <c r="AA354" s="131">
        <v>0</v>
      </c>
      <c r="AB354" s="152">
        <f t="shared" si="109"/>
        <v>6708827.3471685806</v>
      </c>
      <c r="AC354" s="133">
        <f>IF(D354="Physician Group Practice",(AB354/$AB$393)*'1. UC Assumptions'!$C$15,IF(E354="Rural Hospital",AB354*'1. UC Assumptions'!$C$7/'1. UC Assumptions'!$E$7,(AB354/$AB$397)*('1. UC Assumptions'!$C$9)))</f>
        <v>6262257.7760453094</v>
      </c>
      <c r="AD354" s="133">
        <f t="shared" si="110"/>
        <v>0</v>
      </c>
      <c r="AE354" s="133">
        <f t="shared" si="111"/>
        <v>446569.57112327125</v>
      </c>
      <c r="AF354" s="133">
        <f t="shared" si="112"/>
        <v>0</v>
      </c>
      <c r="AG354" s="133">
        <f t="shared" si="113"/>
        <v>446569.57112327125</v>
      </c>
      <c r="AH354" s="133">
        <f t="shared" si="114"/>
        <v>6262257.7760453094</v>
      </c>
      <c r="AI354" s="131">
        <f>AH354*'1. UC Assumptions'!$C$23</f>
        <v>2066545.0660949519</v>
      </c>
      <c r="AJ354" s="131">
        <v>2159177.98</v>
      </c>
      <c r="AK354" s="131">
        <f>AJ354*(1-'1. UC Assumptions'!$C$22)</f>
        <v>712528.73339999991</v>
      </c>
      <c r="AL354" s="131"/>
      <c r="AM354" s="131">
        <f>AL354*'1. UC Assumptions'!$C$23</f>
        <v>0</v>
      </c>
      <c r="AN354" s="153">
        <f t="shared" si="115"/>
        <v>6708827.3471685806</v>
      </c>
      <c r="AO354" s="151">
        <f>AN354*'1. UC Assumptions'!$C$23</f>
        <v>2213913.0245656315</v>
      </c>
      <c r="AP354" s="151">
        <f t="shared" si="116"/>
        <v>4549649.3671685811</v>
      </c>
      <c r="AQ354" s="151">
        <f t="shared" si="117"/>
        <v>1501384.2911656317</v>
      </c>
      <c r="AR354" s="151">
        <f t="shared" si="118"/>
        <v>1501384.2911656317</v>
      </c>
      <c r="AS354" s="151">
        <f t="shared" si="119"/>
        <v>2213913.0245656315</v>
      </c>
      <c r="AT354" s="151">
        <f>IF(K354="Bexar",(AG354/$AT$1)*'1. UC Assumptions'!$E$44-(AH354/$AT$2)*'1. UC Assumptions'!$E$42,0)</f>
        <v>0</v>
      </c>
      <c r="AU354" s="151">
        <f>IF(K354="Dallas",(AG354/$AU$1)*'1. UC Assumptions'!$F$44-(AH354/$AU$2)*'1. UC Assumptions'!$F$42,0)</f>
        <v>0</v>
      </c>
      <c r="AV354" s="151">
        <f>IF(K354="El Paso",(AG354/$AV$1)*'1. UC Assumptions'!$G$44-(AH354/$AV$2)*'1. UC Assumptions'!$G$42,0)</f>
        <v>0</v>
      </c>
      <c r="AW354" s="151">
        <f>IF(K354="Harris",(AG354/$AW$1)*'1. UC Assumptions'!$H$44-(AH354/$AW$2)*'1. UC Assumptions'!$H$42,0)</f>
        <v>0</v>
      </c>
      <c r="AX354" s="151">
        <f>IF(K354="Hidalgo",(AG354/$AX$1)*'1. UC Assumptions'!$I$44-(AH354/$AX$2)*'1. UC Assumptions'!$I$42,0)</f>
        <v>0</v>
      </c>
      <c r="AY354" s="151">
        <f>IF(K354="Jefferson",(AG354/$AY$1)*'1. UC Assumptions'!$J$44-(AH354/$AY$2)*'1. UC Assumptions'!$J$42,0)</f>
        <v>0</v>
      </c>
      <c r="AZ354" s="151">
        <f>IF(K354="Lubbock",(AG354/$AZ$1)*'1. UC Assumptions'!$K$44-(AH354/$AZ$2)*'1. UC Assumptions'!$K$42,0)</f>
        <v>0</v>
      </c>
      <c r="BA354" s="151">
        <f>IF(K354="MRSA Central",(AG354/$BA$1)*'1. UC Assumptions'!$L$44-(AH354/$BA$2)*'1. UC Assumptions'!$L$42,0)</f>
        <v>0</v>
      </c>
      <c r="BB354" s="151">
        <f>IF(K354="MRSA Northeast",(AG354/$BB$1)*'1. UC Assumptions'!$M$44-(AH354/$BB$2)*'1. UC Assumptions'!$M$42,0)</f>
        <v>0</v>
      </c>
      <c r="BC354" s="151">
        <f>IF(K354="MRSA West",(AG354/$BC$1)*'1. UC Assumptions'!$N$44-(AH354/$BC$2)*'1. UC Assumptions'!$N$42,0)</f>
        <v>0</v>
      </c>
      <c r="BD354" s="151">
        <f>IF(K354="Nueces",(AG354/$BD$1)*'1. UC Assumptions'!$O$44-(AH354/$BD$2)*'1. UC Assumptions'!$O$42,0)</f>
        <v>0</v>
      </c>
      <c r="BE354" s="151">
        <f>IF(K354="Tarrant",(AG354/$BE$1)*'1. UC Assumptions'!$P$44-(AH354/$BE$2)*'1. UC Assumptions'!$P$42,0)</f>
        <v>0</v>
      </c>
      <c r="BF354" s="151">
        <f>IF(K354="Travis",(AG354/$BF$1)*'1. UC Assumptions'!$Q$44-(AH354/$BF$2)*'1. UC Assumptions'!$Q$42,0)</f>
        <v>0</v>
      </c>
      <c r="BG354" s="151">
        <f t="shared" si="120"/>
        <v>0</v>
      </c>
      <c r="BH354" s="151">
        <f t="shared" si="121"/>
        <v>6262257.7760453094</v>
      </c>
      <c r="BI354" s="151">
        <f>ROUNDDOWN(BH354*'1. UC Assumptions'!$C$23,2)</f>
        <v>2066545.06</v>
      </c>
      <c r="BJ354" s="154">
        <f t="shared" si="122"/>
        <v>4103079.7960453094</v>
      </c>
      <c r="BK354" s="154">
        <f t="shared" si="123"/>
        <v>1354016.3266000003</v>
      </c>
      <c r="BL354" s="154">
        <f t="shared" si="124"/>
        <v>3788045.68</v>
      </c>
      <c r="BM354" s="154">
        <f t="shared" si="125"/>
        <v>1250055.07</v>
      </c>
      <c r="BN354" s="101"/>
      <c r="BO354" s="154">
        <f>(BL354*'1. UC Assumptions'!$C$23)-'3.  UC Calculations by Hospital'!BM354</f>
        <v>4.3999997433274984E-3</v>
      </c>
      <c r="BP354" s="13"/>
    </row>
    <row r="355" spans="1:68">
      <c r="B355" s="129" t="s">
        <v>1053</v>
      </c>
      <c r="C355" s="91" t="s">
        <v>1053</v>
      </c>
      <c r="D355" s="91" t="s">
        <v>214</v>
      </c>
      <c r="E355" s="91" t="s">
        <v>149</v>
      </c>
      <c r="F355" s="91"/>
      <c r="G355" s="91" t="s">
        <v>209</v>
      </c>
      <c r="H355" s="91" t="s">
        <v>209</v>
      </c>
      <c r="I355" s="150" t="s">
        <v>210</v>
      </c>
      <c r="J355" s="129" t="s">
        <v>1054</v>
      </c>
      <c r="K355" s="91" t="s">
        <v>11</v>
      </c>
      <c r="L355" s="91" t="s">
        <v>567</v>
      </c>
      <c r="M355" s="151">
        <v>335360.09616972791</v>
      </c>
      <c r="N355" s="151">
        <v>0</v>
      </c>
      <c r="O355" s="131">
        <v>0</v>
      </c>
      <c r="P355" s="131">
        <f t="shared" si="106"/>
        <v>0</v>
      </c>
      <c r="Q355" s="131">
        <v>3110878.6298652161</v>
      </c>
      <c r="R355" s="131">
        <v>0</v>
      </c>
      <c r="S355" s="131">
        <f t="shared" si="107"/>
        <v>0</v>
      </c>
      <c r="T355" s="131">
        <f t="shared" si="126"/>
        <v>3110878.6298652161</v>
      </c>
      <c r="U355" s="131">
        <v>72178</v>
      </c>
      <c r="V355" s="131">
        <v>0</v>
      </c>
      <c r="W355" s="131">
        <v>0</v>
      </c>
      <c r="X355" s="131">
        <v>0</v>
      </c>
      <c r="Y355" s="131">
        <v>706882.95459556836</v>
      </c>
      <c r="Z355" s="131">
        <f t="shared" si="108"/>
        <v>779060.95459556836</v>
      </c>
      <c r="AA355" s="131">
        <v>0</v>
      </c>
      <c r="AB355" s="152">
        <f t="shared" si="109"/>
        <v>3889939.5844607847</v>
      </c>
      <c r="AC355" s="133">
        <f>IF(D355="Physician Group Practice",(AB355/$AB$393)*'1. UC Assumptions'!$C$15,IF(E355="Rural Hospital",AB355*'1. UC Assumptions'!$C$7/'1. UC Assumptions'!$E$7,(AB355/$AB$397)*('1. UC Assumptions'!$C$9)))</f>
        <v>3631007.7977214479</v>
      </c>
      <c r="AD355" s="133">
        <f t="shared" si="110"/>
        <v>0</v>
      </c>
      <c r="AE355" s="133">
        <f t="shared" si="111"/>
        <v>258931.78673933679</v>
      </c>
      <c r="AF355" s="133">
        <f t="shared" si="112"/>
        <v>0</v>
      </c>
      <c r="AG355" s="133">
        <f t="shared" si="113"/>
        <v>258931.78673933679</v>
      </c>
      <c r="AH355" s="133">
        <f t="shared" si="114"/>
        <v>3631007.7977214479</v>
      </c>
      <c r="AI355" s="131">
        <f>AH355*'1. UC Assumptions'!$C$23</f>
        <v>1198232.5732480776</v>
      </c>
      <c r="AJ355" s="131">
        <v>1748678.79</v>
      </c>
      <c r="AK355" s="131">
        <f>AJ355*(1-'1. UC Assumptions'!$C$22)</f>
        <v>577064.00069999998</v>
      </c>
      <c r="AL355" s="131"/>
      <c r="AM355" s="131">
        <f>AL355*'1. UC Assumptions'!$C$23</f>
        <v>0</v>
      </c>
      <c r="AN355" s="153">
        <f t="shared" si="115"/>
        <v>3889939.5844607847</v>
      </c>
      <c r="AO355" s="151">
        <f>AN355*'1. UC Assumptions'!$C$23</f>
        <v>1283680.0628720587</v>
      </c>
      <c r="AP355" s="151">
        <f t="shared" si="116"/>
        <v>2141260.7944607846</v>
      </c>
      <c r="AQ355" s="151">
        <f t="shared" si="117"/>
        <v>706616.06217205874</v>
      </c>
      <c r="AR355" s="151">
        <f t="shared" si="118"/>
        <v>706616.06217205874</v>
      </c>
      <c r="AS355" s="151">
        <f t="shared" si="119"/>
        <v>1283680.0628720587</v>
      </c>
      <c r="AT355" s="151">
        <f>IF(K355="Bexar",(AG355/$AT$1)*'1. UC Assumptions'!$E$44-(AH355/$AT$2)*'1. UC Assumptions'!$E$42,0)</f>
        <v>0</v>
      </c>
      <c r="AU355" s="151">
        <f>IF(K355="Dallas",(AG355/$AU$1)*'1. UC Assumptions'!$F$44-(AH355/$AU$2)*'1. UC Assumptions'!$F$42,0)</f>
        <v>0</v>
      </c>
      <c r="AV355" s="151">
        <f>IF(K355="El Paso",(AG355/$AV$1)*'1. UC Assumptions'!$G$44-(AH355/$AV$2)*'1. UC Assumptions'!$G$42,0)</f>
        <v>0</v>
      </c>
      <c r="AW355" s="151">
        <f>IF(K355="Harris",(AG355/$AW$1)*'1. UC Assumptions'!$H$44-(AH355/$AW$2)*'1. UC Assumptions'!$H$42,0)</f>
        <v>0</v>
      </c>
      <c r="AX355" s="151">
        <f>IF(K355="Hidalgo",(AG355/$AX$1)*'1. UC Assumptions'!$I$44-(AH355/$AX$2)*'1. UC Assumptions'!$I$42,0)</f>
        <v>0</v>
      </c>
      <c r="AY355" s="151">
        <f>IF(K355="Jefferson",(AG355/$AY$1)*'1. UC Assumptions'!$J$44-(AH355/$AY$2)*'1. UC Assumptions'!$J$42,0)</f>
        <v>0</v>
      </c>
      <c r="AZ355" s="151">
        <f>IF(K355="Lubbock",(AG355/$AZ$1)*'1. UC Assumptions'!$K$44-(AH355/$AZ$2)*'1. UC Assumptions'!$K$42,0)</f>
        <v>0</v>
      </c>
      <c r="BA355" s="151">
        <f>IF(K355="MRSA Central",(AG355/$BA$1)*'1. UC Assumptions'!$L$44-(AH355/$BA$2)*'1. UC Assumptions'!$L$42,0)</f>
        <v>0</v>
      </c>
      <c r="BB355" s="151">
        <f>IF(K355="MRSA Northeast",(AG355/$BB$1)*'1. UC Assumptions'!$M$44-(AH355/$BB$2)*'1. UC Assumptions'!$M$42,0)</f>
        <v>0</v>
      </c>
      <c r="BC355" s="151">
        <f>IF(K355="MRSA West",(AG355/$BC$1)*'1. UC Assumptions'!$N$44-(AH355/$BC$2)*'1. UC Assumptions'!$N$42,0)</f>
        <v>0</v>
      </c>
      <c r="BD355" s="151">
        <f>IF(K355="Nueces",(AG355/$BD$1)*'1. UC Assumptions'!$O$44-(AH355/$BD$2)*'1. UC Assumptions'!$O$42,0)</f>
        <v>0</v>
      </c>
      <c r="BE355" s="151">
        <f>IF(K355="Tarrant",(AG355/$BE$1)*'1. UC Assumptions'!$P$44-(AH355/$BE$2)*'1. UC Assumptions'!$P$42,0)</f>
        <v>0</v>
      </c>
      <c r="BF355" s="151">
        <f>IF(K355="Travis",(AG355/$BF$1)*'1. UC Assumptions'!$Q$44-(AH355/$BF$2)*'1. UC Assumptions'!$Q$42,0)</f>
        <v>0</v>
      </c>
      <c r="BG355" s="151">
        <f t="shared" si="120"/>
        <v>0</v>
      </c>
      <c r="BH355" s="151">
        <f t="shared" si="121"/>
        <v>3631007.7977214479</v>
      </c>
      <c r="BI355" s="151">
        <f>ROUNDDOWN(BH355*'1. UC Assumptions'!$C$23,2)</f>
        <v>1198232.57</v>
      </c>
      <c r="BJ355" s="154">
        <f t="shared" si="122"/>
        <v>1882329.0077214479</v>
      </c>
      <c r="BK355" s="154">
        <f t="shared" si="123"/>
        <v>621168.56930000009</v>
      </c>
      <c r="BL355" s="154">
        <f t="shared" si="124"/>
        <v>1737803.95</v>
      </c>
      <c r="BM355" s="154">
        <f t="shared" si="125"/>
        <v>573475.30000000005</v>
      </c>
      <c r="BN355" s="101"/>
      <c r="BO355" s="154">
        <f>(BL355*'1. UC Assumptions'!$C$23)-'3.  UC Calculations by Hospital'!BM355</f>
        <v>3.499999875202775E-3</v>
      </c>
      <c r="BP355" s="13"/>
    </row>
    <row r="356" spans="1:68">
      <c r="B356" s="129" t="s">
        <v>1055</v>
      </c>
      <c r="C356" s="91" t="s">
        <v>1055</v>
      </c>
      <c r="D356" s="91" t="s">
        <v>214</v>
      </c>
      <c r="E356" s="91"/>
      <c r="F356" s="91"/>
      <c r="G356" s="91" t="s">
        <v>209</v>
      </c>
      <c r="H356" s="91" t="s">
        <v>209</v>
      </c>
      <c r="I356" s="150" t="s">
        <v>210</v>
      </c>
      <c r="J356" s="129" t="s">
        <v>1056</v>
      </c>
      <c r="K356" s="91" t="s">
        <v>11</v>
      </c>
      <c r="L356" s="91" t="s">
        <v>314</v>
      </c>
      <c r="M356" s="151">
        <v>720565.88140360231</v>
      </c>
      <c r="N356" s="151">
        <v>0</v>
      </c>
      <c r="O356" s="131">
        <v>0</v>
      </c>
      <c r="P356" s="131">
        <f t="shared" si="106"/>
        <v>0</v>
      </c>
      <c r="Q356" s="131">
        <v>476237.0159171265</v>
      </c>
      <c r="R356" s="131">
        <v>0</v>
      </c>
      <c r="S356" s="131">
        <f t="shared" si="107"/>
        <v>0</v>
      </c>
      <c r="T356" s="131">
        <f t="shared" si="126"/>
        <v>476237.0159171265</v>
      </c>
      <c r="U356" s="131">
        <v>0</v>
      </c>
      <c r="V356" s="131">
        <v>0</v>
      </c>
      <c r="W356" s="131">
        <v>0</v>
      </c>
      <c r="X356" s="131">
        <v>0</v>
      </c>
      <c r="Y356" s="131">
        <v>169994.04284451177</v>
      </c>
      <c r="Z356" s="131">
        <f t="shared" si="108"/>
        <v>169994.04284451177</v>
      </c>
      <c r="AA356" s="131">
        <v>0</v>
      </c>
      <c r="AB356" s="152">
        <f t="shared" si="109"/>
        <v>646231.05876163824</v>
      </c>
      <c r="AC356" s="133">
        <f>IF(D356="Physician Group Practice",(AB356/$AB$393)*'1. UC Assumptions'!$C$15,IF(E356="Rural Hospital",AB356*'1. UC Assumptions'!$C$7/'1. UC Assumptions'!$E$7,(AB356/$AB$397)*('1. UC Assumptions'!$C$9)))</f>
        <v>303822.69319879747</v>
      </c>
      <c r="AD356" s="133">
        <f t="shared" si="110"/>
        <v>0</v>
      </c>
      <c r="AE356" s="133">
        <f t="shared" si="111"/>
        <v>342408.36556284077</v>
      </c>
      <c r="AF356" s="133">
        <f t="shared" si="112"/>
        <v>0</v>
      </c>
      <c r="AG356" s="133">
        <f t="shared" si="113"/>
        <v>342408.36556284077</v>
      </c>
      <c r="AH356" s="133">
        <f t="shared" si="114"/>
        <v>303822.69319879747</v>
      </c>
      <c r="AI356" s="131">
        <f>AH356*'1. UC Assumptions'!$C$23</f>
        <v>100261.48875560315</v>
      </c>
      <c r="AJ356" s="131">
        <v>0</v>
      </c>
      <c r="AK356" s="131">
        <f>AJ356*(1-'1. UC Assumptions'!$C$22)</f>
        <v>0</v>
      </c>
      <c r="AL356" s="131"/>
      <c r="AM356" s="131">
        <f>AL356*'1. UC Assumptions'!$C$23</f>
        <v>0</v>
      </c>
      <c r="AN356" s="153">
        <f t="shared" si="115"/>
        <v>646231.05876163824</v>
      </c>
      <c r="AO356" s="151">
        <f>AN356*'1. UC Assumptions'!$C$23</f>
        <v>213256.24939134059</v>
      </c>
      <c r="AP356" s="151">
        <f t="shared" si="116"/>
        <v>646231.05876163824</v>
      </c>
      <c r="AQ356" s="151">
        <f t="shared" si="117"/>
        <v>213256.24939134059</v>
      </c>
      <c r="AR356" s="151">
        <f t="shared" si="118"/>
        <v>213256.24939134059</v>
      </c>
      <c r="AS356" s="151">
        <f t="shared" si="119"/>
        <v>213256.24939134059</v>
      </c>
      <c r="AT356" s="151">
        <f>IF(K356="Bexar",(AG356/$AT$1)*'1. UC Assumptions'!$E$44-(AH356/$AT$2)*'1. UC Assumptions'!$E$42,0)</f>
        <v>0</v>
      </c>
      <c r="AU356" s="151">
        <f>IF(K356="Dallas",(AG356/$AU$1)*'1. UC Assumptions'!$F$44-(AH356/$AU$2)*'1. UC Assumptions'!$F$42,0)</f>
        <v>0</v>
      </c>
      <c r="AV356" s="151">
        <f>IF(K356="El Paso",(AG356/$AV$1)*'1. UC Assumptions'!$G$44-(AH356/$AV$2)*'1. UC Assumptions'!$G$42,0)</f>
        <v>0</v>
      </c>
      <c r="AW356" s="151">
        <f>IF(K356="Harris",(AG356/$AW$1)*'1. UC Assumptions'!$H$44-(AH356/$AW$2)*'1. UC Assumptions'!$H$42,0)</f>
        <v>0</v>
      </c>
      <c r="AX356" s="151">
        <f>IF(K356="Hidalgo",(AG356/$AX$1)*'1. UC Assumptions'!$I$44-(AH356/$AX$2)*'1. UC Assumptions'!$I$42,0)</f>
        <v>0</v>
      </c>
      <c r="AY356" s="151">
        <f>IF(K356="Jefferson",(AG356/$AY$1)*'1. UC Assumptions'!$J$44-(AH356/$AY$2)*'1. UC Assumptions'!$J$42,0)</f>
        <v>0</v>
      </c>
      <c r="AZ356" s="151">
        <f>IF(K356="Lubbock",(AG356/$AZ$1)*'1. UC Assumptions'!$K$44-(AH356/$AZ$2)*'1. UC Assumptions'!$K$42,0)</f>
        <v>0</v>
      </c>
      <c r="BA356" s="151">
        <f>IF(K356="MRSA Central",(AG356/$BA$1)*'1. UC Assumptions'!$L$44-(AH356/$BA$2)*'1. UC Assumptions'!$L$42,0)</f>
        <v>0</v>
      </c>
      <c r="BB356" s="151">
        <f>IF(K356="MRSA Northeast",(AG356/$BB$1)*'1. UC Assumptions'!$M$44-(AH356/$BB$2)*'1. UC Assumptions'!$M$42,0)</f>
        <v>0</v>
      </c>
      <c r="BC356" s="151">
        <f>IF(K356="MRSA West",(AG356/$BC$1)*'1. UC Assumptions'!$N$44-(AH356/$BC$2)*'1. UC Assumptions'!$N$42,0)</f>
        <v>0</v>
      </c>
      <c r="BD356" s="151">
        <f>IF(K356="Nueces",(AG356/$BD$1)*'1. UC Assumptions'!$O$44-(AH356/$BD$2)*'1. UC Assumptions'!$O$42,0)</f>
        <v>0</v>
      </c>
      <c r="BE356" s="151">
        <f>IF(K356="Tarrant",(AG356/$BE$1)*'1. UC Assumptions'!$P$44-(AH356/$BE$2)*'1. UC Assumptions'!$P$42,0)</f>
        <v>0</v>
      </c>
      <c r="BF356" s="151">
        <f>IF(K356="Travis",(AG356/$BF$1)*'1. UC Assumptions'!$Q$44-(AH356/$BF$2)*'1. UC Assumptions'!$Q$42,0)</f>
        <v>0</v>
      </c>
      <c r="BG356" s="151">
        <f t="shared" si="120"/>
        <v>0</v>
      </c>
      <c r="BH356" s="151">
        <f t="shared" si="121"/>
        <v>303822.69319879747</v>
      </c>
      <c r="BI356" s="151">
        <f>ROUNDDOWN(BH356*'1. UC Assumptions'!$C$23,2)</f>
        <v>100261.48</v>
      </c>
      <c r="BJ356" s="154">
        <f t="shared" si="122"/>
        <v>303822.69319879747</v>
      </c>
      <c r="BK356" s="154">
        <f t="shared" si="123"/>
        <v>100261.48</v>
      </c>
      <c r="BL356" s="154">
        <f t="shared" si="124"/>
        <v>280495.21000000002</v>
      </c>
      <c r="BM356" s="154">
        <f t="shared" si="125"/>
        <v>92563.41</v>
      </c>
      <c r="BN356" s="101"/>
      <c r="BO356" s="154">
        <f>(BL356*'1. UC Assumptions'!$C$23)-'3.  UC Calculations by Hospital'!BM356</f>
        <v>9.2999999906169251E-3</v>
      </c>
      <c r="BP356" s="13"/>
    </row>
    <row r="357" spans="1:68" ht="15">
      <c r="A357" s="98"/>
      <c r="B357" s="129" t="s">
        <v>1057</v>
      </c>
      <c r="C357" s="91" t="s">
        <v>1057</v>
      </c>
      <c r="D357" s="91" t="s">
        <v>214</v>
      </c>
      <c r="E357" s="91"/>
      <c r="F357" s="91"/>
      <c r="G357" s="91" t="s">
        <v>209</v>
      </c>
      <c r="H357" s="91" t="s">
        <v>209</v>
      </c>
      <c r="I357" s="150" t="s">
        <v>210</v>
      </c>
      <c r="J357" s="129" t="s">
        <v>1058</v>
      </c>
      <c r="K357" s="91" t="s">
        <v>11</v>
      </c>
      <c r="L357" s="91" t="s">
        <v>314</v>
      </c>
      <c r="M357" s="151">
        <v>-113039.361293165</v>
      </c>
      <c r="N357" s="151">
        <v>0</v>
      </c>
      <c r="O357" s="131">
        <v>0</v>
      </c>
      <c r="P357" s="131">
        <f t="shared" si="106"/>
        <v>0</v>
      </c>
      <c r="Q357" s="131">
        <v>422458.95508013206</v>
      </c>
      <c r="R357" s="131">
        <v>0</v>
      </c>
      <c r="S357" s="131">
        <f t="shared" si="107"/>
        <v>0</v>
      </c>
      <c r="T357" s="131">
        <f t="shared" si="126"/>
        <v>422458.95508013206</v>
      </c>
      <c r="U357" s="131">
        <v>1268</v>
      </c>
      <c r="V357" s="131">
        <v>0</v>
      </c>
      <c r="W357" s="131">
        <v>0</v>
      </c>
      <c r="X357" s="131">
        <v>0</v>
      </c>
      <c r="Y357" s="131">
        <v>142322.34225304957</v>
      </c>
      <c r="Z357" s="131">
        <f t="shared" si="108"/>
        <v>143590.34225304957</v>
      </c>
      <c r="AA357" s="131">
        <v>0</v>
      </c>
      <c r="AB357" s="152">
        <f t="shared" si="109"/>
        <v>566049.2973331816</v>
      </c>
      <c r="AC357" s="133">
        <f>IF(D357="Physician Group Practice",(AB357/$AB$393)*'1. UC Assumptions'!$C$15,IF(E357="Rural Hospital",AB357*'1. UC Assumptions'!$C$7/'1. UC Assumptions'!$E$7,(AB357/$AB$397)*('1. UC Assumptions'!$C$9)))</f>
        <v>266125.59032463387</v>
      </c>
      <c r="AD357" s="133">
        <f t="shared" si="110"/>
        <v>0</v>
      </c>
      <c r="AE357" s="133">
        <f t="shared" si="111"/>
        <v>299923.70700854773</v>
      </c>
      <c r="AF357" s="133">
        <f t="shared" si="112"/>
        <v>0</v>
      </c>
      <c r="AG357" s="133">
        <f t="shared" si="113"/>
        <v>299923.70700854773</v>
      </c>
      <c r="AH357" s="133">
        <f t="shared" si="114"/>
        <v>266125.59032463387</v>
      </c>
      <c r="AI357" s="131">
        <f>AH357*'1. UC Assumptions'!$C$23</f>
        <v>87821.44480712917</v>
      </c>
      <c r="AJ357" s="131">
        <v>0</v>
      </c>
      <c r="AK357" s="131">
        <f>AJ357*(1-'1. UC Assumptions'!$C$22)</f>
        <v>0</v>
      </c>
      <c r="AL357" s="131"/>
      <c r="AM357" s="131">
        <f>AL357*'1. UC Assumptions'!$C$23</f>
        <v>0</v>
      </c>
      <c r="AN357" s="153">
        <f t="shared" si="115"/>
        <v>566049.2973331816</v>
      </c>
      <c r="AO357" s="151">
        <f>AN357*'1. UC Assumptions'!$C$23</f>
        <v>186796.26811994991</v>
      </c>
      <c r="AP357" s="151">
        <f t="shared" si="116"/>
        <v>566049.2973331816</v>
      </c>
      <c r="AQ357" s="151">
        <f t="shared" si="117"/>
        <v>186796.26811994991</v>
      </c>
      <c r="AR357" s="151">
        <f t="shared" si="118"/>
        <v>186796.26811994991</v>
      </c>
      <c r="AS357" s="151">
        <f t="shared" si="119"/>
        <v>186796.26811994991</v>
      </c>
      <c r="AT357" s="151">
        <f>IF(K357="Bexar",(AG357/$AT$1)*'1. UC Assumptions'!$E$44-(AH357/$AT$2)*'1. UC Assumptions'!$E$42,0)</f>
        <v>0</v>
      </c>
      <c r="AU357" s="151">
        <f>IF(K357="Dallas",(AG357/$AU$1)*'1. UC Assumptions'!$F$44-(AH357/$AU$2)*'1. UC Assumptions'!$F$42,0)</f>
        <v>0</v>
      </c>
      <c r="AV357" s="151">
        <f>IF(K357="El Paso",(AG357/$AV$1)*'1. UC Assumptions'!$G$44-(AH357/$AV$2)*'1. UC Assumptions'!$G$42,0)</f>
        <v>0</v>
      </c>
      <c r="AW357" s="151">
        <f>IF(K357="Harris",(AG357/$AW$1)*'1. UC Assumptions'!$H$44-(AH357/$AW$2)*'1. UC Assumptions'!$H$42,0)</f>
        <v>0</v>
      </c>
      <c r="AX357" s="151">
        <f>IF(K357="Hidalgo",(AG357/$AX$1)*'1. UC Assumptions'!$I$44-(AH357/$AX$2)*'1. UC Assumptions'!$I$42,0)</f>
        <v>0</v>
      </c>
      <c r="AY357" s="151">
        <f>IF(K357="Jefferson",(AG357/$AY$1)*'1. UC Assumptions'!$J$44-(AH357/$AY$2)*'1. UC Assumptions'!$J$42,0)</f>
        <v>0</v>
      </c>
      <c r="AZ357" s="151">
        <f>IF(K357="Lubbock",(AG357/$AZ$1)*'1. UC Assumptions'!$K$44-(AH357/$AZ$2)*'1. UC Assumptions'!$K$42,0)</f>
        <v>0</v>
      </c>
      <c r="BA357" s="151">
        <f>IF(K357="MRSA Central",(AG357/$BA$1)*'1. UC Assumptions'!$L$44-(AH357/$BA$2)*'1. UC Assumptions'!$L$42,0)</f>
        <v>0</v>
      </c>
      <c r="BB357" s="151">
        <f>IF(K357="MRSA Northeast",(AG357/$BB$1)*'1. UC Assumptions'!$M$44-(AH357/$BB$2)*'1. UC Assumptions'!$M$42,0)</f>
        <v>0</v>
      </c>
      <c r="BC357" s="151">
        <f>IF(K357="MRSA West",(AG357/$BC$1)*'1. UC Assumptions'!$N$44-(AH357/$BC$2)*'1. UC Assumptions'!$N$42,0)</f>
        <v>0</v>
      </c>
      <c r="BD357" s="151">
        <f>IF(K357="Nueces",(AG357/$BD$1)*'1. UC Assumptions'!$O$44-(AH357/$BD$2)*'1. UC Assumptions'!$O$42,0)</f>
        <v>0</v>
      </c>
      <c r="BE357" s="151">
        <f>IF(K357="Tarrant",(AG357/$BE$1)*'1. UC Assumptions'!$P$44-(AH357/$BE$2)*'1. UC Assumptions'!$P$42,0)</f>
        <v>0</v>
      </c>
      <c r="BF357" s="151">
        <f>IF(K357="Travis",(AG357/$BF$1)*'1. UC Assumptions'!$Q$44-(AH357/$BF$2)*'1. UC Assumptions'!$Q$42,0)</f>
        <v>0</v>
      </c>
      <c r="BG357" s="151">
        <f t="shared" si="120"/>
        <v>0</v>
      </c>
      <c r="BH357" s="151">
        <f t="shared" si="121"/>
        <v>266125.59032463387</v>
      </c>
      <c r="BI357" s="151">
        <f>ROUNDDOWN(BH357*'1. UC Assumptions'!$C$23,2)</f>
        <v>87821.440000000002</v>
      </c>
      <c r="BJ357" s="154">
        <f t="shared" si="122"/>
        <v>266125.59032463387</v>
      </c>
      <c r="BK357" s="154">
        <f t="shared" si="123"/>
        <v>87821.440000000002</v>
      </c>
      <c r="BL357" s="154">
        <f t="shared" si="124"/>
        <v>245692.49</v>
      </c>
      <c r="BM357" s="154">
        <f t="shared" si="125"/>
        <v>81078.52</v>
      </c>
      <c r="BN357" s="101"/>
      <c r="BO357" s="154">
        <f>(BL357*'1. UC Assumptions'!$C$23)-'3.  UC Calculations by Hospital'!BM357</f>
        <v>1.6999999788822606E-3</v>
      </c>
      <c r="BP357" s="13"/>
    </row>
    <row r="358" spans="1:68">
      <c r="B358" s="129" t="s">
        <v>1059</v>
      </c>
      <c r="C358" s="91" t="s">
        <v>1059</v>
      </c>
      <c r="D358" s="91" t="s">
        <v>214</v>
      </c>
      <c r="E358" s="91" t="s">
        <v>209</v>
      </c>
      <c r="F358" s="91"/>
      <c r="G358" s="91" t="s">
        <v>209</v>
      </c>
      <c r="H358" s="91" t="s">
        <v>209</v>
      </c>
      <c r="I358" s="150" t="s">
        <v>210</v>
      </c>
      <c r="J358" s="129" t="s">
        <v>1060</v>
      </c>
      <c r="K358" s="91" t="s">
        <v>4</v>
      </c>
      <c r="L358" s="91" t="s">
        <v>4</v>
      </c>
      <c r="M358" s="151">
        <v>1996386.6838058494</v>
      </c>
      <c r="N358" s="151">
        <v>0</v>
      </c>
      <c r="O358" s="131">
        <v>0</v>
      </c>
      <c r="P358" s="131">
        <f t="shared" si="106"/>
        <v>0</v>
      </c>
      <c r="Q358" s="131">
        <v>17158250.578727335</v>
      </c>
      <c r="R358" s="131">
        <v>0</v>
      </c>
      <c r="S358" s="131">
        <f t="shared" si="107"/>
        <v>0</v>
      </c>
      <c r="T358" s="131">
        <f t="shared" si="126"/>
        <v>17158250.578727335</v>
      </c>
      <c r="U358" s="131">
        <v>535391</v>
      </c>
      <c r="V358" s="131">
        <v>0</v>
      </c>
      <c r="W358" s="131">
        <v>0</v>
      </c>
      <c r="X358" s="131">
        <v>0</v>
      </c>
      <c r="Y358" s="131">
        <v>0</v>
      </c>
      <c r="Z358" s="131">
        <f t="shared" si="108"/>
        <v>535391</v>
      </c>
      <c r="AA358" s="131">
        <v>0</v>
      </c>
      <c r="AB358" s="152">
        <f t="shared" si="109"/>
        <v>17693641.578727335</v>
      </c>
      <c r="AC358" s="133">
        <f>IF(D358="Physician Group Practice",(AB358/$AB$393)*'1. UC Assumptions'!$C$15,IF(E358="Rural Hospital",AB358*'1. UC Assumptions'!$C$7/'1. UC Assumptions'!$E$7,(AB358/$AB$397)*('1. UC Assumptions'!$C$9)))</f>
        <v>8318587.855007438</v>
      </c>
      <c r="AD358" s="133">
        <f t="shared" si="110"/>
        <v>0</v>
      </c>
      <c r="AE358" s="133">
        <f t="shared" si="111"/>
        <v>9375053.7237198967</v>
      </c>
      <c r="AF358" s="133">
        <f t="shared" si="112"/>
        <v>0</v>
      </c>
      <c r="AG358" s="133">
        <f t="shared" si="113"/>
        <v>9375053.7237198967</v>
      </c>
      <c r="AH358" s="133">
        <f t="shared" si="114"/>
        <v>8318587.855007438</v>
      </c>
      <c r="AI358" s="131">
        <f>AH358*'1. UC Assumptions'!$C$23</f>
        <v>2745133.9921524543</v>
      </c>
      <c r="AJ358" s="131">
        <v>7396655.4699999997</v>
      </c>
      <c r="AK358" s="131">
        <f>AJ358*(1-'1. UC Assumptions'!$C$22)</f>
        <v>2440896.3050999995</v>
      </c>
      <c r="AL358" s="131"/>
      <c r="AM358" s="131">
        <f>AL358*'1. UC Assumptions'!$C$23</f>
        <v>0</v>
      </c>
      <c r="AN358" s="153">
        <f t="shared" si="115"/>
        <v>17693641.578727335</v>
      </c>
      <c r="AO358" s="151">
        <f>AN358*'1. UC Assumptions'!$C$23</f>
        <v>5838901.7209800193</v>
      </c>
      <c r="AP358" s="151">
        <f t="shared" si="116"/>
        <v>10296986.108727336</v>
      </c>
      <c r="AQ358" s="151">
        <f t="shared" si="117"/>
        <v>3398005.4158800198</v>
      </c>
      <c r="AR358" s="151">
        <f t="shared" si="118"/>
        <v>3398005.4158800198</v>
      </c>
      <c r="AS358" s="151">
        <f t="shared" si="119"/>
        <v>5838901.7209800193</v>
      </c>
      <c r="AT358" s="151">
        <f>IF(K358="Bexar",(AG358/$AT$1)*'1. UC Assumptions'!$E$44-(AH358/$AT$2)*'1. UC Assumptions'!$E$42,0)</f>
        <v>0</v>
      </c>
      <c r="AU358" s="151">
        <f>IF(K358="Dallas",(AG358/$AU$1)*'1. UC Assumptions'!$F$44-(AH358/$AU$2)*'1. UC Assumptions'!$F$42,0)</f>
        <v>0</v>
      </c>
      <c r="AV358" s="151">
        <f>IF(K358="El Paso",(AG358/$AV$1)*'1. UC Assumptions'!$G$44-(AH358/$AV$2)*'1. UC Assumptions'!$G$42,0)</f>
        <v>0</v>
      </c>
      <c r="AW358" s="151">
        <f>IF(K358="Harris",(AG358/$AW$1)*'1. UC Assumptions'!$H$44-(AH358/$AW$2)*'1. UC Assumptions'!$H$42,0)</f>
        <v>0</v>
      </c>
      <c r="AX358" s="151">
        <f>IF(K358="Hidalgo",(AG358/$AX$1)*'1. UC Assumptions'!$I$44-(AH358/$AX$2)*'1. UC Assumptions'!$I$42,0)</f>
        <v>0</v>
      </c>
      <c r="AY358" s="151">
        <f>IF(K358="Jefferson",(AG358/$AY$1)*'1. UC Assumptions'!$J$44-(AH358/$AY$2)*'1. UC Assumptions'!$J$42,0)</f>
        <v>0</v>
      </c>
      <c r="AZ358" s="151">
        <f>IF(K358="Lubbock",(AG358/$AZ$1)*'1. UC Assumptions'!$K$44-(AH358/$AZ$2)*'1. UC Assumptions'!$K$42,0)</f>
        <v>0</v>
      </c>
      <c r="BA358" s="151">
        <f>IF(K358="MRSA Central",(AG358/$BA$1)*'1. UC Assumptions'!$L$44-(AH358/$BA$2)*'1. UC Assumptions'!$L$42,0)</f>
        <v>0</v>
      </c>
      <c r="BB358" s="151">
        <f>IF(K358="MRSA Northeast",(AG358/$BB$1)*'1. UC Assumptions'!$M$44-(AH358/$BB$2)*'1. UC Assumptions'!$M$42,0)</f>
        <v>0</v>
      </c>
      <c r="BC358" s="151">
        <f>IF(K358="MRSA West",(AG358/$BC$1)*'1. UC Assumptions'!$N$44-(AH358/$BC$2)*'1. UC Assumptions'!$N$42,0)</f>
        <v>0</v>
      </c>
      <c r="BD358" s="151">
        <f>IF(K358="Nueces",(AG358/$BD$1)*'1. UC Assumptions'!$O$44-(AH358/$BD$2)*'1. UC Assumptions'!$O$42,0)</f>
        <v>0</v>
      </c>
      <c r="BE358" s="151">
        <f>IF(K358="Tarrant",(AG358/$BE$1)*'1. UC Assumptions'!$P$44-(AH358/$BE$2)*'1. UC Assumptions'!$P$42,0)</f>
        <v>0</v>
      </c>
      <c r="BF358" s="151">
        <f>IF(K358="Travis",(AG358/$BF$1)*'1. UC Assumptions'!$Q$44-(AH358/$BF$2)*'1. UC Assumptions'!$Q$42,0)</f>
        <v>0</v>
      </c>
      <c r="BG358" s="151">
        <f t="shared" si="120"/>
        <v>0</v>
      </c>
      <c r="BH358" s="151">
        <f t="shared" si="121"/>
        <v>8318587.855007438</v>
      </c>
      <c r="BI358" s="151">
        <f>ROUNDDOWN(BH358*'1. UC Assumptions'!$C$23,2)</f>
        <v>2745133.99</v>
      </c>
      <c r="BJ358" s="154">
        <f t="shared" si="122"/>
        <v>921932.38500743825</v>
      </c>
      <c r="BK358" s="154">
        <f t="shared" si="123"/>
        <v>304237.68490000069</v>
      </c>
      <c r="BL358" s="154">
        <f t="shared" si="124"/>
        <v>851146.5</v>
      </c>
      <c r="BM358" s="154">
        <f t="shared" si="125"/>
        <v>280878.34000000003</v>
      </c>
      <c r="BN358" s="101"/>
      <c r="BO358" s="154">
        <f>(BL358*'1. UC Assumptions'!$C$23)-'3.  UC Calculations by Hospital'!BM358</f>
        <v>4.999999946448952E-3</v>
      </c>
      <c r="BP358" s="13"/>
    </row>
    <row r="359" spans="1:68">
      <c r="B359" s="129" t="s">
        <v>1061</v>
      </c>
      <c r="C359" s="91" t="s">
        <v>1061</v>
      </c>
      <c r="D359" s="91" t="s">
        <v>214</v>
      </c>
      <c r="E359" s="91" t="s">
        <v>149</v>
      </c>
      <c r="F359" s="91"/>
      <c r="G359" s="91" t="s">
        <v>209</v>
      </c>
      <c r="H359" s="91" t="s">
        <v>209</v>
      </c>
      <c r="I359" s="150" t="s">
        <v>210</v>
      </c>
      <c r="J359" s="129" t="s">
        <v>1062</v>
      </c>
      <c r="K359" s="96" t="s">
        <v>11</v>
      </c>
      <c r="L359" s="91" t="s">
        <v>1063</v>
      </c>
      <c r="M359" s="151">
        <v>-83023.787946265438</v>
      </c>
      <c r="N359" s="151">
        <v>0</v>
      </c>
      <c r="O359" s="131">
        <v>0</v>
      </c>
      <c r="P359" s="131">
        <f t="shared" si="106"/>
        <v>0</v>
      </c>
      <c r="Q359" s="131">
        <v>3208405.8998107649</v>
      </c>
      <c r="R359" s="131">
        <v>0</v>
      </c>
      <c r="S359" s="131">
        <f t="shared" si="107"/>
        <v>0</v>
      </c>
      <c r="T359" s="131">
        <f t="shared" si="126"/>
        <v>3208405.8998107649</v>
      </c>
      <c r="U359" s="131">
        <v>0</v>
      </c>
      <c r="V359" s="131">
        <v>0</v>
      </c>
      <c r="W359" s="131">
        <v>0</v>
      </c>
      <c r="X359" s="131">
        <v>0</v>
      </c>
      <c r="Y359" s="131">
        <v>544277.38920164376</v>
      </c>
      <c r="Z359" s="131">
        <f t="shared" si="108"/>
        <v>544277.38920164376</v>
      </c>
      <c r="AA359" s="131">
        <v>0</v>
      </c>
      <c r="AB359" s="152">
        <f t="shared" si="109"/>
        <v>3752683.2890124088</v>
      </c>
      <c r="AC359" s="133">
        <f>IF(D359="Physician Group Practice",(AB359/$AB$393)*'1. UC Assumptions'!$C$15,IF(E359="Rural Hospital",AB359*'1. UC Assumptions'!$C$7/'1. UC Assumptions'!$E$7,(AB359/$AB$397)*('1. UC Assumptions'!$C$9)))</f>
        <v>3502887.8955383152</v>
      </c>
      <c r="AD359" s="133">
        <f t="shared" si="110"/>
        <v>0</v>
      </c>
      <c r="AE359" s="133">
        <f t="shared" si="111"/>
        <v>249795.39347409364</v>
      </c>
      <c r="AF359" s="133">
        <f t="shared" si="112"/>
        <v>0</v>
      </c>
      <c r="AG359" s="133">
        <f t="shared" si="113"/>
        <v>249795.39347409364</v>
      </c>
      <c r="AH359" s="133">
        <f t="shared" si="114"/>
        <v>3502887.8955383152</v>
      </c>
      <c r="AI359" s="131">
        <f>AH359*'1. UC Assumptions'!$C$23</f>
        <v>1155953.005527644</v>
      </c>
      <c r="AJ359" s="131">
        <v>205947.47</v>
      </c>
      <c r="AK359" s="131">
        <f>AJ359*(1-'1. UC Assumptions'!$C$22)</f>
        <v>67962.665099999998</v>
      </c>
      <c r="AL359" s="131"/>
      <c r="AM359" s="131">
        <f>AL359*'1. UC Assumptions'!$C$23</f>
        <v>0</v>
      </c>
      <c r="AN359" s="153">
        <f t="shared" si="115"/>
        <v>3752683.2890124088</v>
      </c>
      <c r="AO359" s="151">
        <f>AN359*'1. UC Assumptions'!$C$23</f>
        <v>1238385.4853740947</v>
      </c>
      <c r="AP359" s="151">
        <f t="shared" si="116"/>
        <v>3546735.8190124086</v>
      </c>
      <c r="AQ359" s="151">
        <f t="shared" si="117"/>
        <v>1170422.8202740946</v>
      </c>
      <c r="AR359" s="151">
        <f t="shared" si="118"/>
        <v>1170422.8202740946</v>
      </c>
      <c r="AS359" s="151">
        <f t="shared" si="119"/>
        <v>1238385.4853740947</v>
      </c>
      <c r="AT359" s="151">
        <f>IF(K359="Bexar",(AG359/$AT$1)*'1. UC Assumptions'!$E$44-(AH359/$AT$2)*'1. UC Assumptions'!$E$42,0)</f>
        <v>0</v>
      </c>
      <c r="AU359" s="151">
        <f>IF(K359="Dallas",(AG359/$AU$1)*'1. UC Assumptions'!$F$44-(AH359/$AU$2)*'1. UC Assumptions'!$F$42,0)</f>
        <v>0</v>
      </c>
      <c r="AV359" s="151">
        <f>IF(K359="El Paso",(AG359/$AV$1)*'1. UC Assumptions'!$G$44-(AH359/$AV$2)*'1. UC Assumptions'!$G$42,0)</f>
        <v>0</v>
      </c>
      <c r="AW359" s="151">
        <f>IF(K359="Harris",(AG359/$AW$1)*'1. UC Assumptions'!$H$44-(AH359/$AW$2)*'1. UC Assumptions'!$H$42,0)</f>
        <v>0</v>
      </c>
      <c r="AX359" s="151">
        <f>IF(K359="Hidalgo",(AG359/$AX$1)*'1. UC Assumptions'!$I$44-(AH359/$AX$2)*'1. UC Assumptions'!$I$42,0)</f>
        <v>0</v>
      </c>
      <c r="AY359" s="151">
        <f>IF(K359="Jefferson",(AG359/$AY$1)*'1. UC Assumptions'!$J$44-(AH359/$AY$2)*'1. UC Assumptions'!$J$42,0)</f>
        <v>0</v>
      </c>
      <c r="AZ359" s="151">
        <f>IF(K359="Lubbock",(AG359/$AZ$1)*'1. UC Assumptions'!$K$44-(AH359/$AZ$2)*'1. UC Assumptions'!$K$42,0)</f>
        <v>0</v>
      </c>
      <c r="BA359" s="151">
        <f>IF(K359="MRSA Central",(AG359/$BA$1)*'1. UC Assumptions'!$L$44-(AH359/$BA$2)*'1. UC Assumptions'!$L$42,0)</f>
        <v>0</v>
      </c>
      <c r="BB359" s="151">
        <f>IF(K359="MRSA Northeast",(AG359/$BB$1)*'1. UC Assumptions'!$M$44-(AH359/$BB$2)*'1. UC Assumptions'!$M$42,0)</f>
        <v>0</v>
      </c>
      <c r="BC359" s="151">
        <f>IF(K359="MRSA West",(AG359/$BC$1)*'1. UC Assumptions'!$N$44-(AH359/$BC$2)*'1. UC Assumptions'!$N$42,0)</f>
        <v>0</v>
      </c>
      <c r="BD359" s="151">
        <f>IF(K359="Nueces",(AG359/$BD$1)*'1. UC Assumptions'!$O$44-(AH359/$BD$2)*'1. UC Assumptions'!$O$42,0)</f>
        <v>0</v>
      </c>
      <c r="BE359" s="151">
        <f>IF(K359="Tarrant",(AG359/$BE$1)*'1. UC Assumptions'!$P$44-(AH359/$BE$2)*'1. UC Assumptions'!$P$42,0)</f>
        <v>0</v>
      </c>
      <c r="BF359" s="151">
        <f>IF(K359="Travis",(AG359/$BF$1)*'1. UC Assumptions'!$Q$44-(AH359/$BF$2)*'1. UC Assumptions'!$Q$42,0)</f>
        <v>0</v>
      </c>
      <c r="BG359" s="151">
        <f t="shared" si="120"/>
        <v>0</v>
      </c>
      <c r="BH359" s="151">
        <f t="shared" si="121"/>
        <v>3502887.8955383152</v>
      </c>
      <c r="BI359" s="151">
        <f>ROUNDDOWN(BH359*'1. UC Assumptions'!$C$23,2)</f>
        <v>1155953</v>
      </c>
      <c r="BJ359" s="154">
        <f t="shared" si="122"/>
        <v>3296940.425538315</v>
      </c>
      <c r="BK359" s="154">
        <f t="shared" si="123"/>
        <v>1087990.3348999999</v>
      </c>
      <c r="BL359" s="154">
        <f t="shared" si="124"/>
        <v>3043801.62</v>
      </c>
      <c r="BM359" s="154">
        <f t="shared" si="125"/>
        <v>1004454.53</v>
      </c>
      <c r="BN359" s="101"/>
      <c r="BO359" s="154">
        <f>(BL359*'1. UC Assumptions'!$C$23)-'3.  UC Calculations by Hospital'!BM359</f>
        <v>4.5999998692423105E-3</v>
      </c>
      <c r="BP359" s="13"/>
    </row>
    <row r="360" spans="1:68">
      <c r="B360" s="129" t="s">
        <v>1064</v>
      </c>
      <c r="C360" s="91" t="s">
        <v>1064</v>
      </c>
      <c r="D360" s="91" t="s">
        <v>214</v>
      </c>
      <c r="E360" s="91" t="s">
        <v>209</v>
      </c>
      <c r="F360" s="91"/>
      <c r="G360" s="91" t="s">
        <v>209</v>
      </c>
      <c r="H360" s="91" t="s">
        <v>209</v>
      </c>
      <c r="I360" s="150" t="s">
        <v>210</v>
      </c>
      <c r="J360" s="129" t="s">
        <v>1065</v>
      </c>
      <c r="K360" s="91" t="s">
        <v>15</v>
      </c>
      <c r="L360" s="91" t="s">
        <v>15</v>
      </c>
      <c r="M360" s="151">
        <v>552379.78415692819</v>
      </c>
      <c r="N360" s="151">
        <v>0</v>
      </c>
      <c r="O360" s="131">
        <v>0</v>
      </c>
      <c r="P360" s="131">
        <f t="shared" si="106"/>
        <v>0</v>
      </c>
      <c r="Q360" s="131">
        <v>2151053.9884415232</v>
      </c>
      <c r="R360" s="131">
        <v>0</v>
      </c>
      <c r="S360" s="131">
        <f t="shared" si="107"/>
        <v>0</v>
      </c>
      <c r="T360" s="131">
        <f t="shared" si="126"/>
        <v>2151053.9884415232</v>
      </c>
      <c r="U360" s="131">
        <v>118995.76999999999</v>
      </c>
      <c r="V360" s="131">
        <v>0</v>
      </c>
      <c r="W360" s="131">
        <v>0</v>
      </c>
      <c r="X360" s="131">
        <v>0</v>
      </c>
      <c r="Y360" s="131">
        <v>0</v>
      </c>
      <c r="Z360" s="131">
        <f t="shared" si="108"/>
        <v>118995.76999999999</v>
      </c>
      <c r="AA360" s="131">
        <v>0</v>
      </c>
      <c r="AB360" s="152">
        <f t="shared" si="109"/>
        <v>2270049.7584415232</v>
      </c>
      <c r="AC360" s="133">
        <f>IF(D360="Physician Group Practice",(AB360/$AB$393)*'1. UC Assumptions'!$C$15,IF(E360="Rural Hospital",AB360*'1. UC Assumptions'!$C$7/'1. UC Assumptions'!$E$7,(AB360/$AB$397)*('1. UC Assumptions'!$C$9)))</f>
        <v>1067253.9209530251</v>
      </c>
      <c r="AD360" s="133">
        <f t="shared" si="110"/>
        <v>0</v>
      </c>
      <c r="AE360" s="133">
        <f t="shared" si="111"/>
        <v>1202795.8374884981</v>
      </c>
      <c r="AF360" s="133">
        <f t="shared" si="112"/>
        <v>0</v>
      </c>
      <c r="AG360" s="133">
        <f t="shared" si="113"/>
        <v>1202795.8374884981</v>
      </c>
      <c r="AH360" s="133">
        <f t="shared" si="114"/>
        <v>1067253.9209530251</v>
      </c>
      <c r="AI360" s="131">
        <f>AH360*'1. UC Assumptions'!$C$23</f>
        <v>352193.79391449824</v>
      </c>
      <c r="AJ360" s="131">
        <v>524672.12</v>
      </c>
      <c r="AK360" s="131">
        <f>AJ360*(1-'1. UC Assumptions'!$C$22)</f>
        <v>173141.79959999997</v>
      </c>
      <c r="AL360" s="131"/>
      <c r="AM360" s="131">
        <f>AL360*'1. UC Assumptions'!$C$23</f>
        <v>0</v>
      </c>
      <c r="AN360" s="153">
        <f t="shared" si="115"/>
        <v>2270049.7584415232</v>
      </c>
      <c r="AO360" s="151">
        <f>AN360*'1. UC Assumptions'!$C$23</f>
        <v>749116.42028570257</v>
      </c>
      <c r="AP360" s="151">
        <f t="shared" si="116"/>
        <v>1745377.6384415231</v>
      </c>
      <c r="AQ360" s="151">
        <f t="shared" si="117"/>
        <v>575974.62068570266</v>
      </c>
      <c r="AR360" s="151">
        <f t="shared" si="118"/>
        <v>575974.62068570266</v>
      </c>
      <c r="AS360" s="151">
        <f t="shared" si="119"/>
        <v>749116.42028570268</v>
      </c>
      <c r="AT360" s="151">
        <f>IF(K360="Bexar",(AG360/$AT$1)*'1. UC Assumptions'!$E$44-(AH360/$AT$2)*'1. UC Assumptions'!$E$42,0)</f>
        <v>0</v>
      </c>
      <c r="AU360" s="151">
        <f>IF(K360="Dallas",(AG360/$AU$1)*'1. UC Assumptions'!$F$44-(AH360/$AU$2)*'1. UC Assumptions'!$F$42,0)</f>
        <v>0</v>
      </c>
      <c r="AV360" s="151">
        <f>IF(K360="El Paso",(AG360/$AV$1)*'1. UC Assumptions'!$G$44-(AH360/$AV$2)*'1. UC Assumptions'!$G$42,0)</f>
        <v>0</v>
      </c>
      <c r="AW360" s="151">
        <f>IF(K360="Harris",(AG360/$AW$1)*'1. UC Assumptions'!$H$44-(AH360/$AW$2)*'1. UC Assumptions'!$H$42,0)</f>
        <v>0</v>
      </c>
      <c r="AX360" s="151">
        <f>IF(K360="Hidalgo",(AG360/$AX$1)*'1. UC Assumptions'!$I$44-(AH360/$AX$2)*'1. UC Assumptions'!$I$42,0)</f>
        <v>0</v>
      </c>
      <c r="AY360" s="151">
        <f>IF(K360="Jefferson",(AG360/$AY$1)*'1. UC Assumptions'!$J$44-(AH360/$AY$2)*'1. UC Assumptions'!$J$42,0)</f>
        <v>0</v>
      </c>
      <c r="AZ360" s="151">
        <f>IF(K360="Lubbock",(AG360/$AZ$1)*'1. UC Assumptions'!$K$44-(AH360/$AZ$2)*'1. UC Assumptions'!$K$42,0)</f>
        <v>0</v>
      </c>
      <c r="BA360" s="151">
        <f>IF(K360="MRSA Central",(AG360/$BA$1)*'1. UC Assumptions'!$L$44-(AH360/$BA$2)*'1. UC Assumptions'!$L$42,0)</f>
        <v>0</v>
      </c>
      <c r="BB360" s="151">
        <f>IF(K360="MRSA Northeast",(AG360/$BB$1)*'1. UC Assumptions'!$M$44-(AH360/$BB$2)*'1. UC Assumptions'!$M$42,0)</f>
        <v>0</v>
      </c>
      <c r="BC360" s="151">
        <f>IF(K360="MRSA West",(AG360/$BC$1)*'1. UC Assumptions'!$N$44-(AH360/$BC$2)*'1. UC Assumptions'!$N$42,0)</f>
        <v>0</v>
      </c>
      <c r="BD360" s="151">
        <f>IF(K360="Nueces",(AG360/$BD$1)*'1. UC Assumptions'!$O$44-(AH360/$BD$2)*'1. UC Assumptions'!$O$42,0)</f>
        <v>0</v>
      </c>
      <c r="BE360" s="151">
        <f>IF(K360="Tarrant",(AG360/$BE$1)*'1. UC Assumptions'!$P$44-(AH360/$BE$2)*'1. UC Assumptions'!$P$42,0)</f>
        <v>0</v>
      </c>
      <c r="BF360" s="151">
        <f>IF(K360="Travis",(AG360/$BF$1)*'1. UC Assumptions'!$Q$44-(AH360/$BF$2)*'1. UC Assumptions'!$Q$42,0)</f>
        <v>0</v>
      </c>
      <c r="BG360" s="151">
        <f t="shared" si="120"/>
        <v>0</v>
      </c>
      <c r="BH360" s="151">
        <f t="shared" si="121"/>
        <v>1067253.9209530251</v>
      </c>
      <c r="BI360" s="151">
        <f>ROUNDDOWN(BH360*'1. UC Assumptions'!$C$23,2)</f>
        <v>352193.79</v>
      </c>
      <c r="BJ360" s="154">
        <f t="shared" si="122"/>
        <v>542581.80095302511</v>
      </c>
      <c r="BK360" s="154">
        <f t="shared" si="123"/>
        <v>179051.99040000001</v>
      </c>
      <c r="BL360" s="154">
        <f t="shared" si="124"/>
        <v>500922.42</v>
      </c>
      <c r="BM360" s="154">
        <f t="shared" si="125"/>
        <v>165304.39000000001</v>
      </c>
      <c r="BN360" s="101"/>
      <c r="BO360" s="154">
        <f>(BL360*'1. UC Assumptions'!$C$23)-'3.  UC Calculations by Hospital'!BM360</f>
        <v>8.5999999719206244E-3</v>
      </c>
      <c r="BP360" s="13"/>
    </row>
    <row r="361" spans="1:68">
      <c r="B361" s="129" t="s">
        <v>1066</v>
      </c>
      <c r="C361" s="91" t="s">
        <v>1066</v>
      </c>
      <c r="D361" s="91" t="s">
        <v>214</v>
      </c>
      <c r="E361" s="91" t="s">
        <v>149</v>
      </c>
      <c r="F361" s="91"/>
      <c r="G361" s="91" t="s">
        <v>209</v>
      </c>
      <c r="H361" s="91" t="s">
        <v>209</v>
      </c>
      <c r="I361" s="150" t="s">
        <v>210</v>
      </c>
      <c r="J361" s="129" t="s">
        <v>1067</v>
      </c>
      <c r="K361" s="91" t="s">
        <v>11</v>
      </c>
      <c r="L361" s="91" t="s">
        <v>491</v>
      </c>
      <c r="M361" s="151">
        <v>138048.5915524349</v>
      </c>
      <c r="N361" s="151">
        <v>3526864.9935435117</v>
      </c>
      <c r="O361" s="131">
        <v>2837263.6160253952</v>
      </c>
      <c r="P361" s="131">
        <f t="shared" si="106"/>
        <v>689601.3775181165</v>
      </c>
      <c r="Q361" s="131">
        <v>3006650.8533517565</v>
      </c>
      <c r="R361" s="131">
        <v>342969.74</v>
      </c>
      <c r="S361" s="131">
        <f t="shared" si="107"/>
        <v>0</v>
      </c>
      <c r="T361" s="131">
        <f t="shared" si="126"/>
        <v>3006650.8533517565</v>
      </c>
      <c r="U361" s="131">
        <v>0</v>
      </c>
      <c r="V361" s="131">
        <v>0</v>
      </c>
      <c r="W361" s="131">
        <v>0</v>
      </c>
      <c r="X361" s="131">
        <v>0</v>
      </c>
      <c r="Y361" s="131">
        <v>0</v>
      </c>
      <c r="Z361" s="131">
        <f t="shared" si="108"/>
        <v>0</v>
      </c>
      <c r="AA361" s="131">
        <v>0</v>
      </c>
      <c r="AB361" s="152">
        <f t="shared" si="109"/>
        <v>3006650.8533517565</v>
      </c>
      <c r="AC361" s="133">
        <f>IF(D361="Physician Group Practice",(AB361/$AB$393)*'1. UC Assumptions'!$C$15,IF(E361="Rural Hospital",AB361*'1. UC Assumptions'!$C$7/'1. UC Assumptions'!$E$7,(AB361/$AB$397)*('1. UC Assumptions'!$C$9)))</f>
        <v>2806514.7173897275</v>
      </c>
      <c r="AD361" s="133">
        <f t="shared" si="110"/>
        <v>0</v>
      </c>
      <c r="AE361" s="133">
        <f t="shared" si="111"/>
        <v>200136.13596202899</v>
      </c>
      <c r="AF361" s="133">
        <f t="shared" si="112"/>
        <v>0</v>
      </c>
      <c r="AG361" s="133">
        <f t="shared" si="113"/>
        <v>200136.13596202899</v>
      </c>
      <c r="AH361" s="133">
        <f t="shared" si="114"/>
        <v>2806514.7173897275</v>
      </c>
      <c r="AI361" s="131">
        <f>AH361*'1. UC Assumptions'!$C$23</f>
        <v>926149.85673860996</v>
      </c>
      <c r="AJ361" s="131">
        <v>1087936.4099999999</v>
      </c>
      <c r="AK361" s="131">
        <f>AJ361*(1-'1. UC Assumptions'!$C$22)</f>
        <v>359019.01529999991</v>
      </c>
      <c r="AL361" s="131"/>
      <c r="AM361" s="131">
        <f>AL361*'1. UC Assumptions'!$C$23</f>
        <v>0</v>
      </c>
      <c r="AN361" s="153">
        <f t="shared" si="115"/>
        <v>3006650.8533517565</v>
      </c>
      <c r="AO361" s="151">
        <f>AN361*'1. UC Assumptions'!$C$23</f>
        <v>992194.78160607954</v>
      </c>
      <c r="AP361" s="151">
        <f t="shared" si="116"/>
        <v>1918714.4433517565</v>
      </c>
      <c r="AQ361" s="151">
        <f t="shared" si="117"/>
        <v>633175.76630607969</v>
      </c>
      <c r="AR361" s="151">
        <f t="shared" si="118"/>
        <v>633175.76630607969</v>
      </c>
      <c r="AS361" s="151">
        <f t="shared" si="119"/>
        <v>992194.78160607954</v>
      </c>
      <c r="AT361" s="151">
        <f>IF(K361="Bexar",(AG361/$AT$1)*'1. UC Assumptions'!$E$44-(AH361/$AT$2)*'1. UC Assumptions'!$E$42,0)</f>
        <v>0</v>
      </c>
      <c r="AU361" s="151">
        <f>IF(K361="Dallas",(AG361/$AU$1)*'1. UC Assumptions'!$F$44-(AH361/$AU$2)*'1. UC Assumptions'!$F$42,0)</f>
        <v>0</v>
      </c>
      <c r="AV361" s="151">
        <f>IF(K361="El Paso",(AG361/$AV$1)*'1. UC Assumptions'!$G$44-(AH361/$AV$2)*'1. UC Assumptions'!$G$42,0)</f>
        <v>0</v>
      </c>
      <c r="AW361" s="151">
        <f>IF(K361="Harris",(AG361/$AW$1)*'1. UC Assumptions'!$H$44-(AH361/$AW$2)*'1. UC Assumptions'!$H$42,0)</f>
        <v>0</v>
      </c>
      <c r="AX361" s="151">
        <f>IF(K361="Hidalgo",(AG361/$AX$1)*'1. UC Assumptions'!$I$44-(AH361/$AX$2)*'1. UC Assumptions'!$I$42,0)</f>
        <v>0</v>
      </c>
      <c r="AY361" s="151">
        <f>IF(K361="Jefferson",(AG361/$AY$1)*'1. UC Assumptions'!$J$44-(AH361/$AY$2)*'1. UC Assumptions'!$J$42,0)</f>
        <v>0</v>
      </c>
      <c r="AZ361" s="151">
        <f>IF(K361="Lubbock",(AG361/$AZ$1)*'1. UC Assumptions'!$K$44-(AH361/$AZ$2)*'1. UC Assumptions'!$K$42,0)</f>
        <v>0</v>
      </c>
      <c r="BA361" s="151">
        <f>IF(K361="MRSA Central",(AG361/$BA$1)*'1. UC Assumptions'!$L$44-(AH361/$BA$2)*'1. UC Assumptions'!$L$42,0)</f>
        <v>0</v>
      </c>
      <c r="BB361" s="151">
        <f>IF(K361="MRSA Northeast",(AG361/$BB$1)*'1. UC Assumptions'!$M$44-(AH361/$BB$2)*'1. UC Assumptions'!$M$42,0)</f>
        <v>0</v>
      </c>
      <c r="BC361" s="151">
        <f>IF(K361="MRSA West",(AG361/$BC$1)*'1. UC Assumptions'!$N$44-(AH361/$BC$2)*'1. UC Assumptions'!$N$42,0)</f>
        <v>0</v>
      </c>
      <c r="BD361" s="151">
        <f>IF(K361="Nueces",(AG361/$BD$1)*'1. UC Assumptions'!$O$44-(AH361/$BD$2)*'1. UC Assumptions'!$O$42,0)</f>
        <v>0</v>
      </c>
      <c r="BE361" s="151">
        <f>IF(K361="Tarrant",(AG361/$BE$1)*'1. UC Assumptions'!$P$44-(AH361/$BE$2)*'1. UC Assumptions'!$P$42,0)</f>
        <v>0</v>
      </c>
      <c r="BF361" s="151">
        <f>IF(K361="Travis",(AG361/$BF$1)*'1. UC Assumptions'!$Q$44-(AH361/$BF$2)*'1. UC Assumptions'!$Q$42,0)</f>
        <v>0</v>
      </c>
      <c r="BG361" s="151">
        <f t="shared" si="120"/>
        <v>0</v>
      </c>
      <c r="BH361" s="151">
        <f t="shared" si="121"/>
        <v>2806514.7173897275</v>
      </c>
      <c r="BI361" s="151">
        <f>ROUNDDOWN(BH361*'1. UC Assumptions'!$C$23,2)</f>
        <v>926149.85</v>
      </c>
      <c r="BJ361" s="154">
        <f t="shared" si="122"/>
        <v>1718578.3073897276</v>
      </c>
      <c r="BK361" s="154">
        <f t="shared" si="123"/>
        <v>567130.83470000001</v>
      </c>
      <c r="BL361" s="154">
        <f t="shared" si="124"/>
        <v>1586626.01</v>
      </c>
      <c r="BM361" s="154">
        <f t="shared" si="125"/>
        <v>523586.58</v>
      </c>
      <c r="BN361" s="101"/>
      <c r="BO361" s="154">
        <f>(BL361*'1. UC Assumptions'!$C$23)-'3.  UC Calculations by Hospital'!BM361</f>
        <v>3.2999999239109457E-3</v>
      </c>
      <c r="BP361" s="13"/>
    </row>
    <row r="362" spans="1:68">
      <c r="B362" s="129" t="s">
        <v>1068</v>
      </c>
      <c r="C362" s="91" t="s">
        <v>1068</v>
      </c>
      <c r="D362" s="91" t="s">
        <v>208</v>
      </c>
      <c r="E362" s="91" t="s">
        <v>149</v>
      </c>
      <c r="F362" s="91"/>
      <c r="G362" s="91" t="s">
        <v>209</v>
      </c>
      <c r="H362" s="91" t="s">
        <v>209</v>
      </c>
      <c r="I362" s="150" t="s">
        <v>210</v>
      </c>
      <c r="J362" s="129" t="s">
        <v>1069</v>
      </c>
      <c r="K362" s="91" t="s">
        <v>10</v>
      </c>
      <c r="L362" s="91" t="s">
        <v>1070</v>
      </c>
      <c r="M362" s="151">
        <v>787356.65572587517</v>
      </c>
      <c r="N362" s="151">
        <v>1067483.3072799048</v>
      </c>
      <c r="O362" s="131">
        <v>238268.39301762558</v>
      </c>
      <c r="P362" s="131">
        <f t="shared" si="106"/>
        <v>829214.91426227929</v>
      </c>
      <c r="Q362" s="131">
        <v>335903.84625584638</v>
      </c>
      <c r="R362" s="131">
        <v>554959.05000000005</v>
      </c>
      <c r="S362" s="131">
        <f t="shared" si="107"/>
        <v>0</v>
      </c>
      <c r="T362" s="131">
        <f t="shared" si="126"/>
        <v>335903.84625584638</v>
      </c>
      <c r="U362" s="131">
        <v>0</v>
      </c>
      <c r="V362" s="131">
        <v>0</v>
      </c>
      <c r="W362" s="131">
        <v>0</v>
      </c>
      <c r="X362" s="131">
        <v>0</v>
      </c>
      <c r="Y362" s="131">
        <v>848171</v>
      </c>
      <c r="Z362" s="131">
        <f t="shared" si="108"/>
        <v>848171</v>
      </c>
      <c r="AA362" s="131">
        <v>0</v>
      </c>
      <c r="AB362" s="152">
        <f t="shared" si="109"/>
        <v>1184074.8462558463</v>
      </c>
      <c r="AC362" s="133">
        <f>IF(D362="Physician Group Practice",(AB362/$AB$393)*'1. UC Assumptions'!$C$15,IF(E362="Rural Hospital",AB362*'1. UC Assumptions'!$C$7/'1. UC Assumptions'!$E$7,(AB362/$AB$397)*('1. UC Assumptions'!$C$9)))</f>
        <v>1105257.525596448</v>
      </c>
      <c r="AD362" s="133">
        <f t="shared" si="110"/>
        <v>0</v>
      </c>
      <c r="AE362" s="133">
        <f t="shared" si="111"/>
        <v>78817.320659398334</v>
      </c>
      <c r="AF362" s="133">
        <f t="shared" si="112"/>
        <v>0</v>
      </c>
      <c r="AG362" s="133">
        <f t="shared" si="113"/>
        <v>78817.320659398334</v>
      </c>
      <c r="AH362" s="133">
        <f t="shared" si="114"/>
        <v>1105257.525596448</v>
      </c>
      <c r="AI362" s="131">
        <f>AH362*'1. UC Assumptions'!$C$23</f>
        <v>364734.9834468278</v>
      </c>
      <c r="AJ362" s="131">
        <v>470223.4</v>
      </c>
      <c r="AK362" s="131">
        <f>AJ362*(1-'1. UC Assumptions'!$C$22)</f>
        <v>155173.72199999998</v>
      </c>
      <c r="AL362" s="131"/>
      <c r="AM362" s="131">
        <f>AL362*'1. UC Assumptions'!$C$23</f>
        <v>0</v>
      </c>
      <c r="AN362" s="153">
        <f t="shared" si="115"/>
        <v>1184074.8462558463</v>
      </c>
      <c r="AO362" s="151">
        <f>AN362*'1. UC Assumptions'!$C$23</f>
        <v>390744.69926442922</v>
      </c>
      <c r="AP362" s="151">
        <f t="shared" si="116"/>
        <v>713851.4462558463</v>
      </c>
      <c r="AQ362" s="151">
        <f t="shared" si="117"/>
        <v>235570.97726442924</v>
      </c>
      <c r="AR362" s="151">
        <f t="shared" si="118"/>
        <v>235570.97726442924</v>
      </c>
      <c r="AS362" s="151">
        <f t="shared" si="119"/>
        <v>390744.69926442922</v>
      </c>
      <c r="AT362" s="151">
        <f>IF(K362="Bexar",(AG362/$AT$1)*'1. UC Assumptions'!$E$44-(AH362/$AT$2)*'1. UC Assumptions'!$E$42,0)</f>
        <v>0</v>
      </c>
      <c r="AU362" s="151">
        <f>IF(K362="Dallas",(AG362/$AU$1)*'1. UC Assumptions'!$F$44-(AH362/$AU$2)*'1. UC Assumptions'!$F$42,0)</f>
        <v>0</v>
      </c>
      <c r="AV362" s="151">
        <f>IF(K362="El Paso",(AG362/$AV$1)*'1. UC Assumptions'!$G$44-(AH362/$AV$2)*'1. UC Assumptions'!$G$42,0)</f>
        <v>0</v>
      </c>
      <c r="AW362" s="151">
        <f>IF(K362="Harris",(AG362/$AW$1)*'1. UC Assumptions'!$H$44-(AH362/$AW$2)*'1. UC Assumptions'!$H$42,0)</f>
        <v>0</v>
      </c>
      <c r="AX362" s="151">
        <f>IF(K362="Hidalgo",(AG362/$AX$1)*'1. UC Assumptions'!$I$44-(AH362/$AX$2)*'1. UC Assumptions'!$I$42,0)</f>
        <v>0</v>
      </c>
      <c r="AY362" s="151">
        <f>IF(K362="Jefferson",(AG362/$AY$1)*'1. UC Assumptions'!$J$44-(AH362/$AY$2)*'1. UC Assumptions'!$J$42,0)</f>
        <v>0</v>
      </c>
      <c r="AZ362" s="151">
        <f>IF(K362="Lubbock",(AG362/$AZ$1)*'1. UC Assumptions'!$K$44-(AH362/$AZ$2)*'1. UC Assumptions'!$K$42,0)</f>
        <v>0</v>
      </c>
      <c r="BA362" s="151">
        <f>IF(K362="MRSA Central",(AG362/$BA$1)*'1. UC Assumptions'!$L$44-(AH362/$BA$2)*'1. UC Assumptions'!$L$42,0)</f>
        <v>0</v>
      </c>
      <c r="BB362" s="151">
        <f>IF(K362="MRSA Northeast",(AG362/$BB$1)*'1. UC Assumptions'!$M$44-(AH362/$BB$2)*'1. UC Assumptions'!$M$42,0)</f>
        <v>0</v>
      </c>
      <c r="BC362" s="151">
        <f>IF(K362="MRSA West",(AG362/$BC$1)*'1. UC Assumptions'!$N$44-(AH362/$BC$2)*'1. UC Assumptions'!$N$42,0)</f>
        <v>0</v>
      </c>
      <c r="BD362" s="151">
        <f>IF(K362="Nueces",(AG362/$BD$1)*'1. UC Assumptions'!$O$44-(AH362/$BD$2)*'1. UC Assumptions'!$O$42,0)</f>
        <v>0</v>
      </c>
      <c r="BE362" s="151">
        <f>IF(K362="Tarrant",(AG362/$BE$1)*'1. UC Assumptions'!$P$44-(AH362/$BE$2)*'1. UC Assumptions'!$P$42,0)</f>
        <v>0</v>
      </c>
      <c r="BF362" s="151">
        <f>IF(K362="Travis",(AG362/$BF$1)*'1. UC Assumptions'!$Q$44-(AH362/$BF$2)*'1. UC Assumptions'!$Q$42,0)</f>
        <v>0</v>
      </c>
      <c r="BG362" s="151">
        <f t="shared" si="120"/>
        <v>0</v>
      </c>
      <c r="BH362" s="151">
        <f t="shared" si="121"/>
        <v>1105257.525596448</v>
      </c>
      <c r="BI362" s="151">
        <f>ROUNDDOWN(BH362*'1. UC Assumptions'!$C$23,2)</f>
        <v>364734.98</v>
      </c>
      <c r="BJ362" s="154">
        <f t="shared" si="122"/>
        <v>635034.12559644796</v>
      </c>
      <c r="BK362" s="154">
        <f t="shared" si="123"/>
        <v>209561.258</v>
      </c>
      <c r="BL362" s="154">
        <f t="shared" si="124"/>
        <v>586276.26</v>
      </c>
      <c r="BM362" s="154">
        <f t="shared" si="125"/>
        <v>193471.16</v>
      </c>
      <c r="BN362" s="101"/>
      <c r="BO362" s="154">
        <f>(BL362*'1. UC Assumptions'!$C$23)-'3.  UC Calculations by Hospital'!BM362</f>
        <v>5.799999984446913E-3</v>
      </c>
      <c r="BP362" s="13"/>
    </row>
    <row r="363" spans="1:68">
      <c r="B363" s="129" t="s">
        <v>1071</v>
      </c>
      <c r="C363" s="91" t="s">
        <v>1071</v>
      </c>
      <c r="D363" s="91" t="s">
        <v>208</v>
      </c>
      <c r="E363" s="91" t="s">
        <v>149</v>
      </c>
      <c r="F363" s="91"/>
      <c r="G363" s="91" t="s">
        <v>209</v>
      </c>
      <c r="H363" s="91" t="s">
        <v>209</v>
      </c>
      <c r="I363" s="150" t="s">
        <v>210</v>
      </c>
      <c r="J363" s="129" t="s">
        <v>1072</v>
      </c>
      <c r="K363" s="96" t="s">
        <v>12</v>
      </c>
      <c r="L363" s="91" t="s">
        <v>1073</v>
      </c>
      <c r="M363" s="151">
        <v>334143.18686891522</v>
      </c>
      <c r="N363" s="151">
        <v>0</v>
      </c>
      <c r="O363" s="131">
        <v>0</v>
      </c>
      <c r="P363" s="131">
        <f t="shared" si="106"/>
        <v>0</v>
      </c>
      <c r="Q363" s="131">
        <v>1860123.3695616766</v>
      </c>
      <c r="R363" s="131">
        <v>0</v>
      </c>
      <c r="S363" s="131">
        <f t="shared" si="107"/>
        <v>0</v>
      </c>
      <c r="T363" s="131">
        <f t="shared" si="126"/>
        <v>1860123.3695616766</v>
      </c>
      <c r="U363" s="131">
        <v>0</v>
      </c>
      <c r="V363" s="131">
        <v>0</v>
      </c>
      <c r="W363" s="131">
        <v>0</v>
      </c>
      <c r="X363" s="131">
        <v>0</v>
      </c>
      <c r="Y363" s="131">
        <v>0</v>
      </c>
      <c r="Z363" s="131">
        <f t="shared" si="108"/>
        <v>0</v>
      </c>
      <c r="AA363" s="131">
        <v>0</v>
      </c>
      <c r="AB363" s="152">
        <f t="shared" si="109"/>
        <v>1860123.3695616766</v>
      </c>
      <c r="AC363" s="133">
        <f>IF(D363="Physician Group Practice",(AB363/$AB$393)*'1. UC Assumptions'!$C$15,IF(E363="Rural Hospital",AB363*'1. UC Assumptions'!$C$7/'1. UC Assumptions'!$E$7,(AB363/$AB$397)*('1. UC Assumptions'!$C$9)))</f>
        <v>1736305.2337838775</v>
      </c>
      <c r="AD363" s="133">
        <f t="shared" si="110"/>
        <v>0</v>
      </c>
      <c r="AE363" s="133">
        <f t="shared" si="111"/>
        <v>123818.13577779918</v>
      </c>
      <c r="AF363" s="133">
        <f t="shared" si="112"/>
        <v>0</v>
      </c>
      <c r="AG363" s="133">
        <f t="shared" si="113"/>
        <v>123818.13577779918</v>
      </c>
      <c r="AH363" s="133">
        <f t="shared" si="114"/>
        <v>1736305.2337838775</v>
      </c>
      <c r="AI363" s="131">
        <f>AH363*'1. UC Assumptions'!$C$23</f>
        <v>572980.72714867943</v>
      </c>
      <c r="AJ363" s="131">
        <v>742262.46</v>
      </c>
      <c r="AK363" s="131">
        <f>AJ363*(1-'1. UC Assumptions'!$C$22)</f>
        <v>244946.61179999996</v>
      </c>
      <c r="AL363" s="131"/>
      <c r="AM363" s="131">
        <f>AL363*'1. UC Assumptions'!$C$23</f>
        <v>0</v>
      </c>
      <c r="AN363" s="153">
        <f t="shared" si="115"/>
        <v>1860123.3695616766</v>
      </c>
      <c r="AO363" s="151">
        <f>AN363*'1. UC Assumptions'!$C$23</f>
        <v>613840.71195535327</v>
      </c>
      <c r="AP363" s="151">
        <f t="shared" si="116"/>
        <v>1117860.9095616767</v>
      </c>
      <c r="AQ363" s="151">
        <f t="shared" si="117"/>
        <v>368894.10015535331</v>
      </c>
      <c r="AR363" s="151">
        <f t="shared" si="118"/>
        <v>368894.10015535331</v>
      </c>
      <c r="AS363" s="151">
        <f t="shared" si="119"/>
        <v>613840.71195535327</v>
      </c>
      <c r="AT363" s="151">
        <f>IF(K363="Bexar",(AG363/$AT$1)*'1. UC Assumptions'!$E$44-(AH363/$AT$2)*'1. UC Assumptions'!$E$42,0)</f>
        <v>0</v>
      </c>
      <c r="AU363" s="151">
        <f>IF(K363="Dallas",(AG363/$AU$1)*'1. UC Assumptions'!$F$44-(AH363/$AU$2)*'1. UC Assumptions'!$F$42,0)</f>
        <v>0</v>
      </c>
      <c r="AV363" s="151">
        <f>IF(K363="El Paso",(AG363/$AV$1)*'1. UC Assumptions'!$G$44-(AH363/$AV$2)*'1. UC Assumptions'!$G$42,0)</f>
        <v>0</v>
      </c>
      <c r="AW363" s="151">
        <f>IF(K363="Harris",(AG363/$AW$1)*'1. UC Assumptions'!$H$44-(AH363/$AW$2)*'1. UC Assumptions'!$H$42,0)</f>
        <v>0</v>
      </c>
      <c r="AX363" s="151">
        <f>IF(K363="Hidalgo",(AG363/$AX$1)*'1. UC Assumptions'!$I$44-(AH363/$AX$2)*'1. UC Assumptions'!$I$42,0)</f>
        <v>0</v>
      </c>
      <c r="AY363" s="151">
        <f>IF(K363="Jefferson",(AG363/$AY$1)*'1. UC Assumptions'!$J$44-(AH363/$AY$2)*'1. UC Assumptions'!$J$42,0)</f>
        <v>0</v>
      </c>
      <c r="AZ363" s="151">
        <f>IF(K363="Lubbock",(AG363/$AZ$1)*'1. UC Assumptions'!$K$44-(AH363/$AZ$2)*'1. UC Assumptions'!$K$42,0)</f>
        <v>0</v>
      </c>
      <c r="BA363" s="151">
        <f>IF(K363="MRSA Central",(AG363/$BA$1)*'1. UC Assumptions'!$L$44-(AH363/$BA$2)*'1. UC Assumptions'!$L$42,0)</f>
        <v>0</v>
      </c>
      <c r="BB363" s="151">
        <f>IF(K363="MRSA Northeast",(AG363/$BB$1)*'1. UC Assumptions'!$M$44-(AH363/$BB$2)*'1. UC Assumptions'!$M$42,0)</f>
        <v>0</v>
      </c>
      <c r="BC363" s="151">
        <f>IF(K363="MRSA West",(AG363/$BC$1)*'1. UC Assumptions'!$N$44-(AH363/$BC$2)*'1. UC Assumptions'!$N$42,0)</f>
        <v>0</v>
      </c>
      <c r="BD363" s="151">
        <f>IF(K363="Nueces",(AG363/$BD$1)*'1. UC Assumptions'!$O$44-(AH363/$BD$2)*'1. UC Assumptions'!$O$42,0)</f>
        <v>0</v>
      </c>
      <c r="BE363" s="151">
        <f>IF(K363="Tarrant",(AG363/$BE$1)*'1. UC Assumptions'!$P$44-(AH363/$BE$2)*'1. UC Assumptions'!$P$42,0)</f>
        <v>0</v>
      </c>
      <c r="BF363" s="151">
        <f>IF(K363="Travis",(AG363/$BF$1)*'1. UC Assumptions'!$Q$44-(AH363/$BF$2)*'1. UC Assumptions'!$Q$42,0)</f>
        <v>0</v>
      </c>
      <c r="BG363" s="151">
        <f t="shared" si="120"/>
        <v>0</v>
      </c>
      <c r="BH363" s="151">
        <f t="shared" si="121"/>
        <v>1736305.2337838775</v>
      </c>
      <c r="BI363" s="151">
        <f>ROUNDDOWN(BH363*'1. UC Assumptions'!$C$23,2)</f>
        <v>572980.72</v>
      </c>
      <c r="BJ363" s="154">
        <f t="shared" si="122"/>
        <v>994042.77378387749</v>
      </c>
      <c r="BK363" s="154">
        <f t="shared" si="123"/>
        <v>328034.10820000002</v>
      </c>
      <c r="BL363" s="154">
        <f t="shared" si="124"/>
        <v>917720.25</v>
      </c>
      <c r="BM363" s="154">
        <f t="shared" si="125"/>
        <v>302847.68</v>
      </c>
      <c r="BN363" s="101"/>
      <c r="BO363" s="154">
        <f>(BL363*'1. UC Assumptions'!$C$23)-'3.  UC Calculations by Hospital'!BM363</f>
        <v>2.4999999441206455E-3</v>
      </c>
      <c r="BP363" s="13"/>
    </row>
    <row r="364" spans="1:68" ht="15">
      <c r="A364" s="98"/>
      <c r="B364" s="129" t="s">
        <v>1074</v>
      </c>
      <c r="C364" s="91" t="s">
        <v>1074</v>
      </c>
      <c r="D364" s="91" t="s">
        <v>214</v>
      </c>
      <c r="E364" s="91" t="s">
        <v>149</v>
      </c>
      <c r="F364" s="91"/>
      <c r="G364" s="91" t="s">
        <v>209</v>
      </c>
      <c r="H364" s="91" t="s">
        <v>209</v>
      </c>
      <c r="I364" s="150" t="s">
        <v>210</v>
      </c>
      <c r="J364" s="129" t="s">
        <v>1075</v>
      </c>
      <c r="K364" s="91" t="s">
        <v>12</v>
      </c>
      <c r="L364" s="91" t="s">
        <v>740</v>
      </c>
      <c r="M364" s="151">
        <v>145629.99664514654</v>
      </c>
      <c r="N364" s="151">
        <v>4617724.8789673308</v>
      </c>
      <c r="O364" s="131">
        <v>2546463.9020898561</v>
      </c>
      <c r="P364" s="131">
        <f t="shared" si="106"/>
        <v>2071260.9768774747</v>
      </c>
      <c r="Q364" s="131">
        <v>3451016.8881760766</v>
      </c>
      <c r="R364" s="131">
        <v>0</v>
      </c>
      <c r="S364" s="131">
        <f t="shared" si="107"/>
        <v>0</v>
      </c>
      <c r="T364" s="131">
        <f t="shared" si="126"/>
        <v>3451016.8881760766</v>
      </c>
      <c r="U364" s="131">
        <v>621256</v>
      </c>
      <c r="V364" s="131">
        <v>0</v>
      </c>
      <c r="W364" s="131">
        <v>483256.07999999996</v>
      </c>
      <c r="X364" s="131">
        <v>0</v>
      </c>
      <c r="Y364" s="131">
        <v>1895644.2102487492</v>
      </c>
      <c r="Z364" s="131">
        <f t="shared" si="108"/>
        <v>3000156.2902487493</v>
      </c>
      <c r="AA364" s="131">
        <v>0</v>
      </c>
      <c r="AB364" s="152">
        <f t="shared" si="109"/>
        <v>6451173.1784248259</v>
      </c>
      <c r="AC364" s="133">
        <f>IF(D364="Physician Group Practice",(AB364/$AB$393)*'1. UC Assumptions'!$C$15,IF(E364="Rural Hospital",AB364*'1. UC Assumptions'!$C$7/'1. UC Assumptions'!$E$7,(AB364/$AB$397)*('1. UC Assumptions'!$C$9)))</f>
        <v>6021754.2218098538</v>
      </c>
      <c r="AD364" s="133">
        <f t="shared" si="110"/>
        <v>0</v>
      </c>
      <c r="AE364" s="133">
        <f t="shared" si="111"/>
        <v>429418.95661497209</v>
      </c>
      <c r="AF364" s="133">
        <f t="shared" si="112"/>
        <v>0</v>
      </c>
      <c r="AG364" s="133">
        <f t="shared" si="113"/>
        <v>429418.95661497209</v>
      </c>
      <c r="AH364" s="133">
        <f t="shared" si="114"/>
        <v>6021754.2218098538</v>
      </c>
      <c r="AI364" s="131">
        <f>AH364*'1. UC Assumptions'!$C$23</f>
        <v>1987178.8931972515</v>
      </c>
      <c r="AJ364" s="131">
        <v>2373885.4900000002</v>
      </c>
      <c r="AK364" s="131">
        <f>AJ364*(1-'1. UC Assumptions'!$C$22)</f>
        <v>783382.21169999999</v>
      </c>
      <c r="AL364" s="131"/>
      <c r="AM364" s="131">
        <f>AL364*'1. UC Assumptions'!$C$23</f>
        <v>0</v>
      </c>
      <c r="AN364" s="153">
        <f t="shared" si="115"/>
        <v>6451173.1784248259</v>
      </c>
      <c r="AO364" s="151">
        <f>AN364*'1. UC Assumptions'!$C$23</f>
        <v>2128887.1488801921</v>
      </c>
      <c r="AP364" s="151">
        <f t="shared" si="116"/>
        <v>4077287.6884248257</v>
      </c>
      <c r="AQ364" s="151">
        <f t="shared" si="117"/>
        <v>1345504.9371801922</v>
      </c>
      <c r="AR364" s="151">
        <f t="shared" si="118"/>
        <v>1345504.9371801922</v>
      </c>
      <c r="AS364" s="151">
        <f t="shared" si="119"/>
        <v>2128887.1488801921</v>
      </c>
      <c r="AT364" s="151">
        <f>IF(K364="Bexar",(AG364/$AT$1)*'1. UC Assumptions'!$E$44-(AH364/$AT$2)*'1. UC Assumptions'!$E$42,0)</f>
        <v>0</v>
      </c>
      <c r="AU364" s="151">
        <f>IF(K364="Dallas",(AG364/$AU$1)*'1. UC Assumptions'!$F$44-(AH364/$AU$2)*'1. UC Assumptions'!$F$42,0)</f>
        <v>0</v>
      </c>
      <c r="AV364" s="151">
        <f>IF(K364="El Paso",(AG364/$AV$1)*'1. UC Assumptions'!$G$44-(AH364/$AV$2)*'1. UC Assumptions'!$G$42,0)</f>
        <v>0</v>
      </c>
      <c r="AW364" s="151">
        <f>IF(K364="Harris",(AG364/$AW$1)*'1. UC Assumptions'!$H$44-(AH364/$AW$2)*'1. UC Assumptions'!$H$42,0)</f>
        <v>0</v>
      </c>
      <c r="AX364" s="151">
        <f>IF(K364="Hidalgo",(AG364/$AX$1)*'1. UC Assumptions'!$I$44-(AH364/$AX$2)*'1. UC Assumptions'!$I$42,0)</f>
        <v>0</v>
      </c>
      <c r="AY364" s="151">
        <f>IF(K364="Jefferson",(AG364/$AY$1)*'1. UC Assumptions'!$J$44-(AH364/$AY$2)*'1. UC Assumptions'!$J$42,0)</f>
        <v>0</v>
      </c>
      <c r="AZ364" s="151">
        <f>IF(K364="Lubbock",(AG364/$AZ$1)*'1. UC Assumptions'!$K$44-(AH364/$AZ$2)*'1. UC Assumptions'!$K$42,0)</f>
        <v>0</v>
      </c>
      <c r="BA364" s="151">
        <f>IF(K364="MRSA Central",(AG364/$BA$1)*'1. UC Assumptions'!$L$44-(AH364/$BA$2)*'1. UC Assumptions'!$L$42,0)</f>
        <v>0</v>
      </c>
      <c r="BB364" s="151">
        <f>IF(K364="MRSA Northeast",(AG364/$BB$1)*'1. UC Assumptions'!$M$44-(AH364/$BB$2)*'1. UC Assumptions'!$M$42,0)</f>
        <v>0</v>
      </c>
      <c r="BC364" s="151">
        <f>IF(K364="MRSA West",(AG364/$BC$1)*'1. UC Assumptions'!$N$44-(AH364/$BC$2)*'1. UC Assumptions'!$N$42,0)</f>
        <v>0</v>
      </c>
      <c r="BD364" s="151">
        <f>IF(K364="Nueces",(AG364/$BD$1)*'1. UC Assumptions'!$O$44-(AH364/$BD$2)*'1. UC Assumptions'!$O$42,0)</f>
        <v>0</v>
      </c>
      <c r="BE364" s="151">
        <f>IF(K364="Tarrant",(AG364/$BE$1)*'1. UC Assumptions'!$P$44-(AH364/$BE$2)*'1. UC Assumptions'!$P$42,0)</f>
        <v>0</v>
      </c>
      <c r="BF364" s="151">
        <f>IF(K364="Travis",(AG364/$BF$1)*'1. UC Assumptions'!$Q$44-(AH364/$BF$2)*'1. UC Assumptions'!$Q$42,0)</f>
        <v>0</v>
      </c>
      <c r="BG364" s="151">
        <f t="shared" si="120"/>
        <v>0</v>
      </c>
      <c r="BH364" s="151">
        <f t="shared" si="121"/>
        <v>6021754.2218098538</v>
      </c>
      <c r="BI364" s="151">
        <f>ROUNDDOWN(BH364*'1. UC Assumptions'!$C$23,2)</f>
        <v>1987178.89</v>
      </c>
      <c r="BJ364" s="154">
        <f t="shared" si="122"/>
        <v>3647868.7318098536</v>
      </c>
      <c r="BK364" s="154">
        <f t="shared" si="123"/>
        <v>1203796.6782999998</v>
      </c>
      <c r="BL364" s="154">
        <f t="shared" si="124"/>
        <v>3367785.68</v>
      </c>
      <c r="BM364" s="154">
        <f t="shared" si="125"/>
        <v>1111369.27</v>
      </c>
      <c r="BN364" s="101"/>
      <c r="BO364" s="154">
        <f>(BL364*'1. UC Assumptions'!$C$23)-'3.  UC Calculations by Hospital'!BM364</f>
        <v>4.3999999761581421E-3</v>
      </c>
      <c r="BP364" s="13"/>
    </row>
    <row r="365" spans="1:68">
      <c r="B365" s="129" t="s">
        <v>1076</v>
      </c>
      <c r="C365" s="91" t="s">
        <v>1076</v>
      </c>
      <c r="D365" s="91" t="s">
        <v>214</v>
      </c>
      <c r="E365" s="91"/>
      <c r="F365" s="91"/>
      <c r="G365" s="91" t="s">
        <v>209</v>
      </c>
      <c r="H365" s="91" t="s">
        <v>209</v>
      </c>
      <c r="I365" s="150" t="s">
        <v>210</v>
      </c>
      <c r="J365" s="129" t="s">
        <v>1065</v>
      </c>
      <c r="K365" s="91" t="s">
        <v>15</v>
      </c>
      <c r="L365" s="91" t="s">
        <v>885</v>
      </c>
      <c r="M365" s="151">
        <v>738834.3105780225</v>
      </c>
      <c r="N365" s="151">
        <v>0</v>
      </c>
      <c r="O365" s="131">
        <v>0</v>
      </c>
      <c r="P365" s="131">
        <f t="shared" si="106"/>
        <v>0</v>
      </c>
      <c r="Q365" s="131">
        <v>1826918.5777900289</v>
      </c>
      <c r="R365" s="131">
        <v>0</v>
      </c>
      <c r="S365" s="131">
        <f t="shared" si="107"/>
        <v>0</v>
      </c>
      <c r="T365" s="131">
        <f t="shared" si="126"/>
        <v>1826918.5777900289</v>
      </c>
      <c r="U365" s="131">
        <v>107322</v>
      </c>
      <c r="V365" s="131">
        <v>0</v>
      </c>
      <c r="W365" s="131">
        <v>0</v>
      </c>
      <c r="X365" s="131">
        <v>0</v>
      </c>
      <c r="Y365" s="131">
        <v>0</v>
      </c>
      <c r="Z365" s="131">
        <f t="shared" si="108"/>
        <v>107322</v>
      </c>
      <c r="AA365" s="131">
        <v>0</v>
      </c>
      <c r="AB365" s="152">
        <f t="shared" si="109"/>
        <v>1934240.5777900289</v>
      </c>
      <c r="AC365" s="133">
        <f>IF(D365="Physician Group Practice",(AB365/$AB$393)*'1. UC Assumptions'!$C$15,IF(E365="Rural Hospital",AB365*'1. UC Assumptions'!$C$7/'1. UC Assumptions'!$E$7,(AB365/$AB$397)*('1. UC Assumptions'!$C$9)))</f>
        <v>909374.70997556136</v>
      </c>
      <c r="AD365" s="133">
        <f t="shared" si="110"/>
        <v>0</v>
      </c>
      <c r="AE365" s="133">
        <f t="shared" si="111"/>
        <v>1024865.8678144675</v>
      </c>
      <c r="AF365" s="133">
        <f t="shared" si="112"/>
        <v>0</v>
      </c>
      <c r="AG365" s="133">
        <f t="shared" si="113"/>
        <v>1024865.8678144675</v>
      </c>
      <c r="AH365" s="133">
        <f t="shared" si="114"/>
        <v>909374.70997556136</v>
      </c>
      <c r="AI365" s="131">
        <f>AH365*'1. UC Assumptions'!$C$23</f>
        <v>300093.65429193521</v>
      </c>
      <c r="AJ365" s="131">
        <v>0</v>
      </c>
      <c r="AK365" s="131">
        <f>AJ365*(1-'1. UC Assumptions'!$C$22)</f>
        <v>0</v>
      </c>
      <c r="AL365" s="131"/>
      <c r="AM365" s="131">
        <f>AL365*'1. UC Assumptions'!$C$23</f>
        <v>0</v>
      </c>
      <c r="AN365" s="153">
        <f t="shared" si="115"/>
        <v>1934240.5777900289</v>
      </c>
      <c r="AO365" s="151">
        <f>AN365*'1. UC Assumptions'!$C$23</f>
        <v>638299.39067070943</v>
      </c>
      <c r="AP365" s="151">
        <f t="shared" si="116"/>
        <v>1934240.5777900289</v>
      </c>
      <c r="AQ365" s="151">
        <f t="shared" si="117"/>
        <v>638299.39067070943</v>
      </c>
      <c r="AR365" s="151">
        <f t="shared" si="118"/>
        <v>638299.39067070943</v>
      </c>
      <c r="AS365" s="151">
        <f t="shared" si="119"/>
        <v>638299.39067070943</v>
      </c>
      <c r="AT365" s="151">
        <f>IF(K365="Bexar",(AG365/$AT$1)*'1. UC Assumptions'!$E$44-(AH365/$AT$2)*'1. UC Assumptions'!$E$42,0)</f>
        <v>0</v>
      </c>
      <c r="AU365" s="151">
        <f>IF(K365="Dallas",(AG365/$AU$1)*'1. UC Assumptions'!$F$44-(AH365/$AU$2)*'1. UC Assumptions'!$F$42,0)</f>
        <v>0</v>
      </c>
      <c r="AV365" s="151">
        <f>IF(K365="El Paso",(AG365/$AV$1)*'1. UC Assumptions'!$G$44-(AH365/$AV$2)*'1. UC Assumptions'!$G$42,0)</f>
        <v>0</v>
      </c>
      <c r="AW365" s="151">
        <f>IF(K365="Harris",(AG365/$AW$1)*'1. UC Assumptions'!$H$44-(AH365/$AW$2)*'1. UC Assumptions'!$H$42,0)</f>
        <v>0</v>
      </c>
      <c r="AX365" s="151">
        <f>IF(K365="Hidalgo",(AG365/$AX$1)*'1. UC Assumptions'!$I$44-(AH365/$AX$2)*'1. UC Assumptions'!$I$42,0)</f>
        <v>0</v>
      </c>
      <c r="AY365" s="151">
        <f>IF(K365="Jefferson",(AG365/$AY$1)*'1. UC Assumptions'!$J$44-(AH365/$AY$2)*'1. UC Assumptions'!$J$42,0)</f>
        <v>0</v>
      </c>
      <c r="AZ365" s="151">
        <f>IF(K365="Lubbock",(AG365/$AZ$1)*'1. UC Assumptions'!$K$44-(AH365/$AZ$2)*'1. UC Assumptions'!$K$42,0)</f>
        <v>0</v>
      </c>
      <c r="BA365" s="151">
        <f>IF(K365="MRSA Central",(AG365/$BA$1)*'1. UC Assumptions'!$L$44-(AH365/$BA$2)*'1. UC Assumptions'!$L$42,0)</f>
        <v>0</v>
      </c>
      <c r="BB365" s="151">
        <f>IF(K365="MRSA Northeast",(AG365/$BB$1)*'1. UC Assumptions'!$M$44-(AH365/$BB$2)*'1. UC Assumptions'!$M$42,0)</f>
        <v>0</v>
      </c>
      <c r="BC365" s="151">
        <f>IF(K365="MRSA West",(AG365/$BC$1)*'1. UC Assumptions'!$N$44-(AH365/$BC$2)*'1. UC Assumptions'!$N$42,0)</f>
        <v>0</v>
      </c>
      <c r="BD365" s="151">
        <f>IF(K365="Nueces",(AG365/$BD$1)*'1. UC Assumptions'!$O$44-(AH365/$BD$2)*'1. UC Assumptions'!$O$42,0)</f>
        <v>0</v>
      </c>
      <c r="BE365" s="151">
        <f>IF(K365="Tarrant",(AG365/$BE$1)*'1. UC Assumptions'!$P$44-(AH365/$BE$2)*'1. UC Assumptions'!$P$42,0)</f>
        <v>0</v>
      </c>
      <c r="BF365" s="151">
        <f>IF(K365="Travis",(AG365/$BF$1)*'1. UC Assumptions'!$Q$44-(AH365/$BF$2)*'1. UC Assumptions'!$Q$42,0)</f>
        <v>0</v>
      </c>
      <c r="BG365" s="151">
        <f t="shared" si="120"/>
        <v>0</v>
      </c>
      <c r="BH365" s="151">
        <f t="shared" si="121"/>
        <v>909374.70997556136</v>
      </c>
      <c r="BI365" s="151">
        <f>ROUNDDOWN(BH365*'1. UC Assumptions'!$C$23,2)</f>
        <v>300093.65000000002</v>
      </c>
      <c r="BJ365" s="154">
        <f t="shared" si="122"/>
        <v>909374.70997556136</v>
      </c>
      <c r="BK365" s="154">
        <f t="shared" si="123"/>
        <v>300093.65000000002</v>
      </c>
      <c r="BL365" s="154">
        <f t="shared" si="124"/>
        <v>839553</v>
      </c>
      <c r="BM365" s="154">
        <f t="shared" si="125"/>
        <v>277052.48</v>
      </c>
      <c r="BN365" s="101"/>
      <c r="BO365" s="154">
        <f>(BL365*'1. UC Assumptions'!$C$23)-'3.  UC Calculations by Hospital'!BM365</f>
        <v>1.0000000009313226E-2</v>
      </c>
      <c r="BP365" s="13"/>
    </row>
    <row r="366" spans="1:68" ht="15">
      <c r="A366" s="98"/>
      <c r="B366" s="157" t="s">
        <v>1077</v>
      </c>
      <c r="C366" s="91" t="s">
        <v>1077</v>
      </c>
      <c r="D366" s="114" t="s">
        <v>214</v>
      </c>
      <c r="E366" s="91" t="s">
        <v>209</v>
      </c>
      <c r="F366" s="91"/>
      <c r="G366" s="91" t="s">
        <v>209</v>
      </c>
      <c r="H366" s="91" t="s">
        <v>209</v>
      </c>
      <c r="I366" s="150" t="s">
        <v>210</v>
      </c>
      <c r="J366" s="114" t="s">
        <v>1078</v>
      </c>
      <c r="K366" s="91" t="s">
        <v>9</v>
      </c>
      <c r="L366" s="91" t="s">
        <v>9</v>
      </c>
      <c r="M366" s="151">
        <v>21072816.883126218</v>
      </c>
      <c r="N366" s="151">
        <v>33432103.720668018</v>
      </c>
      <c r="O366" s="131">
        <v>16915777.455827352</v>
      </c>
      <c r="P366" s="131">
        <f t="shared" si="106"/>
        <v>16516326.264840666</v>
      </c>
      <c r="Q366" s="131">
        <v>30756802.517557226</v>
      </c>
      <c r="R366" s="131">
        <v>5050598.3500000006</v>
      </c>
      <c r="S366" s="131">
        <f t="shared" si="107"/>
        <v>0</v>
      </c>
      <c r="T366" s="131">
        <f t="shared" si="126"/>
        <v>30756802.517557226</v>
      </c>
      <c r="U366" s="131">
        <v>0</v>
      </c>
      <c r="V366" s="131">
        <v>0</v>
      </c>
      <c r="W366" s="131">
        <v>0</v>
      </c>
      <c r="X366" s="131">
        <v>0</v>
      </c>
      <c r="Y366" s="131">
        <v>0</v>
      </c>
      <c r="Z366" s="131">
        <f t="shared" si="108"/>
        <v>0</v>
      </c>
      <c r="AA366" s="131">
        <v>0</v>
      </c>
      <c r="AB366" s="152">
        <f t="shared" si="109"/>
        <v>30756802.517557226</v>
      </c>
      <c r="AC366" s="133">
        <f>IF(D366="Physician Group Practice",(AB366/$AB$393)*'1. UC Assumptions'!$C$15,IF(E366="Rural Hospital",AB366*'1. UC Assumptions'!$C$7/'1. UC Assumptions'!$E$7,(AB366/$AB$397)*('1. UC Assumptions'!$C$9)))</f>
        <v>14460175.580193747</v>
      </c>
      <c r="AD366" s="133">
        <f t="shared" si="110"/>
        <v>0</v>
      </c>
      <c r="AE366" s="133">
        <f t="shared" si="111"/>
        <v>16296626.937363479</v>
      </c>
      <c r="AF366" s="133">
        <f t="shared" si="112"/>
        <v>0</v>
      </c>
      <c r="AG366" s="133">
        <f t="shared" si="113"/>
        <v>16296626.937363479</v>
      </c>
      <c r="AH366" s="133">
        <f t="shared" si="114"/>
        <v>14460175.580193747</v>
      </c>
      <c r="AI366" s="131">
        <f>AH366*'1. UC Assumptions'!$C$23</f>
        <v>4771857.9414639361</v>
      </c>
      <c r="AJ366" s="99">
        <v>14136665.08</v>
      </c>
      <c r="AK366" s="131">
        <f>AJ366*(1-'1. UC Assumptions'!$C$22)</f>
        <v>4665099.4763999991</v>
      </c>
      <c r="AL366" s="131"/>
      <c r="AM366" s="131">
        <f>AL366*'1. UC Assumptions'!$C$23</f>
        <v>0</v>
      </c>
      <c r="AN366" s="153">
        <f t="shared" si="115"/>
        <v>30756802.517557226</v>
      </c>
      <c r="AO366" s="151">
        <f>AN366*'1. UC Assumptions'!$C$23</f>
        <v>10149744.830793884</v>
      </c>
      <c r="AP366" s="151">
        <f t="shared" si="116"/>
        <v>16620137.437557226</v>
      </c>
      <c r="AQ366" s="151">
        <f t="shared" si="117"/>
        <v>5484645.3543938845</v>
      </c>
      <c r="AR366" s="151">
        <f t="shared" si="118"/>
        <v>5484645.3543938845</v>
      </c>
      <c r="AS366" s="151">
        <f t="shared" si="119"/>
        <v>10149744.830793884</v>
      </c>
      <c r="AT366" s="151">
        <f>IF(K366="Bexar",(AG366/$AT$1)*'1. UC Assumptions'!$E$44-(AH366/$AT$2)*'1. UC Assumptions'!$E$42,0)</f>
        <v>0</v>
      </c>
      <c r="AU366" s="151">
        <f>IF(K366="Dallas",(AG366/$AU$1)*'1. UC Assumptions'!$F$44-(AH366/$AU$2)*'1. UC Assumptions'!$F$42,0)</f>
        <v>0</v>
      </c>
      <c r="AV366" s="151">
        <f>IF(K366="El Paso",(AG366/$AV$1)*'1. UC Assumptions'!$G$44-(AH366/$AV$2)*'1. UC Assumptions'!$G$42,0)</f>
        <v>0</v>
      </c>
      <c r="AW366" s="151">
        <f>IF(K366="Harris",(AG366/$AW$1)*'1. UC Assumptions'!$H$44-(AH366/$AW$2)*'1. UC Assumptions'!$H$42,0)</f>
        <v>0</v>
      </c>
      <c r="AX366" s="151">
        <f>IF(K366="Hidalgo",(AG366/$AX$1)*'1. UC Assumptions'!$I$44-(AH366/$AX$2)*'1. UC Assumptions'!$I$42,0)</f>
        <v>0</v>
      </c>
      <c r="AY366" s="151">
        <f>IF(K366="Jefferson",(AG366/$AY$1)*'1. UC Assumptions'!$J$44-(AH366/$AY$2)*'1. UC Assumptions'!$J$42,0)</f>
        <v>0</v>
      </c>
      <c r="AZ366" s="151">
        <f>IF(K366="Lubbock",(AG366/$AZ$1)*'1. UC Assumptions'!$K$44-(AH366/$AZ$2)*'1. UC Assumptions'!$K$42,0)</f>
        <v>0</v>
      </c>
      <c r="BA366" s="151">
        <f>IF(K366="MRSA Central",(AG366/$BA$1)*'1. UC Assumptions'!$L$44-(AH366/$BA$2)*'1. UC Assumptions'!$L$42,0)</f>
        <v>0</v>
      </c>
      <c r="BB366" s="151">
        <f>IF(K366="MRSA Northeast",(AG366/$BB$1)*'1. UC Assumptions'!$M$44-(AH366/$BB$2)*'1. UC Assumptions'!$M$42,0)</f>
        <v>0</v>
      </c>
      <c r="BC366" s="151">
        <f>IF(K366="MRSA West",(AG366/$BC$1)*'1. UC Assumptions'!$N$44-(AH366/$BC$2)*'1. UC Assumptions'!$N$42,0)</f>
        <v>0</v>
      </c>
      <c r="BD366" s="151">
        <f>IF(K366="Nueces",(AG366/$BD$1)*'1. UC Assumptions'!$O$44-(AH366/$BD$2)*'1. UC Assumptions'!$O$42,0)</f>
        <v>0</v>
      </c>
      <c r="BE366" s="151">
        <f>IF(K366="Tarrant",(AG366/$BE$1)*'1. UC Assumptions'!$P$44-(AH366/$BE$2)*'1. UC Assumptions'!$P$42,0)</f>
        <v>0</v>
      </c>
      <c r="BF366" s="151">
        <f>IF(K366="Travis",(AG366/$BF$1)*'1. UC Assumptions'!$Q$44-(AH366/$BF$2)*'1. UC Assumptions'!$Q$42,0)</f>
        <v>0</v>
      </c>
      <c r="BG366" s="151">
        <f t="shared" si="120"/>
        <v>0</v>
      </c>
      <c r="BH366" s="151">
        <f t="shared" si="121"/>
        <v>14460175.580193747</v>
      </c>
      <c r="BI366" s="151">
        <f>ROUNDDOWN(BH366*'1. UC Assumptions'!$C$23,2)</f>
        <v>4771857.9400000004</v>
      </c>
      <c r="BJ366" s="154">
        <f t="shared" si="122"/>
        <v>323510.50019374676</v>
      </c>
      <c r="BK366" s="154">
        <f t="shared" si="123"/>
        <v>106758.4636000013</v>
      </c>
      <c r="BL366" s="154">
        <f t="shared" si="124"/>
        <v>298671.39</v>
      </c>
      <c r="BM366" s="154">
        <f t="shared" si="125"/>
        <v>98561.56</v>
      </c>
      <c r="BN366" s="101"/>
      <c r="BO366" s="154">
        <f>(BL366*'1. UC Assumptions'!$C$23)-'3.  UC Calculations by Hospital'!BM366</f>
        <v>-1.3000000035390258E-3</v>
      </c>
      <c r="BP366" s="13"/>
    </row>
    <row r="367" spans="1:68">
      <c r="B367" s="157" t="s">
        <v>1079</v>
      </c>
      <c r="C367" s="91" t="s">
        <v>1079</v>
      </c>
      <c r="D367" s="114" t="s">
        <v>214</v>
      </c>
      <c r="E367" s="91"/>
      <c r="F367" s="91"/>
      <c r="G367" s="91" t="s">
        <v>209</v>
      </c>
      <c r="H367" s="91" t="s">
        <v>209</v>
      </c>
      <c r="I367" s="150" t="s">
        <v>210</v>
      </c>
      <c r="J367" s="114" t="s">
        <v>1065</v>
      </c>
      <c r="K367" s="91" t="s">
        <v>15</v>
      </c>
      <c r="L367" s="91" t="s">
        <v>15</v>
      </c>
      <c r="M367" s="151">
        <v>282640.74489405437</v>
      </c>
      <c r="N367" s="151">
        <v>0</v>
      </c>
      <c r="O367" s="131">
        <v>0</v>
      </c>
      <c r="P367" s="131">
        <f t="shared" si="106"/>
        <v>0</v>
      </c>
      <c r="Q367" s="131">
        <v>1148111.5210476799</v>
      </c>
      <c r="R367" s="131">
        <v>0</v>
      </c>
      <c r="S367" s="131">
        <f t="shared" si="107"/>
        <v>0</v>
      </c>
      <c r="T367" s="131">
        <f t="shared" si="126"/>
        <v>1148111.5210476799</v>
      </c>
      <c r="U367" s="131">
        <v>164120</v>
      </c>
      <c r="V367" s="131">
        <v>0</v>
      </c>
      <c r="W367" s="131">
        <v>0</v>
      </c>
      <c r="X367" s="131">
        <v>0</v>
      </c>
      <c r="Y367" s="131">
        <v>0</v>
      </c>
      <c r="Z367" s="131">
        <f t="shared" si="108"/>
        <v>164120</v>
      </c>
      <c r="AA367" s="131">
        <v>0</v>
      </c>
      <c r="AB367" s="152">
        <f t="shared" si="109"/>
        <v>1312231.5210476799</v>
      </c>
      <c r="AC367" s="133">
        <f>IF(D367="Physician Group Practice",(AB367/$AB$393)*'1. UC Assumptions'!$C$15,IF(E367="Rural Hospital",AB367*'1. UC Assumptions'!$C$7/'1. UC Assumptions'!$E$7,(AB367/$AB$397)*('1. UC Assumptions'!$C$9)))</f>
        <v>616939.88461194572</v>
      </c>
      <c r="AD367" s="133">
        <f t="shared" si="110"/>
        <v>0</v>
      </c>
      <c r="AE367" s="133">
        <f t="shared" si="111"/>
        <v>695291.63643573422</v>
      </c>
      <c r="AF367" s="133">
        <f t="shared" si="112"/>
        <v>0</v>
      </c>
      <c r="AG367" s="133">
        <f t="shared" si="113"/>
        <v>695291.63643573422</v>
      </c>
      <c r="AH367" s="133">
        <f t="shared" si="114"/>
        <v>616939.88461194572</v>
      </c>
      <c r="AI367" s="131">
        <f>AH367*'1. UC Assumptions'!$C$23</f>
        <v>203590.16192194205</v>
      </c>
      <c r="AJ367" s="131">
        <v>0</v>
      </c>
      <c r="AK367" s="131">
        <f>AJ367*(1-'1. UC Assumptions'!$C$22)</f>
        <v>0</v>
      </c>
      <c r="AL367" s="131"/>
      <c r="AM367" s="131">
        <f>AL367*'1. UC Assumptions'!$C$23</f>
        <v>0</v>
      </c>
      <c r="AN367" s="153">
        <f t="shared" si="115"/>
        <v>1312231.5210476799</v>
      </c>
      <c r="AO367" s="151">
        <f>AN367*'1. UC Assumptions'!$C$23</f>
        <v>433036.40194573434</v>
      </c>
      <c r="AP367" s="151">
        <f t="shared" si="116"/>
        <v>1312231.5210476799</v>
      </c>
      <c r="AQ367" s="151">
        <f t="shared" si="117"/>
        <v>433036.40194573434</v>
      </c>
      <c r="AR367" s="151">
        <f t="shared" si="118"/>
        <v>433036.40194573434</v>
      </c>
      <c r="AS367" s="151">
        <f t="shared" si="119"/>
        <v>433036.40194573434</v>
      </c>
      <c r="AT367" s="151">
        <f>IF(K367="Bexar",(AG367/$AT$1)*'1. UC Assumptions'!$E$44-(AH367/$AT$2)*'1. UC Assumptions'!$E$42,0)</f>
        <v>0</v>
      </c>
      <c r="AU367" s="151">
        <f>IF(K367="Dallas",(AG367/$AU$1)*'1. UC Assumptions'!$F$44-(AH367/$AU$2)*'1. UC Assumptions'!$F$42,0)</f>
        <v>0</v>
      </c>
      <c r="AV367" s="151">
        <f>IF(K367="El Paso",(AG367/$AV$1)*'1. UC Assumptions'!$G$44-(AH367/$AV$2)*'1. UC Assumptions'!$G$42,0)</f>
        <v>0</v>
      </c>
      <c r="AW367" s="151">
        <f>IF(K367="Harris",(AG367/$AW$1)*'1. UC Assumptions'!$H$44-(AH367/$AW$2)*'1. UC Assumptions'!$H$42,0)</f>
        <v>0</v>
      </c>
      <c r="AX367" s="151">
        <f>IF(K367="Hidalgo",(AG367/$AX$1)*'1. UC Assumptions'!$I$44-(AH367/$AX$2)*'1. UC Assumptions'!$I$42,0)</f>
        <v>0</v>
      </c>
      <c r="AY367" s="151">
        <f>IF(K367="Jefferson",(AG367/$AY$1)*'1. UC Assumptions'!$J$44-(AH367/$AY$2)*'1. UC Assumptions'!$J$42,0)</f>
        <v>0</v>
      </c>
      <c r="AZ367" s="151">
        <f>IF(K367="Lubbock",(AG367/$AZ$1)*'1. UC Assumptions'!$K$44-(AH367/$AZ$2)*'1. UC Assumptions'!$K$42,0)</f>
        <v>0</v>
      </c>
      <c r="BA367" s="151">
        <f>IF(K367="MRSA Central",(AG367/$BA$1)*'1. UC Assumptions'!$L$44-(AH367/$BA$2)*'1. UC Assumptions'!$L$42,0)</f>
        <v>0</v>
      </c>
      <c r="BB367" s="151">
        <f>IF(K367="MRSA Northeast",(AG367/$BB$1)*'1. UC Assumptions'!$M$44-(AH367/$BB$2)*'1. UC Assumptions'!$M$42,0)</f>
        <v>0</v>
      </c>
      <c r="BC367" s="151">
        <f>IF(K367="MRSA West",(AG367/$BC$1)*'1. UC Assumptions'!$N$44-(AH367/$BC$2)*'1. UC Assumptions'!$N$42,0)</f>
        <v>0</v>
      </c>
      <c r="BD367" s="151">
        <f>IF(K367="Nueces",(AG367/$BD$1)*'1. UC Assumptions'!$O$44-(AH367/$BD$2)*'1. UC Assumptions'!$O$42,0)</f>
        <v>0</v>
      </c>
      <c r="BE367" s="151">
        <f>IF(K367="Tarrant",(AG367/$BE$1)*'1. UC Assumptions'!$P$44-(AH367/$BE$2)*'1. UC Assumptions'!$P$42,0)</f>
        <v>0</v>
      </c>
      <c r="BF367" s="151">
        <f>IF(K367="Travis",(AG367/$BF$1)*'1. UC Assumptions'!$Q$44-(AH367/$BF$2)*'1. UC Assumptions'!$Q$42,0)</f>
        <v>0</v>
      </c>
      <c r="BG367" s="151">
        <f t="shared" si="120"/>
        <v>0</v>
      </c>
      <c r="BH367" s="151">
        <f t="shared" si="121"/>
        <v>616939.88461194572</v>
      </c>
      <c r="BI367" s="151">
        <f>ROUNDDOWN(BH367*'1. UC Assumptions'!$C$23,2)</f>
        <v>203590.16</v>
      </c>
      <c r="BJ367" s="154">
        <f t="shared" si="122"/>
        <v>616939.88461194572</v>
      </c>
      <c r="BK367" s="154">
        <f t="shared" si="123"/>
        <v>203590.16</v>
      </c>
      <c r="BL367" s="154">
        <f t="shared" si="124"/>
        <v>569571.29</v>
      </c>
      <c r="BM367" s="154">
        <f t="shared" si="125"/>
        <v>187958.52</v>
      </c>
      <c r="BN367" s="101"/>
      <c r="BO367" s="154">
        <f>(BL367*'1. UC Assumptions'!$C$23)-'3.  UC Calculations by Hospital'!BM367</f>
        <v>5.7000000088009983E-3</v>
      </c>
      <c r="BP367" s="13"/>
    </row>
    <row r="368" spans="1:68" ht="15">
      <c r="A368" s="98"/>
      <c r="B368" s="157" t="s">
        <v>1080</v>
      </c>
      <c r="C368" s="91" t="s">
        <v>1080</v>
      </c>
      <c r="D368" s="114" t="s">
        <v>214</v>
      </c>
      <c r="E368" s="91" t="s">
        <v>209</v>
      </c>
      <c r="F368" s="91"/>
      <c r="G368" s="91" t="s">
        <v>209</v>
      </c>
      <c r="H368" s="91" t="s">
        <v>209</v>
      </c>
      <c r="I368" s="150" t="s">
        <v>210</v>
      </c>
      <c r="J368" s="114" t="s">
        <v>552</v>
      </c>
      <c r="K368" s="91" t="s">
        <v>10</v>
      </c>
      <c r="L368" s="91" t="s">
        <v>553</v>
      </c>
      <c r="M368" s="151">
        <v>2613717.9473508094</v>
      </c>
      <c r="N368" s="151">
        <v>0</v>
      </c>
      <c r="O368" s="131">
        <v>0</v>
      </c>
      <c r="P368" s="131">
        <f t="shared" si="106"/>
        <v>0</v>
      </c>
      <c r="Q368" s="131">
        <v>3817361.5326140672</v>
      </c>
      <c r="R368" s="131">
        <v>0</v>
      </c>
      <c r="S368" s="131">
        <f t="shared" si="107"/>
        <v>0</v>
      </c>
      <c r="T368" s="131">
        <f t="shared" si="126"/>
        <v>3817361.5326140672</v>
      </c>
      <c r="U368" s="131">
        <v>0</v>
      </c>
      <c r="V368" s="131">
        <v>0</v>
      </c>
      <c r="W368" s="131">
        <v>0</v>
      </c>
      <c r="X368" s="131">
        <v>0</v>
      </c>
      <c r="Y368" s="131">
        <v>0</v>
      </c>
      <c r="Z368" s="131">
        <f t="shared" si="108"/>
        <v>0</v>
      </c>
      <c r="AA368" s="131">
        <v>0</v>
      </c>
      <c r="AB368" s="152">
        <f t="shared" si="109"/>
        <v>3817361.5326140672</v>
      </c>
      <c r="AC368" s="133">
        <f>IF(D368="Physician Group Practice",(AB368/$AB$393)*'1. UC Assumptions'!$C$15,IF(E368="Rural Hospital",AB368*'1. UC Assumptions'!$C$7/'1. UC Assumptions'!$E$7,(AB368/$AB$397)*('1. UC Assumptions'!$C$9)))</f>
        <v>1794715.7537967961</v>
      </c>
      <c r="AD368" s="133">
        <f t="shared" si="110"/>
        <v>0</v>
      </c>
      <c r="AE368" s="133">
        <f t="shared" si="111"/>
        <v>2022645.7788172711</v>
      </c>
      <c r="AF368" s="133">
        <f t="shared" si="112"/>
        <v>0</v>
      </c>
      <c r="AG368" s="133">
        <f t="shared" si="113"/>
        <v>2022645.7788172711</v>
      </c>
      <c r="AH368" s="133">
        <f t="shared" si="114"/>
        <v>1794715.7537967961</v>
      </c>
      <c r="AI368" s="131">
        <f>AH368*'1. UC Assumptions'!$C$23</f>
        <v>592256.19875294261</v>
      </c>
      <c r="AJ368" s="131">
        <v>1503118.63</v>
      </c>
      <c r="AK368" s="131">
        <f>AJ368*(1-'1. UC Assumptions'!$C$22)</f>
        <v>496029.14789999992</v>
      </c>
      <c r="AL368" s="131"/>
      <c r="AM368" s="131">
        <f>AL368*'1. UC Assumptions'!$C$23</f>
        <v>0</v>
      </c>
      <c r="AN368" s="153">
        <f t="shared" si="115"/>
        <v>3817361.5326140672</v>
      </c>
      <c r="AO368" s="151">
        <f>AN368*'1. UC Assumptions'!$C$23</f>
        <v>1259729.3057626421</v>
      </c>
      <c r="AP368" s="151">
        <f t="shared" si="116"/>
        <v>2314242.9026140673</v>
      </c>
      <c r="AQ368" s="151">
        <f t="shared" si="117"/>
        <v>763700.15786264208</v>
      </c>
      <c r="AR368" s="151">
        <f t="shared" si="118"/>
        <v>763700.15786264208</v>
      </c>
      <c r="AS368" s="151">
        <f t="shared" si="119"/>
        <v>1259729.3057626421</v>
      </c>
      <c r="AT368" s="151">
        <f>IF(K368="Bexar",(AG368/$AT$1)*'1. UC Assumptions'!$E$44-(AH368/$AT$2)*'1. UC Assumptions'!$E$42,0)</f>
        <v>0</v>
      </c>
      <c r="AU368" s="151">
        <f>IF(K368="Dallas",(AG368/$AU$1)*'1. UC Assumptions'!$F$44-(AH368/$AU$2)*'1. UC Assumptions'!$F$42,0)</f>
        <v>0</v>
      </c>
      <c r="AV368" s="151">
        <f>IF(K368="El Paso",(AG368/$AV$1)*'1. UC Assumptions'!$G$44-(AH368/$AV$2)*'1. UC Assumptions'!$G$42,0)</f>
        <v>0</v>
      </c>
      <c r="AW368" s="151">
        <f>IF(K368="Harris",(AG368/$AW$1)*'1. UC Assumptions'!$H$44-(AH368/$AW$2)*'1. UC Assumptions'!$H$42,0)</f>
        <v>0</v>
      </c>
      <c r="AX368" s="151">
        <f>IF(K368="Hidalgo",(AG368/$AX$1)*'1. UC Assumptions'!$I$44-(AH368/$AX$2)*'1. UC Assumptions'!$I$42,0)</f>
        <v>0</v>
      </c>
      <c r="AY368" s="151">
        <f>IF(K368="Jefferson",(AG368/$AY$1)*'1. UC Assumptions'!$J$44-(AH368/$AY$2)*'1. UC Assumptions'!$J$42,0)</f>
        <v>0</v>
      </c>
      <c r="AZ368" s="151">
        <f>IF(K368="Lubbock",(AG368/$AZ$1)*'1. UC Assumptions'!$K$44-(AH368/$AZ$2)*'1. UC Assumptions'!$K$42,0)</f>
        <v>0</v>
      </c>
      <c r="BA368" s="151">
        <f>IF(K368="MRSA Central",(AG368/$BA$1)*'1. UC Assumptions'!$L$44-(AH368/$BA$2)*'1. UC Assumptions'!$L$42,0)</f>
        <v>0</v>
      </c>
      <c r="BB368" s="151">
        <f>IF(K368="MRSA Northeast",(AG368/$BB$1)*'1. UC Assumptions'!$M$44-(AH368/$BB$2)*'1. UC Assumptions'!$M$42,0)</f>
        <v>0</v>
      </c>
      <c r="BC368" s="151">
        <f>IF(K368="MRSA West",(AG368/$BC$1)*'1. UC Assumptions'!$N$44-(AH368/$BC$2)*'1. UC Assumptions'!$N$42,0)</f>
        <v>0</v>
      </c>
      <c r="BD368" s="151">
        <f>IF(K368="Nueces",(AG368/$BD$1)*'1. UC Assumptions'!$O$44-(AH368/$BD$2)*'1. UC Assumptions'!$O$42,0)</f>
        <v>0</v>
      </c>
      <c r="BE368" s="151">
        <f>IF(K368="Tarrant",(AG368/$BE$1)*'1. UC Assumptions'!$P$44-(AH368/$BE$2)*'1. UC Assumptions'!$P$42,0)</f>
        <v>0</v>
      </c>
      <c r="BF368" s="151">
        <f>IF(K368="Travis",(AG368/$BF$1)*'1. UC Assumptions'!$Q$44-(AH368/$BF$2)*'1. UC Assumptions'!$Q$42,0)</f>
        <v>0</v>
      </c>
      <c r="BG368" s="151">
        <f t="shared" si="120"/>
        <v>0</v>
      </c>
      <c r="BH368" s="151">
        <f t="shared" si="121"/>
        <v>1794715.7537967961</v>
      </c>
      <c r="BI368" s="151">
        <f>ROUNDDOWN(BH368*'1. UC Assumptions'!$C$23,2)</f>
        <v>592256.18999999994</v>
      </c>
      <c r="BJ368" s="154">
        <f t="shared" si="122"/>
        <v>291597.12379679619</v>
      </c>
      <c r="BK368" s="154">
        <f t="shared" si="123"/>
        <v>96227.042100000021</v>
      </c>
      <c r="BL368" s="154">
        <f t="shared" si="124"/>
        <v>269208.32000000001</v>
      </c>
      <c r="BM368" s="154">
        <f t="shared" si="125"/>
        <v>88838.74</v>
      </c>
      <c r="BN368" s="101"/>
      <c r="BO368" s="154">
        <f>(BL368*'1. UC Assumptions'!$C$23)-'3.  UC Calculations by Hospital'!BM368</f>
        <v>5.599999989499338E-3</v>
      </c>
      <c r="BP368" s="13"/>
    </row>
    <row r="369" spans="1:68" ht="15">
      <c r="A369" s="98"/>
      <c r="B369" s="157" t="s">
        <v>1081</v>
      </c>
      <c r="C369" s="91" t="s">
        <v>1081</v>
      </c>
      <c r="D369" s="91" t="s">
        <v>208</v>
      </c>
      <c r="E369" s="91" t="s">
        <v>209</v>
      </c>
      <c r="F369" s="91"/>
      <c r="G369" s="91" t="s">
        <v>209</v>
      </c>
      <c r="H369" s="91" t="s">
        <v>209</v>
      </c>
      <c r="I369" s="150" t="s">
        <v>210</v>
      </c>
      <c r="J369" s="114" t="s">
        <v>1082</v>
      </c>
      <c r="K369" s="91" t="s">
        <v>8</v>
      </c>
      <c r="L369" s="91" t="s">
        <v>1083</v>
      </c>
      <c r="M369" s="151">
        <v>2206326.0335337985</v>
      </c>
      <c r="N369" s="151">
        <v>7175444.5961651579</v>
      </c>
      <c r="O369" s="131">
        <v>6257191.5859172614</v>
      </c>
      <c r="P369" s="131">
        <f t="shared" si="106"/>
        <v>918253.01024789643</v>
      </c>
      <c r="Q369" s="131">
        <v>7260111.0577777158</v>
      </c>
      <c r="R369" s="131">
        <v>4266915.7</v>
      </c>
      <c r="S369" s="131">
        <f t="shared" si="107"/>
        <v>1142336.6562183052</v>
      </c>
      <c r="T369" s="131">
        <f t="shared" si="126"/>
        <v>6117774.4015594106</v>
      </c>
      <c r="U369" s="131">
        <v>70522</v>
      </c>
      <c r="V369" s="131">
        <v>0</v>
      </c>
      <c r="W369" s="131">
        <v>0</v>
      </c>
      <c r="X369" s="131">
        <v>0</v>
      </c>
      <c r="Y369" s="131">
        <v>92520.687247636335</v>
      </c>
      <c r="Z369" s="131">
        <f t="shared" si="108"/>
        <v>163042.68724763632</v>
      </c>
      <c r="AA369" s="131">
        <v>0</v>
      </c>
      <c r="AB369" s="152">
        <f t="shared" si="109"/>
        <v>6280817.0888070473</v>
      </c>
      <c r="AC369" s="133">
        <f>IF(D369="Physician Group Practice",(AB369/$AB$393)*'1. UC Assumptions'!$C$15,IF(E369="Rural Hospital",AB369*'1. UC Assumptions'!$C$7/'1. UC Assumptions'!$E$7,(AB369/$AB$397)*('1. UC Assumptions'!$C$9)))</f>
        <v>2952898.5608756482</v>
      </c>
      <c r="AD369" s="133">
        <f t="shared" si="110"/>
        <v>0</v>
      </c>
      <c r="AE369" s="133">
        <f t="shared" si="111"/>
        <v>3327918.5279313992</v>
      </c>
      <c r="AF369" s="133">
        <f t="shared" si="112"/>
        <v>0</v>
      </c>
      <c r="AG369" s="133">
        <f t="shared" si="113"/>
        <v>3327918.5279313992</v>
      </c>
      <c r="AH369" s="133">
        <f t="shared" si="114"/>
        <v>2952898.5608756482</v>
      </c>
      <c r="AI369" s="131">
        <f>AH369*'1. UC Assumptions'!$C$23</f>
        <v>974456.5250889638</v>
      </c>
      <c r="AJ369" s="99">
        <v>2993673.38</v>
      </c>
      <c r="AK369" s="131">
        <f>AJ369*(1-'1. UC Assumptions'!$C$22)</f>
        <v>987912.21539999987</v>
      </c>
      <c r="AL369" s="131"/>
      <c r="AM369" s="131">
        <f>AL369*'1. UC Assumptions'!$C$23</f>
        <v>0</v>
      </c>
      <c r="AN369" s="153">
        <f t="shared" si="115"/>
        <v>6280817.0888070473</v>
      </c>
      <c r="AO369" s="151">
        <f>AN369*'1. UC Assumptions'!$C$23</f>
        <v>2072669.6393063255</v>
      </c>
      <c r="AP369" s="151">
        <f t="shared" si="116"/>
        <v>3287143.7088070475</v>
      </c>
      <c r="AQ369" s="151">
        <f t="shared" si="117"/>
        <v>1084757.4239063256</v>
      </c>
      <c r="AR369" s="151">
        <f t="shared" si="118"/>
        <v>1084757.4239063256</v>
      </c>
      <c r="AS369" s="151">
        <f t="shared" si="119"/>
        <v>2072669.6393063255</v>
      </c>
      <c r="AT369" s="151">
        <f>IF(K369="Bexar",(AG369/$AT$1)*'1. UC Assumptions'!$E$44-(AH369/$AT$2)*'1. UC Assumptions'!$E$42,0)</f>
        <v>0</v>
      </c>
      <c r="AU369" s="151">
        <f>IF(K369="Dallas",(AG369/$AU$1)*'1. UC Assumptions'!$F$44-(AH369/$AU$2)*'1. UC Assumptions'!$F$42,0)</f>
        <v>0</v>
      </c>
      <c r="AV369" s="151">
        <f>IF(K369="El Paso",(AG369/$AV$1)*'1. UC Assumptions'!$G$44-(AH369/$AV$2)*'1. UC Assumptions'!$G$42,0)</f>
        <v>0</v>
      </c>
      <c r="AW369" s="151">
        <f>IF(K369="Harris",(AG369/$AW$1)*'1. UC Assumptions'!$H$44-(AH369/$AW$2)*'1. UC Assumptions'!$H$42,0)</f>
        <v>0</v>
      </c>
      <c r="AX369" s="151">
        <f>IF(K369="Hidalgo",(AG369/$AX$1)*'1. UC Assumptions'!$I$44-(AH369/$AX$2)*'1. UC Assumptions'!$I$42,0)</f>
        <v>0</v>
      </c>
      <c r="AY369" s="151">
        <f>IF(K369="Jefferson",(AG369/$AY$1)*'1. UC Assumptions'!$J$44-(AH369/$AY$2)*'1. UC Assumptions'!$J$42,0)</f>
        <v>0</v>
      </c>
      <c r="AZ369" s="151">
        <f>IF(K369="Lubbock",(AG369/$AZ$1)*'1. UC Assumptions'!$K$44-(AH369/$AZ$2)*'1. UC Assumptions'!$K$42,0)</f>
        <v>0</v>
      </c>
      <c r="BA369" s="151">
        <f>IF(K369="MRSA Central",(AG369/$BA$1)*'1. UC Assumptions'!$L$44-(AH369/$BA$2)*'1. UC Assumptions'!$L$42,0)</f>
        <v>0</v>
      </c>
      <c r="BB369" s="151">
        <f>IF(K369="MRSA Northeast",(AG369/$BB$1)*'1. UC Assumptions'!$M$44-(AH369/$BB$2)*'1. UC Assumptions'!$M$42,0)</f>
        <v>0</v>
      </c>
      <c r="BC369" s="151">
        <f>IF(K369="MRSA West",(AG369/$BC$1)*'1. UC Assumptions'!$N$44-(AH369/$BC$2)*'1. UC Assumptions'!$N$42,0)</f>
        <v>0</v>
      </c>
      <c r="BD369" s="151">
        <f>IF(K369="Nueces",(AG369/$BD$1)*'1. UC Assumptions'!$O$44-(AH369/$BD$2)*'1. UC Assumptions'!$O$42,0)</f>
        <v>0</v>
      </c>
      <c r="BE369" s="151">
        <f>IF(K369="Tarrant",(AG369/$BE$1)*'1. UC Assumptions'!$P$44-(AH369/$BE$2)*'1. UC Assumptions'!$P$42,0)</f>
        <v>0</v>
      </c>
      <c r="BF369" s="151">
        <f>IF(K369="Travis",(AG369/$BF$1)*'1. UC Assumptions'!$Q$44-(AH369/$BF$2)*'1. UC Assumptions'!$Q$42,0)</f>
        <v>0</v>
      </c>
      <c r="BG369" s="151">
        <f t="shared" si="120"/>
        <v>0</v>
      </c>
      <c r="BH369" s="151">
        <f t="shared" si="121"/>
        <v>2952898.5608756482</v>
      </c>
      <c r="BI369" s="151">
        <f>ROUNDDOWN(BH369*'1. UC Assumptions'!$C$23,2)</f>
        <v>974456.52</v>
      </c>
      <c r="BJ369" s="154">
        <f t="shared" si="122"/>
        <v>-40774.819124351721</v>
      </c>
      <c r="BK369" s="154">
        <f t="shared" si="123"/>
        <v>-13455.695399999851</v>
      </c>
      <c r="BL369" s="154">
        <f t="shared" si="124"/>
        <v>0</v>
      </c>
      <c r="BM369" s="154">
        <f t="shared" si="125"/>
        <v>0</v>
      </c>
      <c r="BN369" s="101"/>
      <c r="BO369" s="154">
        <f>(BL369*'1. UC Assumptions'!$C$23)-'3.  UC Calculations by Hospital'!BM369</f>
        <v>0</v>
      </c>
      <c r="BP369" s="13"/>
    </row>
    <row r="370" spans="1:68">
      <c r="B370" s="157" t="s">
        <v>1084</v>
      </c>
      <c r="C370" s="91" t="s">
        <v>1084</v>
      </c>
      <c r="D370" s="114" t="s">
        <v>214</v>
      </c>
      <c r="E370" s="91" t="s">
        <v>209</v>
      </c>
      <c r="F370" s="91"/>
      <c r="G370" s="91" t="s">
        <v>209</v>
      </c>
      <c r="H370" s="91" t="s">
        <v>209</v>
      </c>
      <c r="I370" s="150" t="s">
        <v>210</v>
      </c>
      <c r="J370" s="114" t="s">
        <v>1085</v>
      </c>
      <c r="K370" s="91" t="s">
        <v>14</v>
      </c>
      <c r="L370" s="91" t="s">
        <v>248</v>
      </c>
      <c r="M370" s="151">
        <v>2212208.8134567682</v>
      </c>
      <c r="N370" s="151">
        <v>0</v>
      </c>
      <c r="O370" s="131">
        <v>0</v>
      </c>
      <c r="P370" s="131">
        <f t="shared" si="106"/>
        <v>0</v>
      </c>
      <c r="Q370" s="131">
        <v>1842354.5007533566</v>
      </c>
      <c r="R370" s="131">
        <v>0</v>
      </c>
      <c r="S370" s="131">
        <f t="shared" si="107"/>
        <v>0</v>
      </c>
      <c r="T370" s="131">
        <f t="shared" si="126"/>
        <v>1842354.5007533566</v>
      </c>
      <c r="U370" s="131">
        <v>0</v>
      </c>
      <c r="V370" s="131">
        <v>0</v>
      </c>
      <c r="W370" s="131">
        <v>0</v>
      </c>
      <c r="X370" s="131">
        <v>0</v>
      </c>
      <c r="Y370" s="131">
        <v>7517918</v>
      </c>
      <c r="Z370" s="131">
        <f t="shared" si="108"/>
        <v>7517918</v>
      </c>
      <c r="AA370" s="131">
        <v>0</v>
      </c>
      <c r="AB370" s="152">
        <f t="shared" si="109"/>
        <v>9360272.5007533561</v>
      </c>
      <c r="AC370" s="133">
        <f>IF(D370="Physician Group Practice",(AB370/$AB$393)*'1. UC Assumptions'!$C$15,IF(E370="Rural Hospital",AB370*'1. UC Assumptions'!$C$7/'1. UC Assumptions'!$E$7,(AB370/$AB$397)*('1. UC Assumptions'!$C$9)))</f>
        <v>4400690.9938732674</v>
      </c>
      <c r="AD370" s="133">
        <f t="shared" si="110"/>
        <v>0</v>
      </c>
      <c r="AE370" s="133">
        <f t="shared" si="111"/>
        <v>4959581.5068800887</v>
      </c>
      <c r="AF370" s="133">
        <f t="shared" si="112"/>
        <v>0</v>
      </c>
      <c r="AG370" s="133">
        <f t="shared" si="113"/>
        <v>4959581.5068800887</v>
      </c>
      <c r="AH370" s="133">
        <f t="shared" si="114"/>
        <v>4400690.9938732674</v>
      </c>
      <c r="AI370" s="131">
        <f>AH370*'1. UC Assumptions'!$C$23</f>
        <v>1452228.0279781781</v>
      </c>
      <c r="AJ370" s="131">
        <v>4124890.06</v>
      </c>
      <c r="AK370" s="131">
        <f>AJ370*(1-'1. UC Assumptions'!$C$22)</f>
        <v>1361213.7197999998</v>
      </c>
      <c r="AL370" s="131"/>
      <c r="AM370" s="131">
        <f>AL370*'1. UC Assumptions'!$C$23</f>
        <v>0</v>
      </c>
      <c r="AN370" s="153">
        <f t="shared" si="115"/>
        <v>9360272.5007533561</v>
      </c>
      <c r="AO370" s="151">
        <f>AN370*'1. UC Assumptions'!$C$23</f>
        <v>3088889.9252486071</v>
      </c>
      <c r="AP370" s="151">
        <f t="shared" si="116"/>
        <v>5235382.4407533556</v>
      </c>
      <c r="AQ370" s="151">
        <f t="shared" si="117"/>
        <v>1727676.2054486072</v>
      </c>
      <c r="AR370" s="151">
        <f t="shared" si="118"/>
        <v>1727676.2054486072</v>
      </c>
      <c r="AS370" s="151">
        <f t="shared" si="119"/>
        <v>3088889.9252486071</v>
      </c>
      <c r="AT370" s="151">
        <f>IF(K370="Bexar",(AG370/$AT$1)*'1. UC Assumptions'!$E$44-(AH370/$AT$2)*'1. UC Assumptions'!$E$42,0)</f>
        <v>0</v>
      </c>
      <c r="AU370" s="151">
        <f>IF(K370="Dallas",(AG370/$AU$1)*'1. UC Assumptions'!$F$44-(AH370/$AU$2)*'1. UC Assumptions'!$F$42,0)</f>
        <v>0</v>
      </c>
      <c r="AV370" s="151">
        <f>IF(K370="El Paso",(AG370/$AV$1)*'1. UC Assumptions'!$G$44-(AH370/$AV$2)*'1. UC Assumptions'!$G$42,0)</f>
        <v>0</v>
      </c>
      <c r="AW370" s="151">
        <f>IF(K370="Harris",(AG370/$AW$1)*'1. UC Assumptions'!$H$44-(AH370/$AW$2)*'1. UC Assumptions'!$H$42,0)</f>
        <v>0</v>
      </c>
      <c r="AX370" s="151">
        <f>IF(K370="Hidalgo",(AG370/$AX$1)*'1. UC Assumptions'!$I$44-(AH370/$AX$2)*'1. UC Assumptions'!$I$42,0)</f>
        <v>0</v>
      </c>
      <c r="AY370" s="151">
        <f>IF(K370="Jefferson",(AG370/$AY$1)*'1. UC Assumptions'!$J$44-(AH370/$AY$2)*'1. UC Assumptions'!$J$42,0)</f>
        <v>0</v>
      </c>
      <c r="AZ370" s="151">
        <f>IF(K370="Lubbock",(AG370/$AZ$1)*'1. UC Assumptions'!$K$44-(AH370/$AZ$2)*'1. UC Assumptions'!$K$42,0)</f>
        <v>0</v>
      </c>
      <c r="BA370" s="151">
        <f>IF(K370="MRSA Central",(AG370/$BA$1)*'1. UC Assumptions'!$L$44-(AH370/$BA$2)*'1. UC Assumptions'!$L$42,0)</f>
        <v>0</v>
      </c>
      <c r="BB370" s="151">
        <f>IF(K370="MRSA Northeast",(AG370/$BB$1)*'1. UC Assumptions'!$M$44-(AH370/$BB$2)*'1. UC Assumptions'!$M$42,0)</f>
        <v>0</v>
      </c>
      <c r="BC370" s="151">
        <f>IF(K370="MRSA West",(AG370/$BC$1)*'1. UC Assumptions'!$N$44-(AH370/$BC$2)*'1. UC Assumptions'!$N$42,0)</f>
        <v>0</v>
      </c>
      <c r="BD370" s="151">
        <f>IF(K370="Nueces",(AG370/$BD$1)*'1. UC Assumptions'!$O$44-(AH370/$BD$2)*'1. UC Assumptions'!$O$42,0)</f>
        <v>0</v>
      </c>
      <c r="BE370" s="151">
        <f>IF(K370="Tarrant",(AG370/$BE$1)*'1. UC Assumptions'!$P$44-(AH370/$BE$2)*'1. UC Assumptions'!$P$42,0)</f>
        <v>0</v>
      </c>
      <c r="BF370" s="151">
        <f>IF(K370="Travis",(AG370/$BF$1)*'1. UC Assumptions'!$Q$44-(AH370/$BF$2)*'1. UC Assumptions'!$Q$42,0)</f>
        <v>0</v>
      </c>
      <c r="BG370" s="151">
        <f t="shared" si="120"/>
        <v>0</v>
      </c>
      <c r="BH370" s="151">
        <f t="shared" si="121"/>
        <v>4400690.9938732674</v>
      </c>
      <c r="BI370" s="151">
        <f>ROUNDDOWN(BH370*'1. UC Assumptions'!$C$23,2)</f>
        <v>1452228.02</v>
      </c>
      <c r="BJ370" s="154">
        <f t="shared" si="122"/>
        <v>275800.93387326738</v>
      </c>
      <c r="BK370" s="154">
        <f t="shared" si="123"/>
        <v>91014.300200000172</v>
      </c>
      <c r="BL370" s="154">
        <f t="shared" si="124"/>
        <v>254624.96</v>
      </c>
      <c r="BM370" s="154">
        <f t="shared" si="125"/>
        <v>84026.23</v>
      </c>
      <c r="BN370" s="101"/>
      <c r="BO370" s="154">
        <f>(BL370*'1. UC Assumptions'!$C$23)-'3.  UC Calculations by Hospital'!BM370</f>
        <v>6.7999999882886186E-3</v>
      </c>
      <c r="BP370" s="13"/>
    </row>
    <row r="371" spans="1:68">
      <c r="B371" s="157" t="s">
        <v>1086</v>
      </c>
      <c r="C371" s="91" t="s">
        <v>1086</v>
      </c>
      <c r="D371" s="114" t="s">
        <v>214</v>
      </c>
      <c r="E371" s="91"/>
      <c r="F371" s="91"/>
      <c r="G371" s="91" t="s">
        <v>209</v>
      </c>
      <c r="H371" s="91" t="s">
        <v>209</v>
      </c>
      <c r="I371" s="150" t="s">
        <v>210</v>
      </c>
      <c r="J371" s="114" t="s">
        <v>346</v>
      </c>
      <c r="K371" s="96" t="s">
        <v>15</v>
      </c>
      <c r="L371" s="91" t="s">
        <v>928</v>
      </c>
      <c r="M371" s="151">
        <v>31445.364852608</v>
      </c>
      <c r="N371" s="151">
        <v>1344173.7987258551</v>
      </c>
      <c r="O371" s="131">
        <v>851261.96985338873</v>
      </c>
      <c r="P371" s="131">
        <f t="shared" si="106"/>
        <v>492911.82887246634</v>
      </c>
      <c r="Q371" s="131">
        <v>562204.21760814078</v>
      </c>
      <c r="R371" s="131">
        <v>0</v>
      </c>
      <c r="S371" s="131">
        <f t="shared" si="107"/>
        <v>0</v>
      </c>
      <c r="T371" s="131">
        <f t="shared" si="126"/>
        <v>562204.21760814078</v>
      </c>
      <c r="U371" s="131">
        <v>49855</v>
      </c>
      <c r="V371" s="131">
        <v>0</v>
      </c>
      <c r="W371" s="131">
        <v>0</v>
      </c>
      <c r="X371" s="131">
        <v>0</v>
      </c>
      <c r="Y371" s="131">
        <v>1313522</v>
      </c>
      <c r="Z371" s="131">
        <f t="shared" si="108"/>
        <v>1363377</v>
      </c>
      <c r="AA371" s="131">
        <v>0</v>
      </c>
      <c r="AB371" s="152">
        <f t="shared" si="109"/>
        <v>1925581.2176081408</v>
      </c>
      <c r="AC371" s="133">
        <f>IF(D371="Physician Group Practice",(AB371/$AB$393)*'1. UC Assumptions'!$C$15,IF(E371="Rural Hospital",AB371*'1. UC Assumptions'!$C$7/'1. UC Assumptions'!$E$7,(AB371/$AB$397)*('1. UC Assumptions'!$C$9)))</f>
        <v>905303.54982909432</v>
      </c>
      <c r="AD371" s="133">
        <f t="shared" si="110"/>
        <v>0</v>
      </c>
      <c r="AE371" s="133">
        <f t="shared" si="111"/>
        <v>1020277.6677790465</v>
      </c>
      <c r="AF371" s="133">
        <f t="shared" si="112"/>
        <v>0</v>
      </c>
      <c r="AG371" s="133">
        <f t="shared" si="113"/>
        <v>1020277.6677790465</v>
      </c>
      <c r="AH371" s="133">
        <f t="shared" si="114"/>
        <v>905303.54982909432</v>
      </c>
      <c r="AI371" s="131">
        <f>AH371*'1. UC Assumptions'!$C$23</f>
        <v>298750.17144360108</v>
      </c>
      <c r="AJ371" s="131">
        <v>0</v>
      </c>
      <c r="AK371" s="131">
        <f>AJ371*(1-'1. UC Assumptions'!$C$22)</f>
        <v>0</v>
      </c>
      <c r="AL371" s="131"/>
      <c r="AM371" s="131">
        <f>AL371*'1. UC Assumptions'!$C$23</f>
        <v>0</v>
      </c>
      <c r="AN371" s="153">
        <f t="shared" si="115"/>
        <v>1925581.2176081408</v>
      </c>
      <c r="AO371" s="151">
        <f>AN371*'1. UC Assumptions'!$C$23</f>
        <v>635441.80181068636</v>
      </c>
      <c r="AP371" s="151">
        <f t="shared" si="116"/>
        <v>1925581.2176081408</v>
      </c>
      <c r="AQ371" s="151">
        <f t="shared" si="117"/>
        <v>635441.80181068636</v>
      </c>
      <c r="AR371" s="151">
        <f t="shared" si="118"/>
        <v>635441.80181068636</v>
      </c>
      <c r="AS371" s="151">
        <f t="shared" si="119"/>
        <v>635441.80181068636</v>
      </c>
      <c r="AT371" s="151">
        <f>IF(K371="Bexar",(AG371/$AT$1)*'1. UC Assumptions'!$E$44-(AH371/$AT$2)*'1. UC Assumptions'!$E$42,0)</f>
        <v>0</v>
      </c>
      <c r="AU371" s="151">
        <f>IF(K371="Dallas",(AG371/$AU$1)*'1. UC Assumptions'!$F$44-(AH371/$AU$2)*'1. UC Assumptions'!$F$42,0)</f>
        <v>0</v>
      </c>
      <c r="AV371" s="151">
        <f>IF(K371="El Paso",(AG371/$AV$1)*'1. UC Assumptions'!$G$44-(AH371/$AV$2)*'1. UC Assumptions'!$G$42,0)</f>
        <v>0</v>
      </c>
      <c r="AW371" s="151">
        <f>IF(K371="Harris",(AG371/$AW$1)*'1. UC Assumptions'!$H$44-(AH371/$AW$2)*'1. UC Assumptions'!$H$42,0)</f>
        <v>0</v>
      </c>
      <c r="AX371" s="151">
        <f>IF(K371="Hidalgo",(AG371/$AX$1)*'1. UC Assumptions'!$I$44-(AH371/$AX$2)*'1. UC Assumptions'!$I$42,0)</f>
        <v>0</v>
      </c>
      <c r="AY371" s="151">
        <f>IF(K371="Jefferson",(AG371/$AY$1)*'1. UC Assumptions'!$J$44-(AH371/$AY$2)*'1. UC Assumptions'!$J$42,0)</f>
        <v>0</v>
      </c>
      <c r="AZ371" s="151">
        <f>IF(K371="Lubbock",(AG371/$AZ$1)*'1. UC Assumptions'!$K$44-(AH371/$AZ$2)*'1. UC Assumptions'!$K$42,0)</f>
        <v>0</v>
      </c>
      <c r="BA371" s="151">
        <f>IF(K371="MRSA Central",(AG371/$BA$1)*'1. UC Assumptions'!$L$44-(AH371/$BA$2)*'1. UC Assumptions'!$L$42,0)</f>
        <v>0</v>
      </c>
      <c r="BB371" s="151">
        <f>IF(K371="MRSA Northeast",(AG371/$BB$1)*'1. UC Assumptions'!$M$44-(AH371/$BB$2)*'1. UC Assumptions'!$M$42,0)</f>
        <v>0</v>
      </c>
      <c r="BC371" s="151">
        <f>IF(K371="MRSA West",(AG371/$BC$1)*'1. UC Assumptions'!$N$44-(AH371/$BC$2)*'1. UC Assumptions'!$N$42,0)</f>
        <v>0</v>
      </c>
      <c r="BD371" s="151">
        <f>IF(K371="Nueces",(AG371/$BD$1)*'1. UC Assumptions'!$O$44-(AH371/$BD$2)*'1. UC Assumptions'!$O$42,0)</f>
        <v>0</v>
      </c>
      <c r="BE371" s="151">
        <f>IF(K371="Tarrant",(AG371/$BE$1)*'1. UC Assumptions'!$P$44-(AH371/$BE$2)*'1. UC Assumptions'!$P$42,0)</f>
        <v>0</v>
      </c>
      <c r="BF371" s="151">
        <f>IF(K371="Travis",(AG371/$BF$1)*'1. UC Assumptions'!$Q$44-(AH371/$BF$2)*'1. UC Assumptions'!$Q$42,0)</f>
        <v>0</v>
      </c>
      <c r="BG371" s="151">
        <f t="shared" si="120"/>
        <v>0</v>
      </c>
      <c r="BH371" s="151">
        <f t="shared" si="121"/>
        <v>905303.54982909432</v>
      </c>
      <c r="BI371" s="151">
        <f>ROUNDDOWN(BH371*'1. UC Assumptions'!$C$23,2)</f>
        <v>298750.17</v>
      </c>
      <c r="BJ371" s="154">
        <f t="shared" si="122"/>
        <v>905303.54982909432</v>
      </c>
      <c r="BK371" s="154">
        <f t="shared" si="123"/>
        <v>298750.17</v>
      </c>
      <c r="BL371" s="154">
        <f t="shared" si="124"/>
        <v>835794.42</v>
      </c>
      <c r="BM371" s="154">
        <f t="shared" si="125"/>
        <v>275812.15999999997</v>
      </c>
      <c r="BN371" s="101"/>
      <c r="BO371" s="154">
        <f>(BL371*'1. UC Assumptions'!$C$23)-'3.  UC Calculations by Hospital'!BM371</f>
        <v>-1.4000000082887709E-3</v>
      </c>
      <c r="BP371" s="13"/>
    </row>
    <row r="372" spans="1:68">
      <c r="B372" s="157" t="s">
        <v>1087</v>
      </c>
      <c r="C372" s="91" t="s">
        <v>1087</v>
      </c>
      <c r="D372" s="114" t="s">
        <v>214</v>
      </c>
      <c r="E372" s="91" t="s">
        <v>209</v>
      </c>
      <c r="F372" s="91"/>
      <c r="G372" s="91" t="s">
        <v>209</v>
      </c>
      <c r="H372" s="91" t="s">
        <v>209</v>
      </c>
      <c r="I372" s="150" t="s">
        <v>210</v>
      </c>
      <c r="J372" s="114" t="s">
        <v>228</v>
      </c>
      <c r="K372" s="91" t="s">
        <v>15</v>
      </c>
      <c r="L372" s="91" t="s">
        <v>885</v>
      </c>
      <c r="M372" s="151">
        <v>2465403.5320517737</v>
      </c>
      <c r="N372" s="151">
        <v>9699652.7675160635</v>
      </c>
      <c r="O372" s="131">
        <v>3609602.9646575013</v>
      </c>
      <c r="P372" s="131">
        <f t="shared" si="106"/>
        <v>6090049.8028585622</v>
      </c>
      <c r="Q372" s="131">
        <v>3609602.9646575013</v>
      </c>
      <c r="R372" s="131">
        <v>0</v>
      </c>
      <c r="S372" s="131">
        <f t="shared" si="107"/>
        <v>0</v>
      </c>
      <c r="T372" s="131">
        <f t="shared" si="126"/>
        <v>3609602.9646575013</v>
      </c>
      <c r="U372" s="131">
        <v>0</v>
      </c>
      <c r="V372" s="131">
        <v>0</v>
      </c>
      <c r="W372" s="131">
        <v>1704467.5242303065</v>
      </c>
      <c r="X372" s="131">
        <v>0</v>
      </c>
      <c r="Y372" s="131">
        <v>7380882.6251999997</v>
      </c>
      <c r="Z372" s="131">
        <f t="shared" si="108"/>
        <v>9085350.1494303066</v>
      </c>
      <c r="AA372" s="131">
        <v>0</v>
      </c>
      <c r="AB372" s="152">
        <f t="shared" si="109"/>
        <v>12694953.114087809</v>
      </c>
      <c r="AC372" s="133">
        <f>IF(D372="Physician Group Practice",(AB372/$AB$393)*'1. UC Assumptions'!$C$15,IF(E372="Rural Hospital",AB372*'1. UC Assumptions'!$C$7/'1. UC Assumptions'!$E$7,(AB372/$AB$397)*('1. UC Assumptions'!$C$9)))</f>
        <v>5968476.4340261705</v>
      </c>
      <c r="AD372" s="133">
        <f t="shared" si="110"/>
        <v>0</v>
      </c>
      <c r="AE372" s="133">
        <f t="shared" si="111"/>
        <v>6726476.6800616384</v>
      </c>
      <c r="AF372" s="133">
        <f t="shared" si="112"/>
        <v>0</v>
      </c>
      <c r="AG372" s="133">
        <f t="shared" si="113"/>
        <v>6726476.6800616384</v>
      </c>
      <c r="AH372" s="133">
        <f t="shared" si="114"/>
        <v>5968476.4340261705</v>
      </c>
      <c r="AI372" s="131">
        <f>AH372*'1. UC Assumptions'!$C$23</f>
        <v>1969597.223228636</v>
      </c>
      <c r="AJ372" s="131">
        <v>5849233.4299999997</v>
      </c>
      <c r="AK372" s="131">
        <f>AJ372*(1-'1. UC Assumptions'!$C$22)</f>
        <v>1930247.0318999996</v>
      </c>
      <c r="AL372" s="131"/>
      <c r="AM372" s="131">
        <f>AL372*'1. UC Assumptions'!$C$23</f>
        <v>0</v>
      </c>
      <c r="AN372" s="153">
        <f t="shared" si="115"/>
        <v>12694953.114087809</v>
      </c>
      <c r="AO372" s="151">
        <f>AN372*'1. UC Assumptions'!$C$23</f>
        <v>4189334.5276489765</v>
      </c>
      <c r="AP372" s="151">
        <f t="shared" si="116"/>
        <v>6845719.6840878092</v>
      </c>
      <c r="AQ372" s="151">
        <f t="shared" si="117"/>
        <v>2259087.4957489772</v>
      </c>
      <c r="AR372" s="151">
        <f t="shared" si="118"/>
        <v>2259087.4957489772</v>
      </c>
      <c r="AS372" s="151">
        <f t="shared" si="119"/>
        <v>4189334.527648977</v>
      </c>
      <c r="AT372" s="151">
        <f>IF(K372="Bexar",(AG372/$AT$1)*'1. UC Assumptions'!$E$44-(AH372/$AT$2)*'1. UC Assumptions'!$E$42,0)</f>
        <v>0</v>
      </c>
      <c r="AU372" s="151">
        <f>IF(K372="Dallas",(AG372/$AU$1)*'1. UC Assumptions'!$F$44-(AH372/$AU$2)*'1. UC Assumptions'!$F$42,0)</f>
        <v>0</v>
      </c>
      <c r="AV372" s="151">
        <f>IF(K372="El Paso",(AG372/$AV$1)*'1. UC Assumptions'!$G$44-(AH372/$AV$2)*'1. UC Assumptions'!$G$42,0)</f>
        <v>0</v>
      </c>
      <c r="AW372" s="151">
        <f>IF(K372="Harris",(AG372/$AW$1)*'1. UC Assumptions'!$H$44-(AH372/$AW$2)*'1. UC Assumptions'!$H$42,0)</f>
        <v>0</v>
      </c>
      <c r="AX372" s="151">
        <f>IF(K372="Hidalgo",(AG372/$AX$1)*'1. UC Assumptions'!$I$44-(AH372/$AX$2)*'1. UC Assumptions'!$I$42,0)</f>
        <v>0</v>
      </c>
      <c r="AY372" s="151">
        <f>IF(K372="Jefferson",(AG372/$AY$1)*'1. UC Assumptions'!$J$44-(AH372/$AY$2)*'1. UC Assumptions'!$J$42,0)</f>
        <v>0</v>
      </c>
      <c r="AZ372" s="151">
        <f>IF(K372="Lubbock",(AG372/$AZ$1)*'1. UC Assumptions'!$K$44-(AH372/$AZ$2)*'1. UC Assumptions'!$K$42,0)</f>
        <v>0</v>
      </c>
      <c r="BA372" s="151">
        <f>IF(K372="MRSA Central",(AG372/$BA$1)*'1. UC Assumptions'!$L$44-(AH372/$BA$2)*'1. UC Assumptions'!$L$42,0)</f>
        <v>0</v>
      </c>
      <c r="BB372" s="151">
        <f>IF(K372="MRSA Northeast",(AG372/$BB$1)*'1. UC Assumptions'!$M$44-(AH372/$BB$2)*'1. UC Assumptions'!$M$42,0)</f>
        <v>0</v>
      </c>
      <c r="BC372" s="151">
        <f>IF(K372="MRSA West",(AG372/$BC$1)*'1. UC Assumptions'!$N$44-(AH372/$BC$2)*'1. UC Assumptions'!$N$42,0)</f>
        <v>0</v>
      </c>
      <c r="BD372" s="151">
        <f>IF(K372="Nueces",(AG372/$BD$1)*'1. UC Assumptions'!$O$44-(AH372/$BD$2)*'1. UC Assumptions'!$O$42,0)</f>
        <v>0</v>
      </c>
      <c r="BE372" s="151">
        <f>IF(K372="Tarrant",(AG372/$BE$1)*'1. UC Assumptions'!$P$44-(AH372/$BE$2)*'1. UC Assumptions'!$P$42,0)</f>
        <v>0</v>
      </c>
      <c r="BF372" s="151">
        <f>IF(K372="Travis",(AG372/$BF$1)*'1. UC Assumptions'!$Q$44-(AH372/$BF$2)*'1. UC Assumptions'!$Q$42,0)</f>
        <v>0</v>
      </c>
      <c r="BG372" s="151">
        <f t="shared" si="120"/>
        <v>0</v>
      </c>
      <c r="BH372" s="151">
        <f t="shared" si="121"/>
        <v>5968476.4340261705</v>
      </c>
      <c r="BI372" s="151">
        <f>ROUNDDOWN(BH372*'1. UC Assumptions'!$C$23,2)</f>
        <v>1969597.22</v>
      </c>
      <c r="BJ372" s="154">
        <f t="shared" si="122"/>
        <v>119243.00402617082</v>
      </c>
      <c r="BK372" s="154">
        <f t="shared" si="123"/>
        <v>39350.188100000378</v>
      </c>
      <c r="BL372" s="154">
        <f t="shared" si="124"/>
        <v>110087.54</v>
      </c>
      <c r="BM372" s="154">
        <f t="shared" si="125"/>
        <v>36328.879999999997</v>
      </c>
      <c r="BN372" s="101"/>
      <c r="BO372" s="154">
        <f>(BL372*'1. UC Assumptions'!$C$23)-'3.  UC Calculations by Hospital'!BM372</f>
        <v>8.1999999965773895E-3</v>
      </c>
      <c r="BP372" s="13"/>
    </row>
    <row r="373" spans="1:68">
      <c r="B373" s="129" t="s">
        <v>1088</v>
      </c>
      <c r="C373" s="129" t="s">
        <v>1088</v>
      </c>
      <c r="D373" s="91" t="s">
        <v>214</v>
      </c>
      <c r="E373" s="91" t="s">
        <v>149</v>
      </c>
      <c r="F373" s="91"/>
      <c r="G373" s="91" t="s">
        <v>209</v>
      </c>
      <c r="H373" s="91" t="s">
        <v>209</v>
      </c>
      <c r="I373" s="150" t="s">
        <v>210</v>
      </c>
      <c r="J373" s="129" t="s">
        <v>1089</v>
      </c>
      <c r="K373" s="91" t="s">
        <v>12</v>
      </c>
      <c r="L373" s="91" t="s">
        <v>513</v>
      </c>
      <c r="M373" s="151">
        <v>93427.776255923207</v>
      </c>
      <c r="N373" s="151">
        <v>0</v>
      </c>
      <c r="O373" s="131">
        <v>0</v>
      </c>
      <c r="P373" s="131">
        <f t="shared" si="106"/>
        <v>0</v>
      </c>
      <c r="Q373" s="131">
        <v>0</v>
      </c>
      <c r="R373" s="131">
        <v>0</v>
      </c>
      <c r="S373" s="131">
        <f t="shared" si="107"/>
        <v>0</v>
      </c>
      <c r="T373" s="131">
        <f t="shared" si="126"/>
        <v>0</v>
      </c>
      <c r="U373" s="131">
        <v>0</v>
      </c>
      <c r="V373" s="131">
        <v>0</v>
      </c>
      <c r="W373" s="131">
        <v>0</v>
      </c>
      <c r="X373" s="131">
        <v>0</v>
      </c>
      <c r="Y373" s="131">
        <v>680427</v>
      </c>
      <c r="Z373" s="131">
        <f t="shared" si="108"/>
        <v>680427</v>
      </c>
      <c r="AA373" s="131">
        <v>0</v>
      </c>
      <c r="AB373" s="152">
        <f t="shared" si="109"/>
        <v>680427</v>
      </c>
      <c r="AC373" s="133">
        <f>IF(D373="Physician Group Practice",(AB373/$AB$393)*'1. UC Assumptions'!$C$15,IF(E373="Rural Hospital",AB373*'1. UC Assumptions'!$C$7/'1. UC Assumptions'!$E$7,(AB373/$AB$397)*('1. UC Assumptions'!$C$9)))</f>
        <v>635134.73387856898</v>
      </c>
      <c r="AD373" s="133">
        <f t="shared" si="110"/>
        <v>0</v>
      </c>
      <c r="AE373" s="133">
        <f t="shared" si="111"/>
        <v>45292.266121431021</v>
      </c>
      <c r="AF373" s="133">
        <v>0</v>
      </c>
      <c r="AG373" s="133">
        <f t="shared" si="113"/>
        <v>45292.266121431021</v>
      </c>
      <c r="AH373" s="133">
        <f t="shared" si="114"/>
        <v>635134.73387856898</v>
      </c>
      <c r="AI373" s="131">
        <f>AH373*'1. UC Assumptions'!$C$23</f>
        <v>209594.46217992774</v>
      </c>
      <c r="AJ373" s="131">
        <v>0</v>
      </c>
      <c r="AK373" s="131">
        <f>AJ373*(1-'1. UC Assumptions'!$C$22)</f>
        <v>0</v>
      </c>
      <c r="AL373" s="131"/>
      <c r="AM373" s="131">
        <f>AL373*'1. UC Assumptions'!$C$23</f>
        <v>0</v>
      </c>
      <c r="AN373" s="153">
        <f t="shared" si="115"/>
        <v>680427</v>
      </c>
      <c r="AO373" s="151">
        <f>AN373*'1. UC Assumptions'!$C$23</f>
        <v>224540.90999999997</v>
      </c>
      <c r="AP373" s="151">
        <f t="shared" si="116"/>
        <v>680427</v>
      </c>
      <c r="AQ373" s="151">
        <f t="shared" si="117"/>
        <v>224540.90999999997</v>
      </c>
      <c r="AR373" s="151">
        <f t="shared" si="118"/>
        <v>224540.90999999997</v>
      </c>
      <c r="AS373" s="151">
        <f t="shared" si="119"/>
        <v>224540.90999999997</v>
      </c>
      <c r="AT373" s="151">
        <f>IF(K373="Bexar",(AG373/$AT$1)*'1. UC Assumptions'!$E$44-(AH373/$AT$2)*'1. UC Assumptions'!$E$42,0)</f>
        <v>0</v>
      </c>
      <c r="AU373" s="151">
        <f>IF(K373="Dallas",(AG373/$AU$1)*'1. UC Assumptions'!$F$44-(AH373/$AU$2)*'1. UC Assumptions'!$F$42,0)</f>
        <v>0</v>
      </c>
      <c r="AV373" s="151">
        <f>IF(K373="El Paso",(AG373/$AV$1)*'1. UC Assumptions'!$G$44-(AH373/$AV$2)*'1. UC Assumptions'!$G$42,0)</f>
        <v>0</v>
      </c>
      <c r="AW373" s="151">
        <f>IF(K373="Harris",(AG373/$AW$1)*'1. UC Assumptions'!$H$44-(AH373/$AW$2)*'1. UC Assumptions'!$H$42,0)</f>
        <v>0</v>
      </c>
      <c r="AX373" s="151">
        <f>IF(K373="Hidalgo",(AG373/$AX$1)*'1. UC Assumptions'!$I$44-(AH373/$AX$2)*'1. UC Assumptions'!$I$42,0)</f>
        <v>0</v>
      </c>
      <c r="AY373" s="151">
        <f>IF(K373="Jefferson",(AG373/$AY$1)*'1. UC Assumptions'!$J$44-(AH373/$AY$2)*'1. UC Assumptions'!$J$42,0)</f>
        <v>0</v>
      </c>
      <c r="AZ373" s="151">
        <f>IF(K373="Lubbock",(AG373/$AZ$1)*'1. UC Assumptions'!$K$44-(AH373/$AZ$2)*'1. UC Assumptions'!$K$42,0)</f>
        <v>0</v>
      </c>
      <c r="BA373" s="151">
        <f>IF(K373="MRSA Central",(AG373/$BA$1)*'1. UC Assumptions'!$L$44-(AH373/$BA$2)*'1. UC Assumptions'!$L$42,0)</f>
        <v>0</v>
      </c>
      <c r="BB373" s="151">
        <f>IF(K373="MRSA Northeast",(AG373/$BB$1)*'1. UC Assumptions'!$M$44-(AH373/$BB$2)*'1. UC Assumptions'!$M$42,0)</f>
        <v>0</v>
      </c>
      <c r="BC373" s="151">
        <f>IF(K373="MRSA West",(AG373/$BC$1)*'1. UC Assumptions'!$N$44-(AH373/$BC$2)*'1. UC Assumptions'!$N$42,0)</f>
        <v>0</v>
      </c>
      <c r="BD373" s="151">
        <f>IF(K373="Nueces",(AG373/$BD$1)*'1. UC Assumptions'!$O$44-(AH373/$BD$2)*'1. UC Assumptions'!$O$42,0)</f>
        <v>0</v>
      </c>
      <c r="BE373" s="151">
        <f>IF(K373="Tarrant",(AG373/$BE$1)*'1. UC Assumptions'!$P$44-(AH373/$BE$2)*'1. UC Assumptions'!$P$42,0)</f>
        <v>0</v>
      </c>
      <c r="BF373" s="151">
        <f>IF(K373="Travis",(AG373/$BF$1)*'1. UC Assumptions'!$Q$44-(AH373/$BF$2)*'1. UC Assumptions'!$Q$42,0)</f>
        <v>0</v>
      </c>
      <c r="BG373" s="151">
        <f t="shared" si="120"/>
        <v>0</v>
      </c>
      <c r="BH373" s="151">
        <f t="shared" si="121"/>
        <v>635134.73387856898</v>
      </c>
      <c r="BI373" s="151">
        <f>ROUNDDOWN(BH373*'1. UC Assumptions'!$C$23,2)</f>
        <v>209594.46</v>
      </c>
      <c r="BJ373" s="154">
        <f t="shared" si="122"/>
        <v>635134.73387856898</v>
      </c>
      <c r="BK373" s="154">
        <f t="shared" si="123"/>
        <v>209594.46</v>
      </c>
      <c r="BL373" s="154">
        <f t="shared" si="124"/>
        <v>586369.14</v>
      </c>
      <c r="BM373" s="154">
        <f t="shared" si="125"/>
        <v>193501.82</v>
      </c>
      <c r="BN373" s="101"/>
      <c r="BO373" s="154">
        <f>(BL373*'1. UC Assumptions'!$C$23)-'3.  UC Calculations by Hospital'!BM373</f>
        <v>-3.8000000349711627E-3</v>
      </c>
      <c r="BP373" s="13"/>
    </row>
    <row r="374" spans="1:68" ht="15">
      <c r="A374" s="98"/>
      <c r="B374" s="157" t="s">
        <v>1090</v>
      </c>
      <c r="C374" s="97" t="s">
        <v>1090</v>
      </c>
      <c r="D374" s="114" t="s">
        <v>214</v>
      </c>
      <c r="E374" s="91" t="s">
        <v>149</v>
      </c>
      <c r="F374" s="91"/>
      <c r="G374" s="91" t="s">
        <v>209</v>
      </c>
      <c r="H374" s="91" t="s">
        <v>209</v>
      </c>
      <c r="I374" s="150" t="s">
        <v>210</v>
      </c>
      <c r="J374" s="114" t="s">
        <v>1091</v>
      </c>
      <c r="K374" s="91" t="s">
        <v>12</v>
      </c>
      <c r="L374" s="91" t="s">
        <v>1092</v>
      </c>
      <c r="M374" s="151">
        <v>-1609655.6090682382</v>
      </c>
      <c r="N374" s="151">
        <v>614113.24658639671</v>
      </c>
      <c r="O374" s="131">
        <v>41736.2715997696</v>
      </c>
      <c r="P374" s="131">
        <f t="shared" si="106"/>
        <v>572376.97498662712</v>
      </c>
      <c r="Q374" s="131">
        <v>591380.74601392634</v>
      </c>
      <c r="R374" s="131">
        <v>0</v>
      </c>
      <c r="S374" s="131">
        <f t="shared" si="107"/>
        <v>0</v>
      </c>
      <c r="T374" s="131">
        <f t="shared" si="126"/>
        <v>591380.74601392634</v>
      </c>
      <c r="U374" s="131">
        <v>0</v>
      </c>
      <c r="V374" s="131">
        <v>0</v>
      </c>
      <c r="W374" s="131">
        <v>0</v>
      </c>
      <c r="X374" s="131">
        <v>0</v>
      </c>
      <c r="Y374" s="131">
        <v>643566</v>
      </c>
      <c r="Z374" s="131">
        <f t="shared" si="108"/>
        <v>643566</v>
      </c>
      <c r="AA374" s="131">
        <v>0</v>
      </c>
      <c r="AB374" s="152">
        <f t="shared" si="109"/>
        <v>1234946.7460139263</v>
      </c>
      <c r="AC374" s="133">
        <f>IF(D374="Physician Group Practice",(AB374/$AB$393)*'1. UC Assumptions'!$C$15,IF(E374="Rural Hospital",AB374*'1. UC Assumptions'!$C$7/'1. UC Assumptions'!$E$7,(AB374/$AB$397)*('1. UC Assumptions'!$C$9)))</f>
        <v>1152743.1640481048</v>
      </c>
      <c r="AD374" s="133">
        <f t="shared" si="110"/>
        <v>0</v>
      </c>
      <c r="AE374" s="133">
        <f t="shared" si="111"/>
        <v>82203.581965821562</v>
      </c>
      <c r="AF374" s="133">
        <f t="shared" ref="AF374:AF389" si="127">(AE374/$AE$390)*$AD$390</f>
        <v>0</v>
      </c>
      <c r="AG374" s="133">
        <f t="shared" si="113"/>
        <v>82203.581965821562</v>
      </c>
      <c r="AH374" s="133">
        <f t="shared" si="114"/>
        <v>1152743.1640481048</v>
      </c>
      <c r="AI374" s="131">
        <f>AH374*'1. UC Assumptions'!$C$23</f>
        <v>380405.24413587456</v>
      </c>
      <c r="AJ374" s="99">
        <v>216647.04000000001</v>
      </c>
      <c r="AK374" s="131">
        <f>AJ374*(1-'1. UC Assumptions'!$C$22)</f>
        <v>71493.523199999996</v>
      </c>
      <c r="AL374" s="131"/>
      <c r="AM374" s="131">
        <f>AL374*'1. UC Assumptions'!$C$23</f>
        <v>0</v>
      </c>
      <c r="AN374" s="153">
        <f t="shared" si="115"/>
        <v>1234946.7460139263</v>
      </c>
      <c r="AO374" s="151">
        <f>AN374*'1. UC Assumptions'!$C$23</f>
        <v>407532.42618459562</v>
      </c>
      <c r="AP374" s="151">
        <f t="shared" si="116"/>
        <v>1018299.7060139263</v>
      </c>
      <c r="AQ374" s="151">
        <f t="shared" si="117"/>
        <v>336038.90298459562</v>
      </c>
      <c r="AR374" s="151">
        <f t="shared" si="118"/>
        <v>336038.90298459562</v>
      </c>
      <c r="AS374" s="151">
        <f t="shared" si="119"/>
        <v>407532.42618459562</v>
      </c>
      <c r="AT374" s="151">
        <f>IF(K374="Bexar",(AG374/$AT$1)*'1. UC Assumptions'!$E$44-(AH374/$AT$2)*'1. UC Assumptions'!$E$42,0)</f>
        <v>0</v>
      </c>
      <c r="AU374" s="151">
        <f>IF(K374="Dallas",(AG374/$AU$1)*'1. UC Assumptions'!$F$44-(AH374/$AU$2)*'1. UC Assumptions'!$F$42,0)</f>
        <v>0</v>
      </c>
      <c r="AV374" s="151">
        <f>IF(K374="El Paso",(AG374/$AV$1)*'1. UC Assumptions'!$G$44-(AH374/$AV$2)*'1. UC Assumptions'!$G$42,0)</f>
        <v>0</v>
      </c>
      <c r="AW374" s="151">
        <f>IF(K374="Harris",(AG374/$AW$1)*'1. UC Assumptions'!$H$44-(AH374/$AW$2)*'1. UC Assumptions'!$H$42,0)</f>
        <v>0</v>
      </c>
      <c r="AX374" s="151">
        <f>IF(K374="Hidalgo",(AG374/$AX$1)*'1. UC Assumptions'!$I$44-(AH374/$AX$2)*'1. UC Assumptions'!$I$42,0)</f>
        <v>0</v>
      </c>
      <c r="AY374" s="151">
        <f>IF(K374="Jefferson",(AG374/$AY$1)*'1. UC Assumptions'!$J$44-(AH374/$AY$2)*'1. UC Assumptions'!$J$42,0)</f>
        <v>0</v>
      </c>
      <c r="AZ374" s="151">
        <f>IF(K374="Lubbock",(AG374/$AZ$1)*'1. UC Assumptions'!$K$44-(AH374/$AZ$2)*'1. UC Assumptions'!$K$42,0)</f>
        <v>0</v>
      </c>
      <c r="BA374" s="151">
        <f>IF(K374="MRSA Central",(AG374/$BA$1)*'1. UC Assumptions'!$L$44-(AH374/$BA$2)*'1. UC Assumptions'!$L$42,0)</f>
        <v>0</v>
      </c>
      <c r="BB374" s="151">
        <f>IF(K374="MRSA Northeast",(AG374/$BB$1)*'1. UC Assumptions'!$M$44-(AH374/$BB$2)*'1. UC Assumptions'!$M$42,0)</f>
        <v>0</v>
      </c>
      <c r="BC374" s="151">
        <f>IF(K374="MRSA West",(AG374/$BC$1)*'1. UC Assumptions'!$N$44-(AH374/$BC$2)*'1. UC Assumptions'!$N$42,0)</f>
        <v>0</v>
      </c>
      <c r="BD374" s="151">
        <f>IF(K374="Nueces",(AG374/$BD$1)*'1. UC Assumptions'!$O$44-(AH374/$BD$2)*'1. UC Assumptions'!$O$42,0)</f>
        <v>0</v>
      </c>
      <c r="BE374" s="151">
        <f>IF(K374="Tarrant",(AG374/$BE$1)*'1. UC Assumptions'!$P$44-(AH374/$BE$2)*'1. UC Assumptions'!$P$42,0)</f>
        <v>0</v>
      </c>
      <c r="BF374" s="151">
        <f>IF(K374="Travis",(AG374/$BF$1)*'1. UC Assumptions'!$Q$44-(AH374/$BF$2)*'1. UC Assumptions'!$Q$42,0)</f>
        <v>0</v>
      </c>
      <c r="BG374" s="151">
        <f t="shared" si="120"/>
        <v>0</v>
      </c>
      <c r="BH374" s="151">
        <f t="shared" si="121"/>
        <v>1152743.1640481048</v>
      </c>
      <c r="BI374" s="151">
        <f>ROUNDDOWN(BH374*'1. UC Assumptions'!$C$23,2)</f>
        <v>380405.24</v>
      </c>
      <c r="BJ374" s="154">
        <f t="shared" si="122"/>
        <v>936096.12404810474</v>
      </c>
      <c r="BK374" s="154">
        <f t="shared" si="123"/>
        <v>308911.71679999999</v>
      </c>
      <c r="BL374" s="154">
        <f t="shared" si="124"/>
        <v>864222.74</v>
      </c>
      <c r="BM374" s="154">
        <f t="shared" si="125"/>
        <v>285193.5</v>
      </c>
      <c r="BN374" s="101"/>
      <c r="BO374" s="154">
        <f>(BL374*'1. UC Assumptions'!$C$23)-'3.  UC Calculations by Hospital'!BM374</f>
        <v>4.1999999666586518E-3</v>
      </c>
      <c r="BP374" s="13"/>
    </row>
    <row r="375" spans="1:68" ht="15">
      <c r="A375" s="98"/>
      <c r="B375" s="129" t="s">
        <v>1093</v>
      </c>
      <c r="C375" s="91" t="s">
        <v>1093</v>
      </c>
      <c r="D375" s="91" t="s">
        <v>214</v>
      </c>
      <c r="E375" s="91"/>
      <c r="F375" s="91"/>
      <c r="G375" s="91" t="s">
        <v>209</v>
      </c>
      <c r="H375" s="91" t="s">
        <v>209</v>
      </c>
      <c r="I375" s="150" t="s">
        <v>210</v>
      </c>
      <c r="J375" s="129" t="s">
        <v>647</v>
      </c>
      <c r="K375" s="91" t="s">
        <v>4</v>
      </c>
      <c r="L375" s="91" t="s">
        <v>532</v>
      </c>
      <c r="M375" s="151">
        <v>0</v>
      </c>
      <c r="N375" s="151">
        <v>0</v>
      </c>
      <c r="O375" s="131">
        <v>0</v>
      </c>
      <c r="P375" s="131">
        <f t="shared" si="106"/>
        <v>0</v>
      </c>
      <c r="Q375" s="131">
        <v>0</v>
      </c>
      <c r="R375" s="131">
        <v>0</v>
      </c>
      <c r="S375" s="131">
        <f t="shared" si="107"/>
        <v>0</v>
      </c>
      <c r="T375" s="131">
        <f t="shared" si="126"/>
        <v>0</v>
      </c>
      <c r="U375" s="131">
        <v>0</v>
      </c>
      <c r="V375" s="131">
        <v>0</v>
      </c>
      <c r="W375" s="131">
        <v>0</v>
      </c>
      <c r="X375" s="131">
        <v>0</v>
      </c>
      <c r="Y375" s="131">
        <v>2590106</v>
      </c>
      <c r="Z375" s="131">
        <f t="shared" ref="Z375" si="128">SUM(U375:Y375)</f>
        <v>2590106</v>
      </c>
      <c r="AA375" s="131">
        <v>0</v>
      </c>
      <c r="AB375" s="152">
        <f t="shared" si="109"/>
        <v>2590106</v>
      </c>
      <c r="AC375" s="133">
        <f>IF(D375="Physician Group Practice",(AB375/$AB$393)*'1. UC Assumptions'!$C$15,IF(E375="Rural Hospital",AB375*'1. UC Assumptions'!$C$7/'1. UC Assumptions'!$E$7,(AB375/$AB$397)*('1. UC Assumptions'!$C$9)))</f>
        <v>1217726.9568230768</v>
      </c>
      <c r="AD375" s="133">
        <f t="shared" ref="AD375" si="129">IF((AC375)&gt;AB375-AA375,(AC375)-(AB375-AA375),0)</f>
        <v>0</v>
      </c>
      <c r="AE375" s="133">
        <f t="shared" ref="AE375" si="130">IF(AD375&gt;0,0,AB375-AA375-AC375)</f>
        <v>1372379.0431769232</v>
      </c>
      <c r="AF375" s="133">
        <f t="shared" si="127"/>
        <v>0</v>
      </c>
      <c r="AG375" s="133">
        <f t="shared" ref="AG375" si="131">AE375-AF375</f>
        <v>1372379.0431769232</v>
      </c>
      <c r="AH375" s="133">
        <f t="shared" ref="AH375" si="132">AC375-AD375+AF375</f>
        <v>1217726.9568230768</v>
      </c>
      <c r="AI375" s="131">
        <f>AH375*'1. UC Assumptions'!$C$23</f>
        <v>401849.89575161529</v>
      </c>
      <c r="AJ375" s="131">
        <v>0</v>
      </c>
      <c r="AK375" s="131">
        <f>AJ375*(1-'1. UC Assumptions'!$C$22)</f>
        <v>0</v>
      </c>
      <c r="AL375" s="131"/>
      <c r="AM375" s="131">
        <f>AL375*'1. UC Assumptions'!$C$23</f>
        <v>0</v>
      </c>
      <c r="AN375" s="153">
        <f t="shared" si="115"/>
        <v>2590106</v>
      </c>
      <c r="AO375" s="151">
        <f>AN375*'1. UC Assumptions'!$C$23</f>
        <v>854734.97999999986</v>
      </c>
      <c r="AP375" s="151">
        <f t="shared" si="116"/>
        <v>2590106</v>
      </c>
      <c r="AQ375" s="151">
        <f t="shared" ref="AQ375" si="133">IF(I375="Yes",AO375-AM375,AO375-AK375)</f>
        <v>854734.97999999986</v>
      </c>
      <c r="AR375" s="151">
        <f t="shared" ref="AR375" si="134">AQ375</f>
        <v>854734.97999999986</v>
      </c>
      <c r="AS375" s="151">
        <f t="shared" ref="AS375" si="135">IF(I375="Yes",AR375+AM375,AR375+AK375)</f>
        <v>854734.97999999986</v>
      </c>
      <c r="AT375" s="151">
        <f>IF(K375="Bexar",(AG375/$AT$1)*'1. UC Assumptions'!$E$44-(AH375/$AT$2)*'1. UC Assumptions'!$E$42,0)</f>
        <v>0</v>
      </c>
      <c r="AU375" s="151">
        <f>IF(K375="Dallas",(AG375/$AU$1)*'1. UC Assumptions'!$F$44-(AH375/$AU$2)*'1. UC Assumptions'!$F$42,0)</f>
        <v>0</v>
      </c>
      <c r="AV375" s="151">
        <f>IF(K375="El Paso",(AG375/$AV$1)*'1. UC Assumptions'!$G$44-(AH375/$AV$2)*'1. UC Assumptions'!$G$42,0)</f>
        <v>0</v>
      </c>
      <c r="AW375" s="151">
        <f>IF(K375="Harris",(AG375/$AW$1)*'1. UC Assumptions'!$H$44-(AH375/$AW$2)*'1. UC Assumptions'!$H$42,0)</f>
        <v>0</v>
      </c>
      <c r="AX375" s="151">
        <f>IF(K375="Hidalgo",(AG375/$AX$1)*'1. UC Assumptions'!$I$44-(AH375/$AX$2)*'1. UC Assumptions'!$I$42,0)</f>
        <v>0</v>
      </c>
      <c r="AY375" s="151">
        <f>IF(K375="Jefferson",(AG375/$AY$1)*'1. UC Assumptions'!$J$44-(AH375/$AY$2)*'1. UC Assumptions'!$J$42,0)</f>
        <v>0</v>
      </c>
      <c r="AZ375" s="151">
        <f>IF(K375="Lubbock",(AG375/$AZ$1)*'1. UC Assumptions'!$K$44-(AH375/$AZ$2)*'1. UC Assumptions'!$K$42,0)</f>
        <v>0</v>
      </c>
      <c r="BA375" s="151">
        <f>IF(K375="MRSA Central",(AG375/$BA$1)*'1. UC Assumptions'!$L$44-(AH375/$BA$2)*'1. UC Assumptions'!$L$42,0)</f>
        <v>0</v>
      </c>
      <c r="BB375" s="151">
        <f>IF(K375="MRSA Northeast",(AG375/$BB$1)*'1. UC Assumptions'!$M$44-(AH375/$BB$2)*'1. UC Assumptions'!$M$42,0)</f>
        <v>0</v>
      </c>
      <c r="BC375" s="151">
        <f>IF(K375="MRSA West",(AG375/$BC$1)*'1. UC Assumptions'!$N$44-(AH375/$BC$2)*'1. UC Assumptions'!$N$42,0)</f>
        <v>0</v>
      </c>
      <c r="BD375" s="151">
        <f>IF(K375="Nueces",(AG375/$BD$1)*'1. UC Assumptions'!$O$44-(AH375/$BD$2)*'1. UC Assumptions'!$O$42,0)</f>
        <v>0</v>
      </c>
      <c r="BE375" s="151">
        <f>IF(K375="Tarrant",(AG375/$BE$1)*'1. UC Assumptions'!$P$44-(AH375/$BE$2)*'1. UC Assumptions'!$P$42,0)</f>
        <v>0</v>
      </c>
      <c r="BF375" s="151">
        <f>IF(K375="Travis",(AG375/$BF$1)*'1. UC Assumptions'!$Q$44-(AH375/$BF$2)*'1. UC Assumptions'!$Q$42,0)</f>
        <v>0</v>
      </c>
      <c r="BG375" s="151">
        <f t="shared" ref="BG375" si="136">SUM(AT375:BF375)</f>
        <v>0</v>
      </c>
      <c r="BH375" s="151">
        <f t="shared" ref="BH375" si="137">AH375+BG375</f>
        <v>1217726.9568230768</v>
      </c>
      <c r="BI375" s="151">
        <f>ROUNDDOWN(BH375*'1. UC Assumptions'!$C$23,2)</f>
        <v>401849.89</v>
      </c>
      <c r="BJ375" s="154">
        <f t="shared" ref="BJ375" si="138">IF(I375="Yes",BH375-AL375,BH375-AJ375)</f>
        <v>1217726.9568230768</v>
      </c>
      <c r="BK375" s="154">
        <f t="shared" ref="BK375" si="139">IF(I375="Yes",BI375-AM375,BI375-AK375)</f>
        <v>401849.89</v>
      </c>
      <c r="BL375" s="154">
        <f t="shared" si="124"/>
        <v>1124229.99</v>
      </c>
      <c r="BM375" s="154">
        <f t="shared" si="125"/>
        <v>370995.89</v>
      </c>
      <c r="BN375" s="101"/>
      <c r="BO375" s="154">
        <f>(BL375*'1. UC Assumptions'!$C$23)-'3.  UC Calculations by Hospital'!BM375</f>
        <v>6.6999999107792974E-3</v>
      </c>
      <c r="BP375" s="13"/>
    </row>
    <row r="376" spans="1:68" ht="12" customHeight="1">
      <c r="B376" s="114"/>
      <c r="C376" s="158" t="s">
        <v>1094</v>
      </c>
      <c r="D376" s="114" t="s">
        <v>36</v>
      </c>
      <c r="E376" s="114"/>
      <c r="F376" s="114" t="s">
        <v>1095</v>
      </c>
      <c r="G376" s="91" t="s">
        <v>209</v>
      </c>
      <c r="H376" s="91" t="s">
        <v>209</v>
      </c>
      <c r="I376" s="150" t="s">
        <v>210</v>
      </c>
      <c r="J376" s="159" t="s">
        <v>1096</v>
      </c>
      <c r="K376" s="91" t="s">
        <v>12</v>
      </c>
      <c r="L376" s="96" t="s">
        <v>457</v>
      </c>
      <c r="M376" s="151">
        <v>0</v>
      </c>
      <c r="N376" s="151">
        <v>0</v>
      </c>
      <c r="O376" s="131">
        <v>0</v>
      </c>
      <c r="P376" s="131">
        <f t="shared" si="106"/>
        <v>0</v>
      </c>
      <c r="Q376" s="131">
        <v>1660207.1926414245</v>
      </c>
      <c r="R376" s="131">
        <v>0</v>
      </c>
      <c r="S376" s="131">
        <f t="shared" si="107"/>
        <v>0</v>
      </c>
      <c r="T376" s="131">
        <f t="shared" si="126"/>
        <v>1660207.1926414245</v>
      </c>
      <c r="U376" s="131">
        <v>0</v>
      </c>
      <c r="V376" s="131">
        <v>0</v>
      </c>
      <c r="W376" s="131">
        <v>0</v>
      </c>
      <c r="X376" s="131">
        <v>0</v>
      </c>
      <c r="Y376" s="131">
        <v>0</v>
      </c>
      <c r="Z376" s="131">
        <f t="shared" si="108"/>
        <v>0</v>
      </c>
      <c r="AA376" s="131">
        <v>0</v>
      </c>
      <c r="AB376" s="152">
        <f t="shared" si="109"/>
        <v>1660207.1926414245</v>
      </c>
      <c r="AC376" s="133">
        <f>IF(D376="Physician Group Practice",(AB376/$AB$393)*'1. UC Assumptions'!$C$15,IF(E376="Rural Hospital",AB376*'1. UC Assumptions'!$C$7/'1. UC Assumptions'!$E$7,(AB376/$AB$397)*('1. UC Assumptions'!$C$9)))</f>
        <v>847561.65009086614</v>
      </c>
      <c r="AD376" s="133">
        <f t="shared" si="110"/>
        <v>0</v>
      </c>
      <c r="AE376" s="133">
        <f t="shared" si="111"/>
        <v>812645.54255055834</v>
      </c>
      <c r="AF376" s="133">
        <f t="shared" si="127"/>
        <v>0</v>
      </c>
      <c r="AG376" s="133">
        <f t="shared" si="113"/>
        <v>812645.54255055834</v>
      </c>
      <c r="AH376" s="133">
        <f t="shared" si="114"/>
        <v>847561.65009086614</v>
      </c>
      <c r="AI376" s="131">
        <f>AH376*'1. UC Assumptions'!$C$23</f>
        <v>279695.3445299858</v>
      </c>
      <c r="AJ376" s="131">
        <v>772461.15</v>
      </c>
      <c r="AK376" s="131">
        <f>AJ376*(1-'1. UC Assumptions'!$C$22)</f>
        <v>254912.17949999997</v>
      </c>
      <c r="AL376" s="131"/>
      <c r="AM376" s="131">
        <f>AL376*'1. UC Assumptions'!$C$23</f>
        <v>0</v>
      </c>
      <c r="AN376" s="153">
        <f t="shared" si="115"/>
        <v>1660207.1926414245</v>
      </c>
      <c r="AO376" s="151">
        <f>AN376*'1. UC Assumptions'!$C$23</f>
        <v>547868.37357167003</v>
      </c>
      <c r="AP376" s="151">
        <f t="shared" si="116"/>
        <v>887746.04264142446</v>
      </c>
      <c r="AQ376" s="151">
        <f t="shared" si="117"/>
        <v>292956.19407167006</v>
      </c>
      <c r="AR376" s="151">
        <f t="shared" si="118"/>
        <v>292956.19407167006</v>
      </c>
      <c r="AS376" s="151">
        <f t="shared" si="119"/>
        <v>547868.37357167003</v>
      </c>
      <c r="AT376" s="151">
        <f>IF(K376="Bexar",(AG376/$AT$1)*'1. UC Assumptions'!$E$44-(AH376/$AT$2)*'1. UC Assumptions'!$E$42,0)</f>
        <v>0</v>
      </c>
      <c r="AU376" s="151">
        <f>IF(K376="Dallas",(AG376/$AU$1)*'1. UC Assumptions'!$F$44-(AH376/$AU$2)*'1. UC Assumptions'!$F$42,0)</f>
        <v>0</v>
      </c>
      <c r="AV376" s="151">
        <f>IF(K376="El Paso",(AG376/$AV$1)*'1. UC Assumptions'!$G$44-(AH376/$AV$2)*'1. UC Assumptions'!$G$42,0)</f>
        <v>0</v>
      </c>
      <c r="AW376" s="151">
        <f>IF(K376="Harris",(AG376/$AW$1)*'1. UC Assumptions'!$H$44-(AH376/$AW$2)*'1. UC Assumptions'!$H$42,0)</f>
        <v>0</v>
      </c>
      <c r="AX376" s="151">
        <f>IF(K376="Hidalgo",(AG376/$AX$1)*'1. UC Assumptions'!$I$44-(AH376/$AX$2)*'1. UC Assumptions'!$I$42,0)</f>
        <v>0</v>
      </c>
      <c r="AY376" s="151">
        <f>IF(K376="Jefferson",(AG376/$AY$1)*'1. UC Assumptions'!$J$44-(AH376/$AY$2)*'1. UC Assumptions'!$J$42,0)</f>
        <v>0</v>
      </c>
      <c r="AZ376" s="151">
        <f>IF(K376="Lubbock",(AG376/$AZ$1)*'1. UC Assumptions'!$K$44-(AH376/$AZ$2)*'1. UC Assumptions'!$K$42,0)</f>
        <v>0</v>
      </c>
      <c r="BA376" s="151">
        <f>IF(K376="MRSA Central",(AG376/$BA$1)*'1. UC Assumptions'!$L$44-(AH376/$BA$2)*'1. UC Assumptions'!$L$42,0)</f>
        <v>0</v>
      </c>
      <c r="BB376" s="151">
        <f>IF(K376="MRSA Northeast",(AG376/$BB$1)*'1. UC Assumptions'!$M$44-(AH376/$BB$2)*'1. UC Assumptions'!$M$42,0)</f>
        <v>0</v>
      </c>
      <c r="BC376" s="151">
        <f>IF(K376="MRSA West",(AG376/$BC$1)*'1. UC Assumptions'!$N$44-(AH376/$BC$2)*'1. UC Assumptions'!$N$42,0)</f>
        <v>0</v>
      </c>
      <c r="BD376" s="151">
        <f>IF(K376="Nueces",(AG376/$BD$1)*'1. UC Assumptions'!$O$44-(AH376/$BD$2)*'1. UC Assumptions'!$O$42,0)</f>
        <v>0</v>
      </c>
      <c r="BE376" s="151">
        <f>IF(K376="Tarrant",(AG376/$BE$1)*'1. UC Assumptions'!$P$44-(AH376/$BE$2)*'1. UC Assumptions'!$P$42,0)</f>
        <v>0</v>
      </c>
      <c r="BF376" s="151">
        <f>IF(K376="Travis",(AG376/$BF$1)*'1. UC Assumptions'!$Q$44-(AH376/$BF$2)*'1. UC Assumptions'!$Q$42,0)</f>
        <v>0</v>
      </c>
      <c r="BG376" s="151">
        <f t="shared" si="120"/>
        <v>0</v>
      </c>
      <c r="BH376" s="151">
        <f t="shared" si="121"/>
        <v>847561.65009086614</v>
      </c>
      <c r="BI376" s="151">
        <f>ROUNDDOWN(BH376*'1. UC Assumptions'!$C$23,2)</f>
        <v>279695.34000000003</v>
      </c>
      <c r="BJ376" s="154">
        <f t="shared" si="122"/>
        <v>75100.500090866117</v>
      </c>
      <c r="BK376" s="154">
        <f t="shared" si="123"/>
        <v>24783.160500000056</v>
      </c>
      <c r="BL376" s="154">
        <f t="shared" si="124"/>
        <v>69334.289999999994</v>
      </c>
      <c r="BM376" s="154">
        <f t="shared" si="125"/>
        <v>22880.31</v>
      </c>
      <c r="BN376" s="101"/>
      <c r="BO376" s="154">
        <f>(BL376*'1. UC Assumptions'!$C$23)-'3.  UC Calculations by Hospital'!BM376</f>
        <v>5.6999999942490831E-3</v>
      </c>
      <c r="BP376" s="13"/>
    </row>
    <row r="377" spans="1:68">
      <c r="B377" s="114"/>
      <c r="C377" s="160" t="s">
        <v>1097</v>
      </c>
      <c r="D377" s="114" t="s">
        <v>36</v>
      </c>
      <c r="E377" s="114"/>
      <c r="F377" s="114" t="s">
        <v>1095</v>
      </c>
      <c r="G377" s="91" t="s">
        <v>209</v>
      </c>
      <c r="H377" s="91" t="s">
        <v>209</v>
      </c>
      <c r="I377" s="150" t="s">
        <v>210</v>
      </c>
      <c r="J377" s="159" t="s">
        <v>1098</v>
      </c>
      <c r="K377" s="91" t="s">
        <v>9</v>
      </c>
      <c r="L377" s="96" t="s">
        <v>725</v>
      </c>
      <c r="M377" s="151">
        <v>0</v>
      </c>
      <c r="N377" s="151">
        <v>0</v>
      </c>
      <c r="O377" s="131">
        <v>0</v>
      </c>
      <c r="P377" s="131">
        <f t="shared" si="106"/>
        <v>0</v>
      </c>
      <c r="Q377" s="131">
        <v>1633592.4778658811</v>
      </c>
      <c r="R377" s="131">
        <v>0</v>
      </c>
      <c r="S377" s="131">
        <f t="shared" si="107"/>
        <v>0</v>
      </c>
      <c r="T377" s="131">
        <f t="shared" si="126"/>
        <v>1633592.4778658811</v>
      </c>
      <c r="U377" s="131">
        <v>0</v>
      </c>
      <c r="V377" s="131">
        <v>0</v>
      </c>
      <c r="W377" s="131">
        <v>0</v>
      </c>
      <c r="X377" s="131">
        <v>0</v>
      </c>
      <c r="Y377" s="131">
        <v>0</v>
      </c>
      <c r="Z377" s="131">
        <f t="shared" si="108"/>
        <v>0</v>
      </c>
      <c r="AA377" s="131">
        <v>0</v>
      </c>
      <c r="AB377" s="133">
        <f t="shared" si="109"/>
        <v>1633592.4778658811</v>
      </c>
      <c r="AC377" s="133">
        <f>IF(D377="Physician Group Practice",(AB377/$AB$393)*'1. UC Assumptions'!$C$15,IF(E377="Rural Hospital",AB377*'1. UC Assumptions'!$C$7/'1. UC Assumptions'!$E$7,(AB377/$AB$397)*('1. UC Assumptions'!$C$9)))</f>
        <v>833974.42334480688</v>
      </c>
      <c r="AD377" s="133">
        <f t="shared" si="110"/>
        <v>0</v>
      </c>
      <c r="AE377" s="133">
        <f t="shared" si="111"/>
        <v>799618.05452107417</v>
      </c>
      <c r="AF377" s="133">
        <f t="shared" si="127"/>
        <v>0</v>
      </c>
      <c r="AG377" s="133">
        <f t="shared" si="113"/>
        <v>799618.05452107417</v>
      </c>
      <c r="AH377" s="133">
        <f t="shared" si="114"/>
        <v>833974.42334480688</v>
      </c>
      <c r="AI377" s="131">
        <f>AH377*'1. UC Assumptions'!$C$23</f>
        <v>275211.55970378622</v>
      </c>
      <c r="AJ377" s="131">
        <v>484913.41</v>
      </c>
      <c r="AK377" s="131">
        <f>AJ377*(1-'1. UC Assumptions'!$C$22)</f>
        <v>160021.42529999997</v>
      </c>
      <c r="AL377" s="131"/>
      <c r="AM377" s="131">
        <f>AL377*'1. UC Assumptions'!$C$23</f>
        <v>0</v>
      </c>
      <c r="AN377" s="153">
        <f t="shared" si="115"/>
        <v>1633592.4778658811</v>
      </c>
      <c r="AO377" s="151">
        <f>AN377*'1. UC Assumptions'!$C$23</f>
        <v>539085.51769574068</v>
      </c>
      <c r="AP377" s="151">
        <f t="shared" si="116"/>
        <v>1148679.0678658811</v>
      </c>
      <c r="AQ377" s="151">
        <f t="shared" si="117"/>
        <v>379064.09239574068</v>
      </c>
      <c r="AR377" s="151">
        <f t="shared" si="118"/>
        <v>379064.09239574068</v>
      </c>
      <c r="AS377" s="151">
        <f t="shared" si="119"/>
        <v>539085.51769574068</v>
      </c>
      <c r="AT377" s="151">
        <f>IF(K377="Bexar",(AG377/$AT$1)*'1. UC Assumptions'!$E$44-(AH377/$AT$2)*'1. UC Assumptions'!$E$42,0)</f>
        <v>0</v>
      </c>
      <c r="AU377" s="151">
        <f>IF(K377="Dallas",(AG377/$AU$1)*'1. UC Assumptions'!$F$44-(AH377/$AU$2)*'1. UC Assumptions'!$F$42,0)</f>
        <v>0</v>
      </c>
      <c r="AV377" s="151">
        <f>IF(K377="El Paso",(AG377/$AV$1)*'1. UC Assumptions'!$G$44-(AH377/$AV$2)*'1. UC Assumptions'!$G$42,0)</f>
        <v>0</v>
      </c>
      <c r="AW377" s="151">
        <f>IF(K377="Harris",(AG377/$AW$1)*'1. UC Assumptions'!$H$44-(AH377/$AW$2)*'1. UC Assumptions'!$H$42,0)</f>
        <v>0</v>
      </c>
      <c r="AX377" s="151">
        <f>IF(K377="Hidalgo",(AG377/$AX$1)*'1. UC Assumptions'!$I$44-(AH377/$AX$2)*'1. UC Assumptions'!$I$42,0)</f>
        <v>0</v>
      </c>
      <c r="AY377" s="151">
        <f>IF(K377="Jefferson",(AG377/$AY$1)*'1. UC Assumptions'!$J$44-(AH377/$AY$2)*'1. UC Assumptions'!$J$42,0)</f>
        <v>0</v>
      </c>
      <c r="AZ377" s="151">
        <f>IF(K377="Lubbock",(AG377/$AZ$1)*'1. UC Assumptions'!$K$44-(AH377/$AZ$2)*'1. UC Assumptions'!$K$42,0)</f>
        <v>0</v>
      </c>
      <c r="BA377" s="151">
        <f>IF(K377="MRSA Central",(AG377/$BA$1)*'1. UC Assumptions'!$L$44-(AH377/$BA$2)*'1. UC Assumptions'!$L$42,0)</f>
        <v>0</v>
      </c>
      <c r="BB377" s="151">
        <f>IF(K377="MRSA Northeast",(AG377/$BB$1)*'1. UC Assumptions'!$M$44-(AH377/$BB$2)*'1. UC Assumptions'!$M$42,0)</f>
        <v>0</v>
      </c>
      <c r="BC377" s="151">
        <f>IF(K377="MRSA West",(AG377/$BC$1)*'1. UC Assumptions'!$N$44-(AH377/$BC$2)*'1. UC Assumptions'!$N$42,0)</f>
        <v>0</v>
      </c>
      <c r="BD377" s="151">
        <f>IF(K377="Nueces",(AG377/$BD$1)*'1. UC Assumptions'!$O$44-(AH377/$BD$2)*'1. UC Assumptions'!$O$42,0)</f>
        <v>0</v>
      </c>
      <c r="BE377" s="151">
        <f>IF(K377="Tarrant",(AG377/$BE$1)*'1. UC Assumptions'!$P$44-(AH377/$BE$2)*'1. UC Assumptions'!$P$42,0)</f>
        <v>0</v>
      </c>
      <c r="BF377" s="151">
        <f>IF(K377="Travis",(AG377/$BF$1)*'1. UC Assumptions'!$Q$44-(AH377/$BF$2)*'1. UC Assumptions'!$Q$42,0)</f>
        <v>0</v>
      </c>
      <c r="BG377" s="151">
        <f t="shared" si="120"/>
        <v>0</v>
      </c>
      <c r="BH377" s="151">
        <f t="shared" si="121"/>
        <v>833974.42334480688</v>
      </c>
      <c r="BI377" s="151">
        <f>ROUNDDOWN(BH377*'1. UC Assumptions'!$C$23,2)</f>
        <v>275211.55</v>
      </c>
      <c r="BJ377" s="154">
        <f t="shared" si="122"/>
        <v>349061.01334480691</v>
      </c>
      <c r="BK377" s="154">
        <f t="shared" si="123"/>
        <v>115190.12470000001</v>
      </c>
      <c r="BL377" s="154">
        <f t="shared" si="124"/>
        <v>322260.14</v>
      </c>
      <c r="BM377" s="154">
        <f t="shared" si="125"/>
        <v>106345.84</v>
      </c>
      <c r="BN377" s="101"/>
      <c r="BO377" s="154">
        <f>(BL377*'1. UC Assumptions'!$C$23)-'3.  UC Calculations by Hospital'!BM377</f>
        <v>6.1999999888939783E-3</v>
      </c>
      <c r="BP377" s="13"/>
    </row>
    <row r="378" spans="1:68">
      <c r="B378" s="114"/>
      <c r="C378" s="158" t="s">
        <v>1099</v>
      </c>
      <c r="D378" s="114" t="s">
        <v>36</v>
      </c>
      <c r="E378" s="114"/>
      <c r="F378" s="114" t="s">
        <v>1095</v>
      </c>
      <c r="G378" s="91" t="s">
        <v>209</v>
      </c>
      <c r="H378" s="91" t="s">
        <v>209</v>
      </c>
      <c r="I378" s="150" t="s">
        <v>210</v>
      </c>
      <c r="J378" s="159" t="s">
        <v>1100</v>
      </c>
      <c r="K378" s="91" t="s">
        <v>5</v>
      </c>
      <c r="L378" s="96" t="s">
        <v>5</v>
      </c>
      <c r="M378" s="151">
        <v>0</v>
      </c>
      <c r="N378" s="151">
        <v>0</v>
      </c>
      <c r="O378" s="131">
        <v>0</v>
      </c>
      <c r="P378" s="131">
        <f t="shared" si="106"/>
        <v>0</v>
      </c>
      <c r="Q378" s="131">
        <v>6542740.0637753094</v>
      </c>
      <c r="R378" s="131">
        <v>0</v>
      </c>
      <c r="S378" s="131">
        <f t="shared" si="107"/>
        <v>0</v>
      </c>
      <c r="T378" s="131">
        <f t="shared" si="126"/>
        <v>6542740.0637753094</v>
      </c>
      <c r="U378" s="131">
        <v>0</v>
      </c>
      <c r="V378" s="131">
        <v>0</v>
      </c>
      <c r="W378" s="131">
        <v>0</v>
      </c>
      <c r="X378" s="131">
        <v>0</v>
      </c>
      <c r="Y378" s="131">
        <v>0</v>
      </c>
      <c r="Z378" s="131">
        <f t="shared" si="108"/>
        <v>0</v>
      </c>
      <c r="AA378" s="131">
        <v>0</v>
      </c>
      <c r="AB378" s="133">
        <f t="shared" si="109"/>
        <v>6542740.0637753094</v>
      </c>
      <c r="AC378" s="133">
        <f>IF(D378="Physician Group Practice",(AB378/$AB$393)*'1. UC Assumptions'!$C$15,IF(E378="Rural Hospital",AB378*'1. UC Assumptions'!$C$7/'1. UC Assumptions'!$E$7,(AB378/$AB$397)*('1. UC Assumptions'!$C$9)))</f>
        <v>3340170.7866029725</v>
      </c>
      <c r="AD378" s="133">
        <f t="shared" si="110"/>
        <v>0</v>
      </c>
      <c r="AE378" s="133">
        <f t="shared" si="111"/>
        <v>3202569.2771723368</v>
      </c>
      <c r="AF378" s="133">
        <f t="shared" si="127"/>
        <v>0</v>
      </c>
      <c r="AG378" s="133">
        <f t="shared" si="113"/>
        <v>3202569.2771723368</v>
      </c>
      <c r="AH378" s="133">
        <f t="shared" si="114"/>
        <v>3340170.7866029725</v>
      </c>
      <c r="AI378" s="131">
        <f>AH378*'1. UC Assumptions'!$C$23</f>
        <v>1102256.3595789808</v>
      </c>
      <c r="AJ378" s="131">
        <v>2820449.41</v>
      </c>
      <c r="AK378" s="131">
        <f>AJ378*(1-'1. UC Assumptions'!$C$22)</f>
        <v>930748.30529999989</v>
      </c>
      <c r="AL378" s="131"/>
      <c r="AM378" s="131">
        <f>AL378*'1. UC Assumptions'!$C$23</f>
        <v>0</v>
      </c>
      <c r="AN378" s="153">
        <f t="shared" si="115"/>
        <v>6542740.0637753094</v>
      </c>
      <c r="AO378" s="151">
        <f>AN378*'1. UC Assumptions'!$C$23</f>
        <v>2159104.2210458517</v>
      </c>
      <c r="AP378" s="151">
        <f t="shared" si="116"/>
        <v>3722290.6537753092</v>
      </c>
      <c r="AQ378" s="151">
        <f t="shared" si="117"/>
        <v>1228355.9157458518</v>
      </c>
      <c r="AR378" s="151">
        <f t="shared" si="118"/>
        <v>1228355.9157458518</v>
      </c>
      <c r="AS378" s="151">
        <f t="shared" si="119"/>
        <v>2159104.2210458517</v>
      </c>
      <c r="AT378" s="151">
        <f>IF(K378="Bexar",(AG378/$AT$1)*'1. UC Assumptions'!$E$44-(AH378/$AT$2)*'1. UC Assumptions'!$E$42,0)</f>
        <v>0</v>
      </c>
      <c r="AU378" s="151">
        <f>IF(K378="Dallas",(AG378/$AU$1)*'1. UC Assumptions'!$F$44-(AH378/$AU$2)*'1. UC Assumptions'!$F$42,0)</f>
        <v>0</v>
      </c>
      <c r="AV378" s="151">
        <f>IF(K378="El Paso",(AG378/$AV$1)*'1. UC Assumptions'!$G$44-(AH378/$AV$2)*'1. UC Assumptions'!$G$42,0)</f>
        <v>0</v>
      </c>
      <c r="AW378" s="151">
        <f>IF(K378="Harris",(AG378/$AW$1)*'1. UC Assumptions'!$H$44-(AH378/$AW$2)*'1. UC Assumptions'!$H$42,0)</f>
        <v>0</v>
      </c>
      <c r="AX378" s="151">
        <f>IF(K378="Hidalgo",(AG378/$AX$1)*'1. UC Assumptions'!$I$44-(AH378/$AX$2)*'1. UC Assumptions'!$I$42,0)</f>
        <v>0</v>
      </c>
      <c r="AY378" s="151">
        <f>IF(K378="Jefferson",(AG378/$AY$1)*'1. UC Assumptions'!$J$44-(AH378/$AY$2)*'1. UC Assumptions'!$J$42,0)</f>
        <v>0</v>
      </c>
      <c r="AZ378" s="151">
        <f>IF(K378="Lubbock",(AG378/$AZ$1)*'1. UC Assumptions'!$K$44-(AH378/$AZ$2)*'1. UC Assumptions'!$K$42,0)</f>
        <v>0</v>
      </c>
      <c r="BA378" s="151">
        <f>IF(K378="MRSA Central",(AG378/$BA$1)*'1. UC Assumptions'!$L$44-(AH378/$BA$2)*'1. UC Assumptions'!$L$42,0)</f>
        <v>0</v>
      </c>
      <c r="BB378" s="151">
        <f>IF(K378="MRSA Northeast",(AG378/$BB$1)*'1. UC Assumptions'!$M$44-(AH378/$BB$2)*'1. UC Assumptions'!$M$42,0)</f>
        <v>0</v>
      </c>
      <c r="BC378" s="151">
        <f>IF(K378="MRSA West",(AG378/$BC$1)*'1. UC Assumptions'!$N$44-(AH378/$BC$2)*'1. UC Assumptions'!$N$42,0)</f>
        <v>0</v>
      </c>
      <c r="BD378" s="151">
        <f>IF(K378="Nueces",(AG378/$BD$1)*'1. UC Assumptions'!$O$44-(AH378/$BD$2)*'1. UC Assumptions'!$O$42,0)</f>
        <v>0</v>
      </c>
      <c r="BE378" s="151">
        <f>IF(K378="Tarrant",(AG378/$BE$1)*'1. UC Assumptions'!$P$44-(AH378/$BE$2)*'1. UC Assumptions'!$P$42,0)</f>
        <v>0</v>
      </c>
      <c r="BF378" s="151">
        <f>IF(K378="Travis",(AG378/$BF$1)*'1. UC Assumptions'!$Q$44-(AH378/$BF$2)*'1. UC Assumptions'!$Q$42,0)</f>
        <v>0</v>
      </c>
      <c r="BG378" s="151">
        <f t="shared" si="120"/>
        <v>0</v>
      </c>
      <c r="BH378" s="151">
        <f t="shared" si="121"/>
        <v>3340170.7866029725</v>
      </c>
      <c r="BI378" s="151">
        <f>ROUNDDOWN(BH378*'1. UC Assumptions'!$C$23,2)</f>
        <v>1102256.3500000001</v>
      </c>
      <c r="BJ378" s="154">
        <f t="shared" si="122"/>
        <v>519721.37660297239</v>
      </c>
      <c r="BK378" s="154">
        <f t="shared" si="123"/>
        <v>171508.0447000002</v>
      </c>
      <c r="BL378" s="154">
        <f t="shared" si="124"/>
        <v>479817.21</v>
      </c>
      <c r="BM378" s="154">
        <f t="shared" si="125"/>
        <v>158339.67000000001</v>
      </c>
      <c r="BN378" s="101"/>
      <c r="BO378" s="154">
        <f>(BL378*'1. UC Assumptions'!$C$23)-'3.  UC Calculations by Hospital'!BM378</f>
        <v>9.2999999760650098E-3</v>
      </c>
      <c r="BP378" s="13"/>
    </row>
    <row r="379" spans="1:68">
      <c r="B379" s="114"/>
      <c r="C379" s="158" t="s">
        <v>1101</v>
      </c>
      <c r="D379" s="114" t="s">
        <v>36</v>
      </c>
      <c r="E379" s="114"/>
      <c r="F379" s="114" t="s">
        <v>1095</v>
      </c>
      <c r="G379" s="91" t="s">
        <v>209</v>
      </c>
      <c r="H379" s="91" t="s">
        <v>209</v>
      </c>
      <c r="I379" s="150" t="s">
        <v>210</v>
      </c>
      <c r="J379" s="159" t="s">
        <v>1102</v>
      </c>
      <c r="K379" s="91" t="s">
        <v>9</v>
      </c>
      <c r="L379" s="96" t="s">
        <v>9</v>
      </c>
      <c r="M379" s="151">
        <v>0</v>
      </c>
      <c r="N379" s="151">
        <v>0</v>
      </c>
      <c r="O379" s="131">
        <v>0</v>
      </c>
      <c r="P379" s="131">
        <f t="shared" si="106"/>
        <v>0</v>
      </c>
      <c r="Q379" s="131">
        <v>8247711.6077478454</v>
      </c>
      <c r="R379" s="131">
        <v>0</v>
      </c>
      <c r="S379" s="131">
        <f t="shared" si="107"/>
        <v>0</v>
      </c>
      <c r="T379" s="131">
        <f t="shared" si="126"/>
        <v>8247711.6077478454</v>
      </c>
      <c r="U379" s="131">
        <v>0</v>
      </c>
      <c r="V379" s="131">
        <v>0</v>
      </c>
      <c r="W379" s="131">
        <v>0</v>
      </c>
      <c r="X379" s="131">
        <v>0</v>
      </c>
      <c r="Y379" s="131">
        <v>0</v>
      </c>
      <c r="Z379" s="131">
        <f t="shared" si="108"/>
        <v>0</v>
      </c>
      <c r="AA379" s="131">
        <v>0</v>
      </c>
      <c r="AB379" s="133">
        <f t="shared" si="109"/>
        <v>8247711.6077478454</v>
      </c>
      <c r="AC379" s="133">
        <f>IF(D379="Physician Group Practice",(AB379/$AB$393)*'1. UC Assumptions'!$C$15,IF(E379="Rural Hospital",AB379*'1. UC Assumptions'!$C$7/'1. UC Assumptions'!$E$7,(AB379/$AB$397)*('1. UC Assumptions'!$C$9)))</f>
        <v>4210585.3358064368</v>
      </c>
      <c r="AD379" s="133">
        <f t="shared" si="110"/>
        <v>0</v>
      </c>
      <c r="AE379" s="133">
        <f t="shared" si="111"/>
        <v>4037126.2719414085</v>
      </c>
      <c r="AF379" s="133">
        <f t="shared" si="127"/>
        <v>0</v>
      </c>
      <c r="AG379" s="133">
        <f t="shared" si="113"/>
        <v>4037126.2719414085</v>
      </c>
      <c r="AH379" s="133">
        <f t="shared" si="114"/>
        <v>4210585.3358064368</v>
      </c>
      <c r="AI379" s="131">
        <f>AH379*'1. UC Assumptions'!$C$23</f>
        <v>1389493.1608161239</v>
      </c>
      <c r="AJ379" s="131">
        <v>2797741.58</v>
      </c>
      <c r="AK379" s="131">
        <f>AJ379*(1-'1. UC Assumptions'!$C$22)</f>
        <v>923254.72139999992</v>
      </c>
      <c r="AL379" s="131"/>
      <c r="AM379" s="131">
        <f>AL379*'1. UC Assumptions'!$C$23</f>
        <v>0</v>
      </c>
      <c r="AN379" s="153">
        <f t="shared" si="115"/>
        <v>8247711.6077478454</v>
      </c>
      <c r="AO379" s="151">
        <f>AN379*'1. UC Assumptions'!$C$23</f>
        <v>2721744.8305567885</v>
      </c>
      <c r="AP379" s="151">
        <f t="shared" si="116"/>
        <v>5449970.0277478453</v>
      </c>
      <c r="AQ379" s="151">
        <f t="shared" si="117"/>
        <v>1798490.1091567886</v>
      </c>
      <c r="AR379" s="151">
        <f t="shared" si="118"/>
        <v>1798490.1091567886</v>
      </c>
      <c r="AS379" s="151">
        <f t="shared" si="119"/>
        <v>2721744.8305567885</v>
      </c>
      <c r="AT379" s="151">
        <f>IF(K379="Bexar",(AG379/$AT$1)*'1. UC Assumptions'!$E$44-(AH379/$AT$2)*'1. UC Assumptions'!$E$42,0)</f>
        <v>0</v>
      </c>
      <c r="AU379" s="151">
        <f>IF(K379="Dallas",(AG379/$AU$1)*'1. UC Assumptions'!$F$44-(AH379/$AU$2)*'1. UC Assumptions'!$F$42,0)</f>
        <v>0</v>
      </c>
      <c r="AV379" s="151">
        <f>IF(K379="El Paso",(AG379/$AV$1)*'1. UC Assumptions'!$G$44-(AH379/$AV$2)*'1. UC Assumptions'!$G$42,0)</f>
        <v>0</v>
      </c>
      <c r="AW379" s="151">
        <f>IF(K379="Harris",(AG379/$AW$1)*'1. UC Assumptions'!$H$44-(AH379/$AW$2)*'1. UC Assumptions'!$H$42,0)</f>
        <v>0</v>
      </c>
      <c r="AX379" s="151">
        <f>IF(K379="Hidalgo",(AG379/$AX$1)*'1. UC Assumptions'!$I$44-(AH379/$AX$2)*'1. UC Assumptions'!$I$42,0)</f>
        <v>0</v>
      </c>
      <c r="AY379" s="151">
        <f>IF(K379="Jefferson",(AG379/$AY$1)*'1. UC Assumptions'!$J$44-(AH379/$AY$2)*'1. UC Assumptions'!$J$42,0)</f>
        <v>0</v>
      </c>
      <c r="AZ379" s="151">
        <f>IF(K379="Lubbock",(AG379/$AZ$1)*'1. UC Assumptions'!$K$44-(AH379/$AZ$2)*'1. UC Assumptions'!$K$42,0)</f>
        <v>0</v>
      </c>
      <c r="BA379" s="151">
        <f>IF(K379="MRSA Central",(AG379/$BA$1)*'1. UC Assumptions'!$L$44-(AH379/$BA$2)*'1. UC Assumptions'!$L$42,0)</f>
        <v>0</v>
      </c>
      <c r="BB379" s="151">
        <f>IF(K379="MRSA Northeast",(AG379/$BB$1)*'1. UC Assumptions'!$M$44-(AH379/$BB$2)*'1. UC Assumptions'!$M$42,0)</f>
        <v>0</v>
      </c>
      <c r="BC379" s="151">
        <f>IF(K379="MRSA West",(AG379/$BC$1)*'1. UC Assumptions'!$N$44-(AH379/$BC$2)*'1. UC Assumptions'!$N$42,0)</f>
        <v>0</v>
      </c>
      <c r="BD379" s="151">
        <f>IF(K379="Nueces",(AG379/$BD$1)*'1. UC Assumptions'!$O$44-(AH379/$BD$2)*'1. UC Assumptions'!$O$42,0)</f>
        <v>0</v>
      </c>
      <c r="BE379" s="151">
        <f>IF(K379="Tarrant",(AG379/$BE$1)*'1. UC Assumptions'!$P$44-(AH379/$BE$2)*'1. UC Assumptions'!$P$42,0)</f>
        <v>0</v>
      </c>
      <c r="BF379" s="151">
        <f>IF(K379="Travis",(AG379/$BF$1)*'1. UC Assumptions'!$Q$44-(AH379/$BF$2)*'1. UC Assumptions'!$Q$42,0)</f>
        <v>0</v>
      </c>
      <c r="BG379" s="151">
        <f t="shared" si="120"/>
        <v>0</v>
      </c>
      <c r="BH379" s="151">
        <f t="shared" si="121"/>
        <v>4210585.3358064368</v>
      </c>
      <c r="BI379" s="151">
        <f>ROUNDDOWN(BH379*'1. UC Assumptions'!$C$23,2)</f>
        <v>1389493.16</v>
      </c>
      <c r="BJ379" s="154">
        <f t="shared" si="122"/>
        <v>1412843.7558064368</v>
      </c>
      <c r="BK379" s="154">
        <f t="shared" si="123"/>
        <v>466238.43859999999</v>
      </c>
      <c r="BL379" s="154">
        <f t="shared" si="124"/>
        <v>1304365.73</v>
      </c>
      <c r="BM379" s="154">
        <f t="shared" si="125"/>
        <v>430440.69</v>
      </c>
      <c r="BN379" s="101"/>
      <c r="BO379" s="154">
        <f>(BL379*'1. UC Assumptions'!$C$23)-'3.  UC Calculations by Hospital'!BM379</f>
        <v>8.9999992633238435E-4</v>
      </c>
      <c r="BP379" s="13"/>
    </row>
    <row r="380" spans="1:68">
      <c r="B380" s="114"/>
      <c r="C380" s="160" t="s">
        <v>1103</v>
      </c>
      <c r="D380" s="114" t="s">
        <v>36</v>
      </c>
      <c r="E380" s="114"/>
      <c r="F380" s="114" t="s">
        <v>1095</v>
      </c>
      <c r="G380" s="91" t="s">
        <v>209</v>
      </c>
      <c r="H380" s="91" t="s">
        <v>209</v>
      </c>
      <c r="I380" s="150" t="s">
        <v>210</v>
      </c>
      <c r="J380" s="159" t="s">
        <v>1104</v>
      </c>
      <c r="K380" s="91" t="s">
        <v>3</v>
      </c>
      <c r="L380" s="96" t="s">
        <v>3</v>
      </c>
      <c r="M380" s="151">
        <v>0</v>
      </c>
      <c r="N380" s="151">
        <v>0</v>
      </c>
      <c r="O380" s="131">
        <v>0</v>
      </c>
      <c r="P380" s="131">
        <f t="shared" si="106"/>
        <v>0</v>
      </c>
      <c r="Q380" s="131">
        <v>1375863.520162716</v>
      </c>
      <c r="R380" s="131">
        <v>0</v>
      </c>
      <c r="S380" s="131">
        <f t="shared" si="107"/>
        <v>0</v>
      </c>
      <c r="T380" s="131">
        <f t="shared" si="126"/>
        <v>1375863.520162716</v>
      </c>
      <c r="U380" s="131">
        <v>0</v>
      </c>
      <c r="V380" s="131">
        <v>0</v>
      </c>
      <c r="W380" s="131">
        <v>0</v>
      </c>
      <c r="X380" s="131">
        <v>0</v>
      </c>
      <c r="Y380" s="131">
        <v>0</v>
      </c>
      <c r="Z380" s="131">
        <f t="shared" si="108"/>
        <v>0</v>
      </c>
      <c r="AA380" s="131">
        <v>0</v>
      </c>
      <c r="AB380" s="133">
        <f t="shared" si="109"/>
        <v>1375863.520162716</v>
      </c>
      <c r="AC380" s="133">
        <f>IF(D380="Physician Group Practice",(AB380/$AB$393)*'1. UC Assumptions'!$C$15,IF(E380="Rural Hospital",AB380*'1. UC Assumptions'!$C$7/'1. UC Assumptions'!$E$7,(AB380/$AB$397)*('1. UC Assumptions'!$C$9)))</f>
        <v>702399.77312325896</v>
      </c>
      <c r="AD380" s="133">
        <f t="shared" si="110"/>
        <v>0</v>
      </c>
      <c r="AE380" s="133">
        <f t="shared" si="111"/>
        <v>673463.74703945708</v>
      </c>
      <c r="AF380" s="133">
        <f t="shared" si="127"/>
        <v>0</v>
      </c>
      <c r="AG380" s="133">
        <f t="shared" si="113"/>
        <v>673463.74703945708</v>
      </c>
      <c r="AH380" s="133">
        <f t="shared" si="114"/>
        <v>702399.77312325896</v>
      </c>
      <c r="AI380" s="131">
        <f>AH380*'1. UC Assumptions'!$C$23</f>
        <v>231791.92513067543</v>
      </c>
      <c r="AJ380" s="131">
        <v>609043.38</v>
      </c>
      <c r="AK380" s="131">
        <f>AJ380*(1-'1. UC Assumptions'!$C$22)</f>
        <v>200984.31539999996</v>
      </c>
      <c r="AL380" s="131"/>
      <c r="AM380" s="131">
        <f>AL380*'1. UC Assumptions'!$C$23</f>
        <v>0</v>
      </c>
      <c r="AN380" s="153">
        <f t="shared" si="115"/>
        <v>1375863.520162716</v>
      </c>
      <c r="AO380" s="151">
        <f>AN380*'1. UC Assumptions'!$C$23</f>
        <v>454034.96165369626</v>
      </c>
      <c r="AP380" s="151">
        <f t="shared" si="116"/>
        <v>766820.14016271604</v>
      </c>
      <c r="AQ380" s="151">
        <f t="shared" si="117"/>
        <v>253050.64625369629</v>
      </c>
      <c r="AR380" s="151">
        <f t="shared" si="118"/>
        <v>253050.64625369629</v>
      </c>
      <c r="AS380" s="151">
        <f t="shared" si="119"/>
        <v>454034.96165369626</v>
      </c>
      <c r="AT380" s="151">
        <f>IF(K380="Bexar",(AG380/$AT$1)*'1. UC Assumptions'!$E$44-(AH380/$AT$2)*'1. UC Assumptions'!$E$42,0)</f>
        <v>0</v>
      </c>
      <c r="AU380" s="151">
        <f>IF(K380="Dallas",(AG380/$AU$1)*'1. UC Assumptions'!$F$44-(AH380/$AU$2)*'1. UC Assumptions'!$F$42,0)</f>
        <v>0</v>
      </c>
      <c r="AV380" s="151">
        <f>IF(K380="El Paso",(AG380/$AV$1)*'1. UC Assumptions'!$G$44-(AH380/$AV$2)*'1. UC Assumptions'!$G$42,0)</f>
        <v>0</v>
      </c>
      <c r="AW380" s="151">
        <f>IF(K380="Harris",(AG380/$AW$1)*'1. UC Assumptions'!$H$44-(AH380/$AW$2)*'1. UC Assumptions'!$H$42,0)</f>
        <v>0</v>
      </c>
      <c r="AX380" s="151">
        <f>IF(K380="Hidalgo",(AG380/$AX$1)*'1. UC Assumptions'!$I$44-(AH380/$AX$2)*'1. UC Assumptions'!$I$42,0)</f>
        <v>0</v>
      </c>
      <c r="AY380" s="151">
        <f>IF(K380="Jefferson",(AG380/$AY$1)*'1. UC Assumptions'!$J$44-(AH380/$AY$2)*'1. UC Assumptions'!$J$42,0)</f>
        <v>0</v>
      </c>
      <c r="AZ380" s="151">
        <f>IF(K380="Lubbock",(AG380/$AZ$1)*'1. UC Assumptions'!$K$44-(AH380/$AZ$2)*'1. UC Assumptions'!$K$42,0)</f>
        <v>0</v>
      </c>
      <c r="BA380" s="151">
        <f>IF(K380="MRSA Central",(AG380/$BA$1)*'1. UC Assumptions'!$L$44-(AH380/$BA$2)*'1. UC Assumptions'!$L$42,0)</f>
        <v>0</v>
      </c>
      <c r="BB380" s="151">
        <f>IF(K380="MRSA Northeast",(AG380/$BB$1)*'1. UC Assumptions'!$M$44-(AH380/$BB$2)*'1. UC Assumptions'!$M$42,0)</f>
        <v>0</v>
      </c>
      <c r="BC380" s="151">
        <f>IF(K380="MRSA West",(AG380/$BC$1)*'1. UC Assumptions'!$N$44-(AH380/$BC$2)*'1. UC Assumptions'!$N$42,0)</f>
        <v>0</v>
      </c>
      <c r="BD380" s="151">
        <f>IF(K380="Nueces",(AG380/$BD$1)*'1. UC Assumptions'!$O$44-(AH380/$BD$2)*'1. UC Assumptions'!$O$42,0)</f>
        <v>0</v>
      </c>
      <c r="BE380" s="151">
        <f>IF(K380="Tarrant",(AG380/$BE$1)*'1. UC Assumptions'!$P$44-(AH380/$BE$2)*'1. UC Assumptions'!$P$42,0)</f>
        <v>0</v>
      </c>
      <c r="BF380" s="151">
        <f>IF(K380="Travis",(AG380/$BF$1)*'1. UC Assumptions'!$Q$44-(AH380/$BF$2)*'1. UC Assumptions'!$Q$42,0)</f>
        <v>0</v>
      </c>
      <c r="BG380" s="151">
        <f t="shared" si="120"/>
        <v>0</v>
      </c>
      <c r="BH380" s="151">
        <f t="shared" si="121"/>
        <v>702399.77312325896</v>
      </c>
      <c r="BI380" s="151">
        <f>ROUNDDOWN(BH380*'1. UC Assumptions'!$C$23,2)</f>
        <v>231791.92</v>
      </c>
      <c r="BJ380" s="154">
        <f t="shared" si="122"/>
        <v>93356.393123258953</v>
      </c>
      <c r="BK380" s="154">
        <f t="shared" si="123"/>
        <v>30807.60460000005</v>
      </c>
      <c r="BL380" s="154">
        <f t="shared" si="124"/>
        <v>86188.5</v>
      </c>
      <c r="BM380" s="154">
        <f t="shared" si="125"/>
        <v>28442.2</v>
      </c>
      <c r="BN380" s="101"/>
      <c r="BO380" s="154">
        <f>(BL380*'1. UC Assumptions'!$C$23)-'3.  UC Calculations by Hospital'!BM380</f>
        <v>4.9999999973806553E-3</v>
      </c>
      <c r="BP380" s="13"/>
    </row>
    <row r="381" spans="1:68">
      <c r="B381" s="114"/>
      <c r="C381" s="160" t="s">
        <v>1105</v>
      </c>
      <c r="D381" s="114" t="s">
        <v>36</v>
      </c>
      <c r="E381" s="114"/>
      <c r="F381" s="114" t="s">
        <v>1106</v>
      </c>
      <c r="G381" s="91" t="s">
        <v>209</v>
      </c>
      <c r="H381" s="91" t="s">
        <v>209</v>
      </c>
      <c r="I381" s="150" t="s">
        <v>210</v>
      </c>
      <c r="J381" s="159" t="s">
        <v>1107</v>
      </c>
      <c r="K381" s="91" t="s">
        <v>3</v>
      </c>
      <c r="L381" s="96" t="s">
        <v>3</v>
      </c>
      <c r="M381" s="151">
        <v>0</v>
      </c>
      <c r="N381" s="151">
        <v>0</v>
      </c>
      <c r="O381" s="131">
        <v>0</v>
      </c>
      <c r="P381" s="131">
        <f t="shared" si="106"/>
        <v>0</v>
      </c>
      <c r="Q381" s="131">
        <v>7653307.4121672399</v>
      </c>
      <c r="R381" s="131">
        <v>0</v>
      </c>
      <c r="S381" s="131">
        <f t="shared" si="107"/>
        <v>0</v>
      </c>
      <c r="T381" s="131">
        <f t="shared" si="126"/>
        <v>7653307.4121672399</v>
      </c>
      <c r="U381" s="131">
        <v>0</v>
      </c>
      <c r="V381" s="131">
        <v>0</v>
      </c>
      <c r="W381" s="131">
        <v>0</v>
      </c>
      <c r="X381" s="131">
        <v>0</v>
      </c>
      <c r="Y381" s="131">
        <v>0</v>
      </c>
      <c r="Z381" s="131">
        <f t="shared" si="108"/>
        <v>0</v>
      </c>
      <c r="AA381" s="131">
        <v>0</v>
      </c>
      <c r="AB381" s="133">
        <f t="shared" si="109"/>
        <v>7653307.4121672399</v>
      </c>
      <c r="AC381" s="133">
        <f>IF(D381="Physician Group Practice",(AB381/$AB$393)*'1. UC Assumptions'!$C$15,IF(E381="Rural Hospital",AB381*'1. UC Assumptions'!$C$7/'1. UC Assumptions'!$E$7,(AB381/$AB$397)*('1. UC Assumptions'!$C$9)))</f>
        <v>3907132.7287702723</v>
      </c>
      <c r="AD381" s="133">
        <f t="shared" si="110"/>
        <v>0</v>
      </c>
      <c r="AE381" s="133">
        <f t="shared" si="111"/>
        <v>3746174.6833969676</v>
      </c>
      <c r="AF381" s="133">
        <f t="shared" si="127"/>
        <v>0</v>
      </c>
      <c r="AG381" s="133">
        <f t="shared" si="113"/>
        <v>3746174.6833969676</v>
      </c>
      <c r="AH381" s="133">
        <f t="shared" si="114"/>
        <v>3907132.7287702723</v>
      </c>
      <c r="AI381" s="131">
        <f>AH381*'1. UC Assumptions'!$C$23</f>
        <v>1289353.8004941896</v>
      </c>
      <c r="AJ381" s="131">
        <v>1814446.5</v>
      </c>
      <c r="AK381" s="131">
        <f>AJ381*(1-'1. UC Assumptions'!$C$22)</f>
        <v>598767.34499999997</v>
      </c>
      <c r="AL381" s="131"/>
      <c r="AM381" s="131">
        <f>AL381*'1. UC Assumptions'!$C$23</f>
        <v>0</v>
      </c>
      <c r="AN381" s="153">
        <f t="shared" si="115"/>
        <v>7653307.4121672399</v>
      </c>
      <c r="AO381" s="151">
        <f>AN381*'1. UC Assumptions'!$C$23</f>
        <v>2525591.4460151889</v>
      </c>
      <c r="AP381" s="151">
        <f t="shared" si="116"/>
        <v>5838860.9121672399</v>
      </c>
      <c r="AQ381" s="151">
        <f t="shared" si="117"/>
        <v>1926824.101015189</v>
      </c>
      <c r="AR381" s="151">
        <f t="shared" si="118"/>
        <v>1926824.101015189</v>
      </c>
      <c r="AS381" s="151">
        <f t="shared" si="119"/>
        <v>2525591.4460151889</v>
      </c>
      <c r="AT381" s="151">
        <f>IF(K381="Bexar",(AG381/$AT$1)*'1. UC Assumptions'!$E$44-(AH381/$AT$2)*'1. UC Assumptions'!$E$42,0)</f>
        <v>0</v>
      </c>
      <c r="AU381" s="151">
        <f>IF(K381="Dallas",(AG381/$AU$1)*'1. UC Assumptions'!$F$44-(AH381/$AU$2)*'1. UC Assumptions'!$F$42,0)</f>
        <v>0</v>
      </c>
      <c r="AV381" s="151">
        <f>IF(K381="El Paso",(AG381/$AV$1)*'1. UC Assumptions'!$G$44-(AH381/$AV$2)*'1. UC Assumptions'!$G$42,0)</f>
        <v>0</v>
      </c>
      <c r="AW381" s="151">
        <f>IF(K381="Harris",(AG381/$AW$1)*'1. UC Assumptions'!$H$44-(AH381/$AW$2)*'1. UC Assumptions'!$H$42,0)</f>
        <v>0</v>
      </c>
      <c r="AX381" s="151">
        <f>IF(K381="Hidalgo",(AG381/$AX$1)*'1. UC Assumptions'!$I$44-(AH381/$AX$2)*'1. UC Assumptions'!$I$42,0)</f>
        <v>0</v>
      </c>
      <c r="AY381" s="151">
        <f>IF(K381="Jefferson",(AG381/$AY$1)*'1. UC Assumptions'!$J$44-(AH381/$AY$2)*'1. UC Assumptions'!$J$42,0)</f>
        <v>0</v>
      </c>
      <c r="AZ381" s="151">
        <f>IF(K381="Lubbock",(AG381/$AZ$1)*'1. UC Assumptions'!$K$44-(AH381/$AZ$2)*'1. UC Assumptions'!$K$42,0)</f>
        <v>0</v>
      </c>
      <c r="BA381" s="151">
        <f>IF(K381="MRSA Central",(AG381/$BA$1)*'1. UC Assumptions'!$L$44-(AH381/$BA$2)*'1. UC Assumptions'!$L$42,0)</f>
        <v>0</v>
      </c>
      <c r="BB381" s="151">
        <f>IF(K381="MRSA Northeast",(AG381/$BB$1)*'1. UC Assumptions'!$M$44-(AH381/$BB$2)*'1. UC Assumptions'!$M$42,0)</f>
        <v>0</v>
      </c>
      <c r="BC381" s="151">
        <f>IF(K381="MRSA West",(AG381/$BC$1)*'1. UC Assumptions'!$N$44-(AH381/$BC$2)*'1. UC Assumptions'!$N$42,0)</f>
        <v>0</v>
      </c>
      <c r="BD381" s="151">
        <f>IF(K381="Nueces",(AG381/$BD$1)*'1. UC Assumptions'!$O$44-(AH381/$BD$2)*'1. UC Assumptions'!$O$42,0)</f>
        <v>0</v>
      </c>
      <c r="BE381" s="151">
        <f>IF(K381="Tarrant",(AG381/$BE$1)*'1. UC Assumptions'!$P$44-(AH381/$BE$2)*'1. UC Assumptions'!$P$42,0)</f>
        <v>0</v>
      </c>
      <c r="BF381" s="151">
        <f>IF(K381="Travis",(AG381/$BF$1)*'1. UC Assumptions'!$Q$44-(AH381/$BF$2)*'1. UC Assumptions'!$Q$42,0)</f>
        <v>0</v>
      </c>
      <c r="BG381" s="151">
        <f t="shared" si="120"/>
        <v>0</v>
      </c>
      <c r="BH381" s="151">
        <f t="shared" si="121"/>
        <v>3907132.7287702723</v>
      </c>
      <c r="BI381" s="151">
        <f>ROUNDDOWN(BH381*'1. UC Assumptions'!$C$23,2)</f>
        <v>1289353.8</v>
      </c>
      <c r="BJ381" s="154">
        <f t="shared" si="122"/>
        <v>2092686.2287702723</v>
      </c>
      <c r="BK381" s="154">
        <f t="shared" si="123"/>
        <v>690586.45500000007</v>
      </c>
      <c r="BL381" s="154">
        <f t="shared" si="124"/>
        <v>1932009.96</v>
      </c>
      <c r="BM381" s="154">
        <f t="shared" si="125"/>
        <v>637563.29</v>
      </c>
      <c r="BN381" s="101"/>
      <c r="BO381" s="154">
        <f>(BL381*'1. UC Assumptions'!$C$23)-'3.  UC Calculations by Hospital'!BM381</f>
        <v>-3.2000001519918442E-3</v>
      </c>
      <c r="BP381" s="13"/>
    </row>
    <row r="382" spans="1:68" ht="15">
      <c r="A382" s="98"/>
      <c r="B382" s="114"/>
      <c r="C382" s="158" t="s">
        <v>1108</v>
      </c>
      <c r="D382" s="114" t="s">
        <v>36</v>
      </c>
      <c r="E382" s="114"/>
      <c r="F382" s="114" t="s">
        <v>1095</v>
      </c>
      <c r="G382" s="91" t="s">
        <v>209</v>
      </c>
      <c r="H382" s="91" t="s">
        <v>209</v>
      </c>
      <c r="I382" s="150" t="s">
        <v>210</v>
      </c>
      <c r="J382" s="159" t="s">
        <v>308</v>
      </c>
      <c r="K382" s="91" t="s">
        <v>6</v>
      </c>
      <c r="L382" s="96" t="s">
        <v>309</v>
      </c>
      <c r="M382" s="151">
        <v>0</v>
      </c>
      <c r="N382" s="151">
        <v>0</v>
      </c>
      <c r="O382" s="131">
        <v>0</v>
      </c>
      <c r="P382" s="131">
        <f t="shared" si="106"/>
        <v>0</v>
      </c>
      <c r="Q382" s="131">
        <v>2649897.382601738</v>
      </c>
      <c r="R382" s="131">
        <v>0</v>
      </c>
      <c r="S382" s="131">
        <f t="shared" si="107"/>
        <v>0</v>
      </c>
      <c r="T382" s="131">
        <f t="shared" si="126"/>
        <v>2649897.382601738</v>
      </c>
      <c r="U382" s="131">
        <v>0</v>
      </c>
      <c r="V382" s="131">
        <v>0</v>
      </c>
      <c r="W382" s="131">
        <v>0</v>
      </c>
      <c r="X382" s="131">
        <v>0</v>
      </c>
      <c r="Y382" s="131">
        <v>0</v>
      </c>
      <c r="Z382" s="131">
        <f t="shared" si="108"/>
        <v>0</v>
      </c>
      <c r="AA382" s="131">
        <v>0</v>
      </c>
      <c r="AB382" s="133">
        <f t="shared" si="109"/>
        <v>2649897.382601738</v>
      </c>
      <c r="AC382" s="133">
        <f>IF(D382="Physician Group Practice",(AB382/$AB$393)*'1. UC Assumptions'!$C$15,IF(E382="Rural Hospital",AB382*'1. UC Assumptions'!$C$7/'1. UC Assumptions'!$E$7,(AB382/$AB$397)*('1. UC Assumptions'!$C$9)))</f>
        <v>1352813.9187230242</v>
      </c>
      <c r="AD382" s="133">
        <f t="shared" si="110"/>
        <v>0</v>
      </c>
      <c r="AE382" s="133">
        <f t="shared" si="111"/>
        <v>1297083.4638787138</v>
      </c>
      <c r="AF382" s="133">
        <f t="shared" si="127"/>
        <v>0</v>
      </c>
      <c r="AG382" s="133">
        <f t="shared" si="113"/>
        <v>1297083.4638787138</v>
      </c>
      <c r="AH382" s="133">
        <f t="shared" si="114"/>
        <v>1352813.9187230242</v>
      </c>
      <c r="AI382" s="131">
        <f>AH382*'1. UC Assumptions'!$C$23</f>
        <v>446428.59317859792</v>
      </c>
      <c r="AJ382" s="131">
        <v>1210677.1599999999</v>
      </c>
      <c r="AK382" s="131">
        <f>AJ382*(1-'1. UC Assumptions'!$C$22)</f>
        <v>399523.46279999992</v>
      </c>
      <c r="AL382" s="131"/>
      <c r="AM382" s="131">
        <f>AL382*'1. UC Assumptions'!$C$23</f>
        <v>0</v>
      </c>
      <c r="AN382" s="153">
        <f t="shared" si="115"/>
        <v>2649897.382601738</v>
      </c>
      <c r="AO382" s="151">
        <f>AN382*'1. UC Assumptions'!$C$23</f>
        <v>874466.13625857339</v>
      </c>
      <c r="AP382" s="151">
        <f t="shared" si="116"/>
        <v>1439220.2226017381</v>
      </c>
      <c r="AQ382" s="151">
        <f t="shared" si="117"/>
        <v>474942.67345857347</v>
      </c>
      <c r="AR382" s="151">
        <f t="shared" si="118"/>
        <v>474942.67345857347</v>
      </c>
      <c r="AS382" s="151">
        <f t="shared" si="119"/>
        <v>874466.13625857339</v>
      </c>
      <c r="AT382" s="151">
        <f>IF(K382="Bexar",(AG382/$AT$1)*'1. UC Assumptions'!$E$44-(AH382/$AT$2)*'1. UC Assumptions'!$E$42,0)</f>
        <v>0</v>
      </c>
      <c r="AU382" s="151">
        <f>IF(K382="Dallas",(AG382/$AU$1)*'1. UC Assumptions'!$F$44-(AH382/$AU$2)*'1. UC Assumptions'!$F$42,0)</f>
        <v>0</v>
      </c>
      <c r="AV382" s="151">
        <f>IF(K382="El Paso",(AG382/$AV$1)*'1. UC Assumptions'!$G$44-(AH382/$AV$2)*'1. UC Assumptions'!$G$42,0)</f>
        <v>0</v>
      </c>
      <c r="AW382" s="151">
        <f>IF(K382="Harris",(AG382/$AW$1)*'1. UC Assumptions'!$H$44-(AH382/$AW$2)*'1. UC Assumptions'!$H$42,0)</f>
        <v>0</v>
      </c>
      <c r="AX382" s="151">
        <f>IF(K382="Hidalgo",(AG382/$AX$1)*'1. UC Assumptions'!$I$44-(AH382/$AX$2)*'1. UC Assumptions'!$I$42,0)</f>
        <v>0</v>
      </c>
      <c r="AY382" s="151">
        <f>IF(K382="Jefferson",(AG382/$AY$1)*'1. UC Assumptions'!$J$44-(AH382/$AY$2)*'1. UC Assumptions'!$J$42,0)</f>
        <v>0</v>
      </c>
      <c r="AZ382" s="151">
        <f>IF(K382="Lubbock",(AG382/$AZ$1)*'1. UC Assumptions'!$K$44-(AH382/$AZ$2)*'1. UC Assumptions'!$K$42,0)</f>
        <v>0</v>
      </c>
      <c r="BA382" s="151">
        <f>IF(K382="MRSA Central",(AG382/$BA$1)*'1. UC Assumptions'!$L$44-(AH382/$BA$2)*'1. UC Assumptions'!$L$42,0)</f>
        <v>0</v>
      </c>
      <c r="BB382" s="151">
        <f>IF(K382="MRSA Northeast",(AG382/$BB$1)*'1. UC Assumptions'!$M$44-(AH382/$BB$2)*'1. UC Assumptions'!$M$42,0)</f>
        <v>0</v>
      </c>
      <c r="BC382" s="151">
        <f>IF(K382="MRSA West",(AG382/$BC$1)*'1. UC Assumptions'!$N$44-(AH382/$BC$2)*'1. UC Assumptions'!$N$42,0)</f>
        <v>0</v>
      </c>
      <c r="BD382" s="151">
        <f>IF(K382="Nueces",(AG382/$BD$1)*'1. UC Assumptions'!$O$44-(AH382/$BD$2)*'1. UC Assumptions'!$O$42,0)</f>
        <v>0</v>
      </c>
      <c r="BE382" s="151">
        <f>IF(K382="Tarrant",(AG382/$BE$1)*'1. UC Assumptions'!$P$44-(AH382/$BE$2)*'1. UC Assumptions'!$P$42,0)</f>
        <v>0</v>
      </c>
      <c r="BF382" s="151">
        <f>IF(K382="Travis",(AG382/$BF$1)*'1. UC Assumptions'!$Q$44-(AH382/$BF$2)*'1. UC Assumptions'!$Q$42,0)</f>
        <v>0</v>
      </c>
      <c r="BG382" s="151">
        <f t="shared" si="120"/>
        <v>0</v>
      </c>
      <c r="BH382" s="151">
        <f t="shared" si="121"/>
        <v>1352813.9187230242</v>
      </c>
      <c r="BI382" s="151">
        <f>ROUNDDOWN(BH382*'1. UC Assumptions'!$C$23,2)</f>
        <v>446428.59</v>
      </c>
      <c r="BJ382" s="154">
        <f t="shared" si="122"/>
        <v>142136.75872302428</v>
      </c>
      <c r="BK382" s="154">
        <f t="shared" si="123"/>
        <v>46905.127200000104</v>
      </c>
      <c r="BL382" s="154">
        <f t="shared" si="124"/>
        <v>131223.51</v>
      </c>
      <c r="BM382" s="154">
        <f t="shared" si="125"/>
        <v>43303.76</v>
      </c>
      <c r="BN382" s="101"/>
      <c r="BO382" s="154">
        <f>(BL382*'1. UC Assumptions'!$C$23)-'3.  UC Calculations by Hospital'!BM382</f>
        <v>-1.7000000007101335E-3</v>
      </c>
      <c r="BP382" s="13"/>
    </row>
    <row r="383" spans="1:68" ht="15">
      <c r="A383" s="98"/>
      <c r="B383" s="114"/>
      <c r="C383" s="158" t="s">
        <v>1109</v>
      </c>
      <c r="D383" s="114" t="s">
        <v>36</v>
      </c>
      <c r="E383" s="114"/>
      <c r="F383" s="114" t="s">
        <v>1095</v>
      </c>
      <c r="G383" s="91" t="s">
        <v>209</v>
      </c>
      <c r="H383" s="91" t="s">
        <v>209</v>
      </c>
      <c r="I383" s="150" t="s">
        <v>210</v>
      </c>
      <c r="J383" s="159" t="s">
        <v>1110</v>
      </c>
      <c r="K383" s="91" t="s">
        <v>6</v>
      </c>
      <c r="L383" s="96" t="s">
        <v>6</v>
      </c>
      <c r="M383" s="151">
        <v>0</v>
      </c>
      <c r="N383" s="151">
        <v>0</v>
      </c>
      <c r="O383" s="131">
        <v>0</v>
      </c>
      <c r="P383" s="131">
        <f t="shared" si="106"/>
        <v>0</v>
      </c>
      <c r="Q383" s="131">
        <v>17401701.179420464</v>
      </c>
      <c r="R383" s="131">
        <v>0</v>
      </c>
      <c r="S383" s="131">
        <f t="shared" si="107"/>
        <v>0</v>
      </c>
      <c r="T383" s="131">
        <f t="shared" si="126"/>
        <v>17401701.179420464</v>
      </c>
      <c r="U383" s="131">
        <v>0</v>
      </c>
      <c r="V383" s="131">
        <v>0</v>
      </c>
      <c r="W383" s="131">
        <v>0</v>
      </c>
      <c r="X383" s="131">
        <v>0</v>
      </c>
      <c r="Y383" s="131">
        <v>0</v>
      </c>
      <c r="Z383" s="131">
        <f t="shared" si="108"/>
        <v>0</v>
      </c>
      <c r="AA383" s="131">
        <v>0</v>
      </c>
      <c r="AB383" s="133">
        <f t="shared" si="109"/>
        <v>17401701.179420464</v>
      </c>
      <c r="AC383" s="133">
        <f>IF(D383="Physician Group Practice",(AB383/$AB$393)*'1. UC Assumptions'!$C$15,IF(E383="Rural Hospital",AB383*'1. UC Assumptions'!$C$7/'1. UC Assumptions'!$E$7,(AB383/$AB$397)*('1. UC Assumptions'!$C$9)))</f>
        <v>8883839.6986774821</v>
      </c>
      <c r="AD383" s="133">
        <f t="shared" si="110"/>
        <v>0</v>
      </c>
      <c r="AE383" s="133">
        <f t="shared" si="111"/>
        <v>8517861.4807429817</v>
      </c>
      <c r="AF383" s="133">
        <f t="shared" si="127"/>
        <v>0</v>
      </c>
      <c r="AG383" s="133">
        <f t="shared" si="113"/>
        <v>8517861.4807429817</v>
      </c>
      <c r="AH383" s="133">
        <f t="shared" si="114"/>
        <v>8883839.6986774821</v>
      </c>
      <c r="AI383" s="131">
        <f>AH383*'1. UC Assumptions'!$C$23</f>
        <v>2931667.1005635685</v>
      </c>
      <c r="AJ383" s="99">
        <v>13976223.84</v>
      </c>
      <c r="AK383" s="131">
        <f>AJ383*(1-'1. UC Assumptions'!$C$22)</f>
        <v>4612153.8671999993</v>
      </c>
      <c r="AL383" s="131"/>
      <c r="AM383" s="131">
        <f>AL383*'1. UC Assumptions'!$C$23</f>
        <v>0</v>
      </c>
      <c r="AN383" s="153">
        <f t="shared" si="115"/>
        <v>17401701.179420464</v>
      </c>
      <c r="AO383" s="151">
        <f>AN383*'1. UC Assumptions'!$C$23</f>
        <v>5742561.3892087527</v>
      </c>
      <c r="AP383" s="151">
        <f t="shared" si="116"/>
        <v>3425477.3394204639</v>
      </c>
      <c r="AQ383" s="151">
        <f t="shared" si="117"/>
        <v>1130407.5220087534</v>
      </c>
      <c r="AR383" s="151">
        <f t="shared" si="118"/>
        <v>1130407.5220087534</v>
      </c>
      <c r="AS383" s="151">
        <f t="shared" si="119"/>
        <v>5742561.3892087527</v>
      </c>
      <c r="AT383" s="151">
        <f>IF(K383="Bexar",(AG383/$AT$1)*'1. UC Assumptions'!$E$44-(AH383/$AT$2)*'1. UC Assumptions'!$E$42,0)</f>
        <v>0</v>
      </c>
      <c r="AU383" s="151">
        <f>IF(K383="Dallas",(AG383/$AU$1)*'1. UC Assumptions'!$F$44-(AH383/$AU$2)*'1. UC Assumptions'!$F$42,0)</f>
        <v>0</v>
      </c>
      <c r="AV383" s="151">
        <f>IF(K383="El Paso",(AG383/$AV$1)*'1. UC Assumptions'!$G$44-(AH383/$AV$2)*'1. UC Assumptions'!$G$42,0)</f>
        <v>0</v>
      </c>
      <c r="AW383" s="151">
        <f>IF(K383="Harris",(AG383/$AW$1)*'1. UC Assumptions'!$H$44-(AH383/$AW$2)*'1. UC Assumptions'!$H$42,0)</f>
        <v>0</v>
      </c>
      <c r="AX383" s="151">
        <f>IF(K383="Hidalgo",(AG383/$AX$1)*'1. UC Assumptions'!$I$44-(AH383/$AX$2)*'1. UC Assumptions'!$I$42,0)</f>
        <v>0</v>
      </c>
      <c r="AY383" s="151">
        <f>IF(K383="Jefferson",(AG383/$AY$1)*'1. UC Assumptions'!$J$44-(AH383/$AY$2)*'1. UC Assumptions'!$J$42,0)</f>
        <v>0</v>
      </c>
      <c r="AZ383" s="151">
        <f>IF(K383="Lubbock",(AG383/$AZ$1)*'1. UC Assumptions'!$K$44-(AH383/$AZ$2)*'1. UC Assumptions'!$K$42,0)</f>
        <v>0</v>
      </c>
      <c r="BA383" s="151">
        <f>IF(K383="MRSA Central",(AG383/$BA$1)*'1. UC Assumptions'!$L$44-(AH383/$BA$2)*'1. UC Assumptions'!$L$42,0)</f>
        <v>0</v>
      </c>
      <c r="BB383" s="151">
        <f>IF(K383="MRSA Northeast",(AG383/$BB$1)*'1. UC Assumptions'!$M$44-(AH383/$BB$2)*'1. UC Assumptions'!$M$42,0)</f>
        <v>0</v>
      </c>
      <c r="BC383" s="151">
        <f>IF(K383="MRSA West",(AG383/$BC$1)*'1. UC Assumptions'!$N$44-(AH383/$BC$2)*'1. UC Assumptions'!$N$42,0)</f>
        <v>0</v>
      </c>
      <c r="BD383" s="151">
        <f>IF(K383="Nueces",(AG383/$BD$1)*'1. UC Assumptions'!$O$44-(AH383/$BD$2)*'1. UC Assumptions'!$O$42,0)</f>
        <v>0</v>
      </c>
      <c r="BE383" s="151">
        <f>IF(K383="Tarrant",(AG383/$BE$1)*'1. UC Assumptions'!$P$44-(AH383/$BE$2)*'1. UC Assumptions'!$P$42,0)</f>
        <v>0</v>
      </c>
      <c r="BF383" s="151">
        <f>IF(K383="Travis",(AG383/$BF$1)*'1. UC Assumptions'!$Q$44-(AH383/$BF$2)*'1. UC Assumptions'!$Q$42,0)</f>
        <v>0</v>
      </c>
      <c r="BG383" s="151">
        <f t="shared" si="120"/>
        <v>0</v>
      </c>
      <c r="BH383" s="151">
        <f t="shared" si="121"/>
        <v>8883839.6986774821</v>
      </c>
      <c r="BI383" s="151">
        <f>ROUNDDOWN(BH383*'1. UC Assumptions'!$C$23,2)</f>
        <v>2931667.1</v>
      </c>
      <c r="BJ383" s="154">
        <f t="shared" si="122"/>
        <v>-5092384.1413225178</v>
      </c>
      <c r="BK383" s="154">
        <f t="shared" si="123"/>
        <v>-1680486.7671999992</v>
      </c>
      <c r="BL383" s="154">
        <f t="shared" si="124"/>
        <v>0</v>
      </c>
      <c r="BM383" s="154">
        <f t="shared" si="125"/>
        <v>0</v>
      </c>
      <c r="BN383" s="101"/>
      <c r="BO383" s="154">
        <f>(BL383*'1. UC Assumptions'!$C$23)-'3.  UC Calculations by Hospital'!BM383</f>
        <v>0</v>
      </c>
      <c r="BP383" s="13"/>
    </row>
    <row r="384" spans="1:68">
      <c r="B384" s="114"/>
      <c r="C384" s="158" t="s">
        <v>1111</v>
      </c>
      <c r="D384" s="114" t="s">
        <v>36</v>
      </c>
      <c r="E384" s="114"/>
      <c r="F384" s="114" t="s">
        <v>1106</v>
      </c>
      <c r="G384" s="91" t="s">
        <v>209</v>
      </c>
      <c r="H384" s="91" t="s">
        <v>209</v>
      </c>
      <c r="I384" s="150" t="s">
        <v>210</v>
      </c>
      <c r="J384" s="159" t="s">
        <v>1112</v>
      </c>
      <c r="K384" s="91" t="s">
        <v>10</v>
      </c>
      <c r="L384" s="96" t="s">
        <v>327</v>
      </c>
      <c r="M384" s="151">
        <v>0</v>
      </c>
      <c r="N384" s="151">
        <v>0</v>
      </c>
      <c r="O384" s="131">
        <v>0</v>
      </c>
      <c r="P384" s="131">
        <f t="shared" si="106"/>
        <v>0</v>
      </c>
      <c r="Q384" s="131">
        <v>22684027.540432937</v>
      </c>
      <c r="R384" s="131">
        <v>0</v>
      </c>
      <c r="S384" s="131">
        <f t="shared" si="107"/>
        <v>0</v>
      </c>
      <c r="T384" s="131">
        <f t="shared" si="126"/>
        <v>22684027.540432937</v>
      </c>
      <c r="U384" s="131">
        <v>0</v>
      </c>
      <c r="V384" s="131">
        <v>0</v>
      </c>
      <c r="W384" s="131">
        <v>0</v>
      </c>
      <c r="X384" s="131">
        <v>0</v>
      </c>
      <c r="Y384" s="131">
        <v>0</v>
      </c>
      <c r="Z384" s="131">
        <f t="shared" si="108"/>
        <v>0</v>
      </c>
      <c r="AA384" s="131">
        <v>0</v>
      </c>
      <c r="AB384" s="133">
        <f t="shared" si="109"/>
        <v>22684027.540432937</v>
      </c>
      <c r="AC384" s="133">
        <f>IF(D384="Physician Group Practice",(AB384/$AB$393)*'1. UC Assumptions'!$C$15,IF(E384="Rural Hospital",AB384*'1. UC Assumptions'!$C$7/'1. UC Assumptions'!$E$7,(AB384/$AB$397)*('1. UC Assumptions'!$C$9)))</f>
        <v>11580549.643497715</v>
      </c>
      <c r="AD384" s="133">
        <f t="shared" si="110"/>
        <v>0</v>
      </c>
      <c r="AE384" s="133">
        <f t="shared" si="111"/>
        <v>11103477.896935223</v>
      </c>
      <c r="AF384" s="133">
        <f t="shared" si="127"/>
        <v>0</v>
      </c>
      <c r="AG384" s="133">
        <f t="shared" si="113"/>
        <v>11103477.896935223</v>
      </c>
      <c r="AH384" s="133">
        <f t="shared" si="114"/>
        <v>11580549.643497715</v>
      </c>
      <c r="AI384" s="131">
        <f>AH384*'1. UC Assumptions'!$C$23</f>
        <v>3821581.3823542455</v>
      </c>
      <c r="AJ384" s="131">
        <v>6311380.5599999996</v>
      </c>
      <c r="AK384" s="131">
        <f>AJ384*(1-'1. UC Assumptions'!$C$22)</f>
        <v>2082755.5847999996</v>
      </c>
      <c r="AL384" s="131"/>
      <c r="AM384" s="131">
        <f>AL384*'1. UC Assumptions'!$C$23</f>
        <v>0</v>
      </c>
      <c r="AN384" s="153">
        <f t="shared" si="115"/>
        <v>22684027.540432937</v>
      </c>
      <c r="AO384" s="151">
        <f>AN384*'1. UC Assumptions'!$C$23</f>
        <v>7485729.0883428687</v>
      </c>
      <c r="AP384" s="151">
        <f t="shared" si="116"/>
        <v>16372646.980432939</v>
      </c>
      <c r="AQ384" s="151">
        <f t="shared" si="117"/>
        <v>5402973.5035428694</v>
      </c>
      <c r="AR384" s="151">
        <f t="shared" si="118"/>
        <v>5402973.5035428694</v>
      </c>
      <c r="AS384" s="151">
        <f t="shared" si="119"/>
        <v>7485729.0883428687</v>
      </c>
      <c r="AT384" s="151">
        <f>IF(K384="Bexar",(AG384/$AT$1)*'1. UC Assumptions'!$E$44-(AH384/$AT$2)*'1. UC Assumptions'!$E$42,0)</f>
        <v>0</v>
      </c>
      <c r="AU384" s="151">
        <f>IF(K384="Dallas",(AG384/$AU$1)*'1. UC Assumptions'!$F$44-(AH384/$AU$2)*'1. UC Assumptions'!$F$42,0)</f>
        <v>0</v>
      </c>
      <c r="AV384" s="151">
        <f>IF(K384="El Paso",(AG384/$AV$1)*'1. UC Assumptions'!$G$44-(AH384/$AV$2)*'1. UC Assumptions'!$G$42,0)</f>
        <v>0</v>
      </c>
      <c r="AW384" s="151">
        <f>IF(K384="Harris",(AG384/$AW$1)*'1. UC Assumptions'!$H$44-(AH384/$AW$2)*'1. UC Assumptions'!$H$42,0)</f>
        <v>0</v>
      </c>
      <c r="AX384" s="151">
        <f>IF(K384="Hidalgo",(AG384/$AX$1)*'1. UC Assumptions'!$I$44-(AH384/$AX$2)*'1. UC Assumptions'!$I$42,0)</f>
        <v>0</v>
      </c>
      <c r="AY384" s="151">
        <f>IF(K384="Jefferson",(AG384/$AY$1)*'1. UC Assumptions'!$J$44-(AH384/$AY$2)*'1. UC Assumptions'!$J$42,0)</f>
        <v>0</v>
      </c>
      <c r="AZ384" s="151">
        <f>IF(K384="Lubbock",(AG384/$AZ$1)*'1. UC Assumptions'!$K$44-(AH384/$AZ$2)*'1. UC Assumptions'!$K$42,0)</f>
        <v>0</v>
      </c>
      <c r="BA384" s="151">
        <f>IF(K384="MRSA Central",(AG384/$BA$1)*'1. UC Assumptions'!$L$44-(AH384/$BA$2)*'1. UC Assumptions'!$L$42,0)</f>
        <v>0</v>
      </c>
      <c r="BB384" s="151">
        <f>IF(K384="MRSA Northeast",(AG384/$BB$1)*'1. UC Assumptions'!$M$44-(AH384/$BB$2)*'1. UC Assumptions'!$M$42,0)</f>
        <v>0</v>
      </c>
      <c r="BC384" s="151">
        <f>IF(K384="MRSA West",(AG384/$BC$1)*'1. UC Assumptions'!$N$44-(AH384/$BC$2)*'1. UC Assumptions'!$N$42,0)</f>
        <v>0</v>
      </c>
      <c r="BD384" s="151">
        <f>IF(K384="Nueces",(AG384/$BD$1)*'1. UC Assumptions'!$O$44-(AH384/$BD$2)*'1. UC Assumptions'!$O$42,0)</f>
        <v>0</v>
      </c>
      <c r="BE384" s="151">
        <f>IF(K384="Tarrant",(AG384/$BE$1)*'1. UC Assumptions'!$P$44-(AH384/$BE$2)*'1. UC Assumptions'!$P$42,0)</f>
        <v>0</v>
      </c>
      <c r="BF384" s="151">
        <f>IF(K384="Travis",(AG384/$BF$1)*'1. UC Assumptions'!$Q$44-(AH384/$BF$2)*'1. UC Assumptions'!$Q$42,0)</f>
        <v>0</v>
      </c>
      <c r="BG384" s="151">
        <f t="shared" si="120"/>
        <v>0</v>
      </c>
      <c r="BH384" s="151">
        <f t="shared" si="121"/>
        <v>11580549.643497715</v>
      </c>
      <c r="BI384" s="151">
        <f>ROUNDDOWN(BH384*'1. UC Assumptions'!$C$23,2)</f>
        <v>3821581.38</v>
      </c>
      <c r="BJ384" s="154">
        <f t="shared" si="122"/>
        <v>5269169.0834977152</v>
      </c>
      <c r="BK384" s="154">
        <f t="shared" si="123"/>
        <v>1738825.7952000003</v>
      </c>
      <c r="BL384" s="154">
        <f t="shared" si="124"/>
        <v>4864602.7300000004</v>
      </c>
      <c r="BM384" s="154">
        <f t="shared" si="125"/>
        <v>1605318.9</v>
      </c>
      <c r="BN384" s="101"/>
      <c r="BO384" s="154">
        <f>(BL384*'1. UC Assumptions'!$C$23)-'3.  UC Calculations by Hospital'!BM384</f>
        <v>9.0000010095536709E-4</v>
      </c>
      <c r="BP384" s="13"/>
    </row>
    <row r="385" spans="2:68">
      <c r="B385" s="114"/>
      <c r="C385" s="158" t="s">
        <v>1113</v>
      </c>
      <c r="D385" s="114" t="s">
        <v>36</v>
      </c>
      <c r="E385" s="114"/>
      <c r="F385" s="114" t="s">
        <v>1106</v>
      </c>
      <c r="G385" s="91" t="s">
        <v>209</v>
      </c>
      <c r="H385" s="91" t="s">
        <v>209</v>
      </c>
      <c r="I385" s="150" t="s">
        <v>210</v>
      </c>
      <c r="J385" s="159" t="s">
        <v>1114</v>
      </c>
      <c r="K385" s="91" t="s">
        <v>4</v>
      </c>
      <c r="L385" s="96" t="s">
        <v>4</v>
      </c>
      <c r="M385" s="151">
        <v>0</v>
      </c>
      <c r="N385" s="151">
        <v>0</v>
      </c>
      <c r="O385" s="131">
        <v>0</v>
      </c>
      <c r="P385" s="131">
        <f t="shared" si="106"/>
        <v>0</v>
      </c>
      <c r="Q385" s="131">
        <v>4004496.4877925497</v>
      </c>
      <c r="R385" s="131">
        <v>0</v>
      </c>
      <c r="S385" s="131">
        <f t="shared" si="107"/>
        <v>0</v>
      </c>
      <c r="T385" s="131">
        <f t="shared" ref="T385:T389" si="140">IF(Q385-S385&gt;0,Q385-S385,0)</f>
        <v>4004496.4877925497</v>
      </c>
      <c r="U385" s="131">
        <v>0</v>
      </c>
      <c r="V385" s="131">
        <v>0</v>
      </c>
      <c r="W385" s="131">
        <v>0</v>
      </c>
      <c r="X385" s="131">
        <v>0</v>
      </c>
      <c r="Y385" s="131">
        <v>0</v>
      </c>
      <c r="Z385" s="131">
        <f t="shared" si="108"/>
        <v>0</v>
      </c>
      <c r="AA385" s="131">
        <v>0</v>
      </c>
      <c r="AB385" s="133">
        <f t="shared" si="109"/>
        <v>4004496.4877925497</v>
      </c>
      <c r="AC385" s="133">
        <f>IF(D385="Physician Group Practice",(AB385/$AB$393)*'1. UC Assumptions'!$C$15,IF(E385="Rural Hospital",AB385*'1. UC Assumptions'!$C$7/'1. UC Assumptions'!$E$7,(AB385/$AB$397)*('1. UC Assumptions'!$C$9)))</f>
        <v>2044357.8765470316</v>
      </c>
      <c r="AD385" s="133">
        <f t="shared" si="110"/>
        <v>0</v>
      </c>
      <c r="AE385" s="133">
        <f t="shared" si="111"/>
        <v>1960138.6112455181</v>
      </c>
      <c r="AF385" s="133">
        <f t="shared" si="127"/>
        <v>0</v>
      </c>
      <c r="AG385" s="133">
        <f t="shared" si="113"/>
        <v>1960138.6112455181</v>
      </c>
      <c r="AH385" s="133">
        <f t="shared" si="114"/>
        <v>2044357.8765470316</v>
      </c>
      <c r="AI385" s="131">
        <f>AH385*'1. UC Assumptions'!$C$23</f>
        <v>674638.09926052031</v>
      </c>
      <c r="AJ385" s="131">
        <v>3101538.83</v>
      </c>
      <c r="AK385" s="131">
        <f>AJ385*(1-'1. UC Assumptions'!$C$22)</f>
        <v>1023507.8139</v>
      </c>
      <c r="AL385" s="131"/>
      <c r="AM385" s="131">
        <f>AL385*'1. UC Assumptions'!$C$23</f>
        <v>0</v>
      </c>
      <c r="AN385" s="153">
        <f t="shared" si="115"/>
        <v>4004496.4877925497</v>
      </c>
      <c r="AO385" s="151">
        <f>AN385*'1. UC Assumptions'!$C$23</f>
        <v>1321483.8409715411</v>
      </c>
      <c r="AP385" s="151">
        <f t="shared" si="116"/>
        <v>902957.65779254958</v>
      </c>
      <c r="AQ385" s="151">
        <f t="shared" si="117"/>
        <v>297976.02707154118</v>
      </c>
      <c r="AR385" s="151">
        <f t="shared" si="118"/>
        <v>297976.02707154118</v>
      </c>
      <c r="AS385" s="151">
        <f t="shared" si="119"/>
        <v>1321483.8409715411</v>
      </c>
      <c r="AT385" s="151">
        <f>IF(K385="Bexar",(AG385/$AT$1)*'1. UC Assumptions'!$E$44-(AH385/$AT$2)*'1. UC Assumptions'!$E$42,0)</f>
        <v>0</v>
      </c>
      <c r="AU385" s="151">
        <f>IF(K385="Dallas",(AG385/$AU$1)*'1. UC Assumptions'!$F$44-(AH385/$AU$2)*'1. UC Assumptions'!$F$42,0)</f>
        <v>0</v>
      </c>
      <c r="AV385" s="151">
        <f>IF(K385="El Paso",(AG385/$AV$1)*'1. UC Assumptions'!$G$44-(AH385/$AV$2)*'1. UC Assumptions'!$G$42,0)</f>
        <v>0</v>
      </c>
      <c r="AW385" s="151">
        <f>IF(K385="Harris",(AG385/$AW$1)*'1. UC Assumptions'!$H$44-(AH385/$AW$2)*'1. UC Assumptions'!$H$42,0)</f>
        <v>0</v>
      </c>
      <c r="AX385" s="151">
        <f>IF(K385="Hidalgo",(AG385/$AX$1)*'1. UC Assumptions'!$I$44-(AH385/$AX$2)*'1. UC Assumptions'!$I$42,0)</f>
        <v>0</v>
      </c>
      <c r="AY385" s="151">
        <f>IF(K385="Jefferson",(AG385/$AY$1)*'1. UC Assumptions'!$J$44-(AH385/$AY$2)*'1. UC Assumptions'!$J$42,0)</f>
        <v>0</v>
      </c>
      <c r="AZ385" s="151">
        <f>IF(K385="Lubbock",(AG385/$AZ$1)*'1. UC Assumptions'!$K$44-(AH385/$AZ$2)*'1. UC Assumptions'!$K$42,0)</f>
        <v>0</v>
      </c>
      <c r="BA385" s="151">
        <f>IF(K385="MRSA Central",(AG385/$BA$1)*'1. UC Assumptions'!$L$44-(AH385/$BA$2)*'1. UC Assumptions'!$L$42,0)</f>
        <v>0</v>
      </c>
      <c r="BB385" s="151">
        <f>IF(K385="MRSA Northeast",(AG385/$BB$1)*'1. UC Assumptions'!$M$44-(AH385/$BB$2)*'1. UC Assumptions'!$M$42,0)</f>
        <v>0</v>
      </c>
      <c r="BC385" s="151">
        <f>IF(K385="MRSA West",(AG385/$BC$1)*'1. UC Assumptions'!$N$44-(AH385/$BC$2)*'1. UC Assumptions'!$N$42,0)</f>
        <v>0</v>
      </c>
      <c r="BD385" s="151">
        <f>IF(K385="Nueces",(AG385/$BD$1)*'1. UC Assumptions'!$O$44-(AH385/$BD$2)*'1. UC Assumptions'!$O$42,0)</f>
        <v>0</v>
      </c>
      <c r="BE385" s="151">
        <f>IF(K385="Tarrant",(AG385/$BE$1)*'1. UC Assumptions'!$P$44-(AH385/$BE$2)*'1. UC Assumptions'!$P$42,0)</f>
        <v>0</v>
      </c>
      <c r="BF385" s="151">
        <f>IF(K385="Travis",(AG385/$BF$1)*'1. UC Assumptions'!$Q$44-(AH385/$BF$2)*'1. UC Assumptions'!$Q$42,0)</f>
        <v>0</v>
      </c>
      <c r="BG385" s="151">
        <f t="shared" si="120"/>
        <v>0</v>
      </c>
      <c r="BH385" s="151">
        <f t="shared" si="121"/>
        <v>2044357.8765470316</v>
      </c>
      <c r="BI385" s="151">
        <f>ROUNDDOWN(BH385*'1. UC Assumptions'!$C$23,2)</f>
        <v>674638.09</v>
      </c>
      <c r="BJ385" s="154">
        <f t="shared" si="122"/>
        <v>-1057180.9534529685</v>
      </c>
      <c r="BK385" s="154">
        <f t="shared" si="123"/>
        <v>-348869.72389999998</v>
      </c>
      <c r="BL385" s="154">
        <f t="shared" si="124"/>
        <v>0</v>
      </c>
      <c r="BM385" s="154">
        <f t="shared" si="125"/>
        <v>0</v>
      </c>
      <c r="BN385" s="101"/>
      <c r="BO385" s="154">
        <f>(BL385*'1. UC Assumptions'!$C$23)-'3.  UC Calculations by Hospital'!BM385</f>
        <v>0</v>
      </c>
      <c r="BP385" s="13"/>
    </row>
    <row r="386" spans="2:68">
      <c r="B386" s="114"/>
      <c r="C386" s="158" t="s">
        <v>1115</v>
      </c>
      <c r="D386" s="114" t="s">
        <v>36</v>
      </c>
      <c r="E386" s="114"/>
      <c r="F386" s="114" t="s">
        <v>1095</v>
      </c>
      <c r="G386" s="91" t="s">
        <v>209</v>
      </c>
      <c r="H386" s="91" t="s">
        <v>209</v>
      </c>
      <c r="I386" s="150" t="s">
        <v>210</v>
      </c>
      <c r="J386" s="159" t="s">
        <v>1116</v>
      </c>
      <c r="K386" s="91" t="s">
        <v>14</v>
      </c>
      <c r="L386" s="96" t="s">
        <v>14</v>
      </c>
      <c r="M386" s="151">
        <v>0</v>
      </c>
      <c r="N386" s="151">
        <v>0</v>
      </c>
      <c r="O386" s="131">
        <v>0</v>
      </c>
      <c r="P386" s="131">
        <f t="shared" si="106"/>
        <v>0</v>
      </c>
      <c r="Q386" s="131">
        <v>160034.43621855351</v>
      </c>
      <c r="R386" s="131">
        <v>0</v>
      </c>
      <c r="S386" s="131">
        <f t="shared" si="107"/>
        <v>0</v>
      </c>
      <c r="T386" s="131">
        <f t="shared" si="140"/>
        <v>160034.43621855351</v>
      </c>
      <c r="U386" s="131">
        <v>0</v>
      </c>
      <c r="V386" s="131">
        <v>0</v>
      </c>
      <c r="W386" s="131">
        <v>0</v>
      </c>
      <c r="X386" s="131">
        <v>0</v>
      </c>
      <c r="Y386" s="131">
        <v>0</v>
      </c>
      <c r="Z386" s="131">
        <f t="shared" si="108"/>
        <v>0</v>
      </c>
      <c r="AA386" s="131">
        <v>0</v>
      </c>
      <c r="AB386" s="133">
        <f t="shared" si="109"/>
        <v>160034.43621855351</v>
      </c>
      <c r="AC386" s="133">
        <f>IF(D386="Physician Group Practice",(AB386/$AB$393)*'1. UC Assumptions'!$C$15,IF(E386="Rural Hospital",AB386*'1. UC Assumptions'!$C$7/'1. UC Assumptions'!$E$7,(AB386/$AB$397)*('1. UC Assumptions'!$C$9)))</f>
        <v>81700.074203963726</v>
      </c>
      <c r="AD386" s="133">
        <f t="shared" si="110"/>
        <v>0</v>
      </c>
      <c r="AE386" s="133">
        <f t="shared" si="111"/>
        <v>78334.362014589788</v>
      </c>
      <c r="AF386" s="133">
        <f t="shared" si="127"/>
        <v>0</v>
      </c>
      <c r="AG386" s="133">
        <f t="shared" si="113"/>
        <v>78334.362014589788</v>
      </c>
      <c r="AH386" s="133">
        <f t="shared" si="114"/>
        <v>81700.074203963726</v>
      </c>
      <c r="AI386" s="131">
        <f>AH386*'1. UC Assumptions'!$C$23</f>
        <v>26961.024487308026</v>
      </c>
      <c r="AJ386" s="131">
        <v>55389.760000000002</v>
      </c>
      <c r="AK386" s="131">
        <f>AJ386*(1-'1. UC Assumptions'!$C$22)</f>
        <v>18278.620799999997</v>
      </c>
      <c r="AL386" s="131"/>
      <c r="AM386" s="131">
        <f>AL386*'1. UC Assumptions'!$C$23</f>
        <v>0</v>
      </c>
      <c r="AN386" s="153">
        <f t="shared" si="115"/>
        <v>160034.43621855351</v>
      </c>
      <c r="AO386" s="151">
        <f>AN386*'1. UC Assumptions'!$C$23</f>
        <v>52811.363952122651</v>
      </c>
      <c r="AP386" s="151">
        <f t="shared" si="116"/>
        <v>104644.6762185535</v>
      </c>
      <c r="AQ386" s="151">
        <f t="shared" si="117"/>
        <v>34532.743152122654</v>
      </c>
      <c r="AR386" s="151">
        <f t="shared" si="118"/>
        <v>34532.743152122654</v>
      </c>
      <c r="AS386" s="151">
        <f t="shared" si="119"/>
        <v>52811.363952122651</v>
      </c>
      <c r="AT386" s="151">
        <f>IF(K386="Bexar",(AG386/$AT$1)*'1. UC Assumptions'!$E$44-(AH386/$AT$2)*'1. UC Assumptions'!$E$42,0)</f>
        <v>0</v>
      </c>
      <c r="AU386" s="151">
        <f>IF(K386="Dallas",(AG386/$AU$1)*'1. UC Assumptions'!$F$44-(AH386/$AU$2)*'1. UC Assumptions'!$F$42,0)</f>
        <v>0</v>
      </c>
      <c r="AV386" s="151">
        <f>IF(K386="El Paso",(AG386/$AV$1)*'1. UC Assumptions'!$G$44-(AH386/$AV$2)*'1. UC Assumptions'!$G$42,0)</f>
        <v>0</v>
      </c>
      <c r="AW386" s="151">
        <f>IF(K386="Harris",(AG386/$AW$1)*'1. UC Assumptions'!$H$44-(AH386/$AW$2)*'1. UC Assumptions'!$H$42,0)</f>
        <v>0</v>
      </c>
      <c r="AX386" s="151">
        <f>IF(K386="Hidalgo",(AG386/$AX$1)*'1. UC Assumptions'!$I$44-(AH386/$AX$2)*'1. UC Assumptions'!$I$42,0)</f>
        <v>0</v>
      </c>
      <c r="AY386" s="151">
        <f>IF(K386="Jefferson",(AG386/$AY$1)*'1. UC Assumptions'!$J$44-(AH386/$AY$2)*'1. UC Assumptions'!$J$42,0)</f>
        <v>0</v>
      </c>
      <c r="AZ386" s="151">
        <f>IF(K386="Lubbock",(AG386/$AZ$1)*'1. UC Assumptions'!$K$44-(AH386/$AZ$2)*'1. UC Assumptions'!$K$42,0)</f>
        <v>0</v>
      </c>
      <c r="BA386" s="151">
        <f>IF(K386="MRSA Central",(AG386/$BA$1)*'1. UC Assumptions'!$L$44-(AH386/$BA$2)*'1. UC Assumptions'!$L$42,0)</f>
        <v>0</v>
      </c>
      <c r="BB386" s="151">
        <f>IF(K386="MRSA Northeast",(AG386/$BB$1)*'1. UC Assumptions'!$M$44-(AH386/$BB$2)*'1. UC Assumptions'!$M$42,0)</f>
        <v>0</v>
      </c>
      <c r="BC386" s="151">
        <f>IF(K386="MRSA West",(AG386/$BC$1)*'1. UC Assumptions'!$N$44-(AH386/$BC$2)*'1. UC Assumptions'!$N$42,0)</f>
        <v>0</v>
      </c>
      <c r="BD386" s="151">
        <f>IF(K386="Nueces",(AG386/$BD$1)*'1. UC Assumptions'!$O$44-(AH386/$BD$2)*'1. UC Assumptions'!$O$42,0)</f>
        <v>0</v>
      </c>
      <c r="BE386" s="151">
        <f>IF(K386="Tarrant",(AG386/$BE$1)*'1. UC Assumptions'!$P$44-(AH386/$BE$2)*'1. UC Assumptions'!$P$42,0)</f>
        <v>0</v>
      </c>
      <c r="BF386" s="151">
        <f>IF(K386="Travis",(AG386/$BF$1)*'1. UC Assumptions'!$Q$44-(AH386/$BF$2)*'1. UC Assumptions'!$Q$42,0)</f>
        <v>0</v>
      </c>
      <c r="BG386" s="151">
        <f t="shared" si="120"/>
        <v>0</v>
      </c>
      <c r="BH386" s="151">
        <f t="shared" si="121"/>
        <v>81700.074203963726</v>
      </c>
      <c r="BI386" s="151">
        <f>ROUNDDOWN(BH386*'1. UC Assumptions'!$C$23,2)</f>
        <v>26961.02</v>
      </c>
      <c r="BJ386" s="154">
        <f t="shared" si="122"/>
        <v>26310.314203963724</v>
      </c>
      <c r="BK386" s="154">
        <f t="shared" si="123"/>
        <v>8682.3992000000035</v>
      </c>
      <c r="BL386" s="154">
        <f t="shared" si="124"/>
        <v>24290.21</v>
      </c>
      <c r="BM386" s="154">
        <f t="shared" si="125"/>
        <v>8015.77</v>
      </c>
      <c r="BN386" s="101"/>
      <c r="BO386" s="154">
        <f>(BL386*'1. UC Assumptions'!$C$23)-'3.  UC Calculations by Hospital'!BM386</f>
        <v>-7.0000000141590135E-4</v>
      </c>
      <c r="BP386" s="13"/>
    </row>
    <row r="387" spans="2:68">
      <c r="B387" s="114"/>
      <c r="C387" s="158" t="s">
        <v>1117</v>
      </c>
      <c r="D387" s="114" t="s">
        <v>36</v>
      </c>
      <c r="E387" s="114"/>
      <c r="F387" s="114" t="s">
        <v>1106</v>
      </c>
      <c r="G387" s="91" t="s">
        <v>209</v>
      </c>
      <c r="H387" s="91" t="s">
        <v>209</v>
      </c>
      <c r="I387" s="150" t="s">
        <v>210</v>
      </c>
      <c r="J387" s="159" t="s">
        <v>1118</v>
      </c>
      <c r="K387" s="91" t="s">
        <v>9</v>
      </c>
      <c r="L387" s="91" t="s">
        <v>9</v>
      </c>
      <c r="M387" s="151">
        <v>0</v>
      </c>
      <c r="N387" s="151">
        <v>0</v>
      </c>
      <c r="O387" s="131">
        <v>0</v>
      </c>
      <c r="P387" s="131">
        <f t="shared" si="106"/>
        <v>0</v>
      </c>
      <c r="Q387" s="131">
        <v>42.030723827191416</v>
      </c>
      <c r="R387" s="131">
        <v>0</v>
      </c>
      <c r="S387" s="131">
        <f t="shared" si="107"/>
        <v>0</v>
      </c>
      <c r="T387" s="131">
        <f t="shared" si="140"/>
        <v>42.030723827191416</v>
      </c>
      <c r="U387" s="131">
        <v>0</v>
      </c>
      <c r="V387" s="131">
        <v>0</v>
      </c>
      <c r="W387" s="131">
        <v>0</v>
      </c>
      <c r="X387" s="131">
        <v>0</v>
      </c>
      <c r="Y387" s="131">
        <v>0</v>
      </c>
      <c r="Z387" s="131">
        <f t="shared" si="108"/>
        <v>0</v>
      </c>
      <c r="AA387" s="131">
        <v>0</v>
      </c>
      <c r="AB387" s="133">
        <f t="shared" si="109"/>
        <v>42.030723827191416</v>
      </c>
      <c r="AC387" s="133">
        <f>IF(D387="Physician Group Practice",(AB387/$AB$393)*'1. UC Assumptions'!$C$15,IF(E387="Rural Hospital",AB387*'1. UC Assumptions'!$C$7/'1. UC Assumptions'!$E$7,(AB387/$AB$397)*('1. UC Assumptions'!$C$9)))</f>
        <v>21.457339661810465</v>
      </c>
      <c r="AD387" s="133">
        <f t="shared" si="110"/>
        <v>0</v>
      </c>
      <c r="AE387" s="133">
        <f t="shared" si="111"/>
        <v>20.573384165380951</v>
      </c>
      <c r="AF387" s="133">
        <f t="shared" si="127"/>
        <v>0</v>
      </c>
      <c r="AG387" s="133">
        <f t="shared" si="113"/>
        <v>20.573384165380951</v>
      </c>
      <c r="AH387" s="133">
        <f t="shared" si="114"/>
        <v>21.457339661810465</v>
      </c>
      <c r="AI387" s="131">
        <f>AH387*'1. UC Assumptions'!$C$23</f>
        <v>7.0809220883974531</v>
      </c>
      <c r="AJ387" s="131">
        <v>9736.85</v>
      </c>
      <c r="AK387" s="131">
        <f>AJ387*(1-'1. UC Assumptions'!$C$22)</f>
        <v>3213.1605</v>
      </c>
      <c r="AL387" s="131"/>
      <c r="AM387" s="131">
        <f>AL387*'1. UC Assumptions'!$C$23</f>
        <v>0</v>
      </c>
      <c r="AN387" s="153">
        <f t="shared" si="115"/>
        <v>42.030723827191416</v>
      </c>
      <c r="AO387" s="151">
        <f>AN387*'1. UC Assumptions'!$C$23</f>
        <v>13.870138862973166</v>
      </c>
      <c r="AP387" s="151">
        <f t="shared" si="116"/>
        <v>-9694.8192761728096</v>
      </c>
      <c r="AQ387" s="151">
        <f t="shared" si="117"/>
        <v>-3199.2903611370266</v>
      </c>
      <c r="AR387" s="151">
        <f t="shared" si="118"/>
        <v>-3199.2903611370266</v>
      </c>
      <c r="AS387" s="151">
        <f t="shared" si="119"/>
        <v>13.870138862973363</v>
      </c>
      <c r="AT387" s="151">
        <f>IF(K387="Bexar",(AG387/$AT$1)*'1. UC Assumptions'!$E$44-(AH387/$AT$2)*'1. UC Assumptions'!$E$42,0)</f>
        <v>0</v>
      </c>
      <c r="AU387" s="151">
        <f>IF(K387="Dallas",(AG387/$AU$1)*'1. UC Assumptions'!$F$44-(AH387/$AU$2)*'1. UC Assumptions'!$F$42,0)</f>
        <v>0</v>
      </c>
      <c r="AV387" s="151">
        <f>IF(K387="El Paso",(AG387/$AV$1)*'1. UC Assumptions'!$G$44-(AH387/$AV$2)*'1. UC Assumptions'!$G$42,0)</f>
        <v>0</v>
      </c>
      <c r="AW387" s="151">
        <f>IF(K387="Harris",(AG387/$AW$1)*'1. UC Assumptions'!$H$44-(AH387/$AW$2)*'1. UC Assumptions'!$H$42,0)</f>
        <v>0</v>
      </c>
      <c r="AX387" s="151">
        <f>IF(K387="Hidalgo",(AG387/$AX$1)*'1. UC Assumptions'!$I$44-(AH387/$AX$2)*'1. UC Assumptions'!$I$42,0)</f>
        <v>0</v>
      </c>
      <c r="AY387" s="151">
        <f>IF(K387="Jefferson",(AG387/$AY$1)*'1. UC Assumptions'!$J$44-(AH387/$AY$2)*'1. UC Assumptions'!$J$42,0)</f>
        <v>0</v>
      </c>
      <c r="AZ387" s="151">
        <f>IF(K387="Lubbock",(AG387/$AZ$1)*'1. UC Assumptions'!$K$44-(AH387/$AZ$2)*'1. UC Assumptions'!$K$42,0)</f>
        <v>0</v>
      </c>
      <c r="BA387" s="151">
        <f>IF(K387="MRSA Central",(AG387/$BA$1)*'1. UC Assumptions'!$L$44-(AH387/$BA$2)*'1. UC Assumptions'!$L$42,0)</f>
        <v>0</v>
      </c>
      <c r="BB387" s="151">
        <f>IF(K387="MRSA Northeast",(AG387/$BB$1)*'1. UC Assumptions'!$M$44-(AH387/$BB$2)*'1. UC Assumptions'!$M$42,0)</f>
        <v>0</v>
      </c>
      <c r="BC387" s="151">
        <f>IF(K387="MRSA West",(AG387/$BC$1)*'1. UC Assumptions'!$N$44-(AH387/$BC$2)*'1. UC Assumptions'!$N$42,0)</f>
        <v>0</v>
      </c>
      <c r="BD387" s="151">
        <f>IF(K387="Nueces",(AG387/$BD$1)*'1. UC Assumptions'!$O$44-(AH387/$BD$2)*'1. UC Assumptions'!$O$42,0)</f>
        <v>0</v>
      </c>
      <c r="BE387" s="151">
        <f>IF(K387="Tarrant",(AG387/$BE$1)*'1. UC Assumptions'!$P$44-(AH387/$BE$2)*'1. UC Assumptions'!$P$42,0)</f>
        <v>0</v>
      </c>
      <c r="BF387" s="151">
        <f>IF(K387="Travis",(AG387/$BF$1)*'1. UC Assumptions'!$Q$44-(AH387/$BF$2)*'1. UC Assumptions'!$Q$42,0)</f>
        <v>0</v>
      </c>
      <c r="BG387" s="151">
        <f t="shared" si="120"/>
        <v>0</v>
      </c>
      <c r="BH387" s="151">
        <f t="shared" si="121"/>
        <v>21.457339661810465</v>
      </c>
      <c r="BI387" s="151">
        <f>ROUNDDOWN(BH387*'1. UC Assumptions'!$C$23,2)</f>
        <v>7.08</v>
      </c>
      <c r="BJ387" s="154">
        <f t="shared" si="122"/>
        <v>-9715.3926603381897</v>
      </c>
      <c r="BK387" s="154">
        <f t="shared" si="123"/>
        <v>-3206.0805</v>
      </c>
      <c r="BL387" s="154">
        <f t="shared" si="124"/>
        <v>0</v>
      </c>
      <c r="BM387" s="154">
        <f t="shared" si="125"/>
        <v>0</v>
      </c>
      <c r="BN387" s="101"/>
      <c r="BO387" s="154">
        <f>(BL387*'1. UC Assumptions'!$C$23)-'3.  UC Calculations by Hospital'!BM387</f>
        <v>0</v>
      </c>
      <c r="BP387" s="13"/>
    </row>
    <row r="388" spans="2:68">
      <c r="B388" s="129"/>
      <c r="C388" s="158" t="s">
        <v>1119</v>
      </c>
      <c r="D388" s="114" t="s">
        <v>36</v>
      </c>
      <c r="E388" s="91"/>
      <c r="F388" s="114" t="s">
        <v>1106</v>
      </c>
      <c r="G388" s="91" t="s">
        <v>209</v>
      </c>
      <c r="H388" s="91" t="s">
        <v>209</v>
      </c>
      <c r="I388" s="150" t="s">
        <v>210</v>
      </c>
      <c r="J388" s="159" t="s">
        <v>1120</v>
      </c>
      <c r="K388" s="91" t="s">
        <v>9</v>
      </c>
      <c r="L388" s="91" t="s">
        <v>9</v>
      </c>
      <c r="M388" s="151">
        <v>0</v>
      </c>
      <c r="N388" s="151">
        <v>0</v>
      </c>
      <c r="O388" s="131">
        <v>0</v>
      </c>
      <c r="P388" s="131">
        <f t="shared" si="106"/>
        <v>0</v>
      </c>
      <c r="Q388" s="131">
        <v>34887.997970627664</v>
      </c>
      <c r="R388" s="131">
        <v>0</v>
      </c>
      <c r="S388" s="131">
        <f t="shared" si="107"/>
        <v>0</v>
      </c>
      <c r="T388" s="131">
        <f t="shared" si="140"/>
        <v>34887.997970627664</v>
      </c>
      <c r="U388" s="131">
        <v>0</v>
      </c>
      <c r="V388" s="131">
        <v>0</v>
      </c>
      <c r="W388" s="131">
        <v>0</v>
      </c>
      <c r="X388" s="131">
        <v>0</v>
      </c>
      <c r="Y388" s="131">
        <v>0</v>
      </c>
      <c r="Z388" s="131">
        <f t="shared" si="108"/>
        <v>0</v>
      </c>
      <c r="AA388" s="131">
        <v>0</v>
      </c>
      <c r="AB388" s="133">
        <f t="shared" si="109"/>
        <v>34887.997970627664</v>
      </c>
      <c r="AC388" s="133">
        <f>IF(D388="Physician Group Practice",(AB388/$AB$393)*'1. UC Assumptions'!$C$15,IF(E388="Rural Hospital",AB388*'1. UC Assumptions'!$C$7/'1. UC Assumptions'!$E$7,(AB388/$AB$397)*('1. UC Assumptions'!$C$9)))</f>
        <v>17810.866775794359</v>
      </c>
      <c r="AD388" s="133">
        <f t="shared" si="110"/>
        <v>0</v>
      </c>
      <c r="AE388" s="133">
        <f t="shared" si="111"/>
        <v>17077.131194833306</v>
      </c>
      <c r="AF388" s="133">
        <f t="shared" si="127"/>
        <v>0</v>
      </c>
      <c r="AG388" s="133">
        <f t="shared" si="113"/>
        <v>17077.131194833306</v>
      </c>
      <c r="AH388" s="133">
        <f t="shared" si="114"/>
        <v>17810.866775794359</v>
      </c>
      <c r="AI388" s="131">
        <f>AH388*'1. UC Assumptions'!$C$23</f>
        <v>5877.5860360121378</v>
      </c>
      <c r="AJ388" s="131">
        <v>7799.29</v>
      </c>
      <c r="AK388" s="131">
        <f>AJ388*(1-'1. UC Assumptions'!$C$22)</f>
        <v>2573.7656999999995</v>
      </c>
      <c r="AL388" s="131"/>
      <c r="AM388" s="131">
        <f>AL388*'1. UC Assumptions'!$C$23</f>
        <v>0</v>
      </c>
      <c r="AN388" s="153">
        <f t="shared" si="115"/>
        <v>34887.997970627664</v>
      </c>
      <c r="AO388" s="151">
        <f>AN388*'1. UC Assumptions'!$C$23</f>
        <v>11513.039330307129</v>
      </c>
      <c r="AP388" s="151">
        <f t="shared" si="116"/>
        <v>27088.707970627664</v>
      </c>
      <c r="AQ388" s="151">
        <f t="shared" si="117"/>
        <v>8939.2736303071288</v>
      </c>
      <c r="AR388" s="151">
        <f t="shared" si="118"/>
        <v>8939.2736303071288</v>
      </c>
      <c r="AS388" s="151">
        <f t="shared" si="119"/>
        <v>11513.039330307129</v>
      </c>
      <c r="AT388" s="151">
        <f>IF(K388="Bexar",(AG388/$AT$1)*'1. UC Assumptions'!$E$44-(AH388/$AT$2)*'1. UC Assumptions'!$E$42,0)</f>
        <v>0</v>
      </c>
      <c r="AU388" s="151">
        <f>IF(K388="Dallas",(AG388/$AU$1)*'1. UC Assumptions'!$F$44-(AH388/$AU$2)*'1. UC Assumptions'!$F$42,0)</f>
        <v>0</v>
      </c>
      <c r="AV388" s="151">
        <f>IF(K388="El Paso",(AG388/$AV$1)*'1. UC Assumptions'!$G$44-(AH388/$AV$2)*'1. UC Assumptions'!$G$42,0)</f>
        <v>0</v>
      </c>
      <c r="AW388" s="151">
        <f>IF(K388="Harris",(AG388/$AW$1)*'1. UC Assumptions'!$H$44-(AH388/$AW$2)*'1. UC Assumptions'!$H$42,0)</f>
        <v>0</v>
      </c>
      <c r="AX388" s="151">
        <f>IF(K388="Hidalgo",(AG388/$AX$1)*'1. UC Assumptions'!$I$44-(AH388/$AX$2)*'1. UC Assumptions'!$I$42,0)</f>
        <v>0</v>
      </c>
      <c r="AY388" s="151">
        <f>IF(K388="Jefferson",(AG388/$AY$1)*'1. UC Assumptions'!$J$44-(AH388/$AY$2)*'1. UC Assumptions'!$J$42,0)</f>
        <v>0</v>
      </c>
      <c r="AZ388" s="151">
        <f>IF(K388="Lubbock",(AG388/$AZ$1)*'1. UC Assumptions'!$K$44-(AH388/$AZ$2)*'1. UC Assumptions'!$K$42,0)</f>
        <v>0</v>
      </c>
      <c r="BA388" s="151">
        <f>IF(K388="MRSA Central",(AG388/$BA$1)*'1. UC Assumptions'!$L$44-(AH388/$BA$2)*'1. UC Assumptions'!$L$42,0)</f>
        <v>0</v>
      </c>
      <c r="BB388" s="151">
        <f>IF(K388="MRSA Northeast",(AG388/$BB$1)*'1. UC Assumptions'!$M$44-(AH388/$BB$2)*'1. UC Assumptions'!$M$42,0)</f>
        <v>0</v>
      </c>
      <c r="BC388" s="151">
        <f>IF(K388="MRSA West",(AG388/$BC$1)*'1. UC Assumptions'!$N$44-(AH388/$BC$2)*'1. UC Assumptions'!$N$42,0)</f>
        <v>0</v>
      </c>
      <c r="BD388" s="151">
        <f>IF(K388="Nueces",(AG388/$BD$1)*'1. UC Assumptions'!$O$44-(AH388/$BD$2)*'1. UC Assumptions'!$O$42,0)</f>
        <v>0</v>
      </c>
      <c r="BE388" s="151">
        <f>IF(K388="Tarrant",(AG388/$BE$1)*'1. UC Assumptions'!$P$44-(AH388/$BE$2)*'1. UC Assumptions'!$P$42,0)</f>
        <v>0</v>
      </c>
      <c r="BF388" s="151">
        <f>IF(K388="Travis",(AG388/$BF$1)*'1. UC Assumptions'!$Q$44-(AH388/$BF$2)*'1. UC Assumptions'!$Q$42,0)</f>
        <v>0</v>
      </c>
      <c r="BG388" s="151">
        <f t="shared" si="120"/>
        <v>0</v>
      </c>
      <c r="BH388" s="151">
        <f t="shared" si="121"/>
        <v>17810.866775794359</v>
      </c>
      <c r="BI388" s="151">
        <f>ROUNDDOWN(BH388*'1. UC Assumptions'!$C$23,2)</f>
        <v>5877.58</v>
      </c>
      <c r="BJ388" s="154">
        <f t="shared" si="122"/>
        <v>10011.576775794358</v>
      </c>
      <c r="BK388" s="154">
        <f t="shared" si="123"/>
        <v>3303.8143000000005</v>
      </c>
      <c r="BL388" s="154">
        <f t="shared" si="124"/>
        <v>9242.89</v>
      </c>
      <c r="BM388" s="154">
        <f t="shared" si="125"/>
        <v>3050.15</v>
      </c>
      <c r="BN388" s="101"/>
      <c r="BO388" s="154">
        <f>(BL388*'1. UC Assumptions'!$C$23)-'3.  UC Calculations by Hospital'!BM388</f>
        <v>3.6999999992985977E-3</v>
      </c>
      <c r="BP388" s="13"/>
    </row>
    <row r="389" spans="2:68">
      <c r="B389" s="129"/>
      <c r="C389" s="158" t="s">
        <v>1121</v>
      </c>
      <c r="D389" s="114" t="s">
        <v>36</v>
      </c>
      <c r="E389" s="91"/>
      <c r="F389" s="91" t="s">
        <v>1095</v>
      </c>
      <c r="G389" s="91"/>
      <c r="H389" s="91"/>
      <c r="I389" s="150"/>
      <c r="J389" s="159" t="s">
        <v>1122</v>
      </c>
      <c r="K389" s="91" t="s">
        <v>10</v>
      </c>
      <c r="L389" s="91" t="s">
        <v>553</v>
      </c>
      <c r="M389" s="151">
        <v>0</v>
      </c>
      <c r="N389" s="151">
        <v>0</v>
      </c>
      <c r="O389" s="131">
        <v>0</v>
      </c>
      <c r="P389" s="131">
        <v>0</v>
      </c>
      <c r="Q389" s="131">
        <v>0</v>
      </c>
      <c r="R389" s="131">
        <v>0</v>
      </c>
      <c r="S389" s="131">
        <v>0</v>
      </c>
      <c r="T389" s="131">
        <f t="shared" si="140"/>
        <v>0</v>
      </c>
      <c r="U389" s="131">
        <v>0</v>
      </c>
      <c r="V389" s="131">
        <v>0</v>
      </c>
      <c r="W389" s="131">
        <v>0</v>
      </c>
      <c r="X389" s="131">
        <v>0</v>
      </c>
      <c r="Y389" s="131">
        <v>0</v>
      </c>
      <c r="Z389" s="131">
        <f t="shared" ref="Z389" si="141">SUM(U389:Y389)</f>
        <v>0</v>
      </c>
      <c r="AA389" s="131">
        <v>0</v>
      </c>
      <c r="AB389" s="133">
        <f t="shared" ref="AB389" si="142">IF(I389="Yes",Z389-Y389,T389+Z389+AA389)</f>
        <v>0</v>
      </c>
      <c r="AC389" s="133">
        <f>IF(D389="Physician Group Practice",(AB389/$AB$393)*'1. UC Assumptions'!$C$15,IF(E389="Rural Hospital",AB389*'1. UC Assumptions'!$C$7/'1. UC Assumptions'!$E$7,(AB389/$AB$397)*('1. UC Assumptions'!$C$9)))</f>
        <v>0</v>
      </c>
      <c r="AD389" s="133">
        <f t="shared" ref="AD389" si="143">IF((AC389)&gt;AB389-AA389,(AC389)-(AB389-AA389),0)</f>
        <v>0</v>
      </c>
      <c r="AE389" s="133">
        <f t="shared" ref="AE389" si="144">IF(AD389&gt;0,0,AB389-AA389-AC389)</f>
        <v>0</v>
      </c>
      <c r="AF389" s="133">
        <f t="shared" si="127"/>
        <v>0</v>
      </c>
      <c r="AG389" s="133">
        <f t="shared" ref="AG389" si="145">AE389-AF389</f>
        <v>0</v>
      </c>
      <c r="AH389" s="133">
        <f t="shared" si="114"/>
        <v>0</v>
      </c>
      <c r="AI389" s="131">
        <f>AH389*'1. UC Assumptions'!$C$23</f>
        <v>0</v>
      </c>
      <c r="AJ389" s="131">
        <v>47692.82</v>
      </c>
      <c r="AK389" s="131">
        <f>AJ389*(1-'1. UC Assumptions'!$C$22)</f>
        <v>15738.630599999999</v>
      </c>
      <c r="AL389" s="131"/>
      <c r="AM389" s="131">
        <f>AL389*'1. UC Assumptions'!$C$23</f>
        <v>0</v>
      </c>
      <c r="AN389" s="153">
        <f t="shared" si="115"/>
        <v>0</v>
      </c>
      <c r="AO389" s="151">
        <f>AN389*'1. UC Assumptions'!$C$23</f>
        <v>0</v>
      </c>
      <c r="AP389" s="151">
        <f t="shared" si="116"/>
        <v>-47692.82</v>
      </c>
      <c r="AQ389" s="151">
        <f t="shared" si="117"/>
        <v>-15738.630599999999</v>
      </c>
      <c r="AR389" s="151">
        <f t="shared" ref="AR389:AR390" si="146">AQ389</f>
        <v>-15738.630599999999</v>
      </c>
      <c r="AS389" s="151">
        <f t="shared" ref="AS389" si="147">IF(I389="Yes",AR389+AM389,AR389+AK389)</f>
        <v>0</v>
      </c>
      <c r="AT389" s="151">
        <f>IF(K389="Bexar",(AG389/$AT$1)*'1. UC Assumptions'!$E$44-(AH389/$AT$2)*'1. UC Assumptions'!$E$42,0)</f>
        <v>0</v>
      </c>
      <c r="AU389" s="151">
        <f>IF(K389="Dallas",(AG389/$AU$1)*'1. UC Assumptions'!$F$44-(AH389/$AU$2)*'1. UC Assumptions'!$F$42,0)</f>
        <v>0</v>
      </c>
      <c r="AV389" s="151">
        <f>IF(K389="El Paso",(AG389/$AV$1)*'1. UC Assumptions'!$G$44-(AH389/$AV$2)*'1. UC Assumptions'!$G$42,0)</f>
        <v>0</v>
      </c>
      <c r="AW389" s="151">
        <f>IF(K389="Harris",(AG389/$AW$1)*'1. UC Assumptions'!$H$44-(AH389/$AW$2)*'1. UC Assumptions'!$H$42,0)</f>
        <v>0</v>
      </c>
      <c r="AX389" s="151">
        <f>IF(K389="Hidalgo",(AG389/$AX$1)*'1. UC Assumptions'!$I$44-(AH389/$AX$2)*'1. UC Assumptions'!$I$42,0)</f>
        <v>0</v>
      </c>
      <c r="AY389" s="151">
        <f>IF(K389="Jefferson",(AG389/$AY$1)*'1. UC Assumptions'!$J$44-(AH389/$AY$2)*'1. UC Assumptions'!$J$42,0)</f>
        <v>0</v>
      </c>
      <c r="AZ389" s="151">
        <f>IF(K389="Lubbock",(AG389/$AZ$1)*'1. UC Assumptions'!$K$44-(AH389/$AZ$2)*'1. UC Assumptions'!$K$42,0)</f>
        <v>0</v>
      </c>
      <c r="BA389" s="151">
        <f>IF(K389="MRSA Central",(AG389/$BA$1)*'1. UC Assumptions'!$L$44-(AH389/$BA$2)*'1. UC Assumptions'!$L$42,0)</f>
        <v>0</v>
      </c>
      <c r="BB389" s="151">
        <f>IF(K389="MRSA Northeast",(AG389/$BB$1)*'1. UC Assumptions'!$M$44-(AH389/$BB$2)*'1. UC Assumptions'!$M$42,0)</f>
        <v>0</v>
      </c>
      <c r="BC389" s="151">
        <f>IF(K389="MRSA West",(AG389/$BC$1)*'1. UC Assumptions'!$N$44-(AH389/$BC$2)*'1. UC Assumptions'!$N$42,0)</f>
        <v>0</v>
      </c>
      <c r="BD389" s="151">
        <f>IF(K389="Nueces",(AG389/$BD$1)*'1. UC Assumptions'!$O$44-(AH389/$BD$2)*'1. UC Assumptions'!$O$42,0)</f>
        <v>0</v>
      </c>
      <c r="BE389" s="151">
        <f>IF(K389="Tarrant",(AG389/$BE$1)*'1. UC Assumptions'!$P$44-(AH389/$BE$2)*'1. UC Assumptions'!$P$42,0)</f>
        <v>0</v>
      </c>
      <c r="BF389" s="151">
        <f>IF(K389="Travis",(AG389/$BF$1)*'1. UC Assumptions'!$Q$44-(AH389/$BF$2)*'1. UC Assumptions'!$Q$42,0)</f>
        <v>0</v>
      </c>
      <c r="BG389" s="151">
        <f t="shared" ref="BG389" si="148">SUM(AT389:BF389)</f>
        <v>0</v>
      </c>
      <c r="BH389" s="151">
        <f t="shared" ref="BH389" si="149">AH389+BG389</f>
        <v>0</v>
      </c>
      <c r="BI389" s="151">
        <f>ROUNDDOWN(BH389*'1. UC Assumptions'!$C$23,2)</f>
        <v>0</v>
      </c>
      <c r="BJ389" s="154">
        <f t="shared" si="122"/>
        <v>-47692.82</v>
      </c>
      <c r="BK389" s="154">
        <f t="shared" si="123"/>
        <v>-15738.630599999999</v>
      </c>
      <c r="BL389" s="154">
        <f t="shared" si="124"/>
        <v>0</v>
      </c>
      <c r="BM389" s="154">
        <f t="shared" si="125"/>
        <v>0</v>
      </c>
      <c r="BN389" s="101"/>
      <c r="BO389" s="154">
        <f>(BL389*'1. UC Assumptions'!$C$23)-'3.  UC Calculations by Hospital'!BM389</f>
        <v>0</v>
      </c>
      <c r="BP389" s="13"/>
    </row>
    <row r="390" spans="2:68">
      <c r="B390" s="114"/>
      <c r="C390" s="91"/>
      <c r="D390" s="161" t="s">
        <v>44</v>
      </c>
      <c r="E390" s="91"/>
      <c r="F390" s="91"/>
      <c r="G390" s="91"/>
      <c r="H390" s="91"/>
      <c r="I390" s="114"/>
      <c r="J390" s="114" t="s">
        <v>44</v>
      </c>
      <c r="K390" s="114"/>
      <c r="L390" s="91"/>
      <c r="M390" s="133">
        <f t="shared" ref="M390:AQ390" si="150">SUM(M4:M389)</f>
        <v>-490163399.19710803</v>
      </c>
      <c r="N390" s="133">
        <f t="shared" si="150"/>
        <v>5899028441.7078304</v>
      </c>
      <c r="O390" s="133">
        <f t="shared" si="150"/>
        <v>3170721408.856708</v>
      </c>
      <c r="P390" s="133">
        <f t="shared" si="150"/>
        <v>2817316055.9874749</v>
      </c>
      <c r="Q390" s="133">
        <f t="shared" si="150"/>
        <v>6004480102.7852821</v>
      </c>
      <c r="R390" s="131">
        <f t="shared" si="150"/>
        <v>1867186939.6400006</v>
      </c>
      <c r="S390" s="133">
        <f t="shared" si="150"/>
        <v>333846599.27735704</v>
      </c>
      <c r="T390" s="133">
        <f t="shared" si="150"/>
        <v>5676106176.0500422</v>
      </c>
      <c r="U390" s="133">
        <f t="shared" si="150"/>
        <v>658410201.31835604</v>
      </c>
      <c r="V390" s="133">
        <f t="shared" si="150"/>
        <v>50513757.960000001</v>
      </c>
      <c r="W390" s="133">
        <f t="shared" si="150"/>
        <v>73700075.858686358</v>
      </c>
      <c r="X390" s="133">
        <f t="shared" si="150"/>
        <v>0</v>
      </c>
      <c r="Y390" s="133">
        <f t="shared" si="150"/>
        <v>537066972.43741369</v>
      </c>
      <c r="Z390" s="133">
        <f t="shared" si="150"/>
        <v>1319691007.5744567</v>
      </c>
      <c r="AA390" s="133">
        <f t="shared" si="150"/>
        <v>432089432.85093474</v>
      </c>
      <c r="AB390" s="133">
        <f t="shared" si="150"/>
        <v>7324536946.9252148</v>
      </c>
      <c r="AC390" s="133">
        <f t="shared" si="150"/>
        <v>3644460952.6734953</v>
      </c>
      <c r="AD390" s="133">
        <f t="shared" si="150"/>
        <v>0</v>
      </c>
      <c r="AE390" s="133">
        <f t="shared" si="150"/>
        <v>3247986561.4007893</v>
      </c>
      <c r="AF390" s="133">
        <f t="shared" si="150"/>
        <v>0</v>
      </c>
      <c r="AG390" s="133">
        <f t="shared" si="150"/>
        <v>3247986561.4007893</v>
      </c>
      <c r="AH390" s="133">
        <f t="shared" si="150"/>
        <v>3644460952.6734953</v>
      </c>
      <c r="AI390" s="133">
        <f t="shared" si="150"/>
        <v>1202672114.3822527</v>
      </c>
      <c r="AJ390" s="133">
        <f t="shared" si="150"/>
        <v>2904904637.4699984</v>
      </c>
      <c r="AK390" s="133">
        <f t="shared" si="150"/>
        <v>958618530.36509991</v>
      </c>
      <c r="AL390" s="133">
        <f t="shared" si="150"/>
        <v>0</v>
      </c>
      <c r="AM390" s="133">
        <f t="shared" si="150"/>
        <v>0</v>
      </c>
      <c r="AN390" s="133">
        <f t="shared" si="150"/>
        <v>6892447514.0742798</v>
      </c>
      <c r="AO390" s="133">
        <f t="shared" si="150"/>
        <v>2274507679.6445141</v>
      </c>
      <c r="AP390" s="133">
        <f t="shared" si="150"/>
        <v>4024101625.9242797</v>
      </c>
      <c r="AQ390" s="133">
        <f t="shared" si="150"/>
        <v>1327953536.5550132</v>
      </c>
      <c r="AR390" s="151">
        <f t="shared" si="146"/>
        <v>1327953536.5550132</v>
      </c>
      <c r="AS390" s="133">
        <f t="shared" ref="AS390:BO390" si="151">SUM(AS4:AS389)</f>
        <v>2274507679.6445141</v>
      </c>
      <c r="AT390" s="133">
        <f t="shared" si="151"/>
        <v>0</v>
      </c>
      <c r="AU390" s="133">
        <f t="shared" si="151"/>
        <v>0</v>
      </c>
      <c r="AV390" s="133">
        <f t="shared" si="151"/>
        <v>0</v>
      </c>
      <c r="AW390" s="133">
        <f t="shared" si="151"/>
        <v>0</v>
      </c>
      <c r="AX390" s="133">
        <f t="shared" si="151"/>
        <v>0</v>
      </c>
      <c r="AY390" s="133">
        <f t="shared" si="151"/>
        <v>0</v>
      </c>
      <c r="AZ390" s="133">
        <f t="shared" si="151"/>
        <v>0</v>
      </c>
      <c r="BA390" s="133">
        <f t="shared" si="151"/>
        <v>0</v>
      </c>
      <c r="BB390" s="133">
        <f t="shared" si="151"/>
        <v>0</v>
      </c>
      <c r="BC390" s="133">
        <f t="shared" si="151"/>
        <v>0</v>
      </c>
      <c r="BD390" s="133">
        <f t="shared" si="151"/>
        <v>0</v>
      </c>
      <c r="BE390" s="133">
        <f t="shared" si="151"/>
        <v>0</v>
      </c>
      <c r="BF390" s="133">
        <f t="shared" si="151"/>
        <v>0</v>
      </c>
      <c r="BG390" s="133">
        <f t="shared" si="151"/>
        <v>0</v>
      </c>
      <c r="BH390" s="133">
        <f t="shared" si="151"/>
        <v>3644460952.6734953</v>
      </c>
      <c r="BI390" s="133">
        <f t="shared" si="151"/>
        <v>1202672112.4200001</v>
      </c>
      <c r="BJ390" s="133">
        <f t="shared" si="151"/>
        <v>776115064.5234952</v>
      </c>
      <c r="BK390" s="133">
        <f t="shared" si="151"/>
        <v>256117969.33050013</v>
      </c>
      <c r="BL390" s="162">
        <f t="shared" si="151"/>
        <v>772905012.4599998</v>
      </c>
      <c r="BM390" s="133">
        <f t="shared" si="151"/>
        <v>255058652.12</v>
      </c>
      <c r="BN390" s="133">
        <f t="shared" si="151"/>
        <v>0</v>
      </c>
      <c r="BO390" s="162">
        <f t="shared" si="151"/>
        <v>1.9917999790172303</v>
      </c>
      <c r="BP390" s="13"/>
    </row>
    <row r="391" spans="2:68">
      <c r="G391" s="70"/>
      <c r="H391" s="70"/>
      <c r="AF391" s="29"/>
      <c r="AN391" s="7">
        <f>AN390-AJ390</f>
        <v>3987542876.6042814</v>
      </c>
      <c r="AO391" s="7">
        <f>(AN391*0.3199)-AK390</f>
        <v>316996435.86060977</v>
      </c>
      <c r="BK391" s="75" t="s">
        <v>1123</v>
      </c>
      <c r="BL391" s="76">
        <f>BL390*'1. UC Assumptions'!C23</f>
        <v>255058654.1117999</v>
      </c>
      <c r="BP391" s="13"/>
    </row>
    <row r="392" spans="2:68">
      <c r="G392" s="70"/>
      <c r="H392" s="70"/>
      <c r="AA392" s="16" t="s">
        <v>1124</v>
      </c>
      <c r="AB392" s="17">
        <f>SUM(AB4:AB389)</f>
        <v>7324536946.9252148</v>
      </c>
      <c r="AC392" s="47"/>
      <c r="AD392" s="17"/>
      <c r="AE392" s="16"/>
      <c r="AF392" s="47"/>
      <c r="AG392" s="16"/>
      <c r="AH392" s="16"/>
      <c r="BK392" s="77" t="s">
        <v>1125</v>
      </c>
      <c r="BL392" s="78">
        <f>BL391-BM390</f>
        <v>1.9917998909950256</v>
      </c>
      <c r="BM392" s="13">
        <f>BL392-BO390</f>
        <v>-8.8022204636217793E-8</v>
      </c>
      <c r="BP392" s="13"/>
    </row>
    <row r="393" spans="2:68" ht="38.25">
      <c r="G393" s="70"/>
      <c r="H393" s="70"/>
      <c r="R393" s="46"/>
      <c r="AA393" s="84" t="s">
        <v>1126</v>
      </c>
      <c r="AB393" s="93">
        <f>SUMIF(D:D,"=Physician Group Practice",AB:AB)</f>
        <v>74048509.32952112</v>
      </c>
      <c r="AC393" s="83">
        <f>AC394+AC395</f>
        <v>53254445.647321016</v>
      </c>
      <c r="AD393" s="17">
        <f>(AB393/'1. UC Assumptions'!E19)*'1. UC Assumptions'!C4</f>
        <v>37802918.23350329</v>
      </c>
      <c r="AE393" s="92">
        <f>AC393-AD393</f>
        <v>15451527.413817726</v>
      </c>
      <c r="AF393" s="29"/>
      <c r="BH393" s="55" t="s">
        <v>1127</v>
      </c>
      <c r="BI393" s="55"/>
      <c r="BJ393" s="13">
        <f>SUMIF(BJ4:BJ389,"&gt;0",BJ4:BJ389)</f>
        <v>837183922.20618045</v>
      </c>
      <c r="BK393" s="13">
        <f>SUMIF(BK4:BK389,"&gt;0",BK4:BK389)</f>
        <v>276270692.64680016</v>
      </c>
      <c r="BP393" s="13"/>
    </row>
    <row r="394" spans="2:68">
      <c r="G394" s="70"/>
      <c r="H394" s="70"/>
      <c r="R394" s="46"/>
      <c r="AA394" s="84" t="s">
        <v>1128</v>
      </c>
      <c r="AB394" s="93">
        <f>SUMIF(F:F,"=State",AB:AB)</f>
        <v>39671747.860433929</v>
      </c>
      <c r="AC394" s="83">
        <f>AB394*0.9</f>
        <v>35704573.074390538</v>
      </c>
      <c r="AD394" s="17">
        <f>(AB394/'1. UC Assumptions'!$E$19)*'1. UC Assumptions'!$C$4</f>
        <v>20253045.660572812</v>
      </c>
      <c r="AE394" s="92">
        <f>AC394-AD394</f>
        <v>15451527.413817726</v>
      </c>
      <c r="AF394" s="29"/>
      <c r="BH394" s="55"/>
      <c r="BI394" s="55"/>
      <c r="BP394" s="13"/>
    </row>
    <row r="395" spans="2:68">
      <c r="G395" s="70"/>
      <c r="H395" s="70"/>
      <c r="R395" s="46"/>
      <c r="AA395" s="84" t="s">
        <v>1129</v>
      </c>
      <c r="AB395" s="93">
        <f>AB393-AB394</f>
        <v>34376761.469087191</v>
      </c>
      <c r="AC395" s="83">
        <f>SUMIF($F:$F,"Non-state",AC:AC)</f>
        <v>17549872.572930478</v>
      </c>
      <c r="AD395" s="17">
        <f>(AB395/'1. UC Assumptions'!$E$19)*'1. UC Assumptions'!$C$4</f>
        <v>17549872.572930481</v>
      </c>
      <c r="AE395" s="92">
        <f>AC395-AD395</f>
        <v>0</v>
      </c>
      <c r="AF395" s="29"/>
      <c r="BH395" s="55"/>
      <c r="BI395" s="55"/>
      <c r="BP395" s="13"/>
    </row>
    <row r="396" spans="2:68">
      <c r="G396" s="70"/>
      <c r="H396" s="70"/>
      <c r="AA396" s="84" t="s">
        <v>1130</v>
      </c>
      <c r="AB396" s="51">
        <f>SUMIF(E4:E389,"Rural Hospital",AB4:AB389)</f>
        <v>427103507.3760165</v>
      </c>
      <c r="AC396" s="39" t="s">
        <v>1131</v>
      </c>
      <c r="AD396" s="17" t="s">
        <v>1132</v>
      </c>
      <c r="AE396" s="39" t="s">
        <v>1133</v>
      </c>
      <c r="AF396" s="29"/>
      <c r="BH396" s="56" t="s">
        <v>1134</v>
      </c>
      <c r="BI396" s="56"/>
      <c r="BJ396" s="13">
        <f>SUMIF(BJ4:BJ389,"&lt;0",BJ4:BJ389)</f>
        <v>-61068857.682685271</v>
      </c>
      <c r="BK396" s="13">
        <f>SUMIF(BK4:BK389,"&lt;0",BK4:BK389)</f>
        <v>-20152723.316299986</v>
      </c>
      <c r="BP396" s="13"/>
    </row>
    <row r="397" spans="2:68" ht="25.5">
      <c r="G397" s="70"/>
      <c r="H397" s="70"/>
      <c r="AA397" s="85" t="s">
        <v>1135</v>
      </c>
      <c r="AB397" s="17">
        <f>AB392-AB393-AB396</f>
        <v>6823384930.219677</v>
      </c>
      <c r="AF397" s="29"/>
      <c r="BH397" s="5" t="s">
        <v>1136</v>
      </c>
      <c r="BJ397" s="13">
        <f>'2.  State Hospitals'!U21*-1</f>
        <v>-3210052.0147460527</v>
      </c>
      <c r="BK397" s="13">
        <f>'2.  State Hospitals'!V21*-1</f>
        <v>-1059317.1648661974</v>
      </c>
      <c r="BP397" s="13"/>
    </row>
    <row r="398" spans="2:68" ht="25.5">
      <c r="I398" s="53"/>
      <c r="AA398" s="85" t="s">
        <v>1137</v>
      </c>
      <c r="AB398" s="17">
        <f>SUM(AB396:AB397)</f>
        <v>7250488437.5956936</v>
      </c>
      <c r="AC398" s="46"/>
      <c r="AF398" s="29"/>
      <c r="BH398" s="56" t="s">
        <v>1138</v>
      </c>
      <c r="BI398" s="56"/>
      <c r="BJ398" s="13">
        <f>SUM(BJ393:BJ397)</f>
        <v>772905012.50874913</v>
      </c>
      <c r="BK398" s="13">
        <f>SUM(BK393:BK397)</f>
        <v>255058652.16563398</v>
      </c>
      <c r="BP398" s="13"/>
    </row>
    <row r="399" spans="2:68">
      <c r="D399" s="4"/>
      <c r="E399" s="52"/>
      <c r="F399" s="52"/>
      <c r="G399" s="52"/>
      <c r="H399" s="52"/>
      <c r="I399" s="53"/>
      <c r="Y399" s="46"/>
      <c r="AB399" s="29"/>
      <c r="AF399" s="29"/>
    </row>
    <row r="400" spans="2:68">
      <c r="D400" s="4"/>
      <c r="E400" s="52"/>
      <c r="F400" s="52"/>
      <c r="G400" s="52"/>
      <c r="I400" s="53"/>
      <c r="Y400" s="46"/>
      <c r="AF400" s="29"/>
    </row>
    <row r="401" spans="4:32" ht="15">
      <c r="D401" s="54"/>
      <c r="E401" s="4"/>
      <c r="F401" s="4"/>
      <c r="G401" s="52"/>
      <c r="I401" s="53"/>
      <c r="Y401" s="46"/>
      <c r="AF401" s="29"/>
    </row>
    <row r="403" spans="4:32">
      <c r="AC403" s="46"/>
    </row>
  </sheetData>
  <conditionalFormatting sqref="C4:C372 C374:C389">
    <cfRule type="expression" dxfId="0" priority="1">
      <formula>C4&lt;&gt;B4</formula>
    </cfRule>
  </conditionalFormatting>
  <pageMargins left="0.7" right="0.7" top="0.75" bottom="0.75" header="0.3" footer="0.3"/>
  <pageSetup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E9AA4-99FD-4745-B617-7DC60814B668}">
  <dimension ref="A1:AG386"/>
  <sheetViews>
    <sheetView workbookViewId="0"/>
  </sheetViews>
  <sheetFormatPr defaultRowHeight="12.75"/>
  <cols>
    <col min="1" max="1" width="10" bestFit="1" customWidth="1"/>
    <col min="2" max="2" width="22.5703125" bestFit="1" customWidth="1"/>
    <col min="3" max="3" width="12.5703125" bestFit="1" customWidth="1"/>
    <col min="4" max="4" width="12.5703125" customWidth="1"/>
    <col min="5" max="5" width="10.42578125" bestFit="1" customWidth="1"/>
    <col min="7" max="7" width="8.85546875" bestFit="1" customWidth="1"/>
    <col min="8" max="8" width="53.42578125" bestFit="1" customWidth="1"/>
    <col min="9" max="9" width="15.140625" customWidth="1"/>
    <col min="10" max="10" width="13.140625" customWidth="1"/>
    <col min="11" max="11" width="15.42578125" style="5" customWidth="1"/>
    <col min="12" max="16" width="14.85546875" style="5" customWidth="1"/>
    <col min="17" max="17" width="13.85546875" style="5" customWidth="1"/>
    <col min="18" max="19" width="14.85546875" style="5" customWidth="1"/>
    <col min="20" max="20" width="12.140625" style="5" customWidth="1"/>
    <col min="21" max="21" width="13.85546875" style="5" customWidth="1"/>
    <col min="22" max="22" width="8.5703125" style="5" customWidth="1"/>
    <col min="23" max="23" width="13.85546875" style="5" customWidth="1"/>
    <col min="24" max="24" width="14.85546875" style="5" customWidth="1"/>
    <col min="25" max="25" width="9.42578125" style="5" customWidth="1"/>
    <col min="26" max="28" width="14.85546875" style="5" customWidth="1"/>
    <col min="29" max="29" width="9.140625" customWidth="1"/>
    <col min="30" max="30" width="15.140625" style="87" customWidth="1"/>
    <col min="31" max="31" width="14.5703125" style="87" customWidth="1"/>
    <col min="32" max="32" width="13.85546875" customWidth="1"/>
    <col min="33" max="33" width="11.140625" customWidth="1"/>
  </cols>
  <sheetData>
    <row r="1" spans="1:33" ht="77.25" customHeight="1">
      <c r="A1" s="138" t="s">
        <v>76</v>
      </c>
      <c r="B1" s="123" t="s">
        <v>77</v>
      </c>
      <c r="C1" s="123" t="s">
        <v>149</v>
      </c>
      <c r="D1" s="123" t="s">
        <v>150</v>
      </c>
      <c r="E1" s="123" t="s">
        <v>78</v>
      </c>
      <c r="F1" s="123" t="s">
        <v>151</v>
      </c>
      <c r="G1" s="127" t="s">
        <v>152</v>
      </c>
      <c r="H1" s="123" t="s">
        <v>79</v>
      </c>
      <c r="I1" s="138" t="s">
        <v>80</v>
      </c>
      <c r="J1" s="138" t="s">
        <v>81</v>
      </c>
      <c r="K1" s="141" t="s">
        <v>153</v>
      </c>
      <c r="L1" s="141" t="s">
        <v>154</v>
      </c>
      <c r="M1" s="141" t="s">
        <v>155</v>
      </c>
      <c r="N1" s="140" t="s">
        <v>156</v>
      </c>
      <c r="O1" s="141" t="s">
        <v>157</v>
      </c>
      <c r="P1" s="141" t="s">
        <v>158</v>
      </c>
      <c r="Q1" s="140" t="s">
        <v>159</v>
      </c>
      <c r="R1" s="140" t="s">
        <v>89</v>
      </c>
      <c r="S1" s="141" t="s">
        <v>160</v>
      </c>
      <c r="T1" s="141" t="s">
        <v>161</v>
      </c>
      <c r="U1" s="141" t="s">
        <v>162</v>
      </c>
      <c r="V1" s="141" t="s">
        <v>163</v>
      </c>
      <c r="W1" s="141" t="s">
        <v>164</v>
      </c>
      <c r="X1" s="140" t="s">
        <v>165</v>
      </c>
      <c r="Y1" s="141" t="s">
        <v>1139</v>
      </c>
      <c r="Z1" s="140" t="s">
        <v>167</v>
      </c>
      <c r="AA1" s="141" t="s">
        <v>175</v>
      </c>
      <c r="AB1" s="140" t="s">
        <v>176</v>
      </c>
      <c r="AC1" s="142" t="s">
        <v>177</v>
      </c>
      <c r="AD1" s="163" t="s">
        <v>181</v>
      </c>
      <c r="AE1" s="163" t="s">
        <v>1140</v>
      </c>
      <c r="AF1" s="164" t="s">
        <v>1141</v>
      </c>
    </row>
    <row r="2" spans="1:33">
      <c r="A2" s="53" t="s">
        <v>207</v>
      </c>
      <c r="B2" t="s">
        <v>208</v>
      </c>
      <c r="C2" t="s">
        <v>149</v>
      </c>
      <c r="E2" t="s">
        <v>209</v>
      </c>
      <c r="F2" t="s">
        <v>209</v>
      </c>
      <c r="G2" t="s">
        <v>210</v>
      </c>
      <c r="H2" t="s">
        <v>211</v>
      </c>
      <c r="I2" t="s">
        <v>10</v>
      </c>
      <c r="J2" t="s">
        <v>212</v>
      </c>
      <c r="K2" s="87">
        <v>685576.73952087038</v>
      </c>
      <c r="L2" s="87">
        <v>0</v>
      </c>
      <c r="M2" s="87">
        <v>0</v>
      </c>
      <c r="N2" s="87">
        <v>0</v>
      </c>
      <c r="O2" s="87">
        <v>1836218.7488952833</v>
      </c>
      <c r="P2" s="87">
        <v>0</v>
      </c>
      <c r="Q2" s="87">
        <v>0</v>
      </c>
      <c r="R2" s="87">
        <v>1836218.7488952833</v>
      </c>
      <c r="S2" s="87">
        <v>0</v>
      </c>
      <c r="T2" s="87">
        <v>0</v>
      </c>
      <c r="U2" s="87">
        <v>0</v>
      </c>
      <c r="V2" s="87">
        <v>0</v>
      </c>
      <c r="W2" s="87">
        <v>0</v>
      </c>
      <c r="X2" s="87">
        <v>0</v>
      </c>
      <c r="Y2" s="87">
        <v>0</v>
      </c>
      <c r="Z2" s="87">
        <v>1836218.7488952833</v>
      </c>
      <c r="AA2" s="87">
        <v>631789.34</v>
      </c>
      <c r="AB2" s="87">
        <v>208490.48219999997</v>
      </c>
      <c r="AC2" s="87">
        <v>0</v>
      </c>
      <c r="AD2" s="87">
        <v>1204429.4088952835</v>
      </c>
      <c r="AE2" s="87">
        <v>397461.70493544347</v>
      </c>
      <c r="AF2">
        <v>397461.70493544347</v>
      </c>
      <c r="AG2" s="87"/>
    </row>
    <row r="3" spans="1:33">
      <c r="A3" s="53" t="s">
        <v>213</v>
      </c>
      <c r="B3" t="s">
        <v>214</v>
      </c>
      <c r="C3" t="s">
        <v>149</v>
      </c>
      <c r="E3" t="s">
        <v>209</v>
      </c>
      <c r="F3" t="s">
        <v>209</v>
      </c>
      <c r="G3" t="s">
        <v>210</v>
      </c>
      <c r="H3" t="s">
        <v>215</v>
      </c>
      <c r="I3" t="s">
        <v>13</v>
      </c>
      <c r="J3" t="s">
        <v>216</v>
      </c>
      <c r="K3" s="87">
        <v>647732.58045368316</v>
      </c>
      <c r="L3" s="87">
        <v>6633803.4087572256</v>
      </c>
      <c r="M3" s="87">
        <v>3797763.4602430207</v>
      </c>
      <c r="N3" s="87">
        <v>2836039.9485142049</v>
      </c>
      <c r="O3" s="87">
        <v>5708114.5734287351</v>
      </c>
      <c r="P3" s="87">
        <v>992503.57000000007</v>
      </c>
      <c r="Q3" s="87">
        <v>0</v>
      </c>
      <c r="R3" s="87">
        <v>5708114.5734287351</v>
      </c>
      <c r="S3" s="87">
        <v>158962</v>
      </c>
      <c r="T3" s="87">
        <v>0</v>
      </c>
      <c r="U3" s="87">
        <v>9378</v>
      </c>
      <c r="V3" s="87">
        <v>0</v>
      </c>
      <c r="W3" s="87">
        <v>633725.1571797838</v>
      </c>
      <c r="X3" s="87">
        <v>802065.1571797838</v>
      </c>
      <c r="Y3" s="87">
        <v>0</v>
      </c>
      <c r="Z3" s="87">
        <v>6510179.7306085192</v>
      </c>
      <c r="AA3" s="87">
        <v>2442315.65</v>
      </c>
      <c r="AB3" s="87">
        <v>805964.16449999984</v>
      </c>
      <c r="AC3" s="87">
        <v>0</v>
      </c>
      <c r="AD3" s="87">
        <v>4067864.0806085193</v>
      </c>
      <c r="AE3" s="87">
        <v>1342395.1466008113</v>
      </c>
      <c r="AF3">
        <v>1342395.1466008113</v>
      </c>
      <c r="AG3" s="87"/>
    </row>
    <row r="4" spans="1:33">
      <c r="A4" s="53" t="s">
        <v>217</v>
      </c>
      <c r="B4" t="s">
        <v>214</v>
      </c>
      <c r="E4" t="s">
        <v>209</v>
      </c>
      <c r="F4" t="s">
        <v>209</v>
      </c>
      <c r="G4" t="s">
        <v>210</v>
      </c>
      <c r="H4" t="s">
        <v>218</v>
      </c>
      <c r="I4" t="s">
        <v>6</v>
      </c>
      <c r="J4" t="s">
        <v>6</v>
      </c>
      <c r="K4" s="87">
        <v>-24251745.458040982</v>
      </c>
      <c r="L4" s="87">
        <v>38538566.3962273</v>
      </c>
      <c r="M4" s="87">
        <v>32085923.332604397</v>
      </c>
      <c r="N4" s="87">
        <v>6452643.0636229031</v>
      </c>
      <c r="O4" s="87">
        <v>37208627.861244731</v>
      </c>
      <c r="P4" s="87">
        <v>9247067.1499999985</v>
      </c>
      <c r="Q4" s="87">
        <v>9247067.1499999985</v>
      </c>
      <c r="R4" s="87">
        <v>27961560.711244732</v>
      </c>
      <c r="S4" s="87">
        <v>1316054</v>
      </c>
      <c r="T4" s="87">
        <v>0</v>
      </c>
      <c r="U4" s="87">
        <v>165691</v>
      </c>
      <c r="V4" s="87">
        <v>0</v>
      </c>
      <c r="W4" s="87">
        <v>6611514.0739929769</v>
      </c>
      <c r="X4" s="87">
        <v>8093259.0739929769</v>
      </c>
      <c r="Y4" s="87">
        <v>0</v>
      </c>
      <c r="Z4" s="87">
        <v>36054819.785237707</v>
      </c>
      <c r="AA4" s="87">
        <v>14785701.85</v>
      </c>
      <c r="AB4" s="87">
        <v>4879281.6104999995</v>
      </c>
      <c r="AC4" s="87">
        <v>0</v>
      </c>
      <c r="AD4" s="87">
        <v>21269117.935237706</v>
      </c>
      <c r="AE4" s="87">
        <v>7018808.9186284421</v>
      </c>
      <c r="AF4">
        <v>7018808.9186284421</v>
      </c>
      <c r="AG4" s="87"/>
    </row>
    <row r="5" spans="1:33">
      <c r="A5" s="53" t="s">
        <v>219</v>
      </c>
      <c r="B5" t="s">
        <v>214</v>
      </c>
      <c r="E5" t="s">
        <v>209</v>
      </c>
      <c r="F5" t="s">
        <v>209</v>
      </c>
      <c r="G5" t="s">
        <v>210</v>
      </c>
      <c r="H5" t="s">
        <v>220</v>
      </c>
      <c r="I5" t="s">
        <v>6</v>
      </c>
      <c r="J5" t="s">
        <v>6</v>
      </c>
      <c r="K5" s="87">
        <v>-15348333.760399152</v>
      </c>
      <c r="L5" s="87">
        <v>197075255.26753595</v>
      </c>
      <c r="M5" s="87">
        <v>80852505.242364511</v>
      </c>
      <c r="N5" s="87">
        <v>116222750.02517144</v>
      </c>
      <c r="O5" s="87">
        <v>154772986.96542254</v>
      </c>
      <c r="P5" s="87">
        <v>31140316.949999999</v>
      </c>
      <c r="Q5" s="87">
        <v>0</v>
      </c>
      <c r="R5" s="87">
        <v>154772986.96542254</v>
      </c>
      <c r="S5" s="87">
        <v>3252418</v>
      </c>
      <c r="T5" s="87">
        <v>0</v>
      </c>
      <c r="U5" s="87">
        <v>0</v>
      </c>
      <c r="V5" s="87">
        <v>0</v>
      </c>
      <c r="W5" s="87">
        <v>0</v>
      </c>
      <c r="X5" s="87">
        <v>3252418</v>
      </c>
      <c r="Y5" s="87">
        <v>0</v>
      </c>
      <c r="Z5" s="87">
        <v>158025404.96542254</v>
      </c>
      <c r="AA5" s="87">
        <v>49212836.369999997</v>
      </c>
      <c r="AB5" s="87">
        <v>16240236.002099996</v>
      </c>
      <c r="AC5" s="87">
        <v>0</v>
      </c>
      <c r="AD5" s="87">
        <v>108812568.59542254</v>
      </c>
      <c r="AE5" s="87">
        <v>35908147.636489436</v>
      </c>
      <c r="AF5">
        <v>35908147.636489436</v>
      </c>
      <c r="AG5" s="87"/>
    </row>
    <row r="6" spans="1:33">
      <c r="A6" s="53" t="s">
        <v>221</v>
      </c>
      <c r="B6" t="s">
        <v>214</v>
      </c>
      <c r="E6" t="s">
        <v>209</v>
      </c>
      <c r="F6" t="s">
        <v>209</v>
      </c>
      <c r="G6" t="s">
        <v>210</v>
      </c>
      <c r="H6" t="s">
        <v>222</v>
      </c>
      <c r="I6" t="s">
        <v>6</v>
      </c>
      <c r="J6" t="s">
        <v>223</v>
      </c>
      <c r="K6" s="87">
        <v>-14913334.656385003</v>
      </c>
      <c r="L6" s="87">
        <v>30254349.894613285</v>
      </c>
      <c r="M6" s="87">
        <v>26361963.867218561</v>
      </c>
      <c r="N6" s="87">
        <v>3892386.0273947231</v>
      </c>
      <c r="O6" s="87">
        <v>32476990.155478939</v>
      </c>
      <c r="P6" s="87">
        <v>6995208.4399999995</v>
      </c>
      <c r="Q6" s="87">
        <v>6995208.4399999995</v>
      </c>
      <c r="R6" s="87">
        <v>25481781.715478942</v>
      </c>
      <c r="S6" s="87">
        <v>1235660</v>
      </c>
      <c r="T6" s="87">
        <v>0</v>
      </c>
      <c r="U6" s="87">
        <v>0</v>
      </c>
      <c r="V6" s="87">
        <v>0</v>
      </c>
      <c r="W6" s="87">
        <v>2915607.5485633686</v>
      </c>
      <c r="X6" s="87">
        <v>4151267.5485633686</v>
      </c>
      <c r="Y6" s="87">
        <v>0</v>
      </c>
      <c r="Z6" s="87">
        <v>29633049.26404231</v>
      </c>
      <c r="AA6" s="87">
        <v>12597268.949999999</v>
      </c>
      <c r="AB6" s="87">
        <v>4157098.7534999992</v>
      </c>
      <c r="AC6" s="87">
        <v>0</v>
      </c>
      <c r="AD6" s="87">
        <v>17035780.314042311</v>
      </c>
      <c r="AE6" s="87">
        <v>5621807.5036339611</v>
      </c>
      <c r="AF6">
        <v>5621807.5036339611</v>
      </c>
      <c r="AG6" s="87"/>
    </row>
    <row r="7" spans="1:33">
      <c r="A7" s="53" t="s">
        <v>224</v>
      </c>
      <c r="B7" t="s">
        <v>214</v>
      </c>
      <c r="E7" t="s">
        <v>209</v>
      </c>
      <c r="F7" t="s">
        <v>209</v>
      </c>
      <c r="G7" t="s">
        <v>210</v>
      </c>
      <c r="H7" t="s">
        <v>225</v>
      </c>
      <c r="I7" t="s">
        <v>3</v>
      </c>
      <c r="J7" t="s">
        <v>3</v>
      </c>
      <c r="K7" s="87">
        <v>16558520.11422063</v>
      </c>
      <c r="L7" s="87">
        <v>0</v>
      </c>
      <c r="M7" s="87">
        <v>0</v>
      </c>
      <c r="N7" s="87">
        <v>0</v>
      </c>
      <c r="O7" s="87">
        <v>37812453.382651769</v>
      </c>
      <c r="P7" s="87">
        <v>0</v>
      </c>
      <c r="Q7" s="87">
        <v>0</v>
      </c>
      <c r="R7" s="87">
        <v>37812453.382651769</v>
      </c>
      <c r="S7" s="87">
        <v>541711</v>
      </c>
      <c r="T7" s="87">
        <v>0</v>
      </c>
      <c r="U7" s="87">
        <v>0</v>
      </c>
      <c r="V7" s="87">
        <v>0</v>
      </c>
      <c r="W7" s="87">
        <v>7297317.4807484187</v>
      </c>
      <c r="X7" s="87">
        <v>7839028.4807484187</v>
      </c>
      <c r="Y7" s="87">
        <v>0</v>
      </c>
      <c r="Z7" s="87">
        <v>45651481.863400191</v>
      </c>
      <c r="AA7" s="87">
        <v>17096727.050000001</v>
      </c>
      <c r="AB7" s="87">
        <v>5641919.9264999991</v>
      </c>
      <c r="AC7" s="87">
        <v>0</v>
      </c>
      <c r="AD7" s="87">
        <v>28554754.81340019</v>
      </c>
      <c r="AE7" s="87">
        <v>9423069.0884220637</v>
      </c>
      <c r="AF7">
        <v>9423069.0884220637</v>
      </c>
      <c r="AG7" s="87"/>
    </row>
    <row r="8" spans="1:33">
      <c r="A8" s="53" t="s">
        <v>226</v>
      </c>
      <c r="B8" t="s">
        <v>214</v>
      </c>
      <c r="E8" t="s">
        <v>209</v>
      </c>
      <c r="F8" t="s">
        <v>227</v>
      </c>
      <c r="G8" t="s">
        <v>210</v>
      </c>
      <c r="H8" t="s">
        <v>228</v>
      </c>
      <c r="I8" t="s">
        <v>3</v>
      </c>
      <c r="J8" t="s">
        <v>3</v>
      </c>
      <c r="K8" s="87">
        <v>15427312.972588018</v>
      </c>
      <c r="L8" s="87">
        <v>8386909.0230675088</v>
      </c>
      <c r="M8" s="87">
        <v>3764508.6500748978</v>
      </c>
      <c r="N8" s="87">
        <v>4622400.3729926106</v>
      </c>
      <c r="O8" s="87">
        <v>7795824.8110010866</v>
      </c>
      <c r="P8" s="87">
        <v>10864321.129999999</v>
      </c>
      <c r="Q8" s="87">
        <v>0</v>
      </c>
      <c r="R8" s="87">
        <v>7795824.8110010866</v>
      </c>
      <c r="S8" s="87">
        <v>1020017</v>
      </c>
      <c r="T8" s="87">
        <v>0</v>
      </c>
      <c r="U8" s="87">
        <v>0</v>
      </c>
      <c r="V8" s="87">
        <v>0</v>
      </c>
      <c r="W8" s="87">
        <v>379588.25386368891</v>
      </c>
      <c r="X8" s="87">
        <v>1399605.253863689</v>
      </c>
      <c r="Y8" s="87">
        <v>0</v>
      </c>
      <c r="Z8" s="87">
        <v>9195430.0648647752</v>
      </c>
      <c r="AA8" s="87">
        <v>3653086.39</v>
      </c>
      <c r="AB8" s="87">
        <v>1205518.5086999999</v>
      </c>
      <c r="AC8" s="87">
        <v>0</v>
      </c>
      <c r="AD8" s="87">
        <v>5542343.6748647746</v>
      </c>
      <c r="AE8" s="87">
        <v>1828973.4127053756</v>
      </c>
      <c r="AF8">
        <v>1828973.4127053756</v>
      </c>
      <c r="AG8" s="87"/>
    </row>
    <row r="9" spans="1:33">
      <c r="A9" s="53" t="s">
        <v>229</v>
      </c>
      <c r="B9" t="s">
        <v>214</v>
      </c>
      <c r="E9" t="s">
        <v>209</v>
      </c>
      <c r="F9" t="s">
        <v>209</v>
      </c>
      <c r="G9" t="s">
        <v>210</v>
      </c>
      <c r="H9" t="s">
        <v>230</v>
      </c>
      <c r="I9" t="s">
        <v>4</v>
      </c>
      <c r="J9" t="s">
        <v>4</v>
      </c>
      <c r="K9" s="87">
        <v>1220754.7685020997</v>
      </c>
      <c r="L9" s="87">
        <v>59185871.429657325</v>
      </c>
      <c r="M9" s="87">
        <v>44659825.936029218</v>
      </c>
      <c r="N9" s="87">
        <v>14526045.493628107</v>
      </c>
      <c r="O9" s="87">
        <v>58611465.671709932</v>
      </c>
      <c r="P9" s="87">
        <v>6401261.2200000007</v>
      </c>
      <c r="Q9" s="87">
        <v>0</v>
      </c>
      <c r="R9" s="87">
        <v>58611465.671709932</v>
      </c>
      <c r="S9" s="87">
        <v>0</v>
      </c>
      <c r="T9" s="87">
        <v>0</v>
      </c>
      <c r="U9" s="87">
        <v>0</v>
      </c>
      <c r="V9" s="87">
        <v>0</v>
      </c>
      <c r="W9" s="87">
        <v>0</v>
      </c>
      <c r="X9" s="87">
        <v>0</v>
      </c>
      <c r="Y9" s="87">
        <v>0</v>
      </c>
      <c r="Z9" s="87">
        <v>58611465.671709932</v>
      </c>
      <c r="AA9" s="87">
        <v>25220796.420000002</v>
      </c>
      <c r="AB9" s="87">
        <v>8322862.8185999999</v>
      </c>
      <c r="AC9" s="87">
        <v>0</v>
      </c>
      <c r="AD9" s="87">
        <v>33390669.251709931</v>
      </c>
      <c r="AE9" s="87">
        <v>11018920.853064276</v>
      </c>
      <c r="AF9">
        <v>11018920.853064276</v>
      </c>
      <c r="AG9" s="87"/>
    </row>
    <row r="10" spans="1:33">
      <c r="A10" s="53" t="s">
        <v>231</v>
      </c>
      <c r="B10" t="s">
        <v>214</v>
      </c>
      <c r="E10" t="s">
        <v>209</v>
      </c>
      <c r="F10" t="s">
        <v>209</v>
      </c>
      <c r="G10" t="s">
        <v>210</v>
      </c>
      <c r="H10" t="s">
        <v>232</v>
      </c>
      <c r="I10" t="s">
        <v>6</v>
      </c>
      <c r="J10" t="s">
        <v>6</v>
      </c>
      <c r="K10" s="87">
        <v>21893700.833493967</v>
      </c>
      <c r="L10" s="87">
        <v>50099407.914228991</v>
      </c>
      <c r="M10" s="87">
        <v>0</v>
      </c>
      <c r="N10" s="87">
        <v>50099407.914228991</v>
      </c>
      <c r="O10" s="87">
        <v>36998275.700301029</v>
      </c>
      <c r="P10" s="87">
        <v>0</v>
      </c>
      <c r="Q10" s="87">
        <v>0</v>
      </c>
      <c r="R10" s="87">
        <v>36998275.700301029</v>
      </c>
      <c r="S10" s="87">
        <v>355545</v>
      </c>
      <c r="T10" s="87">
        <v>0</v>
      </c>
      <c r="U10" s="87">
        <v>0</v>
      </c>
      <c r="V10" s="87">
        <v>0</v>
      </c>
      <c r="W10" s="87">
        <v>0</v>
      </c>
      <c r="X10" s="87">
        <v>355545</v>
      </c>
      <c r="Y10" s="87">
        <v>0</v>
      </c>
      <c r="Z10" s="87">
        <v>37353820.700301029</v>
      </c>
      <c r="AA10" s="87">
        <v>13896604.130000001</v>
      </c>
      <c r="AB10" s="87">
        <v>4585879.3629000001</v>
      </c>
      <c r="AC10" s="87">
        <v>0</v>
      </c>
      <c r="AD10" s="87">
        <v>23457216.570301026</v>
      </c>
      <c r="AE10" s="87">
        <v>7740881.4681993388</v>
      </c>
      <c r="AF10">
        <v>7740881.4681993388</v>
      </c>
      <c r="AG10" s="87"/>
    </row>
    <row r="11" spans="1:33">
      <c r="A11" s="53" t="s">
        <v>233</v>
      </c>
      <c r="B11" t="s">
        <v>214</v>
      </c>
      <c r="E11" t="s">
        <v>209</v>
      </c>
      <c r="F11" t="s">
        <v>209</v>
      </c>
      <c r="G11" t="s">
        <v>210</v>
      </c>
      <c r="H11" t="s">
        <v>234</v>
      </c>
      <c r="I11" t="s">
        <v>4</v>
      </c>
      <c r="J11" t="s">
        <v>4</v>
      </c>
      <c r="K11" s="87">
        <v>-61103858.043250933</v>
      </c>
      <c r="L11" s="87">
        <v>41336088.754372671</v>
      </c>
      <c r="M11" s="87">
        <v>19381708.242222592</v>
      </c>
      <c r="N11" s="87">
        <v>21954380.512150079</v>
      </c>
      <c r="O11" s="87">
        <v>47455730.139187098</v>
      </c>
      <c r="P11" s="87">
        <v>0</v>
      </c>
      <c r="Q11" s="87">
        <v>0</v>
      </c>
      <c r="R11" s="87">
        <v>47455730.139187098</v>
      </c>
      <c r="S11" s="87">
        <v>1185591</v>
      </c>
      <c r="T11" s="87">
        <v>0</v>
      </c>
      <c r="U11" s="87">
        <v>99690</v>
      </c>
      <c r="V11" s="87">
        <v>0</v>
      </c>
      <c r="W11" s="87">
        <v>6224540.1918641813</v>
      </c>
      <c r="X11" s="87">
        <v>7509821.1918641813</v>
      </c>
      <c r="Y11" s="87">
        <v>0</v>
      </c>
      <c r="Z11" s="87">
        <v>54965551.331051275</v>
      </c>
      <c r="AA11" s="87">
        <v>22124159.48</v>
      </c>
      <c r="AB11" s="87">
        <v>7300972.6283999989</v>
      </c>
      <c r="AC11" s="87">
        <v>0</v>
      </c>
      <c r="AD11" s="87">
        <v>32841391.851051275</v>
      </c>
      <c r="AE11" s="87">
        <v>10837659.310846921</v>
      </c>
      <c r="AF11">
        <v>10837659.310846921</v>
      </c>
      <c r="AG11" s="87"/>
    </row>
    <row r="12" spans="1:33">
      <c r="A12" s="53" t="s">
        <v>235</v>
      </c>
      <c r="B12" t="s">
        <v>214</v>
      </c>
      <c r="E12" t="s">
        <v>209</v>
      </c>
      <c r="F12" t="s">
        <v>209</v>
      </c>
      <c r="G12" t="s">
        <v>210</v>
      </c>
      <c r="H12" t="s">
        <v>236</v>
      </c>
      <c r="I12" t="s">
        <v>7</v>
      </c>
      <c r="J12" t="s">
        <v>237</v>
      </c>
      <c r="K12" s="87">
        <v>-8517102.4921721723</v>
      </c>
      <c r="L12" s="87">
        <v>13011471.971331468</v>
      </c>
      <c r="M12" s="87">
        <v>7094202.3679357534</v>
      </c>
      <c r="N12" s="87">
        <v>5917269.6033957144</v>
      </c>
      <c r="O12" s="87">
        <v>13023403.669719415</v>
      </c>
      <c r="P12" s="87">
        <v>4474968.75</v>
      </c>
      <c r="Q12" s="87">
        <v>4474968.75</v>
      </c>
      <c r="R12" s="87">
        <v>8548434.9197194148</v>
      </c>
      <c r="S12" s="87">
        <v>784055</v>
      </c>
      <c r="T12" s="87">
        <v>0</v>
      </c>
      <c r="U12" s="87">
        <v>0</v>
      </c>
      <c r="V12" s="87">
        <v>0</v>
      </c>
      <c r="W12" s="87">
        <v>1765478.2604670858</v>
      </c>
      <c r="X12" s="87">
        <v>2549533.260467086</v>
      </c>
      <c r="Y12" s="87">
        <v>0</v>
      </c>
      <c r="Z12" s="87">
        <v>11097968.180186501</v>
      </c>
      <c r="AA12" s="87">
        <v>6109563.0599999996</v>
      </c>
      <c r="AB12" s="87">
        <v>2016155.8097999997</v>
      </c>
      <c r="AC12" s="87">
        <v>0</v>
      </c>
      <c r="AD12" s="87">
        <v>4988405.1201865012</v>
      </c>
      <c r="AE12" s="87">
        <v>1646173.689661545</v>
      </c>
      <c r="AF12">
        <v>1646173.689661545</v>
      </c>
      <c r="AG12" s="87"/>
    </row>
    <row r="13" spans="1:33">
      <c r="A13" s="53" t="s">
        <v>238</v>
      </c>
      <c r="B13" t="s">
        <v>214</v>
      </c>
      <c r="E13" t="s">
        <v>209</v>
      </c>
      <c r="F13" t="s">
        <v>209</v>
      </c>
      <c r="G13" t="s">
        <v>210</v>
      </c>
      <c r="H13" t="s">
        <v>239</v>
      </c>
      <c r="I13" t="s">
        <v>14</v>
      </c>
      <c r="J13" t="s">
        <v>14</v>
      </c>
      <c r="K13" s="87">
        <v>-14368558.897940638</v>
      </c>
      <c r="L13" s="87">
        <v>34929059.26575838</v>
      </c>
      <c r="M13" s="87">
        <v>16728147.466349157</v>
      </c>
      <c r="N13" s="87">
        <v>18200911.799409226</v>
      </c>
      <c r="O13" s="87">
        <v>35463715.416847751</v>
      </c>
      <c r="P13" s="87">
        <v>11469321.66</v>
      </c>
      <c r="Q13" s="87">
        <v>7636968.758531414</v>
      </c>
      <c r="R13" s="87">
        <v>27826746.658316337</v>
      </c>
      <c r="S13" s="87">
        <v>1513418</v>
      </c>
      <c r="T13" s="87">
        <v>0</v>
      </c>
      <c r="U13" s="87">
        <v>135464</v>
      </c>
      <c r="V13" s="87">
        <v>0</v>
      </c>
      <c r="W13" s="87">
        <v>8233656.0071590338</v>
      </c>
      <c r="X13" s="87">
        <v>9882538.0071590338</v>
      </c>
      <c r="Y13" s="87">
        <v>0</v>
      </c>
      <c r="Z13" s="87">
        <v>37709284.665475368</v>
      </c>
      <c r="AA13" s="87">
        <v>16827712.989999998</v>
      </c>
      <c r="AB13" s="87">
        <v>5553145.2866999991</v>
      </c>
      <c r="AC13" s="87">
        <v>0</v>
      </c>
      <c r="AD13" s="87">
        <v>20881571.67547537</v>
      </c>
      <c r="AE13" s="87">
        <v>6890918.6529068705</v>
      </c>
      <c r="AF13">
        <v>6890918.6529068705</v>
      </c>
      <c r="AG13" s="87"/>
    </row>
    <row r="14" spans="1:33">
      <c r="A14" s="53" t="s">
        <v>240</v>
      </c>
      <c r="B14" t="s">
        <v>214</v>
      </c>
      <c r="E14" t="s">
        <v>209</v>
      </c>
      <c r="F14" t="s">
        <v>209</v>
      </c>
      <c r="G14" t="s">
        <v>210</v>
      </c>
      <c r="H14" t="s">
        <v>241</v>
      </c>
      <c r="I14" t="s">
        <v>15</v>
      </c>
      <c r="J14" t="s">
        <v>242</v>
      </c>
      <c r="K14" s="87">
        <v>-1063067.7982819672</v>
      </c>
      <c r="L14" s="87">
        <v>0</v>
      </c>
      <c r="M14" s="87">
        <v>0</v>
      </c>
      <c r="N14" s="87">
        <v>0</v>
      </c>
      <c r="O14" s="87">
        <v>15968103.067617889</v>
      </c>
      <c r="P14" s="87">
        <v>0</v>
      </c>
      <c r="Q14" s="87">
        <v>0</v>
      </c>
      <c r="R14" s="87">
        <v>15968103.067617889</v>
      </c>
      <c r="S14" s="87">
        <v>1037157</v>
      </c>
      <c r="T14" s="87">
        <v>0</v>
      </c>
      <c r="U14" s="87">
        <v>0</v>
      </c>
      <c r="V14" s="87">
        <v>0</v>
      </c>
      <c r="W14" s="87">
        <v>2970597.3122089733</v>
      </c>
      <c r="X14" s="87">
        <v>4007754.3122089733</v>
      </c>
      <c r="Y14" s="87">
        <v>0</v>
      </c>
      <c r="Z14" s="87">
        <v>19975857.379826862</v>
      </c>
      <c r="AA14" s="87">
        <v>7690000.3799999999</v>
      </c>
      <c r="AB14" s="87">
        <v>2537700.1253999998</v>
      </c>
      <c r="AC14" s="87">
        <v>0</v>
      </c>
      <c r="AD14" s="87">
        <v>12285856.999826863</v>
      </c>
      <c r="AE14" s="87">
        <v>4054332.8099428643</v>
      </c>
      <c r="AF14">
        <v>4054332.8099428643</v>
      </c>
      <c r="AG14" s="87"/>
    </row>
    <row r="15" spans="1:33">
      <c r="A15" s="53" t="s">
        <v>243</v>
      </c>
      <c r="B15" t="s">
        <v>214</v>
      </c>
      <c r="E15" t="s">
        <v>209</v>
      </c>
      <c r="F15" t="s">
        <v>209</v>
      </c>
      <c r="G15" t="s">
        <v>210</v>
      </c>
      <c r="H15" t="s">
        <v>244</v>
      </c>
      <c r="I15" t="s">
        <v>4</v>
      </c>
      <c r="J15" t="s">
        <v>245</v>
      </c>
      <c r="K15" s="87">
        <v>-4759485.0804295456</v>
      </c>
      <c r="L15" s="87">
        <v>10454979.702420449</v>
      </c>
      <c r="M15" s="87">
        <v>4368866.0960256252</v>
      </c>
      <c r="N15" s="87">
        <v>6086113.6063948236</v>
      </c>
      <c r="O15" s="87">
        <v>8455667.0939336959</v>
      </c>
      <c r="P15" s="87">
        <v>2039237.96</v>
      </c>
      <c r="Q15" s="87">
        <v>712609.43403472193</v>
      </c>
      <c r="R15" s="87">
        <v>7743057.659898974</v>
      </c>
      <c r="S15" s="87">
        <v>0</v>
      </c>
      <c r="T15" s="87">
        <v>0</v>
      </c>
      <c r="U15" s="87">
        <v>0</v>
      </c>
      <c r="V15" s="87">
        <v>0</v>
      </c>
      <c r="W15" s="87">
        <v>0</v>
      </c>
      <c r="X15" s="87">
        <v>0</v>
      </c>
      <c r="Y15" s="87">
        <v>0</v>
      </c>
      <c r="Z15" s="87">
        <v>7743057.659898974</v>
      </c>
      <c r="AA15" s="87">
        <v>3212679.57</v>
      </c>
      <c r="AB15" s="87">
        <v>1060184.2580999997</v>
      </c>
      <c r="AC15" s="87">
        <v>0</v>
      </c>
      <c r="AD15" s="87">
        <v>4530378.0898989737</v>
      </c>
      <c r="AE15" s="87">
        <v>1495024.7696666615</v>
      </c>
      <c r="AF15">
        <v>1495024.7696666615</v>
      </c>
      <c r="AG15" s="87"/>
    </row>
    <row r="16" spans="1:33">
      <c r="A16" s="53" t="s">
        <v>246</v>
      </c>
      <c r="B16" t="s">
        <v>214</v>
      </c>
      <c r="E16" t="s">
        <v>209</v>
      </c>
      <c r="F16" t="s">
        <v>209</v>
      </c>
      <c r="G16" t="s">
        <v>210</v>
      </c>
      <c r="H16" t="s">
        <v>247</v>
      </c>
      <c r="I16" t="s">
        <v>14</v>
      </c>
      <c r="J16" t="s">
        <v>248</v>
      </c>
      <c r="K16" s="87">
        <v>-4465118.5412133923</v>
      </c>
      <c r="L16" s="87">
        <v>0</v>
      </c>
      <c r="M16" s="87">
        <v>0</v>
      </c>
      <c r="N16" s="87">
        <v>0</v>
      </c>
      <c r="O16" s="87">
        <v>20178198.936584014</v>
      </c>
      <c r="P16" s="87">
        <v>0</v>
      </c>
      <c r="Q16" s="87">
        <v>0</v>
      </c>
      <c r="R16" s="87">
        <v>20178198.936584014</v>
      </c>
      <c r="S16" s="87">
        <v>0</v>
      </c>
      <c r="T16" s="87">
        <v>0</v>
      </c>
      <c r="U16" s="87">
        <v>0</v>
      </c>
      <c r="V16" s="87">
        <v>0</v>
      </c>
      <c r="W16" s="87">
        <v>0</v>
      </c>
      <c r="X16" s="87">
        <v>0</v>
      </c>
      <c r="Y16" s="87">
        <v>0</v>
      </c>
      <c r="Z16" s="87">
        <v>20178198.936584014</v>
      </c>
      <c r="AA16" s="87">
        <v>7638773.0700000003</v>
      </c>
      <c r="AB16" s="87">
        <v>2520795.1130999997</v>
      </c>
      <c r="AC16" s="87">
        <v>0</v>
      </c>
      <c r="AD16" s="87">
        <v>12539425.866584014</v>
      </c>
      <c r="AE16" s="87">
        <v>4138010.5359727247</v>
      </c>
      <c r="AF16">
        <v>4138010.5359727247</v>
      </c>
      <c r="AG16" s="87"/>
    </row>
    <row r="17" spans="1:33">
      <c r="A17" s="53" t="s">
        <v>249</v>
      </c>
      <c r="B17" t="s">
        <v>214</v>
      </c>
      <c r="E17" t="s">
        <v>209</v>
      </c>
      <c r="F17" t="s">
        <v>209</v>
      </c>
      <c r="G17" t="s">
        <v>210</v>
      </c>
      <c r="H17" t="s">
        <v>250</v>
      </c>
      <c r="I17" t="s">
        <v>13</v>
      </c>
      <c r="J17" t="s">
        <v>13</v>
      </c>
      <c r="K17" s="87">
        <v>-9659574.9224196151</v>
      </c>
      <c r="L17" s="87">
        <v>35367805.348754771</v>
      </c>
      <c r="M17" s="87">
        <v>29685452.488693658</v>
      </c>
      <c r="N17" s="87">
        <v>5682352.8600611128</v>
      </c>
      <c r="O17" s="87">
        <v>31847409.393728588</v>
      </c>
      <c r="P17" s="87">
        <v>14061863.310000002</v>
      </c>
      <c r="Q17" s="87">
        <v>14061863.310000002</v>
      </c>
      <c r="R17" s="87">
        <v>17785546.083728585</v>
      </c>
      <c r="S17" s="87">
        <v>2222798</v>
      </c>
      <c r="T17" s="87">
        <v>0</v>
      </c>
      <c r="U17" s="87">
        <v>87998</v>
      </c>
      <c r="V17" s="87">
        <v>0</v>
      </c>
      <c r="W17" s="87">
        <v>8703973.1150911637</v>
      </c>
      <c r="X17" s="87">
        <v>11014769.115091164</v>
      </c>
      <c r="Y17" s="87">
        <v>0</v>
      </c>
      <c r="Z17" s="87">
        <v>28800315.198819749</v>
      </c>
      <c r="AA17" s="87">
        <v>16960140.91</v>
      </c>
      <c r="AB17" s="87">
        <v>5596846.5002999995</v>
      </c>
      <c r="AC17" s="87">
        <v>0</v>
      </c>
      <c r="AD17" s="87">
        <v>11840174.288819749</v>
      </c>
      <c r="AE17" s="87">
        <v>3907257.5153105166</v>
      </c>
      <c r="AF17">
        <v>3907257.5153105166</v>
      </c>
      <c r="AG17" s="87"/>
    </row>
    <row r="18" spans="1:33">
      <c r="A18" s="53" t="s">
        <v>251</v>
      </c>
      <c r="B18" t="s">
        <v>214</v>
      </c>
      <c r="E18" t="s">
        <v>209</v>
      </c>
      <c r="F18" t="s">
        <v>209</v>
      </c>
      <c r="G18" t="s">
        <v>210</v>
      </c>
      <c r="H18" t="s">
        <v>252</v>
      </c>
      <c r="I18" t="s">
        <v>11</v>
      </c>
      <c r="J18" t="s">
        <v>253</v>
      </c>
      <c r="K18" s="87">
        <v>19884179.700499147</v>
      </c>
      <c r="L18" s="87">
        <v>18394464.969391596</v>
      </c>
      <c r="M18" s="87">
        <v>10956999.486061798</v>
      </c>
      <c r="N18" s="87">
        <v>7437465.4833297972</v>
      </c>
      <c r="O18" s="87">
        <v>19135126.809024844</v>
      </c>
      <c r="P18" s="87">
        <v>5661213.2000000002</v>
      </c>
      <c r="Q18" s="87">
        <v>0</v>
      </c>
      <c r="R18" s="87">
        <v>19135126.809024844</v>
      </c>
      <c r="S18" s="87">
        <v>2518215</v>
      </c>
      <c r="T18" s="87">
        <v>0</v>
      </c>
      <c r="U18" s="87">
        <v>1106657.1368995297</v>
      </c>
      <c r="V18" s="87">
        <v>0</v>
      </c>
      <c r="W18" s="87">
        <v>9234722.9249422103</v>
      </c>
      <c r="X18" s="87">
        <v>12859595.061841741</v>
      </c>
      <c r="Y18" s="87">
        <v>0</v>
      </c>
      <c r="Z18" s="87">
        <v>31994721.870866586</v>
      </c>
      <c r="AA18" s="87">
        <v>10963366.73</v>
      </c>
      <c r="AB18" s="87">
        <v>3617911.0208999999</v>
      </c>
      <c r="AC18" s="87">
        <v>0</v>
      </c>
      <c r="AD18" s="87">
        <v>21031355.140866585</v>
      </c>
      <c r="AE18" s="87">
        <v>6940347.196485972</v>
      </c>
      <c r="AF18">
        <v>6940347.196485972</v>
      </c>
      <c r="AG18" s="87"/>
    </row>
    <row r="19" spans="1:33">
      <c r="A19" s="53" t="s">
        <v>254</v>
      </c>
      <c r="B19" t="s">
        <v>214</v>
      </c>
      <c r="E19" t="s">
        <v>209</v>
      </c>
      <c r="F19" t="s">
        <v>209</v>
      </c>
      <c r="G19" t="s">
        <v>210</v>
      </c>
      <c r="H19" t="s">
        <v>255</v>
      </c>
      <c r="I19" t="s">
        <v>6</v>
      </c>
      <c r="J19" t="s">
        <v>6</v>
      </c>
      <c r="K19" s="87">
        <v>-2062038.6389865032</v>
      </c>
      <c r="L19" s="87">
        <v>0</v>
      </c>
      <c r="M19" s="87">
        <v>0</v>
      </c>
      <c r="N19" s="87">
        <v>0</v>
      </c>
      <c r="O19" s="87">
        <v>512828.05560562102</v>
      </c>
      <c r="P19" s="87">
        <v>0</v>
      </c>
      <c r="Q19" s="87">
        <v>0</v>
      </c>
      <c r="R19" s="87">
        <v>512828.05560562102</v>
      </c>
      <c r="S19" s="87">
        <v>0</v>
      </c>
      <c r="T19" s="87">
        <v>0</v>
      </c>
      <c r="U19" s="87">
        <v>0</v>
      </c>
      <c r="V19" s="87">
        <v>0</v>
      </c>
      <c r="W19" s="87">
        <v>32780.085457246591</v>
      </c>
      <c r="X19" s="87">
        <v>32780.085457246591</v>
      </c>
      <c r="Y19" s="87">
        <v>0</v>
      </c>
      <c r="Z19" s="87">
        <v>545608.14106286759</v>
      </c>
      <c r="AA19" s="87">
        <v>164686.46</v>
      </c>
      <c r="AB19" s="87">
        <v>54346.53179999999</v>
      </c>
      <c r="AC19" s="87">
        <v>0</v>
      </c>
      <c r="AD19" s="87">
        <v>380921.68106286763</v>
      </c>
      <c r="AE19" s="87">
        <v>125704.1547507463</v>
      </c>
      <c r="AF19">
        <v>125704.1547507463</v>
      </c>
      <c r="AG19" s="87"/>
    </row>
    <row r="20" spans="1:33">
      <c r="A20" s="53" t="s">
        <v>256</v>
      </c>
      <c r="B20" t="s">
        <v>214</v>
      </c>
      <c r="E20" t="s">
        <v>209</v>
      </c>
      <c r="F20" t="s">
        <v>209</v>
      </c>
      <c r="G20" t="s">
        <v>210</v>
      </c>
      <c r="H20" t="s">
        <v>257</v>
      </c>
      <c r="I20" t="s">
        <v>4</v>
      </c>
      <c r="J20" t="s">
        <v>4</v>
      </c>
      <c r="K20" s="87">
        <v>974738.66163770866</v>
      </c>
      <c r="L20" s="87">
        <v>0</v>
      </c>
      <c r="M20" s="87">
        <v>0</v>
      </c>
      <c r="N20" s="87">
        <v>0</v>
      </c>
      <c r="O20" s="87">
        <v>9114831.4882487282</v>
      </c>
      <c r="P20" s="87">
        <v>0</v>
      </c>
      <c r="Q20" s="87">
        <v>0</v>
      </c>
      <c r="R20" s="87">
        <v>9114831.4882487282</v>
      </c>
      <c r="S20" s="87">
        <v>0</v>
      </c>
      <c r="T20" s="87">
        <v>0</v>
      </c>
      <c r="U20" s="87">
        <v>0</v>
      </c>
      <c r="V20" s="87">
        <v>0</v>
      </c>
      <c r="W20" s="87">
        <v>2444248</v>
      </c>
      <c r="X20" s="87">
        <v>2444248</v>
      </c>
      <c r="Y20" s="87">
        <v>0</v>
      </c>
      <c r="Z20" s="87">
        <v>11559079.488248728</v>
      </c>
      <c r="AA20" s="87">
        <v>4405819.04</v>
      </c>
      <c r="AB20" s="87">
        <v>1453920.2831999999</v>
      </c>
      <c r="AC20" s="87">
        <v>0</v>
      </c>
      <c r="AD20" s="87">
        <v>7153260.4482487282</v>
      </c>
      <c r="AE20" s="87">
        <v>2360575.9479220798</v>
      </c>
      <c r="AF20">
        <v>2360575.9479220798</v>
      </c>
      <c r="AG20" s="87"/>
    </row>
    <row r="21" spans="1:33">
      <c r="A21" s="53" t="s">
        <v>258</v>
      </c>
      <c r="B21" t="s">
        <v>214</v>
      </c>
      <c r="E21" t="s">
        <v>209</v>
      </c>
      <c r="F21" t="s">
        <v>209</v>
      </c>
      <c r="G21" t="s">
        <v>210</v>
      </c>
      <c r="H21" t="s">
        <v>259</v>
      </c>
      <c r="I21" t="s">
        <v>4</v>
      </c>
      <c r="J21" t="s">
        <v>260</v>
      </c>
      <c r="K21" s="87">
        <v>1296967.0863084546</v>
      </c>
      <c r="L21" s="87">
        <v>0</v>
      </c>
      <c r="M21" s="87">
        <v>0</v>
      </c>
      <c r="N21" s="87">
        <v>0</v>
      </c>
      <c r="O21" s="87">
        <v>5950097.9196200203</v>
      </c>
      <c r="P21" s="87">
        <v>0</v>
      </c>
      <c r="Q21" s="87">
        <v>0</v>
      </c>
      <c r="R21" s="87">
        <v>5950097.9196200203</v>
      </c>
      <c r="S21" s="87">
        <v>0</v>
      </c>
      <c r="T21" s="87">
        <v>0</v>
      </c>
      <c r="U21" s="87">
        <v>0</v>
      </c>
      <c r="V21" s="87">
        <v>0</v>
      </c>
      <c r="W21" s="87">
        <v>0</v>
      </c>
      <c r="X21" s="87">
        <v>0</v>
      </c>
      <c r="Y21" s="87">
        <v>0</v>
      </c>
      <c r="Z21" s="87">
        <v>5950097.9196200203</v>
      </c>
      <c r="AA21" s="87">
        <v>3224578.32</v>
      </c>
      <c r="AB21" s="87">
        <v>1064110.8455999999</v>
      </c>
      <c r="AC21" s="87">
        <v>0</v>
      </c>
      <c r="AD21" s="87">
        <v>2725519.5996200205</v>
      </c>
      <c r="AE21" s="87">
        <v>899421.46787460661</v>
      </c>
      <c r="AF21">
        <v>899421.46787460661</v>
      </c>
      <c r="AG21" s="87"/>
    </row>
    <row r="22" spans="1:33">
      <c r="A22" s="53" t="s">
        <v>261</v>
      </c>
      <c r="B22" t="s">
        <v>208</v>
      </c>
      <c r="C22" t="s">
        <v>149</v>
      </c>
      <c r="E22" t="s">
        <v>209</v>
      </c>
      <c r="F22" t="s">
        <v>209</v>
      </c>
      <c r="G22" t="s">
        <v>210</v>
      </c>
      <c r="H22" t="s">
        <v>262</v>
      </c>
      <c r="I22" t="s">
        <v>6</v>
      </c>
      <c r="J22" t="s">
        <v>263</v>
      </c>
      <c r="K22" s="87">
        <v>228822.41148031995</v>
      </c>
      <c r="L22" s="87">
        <v>0</v>
      </c>
      <c r="M22" s="87">
        <v>0</v>
      </c>
      <c r="N22" s="87">
        <v>0</v>
      </c>
      <c r="O22" s="87">
        <v>2237691.4038465279</v>
      </c>
      <c r="P22" s="87">
        <v>0</v>
      </c>
      <c r="Q22" s="87">
        <v>0</v>
      </c>
      <c r="R22" s="87">
        <v>2237691.4038465279</v>
      </c>
      <c r="S22" s="87">
        <v>5996</v>
      </c>
      <c r="T22" s="87">
        <v>0</v>
      </c>
      <c r="U22" s="87">
        <v>0</v>
      </c>
      <c r="V22" s="87">
        <v>0</v>
      </c>
      <c r="W22" s="87">
        <v>0</v>
      </c>
      <c r="X22" s="87">
        <v>5996</v>
      </c>
      <c r="Y22" s="87">
        <v>0</v>
      </c>
      <c r="Z22" s="87">
        <v>2243687.4038465279</v>
      </c>
      <c r="AA22" s="87">
        <v>992155.75</v>
      </c>
      <c r="AB22" s="87">
        <v>327411.39749999996</v>
      </c>
      <c r="AC22" s="87">
        <v>0</v>
      </c>
      <c r="AD22" s="87">
        <v>1251531.6538465279</v>
      </c>
      <c r="AE22" s="87">
        <v>413005.44576935412</v>
      </c>
      <c r="AF22">
        <v>413005.445769354</v>
      </c>
      <c r="AG22" s="87"/>
    </row>
    <row r="23" spans="1:33">
      <c r="A23" s="53" t="s">
        <v>264</v>
      </c>
      <c r="B23" t="s">
        <v>208</v>
      </c>
      <c r="C23" t="s">
        <v>149</v>
      </c>
      <c r="E23" t="s">
        <v>209</v>
      </c>
      <c r="F23" t="s">
        <v>209</v>
      </c>
      <c r="G23" t="s">
        <v>210</v>
      </c>
      <c r="H23" t="s">
        <v>265</v>
      </c>
      <c r="I23" t="s">
        <v>12</v>
      </c>
      <c r="J23" t="s">
        <v>266</v>
      </c>
      <c r="K23" s="87">
        <v>200230.11499061756</v>
      </c>
      <c r="L23" s="87">
        <v>0</v>
      </c>
      <c r="M23" s="87">
        <v>0</v>
      </c>
      <c r="N23" s="87">
        <v>0</v>
      </c>
      <c r="O23" s="87">
        <v>140745.1891627264</v>
      </c>
      <c r="P23" s="87">
        <v>0</v>
      </c>
      <c r="Q23" s="87">
        <v>0</v>
      </c>
      <c r="R23" s="87">
        <v>140745.1891627264</v>
      </c>
      <c r="S23" s="87">
        <v>0</v>
      </c>
      <c r="T23" s="87">
        <v>0</v>
      </c>
      <c r="U23" s="87">
        <v>0</v>
      </c>
      <c r="V23" s="87">
        <v>0</v>
      </c>
      <c r="W23" s="87">
        <v>0</v>
      </c>
      <c r="X23" s="87">
        <v>0</v>
      </c>
      <c r="Y23" s="87">
        <v>0</v>
      </c>
      <c r="Z23" s="87">
        <v>140745.1891627264</v>
      </c>
      <c r="AA23" s="87">
        <v>34679.32</v>
      </c>
      <c r="AB23" s="87">
        <v>11444.175599999999</v>
      </c>
      <c r="AC23" s="87">
        <v>0</v>
      </c>
      <c r="AD23" s="87">
        <v>106065.86916272639</v>
      </c>
      <c r="AE23" s="87">
        <v>35001.736823699714</v>
      </c>
      <c r="AF23">
        <v>35001.736823699714</v>
      </c>
      <c r="AG23" s="87"/>
    </row>
    <row r="24" spans="1:33">
      <c r="A24" s="53" t="s">
        <v>267</v>
      </c>
      <c r="B24" t="s">
        <v>214</v>
      </c>
      <c r="C24" t="s">
        <v>149</v>
      </c>
      <c r="E24" t="s">
        <v>209</v>
      </c>
      <c r="F24" t="s">
        <v>209</v>
      </c>
      <c r="G24" t="s">
        <v>210</v>
      </c>
      <c r="H24" t="s">
        <v>268</v>
      </c>
      <c r="I24" t="s">
        <v>10</v>
      </c>
      <c r="J24" t="s">
        <v>269</v>
      </c>
      <c r="K24" s="87">
        <v>255878.45254451202</v>
      </c>
      <c r="L24" s="87">
        <v>0</v>
      </c>
      <c r="M24" s="87">
        <v>0</v>
      </c>
      <c r="N24" s="87">
        <v>0</v>
      </c>
      <c r="O24" s="87">
        <v>1505390.4266275838</v>
      </c>
      <c r="P24" s="87">
        <v>0</v>
      </c>
      <c r="Q24" s="87">
        <v>0</v>
      </c>
      <c r="R24" s="87">
        <v>1505390.4266275838</v>
      </c>
      <c r="S24" s="87">
        <v>0</v>
      </c>
      <c r="T24" s="87">
        <v>0</v>
      </c>
      <c r="U24" s="87">
        <v>0</v>
      </c>
      <c r="V24" s="87">
        <v>0</v>
      </c>
      <c r="W24" s="87">
        <v>0</v>
      </c>
      <c r="X24" s="87">
        <v>0</v>
      </c>
      <c r="Y24" s="87">
        <v>0</v>
      </c>
      <c r="Z24" s="87">
        <v>1505390.4266275838</v>
      </c>
      <c r="AA24" s="87">
        <v>590706.5</v>
      </c>
      <c r="AB24" s="87">
        <v>194933.14499999999</v>
      </c>
      <c r="AC24" s="87">
        <v>0</v>
      </c>
      <c r="AD24" s="87">
        <v>914683.9266275838</v>
      </c>
      <c r="AE24" s="87">
        <v>301845.69578710257</v>
      </c>
      <c r="AF24">
        <v>301845.69578710257</v>
      </c>
      <c r="AG24" s="87"/>
    </row>
    <row r="25" spans="1:33">
      <c r="A25" s="53" t="s">
        <v>270</v>
      </c>
      <c r="B25" t="s">
        <v>208</v>
      </c>
      <c r="C25" t="s">
        <v>149</v>
      </c>
      <c r="E25" t="s">
        <v>209</v>
      </c>
      <c r="F25" t="s">
        <v>209</v>
      </c>
      <c r="G25" t="s">
        <v>210</v>
      </c>
      <c r="H25" t="s">
        <v>271</v>
      </c>
      <c r="I25" t="s">
        <v>13</v>
      </c>
      <c r="J25" t="s">
        <v>272</v>
      </c>
      <c r="K25" s="87">
        <v>796517.32621332491</v>
      </c>
      <c r="L25" s="87">
        <v>950980.98490655108</v>
      </c>
      <c r="M25" s="87">
        <v>406056.58225950721</v>
      </c>
      <c r="N25" s="87">
        <v>544924.40264704381</v>
      </c>
      <c r="O25" s="87">
        <v>1493208.0924900607</v>
      </c>
      <c r="P25" s="87">
        <v>0</v>
      </c>
      <c r="Q25" s="87">
        <v>0</v>
      </c>
      <c r="R25" s="87">
        <v>1493208.0924900607</v>
      </c>
      <c r="S25" s="87">
        <v>0</v>
      </c>
      <c r="T25" s="87">
        <v>0</v>
      </c>
      <c r="U25" s="87">
        <v>0</v>
      </c>
      <c r="V25" s="87">
        <v>0</v>
      </c>
      <c r="W25" s="87">
        <v>0</v>
      </c>
      <c r="X25" s="87">
        <v>0</v>
      </c>
      <c r="Y25" s="87">
        <v>0</v>
      </c>
      <c r="Z25" s="87">
        <v>1493208.0924900607</v>
      </c>
      <c r="AA25" s="87">
        <v>210314.58</v>
      </c>
      <c r="AB25" s="87">
        <v>69403.811399999991</v>
      </c>
      <c r="AC25" s="87">
        <v>0</v>
      </c>
      <c r="AD25" s="87">
        <v>1282893.5124900606</v>
      </c>
      <c r="AE25" s="87">
        <v>423354.85912171996</v>
      </c>
      <c r="AF25">
        <v>423354.85912171996</v>
      </c>
      <c r="AG25" s="87"/>
    </row>
    <row r="26" spans="1:33">
      <c r="A26" s="53" t="s">
        <v>273</v>
      </c>
      <c r="B26" t="s">
        <v>208</v>
      </c>
      <c r="C26" t="s">
        <v>149</v>
      </c>
      <c r="E26" t="s">
        <v>209</v>
      </c>
      <c r="F26" t="s">
        <v>209</v>
      </c>
      <c r="G26" t="s">
        <v>210</v>
      </c>
      <c r="H26" t="s">
        <v>274</v>
      </c>
      <c r="I26" t="s">
        <v>12</v>
      </c>
      <c r="J26" t="s">
        <v>275</v>
      </c>
      <c r="K26" s="87">
        <v>216662.535646592</v>
      </c>
      <c r="L26" s="87">
        <v>271862.59541357215</v>
      </c>
      <c r="M26" s="87">
        <v>0</v>
      </c>
      <c r="N26" s="87">
        <v>271862.59541357215</v>
      </c>
      <c r="O26" s="87">
        <v>275833.19269614079</v>
      </c>
      <c r="P26" s="87">
        <v>134104.16999999998</v>
      </c>
      <c r="Q26" s="87">
        <v>0</v>
      </c>
      <c r="R26" s="87">
        <v>275833.19269614079</v>
      </c>
      <c r="S26" s="87">
        <v>0</v>
      </c>
      <c r="T26" s="87">
        <v>0</v>
      </c>
      <c r="U26" s="87">
        <v>0</v>
      </c>
      <c r="V26" s="87">
        <v>0</v>
      </c>
      <c r="W26" s="87">
        <v>0</v>
      </c>
      <c r="X26" s="87">
        <v>0</v>
      </c>
      <c r="Y26" s="87">
        <v>0</v>
      </c>
      <c r="Z26" s="87">
        <v>275833.19269614079</v>
      </c>
      <c r="AA26" s="87">
        <v>108078.73</v>
      </c>
      <c r="AB26" s="87">
        <v>35665.980899999995</v>
      </c>
      <c r="AC26" s="87">
        <v>0</v>
      </c>
      <c r="AD26" s="87">
        <v>167754.46269614081</v>
      </c>
      <c r="AE26" s="87">
        <v>55358.972689726448</v>
      </c>
      <c r="AF26">
        <v>55358.972689726448</v>
      </c>
      <c r="AG26" s="87"/>
    </row>
    <row r="27" spans="1:33">
      <c r="A27" s="53" t="s">
        <v>276</v>
      </c>
      <c r="B27" t="s">
        <v>208</v>
      </c>
      <c r="C27" t="s">
        <v>149</v>
      </c>
      <c r="E27" t="s">
        <v>209</v>
      </c>
      <c r="F27" t="s">
        <v>209</v>
      </c>
      <c r="G27" t="s">
        <v>210</v>
      </c>
      <c r="H27" t="s">
        <v>277</v>
      </c>
      <c r="I27" t="s">
        <v>8</v>
      </c>
      <c r="J27" t="s">
        <v>278</v>
      </c>
      <c r="K27" s="87">
        <v>229319.15924395519</v>
      </c>
      <c r="L27" s="87">
        <v>0</v>
      </c>
      <c r="M27" s="87">
        <v>0</v>
      </c>
      <c r="N27" s="87">
        <v>0</v>
      </c>
      <c r="O27" s="87">
        <v>198409.29642311682</v>
      </c>
      <c r="P27" s="87">
        <v>0</v>
      </c>
      <c r="Q27" s="87">
        <v>0</v>
      </c>
      <c r="R27" s="87">
        <v>198409.29642311682</v>
      </c>
      <c r="S27" s="87">
        <v>0</v>
      </c>
      <c r="T27" s="87">
        <v>0</v>
      </c>
      <c r="U27" s="87">
        <v>0</v>
      </c>
      <c r="V27" s="87">
        <v>0</v>
      </c>
      <c r="W27" s="87">
        <v>0</v>
      </c>
      <c r="X27" s="87">
        <v>0</v>
      </c>
      <c r="Y27" s="87">
        <v>0</v>
      </c>
      <c r="Z27" s="87">
        <v>198409.29642311682</v>
      </c>
      <c r="AA27" s="87">
        <v>265305.89</v>
      </c>
      <c r="AB27" s="87">
        <v>87550.943699999989</v>
      </c>
      <c r="AC27" s="87">
        <v>0</v>
      </c>
      <c r="AD27" s="87">
        <v>-66896.593576883199</v>
      </c>
      <c r="AE27" s="87">
        <v>-22075.875880371445</v>
      </c>
      <c r="AF27">
        <v>0</v>
      </c>
      <c r="AG27" s="87"/>
    </row>
    <row r="28" spans="1:33">
      <c r="A28" s="53" t="s">
        <v>279</v>
      </c>
      <c r="B28" t="s">
        <v>214</v>
      </c>
      <c r="E28" t="s">
        <v>209</v>
      </c>
      <c r="F28" t="s">
        <v>227</v>
      </c>
      <c r="G28" t="s">
        <v>210</v>
      </c>
      <c r="H28" t="s">
        <v>280</v>
      </c>
      <c r="I28" t="s">
        <v>14</v>
      </c>
      <c r="J28" t="s">
        <v>14</v>
      </c>
      <c r="K28" s="87">
        <v>-152652721.91002291</v>
      </c>
      <c r="L28" s="87">
        <v>20223323.261183664</v>
      </c>
      <c r="M28" s="87">
        <v>9718808.2545386627</v>
      </c>
      <c r="N28" s="87">
        <v>10504515.006645001</v>
      </c>
      <c r="O28" s="87">
        <v>24881353.345307998</v>
      </c>
      <c r="P28" s="87">
        <v>0</v>
      </c>
      <c r="Q28" s="87">
        <v>0</v>
      </c>
      <c r="R28" s="87">
        <v>24881353.345307998</v>
      </c>
      <c r="S28" s="87">
        <v>0</v>
      </c>
      <c r="T28" s="87">
        <v>0</v>
      </c>
      <c r="U28" s="87">
        <v>0</v>
      </c>
      <c r="V28" s="87">
        <v>0</v>
      </c>
      <c r="W28" s="87">
        <v>1193049</v>
      </c>
      <c r="X28" s="87">
        <v>1193049</v>
      </c>
      <c r="Y28" s="87">
        <v>0</v>
      </c>
      <c r="Z28" s="87">
        <v>26074402.345307998</v>
      </c>
      <c r="AA28" s="87">
        <v>8456320.8300000001</v>
      </c>
      <c r="AB28" s="87">
        <v>2790585.8738999995</v>
      </c>
      <c r="AC28" s="87">
        <v>0</v>
      </c>
      <c r="AD28" s="87">
        <v>17618081.515308</v>
      </c>
      <c r="AE28" s="87">
        <v>5813966.9000516385</v>
      </c>
      <c r="AF28">
        <v>5813966.9000516385</v>
      </c>
      <c r="AG28" s="87"/>
    </row>
    <row r="29" spans="1:33">
      <c r="A29" s="53" t="s">
        <v>102</v>
      </c>
      <c r="B29" t="s">
        <v>281</v>
      </c>
      <c r="E29" t="s">
        <v>282</v>
      </c>
      <c r="F29" t="s">
        <v>209</v>
      </c>
      <c r="G29" t="s">
        <v>283</v>
      </c>
      <c r="H29" t="s">
        <v>284</v>
      </c>
      <c r="I29" t="s">
        <v>6</v>
      </c>
      <c r="J29" t="s">
        <v>6</v>
      </c>
      <c r="K29" s="87">
        <v>253475.00321579515</v>
      </c>
      <c r="L29" s="87">
        <v>32486188.493878856</v>
      </c>
      <c r="M29" s="87">
        <v>2801900.6992388605</v>
      </c>
      <c r="N29" s="87">
        <v>29684287.794639997</v>
      </c>
      <c r="O29" s="87">
        <v>2812917.7507861252</v>
      </c>
      <c r="P29" s="87">
        <v>28347959</v>
      </c>
      <c r="Q29" s="87">
        <v>0</v>
      </c>
      <c r="R29" s="87">
        <v>2812917.7507861252</v>
      </c>
      <c r="S29" s="87">
        <v>3137941.88</v>
      </c>
      <c r="T29" s="87">
        <v>0</v>
      </c>
      <c r="U29" s="87">
        <v>0</v>
      </c>
      <c r="V29" s="87">
        <v>0</v>
      </c>
      <c r="W29" s="87">
        <v>0</v>
      </c>
      <c r="X29" s="87">
        <v>3137941.88</v>
      </c>
      <c r="Y29" s="87">
        <v>0</v>
      </c>
      <c r="Z29" s="87">
        <v>3137941.88</v>
      </c>
      <c r="AA29" s="87">
        <v>1277619.43</v>
      </c>
      <c r="AB29" s="87">
        <v>421614.41189999995</v>
      </c>
      <c r="AC29" s="87">
        <v>0</v>
      </c>
      <c r="AD29" s="87">
        <v>3137941.88</v>
      </c>
      <c r="AE29" s="87">
        <v>1035520.8203999999</v>
      </c>
      <c r="AF29">
        <v>1035520.8203999999</v>
      </c>
      <c r="AG29" s="87"/>
    </row>
    <row r="30" spans="1:33">
      <c r="A30" s="53" t="s">
        <v>285</v>
      </c>
      <c r="B30" t="s">
        <v>286</v>
      </c>
      <c r="E30" t="s">
        <v>287</v>
      </c>
      <c r="F30" t="s">
        <v>209</v>
      </c>
      <c r="G30" t="s">
        <v>210</v>
      </c>
      <c r="H30" t="s">
        <v>288</v>
      </c>
      <c r="I30" t="s">
        <v>14</v>
      </c>
      <c r="J30" t="s">
        <v>14</v>
      </c>
      <c r="K30" s="87">
        <v>-1828756.630796242</v>
      </c>
      <c r="L30" s="87">
        <v>2883519.8303305455</v>
      </c>
      <c r="M30" s="87">
        <v>23829.991153300478</v>
      </c>
      <c r="N30" s="87">
        <v>2859689.8391772453</v>
      </c>
      <c r="O30" s="87">
        <v>24487.360868951757</v>
      </c>
      <c r="P30" s="87">
        <v>2736862.05</v>
      </c>
      <c r="Q30" s="87">
        <v>1705928.8416189961</v>
      </c>
      <c r="R30" s="87">
        <v>0</v>
      </c>
      <c r="S30" s="87">
        <v>0</v>
      </c>
      <c r="T30" s="87">
        <v>0</v>
      </c>
      <c r="U30" s="87">
        <v>0</v>
      </c>
      <c r="V30" s="87">
        <v>0</v>
      </c>
      <c r="W30" s="87">
        <v>0</v>
      </c>
      <c r="X30" s="87">
        <v>0</v>
      </c>
      <c r="Y30" s="87">
        <v>0</v>
      </c>
      <c r="Z30" s="87">
        <v>0</v>
      </c>
      <c r="AA30" s="87">
        <v>16454.810000000001</v>
      </c>
      <c r="AB30" s="87">
        <v>5430.0873000000001</v>
      </c>
      <c r="AC30" s="87">
        <v>0</v>
      </c>
      <c r="AD30" s="87">
        <v>-16454.810000000001</v>
      </c>
      <c r="AE30" s="87">
        <v>-5430.0873000000001</v>
      </c>
      <c r="AF30">
        <v>0</v>
      </c>
      <c r="AG30" s="87"/>
    </row>
    <row r="31" spans="1:33">
      <c r="A31" s="53" t="s">
        <v>103</v>
      </c>
      <c r="B31" t="s">
        <v>281</v>
      </c>
      <c r="E31" t="s">
        <v>282</v>
      </c>
      <c r="F31" t="s">
        <v>209</v>
      </c>
      <c r="G31" t="s">
        <v>283</v>
      </c>
      <c r="H31" t="s">
        <v>289</v>
      </c>
      <c r="I31" t="s">
        <v>15</v>
      </c>
      <c r="J31" t="s">
        <v>15</v>
      </c>
      <c r="K31" s="87">
        <v>8829662.9727776516</v>
      </c>
      <c r="L31" s="87">
        <v>42476370.675217919</v>
      </c>
      <c r="M31" s="87">
        <v>0</v>
      </c>
      <c r="N31" s="87">
        <v>42476370.675217919</v>
      </c>
      <c r="O31" s="87">
        <v>0</v>
      </c>
      <c r="P31" s="87">
        <v>43950491</v>
      </c>
      <c r="Q31" s="87">
        <v>0</v>
      </c>
      <c r="R31" s="87">
        <v>0</v>
      </c>
      <c r="S31" s="87">
        <v>6494</v>
      </c>
      <c r="T31" s="87">
        <v>0</v>
      </c>
      <c r="U31" s="87">
        <v>0</v>
      </c>
      <c r="V31" s="87">
        <v>0</v>
      </c>
      <c r="W31" s="87">
        <v>156925</v>
      </c>
      <c r="X31" s="87">
        <v>163419</v>
      </c>
      <c r="Y31" s="87">
        <v>0</v>
      </c>
      <c r="Z31" s="87">
        <v>6494</v>
      </c>
      <c r="AA31" s="87">
        <v>710092.74</v>
      </c>
      <c r="AB31" s="87">
        <v>234330.60419999997</v>
      </c>
      <c r="AC31" s="87">
        <v>0</v>
      </c>
      <c r="AD31" s="87">
        <v>6494</v>
      </c>
      <c r="AE31" s="87">
        <v>2143.0199999999995</v>
      </c>
      <c r="AF31">
        <v>2143.0199999999995</v>
      </c>
      <c r="AG31" s="87"/>
    </row>
    <row r="32" spans="1:33">
      <c r="A32" s="53" t="s">
        <v>104</v>
      </c>
      <c r="B32" t="s">
        <v>281</v>
      </c>
      <c r="E32" t="s">
        <v>282</v>
      </c>
      <c r="F32" t="s">
        <v>209</v>
      </c>
      <c r="G32" t="s">
        <v>283</v>
      </c>
      <c r="H32" t="s">
        <v>290</v>
      </c>
      <c r="I32" t="s">
        <v>12</v>
      </c>
      <c r="J32" t="s">
        <v>291</v>
      </c>
      <c r="K32" s="87">
        <v>8240543.6894710269</v>
      </c>
      <c r="L32" s="87">
        <v>46886640.09743616</v>
      </c>
      <c r="M32" s="87">
        <v>0</v>
      </c>
      <c r="N32" s="87">
        <v>46886640.09743616</v>
      </c>
      <c r="O32" s="87">
        <v>0</v>
      </c>
      <c r="P32" s="87">
        <v>47732414</v>
      </c>
      <c r="Q32" s="87">
        <v>0</v>
      </c>
      <c r="R32" s="87">
        <v>0</v>
      </c>
      <c r="S32" s="87">
        <v>0</v>
      </c>
      <c r="T32" s="87">
        <v>0</v>
      </c>
      <c r="U32" s="87">
        <v>0</v>
      </c>
      <c r="V32" s="87">
        <v>0</v>
      </c>
      <c r="W32" s="87">
        <v>1065749</v>
      </c>
      <c r="X32" s="87">
        <v>1065749</v>
      </c>
      <c r="Y32" s="87">
        <v>0</v>
      </c>
      <c r="Z32" s="87">
        <v>0</v>
      </c>
      <c r="AA32" s="87">
        <v>752518.68</v>
      </c>
      <c r="AB32" s="87">
        <v>248331.16439999998</v>
      </c>
      <c r="AC32" s="87">
        <v>0</v>
      </c>
      <c r="AD32" s="87">
        <v>0</v>
      </c>
      <c r="AE32" s="87">
        <v>0</v>
      </c>
      <c r="AF32">
        <v>0</v>
      </c>
      <c r="AG32" s="87"/>
    </row>
    <row r="33" spans="1:33">
      <c r="A33" s="53" t="s">
        <v>105</v>
      </c>
      <c r="B33" t="s">
        <v>281</v>
      </c>
      <c r="E33" t="s">
        <v>282</v>
      </c>
      <c r="F33" t="s">
        <v>209</v>
      </c>
      <c r="G33" t="s">
        <v>283</v>
      </c>
      <c r="H33" t="s">
        <v>292</v>
      </c>
      <c r="I33" t="s">
        <v>12</v>
      </c>
      <c r="J33" t="s">
        <v>293</v>
      </c>
      <c r="K33" s="87">
        <v>2392828.3101852415</v>
      </c>
      <c r="L33" s="87">
        <v>51042688.262397438</v>
      </c>
      <c r="M33" s="87">
        <v>0</v>
      </c>
      <c r="N33" s="87">
        <v>51042688.262397438</v>
      </c>
      <c r="O33" s="87">
        <v>0</v>
      </c>
      <c r="P33" s="87">
        <v>46253706</v>
      </c>
      <c r="Q33" s="87">
        <v>0</v>
      </c>
      <c r="R33" s="87">
        <v>0</v>
      </c>
      <c r="S33" s="87">
        <v>4081</v>
      </c>
      <c r="T33" s="87">
        <v>0</v>
      </c>
      <c r="U33" s="87">
        <v>0</v>
      </c>
      <c r="V33" s="87">
        <v>0</v>
      </c>
      <c r="W33" s="87">
        <v>407031</v>
      </c>
      <c r="X33" s="87">
        <v>411112</v>
      </c>
      <c r="Y33" s="87">
        <v>0</v>
      </c>
      <c r="Z33" s="87">
        <v>4081</v>
      </c>
      <c r="AA33" s="87">
        <v>427236.16</v>
      </c>
      <c r="AB33" s="87">
        <v>140987.93279999998</v>
      </c>
      <c r="AC33" s="87">
        <v>0</v>
      </c>
      <c r="AD33" s="87">
        <v>4081</v>
      </c>
      <c r="AE33" s="87">
        <v>1346.7299999999998</v>
      </c>
      <c r="AF33">
        <v>1346.73</v>
      </c>
      <c r="AG33" s="87"/>
    </row>
    <row r="34" spans="1:33">
      <c r="A34" s="53" t="s">
        <v>294</v>
      </c>
      <c r="B34" t="s">
        <v>286</v>
      </c>
      <c r="E34" t="s">
        <v>287</v>
      </c>
      <c r="F34" t="s">
        <v>209</v>
      </c>
      <c r="G34" t="s">
        <v>210</v>
      </c>
      <c r="H34" t="s">
        <v>295</v>
      </c>
      <c r="I34" t="s">
        <v>6</v>
      </c>
      <c r="J34" t="s">
        <v>6</v>
      </c>
      <c r="K34" s="87">
        <v>-1387929.6451229001</v>
      </c>
      <c r="L34" s="87">
        <v>2645426.9318721304</v>
      </c>
      <c r="M34" s="87">
        <v>17401.019810088455</v>
      </c>
      <c r="N34" s="87">
        <v>2628025.9120620419</v>
      </c>
      <c r="O34" s="87">
        <v>23845.850935306877</v>
      </c>
      <c r="P34" s="87">
        <v>2522770.33</v>
      </c>
      <c r="Q34" s="87">
        <v>1282674.0630608583</v>
      </c>
      <c r="R34" s="87">
        <v>0</v>
      </c>
      <c r="S34" s="87">
        <v>0</v>
      </c>
      <c r="T34" s="87">
        <v>0</v>
      </c>
      <c r="U34" s="87">
        <v>0</v>
      </c>
      <c r="V34" s="87">
        <v>0</v>
      </c>
      <c r="W34" s="87">
        <v>0</v>
      </c>
      <c r="X34" s="87">
        <v>0</v>
      </c>
      <c r="Y34" s="87">
        <v>0</v>
      </c>
      <c r="Z34" s="87">
        <v>0</v>
      </c>
      <c r="AA34" s="87">
        <v>5312.63</v>
      </c>
      <c r="AB34" s="87">
        <v>1753.1678999999999</v>
      </c>
      <c r="AC34" s="87">
        <v>0</v>
      </c>
      <c r="AD34" s="87">
        <v>-5312.63</v>
      </c>
      <c r="AE34" s="87">
        <v>-1753.1678999999999</v>
      </c>
      <c r="AF34">
        <v>0</v>
      </c>
      <c r="AG34" s="87"/>
    </row>
    <row r="35" spans="1:33">
      <c r="A35" s="53" t="s">
        <v>106</v>
      </c>
      <c r="B35" t="s">
        <v>281</v>
      </c>
      <c r="E35" t="s">
        <v>282</v>
      </c>
      <c r="F35" t="s">
        <v>209</v>
      </c>
      <c r="G35" t="s">
        <v>283</v>
      </c>
      <c r="H35" t="s">
        <v>296</v>
      </c>
      <c r="I35" t="s">
        <v>7</v>
      </c>
      <c r="J35" t="s">
        <v>237</v>
      </c>
      <c r="K35" s="87">
        <v>887424.93737784319</v>
      </c>
      <c r="L35" s="87">
        <v>10285608.1886208</v>
      </c>
      <c r="M35" s="87">
        <v>0</v>
      </c>
      <c r="N35" s="87">
        <v>10285608.1886208</v>
      </c>
      <c r="O35" s="87">
        <v>0</v>
      </c>
      <c r="P35" s="87">
        <v>0</v>
      </c>
      <c r="Q35" s="87">
        <v>0</v>
      </c>
      <c r="R35" s="87">
        <v>0</v>
      </c>
      <c r="S35" s="87">
        <v>0</v>
      </c>
      <c r="T35" s="87">
        <v>0</v>
      </c>
      <c r="U35" s="87">
        <v>26746</v>
      </c>
      <c r="V35" s="87">
        <v>0</v>
      </c>
      <c r="W35" s="87">
        <v>345960</v>
      </c>
      <c r="X35" s="87">
        <v>372706</v>
      </c>
      <c r="Y35" s="87">
        <v>0</v>
      </c>
      <c r="Z35" s="87">
        <v>26746</v>
      </c>
      <c r="AA35" s="87">
        <v>216275.25</v>
      </c>
      <c r="AB35" s="87">
        <v>71370.83249999999</v>
      </c>
      <c r="AC35" s="87">
        <v>0</v>
      </c>
      <c r="AD35" s="87">
        <v>26746</v>
      </c>
      <c r="AE35" s="87">
        <v>8826.1799999999985</v>
      </c>
      <c r="AF35">
        <v>8826.1799999999985</v>
      </c>
      <c r="AG35" s="87"/>
    </row>
    <row r="36" spans="1:33">
      <c r="A36" s="53" t="s">
        <v>297</v>
      </c>
      <c r="B36" t="s">
        <v>286</v>
      </c>
      <c r="E36" t="s">
        <v>287</v>
      </c>
      <c r="F36" t="s">
        <v>209</v>
      </c>
      <c r="G36" t="s">
        <v>210</v>
      </c>
      <c r="H36" t="s">
        <v>298</v>
      </c>
      <c r="I36" t="s">
        <v>3</v>
      </c>
      <c r="J36" t="s">
        <v>3</v>
      </c>
      <c r="K36" s="87">
        <v>-814777.44408238039</v>
      </c>
      <c r="L36" s="87">
        <v>4705687.4308811165</v>
      </c>
      <c r="M36" s="87">
        <v>10711.199365888</v>
      </c>
      <c r="N36" s="87">
        <v>4694976.2315152287</v>
      </c>
      <c r="O36" s="87">
        <v>337944.04410798085</v>
      </c>
      <c r="P36" s="87">
        <v>0</v>
      </c>
      <c r="Q36" s="87">
        <v>0</v>
      </c>
      <c r="R36" s="87">
        <v>337944.04410798085</v>
      </c>
      <c r="S36" s="87">
        <v>0</v>
      </c>
      <c r="T36" s="87">
        <v>0</v>
      </c>
      <c r="U36" s="87">
        <v>0</v>
      </c>
      <c r="V36" s="87">
        <v>0</v>
      </c>
      <c r="W36" s="87">
        <v>0</v>
      </c>
      <c r="X36" s="87">
        <v>0</v>
      </c>
      <c r="Y36" s="87">
        <v>0</v>
      </c>
      <c r="Z36" s="87">
        <v>337944.04410798085</v>
      </c>
      <c r="AA36" s="87">
        <v>11385.23</v>
      </c>
      <c r="AB36" s="87">
        <v>3757.1258999999995</v>
      </c>
      <c r="AC36" s="87">
        <v>0</v>
      </c>
      <c r="AD36" s="87">
        <v>326558.81410798087</v>
      </c>
      <c r="AE36" s="87">
        <v>107764.40865563367</v>
      </c>
      <c r="AF36">
        <v>107764.40865563367</v>
      </c>
      <c r="AG36" s="87"/>
    </row>
    <row r="37" spans="1:33">
      <c r="A37" s="53" t="s">
        <v>299</v>
      </c>
      <c r="B37" t="s">
        <v>208</v>
      </c>
      <c r="C37" t="s">
        <v>149</v>
      </c>
      <c r="E37" t="s">
        <v>209</v>
      </c>
      <c r="F37" t="s">
        <v>209</v>
      </c>
      <c r="G37" t="s">
        <v>210</v>
      </c>
      <c r="H37" t="s">
        <v>300</v>
      </c>
      <c r="I37" t="s">
        <v>6</v>
      </c>
      <c r="J37" t="s">
        <v>301</v>
      </c>
      <c r="K37" s="87">
        <v>349408.77644933126</v>
      </c>
      <c r="L37" s="87">
        <v>0</v>
      </c>
      <c r="M37" s="87">
        <v>0</v>
      </c>
      <c r="N37" s="87">
        <v>0</v>
      </c>
      <c r="O37" s="87">
        <v>654007.87506521598</v>
      </c>
      <c r="P37" s="87">
        <v>0</v>
      </c>
      <c r="Q37" s="87">
        <v>0</v>
      </c>
      <c r="R37" s="87">
        <v>654007.87506521598</v>
      </c>
      <c r="S37" s="87">
        <v>39353</v>
      </c>
      <c r="T37" s="87">
        <v>0</v>
      </c>
      <c r="U37" s="87">
        <v>0</v>
      </c>
      <c r="V37" s="87">
        <v>0</v>
      </c>
      <c r="W37" s="87">
        <v>0</v>
      </c>
      <c r="X37" s="87">
        <v>39353</v>
      </c>
      <c r="Y37" s="87">
        <v>0</v>
      </c>
      <c r="Z37" s="87">
        <v>693360.87506521598</v>
      </c>
      <c r="AA37" s="87">
        <v>322487.21000000002</v>
      </c>
      <c r="AB37" s="87">
        <v>106420.77929999999</v>
      </c>
      <c r="AC37" s="87">
        <v>0</v>
      </c>
      <c r="AD37" s="87">
        <v>370873.66506521596</v>
      </c>
      <c r="AE37" s="87">
        <v>122388.30947152126</v>
      </c>
      <c r="AF37">
        <v>122388.309471521</v>
      </c>
      <c r="AG37" s="87"/>
    </row>
    <row r="38" spans="1:33">
      <c r="A38" s="53" t="s">
        <v>302</v>
      </c>
      <c r="B38" t="s">
        <v>208</v>
      </c>
      <c r="C38" t="s">
        <v>149</v>
      </c>
      <c r="E38" t="s">
        <v>209</v>
      </c>
      <c r="F38" t="s">
        <v>209</v>
      </c>
      <c r="G38" t="s">
        <v>210</v>
      </c>
      <c r="H38" t="s">
        <v>303</v>
      </c>
      <c r="I38" t="s">
        <v>12</v>
      </c>
      <c r="J38" t="s">
        <v>304</v>
      </c>
      <c r="K38" s="87">
        <v>58810.671086182396</v>
      </c>
      <c r="L38" s="87">
        <v>-21134.190855680001</v>
      </c>
      <c r="M38" s="87">
        <v>0</v>
      </c>
      <c r="N38" s="87">
        <v>0</v>
      </c>
      <c r="O38" s="87">
        <v>711220.83587394562</v>
      </c>
      <c r="P38" s="87">
        <v>0</v>
      </c>
      <c r="Q38" s="87">
        <v>0</v>
      </c>
      <c r="R38" s="87">
        <v>711220.83587394562</v>
      </c>
      <c r="S38" s="87">
        <v>2150</v>
      </c>
      <c r="T38" s="87">
        <v>0</v>
      </c>
      <c r="U38" s="87">
        <v>0</v>
      </c>
      <c r="V38" s="87">
        <v>0</v>
      </c>
      <c r="W38" s="87">
        <v>0</v>
      </c>
      <c r="X38" s="87">
        <v>2150</v>
      </c>
      <c r="Y38" s="87">
        <v>0</v>
      </c>
      <c r="Z38" s="87">
        <v>713370.83587394562</v>
      </c>
      <c r="AA38" s="87">
        <v>455855.18</v>
      </c>
      <c r="AB38" s="87">
        <v>150432.20939999999</v>
      </c>
      <c r="AC38" s="87">
        <v>0</v>
      </c>
      <c r="AD38" s="87">
        <v>257515.65587394562</v>
      </c>
      <c r="AE38" s="87">
        <v>84980.166438402026</v>
      </c>
      <c r="AF38">
        <v>84980.166438402026</v>
      </c>
      <c r="AG38" s="87"/>
    </row>
    <row r="39" spans="1:33">
      <c r="A39" s="53" t="s">
        <v>305</v>
      </c>
      <c r="B39" t="s">
        <v>208</v>
      </c>
      <c r="C39" t="s">
        <v>149</v>
      </c>
      <c r="E39" t="s">
        <v>209</v>
      </c>
      <c r="F39" t="s">
        <v>209</v>
      </c>
      <c r="G39" t="s">
        <v>210</v>
      </c>
      <c r="H39" t="s">
        <v>306</v>
      </c>
      <c r="I39" t="s">
        <v>12</v>
      </c>
      <c r="J39" t="s">
        <v>307</v>
      </c>
      <c r="K39" s="87">
        <v>840578.72749419534</v>
      </c>
      <c r="L39" s="87">
        <v>669518.63947625237</v>
      </c>
      <c r="M39" s="87">
        <v>237514.048930816</v>
      </c>
      <c r="N39" s="87">
        <v>432004.59054543637</v>
      </c>
      <c r="O39" s="87">
        <v>273493.91596907523</v>
      </c>
      <c r="P39" s="87">
        <v>319372.81</v>
      </c>
      <c r="Q39" s="87">
        <v>0</v>
      </c>
      <c r="R39" s="87">
        <v>273493.91596907523</v>
      </c>
      <c r="S39" s="87">
        <v>0</v>
      </c>
      <c r="T39" s="87">
        <v>0</v>
      </c>
      <c r="U39" s="87">
        <v>0</v>
      </c>
      <c r="V39" s="87">
        <v>0</v>
      </c>
      <c r="W39" s="87">
        <v>274082</v>
      </c>
      <c r="X39" s="87">
        <v>274082</v>
      </c>
      <c r="Y39" s="87">
        <v>0</v>
      </c>
      <c r="Z39" s="87">
        <v>547575.91596907517</v>
      </c>
      <c r="AA39" s="87">
        <v>131637.78</v>
      </c>
      <c r="AB39" s="87">
        <v>43440.467399999994</v>
      </c>
      <c r="AC39" s="87">
        <v>0</v>
      </c>
      <c r="AD39" s="87">
        <v>415938.13596907514</v>
      </c>
      <c r="AE39" s="87">
        <v>137259.58486979478</v>
      </c>
      <c r="AF39">
        <v>137259.58486979478</v>
      </c>
      <c r="AG39" s="87"/>
    </row>
    <row r="40" spans="1:33">
      <c r="A40" s="53" t="s">
        <v>107</v>
      </c>
      <c r="B40" t="s">
        <v>281</v>
      </c>
      <c r="E40" t="s">
        <v>209</v>
      </c>
      <c r="F40" t="s">
        <v>209</v>
      </c>
      <c r="G40" t="s">
        <v>283</v>
      </c>
      <c r="H40" t="s">
        <v>308</v>
      </c>
      <c r="I40" t="s">
        <v>6</v>
      </c>
      <c r="J40" t="s">
        <v>309</v>
      </c>
      <c r="K40" s="87">
        <v>-21970369.068172812</v>
      </c>
      <c r="L40" s="87">
        <v>73261691.586565301</v>
      </c>
      <c r="M40" s="87">
        <v>34178828.537554719</v>
      </c>
      <c r="N40" s="87">
        <v>39082863.049010582</v>
      </c>
      <c r="O40" s="87">
        <v>57504073.601111241</v>
      </c>
      <c r="P40" s="87">
        <v>0</v>
      </c>
      <c r="Q40" s="87">
        <v>0</v>
      </c>
      <c r="R40" s="87">
        <v>57504073.601111241</v>
      </c>
      <c r="S40" s="87">
        <v>0</v>
      </c>
      <c r="T40" s="87">
        <v>0</v>
      </c>
      <c r="U40" s="87">
        <v>0</v>
      </c>
      <c r="V40" s="87">
        <v>0</v>
      </c>
      <c r="W40" s="87">
        <v>0</v>
      </c>
      <c r="X40" s="87">
        <v>0</v>
      </c>
      <c r="Y40" s="87">
        <v>0</v>
      </c>
      <c r="Z40" s="87">
        <v>0</v>
      </c>
      <c r="AA40" s="87">
        <v>7741924.9100000001</v>
      </c>
      <c r="AB40" s="87">
        <v>2554835.2202999997</v>
      </c>
      <c r="AC40" s="87">
        <v>0</v>
      </c>
      <c r="AD40" s="87">
        <v>0</v>
      </c>
      <c r="AE40" s="87">
        <v>0</v>
      </c>
      <c r="AF40">
        <v>0</v>
      </c>
      <c r="AG40" s="87"/>
    </row>
    <row r="41" spans="1:33">
      <c r="A41" s="53" t="s">
        <v>310</v>
      </c>
      <c r="B41" t="s">
        <v>214</v>
      </c>
      <c r="E41" t="s">
        <v>209</v>
      </c>
      <c r="F41" t="s">
        <v>209</v>
      </c>
      <c r="G41" t="s">
        <v>210</v>
      </c>
      <c r="H41" t="s">
        <v>311</v>
      </c>
      <c r="I41" t="s">
        <v>14</v>
      </c>
      <c r="J41" t="s">
        <v>14</v>
      </c>
      <c r="K41" s="87">
        <v>-954544.8033521293</v>
      </c>
      <c r="L41" s="87">
        <v>0</v>
      </c>
      <c r="M41" s="87">
        <v>0</v>
      </c>
      <c r="N41" s="87">
        <v>0</v>
      </c>
      <c r="O41" s="87">
        <v>13148063.13892729</v>
      </c>
      <c r="P41" s="87">
        <v>0</v>
      </c>
      <c r="Q41" s="87">
        <v>0</v>
      </c>
      <c r="R41" s="87">
        <v>13148063.13892729</v>
      </c>
      <c r="S41" s="87">
        <v>336637</v>
      </c>
      <c r="T41" s="87">
        <v>0</v>
      </c>
      <c r="U41" s="87">
        <v>0</v>
      </c>
      <c r="V41" s="87">
        <v>0</v>
      </c>
      <c r="W41" s="87">
        <v>555512.29403500981</v>
      </c>
      <c r="X41" s="87">
        <v>892149.29403500981</v>
      </c>
      <c r="Y41" s="87">
        <v>0</v>
      </c>
      <c r="Z41" s="87">
        <v>14040212.4329623</v>
      </c>
      <c r="AA41" s="87">
        <v>5975480.5300000003</v>
      </c>
      <c r="AB41" s="87">
        <v>1971908.5748999999</v>
      </c>
      <c r="AC41" s="87">
        <v>0</v>
      </c>
      <c r="AD41" s="87">
        <v>8064731.9029623</v>
      </c>
      <c r="AE41" s="87">
        <v>2661361.5279775583</v>
      </c>
      <c r="AF41">
        <v>2661361.5279775583</v>
      </c>
      <c r="AG41" s="87"/>
    </row>
    <row r="42" spans="1:33">
      <c r="A42" s="53" t="s">
        <v>312</v>
      </c>
      <c r="B42" t="s">
        <v>214</v>
      </c>
      <c r="E42" t="s">
        <v>209</v>
      </c>
      <c r="F42" t="s">
        <v>209</v>
      </c>
      <c r="G42" t="s">
        <v>210</v>
      </c>
      <c r="H42" t="s">
        <v>313</v>
      </c>
      <c r="I42" t="s">
        <v>11</v>
      </c>
      <c r="J42" t="s">
        <v>314</v>
      </c>
      <c r="K42" s="87">
        <v>22089588.25504053</v>
      </c>
      <c r="L42" s="87">
        <v>47743036.431493416</v>
      </c>
      <c r="M42" s="87">
        <v>24803881.636717398</v>
      </c>
      <c r="N42" s="87">
        <v>22939154.794776019</v>
      </c>
      <c r="O42" s="87">
        <v>42381195.331067778</v>
      </c>
      <c r="P42" s="87">
        <v>8599276.709999999</v>
      </c>
      <c r="Q42" s="87">
        <v>0</v>
      </c>
      <c r="R42" s="87">
        <v>42381195.331067778</v>
      </c>
      <c r="S42" s="87">
        <v>5346576</v>
      </c>
      <c r="T42" s="87">
        <v>0</v>
      </c>
      <c r="U42" s="87">
        <v>12216652.044924099</v>
      </c>
      <c r="V42" s="87">
        <v>0</v>
      </c>
      <c r="W42" s="87">
        <v>10595379.626061324</v>
      </c>
      <c r="X42" s="87">
        <v>28158607.670985423</v>
      </c>
      <c r="Y42" s="87">
        <v>0</v>
      </c>
      <c r="Z42" s="87">
        <v>70539803.002053201</v>
      </c>
      <c r="AA42" s="87">
        <v>28652137.260000002</v>
      </c>
      <c r="AB42" s="87">
        <v>9455205.2957999986</v>
      </c>
      <c r="AC42" s="87">
        <v>0</v>
      </c>
      <c r="AD42" s="87">
        <v>41887665.742053196</v>
      </c>
      <c r="AE42" s="87">
        <v>13822929.694877556</v>
      </c>
      <c r="AF42">
        <v>13822929.694877556</v>
      </c>
      <c r="AG42" s="87"/>
    </row>
    <row r="43" spans="1:33">
      <c r="A43" s="53" t="s">
        <v>315</v>
      </c>
      <c r="B43" t="s">
        <v>214</v>
      </c>
      <c r="E43" t="s">
        <v>209</v>
      </c>
      <c r="F43" t="s">
        <v>209</v>
      </c>
      <c r="G43" t="s">
        <v>210</v>
      </c>
      <c r="H43" t="s">
        <v>316</v>
      </c>
      <c r="I43" t="s">
        <v>5</v>
      </c>
      <c r="J43" t="s">
        <v>5</v>
      </c>
      <c r="K43" s="87">
        <v>-28076311.391423743</v>
      </c>
      <c r="L43" s="87">
        <v>35902738.719801337</v>
      </c>
      <c r="M43" s="87">
        <v>24778671.91667546</v>
      </c>
      <c r="N43" s="87">
        <v>11124066.803125877</v>
      </c>
      <c r="O43" s="87">
        <v>35502918.666070484</v>
      </c>
      <c r="P43" s="87">
        <v>7826427.330000001</v>
      </c>
      <c r="Q43" s="87">
        <v>7826427.330000001</v>
      </c>
      <c r="R43" s="87">
        <v>27676491.336070482</v>
      </c>
      <c r="S43" s="87">
        <v>2764412</v>
      </c>
      <c r="T43" s="87">
        <v>0</v>
      </c>
      <c r="U43" s="87">
        <v>0</v>
      </c>
      <c r="V43" s="87">
        <v>0</v>
      </c>
      <c r="W43" s="87">
        <v>6044348.6812474187</v>
      </c>
      <c r="X43" s="87">
        <v>8808760.6812474187</v>
      </c>
      <c r="Y43" s="87">
        <v>0</v>
      </c>
      <c r="Z43" s="87">
        <v>36485252.017317899</v>
      </c>
      <c r="AA43" s="87">
        <v>15564929.1</v>
      </c>
      <c r="AB43" s="87">
        <v>5136426.6029999992</v>
      </c>
      <c r="AC43" s="87">
        <v>0</v>
      </c>
      <c r="AD43" s="87">
        <v>20920322.917317897</v>
      </c>
      <c r="AE43" s="87">
        <v>6903706.5627149055</v>
      </c>
      <c r="AF43">
        <v>6903706.5627149055</v>
      </c>
      <c r="AG43" s="87"/>
    </row>
    <row r="44" spans="1:33">
      <c r="A44" s="53" t="s">
        <v>317</v>
      </c>
      <c r="B44" t="s">
        <v>214</v>
      </c>
      <c r="E44" t="s">
        <v>209</v>
      </c>
      <c r="F44" t="s">
        <v>209</v>
      </c>
      <c r="G44" t="s">
        <v>210</v>
      </c>
      <c r="H44" t="s">
        <v>318</v>
      </c>
      <c r="I44" t="s">
        <v>7</v>
      </c>
      <c r="J44" t="s">
        <v>7</v>
      </c>
      <c r="K44" s="87">
        <v>-24909270.992075332</v>
      </c>
      <c r="L44" s="87">
        <v>60322753.21926</v>
      </c>
      <c r="M44" s="87">
        <v>30282169.903272837</v>
      </c>
      <c r="N44" s="87">
        <v>30040583.315987162</v>
      </c>
      <c r="O44" s="87">
        <v>40329106.835944138</v>
      </c>
      <c r="P44" s="87">
        <v>15791076.65</v>
      </c>
      <c r="Q44" s="87">
        <v>10659764.326088168</v>
      </c>
      <c r="R44" s="87">
        <v>29669342.509855971</v>
      </c>
      <c r="S44" s="87">
        <v>5835044</v>
      </c>
      <c r="T44" s="87">
        <v>0</v>
      </c>
      <c r="U44" s="87">
        <v>0</v>
      </c>
      <c r="V44" s="87">
        <v>0</v>
      </c>
      <c r="W44" s="87">
        <v>6720111.4458438102</v>
      </c>
      <c r="X44" s="87">
        <v>12555155.44584381</v>
      </c>
      <c r="Y44" s="87">
        <v>0</v>
      </c>
      <c r="Z44" s="87">
        <v>42224497.955699779</v>
      </c>
      <c r="AA44" s="87">
        <v>24723049.469999999</v>
      </c>
      <c r="AB44" s="87">
        <v>8158606.3250999982</v>
      </c>
      <c r="AC44" s="87">
        <v>0</v>
      </c>
      <c r="AD44" s="87">
        <v>17501448.48569978</v>
      </c>
      <c r="AE44" s="87">
        <v>5775478.0002809269</v>
      </c>
      <c r="AF44">
        <v>5775478.0002809269</v>
      </c>
      <c r="AG44" s="87"/>
    </row>
    <row r="45" spans="1:33">
      <c r="A45" s="53" t="s">
        <v>319</v>
      </c>
      <c r="B45" t="s">
        <v>208</v>
      </c>
      <c r="C45" t="s">
        <v>149</v>
      </c>
      <c r="E45" t="s">
        <v>209</v>
      </c>
      <c r="F45" t="s">
        <v>209</v>
      </c>
      <c r="G45" t="s">
        <v>210</v>
      </c>
      <c r="H45" t="s">
        <v>320</v>
      </c>
      <c r="I45" t="s">
        <v>12</v>
      </c>
      <c r="J45" t="s">
        <v>321</v>
      </c>
      <c r="K45" s="87">
        <v>482239.8889939455</v>
      </c>
      <c r="L45" s="87">
        <v>0</v>
      </c>
      <c r="M45" s="87">
        <v>0</v>
      </c>
      <c r="N45" s="87">
        <v>0</v>
      </c>
      <c r="O45" s="87">
        <v>499004.8231666176</v>
      </c>
      <c r="P45" s="87">
        <v>0</v>
      </c>
      <c r="Q45" s="87">
        <v>0</v>
      </c>
      <c r="R45" s="87">
        <v>499004.8231666176</v>
      </c>
      <c r="S45" s="87">
        <v>0</v>
      </c>
      <c r="T45" s="87">
        <v>0</v>
      </c>
      <c r="U45" s="87">
        <v>0</v>
      </c>
      <c r="V45" s="87">
        <v>0</v>
      </c>
      <c r="W45" s="87">
        <v>0</v>
      </c>
      <c r="X45" s="87">
        <v>0</v>
      </c>
      <c r="Y45" s="87">
        <v>0</v>
      </c>
      <c r="Z45" s="87">
        <v>499004.8231666176</v>
      </c>
      <c r="AA45" s="87">
        <v>187458.82</v>
      </c>
      <c r="AB45" s="87">
        <v>61861.410599999996</v>
      </c>
      <c r="AC45" s="87">
        <v>0</v>
      </c>
      <c r="AD45" s="87">
        <v>311546.00316661759</v>
      </c>
      <c r="AE45" s="87">
        <v>102810.18104498379</v>
      </c>
      <c r="AF45">
        <v>102810.18104498379</v>
      </c>
      <c r="AG45" s="87"/>
    </row>
    <row r="46" spans="1:33">
      <c r="A46" s="53" t="s">
        <v>322</v>
      </c>
      <c r="B46" t="s">
        <v>214</v>
      </c>
      <c r="E46" t="s">
        <v>209</v>
      </c>
      <c r="F46" t="s">
        <v>209</v>
      </c>
      <c r="G46" t="s">
        <v>210</v>
      </c>
      <c r="H46" t="s">
        <v>323</v>
      </c>
      <c r="I46" t="s">
        <v>13</v>
      </c>
      <c r="J46" t="s">
        <v>324</v>
      </c>
      <c r="K46" s="87">
        <v>-817671.27869091951</v>
      </c>
      <c r="L46" s="87">
        <v>8628950.0030393675</v>
      </c>
      <c r="M46" s="87">
        <v>5519183.6397933308</v>
      </c>
      <c r="N46" s="87">
        <v>3109766.3632460367</v>
      </c>
      <c r="O46" s="87">
        <v>6179219.5047804937</v>
      </c>
      <c r="P46" s="87">
        <v>2603939.62</v>
      </c>
      <c r="Q46" s="87">
        <v>311844.5354448827</v>
      </c>
      <c r="R46" s="87">
        <v>5867374.969335611</v>
      </c>
      <c r="S46" s="87">
        <v>911926.70884530665</v>
      </c>
      <c r="T46" s="87">
        <v>0</v>
      </c>
      <c r="U46" s="87">
        <v>489594</v>
      </c>
      <c r="V46" s="87">
        <v>0</v>
      </c>
      <c r="W46" s="87">
        <v>3274143.3808659106</v>
      </c>
      <c r="X46" s="87">
        <v>4675664.0897112172</v>
      </c>
      <c r="Y46" s="87">
        <v>0</v>
      </c>
      <c r="Z46" s="87">
        <v>10543039.059046827</v>
      </c>
      <c r="AA46" s="87">
        <v>3841667.58</v>
      </c>
      <c r="AB46" s="87">
        <v>1267750.3013999998</v>
      </c>
      <c r="AC46" s="87">
        <v>0</v>
      </c>
      <c r="AD46" s="87">
        <v>6701371.4790468272</v>
      </c>
      <c r="AE46" s="87">
        <v>2211452.588085453</v>
      </c>
      <c r="AF46">
        <v>2211452.588085453</v>
      </c>
      <c r="AG46" s="87"/>
    </row>
    <row r="47" spans="1:33">
      <c r="A47" s="53" t="s">
        <v>325</v>
      </c>
      <c r="B47" t="s">
        <v>214</v>
      </c>
      <c r="E47" t="s">
        <v>209</v>
      </c>
      <c r="F47" t="s">
        <v>209</v>
      </c>
      <c r="G47" t="s">
        <v>210</v>
      </c>
      <c r="H47" t="s">
        <v>326</v>
      </c>
      <c r="I47" t="s">
        <v>10</v>
      </c>
      <c r="J47" t="s">
        <v>327</v>
      </c>
      <c r="K47" s="87">
        <v>-563692.52179380611</v>
      </c>
      <c r="L47" s="87">
        <v>11149174.706168313</v>
      </c>
      <c r="M47" s="87">
        <v>7373731.0371313477</v>
      </c>
      <c r="N47" s="87">
        <v>3775443.6690369649</v>
      </c>
      <c r="O47" s="87">
        <v>8223778.3705860069</v>
      </c>
      <c r="P47" s="87">
        <v>3242200.13</v>
      </c>
      <c r="Q47" s="87">
        <v>30448.982756840996</v>
      </c>
      <c r="R47" s="87">
        <v>8193329.3878291659</v>
      </c>
      <c r="S47" s="87">
        <v>168698</v>
      </c>
      <c r="T47" s="87">
        <v>0</v>
      </c>
      <c r="U47" s="87">
        <v>0</v>
      </c>
      <c r="V47" s="87">
        <v>0</v>
      </c>
      <c r="W47" s="87">
        <v>0</v>
      </c>
      <c r="X47" s="87">
        <v>168698</v>
      </c>
      <c r="Y47" s="87">
        <v>0</v>
      </c>
      <c r="Z47" s="87">
        <v>8362027.3878291659</v>
      </c>
      <c r="AA47" s="87">
        <v>4979052.22</v>
      </c>
      <c r="AB47" s="87">
        <v>1643087.2325999998</v>
      </c>
      <c r="AC47" s="87">
        <v>0</v>
      </c>
      <c r="AD47" s="87">
        <v>3382975.1678291662</v>
      </c>
      <c r="AE47" s="87">
        <v>1116381.8053836245</v>
      </c>
      <c r="AF47">
        <v>1116381.8053836245</v>
      </c>
      <c r="AG47" s="87"/>
    </row>
    <row r="48" spans="1:33">
      <c r="A48" s="53" t="s">
        <v>328</v>
      </c>
      <c r="B48" t="s">
        <v>208</v>
      </c>
      <c r="C48" t="s">
        <v>149</v>
      </c>
      <c r="E48" t="s">
        <v>209</v>
      </c>
      <c r="F48" t="s">
        <v>209</v>
      </c>
      <c r="G48" t="s">
        <v>210</v>
      </c>
      <c r="H48" t="s">
        <v>329</v>
      </c>
      <c r="I48" t="s">
        <v>12</v>
      </c>
      <c r="J48" t="s">
        <v>330</v>
      </c>
      <c r="K48" s="87">
        <v>876529.2681169922</v>
      </c>
      <c r="L48" s="87">
        <v>3072105.5562240705</v>
      </c>
      <c r="M48" s="87">
        <v>1094169.9197769982</v>
      </c>
      <c r="N48" s="87">
        <v>1977935.6364470723</v>
      </c>
      <c r="O48" s="87">
        <v>1218926.2292497919</v>
      </c>
      <c r="P48" s="87">
        <v>1253498.83</v>
      </c>
      <c r="Q48" s="87">
        <v>0</v>
      </c>
      <c r="R48" s="87">
        <v>1218926.2292497919</v>
      </c>
      <c r="S48" s="87">
        <v>0</v>
      </c>
      <c r="T48" s="87">
        <v>0</v>
      </c>
      <c r="U48" s="87">
        <v>0</v>
      </c>
      <c r="V48" s="87">
        <v>0</v>
      </c>
      <c r="W48" s="87">
        <v>0</v>
      </c>
      <c r="X48" s="87">
        <v>0</v>
      </c>
      <c r="Y48" s="87">
        <v>0</v>
      </c>
      <c r="Z48" s="87">
        <v>1218926.2292497919</v>
      </c>
      <c r="AA48" s="87">
        <v>201354.5</v>
      </c>
      <c r="AB48" s="87">
        <v>66446.984999999986</v>
      </c>
      <c r="AC48" s="87">
        <v>0</v>
      </c>
      <c r="AD48" s="87">
        <v>1017571.7292497919</v>
      </c>
      <c r="AE48" s="87">
        <v>335798.67065243132</v>
      </c>
      <c r="AF48">
        <v>335798.67065243132</v>
      </c>
      <c r="AG48" s="87"/>
    </row>
    <row r="49" spans="1:33">
      <c r="A49" s="53" t="s">
        <v>331</v>
      </c>
      <c r="B49" t="s">
        <v>208</v>
      </c>
      <c r="C49" t="s">
        <v>149</v>
      </c>
      <c r="E49" t="s">
        <v>209</v>
      </c>
      <c r="F49" t="s">
        <v>209</v>
      </c>
      <c r="G49" t="s">
        <v>210</v>
      </c>
      <c r="H49" t="s">
        <v>332</v>
      </c>
      <c r="I49" t="s">
        <v>12</v>
      </c>
      <c r="J49" t="s">
        <v>333</v>
      </c>
      <c r="K49" s="87">
        <v>281004.89131545596</v>
      </c>
      <c r="L49" s="87">
        <v>1777094.7799778571</v>
      </c>
      <c r="M49" s="87">
        <v>813681.06382097921</v>
      </c>
      <c r="N49" s="87">
        <v>963413.71615687793</v>
      </c>
      <c r="O49" s="87">
        <v>1863859.7487155967</v>
      </c>
      <c r="P49" s="87">
        <v>1175781.3799999999</v>
      </c>
      <c r="Q49" s="87">
        <v>0</v>
      </c>
      <c r="R49" s="87">
        <v>1863859.7487155967</v>
      </c>
      <c r="S49" s="87">
        <v>0</v>
      </c>
      <c r="T49" s="87">
        <v>0</v>
      </c>
      <c r="U49" s="87">
        <v>0</v>
      </c>
      <c r="V49" s="87">
        <v>0</v>
      </c>
      <c r="W49" s="87">
        <v>0</v>
      </c>
      <c r="X49" s="87">
        <v>0</v>
      </c>
      <c r="Y49" s="87">
        <v>0</v>
      </c>
      <c r="Z49" s="87">
        <v>1863859.7487155967</v>
      </c>
      <c r="AA49" s="87">
        <v>857261.35</v>
      </c>
      <c r="AB49" s="87">
        <v>282896.24549999996</v>
      </c>
      <c r="AC49" s="87">
        <v>0</v>
      </c>
      <c r="AD49" s="87">
        <v>1006598.3987155968</v>
      </c>
      <c r="AE49" s="87">
        <v>332177.4715761469</v>
      </c>
      <c r="AF49">
        <v>332177.46999999997</v>
      </c>
      <c r="AG49" s="87"/>
    </row>
    <row r="50" spans="1:33">
      <c r="A50" s="53" t="s">
        <v>334</v>
      </c>
      <c r="B50" t="s">
        <v>208</v>
      </c>
      <c r="C50" t="s">
        <v>149</v>
      </c>
      <c r="E50" t="s">
        <v>209</v>
      </c>
      <c r="F50" t="s">
        <v>209</v>
      </c>
      <c r="G50" t="s">
        <v>210</v>
      </c>
      <c r="H50" t="s">
        <v>335</v>
      </c>
      <c r="I50" t="s">
        <v>12</v>
      </c>
      <c r="J50" t="s">
        <v>336</v>
      </c>
      <c r="K50" s="87">
        <v>297104.96699735045</v>
      </c>
      <c r="L50" s="87">
        <v>0</v>
      </c>
      <c r="M50" s="87">
        <v>0</v>
      </c>
      <c r="N50" s="87">
        <v>0</v>
      </c>
      <c r="O50" s="87">
        <v>408818.61654108157</v>
      </c>
      <c r="P50" s="87">
        <v>0</v>
      </c>
      <c r="Q50" s="87">
        <v>0</v>
      </c>
      <c r="R50" s="87">
        <v>408818.61654108157</v>
      </c>
      <c r="S50" s="87">
        <v>0</v>
      </c>
      <c r="T50" s="87">
        <v>0</v>
      </c>
      <c r="U50" s="87">
        <v>0</v>
      </c>
      <c r="V50" s="87">
        <v>0</v>
      </c>
      <c r="W50" s="87">
        <v>232722</v>
      </c>
      <c r="X50" s="87">
        <v>232722</v>
      </c>
      <c r="Y50" s="87">
        <v>0</v>
      </c>
      <c r="Z50" s="87">
        <v>641540.61654108157</v>
      </c>
      <c r="AA50" s="87">
        <v>319136.89</v>
      </c>
      <c r="AB50" s="87">
        <v>105315.17369999998</v>
      </c>
      <c r="AC50" s="87">
        <v>0</v>
      </c>
      <c r="AD50" s="87">
        <v>322403.72654108156</v>
      </c>
      <c r="AE50" s="87">
        <v>106393.2297585569</v>
      </c>
      <c r="AF50">
        <v>106393.2297585569</v>
      </c>
      <c r="AG50" s="87"/>
    </row>
    <row r="51" spans="1:33">
      <c r="A51" s="53" t="s">
        <v>337</v>
      </c>
      <c r="B51" t="s">
        <v>214</v>
      </c>
      <c r="E51" t="s">
        <v>209</v>
      </c>
      <c r="F51" t="s">
        <v>209</v>
      </c>
      <c r="G51" t="s">
        <v>210</v>
      </c>
      <c r="H51" t="s">
        <v>338</v>
      </c>
      <c r="I51" t="s">
        <v>4</v>
      </c>
      <c r="J51" t="s">
        <v>339</v>
      </c>
      <c r="K51" s="87">
        <v>263667.92349864985</v>
      </c>
      <c r="L51" s="87">
        <v>4772843.6164979683</v>
      </c>
      <c r="M51" s="87">
        <v>4016423.2996455678</v>
      </c>
      <c r="N51" s="87">
        <v>756420.31685240055</v>
      </c>
      <c r="O51" s="87">
        <v>5430158.7234047996</v>
      </c>
      <c r="P51" s="87">
        <v>0</v>
      </c>
      <c r="Q51" s="87">
        <v>0</v>
      </c>
      <c r="R51" s="87">
        <v>5430158.7234047996</v>
      </c>
      <c r="S51" s="87">
        <v>0</v>
      </c>
      <c r="T51" s="87">
        <v>0</v>
      </c>
      <c r="U51" s="87">
        <v>0</v>
      </c>
      <c r="V51" s="87">
        <v>0</v>
      </c>
      <c r="W51" s="87">
        <v>0</v>
      </c>
      <c r="X51" s="87">
        <v>0</v>
      </c>
      <c r="Y51" s="87">
        <v>0</v>
      </c>
      <c r="Z51" s="87">
        <v>5430158.7234047996</v>
      </c>
      <c r="AA51" s="87">
        <v>2611382.69</v>
      </c>
      <c r="AB51" s="87">
        <v>861756.28769999987</v>
      </c>
      <c r="AC51" s="87">
        <v>0</v>
      </c>
      <c r="AD51" s="87">
        <v>2818776.0334047996</v>
      </c>
      <c r="AE51" s="87">
        <v>930196.09102358378</v>
      </c>
      <c r="AF51">
        <v>930196.09102358378</v>
      </c>
      <c r="AG51" s="87"/>
    </row>
    <row r="52" spans="1:33">
      <c r="A52" s="53" t="s">
        <v>340</v>
      </c>
      <c r="B52" t="s">
        <v>214</v>
      </c>
      <c r="C52" t="s">
        <v>149</v>
      </c>
      <c r="E52" t="s">
        <v>209</v>
      </c>
      <c r="F52" t="s">
        <v>209</v>
      </c>
      <c r="G52" t="s">
        <v>210</v>
      </c>
      <c r="H52" t="s">
        <v>341</v>
      </c>
      <c r="I52" t="s">
        <v>9</v>
      </c>
      <c r="J52" t="s">
        <v>342</v>
      </c>
      <c r="K52" s="87">
        <v>872733.82530951663</v>
      </c>
      <c r="L52" s="87">
        <v>0</v>
      </c>
      <c r="M52" s="87">
        <v>0</v>
      </c>
      <c r="N52" s="87">
        <v>0</v>
      </c>
      <c r="O52" s="87">
        <v>508090.19723965437</v>
      </c>
      <c r="P52" s="87">
        <v>0</v>
      </c>
      <c r="Q52" s="87">
        <v>0</v>
      </c>
      <c r="R52" s="87">
        <v>508090.19723965437</v>
      </c>
      <c r="S52" s="87">
        <v>0</v>
      </c>
      <c r="T52" s="87">
        <v>0</v>
      </c>
      <c r="U52" s="87">
        <v>0</v>
      </c>
      <c r="V52" s="87">
        <v>0</v>
      </c>
      <c r="W52" s="87">
        <v>0</v>
      </c>
      <c r="X52" s="87">
        <v>0</v>
      </c>
      <c r="Y52" s="87">
        <v>0</v>
      </c>
      <c r="Z52" s="87">
        <v>508090.19723965437</v>
      </c>
      <c r="AA52" s="87">
        <v>113886.76</v>
      </c>
      <c r="AB52" s="87">
        <v>37582.630799999992</v>
      </c>
      <c r="AC52" s="87">
        <v>0</v>
      </c>
      <c r="AD52" s="87">
        <v>394203.43723965436</v>
      </c>
      <c r="AE52" s="87">
        <v>130087.13428908595</v>
      </c>
      <c r="AF52">
        <v>130087.13428908595</v>
      </c>
      <c r="AG52" s="87"/>
    </row>
    <row r="53" spans="1:33">
      <c r="A53" s="53" t="s">
        <v>343</v>
      </c>
      <c r="B53" t="s">
        <v>214</v>
      </c>
      <c r="E53" t="s">
        <v>209</v>
      </c>
      <c r="F53" t="s">
        <v>209</v>
      </c>
      <c r="G53" t="s">
        <v>210</v>
      </c>
      <c r="H53" t="s">
        <v>344</v>
      </c>
      <c r="I53" t="s">
        <v>8</v>
      </c>
      <c r="J53" t="s">
        <v>8</v>
      </c>
      <c r="K53" s="87">
        <v>3417036.9369813995</v>
      </c>
      <c r="L53" s="87">
        <v>27591987.456804808</v>
      </c>
      <c r="M53" s="87">
        <v>21071592.261157587</v>
      </c>
      <c r="N53" s="87">
        <v>6520395.1956472211</v>
      </c>
      <c r="O53" s="87">
        <v>30147737.261680096</v>
      </c>
      <c r="P53" s="87">
        <v>7995960.6500000004</v>
      </c>
      <c r="Q53" s="87">
        <v>0</v>
      </c>
      <c r="R53" s="87">
        <v>30147737.261680096</v>
      </c>
      <c r="S53" s="87">
        <v>1618437</v>
      </c>
      <c r="T53" s="87">
        <v>0</v>
      </c>
      <c r="U53" s="87">
        <v>0</v>
      </c>
      <c r="V53" s="87">
        <v>0</v>
      </c>
      <c r="W53" s="87">
        <v>13301321.26944848</v>
      </c>
      <c r="X53" s="87">
        <v>14919758.26944848</v>
      </c>
      <c r="Y53" s="87">
        <v>0</v>
      </c>
      <c r="Z53" s="87">
        <v>45067495.531128578</v>
      </c>
      <c r="AA53" s="87">
        <v>18502892.280000001</v>
      </c>
      <c r="AB53" s="87">
        <v>6105954.4523999998</v>
      </c>
      <c r="AC53" s="87">
        <v>0</v>
      </c>
      <c r="AD53" s="87">
        <v>26564603.251128577</v>
      </c>
      <c r="AE53" s="87">
        <v>8766319.0728724301</v>
      </c>
      <c r="AF53">
        <v>8766319.0728724301</v>
      </c>
      <c r="AG53" s="87"/>
    </row>
    <row r="54" spans="1:33">
      <c r="A54" s="53" t="s">
        <v>345</v>
      </c>
      <c r="B54" t="s">
        <v>214</v>
      </c>
      <c r="C54" t="s">
        <v>149</v>
      </c>
      <c r="E54" t="s">
        <v>209</v>
      </c>
      <c r="F54" t="s">
        <v>209</v>
      </c>
      <c r="G54" t="s">
        <v>210</v>
      </c>
      <c r="H54" t="s">
        <v>346</v>
      </c>
      <c r="I54" t="s">
        <v>15</v>
      </c>
      <c r="J54" t="s">
        <v>347</v>
      </c>
      <c r="K54" s="87">
        <v>899418.00868971529</v>
      </c>
      <c r="L54" s="87">
        <v>6245121.8808004772</v>
      </c>
      <c r="M54" s="87">
        <v>4374451.2402198268</v>
      </c>
      <c r="N54" s="87">
        <v>1870670.6405806504</v>
      </c>
      <c r="O54" s="87">
        <v>5068347.1696080389</v>
      </c>
      <c r="P54" s="87">
        <v>0</v>
      </c>
      <c r="Q54" s="87">
        <v>0</v>
      </c>
      <c r="R54" s="87">
        <v>5068347.1696080389</v>
      </c>
      <c r="S54" s="87">
        <v>62707</v>
      </c>
      <c r="T54" s="87">
        <v>0</v>
      </c>
      <c r="U54" s="87">
        <v>0</v>
      </c>
      <c r="V54" s="87">
        <v>0</v>
      </c>
      <c r="W54" s="87">
        <v>1571080</v>
      </c>
      <c r="X54" s="87">
        <v>1633787</v>
      </c>
      <c r="Y54" s="87">
        <v>0</v>
      </c>
      <c r="Z54" s="87">
        <v>6702134.1696080389</v>
      </c>
      <c r="AA54" s="87">
        <v>2366487.5099999998</v>
      </c>
      <c r="AB54" s="87">
        <v>780940.87829999987</v>
      </c>
      <c r="AC54" s="87">
        <v>0</v>
      </c>
      <c r="AD54" s="87">
        <v>4335646.6596080391</v>
      </c>
      <c r="AE54" s="87">
        <v>1430763.3976706527</v>
      </c>
      <c r="AF54">
        <v>1430763.3976706527</v>
      </c>
      <c r="AG54" s="87"/>
    </row>
    <row r="55" spans="1:33">
      <c r="A55" s="53" t="s">
        <v>348</v>
      </c>
      <c r="B55" t="s">
        <v>208</v>
      </c>
      <c r="C55" t="s">
        <v>149</v>
      </c>
      <c r="E55" t="s">
        <v>209</v>
      </c>
      <c r="F55" t="s">
        <v>209</v>
      </c>
      <c r="G55" t="s">
        <v>210</v>
      </c>
      <c r="H55" t="s">
        <v>349</v>
      </c>
      <c r="I55" t="s">
        <v>12</v>
      </c>
      <c r="J55" t="s">
        <v>350</v>
      </c>
      <c r="K55" s="87">
        <v>456703.88112832</v>
      </c>
      <c r="L55" s="87">
        <v>0</v>
      </c>
      <c r="M55" s="87">
        <v>0</v>
      </c>
      <c r="N55" s="87">
        <v>0</v>
      </c>
      <c r="O55" s="87">
        <v>0</v>
      </c>
      <c r="P55" s="87">
        <v>0</v>
      </c>
      <c r="Q55" s="87">
        <v>0</v>
      </c>
      <c r="R55" s="87">
        <v>0</v>
      </c>
      <c r="S55" s="87">
        <v>0</v>
      </c>
      <c r="T55" s="87">
        <v>0</v>
      </c>
      <c r="U55" s="87">
        <v>0</v>
      </c>
      <c r="V55" s="87">
        <v>0</v>
      </c>
      <c r="W55" s="87">
        <v>59306</v>
      </c>
      <c r="X55" s="87">
        <v>59306</v>
      </c>
      <c r="Y55" s="87">
        <v>0</v>
      </c>
      <c r="Z55" s="87">
        <v>59306</v>
      </c>
      <c r="AA55" s="87">
        <v>161505.17000000001</v>
      </c>
      <c r="AB55" s="87">
        <v>53296.706099999996</v>
      </c>
      <c r="AC55" s="87">
        <v>0</v>
      </c>
      <c r="AD55" s="87">
        <v>-102199.17000000001</v>
      </c>
      <c r="AE55" s="87">
        <v>-33725.7261</v>
      </c>
      <c r="AF55">
        <v>0</v>
      </c>
      <c r="AG55" s="87"/>
    </row>
    <row r="56" spans="1:33">
      <c r="A56" s="53" t="s">
        <v>351</v>
      </c>
      <c r="B56" t="s">
        <v>214</v>
      </c>
      <c r="C56" t="s">
        <v>149</v>
      </c>
      <c r="E56" t="s">
        <v>209</v>
      </c>
      <c r="F56" t="s">
        <v>209</v>
      </c>
      <c r="G56" t="s">
        <v>210</v>
      </c>
      <c r="H56" t="s">
        <v>346</v>
      </c>
      <c r="I56" t="s">
        <v>15</v>
      </c>
      <c r="J56" t="s">
        <v>352</v>
      </c>
      <c r="K56" s="87">
        <v>1898290.9197763838</v>
      </c>
      <c r="L56" s="87">
        <v>4219077.1617358606</v>
      </c>
      <c r="M56" s="87">
        <v>3380401.4289497091</v>
      </c>
      <c r="N56" s="87">
        <v>838675.73278615158</v>
      </c>
      <c r="O56" s="87">
        <v>4139698.3617896703</v>
      </c>
      <c r="P56" s="87">
        <v>0</v>
      </c>
      <c r="Q56" s="87">
        <v>0</v>
      </c>
      <c r="R56" s="87">
        <v>4139698.3617896703</v>
      </c>
      <c r="S56" s="87">
        <v>16881</v>
      </c>
      <c r="T56" s="87">
        <v>0</v>
      </c>
      <c r="U56" s="87">
        <v>0</v>
      </c>
      <c r="V56" s="87">
        <v>0</v>
      </c>
      <c r="W56" s="87">
        <v>629808</v>
      </c>
      <c r="X56" s="87">
        <v>646689</v>
      </c>
      <c r="Y56" s="87">
        <v>0</v>
      </c>
      <c r="Z56" s="87">
        <v>4786387.3617896698</v>
      </c>
      <c r="AA56" s="87">
        <v>1828313.81</v>
      </c>
      <c r="AB56" s="87">
        <v>603343.55729999999</v>
      </c>
      <c r="AC56" s="87">
        <v>0</v>
      </c>
      <c r="AD56" s="87">
        <v>2958073.5517896698</v>
      </c>
      <c r="AE56" s="87">
        <v>976164.27209059079</v>
      </c>
      <c r="AF56">
        <v>976164.27209059079</v>
      </c>
      <c r="AG56" s="87"/>
    </row>
    <row r="57" spans="1:33">
      <c r="A57" s="53" t="s">
        <v>353</v>
      </c>
      <c r="B57" t="s">
        <v>214</v>
      </c>
      <c r="E57" t="s">
        <v>209</v>
      </c>
      <c r="F57" t="s">
        <v>209</v>
      </c>
      <c r="G57" t="s">
        <v>210</v>
      </c>
      <c r="H57" t="s">
        <v>354</v>
      </c>
      <c r="I57" t="s">
        <v>3</v>
      </c>
      <c r="J57" t="s">
        <v>3</v>
      </c>
      <c r="K57" s="87">
        <v>-40350097.033482544</v>
      </c>
      <c r="L57" s="87">
        <v>118237480.00115646</v>
      </c>
      <c r="M57" s="87">
        <v>72724632.945551768</v>
      </c>
      <c r="N57" s="87">
        <v>45512847.055604696</v>
      </c>
      <c r="O57" s="87">
        <v>145217826.19331637</v>
      </c>
      <c r="P57" s="87">
        <v>44704532.409999996</v>
      </c>
      <c r="Q57" s="87">
        <v>39541782.387877852</v>
      </c>
      <c r="R57" s="87">
        <v>105676043.80543852</v>
      </c>
      <c r="S57" s="87">
        <v>2664708</v>
      </c>
      <c r="T57" s="87">
        <v>0</v>
      </c>
      <c r="U57" s="87">
        <v>0</v>
      </c>
      <c r="V57" s="87">
        <v>0</v>
      </c>
      <c r="W57" s="87">
        <v>26769608.227870271</v>
      </c>
      <c r="X57" s="87">
        <v>29434316.227870271</v>
      </c>
      <c r="Y57" s="87">
        <v>0</v>
      </c>
      <c r="Z57" s="87">
        <v>135110360.0333088</v>
      </c>
      <c r="AA57" s="87">
        <v>56345972.350000001</v>
      </c>
      <c r="AB57" s="87">
        <v>18594170.875499997</v>
      </c>
      <c r="AC57" s="87">
        <v>0</v>
      </c>
      <c r="AD57" s="87">
        <v>78764387.68330881</v>
      </c>
      <c r="AE57" s="87">
        <v>25992247.935491901</v>
      </c>
      <c r="AF57">
        <v>25992247.935491901</v>
      </c>
      <c r="AG57" s="87"/>
    </row>
    <row r="58" spans="1:33">
      <c r="A58" s="53" t="s">
        <v>355</v>
      </c>
      <c r="B58" t="s">
        <v>214</v>
      </c>
      <c r="E58" t="s">
        <v>209</v>
      </c>
      <c r="F58" t="s">
        <v>209</v>
      </c>
      <c r="G58" t="s">
        <v>210</v>
      </c>
      <c r="H58" t="s">
        <v>356</v>
      </c>
      <c r="I58" t="s">
        <v>15</v>
      </c>
      <c r="J58" t="s">
        <v>15</v>
      </c>
      <c r="K58" s="87">
        <v>-7172959.2371133193</v>
      </c>
      <c r="L58" s="87">
        <v>30100598.007549204</v>
      </c>
      <c r="M58" s="87">
        <v>25478451.128753431</v>
      </c>
      <c r="N58" s="87">
        <v>4622146.8787957728</v>
      </c>
      <c r="O58" s="87">
        <v>32008078.387545537</v>
      </c>
      <c r="P58" s="87">
        <v>13850742.32</v>
      </c>
      <c r="Q58" s="87">
        <v>13850742.32</v>
      </c>
      <c r="R58" s="87">
        <v>18157336.067545537</v>
      </c>
      <c r="S58" s="87">
        <v>681087</v>
      </c>
      <c r="T58" s="87">
        <v>0</v>
      </c>
      <c r="U58" s="87">
        <v>0</v>
      </c>
      <c r="V58" s="87">
        <v>0</v>
      </c>
      <c r="W58" s="87">
        <v>8820453.2541296612</v>
      </c>
      <c r="X58" s="87">
        <v>9501540.2541296612</v>
      </c>
      <c r="Y58" s="87">
        <v>0</v>
      </c>
      <c r="Z58" s="87">
        <v>27658876.321675196</v>
      </c>
      <c r="AA58" s="87">
        <v>14657198.960000001</v>
      </c>
      <c r="AB58" s="87">
        <v>4836875.6568</v>
      </c>
      <c r="AC58" s="87">
        <v>0</v>
      </c>
      <c r="AD58" s="87">
        <v>13001677.361675195</v>
      </c>
      <c r="AE58" s="87">
        <v>4290553.529352814</v>
      </c>
      <c r="AF58">
        <v>4290553.529352814</v>
      </c>
      <c r="AG58" s="87"/>
    </row>
    <row r="59" spans="1:33">
      <c r="A59" s="53" t="s">
        <v>357</v>
      </c>
      <c r="B59" t="s">
        <v>214</v>
      </c>
      <c r="C59" t="s">
        <v>149</v>
      </c>
      <c r="E59" t="s">
        <v>209</v>
      </c>
      <c r="F59" t="s">
        <v>209</v>
      </c>
      <c r="G59" t="s">
        <v>210</v>
      </c>
      <c r="H59" t="s">
        <v>358</v>
      </c>
      <c r="I59" t="s">
        <v>11</v>
      </c>
      <c r="J59" t="s">
        <v>359</v>
      </c>
      <c r="K59" s="87">
        <v>-5501631.748537343</v>
      </c>
      <c r="L59" s="87">
        <v>4944521.3494662847</v>
      </c>
      <c r="M59" s="87">
        <v>2957176.7901779711</v>
      </c>
      <c r="N59" s="87">
        <v>1987344.5592883136</v>
      </c>
      <c r="O59" s="87">
        <v>4059665.3204570622</v>
      </c>
      <c r="P59" s="87">
        <v>0</v>
      </c>
      <c r="Q59" s="87">
        <v>0</v>
      </c>
      <c r="R59" s="87">
        <v>4059665.3204570622</v>
      </c>
      <c r="S59" s="87">
        <v>522687</v>
      </c>
      <c r="T59" s="87">
        <v>0</v>
      </c>
      <c r="U59" s="87">
        <v>136637</v>
      </c>
      <c r="V59" s="87">
        <v>0</v>
      </c>
      <c r="W59" s="87">
        <v>1024936.8410294619</v>
      </c>
      <c r="X59" s="87">
        <v>1684260.8410294619</v>
      </c>
      <c r="Y59" s="87">
        <v>0</v>
      </c>
      <c r="Z59" s="87">
        <v>5743926.1614865242</v>
      </c>
      <c r="AA59" s="87">
        <v>1240938.3799999999</v>
      </c>
      <c r="AB59" s="87">
        <v>409509.66539999994</v>
      </c>
      <c r="AC59" s="87">
        <v>0</v>
      </c>
      <c r="AD59" s="87">
        <v>4502987.7814865243</v>
      </c>
      <c r="AE59" s="87">
        <v>1485985.9678905527</v>
      </c>
      <c r="AF59">
        <v>1485985.9678905527</v>
      </c>
      <c r="AG59" s="87"/>
    </row>
    <row r="60" spans="1:33">
      <c r="A60" s="53" t="s">
        <v>360</v>
      </c>
      <c r="B60" t="s">
        <v>208</v>
      </c>
      <c r="C60" t="s">
        <v>149</v>
      </c>
      <c r="E60" t="s">
        <v>209</v>
      </c>
      <c r="F60" t="s">
        <v>209</v>
      </c>
      <c r="G60" t="s">
        <v>210</v>
      </c>
      <c r="H60" t="s">
        <v>361</v>
      </c>
      <c r="I60" t="s">
        <v>12</v>
      </c>
      <c r="J60" t="s">
        <v>362</v>
      </c>
      <c r="K60" s="87">
        <v>396502.43849735678</v>
      </c>
      <c r="L60" s="87">
        <v>0</v>
      </c>
      <c r="M60" s="87">
        <v>0</v>
      </c>
      <c r="N60" s="87">
        <v>0</v>
      </c>
      <c r="O60" s="87">
        <v>1224072.2883234047</v>
      </c>
      <c r="P60" s="87">
        <v>0</v>
      </c>
      <c r="Q60" s="87">
        <v>0</v>
      </c>
      <c r="R60" s="87">
        <v>1224072.2883234047</v>
      </c>
      <c r="S60" s="87">
        <v>0</v>
      </c>
      <c r="T60" s="87">
        <v>0</v>
      </c>
      <c r="U60" s="87">
        <v>0</v>
      </c>
      <c r="V60" s="87">
        <v>0</v>
      </c>
      <c r="W60" s="87">
        <v>0</v>
      </c>
      <c r="X60" s="87">
        <v>0</v>
      </c>
      <c r="Y60" s="87">
        <v>0</v>
      </c>
      <c r="Z60" s="87">
        <v>1224072.2883234047</v>
      </c>
      <c r="AA60" s="87">
        <v>571150.93000000005</v>
      </c>
      <c r="AB60" s="87">
        <v>188479.8069</v>
      </c>
      <c r="AC60" s="87">
        <v>0</v>
      </c>
      <c r="AD60" s="87">
        <v>652921.35832340468</v>
      </c>
      <c r="AE60" s="87">
        <v>215464.04824672351</v>
      </c>
      <c r="AF60">
        <v>215464.04824672351</v>
      </c>
      <c r="AG60" s="87"/>
    </row>
    <row r="61" spans="1:33">
      <c r="A61" s="53" t="s">
        <v>363</v>
      </c>
      <c r="B61" t="s">
        <v>214</v>
      </c>
      <c r="C61" t="s">
        <v>149</v>
      </c>
      <c r="E61" t="s">
        <v>209</v>
      </c>
      <c r="F61" t="s">
        <v>209</v>
      </c>
      <c r="G61" t="s">
        <v>210</v>
      </c>
      <c r="H61" t="s">
        <v>364</v>
      </c>
      <c r="I61" t="s">
        <v>14</v>
      </c>
      <c r="J61" t="s">
        <v>365</v>
      </c>
      <c r="K61" s="87">
        <v>-7173732.7450455306</v>
      </c>
      <c r="L61" s="87">
        <v>6699453.1172150746</v>
      </c>
      <c r="M61" s="87">
        <v>4395050.0027811332</v>
      </c>
      <c r="N61" s="87">
        <v>2304403.1144339414</v>
      </c>
      <c r="O61" s="87">
        <v>5107787.7854169598</v>
      </c>
      <c r="P61" s="87">
        <v>0</v>
      </c>
      <c r="Q61" s="87">
        <v>0</v>
      </c>
      <c r="R61" s="87">
        <v>5107787.7854169598</v>
      </c>
      <c r="S61" s="87">
        <v>2108786</v>
      </c>
      <c r="T61" s="87">
        <v>0</v>
      </c>
      <c r="U61" s="87">
        <v>707075</v>
      </c>
      <c r="V61" s="87">
        <v>0</v>
      </c>
      <c r="W61" s="87">
        <v>2343590.8958777934</v>
      </c>
      <c r="X61" s="87">
        <v>5159451.8958777934</v>
      </c>
      <c r="Y61" s="87">
        <v>0</v>
      </c>
      <c r="Z61" s="87">
        <v>10267239.681294754</v>
      </c>
      <c r="AA61" s="87">
        <v>3359413.56</v>
      </c>
      <c r="AB61" s="87">
        <v>1108606.4748</v>
      </c>
      <c r="AC61" s="87">
        <v>0</v>
      </c>
      <c r="AD61" s="87">
        <v>6907826.1212947536</v>
      </c>
      <c r="AE61" s="87">
        <v>2279582.6200272683</v>
      </c>
      <c r="AF61">
        <v>2279582.6200272683</v>
      </c>
      <c r="AG61" s="87"/>
    </row>
    <row r="62" spans="1:33">
      <c r="A62" s="53" t="s">
        <v>366</v>
      </c>
      <c r="B62" t="s">
        <v>208</v>
      </c>
      <c r="C62" t="s">
        <v>149</v>
      </c>
      <c r="E62" t="s">
        <v>209</v>
      </c>
      <c r="F62" t="s">
        <v>209</v>
      </c>
      <c r="G62" t="s">
        <v>210</v>
      </c>
      <c r="H62" t="s">
        <v>367</v>
      </c>
      <c r="I62" t="s">
        <v>9</v>
      </c>
      <c r="J62" t="s">
        <v>368</v>
      </c>
      <c r="K62" s="87">
        <v>327238.12223280646</v>
      </c>
      <c r="L62" s="87">
        <v>0</v>
      </c>
      <c r="M62" s="87">
        <v>0</v>
      </c>
      <c r="N62" s="87">
        <v>0</v>
      </c>
      <c r="O62" s="87">
        <v>575619.64113776642</v>
      </c>
      <c r="P62" s="87">
        <v>0</v>
      </c>
      <c r="Q62" s="87">
        <v>0</v>
      </c>
      <c r="R62" s="87">
        <v>575619.64113776642</v>
      </c>
      <c r="S62" s="87">
        <v>0</v>
      </c>
      <c r="T62" s="87">
        <v>0</v>
      </c>
      <c r="U62" s="87">
        <v>0</v>
      </c>
      <c r="V62" s="87">
        <v>0</v>
      </c>
      <c r="W62" s="87">
        <v>0</v>
      </c>
      <c r="X62" s="87">
        <v>0</v>
      </c>
      <c r="Y62" s="87">
        <v>0</v>
      </c>
      <c r="Z62" s="87">
        <v>575619.64113776642</v>
      </c>
      <c r="AA62" s="87">
        <v>158640.29999999999</v>
      </c>
      <c r="AB62" s="87">
        <v>52351.298999999992</v>
      </c>
      <c r="AC62" s="87">
        <v>0</v>
      </c>
      <c r="AD62" s="87">
        <v>416979.34113776643</v>
      </c>
      <c r="AE62" s="87">
        <v>137603.18257546291</v>
      </c>
      <c r="AF62">
        <v>137603.18257546291</v>
      </c>
      <c r="AG62" s="87"/>
    </row>
    <row r="63" spans="1:33">
      <c r="A63" s="53" t="s">
        <v>369</v>
      </c>
      <c r="B63" t="s">
        <v>214</v>
      </c>
      <c r="E63" t="s">
        <v>209</v>
      </c>
      <c r="F63" t="s">
        <v>209</v>
      </c>
      <c r="G63" t="s">
        <v>210</v>
      </c>
      <c r="H63" t="s">
        <v>370</v>
      </c>
      <c r="I63" t="s">
        <v>7</v>
      </c>
      <c r="J63" t="s">
        <v>371</v>
      </c>
      <c r="K63" s="87">
        <v>358337.89332143479</v>
      </c>
      <c r="L63" s="87">
        <v>14208557.065558534</v>
      </c>
      <c r="M63" s="87">
        <v>6986220.8177904738</v>
      </c>
      <c r="N63" s="87">
        <v>7222336.2477680603</v>
      </c>
      <c r="O63" s="87">
        <v>9369683.6952667851</v>
      </c>
      <c r="P63" s="87">
        <v>5007663.3599999994</v>
      </c>
      <c r="Q63" s="87">
        <v>0</v>
      </c>
      <c r="R63" s="87">
        <v>9369683.6952667851</v>
      </c>
      <c r="S63" s="87">
        <v>8086</v>
      </c>
      <c r="T63" s="87">
        <v>0</v>
      </c>
      <c r="U63" s="87">
        <v>0</v>
      </c>
      <c r="V63" s="87">
        <v>0</v>
      </c>
      <c r="W63" s="87">
        <v>754758.60491996468</v>
      </c>
      <c r="X63" s="87">
        <v>762844.60491996468</v>
      </c>
      <c r="Y63" s="87">
        <v>0</v>
      </c>
      <c r="Z63" s="87">
        <v>10132528.30018675</v>
      </c>
      <c r="AA63" s="87">
        <v>4756777.3099999996</v>
      </c>
      <c r="AB63" s="87">
        <v>1569736.5122999996</v>
      </c>
      <c r="AC63" s="87">
        <v>0</v>
      </c>
      <c r="AD63" s="87">
        <v>5375750.99018675</v>
      </c>
      <c r="AE63" s="87">
        <v>1773997.8267616276</v>
      </c>
      <c r="AF63">
        <v>1773997.8267616276</v>
      </c>
      <c r="AG63" s="87"/>
    </row>
    <row r="64" spans="1:33">
      <c r="A64" s="53" t="s">
        <v>372</v>
      </c>
      <c r="B64" t="s">
        <v>214</v>
      </c>
      <c r="E64" t="s">
        <v>209</v>
      </c>
      <c r="F64" t="s">
        <v>209</v>
      </c>
      <c r="G64" t="s">
        <v>210</v>
      </c>
      <c r="H64" t="s">
        <v>373</v>
      </c>
      <c r="I64" t="s">
        <v>6</v>
      </c>
      <c r="J64" t="s">
        <v>6</v>
      </c>
      <c r="K64" s="87">
        <v>-6817213.4754722444</v>
      </c>
      <c r="L64" s="87">
        <v>22109293.047157876</v>
      </c>
      <c r="M64" s="87">
        <v>18725442.166211031</v>
      </c>
      <c r="N64" s="87">
        <v>3383850.8809468448</v>
      </c>
      <c r="O64" s="87">
        <v>22148501.139335196</v>
      </c>
      <c r="P64" s="87">
        <v>6879848.4099999992</v>
      </c>
      <c r="Q64" s="87">
        <v>6879848.4099999992</v>
      </c>
      <c r="R64" s="87">
        <v>15268652.729335196</v>
      </c>
      <c r="S64" s="87">
        <v>826699</v>
      </c>
      <c r="T64" s="87">
        <v>0</v>
      </c>
      <c r="U64" s="87">
        <v>0</v>
      </c>
      <c r="V64" s="87">
        <v>0</v>
      </c>
      <c r="W64" s="87">
        <v>1276058.9645193857</v>
      </c>
      <c r="X64" s="87">
        <v>2102757.9645193857</v>
      </c>
      <c r="Y64" s="87">
        <v>0</v>
      </c>
      <c r="Z64" s="87">
        <v>17371410.693854582</v>
      </c>
      <c r="AA64" s="87">
        <v>8320974.4900000002</v>
      </c>
      <c r="AB64" s="87">
        <v>2745921.5816999995</v>
      </c>
      <c r="AC64" s="87">
        <v>0</v>
      </c>
      <c r="AD64" s="87">
        <v>9050436.2038545813</v>
      </c>
      <c r="AE64" s="87">
        <v>2986643.9472720115</v>
      </c>
      <c r="AF64">
        <v>2986643.9472720115</v>
      </c>
      <c r="AG64" s="87"/>
    </row>
    <row r="65" spans="1:33">
      <c r="A65" s="53" t="s">
        <v>374</v>
      </c>
      <c r="B65" t="s">
        <v>214</v>
      </c>
      <c r="E65" t="s">
        <v>209</v>
      </c>
      <c r="F65" t="s">
        <v>209</v>
      </c>
      <c r="G65" t="s">
        <v>210</v>
      </c>
      <c r="H65" t="s">
        <v>375</v>
      </c>
      <c r="I65" t="s">
        <v>14</v>
      </c>
      <c r="J65" t="s">
        <v>248</v>
      </c>
      <c r="K65" s="87">
        <v>-1935501.7694240264</v>
      </c>
      <c r="L65" s="87">
        <v>0</v>
      </c>
      <c r="M65" s="87">
        <v>0</v>
      </c>
      <c r="N65" s="87">
        <v>0</v>
      </c>
      <c r="O65" s="87">
        <v>14466673.102710707</v>
      </c>
      <c r="P65" s="87">
        <v>0</v>
      </c>
      <c r="Q65" s="87">
        <v>0</v>
      </c>
      <c r="R65" s="87">
        <v>14466673.102710707</v>
      </c>
      <c r="S65" s="87">
        <v>257684</v>
      </c>
      <c r="T65" s="87">
        <v>0</v>
      </c>
      <c r="U65" s="87">
        <v>16539</v>
      </c>
      <c r="V65" s="87">
        <v>0</v>
      </c>
      <c r="W65" s="87">
        <v>1930906</v>
      </c>
      <c r="X65" s="87">
        <v>2205129</v>
      </c>
      <c r="Y65" s="87">
        <v>0</v>
      </c>
      <c r="Z65" s="87">
        <v>16671802.102710707</v>
      </c>
      <c r="AA65" s="87">
        <v>6927836.2300000004</v>
      </c>
      <c r="AB65" s="87">
        <v>2286185.9558999999</v>
      </c>
      <c r="AC65" s="87">
        <v>0</v>
      </c>
      <c r="AD65" s="87">
        <v>9743965.8727107067</v>
      </c>
      <c r="AE65" s="87">
        <v>3215508.7379945326</v>
      </c>
      <c r="AF65">
        <v>3215508.7379945326</v>
      </c>
      <c r="AG65" s="87"/>
    </row>
    <row r="66" spans="1:33">
      <c r="A66" s="53" t="s">
        <v>376</v>
      </c>
      <c r="B66" t="s">
        <v>214</v>
      </c>
      <c r="E66" t="s">
        <v>209</v>
      </c>
      <c r="F66" t="s">
        <v>209</v>
      </c>
      <c r="G66" t="s">
        <v>210</v>
      </c>
      <c r="H66" t="s">
        <v>377</v>
      </c>
      <c r="I66" t="s">
        <v>14</v>
      </c>
      <c r="J66" t="s">
        <v>14</v>
      </c>
      <c r="K66" s="87">
        <v>-2323781.8528356226</v>
      </c>
      <c r="L66" s="87">
        <v>0</v>
      </c>
      <c r="M66" s="87">
        <v>0</v>
      </c>
      <c r="N66" s="87">
        <v>0</v>
      </c>
      <c r="O66" s="87">
        <v>14084700.241335841</v>
      </c>
      <c r="P66" s="87">
        <v>0</v>
      </c>
      <c r="Q66" s="87">
        <v>0</v>
      </c>
      <c r="R66" s="87">
        <v>14084700.241335841</v>
      </c>
      <c r="S66" s="87">
        <v>211563</v>
      </c>
      <c r="T66" s="87">
        <v>0</v>
      </c>
      <c r="U66" s="87">
        <v>65926</v>
      </c>
      <c r="V66" s="87">
        <v>0</v>
      </c>
      <c r="W66" s="87">
        <v>1624102.2623106048</v>
      </c>
      <c r="X66" s="87">
        <v>1901591.2623106048</v>
      </c>
      <c r="Y66" s="87">
        <v>0</v>
      </c>
      <c r="Z66" s="87">
        <v>15986291.503646446</v>
      </c>
      <c r="AA66" s="87">
        <v>8572844</v>
      </c>
      <c r="AB66" s="87">
        <v>2829038.5199999996</v>
      </c>
      <c r="AC66" s="87">
        <v>0</v>
      </c>
      <c r="AD66" s="87">
        <v>7413447.5036464464</v>
      </c>
      <c r="AE66" s="87">
        <v>2446437.6762033273</v>
      </c>
      <c r="AF66">
        <v>2446437.6762033273</v>
      </c>
      <c r="AG66" s="87"/>
    </row>
    <row r="67" spans="1:33">
      <c r="A67" s="53" t="s">
        <v>378</v>
      </c>
      <c r="B67" t="s">
        <v>214</v>
      </c>
      <c r="E67" t="s">
        <v>209</v>
      </c>
      <c r="F67" t="s">
        <v>209</v>
      </c>
      <c r="G67" t="s">
        <v>210</v>
      </c>
      <c r="H67" t="s">
        <v>379</v>
      </c>
      <c r="I67" t="s">
        <v>4</v>
      </c>
      <c r="J67" t="s">
        <v>260</v>
      </c>
      <c r="K67" s="87">
        <v>-854809.21258862037</v>
      </c>
      <c r="L67" s="87">
        <v>23538231.710062791</v>
      </c>
      <c r="M67" s="87">
        <v>16491702.930372454</v>
      </c>
      <c r="N67" s="87">
        <v>7046528.7796903364</v>
      </c>
      <c r="O67" s="87">
        <v>21760942.039694771</v>
      </c>
      <c r="P67" s="87">
        <v>0</v>
      </c>
      <c r="Q67" s="87">
        <v>0</v>
      </c>
      <c r="R67" s="87">
        <v>21760942.039694771</v>
      </c>
      <c r="S67" s="87">
        <v>0</v>
      </c>
      <c r="T67" s="87">
        <v>0</v>
      </c>
      <c r="U67" s="87">
        <v>0</v>
      </c>
      <c r="V67" s="87">
        <v>0</v>
      </c>
      <c r="W67" s="87">
        <v>0</v>
      </c>
      <c r="X67" s="87">
        <v>0</v>
      </c>
      <c r="Y67" s="87">
        <v>0</v>
      </c>
      <c r="Z67" s="87">
        <v>21760942.039694771</v>
      </c>
      <c r="AA67" s="87">
        <v>10603085.210000001</v>
      </c>
      <c r="AB67" s="87">
        <v>3499018.1192999999</v>
      </c>
      <c r="AC67" s="87">
        <v>0</v>
      </c>
      <c r="AD67" s="87">
        <v>11157856.82969477</v>
      </c>
      <c r="AE67" s="87">
        <v>3682092.7537992741</v>
      </c>
      <c r="AF67">
        <v>3682092.7537992741</v>
      </c>
      <c r="AG67" s="87"/>
    </row>
    <row r="68" spans="1:33">
      <c r="A68" s="53" t="s">
        <v>380</v>
      </c>
      <c r="B68" t="s">
        <v>214</v>
      </c>
      <c r="E68" t="s">
        <v>209</v>
      </c>
      <c r="F68" t="s">
        <v>209</v>
      </c>
      <c r="G68" t="s">
        <v>210</v>
      </c>
      <c r="H68" t="s">
        <v>381</v>
      </c>
      <c r="I68" t="s">
        <v>15</v>
      </c>
      <c r="J68" t="s">
        <v>15</v>
      </c>
      <c r="K68" s="87">
        <v>-15315238.900403155</v>
      </c>
      <c r="L68" s="87">
        <v>24635701.881288044</v>
      </c>
      <c r="M68" s="87">
        <v>19025837.666412886</v>
      </c>
      <c r="N68" s="87">
        <v>5609864.2148751579</v>
      </c>
      <c r="O68" s="87">
        <v>28121809.630385801</v>
      </c>
      <c r="P68" s="87">
        <v>9119496.0500000007</v>
      </c>
      <c r="Q68" s="87">
        <v>9119496.0500000007</v>
      </c>
      <c r="R68" s="87">
        <v>19002313.5803858</v>
      </c>
      <c r="S68" s="87">
        <v>1013870</v>
      </c>
      <c r="T68" s="87">
        <v>0</v>
      </c>
      <c r="U68" s="87">
        <v>0</v>
      </c>
      <c r="V68" s="87">
        <v>0</v>
      </c>
      <c r="W68" s="87">
        <v>5284734.1691463506</v>
      </c>
      <c r="X68" s="87">
        <v>6298604.1691463506</v>
      </c>
      <c r="Y68" s="87">
        <v>0</v>
      </c>
      <c r="Z68" s="87">
        <v>25300917.749532152</v>
      </c>
      <c r="AA68" s="87">
        <v>9920678.2400000002</v>
      </c>
      <c r="AB68" s="87">
        <v>3273823.8191999998</v>
      </c>
      <c r="AC68" s="87">
        <v>0</v>
      </c>
      <c r="AD68" s="87">
        <v>15380239.509532152</v>
      </c>
      <c r="AE68" s="87">
        <v>5075479.0381456092</v>
      </c>
      <c r="AF68">
        <v>5075479.0381456092</v>
      </c>
      <c r="AG68" s="87"/>
    </row>
    <row r="69" spans="1:33">
      <c r="A69" s="53" t="s">
        <v>382</v>
      </c>
      <c r="B69" t="s">
        <v>214</v>
      </c>
      <c r="E69" t="s">
        <v>209</v>
      </c>
      <c r="F69" t="s">
        <v>209</v>
      </c>
      <c r="G69" t="s">
        <v>210</v>
      </c>
      <c r="H69" t="s">
        <v>383</v>
      </c>
      <c r="I69" t="s">
        <v>6</v>
      </c>
      <c r="J69" t="s">
        <v>384</v>
      </c>
      <c r="K69" s="87">
        <v>14995724.734622996</v>
      </c>
      <c r="L69" s="87">
        <v>0</v>
      </c>
      <c r="M69" s="87">
        <v>0</v>
      </c>
      <c r="N69" s="87">
        <v>0</v>
      </c>
      <c r="O69" s="87">
        <v>20772783.719894167</v>
      </c>
      <c r="P69" s="87">
        <v>0</v>
      </c>
      <c r="Q69" s="87">
        <v>0</v>
      </c>
      <c r="R69" s="87">
        <v>20772783.719894167</v>
      </c>
      <c r="S69" s="87">
        <v>0</v>
      </c>
      <c r="T69" s="87">
        <v>0</v>
      </c>
      <c r="U69" s="87">
        <v>0</v>
      </c>
      <c r="V69" s="87">
        <v>0</v>
      </c>
      <c r="W69" s="87">
        <v>3068085.0912141092</v>
      </c>
      <c r="X69" s="87">
        <v>3068085.0912141092</v>
      </c>
      <c r="Y69" s="87">
        <v>0</v>
      </c>
      <c r="Z69" s="87">
        <v>23840868.811108276</v>
      </c>
      <c r="AA69" s="87">
        <v>9117069.2699999996</v>
      </c>
      <c r="AB69" s="87">
        <v>3008632.8590999995</v>
      </c>
      <c r="AC69" s="87">
        <v>0</v>
      </c>
      <c r="AD69" s="87">
        <v>14723799.541108277</v>
      </c>
      <c r="AE69" s="87">
        <v>4858853.8485657312</v>
      </c>
      <c r="AF69">
        <v>4858853.8485657312</v>
      </c>
      <c r="AG69" s="87"/>
    </row>
    <row r="70" spans="1:33">
      <c r="A70" s="53" t="s">
        <v>385</v>
      </c>
      <c r="B70" t="s">
        <v>214</v>
      </c>
      <c r="C70" t="s">
        <v>149</v>
      </c>
      <c r="E70" t="s">
        <v>209</v>
      </c>
      <c r="F70" t="s">
        <v>209</v>
      </c>
      <c r="G70" t="s">
        <v>210</v>
      </c>
      <c r="H70" t="s">
        <v>386</v>
      </c>
      <c r="I70" t="s">
        <v>13</v>
      </c>
      <c r="J70" t="s">
        <v>387</v>
      </c>
      <c r="K70" s="87">
        <v>1170014.9930796544</v>
      </c>
      <c r="L70" s="87">
        <v>8927833.7682614904</v>
      </c>
      <c r="M70" s="87">
        <v>5123593.8279685378</v>
      </c>
      <c r="N70" s="87">
        <v>3804239.9402929526</v>
      </c>
      <c r="O70" s="87">
        <v>8130401.9737181701</v>
      </c>
      <c r="P70" s="87">
        <v>1080453.47</v>
      </c>
      <c r="Q70" s="87">
        <v>0</v>
      </c>
      <c r="R70" s="87">
        <v>8130401.9737181701</v>
      </c>
      <c r="S70" s="87">
        <v>175455</v>
      </c>
      <c r="T70" s="87">
        <v>0</v>
      </c>
      <c r="U70" s="87">
        <v>4214</v>
      </c>
      <c r="V70" s="87">
        <v>0</v>
      </c>
      <c r="W70" s="87">
        <v>1098500.6189323624</v>
      </c>
      <c r="X70" s="87">
        <v>1278169.6189323624</v>
      </c>
      <c r="Y70" s="87">
        <v>0</v>
      </c>
      <c r="Z70" s="87">
        <v>9408571.5926505327</v>
      </c>
      <c r="AA70" s="87">
        <v>4117729.14</v>
      </c>
      <c r="AB70" s="87">
        <v>1358850.6161999998</v>
      </c>
      <c r="AC70" s="87">
        <v>0</v>
      </c>
      <c r="AD70" s="87">
        <v>5290842.4526505321</v>
      </c>
      <c r="AE70" s="87">
        <v>1745978.0093746756</v>
      </c>
      <c r="AF70">
        <v>1745978.0093746756</v>
      </c>
      <c r="AG70" s="87"/>
    </row>
    <row r="71" spans="1:33">
      <c r="A71" s="53" t="s">
        <v>388</v>
      </c>
      <c r="B71" t="s">
        <v>214</v>
      </c>
      <c r="C71" t="s">
        <v>149</v>
      </c>
      <c r="E71" t="s">
        <v>209</v>
      </c>
      <c r="F71" t="s">
        <v>209</v>
      </c>
      <c r="G71" t="s">
        <v>210</v>
      </c>
      <c r="H71" t="s">
        <v>389</v>
      </c>
      <c r="I71" t="s">
        <v>12</v>
      </c>
      <c r="J71" t="s">
        <v>390</v>
      </c>
      <c r="K71" s="87">
        <v>512903.1318295807</v>
      </c>
      <c r="L71" s="87">
        <v>2145499.4465063522</v>
      </c>
      <c r="M71" s="87">
        <v>954717.50516083196</v>
      </c>
      <c r="N71" s="87">
        <v>1190781.9413455203</v>
      </c>
      <c r="O71" s="87">
        <v>2059947.2757760512</v>
      </c>
      <c r="P71" s="87">
        <v>240219.78999999998</v>
      </c>
      <c r="Q71" s="87">
        <v>0</v>
      </c>
      <c r="R71" s="87">
        <v>2059947.2757760512</v>
      </c>
      <c r="S71" s="87">
        <v>0</v>
      </c>
      <c r="T71" s="87">
        <v>0</v>
      </c>
      <c r="U71" s="87">
        <v>0</v>
      </c>
      <c r="V71" s="87">
        <v>0</v>
      </c>
      <c r="W71" s="87">
        <v>0</v>
      </c>
      <c r="X71" s="87">
        <v>0</v>
      </c>
      <c r="Y71" s="87">
        <v>0</v>
      </c>
      <c r="Z71" s="87">
        <v>2059947.2757760512</v>
      </c>
      <c r="AA71" s="87">
        <v>715712.78</v>
      </c>
      <c r="AB71" s="87">
        <v>236185.21739999999</v>
      </c>
      <c r="AC71" s="87">
        <v>0</v>
      </c>
      <c r="AD71" s="87">
        <v>1344234.4957760512</v>
      </c>
      <c r="AE71" s="87">
        <v>443597.38360609685</v>
      </c>
      <c r="AF71">
        <v>443597.38360609685</v>
      </c>
      <c r="AG71" s="87"/>
    </row>
    <row r="72" spans="1:33">
      <c r="A72" s="53" t="s">
        <v>391</v>
      </c>
      <c r="B72" t="s">
        <v>214</v>
      </c>
      <c r="E72" t="s">
        <v>209</v>
      </c>
      <c r="F72" t="s">
        <v>209</v>
      </c>
      <c r="G72" t="s">
        <v>210</v>
      </c>
      <c r="H72" t="s">
        <v>392</v>
      </c>
      <c r="I72" t="s">
        <v>11</v>
      </c>
      <c r="J72" t="s">
        <v>253</v>
      </c>
      <c r="K72" s="87">
        <v>78572.440474572795</v>
      </c>
      <c r="L72" s="87">
        <v>0</v>
      </c>
      <c r="M72" s="87">
        <v>0</v>
      </c>
      <c r="N72" s="87">
        <v>0</v>
      </c>
      <c r="O72" s="87">
        <v>997817.75002918404</v>
      </c>
      <c r="P72" s="87">
        <v>0</v>
      </c>
      <c r="Q72" s="87">
        <v>0</v>
      </c>
      <c r="R72" s="87">
        <v>997817.75002918404</v>
      </c>
      <c r="S72" s="87">
        <v>0</v>
      </c>
      <c r="T72" s="87">
        <v>0</v>
      </c>
      <c r="U72" s="87">
        <v>0</v>
      </c>
      <c r="V72" s="87">
        <v>0</v>
      </c>
      <c r="W72" s="87">
        <v>0</v>
      </c>
      <c r="X72" s="87">
        <v>0</v>
      </c>
      <c r="Y72" s="87">
        <v>0</v>
      </c>
      <c r="Z72" s="87">
        <v>997817.75002918404</v>
      </c>
      <c r="AA72" s="87">
        <v>0</v>
      </c>
      <c r="AB72" s="87">
        <v>0</v>
      </c>
      <c r="AC72" s="87">
        <v>0</v>
      </c>
      <c r="AD72" s="87">
        <v>997817.75002918404</v>
      </c>
      <c r="AE72" s="87">
        <v>329279.85750963067</v>
      </c>
      <c r="AF72">
        <v>329279.85750963067</v>
      </c>
      <c r="AG72" s="87"/>
    </row>
    <row r="73" spans="1:33">
      <c r="A73" s="53" t="s">
        <v>393</v>
      </c>
      <c r="B73" t="s">
        <v>286</v>
      </c>
      <c r="E73" t="s">
        <v>287</v>
      </c>
      <c r="F73" t="s">
        <v>209</v>
      </c>
      <c r="G73" t="s">
        <v>210</v>
      </c>
      <c r="H73" t="s">
        <v>346</v>
      </c>
      <c r="I73" t="s">
        <v>15</v>
      </c>
      <c r="J73" t="s">
        <v>15</v>
      </c>
      <c r="K73" s="87">
        <v>74925.893444005356</v>
      </c>
      <c r="L73" s="87">
        <v>669859.53667268879</v>
      </c>
      <c r="M73" s="87">
        <v>67158.501163324676</v>
      </c>
      <c r="N73" s="87">
        <v>602701.0355093641</v>
      </c>
      <c r="O73" s="87">
        <v>90051.435402905612</v>
      </c>
      <c r="P73" s="87">
        <v>0</v>
      </c>
      <c r="Q73" s="87">
        <v>0</v>
      </c>
      <c r="R73" s="87">
        <v>90051.435402905612</v>
      </c>
      <c r="S73" s="87">
        <v>0</v>
      </c>
      <c r="T73" s="87">
        <v>0</v>
      </c>
      <c r="U73" s="87">
        <v>0</v>
      </c>
      <c r="V73" s="87">
        <v>0</v>
      </c>
      <c r="W73" s="87">
        <v>9331</v>
      </c>
      <c r="X73" s="87">
        <v>9331</v>
      </c>
      <c r="Y73" s="87">
        <v>0</v>
      </c>
      <c r="Z73" s="87">
        <v>99382.435402905612</v>
      </c>
      <c r="AA73" s="87">
        <v>31312.17</v>
      </c>
      <c r="AB73" s="87">
        <v>10333.016099999999</v>
      </c>
      <c r="AC73" s="87">
        <v>0</v>
      </c>
      <c r="AD73" s="87">
        <v>68070.265402905614</v>
      </c>
      <c r="AE73" s="87">
        <v>22463.187582958846</v>
      </c>
      <c r="AF73">
        <v>22463.187582958846</v>
      </c>
      <c r="AG73" s="87"/>
    </row>
    <row r="74" spans="1:33">
      <c r="A74" s="53" t="s">
        <v>394</v>
      </c>
      <c r="B74" t="s">
        <v>208</v>
      </c>
      <c r="C74" t="s">
        <v>149</v>
      </c>
      <c r="E74" t="s">
        <v>209</v>
      </c>
      <c r="F74" t="s">
        <v>209</v>
      </c>
      <c r="G74" t="s">
        <v>210</v>
      </c>
      <c r="H74" t="s">
        <v>395</v>
      </c>
      <c r="I74" t="s">
        <v>12</v>
      </c>
      <c r="J74" t="s">
        <v>396</v>
      </c>
      <c r="K74" s="87">
        <v>82467.470901222463</v>
      </c>
      <c r="L74" s="87">
        <v>0</v>
      </c>
      <c r="M74" s="87">
        <v>0</v>
      </c>
      <c r="N74" s="87">
        <v>0</v>
      </c>
      <c r="O74" s="87">
        <v>181340.35350394878</v>
      </c>
      <c r="P74" s="87">
        <v>0</v>
      </c>
      <c r="Q74" s="87">
        <v>0</v>
      </c>
      <c r="R74" s="87">
        <v>181340.35350394878</v>
      </c>
      <c r="S74" s="87">
        <v>0</v>
      </c>
      <c r="T74" s="87">
        <v>0</v>
      </c>
      <c r="U74" s="87">
        <v>0</v>
      </c>
      <c r="V74" s="87">
        <v>0</v>
      </c>
      <c r="W74" s="87">
        <v>0</v>
      </c>
      <c r="X74" s="87">
        <v>0</v>
      </c>
      <c r="Y74" s="87">
        <v>0</v>
      </c>
      <c r="Z74" s="87">
        <v>181340.35350394878</v>
      </c>
      <c r="AA74" s="87">
        <v>53020.59</v>
      </c>
      <c r="AB74" s="87">
        <v>17496.794699999995</v>
      </c>
      <c r="AC74" s="87">
        <v>0</v>
      </c>
      <c r="AD74" s="87">
        <v>128319.76350394878</v>
      </c>
      <c r="AE74" s="87">
        <v>42345.521956303099</v>
      </c>
      <c r="AF74">
        <v>42345.521956303099</v>
      </c>
      <c r="AG74" s="87"/>
    </row>
    <row r="75" spans="1:33">
      <c r="A75" s="53" t="s">
        <v>108</v>
      </c>
      <c r="B75" t="s">
        <v>281</v>
      </c>
      <c r="E75" t="s">
        <v>282</v>
      </c>
      <c r="F75" t="s">
        <v>209</v>
      </c>
      <c r="G75" t="s">
        <v>283</v>
      </c>
      <c r="H75" t="s">
        <v>397</v>
      </c>
      <c r="I75" t="s">
        <v>10</v>
      </c>
      <c r="J75" t="s">
        <v>398</v>
      </c>
      <c r="K75" s="87">
        <v>12557586.743861375</v>
      </c>
      <c r="L75" s="87">
        <v>2302338.5056358399</v>
      </c>
      <c r="M75" s="87">
        <v>0</v>
      </c>
      <c r="N75" s="87">
        <v>2302338.5056358399</v>
      </c>
      <c r="O75" s="87">
        <v>10479.13724928</v>
      </c>
      <c r="P75" s="87">
        <v>0</v>
      </c>
      <c r="Q75" s="87">
        <v>0</v>
      </c>
      <c r="R75" s="87">
        <v>10479.13724928</v>
      </c>
      <c r="S75" s="87">
        <v>151</v>
      </c>
      <c r="T75" s="87">
        <v>0</v>
      </c>
      <c r="U75" s="87">
        <v>18809</v>
      </c>
      <c r="V75" s="87">
        <v>0</v>
      </c>
      <c r="W75" s="87">
        <v>1101400</v>
      </c>
      <c r="X75" s="87">
        <v>1120360</v>
      </c>
      <c r="Y75" s="87">
        <v>0</v>
      </c>
      <c r="Z75" s="87">
        <v>18960</v>
      </c>
      <c r="AA75" s="87">
        <v>1158572.68</v>
      </c>
      <c r="AB75" s="87">
        <v>382328.98439999996</v>
      </c>
      <c r="AC75" s="87">
        <v>0</v>
      </c>
      <c r="AD75" s="87">
        <v>18960</v>
      </c>
      <c r="AE75" s="87">
        <v>6256.7999999999993</v>
      </c>
      <c r="AF75">
        <v>6256.7999999999993</v>
      </c>
      <c r="AG75" s="87"/>
    </row>
    <row r="76" spans="1:33">
      <c r="A76" s="53" t="s">
        <v>399</v>
      </c>
      <c r="B76" t="s">
        <v>214</v>
      </c>
      <c r="C76" t="s">
        <v>149</v>
      </c>
      <c r="E76" t="s">
        <v>209</v>
      </c>
      <c r="F76" t="s">
        <v>209</v>
      </c>
      <c r="G76" t="s">
        <v>210</v>
      </c>
      <c r="H76" t="s">
        <v>400</v>
      </c>
      <c r="I76" t="s">
        <v>7</v>
      </c>
      <c r="J76" t="s">
        <v>401</v>
      </c>
      <c r="K76" s="87">
        <v>-7650156.5337895937</v>
      </c>
      <c r="L76" s="87">
        <v>4950798.295566964</v>
      </c>
      <c r="M76" s="87">
        <v>2854683.8438952961</v>
      </c>
      <c r="N76" s="87">
        <v>2096114.4516716679</v>
      </c>
      <c r="O76" s="87">
        <v>4140690.4668403454</v>
      </c>
      <c r="P76" s="87">
        <v>0</v>
      </c>
      <c r="Q76" s="87">
        <v>0</v>
      </c>
      <c r="R76" s="87">
        <v>4140690.4668403454</v>
      </c>
      <c r="S76" s="87">
        <v>230595</v>
      </c>
      <c r="T76" s="87">
        <v>0</v>
      </c>
      <c r="U76" s="87">
        <v>0</v>
      </c>
      <c r="V76" s="87">
        <v>0</v>
      </c>
      <c r="W76" s="87">
        <v>148279.9969236019</v>
      </c>
      <c r="X76" s="87">
        <v>378874.9969236019</v>
      </c>
      <c r="Y76" s="87">
        <v>0</v>
      </c>
      <c r="Z76" s="87">
        <v>4519565.4637639476</v>
      </c>
      <c r="AA76" s="87">
        <v>2197330.52</v>
      </c>
      <c r="AB76" s="87">
        <v>725119.07159999991</v>
      </c>
      <c r="AC76" s="87">
        <v>0</v>
      </c>
      <c r="AD76" s="87">
        <v>2322234.9437639476</v>
      </c>
      <c r="AE76" s="87">
        <v>766337.53144210251</v>
      </c>
      <c r="AF76">
        <v>766337.53144210251</v>
      </c>
      <c r="AG76" s="87"/>
    </row>
    <row r="77" spans="1:33">
      <c r="A77" s="53" t="s">
        <v>402</v>
      </c>
      <c r="B77" t="s">
        <v>214</v>
      </c>
      <c r="E77" t="s">
        <v>209</v>
      </c>
      <c r="F77" t="s">
        <v>209</v>
      </c>
      <c r="G77" t="s">
        <v>210</v>
      </c>
      <c r="H77" t="s">
        <v>403</v>
      </c>
      <c r="I77" t="s">
        <v>11</v>
      </c>
      <c r="J77" t="s">
        <v>404</v>
      </c>
      <c r="K77" s="87">
        <v>-1760935.006780541</v>
      </c>
      <c r="L77" s="87">
        <v>7803169.7792462483</v>
      </c>
      <c r="M77" s="87">
        <v>5515377.4945296384</v>
      </c>
      <c r="N77" s="87">
        <v>2287792.2847166099</v>
      </c>
      <c r="O77" s="87">
        <v>5949566.4204754177</v>
      </c>
      <c r="P77" s="87">
        <v>4582308.6300000008</v>
      </c>
      <c r="Q77" s="87">
        <v>4055451.3520639315</v>
      </c>
      <c r="R77" s="87">
        <v>1894115.0684114862</v>
      </c>
      <c r="S77" s="87">
        <v>1256362</v>
      </c>
      <c r="T77" s="87">
        <v>0</v>
      </c>
      <c r="U77" s="87">
        <v>402117</v>
      </c>
      <c r="V77" s="87">
        <v>0</v>
      </c>
      <c r="W77" s="87">
        <v>2165279.0770846624</v>
      </c>
      <c r="X77" s="87">
        <v>3823758.0770846624</v>
      </c>
      <c r="Y77" s="87">
        <v>0</v>
      </c>
      <c r="Z77" s="87">
        <v>5717873.1454961486</v>
      </c>
      <c r="AA77" s="87">
        <v>3679191.99</v>
      </c>
      <c r="AB77" s="87">
        <v>1214133.3566999999</v>
      </c>
      <c r="AC77" s="87">
        <v>0</v>
      </c>
      <c r="AD77" s="87">
        <v>2038681.1554961484</v>
      </c>
      <c r="AE77" s="87">
        <v>672764.78131372901</v>
      </c>
      <c r="AF77">
        <v>672764.78131372901</v>
      </c>
      <c r="AG77" s="87"/>
    </row>
    <row r="78" spans="1:33">
      <c r="A78" s="53" t="s">
        <v>405</v>
      </c>
      <c r="B78" t="s">
        <v>208</v>
      </c>
      <c r="C78" t="s">
        <v>149</v>
      </c>
      <c r="E78" t="s">
        <v>209</v>
      </c>
      <c r="F78" t="s">
        <v>209</v>
      </c>
      <c r="G78" t="s">
        <v>210</v>
      </c>
      <c r="H78" t="s">
        <v>406</v>
      </c>
      <c r="I78" t="s">
        <v>12</v>
      </c>
      <c r="J78" t="s">
        <v>407</v>
      </c>
      <c r="K78" s="87">
        <v>405188.45083799039</v>
      </c>
      <c r="L78" s="87">
        <v>358131.41160548234</v>
      </c>
      <c r="M78" s="87">
        <v>127716.117982208</v>
      </c>
      <c r="N78" s="87">
        <v>230415.29362327434</v>
      </c>
      <c r="O78" s="87">
        <v>1020585.7192824832</v>
      </c>
      <c r="P78" s="87">
        <v>0</v>
      </c>
      <c r="Q78" s="87">
        <v>0</v>
      </c>
      <c r="R78" s="87">
        <v>1020585.7192824832</v>
      </c>
      <c r="S78" s="87">
        <v>0</v>
      </c>
      <c r="T78" s="87">
        <v>0</v>
      </c>
      <c r="U78" s="87">
        <v>0</v>
      </c>
      <c r="V78" s="87">
        <v>0</v>
      </c>
      <c r="W78" s="87">
        <v>0</v>
      </c>
      <c r="X78" s="87">
        <v>0</v>
      </c>
      <c r="Y78" s="87">
        <v>0</v>
      </c>
      <c r="Z78" s="87">
        <v>1020585.7192824832</v>
      </c>
      <c r="AA78" s="87">
        <v>456790.12</v>
      </c>
      <c r="AB78" s="87">
        <v>150740.73959999997</v>
      </c>
      <c r="AC78" s="87">
        <v>0</v>
      </c>
      <c r="AD78" s="87">
        <v>563795.59928248322</v>
      </c>
      <c r="AE78" s="87">
        <v>186052.54776321945</v>
      </c>
      <c r="AF78">
        <v>186052.54776321945</v>
      </c>
      <c r="AG78" s="87"/>
    </row>
    <row r="79" spans="1:33">
      <c r="A79" s="53" t="s">
        <v>408</v>
      </c>
      <c r="B79" t="s">
        <v>214</v>
      </c>
      <c r="E79" t="s">
        <v>209</v>
      </c>
      <c r="F79" t="s">
        <v>209</v>
      </c>
      <c r="G79" t="s">
        <v>210</v>
      </c>
      <c r="H79" t="s">
        <v>409</v>
      </c>
      <c r="I79" t="s">
        <v>10</v>
      </c>
      <c r="J79" t="s">
        <v>398</v>
      </c>
      <c r="K79" s="87">
        <v>-985657.07059233752</v>
      </c>
      <c r="L79" s="87">
        <v>26419111.969179161</v>
      </c>
      <c r="M79" s="87">
        <v>20756900.616501331</v>
      </c>
      <c r="N79" s="87">
        <v>5662211.3526778296</v>
      </c>
      <c r="O79" s="87">
        <v>25108075.392374214</v>
      </c>
      <c r="P79" s="87">
        <v>3338071.05</v>
      </c>
      <c r="Q79" s="87">
        <v>0</v>
      </c>
      <c r="R79" s="87">
        <v>25108075.392374214</v>
      </c>
      <c r="S79" s="87">
        <v>125869</v>
      </c>
      <c r="T79" s="87">
        <v>0</v>
      </c>
      <c r="U79" s="87">
        <v>0</v>
      </c>
      <c r="V79" s="87">
        <v>0</v>
      </c>
      <c r="W79" s="87">
        <v>2528910</v>
      </c>
      <c r="X79" s="87">
        <v>2654779</v>
      </c>
      <c r="Y79" s="87">
        <v>0</v>
      </c>
      <c r="Z79" s="87">
        <v>27762854.392374214</v>
      </c>
      <c r="AA79" s="87">
        <v>10836580.779999999</v>
      </c>
      <c r="AB79" s="87">
        <v>3576071.6573999994</v>
      </c>
      <c r="AC79" s="87">
        <v>0</v>
      </c>
      <c r="AD79" s="87">
        <v>16926273.612374216</v>
      </c>
      <c r="AE79" s="87">
        <v>5585670.2920834906</v>
      </c>
      <c r="AF79">
        <v>5585670.2920834906</v>
      </c>
      <c r="AG79" s="87"/>
    </row>
    <row r="80" spans="1:33">
      <c r="A80" s="53" t="s">
        <v>410</v>
      </c>
      <c r="B80" t="s">
        <v>214</v>
      </c>
      <c r="E80" t="s">
        <v>209</v>
      </c>
      <c r="F80" t="s">
        <v>209</v>
      </c>
      <c r="G80" t="s">
        <v>210</v>
      </c>
      <c r="H80" t="s">
        <v>411</v>
      </c>
      <c r="I80" t="s">
        <v>14</v>
      </c>
      <c r="J80" t="s">
        <v>248</v>
      </c>
      <c r="K80" s="87">
        <v>-3162817.6604231447</v>
      </c>
      <c r="L80" s="87">
        <v>0</v>
      </c>
      <c r="M80" s="87">
        <v>0</v>
      </c>
      <c r="N80" s="87">
        <v>0</v>
      </c>
      <c r="O80" s="87">
        <v>18922603.564193457</v>
      </c>
      <c r="P80" s="87">
        <v>0</v>
      </c>
      <c r="Q80" s="87">
        <v>0</v>
      </c>
      <c r="R80" s="87">
        <v>18922603.564193457</v>
      </c>
      <c r="S80" s="87">
        <v>803439</v>
      </c>
      <c r="T80" s="87">
        <v>0</v>
      </c>
      <c r="U80" s="87">
        <v>0</v>
      </c>
      <c r="V80" s="87">
        <v>0</v>
      </c>
      <c r="W80" s="87">
        <v>0</v>
      </c>
      <c r="X80" s="87">
        <v>803439</v>
      </c>
      <c r="Y80" s="87">
        <v>0</v>
      </c>
      <c r="Z80" s="87">
        <v>19726042.564193457</v>
      </c>
      <c r="AA80" s="87">
        <v>9688084.1400000006</v>
      </c>
      <c r="AB80" s="87">
        <v>3197067.7662</v>
      </c>
      <c r="AC80" s="87">
        <v>0</v>
      </c>
      <c r="AD80" s="87">
        <v>10037958.424193457</v>
      </c>
      <c r="AE80" s="87">
        <v>3312526.2799838404</v>
      </c>
      <c r="AF80">
        <v>3312526.2799838404</v>
      </c>
      <c r="AG80" s="87"/>
    </row>
    <row r="81" spans="1:33">
      <c r="A81" s="53" t="s">
        <v>412</v>
      </c>
      <c r="B81" t="s">
        <v>214</v>
      </c>
      <c r="C81" t="s">
        <v>149</v>
      </c>
      <c r="E81" t="s">
        <v>209</v>
      </c>
      <c r="F81" t="s">
        <v>209</v>
      </c>
      <c r="G81" t="s">
        <v>210</v>
      </c>
      <c r="H81" t="s">
        <v>413</v>
      </c>
      <c r="I81" t="s">
        <v>10</v>
      </c>
      <c r="J81" t="s">
        <v>414</v>
      </c>
      <c r="K81" s="87">
        <v>606576.27453498868</v>
      </c>
      <c r="L81" s="87">
        <v>358407.26943354652</v>
      </c>
      <c r="M81" s="87">
        <v>71602.033972403195</v>
      </c>
      <c r="N81" s="87">
        <v>286805.23546114331</v>
      </c>
      <c r="O81" s="87">
        <v>730194.88973724167</v>
      </c>
      <c r="P81" s="87">
        <v>49926.11</v>
      </c>
      <c r="Q81" s="87">
        <v>0</v>
      </c>
      <c r="R81" s="87">
        <v>730194.88973724167</v>
      </c>
      <c r="S81" s="87">
        <v>79220</v>
      </c>
      <c r="T81" s="87">
        <v>0</v>
      </c>
      <c r="U81" s="87">
        <v>79220</v>
      </c>
      <c r="V81" s="87">
        <v>0</v>
      </c>
      <c r="W81" s="87">
        <v>693184.80520747579</v>
      </c>
      <c r="X81" s="87">
        <v>851624.80520747579</v>
      </c>
      <c r="Y81" s="87">
        <v>0</v>
      </c>
      <c r="Z81" s="87">
        <v>1581819.6949447175</v>
      </c>
      <c r="AA81" s="87">
        <v>511650.78</v>
      </c>
      <c r="AB81" s="87">
        <v>168844.7574</v>
      </c>
      <c r="AC81" s="87">
        <v>0</v>
      </c>
      <c r="AD81" s="87">
        <v>1070168.9149447174</v>
      </c>
      <c r="AE81" s="87">
        <v>353155.74193175667</v>
      </c>
      <c r="AF81">
        <v>353155.74193175667</v>
      </c>
      <c r="AG81" s="87"/>
    </row>
    <row r="82" spans="1:33">
      <c r="A82" s="53" t="s">
        <v>415</v>
      </c>
      <c r="B82" t="s">
        <v>214</v>
      </c>
      <c r="E82" t="s">
        <v>209</v>
      </c>
      <c r="F82" t="s">
        <v>209</v>
      </c>
      <c r="G82" t="s">
        <v>210</v>
      </c>
      <c r="H82" t="s">
        <v>416</v>
      </c>
      <c r="I82" t="s">
        <v>11</v>
      </c>
      <c r="J82" t="s">
        <v>404</v>
      </c>
      <c r="K82" s="87">
        <v>-5951818.4796880409</v>
      </c>
      <c r="L82" s="87">
        <v>45917066.447626412</v>
      </c>
      <c r="M82" s="87">
        <v>27867365.446155302</v>
      </c>
      <c r="N82" s="87">
        <v>18049701.00147111</v>
      </c>
      <c r="O82" s="87">
        <v>45634213.807111487</v>
      </c>
      <c r="P82" s="87">
        <v>17803519.43</v>
      </c>
      <c r="Q82" s="87">
        <v>5705636.9082169309</v>
      </c>
      <c r="R82" s="87">
        <v>39928576.898894556</v>
      </c>
      <c r="S82" s="87">
        <v>2948886</v>
      </c>
      <c r="T82" s="87">
        <v>0</v>
      </c>
      <c r="U82" s="87">
        <v>9933750.873561997</v>
      </c>
      <c r="V82" s="87">
        <v>0</v>
      </c>
      <c r="W82" s="87">
        <v>13726950.280764006</v>
      </c>
      <c r="X82" s="87">
        <v>26609587.154326003</v>
      </c>
      <c r="Y82" s="87">
        <v>0</v>
      </c>
      <c r="Z82" s="87">
        <v>66538164.053220555</v>
      </c>
      <c r="AA82" s="87">
        <v>32481273.289999999</v>
      </c>
      <c r="AB82" s="87">
        <v>10718820.185699999</v>
      </c>
      <c r="AC82" s="87">
        <v>0</v>
      </c>
      <c r="AD82" s="87">
        <v>34056890.763220556</v>
      </c>
      <c r="AE82" s="87">
        <v>11238773.951862782</v>
      </c>
      <c r="AF82">
        <v>11238773.951862782</v>
      </c>
      <c r="AG82" s="87"/>
    </row>
    <row r="83" spans="1:33">
      <c r="A83" s="53" t="s">
        <v>417</v>
      </c>
      <c r="B83" t="s">
        <v>214</v>
      </c>
      <c r="E83" t="s">
        <v>209</v>
      </c>
      <c r="F83" t="s">
        <v>209</v>
      </c>
      <c r="G83" t="s">
        <v>210</v>
      </c>
      <c r="H83" t="s">
        <v>418</v>
      </c>
      <c r="I83" t="s">
        <v>6</v>
      </c>
      <c r="J83" t="s">
        <v>263</v>
      </c>
      <c r="K83" s="87">
        <v>519361.49664191745</v>
      </c>
      <c r="L83" s="87">
        <v>8612751.2020184975</v>
      </c>
      <c r="M83" s="87">
        <v>0</v>
      </c>
      <c r="N83" s="87">
        <v>8612751.2020184975</v>
      </c>
      <c r="O83" s="87">
        <v>6344833.5287588062</v>
      </c>
      <c r="P83" s="87">
        <v>0</v>
      </c>
      <c r="Q83" s="87">
        <v>0</v>
      </c>
      <c r="R83" s="87">
        <v>6344833.5287588062</v>
      </c>
      <c r="S83" s="87">
        <v>0</v>
      </c>
      <c r="T83" s="87">
        <v>0</v>
      </c>
      <c r="U83" s="87">
        <v>0</v>
      </c>
      <c r="V83" s="87">
        <v>0</v>
      </c>
      <c r="W83" s="87">
        <v>0</v>
      </c>
      <c r="X83" s="87">
        <v>0</v>
      </c>
      <c r="Y83" s="87">
        <v>0</v>
      </c>
      <c r="Z83" s="87">
        <v>6344833.5287588062</v>
      </c>
      <c r="AA83" s="87">
        <v>3036554.25</v>
      </c>
      <c r="AB83" s="87">
        <v>1002062.9024999999</v>
      </c>
      <c r="AC83" s="87">
        <v>0</v>
      </c>
      <c r="AD83" s="87">
        <v>3308279.2787588062</v>
      </c>
      <c r="AE83" s="87">
        <v>1091732.161990406</v>
      </c>
      <c r="AF83">
        <v>1091732.161990406</v>
      </c>
      <c r="AG83" s="87"/>
    </row>
    <row r="84" spans="1:33">
      <c r="A84" s="53" t="s">
        <v>109</v>
      </c>
      <c r="B84" t="s">
        <v>281</v>
      </c>
      <c r="E84" t="s">
        <v>209</v>
      </c>
      <c r="F84" t="s">
        <v>209</v>
      </c>
      <c r="G84" t="s">
        <v>283</v>
      </c>
      <c r="H84" t="s">
        <v>419</v>
      </c>
      <c r="I84" t="s">
        <v>6</v>
      </c>
      <c r="J84" t="s">
        <v>6</v>
      </c>
      <c r="K84" s="87">
        <v>28739606.803575449</v>
      </c>
      <c r="L84" s="87">
        <v>36149333.144411787</v>
      </c>
      <c r="M84" s="87">
        <v>47890725.199506015</v>
      </c>
      <c r="N84" s="87">
        <v>0</v>
      </c>
      <c r="O84" s="87">
        <v>53226974.831074685</v>
      </c>
      <c r="P84" s="87">
        <v>56852145</v>
      </c>
      <c r="Q84" s="87">
        <v>28112538.196424551</v>
      </c>
      <c r="R84" s="87">
        <v>25114436.634650134</v>
      </c>
      <c r="S84" s="87">
        <v>7952625</v>
      </c>
      <c r="T84" s="87">
        <v>1372897</v>
      </c>
      <c r="U84" s="87">
        <v>0</v>
      </c>
      <c r="V84" s="87">
        <v>0</v>
      </c>
      <c r="W84" s="87">
        <v>0</v>
      </c>
      <c r="X84" s="87">
        <v>9325522</v>
      </c>
      <c r="Y84" s="87">
        <v>0</v>
      </c>
      <c r="Z84" s="87">
        <v>9325522</v>
      </c>
      <c r="AA84" s="87">
        <v>16361543.689999999</v>
      </c>
      <c r="AB84" s="87">
        <v>5399309.4176999992</v>
      </c>
      <c r="AC84" s="87">
        <v>0</v>
      </c>
      <c r="AD84" s="87">
        <v>9325522</v>
      </c>
      <c r="AE84" s="87">
        <v>3077422.26</v>
      </c>
      <c r="AF84">
        <v>3077422.26</v>
      </c>
      <c r="AG84" s="87"/>
    </row>
    <row r="85" spans="1:33">
      <c r="A85" s="53" t="s">
        <v>420</v>
      </c>
      <c r="B85" t="s">
        <v>208</v>
      </c>
      <c r="C85" t="s">
        <v>149</v>
      </c>
      <c r="E85" t="s">
        <v>209</v>
      </c>
      <c r="F85" t="s">
        <v>209</v>
      </c>
      <c r="G85" t="s">
        <v>210</v>
      </c>
      <c r="H85" t="s">
        <v>421</v>
      </c>
      <c r="I85" t="s">
        <v>10</v>
      </c>
      <c r="J85" t="s">
        <v>422</v>
      </c>
      <c r="K85" s="87">
        <v>895200.5983712509</v>
      </c>
      <c r="L85" s="87">
        <v>2020660.1314377056</v>
      </c>
      <c r="M85" s="87">
        <v>1562115.9516523008</v>
      </c>
      <c r="N85" s="87">
        <v>458544.17978540482</v>
      </c>
      <c r="O85" s="87">
        <v>1328621.5704138498</v>
      </c>
      <c r="P85" s="87">
        <v>0</v>
      </c>
      <c r="Q85" s="87">
        <v>0</v>
      </c>
      <c r="R85" s="87">
        <v>1328621.5704138498</v>
      </c>
      <c r="S85" s="87">
        <v>6410</v>
      </c>
      <c r="T85" s="87">
        <v>0</v>
      </c>
      <c r="U85" s="87">
        <v>0</v>
      </c>
      <c r="V85" s="87">
        <v>0</v>
      </c>
      <c r="W85" s="87">
        <v>1315.749095045599</v>
      </c>
      <c r="X85" s="87">
        <v>7725.7490950455995</v>
      </c>
      <c r="Y85" s="87">
        <v>0</v>
      </c>
      <c r="Z85" s="87">
        <v>1336347.3195088953</v>
      </c>
      <c r="AA85" s="87">
        <v>794303.56</v>
      </c>
      <c r="AB85" s="87">
        <v>262120.17479999998</v>
      </c>
      <c r="AC85" s="87">
        <v>0</v>
      </c>
      <c r="AD85" s="87">
        <v>542043.75950889522</v>
      </c>
      <c r="AE85" s="87">
        <v>178874.44063793542</v>
      </c>
      <c r="AF85">
        <v>178874.44063793542</v>
      </c>
      <c r="AG85" s="87"/>
    </row>
    <row r="86" spans="1:33">
      <c r="A86" s="53" t="s">
        <v>423</v>
      </c>
      <c r="B86" t="s">
        <v>214</v>
      </c>
      <c r="E86" t="s">
        <v>209</v>
      </c>
      <c r="F86" t="s">
        <v>209</v>
      </c>
      <c r="G86" t="s">
        <v>210</v>
      </c>
      <c r="H86" t="s">
        <v>424</v>
      </c>
      <c r="I86" t="s">
        <v>14</v>
      </c>
      <c r="J86" t="s">
        <v>14</v>
      </c>
      <c r="K86" s="87">
        <v>-18073585.851785466</v>
      </c>
      <c r="L86" s="87">
        <v>63250878.294489376</v>
      </c>
      <c r="M86" s="87">
        <v>47313756.655599475</v>
      </c>
      <c r="N86" s="87">
        <v>15937121.638889901</v>
      </c>
      <c r="O86" s="87">
        <v>61875390.10437458</v>
      </c>
      <c r="P86" s="87">
        <v>12333122.379999999</v>
      </c>
      <c r="Q86" s="87">
        <v>12333122.379999999</v>
      </c>
      <c r="R86" s="87">
        <v>49542267.724374577</v>
      </c>
      <c r="S86" s="87">
        <v>2152741</v>
      </c>
      <c r="T86" s="87">
        <v>0</v>
      </c>
      <c r="U86" s="87">
        <v>0</v>
      </c>
      <c r="V86" s="87">
        <v>0</v>
      </c>
      <c r="W86" s="87">
        <v>0</v>
      </c>
      <c r="X86" s="87">
        <v>2152741</v>
      </c>
      <c r="Y86" s="87">
        <v>0</v>
      </c>
      <c r="Z86" s="87">
        <v>51695008.724374577</v>
      </c>
      <c r="AA86" s="87">
        <v>29762729.82</v>
      </c>
      <c r="AB86" s="87">
        <v>9821700.8405999988</v>
      </c>
      <c r="AC86" s="87">
        <v>0</v>
      </c>
      <c r="AD86" s="87">
        <v>21932278.904374577</v>
      </c>
      <c r="AE86" s="87">
        <v>7237652.0384436101</v>
      </c>
      <c r="AF86">
        <v>7237652.0384436101</v>
      </c>
      <c r="AG86" s="87"/>
    </row>
    <row r="87" spans="1:33">
      <c r="A87" s="53" t="s">
        <v>425</v>
      </c>
      <c r="B87" t="s">
        <v>214</v>
      </c>
      <c r="E87" t="s">
        <v>209</v>
      </c>
      <c r="F87" t="s">
        <v>209</v>
      </c>
      <c r="G87" t="s">
        <v>210</v>
      </c>
      <c r="H87" t="s">
        <v>426</v>
      </c>
      <c r="I87" t="s">
        <v>7</v>
      </c>
      <c r="J87" t="s">
        <v>7</v>
      </c>
      <c r="K87" s="87">
        <v>-3716384.1430160408</v>
      </c>
      <c r="L87" s="87">
        <v>13348183.477785049</v>
      </c>
      <c r="M87" s="87">
        <v>4929277.3718726533</v>
      </c>
      <c r="N87" s="87">
        <v>8418906.1059123948</v>
      </c>
      <c r="O87" s="87">
        <v>8135658.7592475889</v>
      </c>
      <c r="P87" s="87">
        <v>4689347.71</v>
      </c>
      <c r="Q87" s="87">
        <v>0</v>
      </c>
      <c r="R87" s="87">
        <v>8135658.7592475889</v>
      </c>
      <c r="S87" s="87">
        <v>473156</v>
      </c>
      <c r="T87" s="87">
        <v>0</v>
      </c>
      <c r="U87" s="87">
        <v>0</v>
      </c>
      <c r="V87" s="87">
        <v>0</v>
      </c>
      <c r="W87" s="87">
        <v>0</v>
      </c>
      <c r="X87" s="87">
        <v>473156</v>
      </c>
      <c r="Y87" s="87">
        <v>0</v>
      </c>
      <c r="Z87" s="87">
        <v>8608814.7592475899</v>
      </c>
      <c r="AA87" s="87">
        <v>1065988.6599999999</v>
      </c>
      <c r="AB87" s="87">
        <v>351776.2577999999</v>
      </c>
      <c r="AC87" s="87">
        <v>0</v>
      </c>
      <c r="AD87" s="87">
        <v>7542826.0992475897</v>
      </c>
      <c r="AE87" s="87">
        <v>2489132.6127517046</v>
      </c>
      <c r="AF87">
        <v>2489132.6127517046</v>
      </c>
      <c r="AG87" s="87"/>
    </row>
    <row r="88" spans="1:33">
      <c r="A88" s="53" t="s">
        <v>427</v>
      </c>
      <c r="B88" t="s">
        <v>208</v>
      </c>
      <c r="C88" t="s">
        <v>149</v>
      </c>
      <c r="E88" t="s">
        <v>209</v>
      </c>
      <c r="F88" t="s">
        <v>209</v>
      </c>
      <c r="G88" t="s">
        <v>210</v>
      </c>
      <c r="H88" t="s">
        <v>428</v>
      </c>
      <c r="I88" t="s">
        <v>12</v>
      </c>
      <c r="J88" t="s">
        <v>429</v>
      </c>
      <c r="K88" s="87">
        <v>1608724.5269790469</v>
      </c>
      <c r="L88" s="87">
        <v>3172071.2251685574</v>
      </c>
      <c r="M88" s="87">
        <v>389807.49383582722</v>
      </c>
      <c r="N88" s="87">
        <v>2782263.73133273</v>
      </c>
      <c r="O88" s="87">
        <v>963425.6703217664</v>
      </c>
      <c r="P88" s="87">
        <v>1955171.72</v>
      </c>
      <c r="Q88" s="87">
        <v>0</v>
      </c>
      <c r="R88" s="87">
        <v>963425.6703217664</v>
      </c>
      <c r="S88" s="87">
        <v>0</v>
      </c>
      <c r="T88" s="87">
        <v>0</v>
      </c>
      <c r="U88" s="87">
        <v>0</v>
      </c>
      <c r="V88" s="87">
        <v>0</v>
      </c>
      <c r="W88" s="87">
        <v>0</v>
      </c>
      <c r="X88" s="87">
        <v>0</v>
      </c>
      <c r="Y88" s="87">
        <v>0</v>
      </c>
      <c r="Z88" s="87">
        <v>963425.6703217664</v>
      </c>
      <c r="AA88" s="87">
        <v>506152.34</v>
      </c>
      <c r="AB88" s="87">
        <v>167030.27219999998</v>
      </c>
      <c r="AC88" s="87">
        <v>0</v>
      </c>
      <c r="AD88" s="87">
        <v>457273.33032176638</v>
      </c>
      <c r="AE88" s="87">
        <v>150900.19900618287</v>
      </c>
      <c r="AF88">
        <v>150900.20000000001</v>
      </c>
      <c r="AG88" s="87"/>
    </row>
    <row r="89" spans="1:33">
      <c r="A89" s="53" t="s">
        <v>430</v>
      </c>
      <c r="B89" t="s">
        <v>214</v>
      </c>
      <c r="C89" t="s">
        <v>149</v>
      </c>
      <c r="E89" t="s">
        <v>209</v>
      </c>
      <c r="F89" t="s">
        <v>209</v>
      </c>
      <c r="G89" t="s">
        <v>210</v>
      </c>
      <c r="H89" t="s">
        <v>431</v>
      </c>
      <c r="I89" t="s">
        <v>12</v>
      </c>
      <c r="J89" t="s">
        <v>432</v>
      </c>
      <c r="K89" s="87">
        <v>1078751.4936441605</v>
      </c>
      <c r="L89" s="87">
        <v>2576511.6043415493</v>
      </c>
      <c r="M89" s="87">
        <v>751945.72536115197</v>
      </c>
      <c r="N89" s="87">
        <v>1824565.8789803972</v>
      </c>
      <c r="O89" s="87">
        <v>1679492.506740429</v>
      </c>
      <c r="P89" s="87">
        <v>240734</v>
      </c>
      <c r="Q89" s="87">
        <v>0</v>
      </c>
      <c r="R89" s="87">
        <v>1679492.506740429</v>
      </c>
      <c r="S89" s="87">
        <v>21785</v>
      </c>
      <c r="T89" s="87">
        <v>0</v>
      </c>
      <c r="U89" s="87">
        <v>0</v>
      </c>
      <c r="V89" s="87">
        <v>0</v>
      </c>
      <c r="W89" s="87">
        <v>0</v>
      </c>
      <c r="X89" s="87">
        <v>21785</v>
      </c>
      <c r="Y89" s="87">
        <v>0</v>
      </c>
      <c r="Z89" s="87">
        <v>1701277.506740429</v>
      </c>
      <c r="AA89" s="87">
        <v>679845.38</v>
      </c>
      <c r="AB89" s="87">
        <v>224348.97539999997</v>
      </c>
      <c r="AC89" s="87">
        <v>0</v>
      </c>
      <c r="AD89" s="87">
        <v>1021432.126740429</v>
      </c>
      <c r="AE89" s="87">
        <v>337072.60182434146</v>
      </c>
      <c r="AF89">
        <v>337072.60182434146</v>
      </c>
      <c r="AG89" s="87"/>
    </row>
    <row r="90" spans="1:33">
      <c r="A90" s="53" t="s">
        <v>433</v>
      </c>
      <c r="B90" t="s">
        <v>208</v>
      </c>
      <c r="C90" t="s">
        <v>149</v>
      </c>
      <c r="E90" t="s">
        <v>209</v>
      </c>
      <c r="F90" t="s">
        <v>209</v>
      </c>
      <c r="G90" t="s">
        <v>210</v>
      </c>
      <c r="H90" t="s">
        <v>434</v>
      </c>
      <c r="I90" t="s">
        <v>12</v>
      </c>
      <c r="J90" t="s">
        <v>435</v>
      </c>
      <c r="K90" s="87">
        <v>184403.38383272963</v>
      </c>
      <c r="L90" s="87">
        <v>496484.90528452606</v>
      </c>
      <c r="M90" s="87">
        <v>5013.4265674751996</v>
      </c>
      <c r="N90" s="87">
        <v>491471.47871705086</v>
      </c>
      <c r="O90" s="87">
        <v>575229.65458846721</v>
      </c>
      <c r="P90" s="87">
        <v>0</v>
      </c>
      <c r="Q90" s="87">
        <v>0</v>
      </c>
      <c r="R90" s="87">
        <v>575229.65458846721</v>
      </c>
      <c r="S90" s="87">
        <v>0</v>
      </c>
      <c r="T90" s="87">
        <v>0</v>
      </c>
      <c r="U90" s="87">
        <v>0</v>
      </c>
      <c r="V90" s="87">
        <v>0</v>
      </c>
      <c r="W90" s="87">
        <v>0</v>
      </c>
      <c r="X90" s="87">
        <v>0</v>
      </c>
      <c r="Y90" s="87">
        <v>0</v>
      </c>
      <c r="Z90" s="87">
        <v>575229.65458846721</v>
      </c>
      <c r="AA90" s="87">
        <v>403304.79</v>
      </c>
      <c r="AB90" s="87">
        <v>133090.58069999999</v>
      </c>
      <c r="AC90" s="87">
        <v>0</v>
      </c>
      <c r="AD90" s="87">
        <v>171924.86458846723</v>
      </c>
      <c r="AE90" s="87">
        <v>56735.205314194172</v>
      </c>
      <c r="AF90">
        <v>56735.205314194172</v>
      </c>
      <c r="AG90" s="87"/>
    </row>
    <row r="91" spans="1:33">
      <c r="A91" s="53" t="s">
        <v>436</v>
      </c>
      <c r="B91" t="s">
        <v>214</v>
      </c>
      <c r="C91" t="s">
        <v>149</v>
      </c>
      <c r="E91" t="s">
        <v>209</v>
      </c>
      <c r="F91" t="s">
        <v>209</v>
      </c>
      <c r="G91" t="s">
        <v>210</v>
      </c>
      <c r="H91" t="s">
        <v>437</v>
      </c>
      <c r="I91" t="s">
        <v>8</v>
      </c>
      <c r="J91" t="s">
        <v>438</v>
      </c>
      <c r="K91" s="87">
        <v>-2167928.8650704389</v>
      </c>
      <c r="L91" s="87">
        <v>5452057.5332666812</v>
      </c>
      <c r="M91" s="87">
        <v>3656710.7124049151</v>
      </c>
      <c r="N91" s="87">
        <v>1795346.8208617661</v>
      </c>
      <c r="O91" s="87">
        <v>4780311.5862028804</v>
      </c>
      <c r="P91" s="87">
        <v>1685206.9900000002</v>
      </c>
      <c r="Q91" s="87">
        <v>1685206.9900000002</v>
      </c>
      <c r="R91" s="87">
        <v>3095104.5962028801</v>
      </c>
      <c r="S91" s="87">
        <v>0</v>
      </c>
      <c r="T91" s="87">
        <v>0</v>
      </c>
      <c r="U91" s="87">
        <v>0</v>
      </c>
      <c r="V91" s="87">
        <v>0</v>
      </c>
      <c r="W91" s="87">
        <v>0</v>
      </c>
      <c r="X91" s="87">
        <v>0</v>
      </c>
      <c r="Y91" s="87">
        <v>0</v>
      </c>
      <c r="Z91" s="87">
        <v>3095104.5962028801</v>
      </c>
      <c r="AA91" s="87">
        <v>1672163.62</v>
      </c>
      <c r="AB91" s="87">
        <v>551813.99459999998</v>
      </c>
      <c r="AC91" s="87">
        <v>0</v>
      </c>
      <c r="AD91" s="87">
        <v>1422940.97620288</v>
      </c>
      <c r="AE91" s="87">
        <v>469570.52214695036</v>
      </c>
      <c r="AF91">
        <v>469570.52214695036</v>
      </c>
      <c r="AG91" s="87"/>
    </row>
    <row r="92" spans="1:33">
      <c r="A92" s="53" t="s">
        <v>439</v>
      </c>
      <c r="B92" t="s">
        <v>214</v>
      </c>
      <c r="E92" t="s">
        <v>209</v>
      </c>
      <c r="F92" t="s">
        <v>209</v>
      </c>
      <c r="G92" t="s">
        <v>210</v>
      </c>
      <c r="H92" t="s">
        <v>440</v>
      </c>
      <c r="I92" t="s">
        <v>4</v>
      </c>
      <c r="J92" t="s">
        <v>260</v>
      </c>
      <c r="K92" s="87">
        <v>-2003825.5020093215</v>
      </c>
      <c r="L92" s="87">
        <v>0</v>
      </c>
      <c r="M92" s="87">
        <v>0</v>
      </c>
      <c r="N92" s="87">
        <v>0</v>
      </c>
      <c r="O92" s="87">
        <v>19310639.738321792</v>
      </c>
      <c r="P92" s="87">
        <v>0</v>
      </c>
      <c r="Q92" s="87">
        <v>0</v>
      </c>
      <c r="R92" s="87">
        <v>19310639.738321792</v>
      </c>
      <c r="S92" s="87">
        <v>1090571</v>
      </c>
      <c r="T92" s="87">
        <v>0</v>
      </c>
      <c r="U92" s="87">
        <v>0</v>
      </c>
      <c r="V92" s="87">
        <v>0</v>
      </c>
      <c r="W92" s="87">
        <v>646913.33250148129</v>
      </c>
      <c r="X92" s="87">
        <v>1737484.3325014813</v>
      </c>
      <c r="Y92" s="87">
        <v>0</v>
      </c>
      <c r="Z92" s="87">
        <v>21048124.070823275</v>
      </c>
      <c r="AA92" s="87">
        <v>9918503.0299999993</v>
      </c>
      <c r="AB92" s="87">
        <v>3273105.9998999992</v>
      </c>
      <c r="AC92" s="87">
        <v>0</v>
      </c>
      <c r="AD92" s="87">
        <v>11129621.040823275</v>
      </c>
      <c r="AE92" s="87">
        <v>3672774.9434716804</v>
      </c>
      <c r="AF92">
        <v>3672774.9434716804</v>
      </c>
      <c r="AG92" s="87"/>
    </row>
    <row r="93" spans="1:33">
      <c r="A93" s="53" t="s">
        <v>441</v>
      </c>
      <c r="B93" t="s">
        <v>214</v>
      </c>
      <c r="C93" t="s">
        <v>149</v>
      </c>
      <c r="E93" t="s">
        <v>209</v>
      </c>
      <c r="F93" t="s">
        <v>209</v>
      </c>
      <c r="G93" t="s">
        <v>210</v>
      </c>
      <c r="H93" t="s">
        <v>442</v>
      </c>
      <c r="I93" t="s">
        <v>4</v>
      </c>
      <c r="J93" t="s">
        <v>443</v>
      </c>
      <c r="K93" s="87">
        <v>-6804175.1410864899</v>
      </c>
      <c r="L93" s="87">
        <v>4157268.6818892453</v>
      </c>
      <c r="M93" s="87">
        <v>2537465.6434822911</v>
      </c>
      <c r="N93" s="87">
        <v>1619803.0384069541</v>
      </c>
      <c r="O93" s="87">
        <v>3365898.4209765377</v>
      </c>
      <c r="P93" s="87">
        <v>0</v>
      </c>
      <c r="Q93" s="87">
        <v>0</v>
      </c>
      <c r="R93" s="87">
        <v>3365898.4209765377</v>
      </c>
      <c r="S93" s="87">
        <v>1380112</v>
      </c>
      <c r="T93" s="87">
        <v>0</v>
      </c>
      <c r="U93" s="87">
        <v>437755</v>
      </c>
      <c r="V93" s="87">
        <v>0</v>
      </c>
      <c r="W93" s="87">
        <v>1121214.7924388491</v>
      </c>
      <c r="X93" s="87">
        <v>2939081.7924388489</v>
      </c>
      <c r="Y93" s="87">
        <v>0</v>
      </c>
      <c r="Z93" s="87">
        <v>6304980.2134153862</v>
      </c>
      <c r="AA93" s="87">
        <v>1814735.28</v>
      </c>
      <c r="AB93" s="87">
        <v>598862.6423999999</v>
      </c>
      <c r="AC93" s="87">
        <v>0</v>
      </c>
      <c r="AD93" s="87">
        <v>4490244.9334153859</v>
      </c>
      <c r="AE93" s="87">
        <v>1481780.8280270775</v>
      </c>
      <c r="AF93">
        <v>1481780.8280270775</v>
      </c>
      <c r="AG93" s="87"/>
    </row>
    <row r="94" spans="1:33">
      <c r="A94" s="53" t="s">
        <v>444</v>
      </c>
      <c r="B94" t="s">
        <v>208</v>
      </c>
      <c r="C94" t="s">
        <v>149</v>
      </c>
      <c r="E94" t="s">
        <v>209</v>
      </c>
      <c r="F94" t="s">
        <v>209</v>
      </c>
      <c r="G94" t="s">
        <v>210</v>
      </c>
      <c r="H94" t="s">
        <v>445</v>
      </c>
      <c r="I94" t="s">
        <v>12</v>
      </c>
      <c r="J94" t="s">
        <v>446</v>
      </c>
      <c r="K94" s="87">
        <v>295057.0583204609</v>
      </c>
      <c r="L94" s="87">
        <v>0</v>
      </c>
      <c r="M94" s="87">
        <v>0</v>
      </c>
      <c r="N94" s="87">
        <v>0</v>
      </c>
      <c r="O94" s="87">
        <v>510026.04614366719</v>
      </c>
      <c r="P94" s="87">
        <v>0</v>
      </c>
      <c r="Q94" s="87">
        <v>0</v>
      </c>
      <c r="R94" s="87">
        <v>510026.04614366719</v>
      </c>
      <c r="S94" s="87">
        <v>0</v>
      </c>
      <c r="T94" s="87">
        <v>0</v>
      </c>
      <c r="U94" s="87">
        <v>0</v>
      </c>
      <c r="V94" s="87">
        <v>0</v>
      </c>
      <c r="W94" s="87">
        <v>0</v>
      </c>
      <c r="X94" s="87">
        <v>0</v>
      </c>
      <c r="Y94" s="87">
        <v>0</v>
      </c>
      <c r="Z94" s="87">
        <v>510026.04614366719</v>
      </c>
      <c r="AA94" s="87">
        <v>259119.32</v>
      </c>
      <c r="AB94" s="87">
        <v>85509.375599999985</v>
      </c>
      <c r="AC94" s="87">
        <v>0</v>
      </c>
      <c r="AD94" s="87">
        <v>250906.72614366718</v>
      </c>
      <c r="AE94" s="87">
        <v>82799.219627410159</v>
      </c>
      <c r="AF94">
        <v>82799.219627410159</v>
      </c>
      <c r="AG94" s="87"/>
    </row>
    <row r="95" spans="1:33">
      <c r="A95" s="53" t="s">
        <v>447</v>
      </c>
      <c r="B95" t="s">
        <v>208</v>
      </c>
      <c r="C95" t="s">
        <v>149</v>
      </c>
      <c r="E95" t="s">
        <v>209</v>
      </c>
      <c r="F95" t="s">
        <v>209</v>
      </c>
      <c r="G95" t="s">
        <v>210</v>
      </c>
      <c r="H95" t="s">
        <v>448</v>
      </c>
      <c r="I95" t="s">
        <v>12</v>
      </c>
      <c r="J95" t="s">
        <v>449</v>
      </c>
      <c r="K95" s="87">
        <v>550929.03250810876</v>
      </c>
      <c r="L95" s="87">
        <v>992523.24444619962</v>
      </c>
      <c r="M95" s="87">
        <v>352789.02505226241</v>
      </c>
      <c r="N95" s="87">
        <v>639734.21939393715</v>
      </c>
      <c r="O95" s="87">
        <v>444807.63755025918</v>
      </c>
      <c r="P95" s="87">
        <v>791423</v>
      </c>
      <c r="Q95" s="87">
        <v>0</v>
      </c>
      <c r="R95" s="87">
        <v>444807.63755025918</v>
      </c>
      <c r="S95" s="87">
        <v>0</v>
      </c>
      <c r="T95" s="87">
        <v>0</v>
      </c>
      <c r="U95" s="87">
        <v>0</v>
      </c>
      <c r="V95" s="87">
        <v>0</v>
      </c>
      <c r="W95" s="87">
        <v>0</v>
      </c>
      <c r="X95" s="87">
        <v>0</v>
      </c>
      <c r="Y95" s="87">
        <v>0</v>
      </c>
      <c r="Z95" s="87">
        <v>444807.63755025918</v>
      </c>
      <c r="AA95" s="87">
        <v>397161.91</v>
      </c>
      <c r="AB95" s="87">
        <v>131063.43029999998</v>
      </c>
      <c r="AC95" s="87">
        <v>0</v>
      </c>
      <c r="AD95" s="87">
        <v>47645.727550259209</v>
      </c>
      <c r="AE95" s="87">
        <v>15723.090091585531</v>
      </c>
      <c r="AF95">
        <v>15723.090091585531</v>
      </c>
      <c r="AG95" s="87"/>
    </row>
    <row r="96" spans="1:33">
      <c r="A96" s="53" t="s">
        <v>450</v>
      </c>
      <c r="B96" t="s">
        <v>214</v>
      </c>
      <c r="C96" t="s">
        <v>149</v>
      </c>
      <c r="E96" t="s">
        <v>209</v>
      </c>
      <c r="F96" t="s">
        <v>209</v>
      </c>
      <c r="G96" t="s">
        <v>210</v>
      </c>
      <c r="H96" t="s">
        <v>451</v>
      </c>
      <c r="I96" t="s">
        <v>8</v>
      </c>
      <c r="J96" t="s">
        <v>452</v>
      </c>
      <c r="K96" s="87">
        <v>701398.77255329315</v>
      </c>
      <c r="L96" s="87">
        <v>0</v>
      </c>
      <c r="M96" s="87">
        <v>0</v>
      </c>
      <c r="N96" s="87">
        <v>0</v>
      </c>
      <c r="O96" s="87">
        <v>3990434.4072325379</v>
      </c>
      <c r="P96" s="87">
        <v>0</v>
      </c>
      <c r="Q96" s="87">
        <v>0</v>
      </c>
      <c r="R96" s="87">
        <v>3990434.4072325379</v>
      </c>
      <c r="S96" s="87">
        <v>0</v>
      </c>
      <c r="T96" s="87">
        <v>0</v>
      </c>
      <c r="U96" s="87">
        <v>0</v>
      </c>
      <c r="V96" s="87">
        <v>0</v>
      </c>
      <c r="W96" s="87">
        <v>552358.71462493064</v>
      </c>
      <c r="X96" s="87">
        <v>552358.71462493064</v>
      </c>
      <c r="Y96" s="87">
        <v>0</v>
      </c>
      <c r="Z96" s="87">
        <v>4542793.121857468</v>
      </c>
      <c r="AA96" s="87">
        <v>2703762.29</v>
      </c>
      <c r="AB96" s="87">
        <v>892241.55569999991</v>
      </c>
      <c r="AC96" s="87">
        <v>0</v>
      </c>
      <c r="AD96" s="87">
        <v>1839030.831857468</v>
      </c>
      <c r="AE96" s="87">
        <v>606880.17451296444</v>
      </c>
      <c r="AF96">
        <v>606880.17451296444</v>
      </c>
      <c r="AG96" s="87"/>
    </row>
    <row r="97" spans="1:33">
      <c r="A97" s="53" t="s">
        <v>453</v>
      </c>
      <c r="B97" t="s">
        <v>208</v>
      </c>
      <c r="C97" t="s">
        <v>149</v>
      </c>
      <c r="E97" t="s">
        <v>209</v>
      </c>
      <c r="F97" t="s">
        <v>209</v>
      </c>
      <c r="G97" t="s">
        <v>210</v>
      </c>
      <c r="H97" t="s">
        <v>454</v>
      </c>
      <c r="I97" t="s">
        <v>12</v>
      </c>
      <c r="J97" t="s">
        <v>293</v>
      </c>
      <c r="K97" s="87">
        <v>7018.9573099519894</v>
      </c>
      <c r="L97" s="87">
        <v>0</v>
      </c>
      <c r="M97" s="87">
        <v>0</v>
      </c>
      <c r="N97" s="87">
        <v>0</v>
      </c>
      <c r="O97" s="87">
        <v>392330.10279518721</v>
      </c>
      <c r="P97" s="87">
        <v>0</v>
      </c>
      <c r="Q97" s="87">
        <v>0</v>
      </c>
      <c r="R97" s="87">
        <v>392330.10279518721</v>
      </c>
      <c r="S97" s="87">
        <v>1859.1399999999994</v>
      </c>
      <c r="T97" s="87">
        <v>0</v>
      </c>
      <c r="U97" s="87">
        <v>0</v>
      </c>
      <c r="V97" s="87">
        <v>0</v>
      </c>
      <c r="W97" s="87">
        <v>989281</v>
      </c>
      <c r="X97" s="87">
        <v>991140.14</v>
      </c>
      <c r="Y97" s="87">
        <v>0</v>
      </c>
      <c r="Z97" s="87">
        <v>1383470.2427951873</v>
      </c>
      <c r="AA97" s="87">
        <v>335464.09000000003</v>
      </c>
      <c r="AB97" s="87">
        <v>110703.14969999999</v>
      </c>
      <c r="AC97" s="87">
        <v>0</v>
      </c>
      <c r="AD97" s="87">
        <v>1048006.1527951872</v>
      </c>
      <c r="AE97" s="87">
        <v>345842.03042241174</v>
      </c>
      <c r="AF97">
        <v>345842.03042241174</v>
      </c>
      <c r="AG97" s="87"/>
    </row>
    <row r="98" spans="1:33">
      <c r="A98" s="53" t="s">
        <v>455</v>
      </c>
      <c r="B98" t="s">
        <v>214</v>
      </c>
      <c r="E98" t="s">
        <v>209</v>
      </c>
      <c r="F98" t="s">
        <v>209</v>
      </c>
      <c r="G98" t="s">
        <v>210</v>
      </c>
      <c r="H98" t="s">
        <v>456</v>
      </c>
      <c r="I98" t="s">
        <v>12</v>
      </c>
      <c r="J98" t="s">
        <v>457</v>
      </c>
      <c r="K98" s="87">
        <v>-10346595.00824804</v>
      </c>
      <c r="L98" s="87">
        <v>7497493.4948564246</v>
      </c>
      <c r="M98" s="87">
        <v>5304758.4020562433</v>
      </c>
      <c r="N98" s="87">
        <v>2192735.0928001814</v>
      </c>
      <c r="O98" s="87">
        <v>6604999.0494906874</v>
      </c>
      <c r="P98" s="87">
        <v>0</v>
      </c>
      <c r="Q98" s="87">
        <v>0</v>
      </c>
      <c r="R98" s="87">
        <v>6604999.0494906874</v>
      </c>
      <c r="S98" s="87">
        <v>1589680</v>
      </c>
      <c r="T98" s="87">
        <v>0</v>
      </c>
      <c r="U98" s="87">
        <v>1103737.3600000001</v>
      </c>
      <c r="V98" s="87">
        <v>0</v>
      </c>
      <c r="W98" s="87">
        <v>4191322.3586954493</v>
      </c>
      <c r="X98" s="87">
        <v>6884739.7186954496</v>
      </c>
      <c r="Y98" s="87">
        <v>0</v>
      </c>
      <c r="Z98" s="87">
        <v>13489738.768186137</v>
      </c>
      <c r="AA98" s="87">
        <v>6149043.1699999999</v>
      </c>
      <c r="AB98" s="87">
        <v>2029184.2460999996</v>
      </c>
      <c r="AC98" s="87">
        <v>0</v>
      </c>
      <c r="AD98" s="87">
        <v>7340695.5981861372</v>
      </c>
      <c r="AE98" s="87">
        <v>2422429.547401425</v>
      </c>
      <c r="AF98">
        <v>2422429.547401425</v>
      </c>
      <c r="AG98" s="87"/>
    </row>
    <row r="99" spans="1:33">
      <c r="A99" s="53" t="s">
        <v>458</v>
      </c>
      <c r="B99" t="s">
        <v>214</v>
      </c>
      <c r="E99" t="s">
        <v>209</v>
      </c>
      <c r="F99" t="s">
        <v>209</v>
      </c>
      <c r="G99" t="s">
        <v>210</v>
      </c>
      <c r="H99" t="s">
        <v>459</v>
      </c>
      <c r="I99" t="s">
        <v>6</v>
      </c>
      <c r="J99" t="s">
        <v>6</v>
      </c>
      <c r="K99" s="87">
        <v>-40022191.816785887</v>
      </c>
      <c r="L99" s="87">
        <v>3736695.9793118355</v>
      </c>
      <c r="M99" s="87">
        <v>1574828.8231507966</v>
      </c>
      <c r="N99" s="87">
        <v>2161867.1561610391</v>
      </c>
      <c r="O99" s="87">
        <v>5145026.991090388</v>
      </c>
      <c r="P99" s="87">
        <v>0</v>
      </c>
      <c r="Q99" s="87">
        <v>0</v>
      </c>
      <c r="R99" s="87">
        <v>5145026.991090388</v>
      </c>
      <c r="S99" s="87">
        <v>68411</v>
      </c>
      <c r="T99" s="87">
        <v>0</v>
      </c>
      <c r="U99" s="87">
        <v>0</v>
      </c>
      <c r="V99" s="87">
        <v>0</v>
      </c>
      <c r="W99" s="87">
        <v>547807</v>
      </c>
      <c r="X99" s="87">
        <v>616218</v>
      </c>
      <c r="Y99" s="87">
        <v>0</v>
      </c>
      <c r="Z99" s="87">
        <v>5761244.991090388</v>
      </c>
      <c r="AA99" s="87">
        <v>2353570.64</v>
      </c>
      <c r="AB99" s="87">
        <v>776678.3112</v>
      </c>
      <c r="AC99" s="87">
        <v>0</v>
      </c>
      <c r="AD99" s="87">
        <v>3407674.3510903879</v>
      </c>
      <c r="AE99" s="87">
        <v>1124532.5358598279</v>
      </c>
      <c r="AF99">
        <v>1124532.5358598279</v>
      </c>
      <c r="AG99" s="87"/>
    </row>
    <row r="100" spans="1:33">
      <c r="A100" s="53" t="s">
        <v>460</v>
      </c>
      <c r="B100" t="s">
        <v>214</v>
      </c>
      <c r="E100" t="s">
        <v>209</v>
      </c>
      <c r="F100" t="s">
        <v>209</v>
      </c>
      <c r="G100" t="s">
        <v>210</v>
      </c>
      <c r="H100" t="s">
        <v>461</v>
      </c>
      <c r="I100" t="s">
        <v>7</v>
      </c>
      <c r="J100" t="s">
        <v>7</v>
      </c>
      <c r="K100" s="87">
        <v>-8852319.1743401755</v>
      </c>
      <c r="L100" s="87">
        <v>26290017.489859562</v>
      </c>
      <c r="M100" s="87">
        <v>12046301.997409979</v>
      </c>
      <c r="N100" s="87">
        <v>14243715.492449583</v>
      </c>
      <c r="O100" s="87">
        <v>25920470.876862645</v>
      </c>
      <c r="P100" s="87">
        <v>9841357.0399999991</v>
      </c>
      <c r="Q100" s="87">
        <v>4449960.7218905892</v>
      </c>
      <c r="R100" s="87">
        <v>21470510.154972054</v>
      </c>
      <c r="S100" s="87">
        <v>2098553</v>
      </c>
      <c r="T100" s="87">
        <v>0</v>
      </c>
      <c r="U100" s="87">
        <v>0</v>
      </c>
      <c r="V100" s="87">
        <v>0</v>
      </c>
      <c r="W100" s="87">
        <v>1949839.2209421543</v>
      </c>
      <c r="X100" s="87">
        <v>4048392.2209421545</v>
      </c>
      <c r="Y100" s="87">
        <v>0</v>
      </c>
      <c r="Z100" s="87">
        <v>25518902.375914209</v>
      </c>
      <c r="AA100" s="87">
        <v>12208746.59</v>
      </c>
      <c r="AB100" s="87">
        <v>4028886.3746999996</v>
      </c>
      <c r="AC100" s="87">
        <v>0</v>
      </c>
      <c r="AD100" s="87">
        <v>13310155.785914209</v>
      </c>
      <c r="AE100" s="87">
        <v>4392351.4093516888</v>
      </c>
      <c r="AF100">
        <v>4392351.4093516888</v>
      </c>
      <c r="AG100" s="87"/>
    </row>
    <row r="101" spans="1:33">
      <c r="A101" s="53" t="s">
        <v>462</v>
      </c>
      <c r="B101" t="s">
        <v>214</v>
      </c>
      <c r="E101" t="s">
        <v>209</v>
      </c>
      <c r="F101" t="s">
        <v>209</v>
      </c>
      <c r="G101" t="s">
        <v>210</v>
      </c>
      <c r="H101" t="s">
        <v>463</v>
      </c>
      <c r="I101" t="s">
        <v>15</v>
      </c>
      <c r="J101" t="s">
        <v>15</v>
      </c>
      <c r="K101" s="87">
        <v>-6840256.6828794703</v>
      </c>
      <c r="L101" s="87">
        <v>0</v>
      </c>
      <c r="M101" s="87">
        <v>0</v>
      </c>
      <c r="N101" s="87">
        <v>0</v>
      </c>
      <c r="O101" s="87">
        <v>44036838.649453349</v>
      </c>
      <c r="P101" s="87">
        <v>0</v>
      </c>
      <c r="Q101" s="87">
        <v>0</v>
      </c>
      <c r="R101" s="87">
        <v>44036838.649453349</v>
      </c>
      <c r="S101" s="87">
        <v>2226927</v>
      </c>
      <c r="T101" s="87">
        <v>0</v>
      </c>
      <c r="U101" s="87">
        <v>0</v>
      </c>
      <c r="V101" s="87">
        <v>0</v>
      </c>
      <c r="W101" s="87">
        <v>7595477.7045074953</v>
      </c>
      <c r="X101" s="87">
        <v>9822404.7045074962</v>
      </c>
      <c r="Y101" s="87">
        <v>0</v>
      </c>
      <c r="Z101" s="87">
        <v>53859243.353960842</v>
      </c>
      <c r="AA101" s="87">
        <v>19108654.25</v>
      </c>
      <c r="AB101" s="87">
        <v>6305855.9024999989</v>
      </c>
      <c r="AC101" s="87">
        <v>0</v>
      </c>
      <c r="AD101" s="87">
        <v>34750589.103960842</v>
      </c>
      <c r="AE101" s="87">
        <v>11467694.404307075</v>
      </c>
      <c r="AF101">
        <v>11467694.404307075</v>
      </c>
      <c r="AG101" s="87"/>
    </row>
    <row r="102" spans="1:33">
      <c r="A102" s="53" t="s">
        <v>464</v>
      </c>
      <c r="B102" t="s">
        <v>214</v>
      </c>
      <c r="E102" t="s">
        <v>209</v>
      </c>
      <c r="F102" t="s">
        <v>209</v>
      </c>
      <c r="G102" t="s">
        <v>210</v>
      </c>
      <c r="H102" t="s">
        <v>465</v>
      </c>
      <c r="I102" t="s">
        <v>6</v>
      </c>
      <c r="J102" t="s">
        <v>6</v>
      </c>
      <c r="K102" s="87">
        <v>-13573771.032863051</v>
      </c>
      <c r="L102" s="87">
        <v>49816888.165555611</v>
      </c>
      <c r="M102" s="87">
        <v>47160377.831027053</v>
      </c>
      <c r="N102" s="87">
        <v>2656510.334528558</v>
      </c>
      <c r="O102" s="87">
        <v>47806779.789493077</v>
      </c>
      <c r="P102" s="87">
        <v>11300158.6</v>
      </c>
      <c r="Q102" s="87">
        <v>11300158.6</v>
      </c>
      <c r="R102" s="87">
        <v>36506621.189493075</v>
      </c>
      <c r="S102" s="87">
        <v>1455452</v>
      </c>
      <c r="T102" s="87">
        <v>0</v>
      </c>
      <c r="U102" s="87">
        <v>0</v>
      </c>
      <c r="V102" s="87">
        <v>0</v>
      </c>
      <c r="W102" s="87">
        <v>9173902.2554768715</v>
      </c>
      <c r="X102" s="87">
        <v>10629354.255476872</v>
      </c>
      <c r="Y102" s="87">
        <v>0</v>
      </c>
      <c r="Z102" s="87">
        <v>47135975.444969945</v>
      </c>
      <c r="AA102" s="87">
        <v>16847535.050000001</v>
      </c>
      <c r="AB102" s="87">
        <v>5559686.5664999997</v>
      </c>
      <c r="AC102" s="87">
        <v>0</v>
      </c>
      <c r="AD102" s="87">
        <v>30288440.394969944</v>
      </c>
      <c r="AE102" s="87">
        <v>9995185.33034008</v>
      </c>
      <c r="AF102">
        <v>9995185.33034008</v>
      </c>
      <c r="AG102" s="87"/>
    </row>
    <row r="103" spans="1:33">
      <c r="A103" s="53" t="s">
        <v>466</v>
      </c>
      <c r="B103" t="s">
        <v>214</v>
      </c>
      <c r="C103" t="s">
        <v>149</v>
      </c>
      <c r="E103" t="s">
        <v>209</v>
      </c>
      <c r="F103" t="s">
        <v>209</v>
      </c>
      <c r="G103" t="s">
        <v>210</v>
      </c>
      <c r="H103" t="s">
        <v>467</v>
      </c>
      <c r="I103" t="s">
        <v>10</v>
      </c>
      <c r="J103" t="s">
        <v>468</v>
      </c>
      <c r="K103" s="87">
        <v>398653.35831534083</v>
      </c>
      <c r="L103" s="87">
        <v>0</v>
      </c>
      <c r="M103" s="87">
        <v>0</v>
      </c>
      <c r="N103" s="87">
        <v>0</v>
      </c>
      <c r="O103" s="87">
        <v>1070137.2172551423</v>
      </c>
      <c r="P103" s="87">
        <v>0</v>
      </c>
      <c r="Q103" s="87">
        <v>0</v>
      </c>
      <c r="R103" s="87">
        <v>1070137.2172551423</v>
      </c>
      <c r="S103" s="87">
        <v>0</v>
      </c>
      <c r="T103" s="87">
        <v>0</v>
      </c>
      <c r="U103" s="87">
        <v>0</v>
      </c>
      <c r="V103" s="87">
        <v>0</v>
      </c>
      <c r="W103" s="87">
        <v>0</v>
      </c>
      <c r="X103" s="87">
        <v>0</v>
      </c>
      <c r="Y103" s="87">
        <v>0</v>
      </c>
      <c r="Z103" s="87">
        <v>1070137.2172551423</v>
      </c>
      <c r="AA103" s="87">
        <v>477181.4</v>
      </c>
      <c r="AB103" s="87">
        <v>157469.86199999999</v>
      </c>
      <c r="AC103" s="87">
        <v>0</v>
      </c>
      <c r="AD103" s="87">
        <v>592955.81725514226</v>
      </c>
      <c r="AE103" s="87">
        <v>195675.41969419693</v>
      </c>
      <c r="AF103">
        <v>195675.41969419693</v>
      </c>
      <c r="AG103" s="87"/>
    </row>
    <row r="104" spans="1:33">
      <c r="A104" s="53" t="s">
        <v>469</v>
      </c>
      <c r="B104" t="s">
        <v>208</v>
      </c>
      <c r="C104" t="s">
        <v>149</v>
      </c>
      <c r="E104" t="s">
        <v>209</v>
      </c>
      <c r="F104" t="s">
        <v>209</v>
      </c>
      <c r="G104" t="s">
        <v>210</v>
      </c>
      <c r="H104" t="s">
        <v>470</v>
      </c>
      <c r="I104" t="s">
        <v>12</v>
      </c>
      <c r="J104" t="s">
        <v>471</v>
      </c>
      <c r="K104" s="87">
        <v>133937.80550743043</v>
      </c>
      <c r="L104" s="87">
        <v>584684.65915672318</v>
      </c>
      <c r="M104" s="87">
        <v>319848.98213112319</v>
      </c>
      <c r="N104" s="87">
        <v>264835.67702559999</v>
      </c>
      <c r="O104" s="87">
        <v>866638.3130013952</v>
      </c>
      <c r="P104" s="87">
        <v>0</v>
      </c>
      <c r="Q104" s="87">
        <v>0</v>
      </c>
      <c r="R104" s="87">
        <v>866638.3130013952</v>
      </c>
      <c r="S104" s="87">
        <v>0</v>
      </c>
      <c r="T104" s="87">
        <v>0</v>
      </c>
      <c r="U104" s="87">
        <v>0</v>
      </c>
      <c r="V104" s="87">
        <v>0</v>
      </c>
      <c r="W104" s="87">
        <v>0</v>
      </c>
      <c r="X104" s="87">
        <v>0</v>
      </c>
      <c r="Y104" s="87">
        <v>0</v>
      </c>
      <c r="Z104" s="87">
        <v>866638.3130013952</v>
      </c>
      <c r="AA104" s="87">
        <v>504928.11</v>
      </c>
      <c r="AB104" s="87">
        <v>166626.27629999997</v>
      </c>
      <c r="AC104" s="87">
        <v>0</v>
      </c>
      <c r="AD104" s="87">
        <v>361710.20300139522</v>
      </c>
      <c r="AE104" s="87">
        <v>119364.36699046043</v>
      </c>
      <c r="AF104">
        <v>119364.36699046043</v>
      </c>
      <c r="AG104" s="87"/>
    </row>
    <row r="105" spans="1:33">
      <c r="A105" s="53" t="s">
        <v>472</v>
      </c>
      <c r="B105" t="s">
        <v>286</v>
      </c>
      <c r="E105" t="s">
        <v>287</v>
      </c>
      <c r="F105" t="s">
        <v>209</v>
      </c>
      <c r="G105" t="s">
        <v>210</v>
      </c>
      <c r="H105" t="s">
        <v>473</v>
      </c>
      <c r="I105" t="s">
        <v>3</v>
      </c>
      <c r="J105" t="s">
        <v>3</v>
      </c>
      <c r="K105" s="87">
        <v>3105533.4482228234</v>
      </c>
      <c r="L105" s="87">
        <v>1571579.2183379002</v>
      </c>
      <c r="M105" s="87">
        <v>71133.338020684794</v>
      </c>
      <c r="N105" s="87">
        <v>1500445.8803172153</v>
      </c>
      <c r="O105" s="87">
        <v>1927739.8341200384</v>
      </c>
      <c r="P105" s="87">
        <v>4417545.62</v>
      </c>
      <c r="Q105" s="87">
        <v>0</v>
      </c>
      <c r="R105" s="87">
        <v>1927739.8341200384</v>
      </c>
      <c r="S105" s="87">
        <v>26223</v>
      </c>
      <c r="T105" s="87">
        <v>0</v>
      </c>
      <c r="U105" s="87">
        <v>0</v>
      </c>
      <c r="V105" s="87">
        <v>0</v>
      </c>
      <c r="W105" s="87">
        <v>0</v>
      </c>
      <c r="X105" s="87">
        <v>26223</v>
      </c>
      <c r="Y105" s="87">
        <v>0</v>
      </c>
      <c r="Z105" s="87">
        <v>1953962.8341200384</v>
      </c>
      <c r="AA105" s="87">
        <v>956240.32</v>
      </c>
      <c r="AB105" s="87">
        <v>315559.30559999996</v>
      </c>
      <c r="AC105" s="87">
        <v>0</v>
      </c>
      <c r="AD105" s="87">
        <v>997722.51412003848</v>
      </c>
      <c r="AE105" s="87">
        <v>329248.42965961259</v>
      </c>
      <c r="AF105">
        <v>329248.42965961259</v>
      </c>
      <c r="AG105" s="87"/>
    </row>
    <row r="106" spans="1:33">
      <c r="A106" s="53" t="s">
        <v>474</v>
      </c>
      <c r="B106" t="s">
        <v>286</v>
      </c>
      <c r="E106" t="s">
        <v>287</v>
      </c>
      <c r="F106" t="s">
        <v>209</v>
      </c>
      <c r="G106" t="s">
        <v>210</v>
      </c>
      <c r="H106" t="s">
        <v>475</v>
      </c>
      <c r="I106" t="s">
        <v>12</v>
      </c>
      <c r="J106" t="s">
        <v>476</v>
      </c>
      <c r="K106" s="87">
        <v>-265383.75227981218</v>
      </c>
      <c r="L106" s="87">
        <v>4071552.2783617871</v>
      </c>
      <c r="M106" s="87">
        <v>40229.788126183943</v>
      </c>
      <c r="N106" s="87">
        <v>4031322.4902356029</v>
      </c>
      <c r="O106" s="87">
        <v>48548.722117632518</v>
      </c>
      <c r="P106" s="87">
        <v>2498983.65</v>
      </c>
      <c r="Q106" s="87">
        <v>0</v>
      </c>
      <c r="R106" s="87">
        <v>48548.722117632518</v>
      </c>
      <c r="S106" s="87">
        <v>0</v>
      </c>
      <c r="T106" s="87">
        <v>0</v>
      </c>
      <c r="U106" s="87">
        <v>0</v>
      </c>
      <c r="V106" s="87">
        <v>0</v>
      </c>
      <c r="W106" s="87">
        <v>0</v>
      </c>
      <c r="X106" s="87">
        <v>0</v>
      </c>
      <c r="Y106" s="87">
        <v>0</v>
      </c>
      <c r="Z106" s="87">
        <v>48548.722117632518</v>
      </c>
      <c r="AA106" s="87">
        <v>5458.12</v>
      </c>
      <c r="AB106" s="87">
        <v>1801.1795999999997</v>
      </c>
      <c r="AC106" s="87">
        <v>0</v>
      </c>
      <c r="AD106" s="87">
        <v>43090.602117632516</v>
      </c>
      <c r="AE106" s="87">
        <v>14219.89869881873</v>
      </c>
      <c r="AF106">
        <v>14219.89869881873</v>
      </c>
      <c r="AG106" s="87"/>
    </row>
    <row r="107" spans="1:33">
      <c r="A107" s="53" t="s">
        <v>477</v>
      </c>
      <c r="B107" t="s">
        <v>286</v>
      </c>
      <c r="E107" t="s">
        <v>287</v>
      </c>
      <c r="F107" t="s">
        <v>209</v>
      </c>
      <c r="G107" t="s">
        <v>210</v>
      </c>
      <c r="H107" t="s">
        <v>478</v>
      </c>
      <c r="I107" t="s">
        <v>4</v>
      </c>
      <c r="J107" t="s">
        <v>479</v>
      </c>
      <c r="K107" s="87">
        <v>-96209.098133299165</v>
      </c>
      <c r="L107" s="87">
        <v>3029655.5689255092</v>
      </c>
      <c r="M107" s="87">
        <v>637.30177279999998</v>
      </c>
      <c r="N107" s="87">
        <v>3029018.2671527094</v>
      </c>
      <c r="O107" s="87">
        <v>637.30177279999998</v>
      </c>
      <c r="P107" s="87">
        <v>0</v>
      </c>
      <c r="Q107" s="87">
        <v>0</v>
      </c>
      <c r="R107" s="87">
        <v>637.30177279999998</v>
      </c>
      <c r="S107" s="87">
        <v>0</v>
      </c>
      <c r="T107" s="87">
        <v>0</v>
      </c>
      <c r="U107" s="87">
        <v>0</v>
      </c>
      <c r="V107" s="87">
        <v>0</v>
      </c>
      <c r="W107" s="87">
        <v>0</v>
      </c>
      <c r="X107" s="87">
        <v>0</v>
      </c>
      <c r="Y107" s="87">
        <v>0</v>
      </c>
      <c r="Z107" s="87">
        <v>637.30177279999998</v>
      </c>
      <c r="AA107" s="87">
        <v>2238.06</v>
      </c>
      <c r="AB107" s="87">
        <v>738.55979999999988</v>
      </c>
      <c r="AC107" s="87">
        <v>0</v>
      </c>
      <c r="AD107" s="87">
        <v>-1600.7582272</v>
      </c>
      <c r="AE107" s="87">
        <v>-528.25021497599994</v>
      </c>
      <c r="AF107">
        <v>0</v>
      </c>
      <c r="AG107" s="87"/>
    </row>
    <row r="108" spans="1:33">
      <c r="A108" s="53" t="s">
        <v>110</v>
      </c>
      <c r="B108" t="s">
        <v>281</v>
      </c>
      <c r="E108" t="s">
        <v>282</v>
      </c>
      <c r="F108" t="s">
        <v>209</v>
      </c>
      <c r="G108" t="s">
        <v>283</v>
      </c>
      <c r="H108" t="s">
        <v>480</v>
      </c>
      <c r="I108" t="s">
        <v>5</v>
      </c>
      <c r="J108" t="s">
        <v>5</v>
      </c>
      <c r="K108" s="87">
        <v>3482217.518614016</v>
      </c>
      <c r="L108" s="87">
        <v>11690986.057999359</v>
      </c>
      <c r="M108" s="87">
        <v>0</v>
      </c>
      <c r="N108" s="87">
        <v>11690986.057999359</v>
      </c>
      <c r="O108" s="87">
        <v>0</v>
      </c>
      <c r="P108" s="87">
        <v>13137867</v>
      </c>
      <c r="Q108" s="87">
        <v>0</v>
      </c>
      <c r="R108" s="87">
        <v>0</v>
      </c>
      <c r="S108" s="87">
        <v>0</v>
      </c>
      <c r="T108" s="87">
        <v>0</v>
      </c>
      <c r="U108" s="87">
        <v>6840</v>
      </c>
      <c r="V108" s="87">
        <v>0</v>
      </c>
      <c r="W108" s="87">
        <v>299577</v>
      </c>
      <c r="X108" s="87">
        <v>306417</v>
      </c>
      <c r="Y108" s="87">
        <v>0</v>
      </c>
      <c r="Z108" s="87">
        <v>6840</v>
      </c>
      <c r="AA108" s="87">
        <v>275273.83</v>
      </c>
      <c r="AB108" s="87">
        <v>90840.363899999997</v>
      </c>
      <c r="AC108" s="87">
        <v>0</v>
      </c>
      <c r="AD108" s="87">
        <v>6840</v>
      </c>
      <c r="AE108" s="87">
        <v>2257.1999999999998</v>
      </c>
      <c r="AF108">
        <v>2257.1999999999998</v>
      </c>
      <c r="AG108" s="87"/>
    </row>
    <row r="109" spans="1:33">
      <c r="A109" s="53" t="s">
        <v>481</v>
      </c>
      <c r="B109" t="s">
        <v>208</v>
      </c>
      <c r="C109" t="s">
        <v>149</v>
      </c>
      <c r="E109" t="s">
        <v>209</v>
      </c>
      <c r="F109" t="s">
        <v>209</v>
      </c>
      <c r="G109" t="s">
        <v>210</v>
      </c>
      <c r="H109" t="s">
        <v>482</v>
      </c>
      <c r="I109" t="s">
        <v>12</v>
      </c>
      <c r="J109" t="s">
        <v>483</v>
      </c>
      <c r="K109" s="87">
        <v>965052.66487902717</v>
      </c>
      <c r="L109" s="87">
        <v>1533439.3672679083</v>
      </c>
      <c r="M109" s="87">
        <v>601652.83919139835</v>
      </c>
      <c r="N109" s="87">
        <v>931786.52807650995</v>
      </c>
      <c r="O109" s="87">
        <v>1564026.6455706367</v>
      </c>
      <c r="P109" s="87">
        <v>848646.62999999989</v>
      </c>
      <c r="Q109" s="87">
        <v>0</v>
      </c>
      <c r="R109" s="87">
        <v>1564026.6455706367</v>
      </c>
      <c r="S109" s="87">
        <v>0</v>
      </c>
      <c r="T109" s="87">
        <v>0</v>
      </c>
      <c r="U109" s="87">
        <v>0</v>
      </c>
      <c r="V109" s="87">
        <v>0</v>
      </c>
      <c r="W109" s="87">
        <v>0</v>
      </c>
      <c r="X109" s="87">
        <v>0</v>
      </c>
      <c r="Y109" s="87">
        <v>0</v>
      </c>
      <c r="Z109" s="87">
        <v>1564026.6455706367</v>
      </c>
      <c r="AA109" s="87">
        <v>380406.22</v>
      </c>
      <c r="AB109" s="87">
        <v>125534.05259999998</v>
      </c>
      <c r="AC109" s="87">
        <v>0</v>
      </c>
      <c r="AD109" s="87">
        <v>1183620.4255706368</v>
      </c>
      <c r="AE109" s="87">
        <v>390594.74043831008</v>
      </c>
      <c r="AF109">
        <v>390594.74043831008</v>
      </c>
      <c r="AG109" s="87"/>
    </row>
    <row r="110" spans="1:33">
      <c r="A110" s="53" t="s">
        <v>484</v>
      </c>
      <c r="B110" t="s">
        <v>208</v>
      </c>
      <c r="C110" t="s">
        <v>149</v>
      </c>
      <c r="E110" t="s">
        <v>209</v>
      </c>
      <c r="F110" t="s">
        <v>209</v>
      </c>
      <c r="G110" t="s">
        <v>210</v>
      </c>
      <c r="H110" t="s">
        <v>485</v>
      </c>
      <c r="I110" t="s">
        <v>12</v>
      </c>
      <c r="J110" t="s">
        <v>486</v>
      </c>
      <c r="K110" s="87">
        <v>882564.06294712273</v>
      </c>
      <c r="L110" s="87">
        <v>5648616.9661143068</v>
      </c>
      <c r="M110" s="87">
        <v>352502.74488235521</v>
      </c>
      <c r="N110" s="87">
        <v>5296114.2212319514</v>
      </c>
      <c r="O110" s="87">
        <v>7526856.7274824446</v>
      </c>
      <c r="P110" s="87">
        <v>2939805.74</v>
      </c>
      <c r="Q110" s="87">
        <v>0</v>
      </c>
      <c r="R110" s="87">
        <v>7526856.7274824446</v>
      </c>
      <c r="S110" s="87">
        <v>466884</v>
      </c>
      <c r="T110" s="87">
        <v>0</v>
      </c>
      <c r="U110" s="87">
        <v>0</v>
      </c>
      <c r="V110" s="87">
        <v>0</v>
      </c>
      <c r="W110" s="87">
        <v>0</v>
      </c>
      <c r="X110" s="87">
        <v>466884</v>
      </c>
      <c r="Y110" s="87">
        <v>0</v>
      </c>
      <c r="Z110" s="87">
        <v>7993740.7274824446</v>
      </c>
      <c r="AA110" s="87">
        <v>2099453.2799999998</v>
      </c>
      <c r="AB110" s="87">
        <v>692819.58239999984</v>
      </c>
      <c r="AC110" s="87">
        <v>0</v>
      </c>
      <c r="AD110" s="87">
        <v>5894287.4474824443</v>
      </c>
      <c r="AE110" s="87">
        <v>1945114.8576692068</v>
      </c>
      <c r="AF110">
        <v>1945114.8576692068</v>
      </c>
      <c r="AG110" s="87"/>
    </row>
    <row r="111" spans="1:33">
      <c r="A111" s="53" t="s">
        <v>487</v>
      </c>
      <c r="B111" t="s">
        <v>214</v>
      </c>
      <c r="C111" t="s">
        <v>209</v>
      </c>
      <c r="E111" t="s">
        <v>209</v>
      </c>
      <c r="F111" t="s">
        <v>209</v>
      </c>
      <c r="G111" t="s">
        <v>210</v>
      </c>
      <c r="H111" t="s">
        <v>488</v>
      </c>
      <c r="I111" t="s">
        <v>14</v>
      </c>
      <c r="J111" t="s">
        <v>14</v>
      </c>
      <c r="K111" s="87">
        <v>-7030239.1748027746</v>
      </c>
      <c r="L111" s="87">
        <v>45182.31781487487</v>
      </c>
      <c r="M111" s="87">
        <v>0</v>
      </c>
      <c r="N111" s="87">
        <v>45182.31781487487</v>
      </c>
      <c r="O111" s="87">
        <v>13449277.76755265</v>
      </c>
      <c r="P111" s="87">
        <v>0</v>
      </c>
      <c r="Q111" s="87">
        <v>0</v>
      </c>
      <c r="R111" s="87">
        <v>13449277.76755265</v>
      </c>
      <c r="S111" s="87">
        <v>0</v>
      </c>
      <c r="T111" s="87">
        <v>0</v>
      </c>
      <c r="U111" s="87">
        <v>0</v>
      </c>
      <c r="V111" s="87">
        <v>0</v>
      </c>
      <c r="W111" s="87">
        <v>0</v>
      </c>
      <c r="X111" s="87">
        <v>0</v>
      </c>
      <c r="Y111" s="87">
        <v>0</v>
      </c>
      <c r="Z111" s="87">
        <v>13449277.76755265</v>
      </c>
      <c r="AA111" s="87">
        <v>6912798.25</v>
      </c>
      <c r="AB111" s="87">
        <v>2281223.4224999999</v>
      </c>
      <c r="AC111" s="87">
        <v>0</v>
      </c>
      <c r="AD111" s="87">
        <v>6536479.5175526496</v>
      </c>
      <c r="AE111" s="87">
        <v>2157038.2407923737</v>
      </c>
      <c r="AF111">
        <v>2157038.2407923737</v>
      </c>
      <c r="AG111" s="87"/>
    </row>
    <row r="112" spans="1:33">
      <c r="A112" s="53" t="s">
        <v>489</v>
      </c>
      <c r="B112" t="s">
        <v>208</v>
      </c>
      <c r="C112" t="s">
        <v>149</v>
      </c>
      <c r="E112" t="s">
        <v>209</v>
      </c>
      <c r="F112" t="s">
        <v>209</v>
      </c>
      <c r="G112" t="s">
        <v>210</v>
      </c>
      <c r="H112" t="s">
        <v>490</v>
      </c>
      <c r="I112" t="s">
        <v>11</v>
      </c>
      <c r="J112" t="s">
        <v>491</v>
      </c>
      <c r="K112" s="87">
        <v>34182.918318976001</v>
      </c>
      <c r="L112" s="87">
        <v>0</v>
      </c>
      <c r="M112" s="87">
        <v>0</v>
      </c>
      <c r="N112" s="87">
        <v>0</v>
      </c>
      <c r="O112" s="87">
        <v>263801.43031961599</v>
      </c>
      <c r="P112" s="87">
        <v>0</v>
      </c>
      <c r="Q112" s="87">
        <v>0</v>
      </c>
      <c r="R112" s="87">
        <v>263801.43031961599</v>
      </c>
      <c r="S112" s="87">
        <v>0</v>
      </c>
      <c r="T112" s="87">
        <v>0</v>
      </c>
      <c r="U112" s="87">
        <v>0</v>
      </c>
      <c r="V112" s="87">
        <v>0</v>
      </c>
      <c r="W112" s="87">
        <v>0</v>
      </c>
      <c r="X112" s="87">
        <v>0</v>
      </c>
      <c r="Y112" s="87">
        <v>0</v>
      </c>
      <c r="Z112" s="87">
        <v>263801.43031961599</v>
      </c>
      <c r="AA112" s="87">
        <v>77839.62</v>
      </c>
      <c r="AB112" s="87">
        <v>25687.074599999996</v>
      </c>
      <c r="AC112" s="87">
        <v>0</v>
      </c>
      <c r="AD112" s="87">
        <v>185961.81031961599</v>
      </c>
      <c r="AE112" s="87">
        <v>61367.397405473268</v>
      </c>
      <c r="AF112">
        <v>61367.397405473268</v>
      </c>
      <c r="AG112" s="87"/>
    </row>
    <row r="113" spans="1:33">
      <c r="A113" s="53" t="s">
        <v>492</v>
      </c>
      <c r="B113" t="s">
        <v>208</v>
      </c>
      <c r="C113" t="s">
        <v>149</v>
      </c>
      <c r="E113" t="s">
        <v>209</v>
      </c>
      <c r="F113" t="s">
        <v>209</v>
      </c>
      <c r="G113" t="s">
        <v>210</v>
      </c>
      <c r="H113" t="s">
        <v>493</v>
      </c>
      <c r="I113" t="s">
        <v>12</v>
      </c>
      <c r="J113" t="s">
        <v>494</v>
      </c>
      <c r="K113" s="87">
        <v>353998.55007964146</v>
      </c>
      <c r="L113" s="87">
        <v>460674.7798034391</v>
      </c>
      <c r="M113" s="87">
        <v>388584.0219068416</v>
      </c>
      <c r="N113" s="87">
        <v>72090.757896597497</v>
      </c>
      <c r="O113" s="87">
        <v>720643.83241177595</v>
      </c>
      <c r="P113" s="87">
        <v>189990.08000000002</v>
      </c>
      <c r="Q113" s="87">
        <v>0</v>
      </c>
      <c r="R113" s="87">
        <v>720643.83241177595</v>
      </c>
      <c r="S113" s="87">
        <v>0</v>
      </c>
      <c r="T113" s="87">
        <v>0</v>
      </c>
      <c r="U113" s="87">
        <v>0</v>
      </c>
      <c r="V113" s="87">
        <v>0</v>
      </c>
      <c r="W113" s="87">
        <v>0</v>
      </c>
      <c r="X113" s="87">
        <v>0</v>
      </c>
      <c r="Y113" s="87">
        <v>0</v>
      </c>
      <c r="Z113" s="87">
        <v>720643.83241177595</v>
      </c>
      <c r="AA113" s="87">
        <v>89693.27</v>
      </c>
      <c r="AB113" s="87">
        <v>29598.779099999996</v>
      </c>
      <c r="AC113" s="87">
        <v>0</v>
      </c>
      <c r="AD113" s="87">
        <v>630950.56241177593</v>
      </c>
      <c r="AE113" s="87">
        <v>208213.68559588605</v>
      </c>
      <c r="AF113">
        <v>208213.68559588605</v>
      </c>
      <c r="AG113" s="87"/>
    </row>
    <row r="114" spans="1:33">
      <c r="A114" s="53" t="s">
        <v>495</v>
      </c>
      <c r="B114" t="s">
        <v>208</v>
      </c>
      <c r="C114" t="s">
        <v>149</v>
      </c>
      <c r="E114" t="s">
        <v>209</v>
      </c>
      <c r="F114" t="s">
        <v>209</v>
      </c>
      <c r="G114" t="s">
        <v>210</v>
      </c>
      <c r="H114" t="s">
        <v>496</v>
      </c>
      <c r="I114" t="s">
        <v>12</v>
      </c>
      <c r="J114" t="s">
        <v>497</v>
      </c>
      <c r="K114" s="87">
        <v>664396.14677578246</v>
      </c>
      <c r="L114" s="87">
        <v>420822.3262247832</v>
      </c>
      <c r="M114" s="87">
        <v>359409.5686820352</v>
      </c>
      <c r="N114" s="87">
        <v>61412.757542748004</v>
      </c>
      <c r="O114" s="87">
        <v>589456.21053311997</v>
      </c>
      <c r="P114" s="87">
        <v>274426.25</v>
      </c>
      <c r="Q114" s="87">
        <v>0</v>
      </c>
      <c r="R114" s="87">
        <v>589456.21053311997</v>
      </c>
      <c r="S114" s="87">
        <v>0</v>
      </c>
      <c r="T114" s="87">
        <v>0</v>
      </c>
      <c r="U114" s="87">
        <v>0</v>
      </c>
      <c r="V114" s="87">
        <v>0</v>
      </c>
      <c r="W114" s="87">
        <v>0</v>
      </c>
      <c r="X114" s="87">
        <v>0</v>
      </c>
      <c r="Y114" s="87">
        <v>0</v>
      </c>
      <c r="Z114" s="87">
        <v>589456.21053311997</v>
      </c>
      <c r="AA114" s="87">
        <v>114119.17</v>
      </c>
      <c r="AB114" s="87">
        <v>37659.326099999998</v>
      </c>
      <c r="AC114" s="87">
        <v>0</v>
      </c>
      <c r="AD114" s="87">
        <v>475337.04053311999</v>
      </c>
      <c r="AE114" s="87">
        <v>156861.22337592955</v>
      </c>
      <c r="AF114">
        <v>156861.22337592955</v>
      </c>
      <c r="AG114" s="87"/>
    </row>
    <row r="115" spans="1:33">
      <c r="A115" s="53" t="s">
        <v>498</v>
      </c>
      <c r="B115" t="s">
        <v>208</v>
      </c>
      <c r="C115" t="s">
        <v>209</v>
      </c>
      <c r="E115" t="s">
        <v>209</v>
      </c>
      <c r="F115" t="s">
        <v>209</v>
      </c>
      <c r="G115" t="s">
        <v>210</v>
      </c>
      <c r="H115" t="s">
        <v>499</v>
      </c>
      <c r="I115" t="s">
        <v>13</v>
      </c>
      <c r="J115" t="s">
        <v>13</v>
      </c>
      <c r="K115" s="87">
        <v>26066255.855173275</v>
      </c>
      <c r="L115" s="87">
        <v>91982878.35251455</v>
      </c>
      <c r="M115" s="87">
        <v>54740464.488919735</v>
      </c>
      <c r="N115" s="87">
        <v>37242413.863594815</v>
      </c>
      <c r="O115" s="87">
        <v>85709652.099031463</v>
      </c>
      <c r="P115" s="87">
        <v>35605255.509999998</v>
      </c>
      <c r="Q115" s="87">
        <v>0</v>
      </c>
      <c r="R115" s="87">
        <v>85709652.099031463</v>
      </c>
      <c r="S115" s="87">
        <v>592378</v>
      </c>
      <c r="T115" s="87">
        <v>0</v>
      </c>
      <c r="U115" s="87">
        <v>5424240.7488688184</v>
      </c>
      <c r="V115" s="87">
        <v>0</v>
      </c>
      <c r="W115" s="87">
        <v>13554631.759670392</v>
      </c>
      <c r="X115" s="87">
        <v>19571250.508539211</v>
      </c>
      <c r="Y115" s="87">
        <v>0</v>
      </c>
      <c r="Z115" s="87">
        <v>105280902.60757068</v>
      </c>
      <c r="AA115" s="87">
        <v>47405870.060000002</v>
      </c>
      <c r="AB115" s="87">
        <v>15643937.1198</v>
      </c>
      <c r="AC115" s="87">
        <v>0</v>
      </c>
      <c r="AD115" s="87">
        <v>57875032.547570676</v>
      </c>
      <c r="AE115" s="87">
        <v>19098760.740698315</v>
      </c>
      <c r="AF115">
        <v>19098760.740698315</v>
      </c>
      <c r="AG115" s="87"/>
    </row>
    <row r="116" spans="1:33">
      <c r="A116" s="53" t="s">
        <v>500</v>
      </c>
      <c r="B116" t="s">
        <v>214</v>
      </c>
      <c r="C116" t="s">
        <v>209</v>
      </c>
      <c r="E116" t="s">
        <v>209</v>
      </c>
      <c r="F116" t="s">
        <v>209</v>
      </c>
      <c r="G116" t="s">
        <v>210</v>
      </c>
      <c r="H116" t="s">
        <v>501</v>
      </c>
      <c r="I116" t="s">
        <v>4</v>
      </c>
      <c r="J116" t="s">
        <v>4</v>
      </c>
      <c r="K116" s="87">
        <v>2597072.465707087</v>
      </c>
      <c r="L116" s="87">
        <v>0</v>
      </c>
      <c r="M116" s="87">
        <v>0</v>
      </c>
      <c r="N116" s="87">
        <v>0</v>
      </c>
      <c r="O116" s="87">
        <v>23369052.362785101</v>
      </c>
      <c r="P116" s="87">
        <v>0</v>
      </c>
      <c r="Q116" s="87">
        <v>0</v>
      </c>
      <c r="R116" s="87">
        <v>23369052.362785101</v>
      </c>
      <c r="S116" s="87">
        <v>0</v>
      </c>
      <c r="T116" s="87">
        <v>0</v>
      </c>
      <c r="U116" s="87">
        <v>0</v>
      </c>
      <c r="V116" s="87">
        <v>0</v>
      </c>
      <c r="W116" s="87">
        <v>0</v>
      </c>
      <c r="X116" s="87">
        <v>0</v>
      </c>
      <c r="Y116" s="87">
        <v>0</v>
      </c>
      <c r="Z116" s="87">
        <v>23369052.362785101</v>
      </c>
      <c r="AA116" s="87">
        <v>8644909.3100000005</v>
      </c>
      <c r="AB116" s="87">
        <v>2852820.0722999997</v>
      </c>
      <c r="AC116" s="87">
        <v>0</v>
      </c>
      <c r="AD116" s="87">
        <v>14724143.0527851</v>
      </c>
      <c r="AE116" s="87">
        <v>4858967.2074190825</v>
      </c>
      <c r="AF116">
        <v>4858967.2074190825</v>
      </c>
      <c r="AG116" s="87"/>
    </row>
    <row r="117" spans="1:33">
      <c r="A117" s="53" t="s">
        <v>502</v>
      </c>
      <c r="B117" t="s">
        <v>208</v>
      </c>
      <c r="C117" t="s">
        <v>149</v>
      </c>
      <c r="E117" t="s">
        <v>209</v>
      </c>
      <c r="F117" t="s">
        <v>209</v>
      </c>
      <c r="G117" t="s">
        <v>210</v>
      </c>
      <c r="H117" t="s">
        <v>503</v>
      </c>
      <c r="I117" t="s">
        <v>12</v>
      </c>
      <c r="J117" t="s">
        <v>504</v>
      </c>
      <c r="K117" s="87">
        <v>205306.83984491523</v>
      </c>
      <c r="L117" s="87">
        <v>700081.84322014253</v>
      </c>
      <c r="M117" s="87">
        <v>732831.02268346888</v>
      </c>
      <c r="N117" s="87">
        <v>0</v>
      </c>
      <c r="O117" s="87">
        <v>825468.35513067513</v>
      </c>
      <c r="P117" s="87">
        <v>158491.09000000003</v>
      </c>
      <c r="Q117" s="87">
        <v>0</v>
      </c>
      <c r="R117" s="87">
        <v>825468.35513067513</v>
      </c>
      <c r="S117" s="87">
        <v>32392.1</v>
      </c>
      <c r="T117" s="87">
        <v>0</v>
      </c>
      <c r="U117" s="87">
        <v>0</v>
      </c>
      <c r="V117" s="87">
        <v>0</v>
      </c>
      <c r="W117" s="87">
        <v>0</v>
      </c>
      <c r="X117" s="87">
        <v>32392.1</v>
      </c>
      <c r="Y117" s="87">
        <v>0</v>
      </c>
      <c r="Z117" s="87">
        <v>857860.45513067511</v>
      </c>
      <c r="AA117" s="87">
        <v>326694.92</v>
      </c>
      <c r="AB117" s="87">
        <v>107809.32359999999</v>
      </c>
      <c r="AC117" s="87">
        <v>0</v>
      </c>
      <c r="AD117" s="87">
        <v>531165.53513067518</v>
      </c>
      <c r="AE117" s="87">
        <v>175284.62659312272</v>
      </c>
      <c r="AF117">
        <v>175284.63</v>
      </c>
      <c r="AG117" s="87"/>
    </row>
    <row r="118" spans="1:33">
      <c r="A118" s="53" t="s">
        <v>505</v>
      </c>
      <c r="B118" t="s">
        <v>208</v>
      </c>
      <c r="C118" t="s">
        <v>149</v>
      </c>
      <c r="E118" t="s">
        <v>209</v>
      </c>
      <c r="F118" t="s">
        <v>209</v>
      </c>
      <c r="G118" t="s">
        <v>210</v>
      </c>
      <c r="H118" t="s">
        <v>506</v>
      </c>
      <c r="I118" t="s">
        <v>12</v>
      </c>
      <c r="J118" t="s">
        <v>507</v>
      </c>
      <c r="K118" s="87">
        <v>-2989397.430003711</v>
      </c>
      <c r="L118" s="87">
        <v>5291141.8054470727</v>
      </c>
      <c r="M118" s="87">
        <v>2317302.6251429375</v>
      </c>
      <c r="N118" s="87">
        <v>2973839.1803041352</v>
      </c>
      <c r="O118" s="87">
        <v>5969130.7527212035</v>
      </c>
      <c r="P118" s="87">
        <v>2231841.91</v>
      </c>
      <c r="Q118" s="87">
        <v>2231841.91</v>
      </c>
      <c r="R118" s="87">
        <v>3737288.8427212033</v>
      </c>
      <c r="S118" s="87">
        <v>289526</v>
      </c>
      <c r="T118" s="87">
        <v>0</v>
      </c>
      <c r="U118" s="87">
        <v>0</v>
      </c>
      <c r="V118" s="87">
        <v>0</v>
      </c>
      <c r="W118" s="87">
        <v>0</v>
      </c>
      <c r="X118" s="87">
        <v>289526</v>
      </c>
      <c r="Y118" s="87">
        <v>0</v>
      </c>
      <c r="Z118" s="87">
        <v>4026814.8427212033</v>
      </c>
      <c r="AA118" s="87">
        <v>2456082.35</v>
      </c>
      <c r="AB118" s="87">
        <v>810507.1754999999</v>
      </c>
      <c r="AC118" s="87">
        <v>0</v>
      </c>
      <c r="AD118" s="87">
        <v>1570732.4927212032</v>
      </c>
      <c r="AE118" s="87">
        <v>518341.72259799694</v>
      </c>
      <c r="AF118">
        <v>518341.72259799694</v>
      </c>
      <c r="AG118" s="87"/>
    </row>
    <row r="119" spans="1:33">
      <c r="A119" s="53" t="s">
        <v>508</v>
      </c>
      <c r="B119" t="s">
        <v>208</v>
      </c>
      <c r="C119" t="s">
        <v>149</v>
      </c>
      <c r="E119" t="s">
        <v>209</v>
      </c>
      <c r="F119" t="s">
        <v>209</v>
      </c>
      <c r="G119" t="s">
        <v>210</v>
      </c>
      <c r="H119" t="s">
        <v>509</v>
      </c>
      <c r="I119" t="s">
        <v>10</v>
      </c>
      <c r="J119" t="s">
        <v>510</v>
      </c>
      <c r="K119" s="87">
        <v>1152688.3906338303</v>
      </c>
      <c r="L119" s="87">
        <v>2088464.9822849778</v>
      </c>
      <c r="M119" s="87">
        <v>1206404.7346960898</v>
      </c>
      <c r="N119" s="87">
        <v>882060.24758888804</v>
      </c>
      <c r="O119" s="87">
        <v>1850970.3256276737</v>
      </c>
      <c r="P119" s="87">
        <v>1521509.6400000001</v>
      </c>
      <c r="Q119" s="87">
        <v>0</v>
      </c>
      <c r="R119" s="87">
        <v>1850970.3256276737</v>
      </c>
      <c r="S119" s="87">
        <v>0</v>
      </c>
      <c r="T119" s="87">
        <v>0</v>
      </c>
      <c r="U119" s="87">
        <v>0</v>
      </c>
      <c r="V119" s="87">
        <v>0</v>
      </c>
      <c r="W119" s="87">
        <v>0</v>
      </c>
      <c r="X119" s="87">
        <v>0</v>
      </c>
      <c r="Y119" s="87">
        <v>0</v>
      </c>
      <c r="Z119" s="87">
        <v>1850970.3256276737</v>
      </c>
      <c r="AA119" s="87">
        <v>650421.37</v>
      </c>
      <c r="AB119" s="87">
        <v>214639.05209999997</v>
      </c>
      <c r="AC119" s="87">
        <v>0</v>
      </c>
      <c r="AD119" s="87">
        <v>1200548.9556276738</v>
      </c>
      <c r="AE119" s="87">
        <v>396181.15535713232</v>
      </c>
      <c r="AF119">
        <v>396181.15535713232</v>
      </c>
      <c r="AG119" s="87"/>
    </row>
    <row r="120" spans="1:33">
      <c r="A120" s="53" t="s">
        <v>511</v>
      </c>
      <c r="B120" t="s">
        <v>208</v>
      </c>
      <c r="C120" t="s">
        <v>149</v>
      </c>
      <c r="E120" t="s">
        <v>209</v>
      </c>
      <c r="F120" t="s">
        <v>209</v>
      </c>
      <c r="G120" t="s">
        <v>210</v>
      </c>
      <c r="H120" t="s">
        <v>512</v>
      </c>
      <c r="I120" t="s">
        <v>12</v>
      </c>
      <c r="J120" t="s">
        <v>513</v>
      </c>
      <c r="K120" s="87">
        <v>156388.66182571521</v>
      </c>
      <c r="L120" s="87">
        <v>280509.8583850612</v>
      </c>
      <c r="M120" s="87">
        <v>118033.80809328641</v>
      </c>
      <c r="N120" s="87">
        <v>162476.05029177479</v>
      </c>
      <c r="O120" s="87">
        <v>661696.70500881912</v>
      </c>
      <c r="P120" s="87">
        <v>142103.81</v>
      </c>
      <c r="Q120" s="87">
        <v>0</v>
      </c>
      <c r="R120" s="87">
        <v>661696.70500881912</v>
      </c>
      <c r="S120" s="87">
        <v>7573</v>
      </c>
      <c r="T120" s="87">
        <v>0</v>
      </c>
      <c r="U120" s="87">
        <v>0</v>
      </c>
      <c r="V120" s="87">
        <v>0</v>
      </c>
      <c r="W120" s="87">
        <v>0</v>
      </c>
      <c r="X120" s="87">
        <v>7573</v>
      </c>
      <c r="Y120" s="87">
        <v>0</v>
      </c>
      <c r="Z120" s="87">
        <v>669269.70500881912</v>
      </c>
      <c r="AA120" s="87">
        <v>296952.51</v>
      </c>
      <c r="AB120" s="87">
        <v>97994.328299999994</v>
      </c>
      <c r="AC120" s="87">
        <v>0</v>
      </c>
      <c r="AD120" s="87">
        <v>372317.19500881911</v>
      </c>
      <c r="AE120" s="87">
        <v>122864.67435291028</v>
      </c>
      <c r="AF120">
        <v>122864.67435291028</v>
      </c>
      <c r="AG120" s="87"/>
    </row>
    <row r="121" spans="1:33">
      <c r="A121" s="53" t="s">
        <v>514</v>
      </c>
      <c r="B121" t="s">
        <v>214</v>
      </c>
      <c r="C121" t="s">
        <v>149</v>
      </c>
      <c r="E121" t="s">
        <v>209</v>
      </c>
      <c r="F121" t="s">
        <v>209</v>
      </c>
      <c r="G121" t="s">
        <v>210</v>
      </c>
      <c r="H121" t="s">
        <v>515</v>
      </c>
      <c r="I121" t="s">
        <v>10</v>
      </c>
      <c r="J121" t="s">
        <v>516</v>
      </c>
      <c r="K121" s="87">
        <v>-2322.5349468868935</v>
      </c>
      <c r="L121" s="87">
        <v>4312111.0670278156</v>
      </c>
      <c r="M121" s="87">
        <v>3276569.2354518087</v>
      </c>
      <c r="N121" s="87">
        <v>1035541.831576007</v>
      </c>
      <c r="O121" s="87">
        <v>3909506.4178712885</v>
      </c>
      <c r="P121" s="87">
        <v>0</v>
      </c>
      <c r="Q121" s="87">
        <v>0</v>
      </c>
      <c r="R121" s="87">
        <v>3909506.4178712885</v>
      </c>
      <c r="S121" s="87">
        <v>0</v>
      </c>
      <c r="T121" s="87">
        <v>0</v>
      </c>
      <c r="U121" s="87">
        <v>0</v>
      </c>
      <c r="V121" s="87">
        <v>0</v>
      </c>
      <c r="W121" s="87">
        <v>0</v>
      </c>
      <c r="X121" s="87">
        <v>0</v>
      </c>
      <c r="Y121" s="87">
        <v>0</v>
      </c>
      <c r="Z121" s="87">
        <v>3909506.4178712885</v>
      </c>
      <c r="AA121" s="87">
        <v>1963947.74</v>
      </c>
      <c r="AB121" s="87">
        <v>648102.75419999997</v>
      </c>
      <c r="AC121" s="87">
        <v>0</v>
      </c>
      <c r="AD121" s="87">
        <v>1945558.6778712885</v>
      </c>
      <c r="AE121" s="87">
        <v>642034.363697525</v>
      </c>
      <c r="AF121">
        <v>642034.363697525</v>
      </c>
      <c r="AG121" s="87"/>
    </row>
    <row r="122" spans="1:33">
      <c r="A122" s="53" t="s">
        <v>517</v>
      </c>
      <c r="B122" t="s">
        <v>208</v>
      </c>
      <c r="C122" t="s">
        <v>149</v>
      </c>
      <c r="E122" t="s">
        <v>209</v>
      </c>
      <c r="F122" t="s">
        <v>209</v>
      </c>
      <c r="G122" t="s">
        <v>210</v>
      </c>
      <c r="H122" t="s">
        <v>518</v>
      </c>
      <c r="I122" t="s">
        <v>12</v>
      </c>
      <c r="J122" t="s">
        <v>362</v>
      </c>
      <c r="K122" s="87">
        <v>185089.11000634878</v>
      </c>
      <c r="L122" s="87">
        <v>0</v>
      </c>
      <c r="M122" s="87">
        <v>0</v>
      </c>
      <c r="N122" s="87">
        <v>0</v>
      </c>
      <c r="O122" s="87">
        <v>1152043.2410953983</v>
      </c>
      <c r="P122" s="87">
        <v>0</v>
      </c>
      <c r="Q122" s="87">
        <v>0</v>
      </c>
      <c r="R122" s="87">
        <v>1152043.2410953983</v>
      </c>
      <c r="S122" s="87">
        <v>0</v>
      </c>
      <c r="T122" s="87">
        <v>0</v>
      </c>
      <c r="U122" s="87">
        <v>0</v>
      </c>
      <c r="V122" s="87">
        <v>0</v>
      </c>
      <c r="W122" s="87">
        <v>0</v>
      </c>
      <c r="X122" s="87">
        <v>0</v>
      </c>
      <c r="Y122" s="87">
        <v>0</v>
      </c>
      <c r="Z122" s="87">
        <v>1152043.2410953983</v>
      </c>
      <c r="AA122" s="87">
        <v>190393.44</v>
      </c>
      <c r="AB122" s="87">
        <v>62829.835199999994</v>
      </c>
      <c r="AC122" s="87">
        <v>0</v>
      </c>
      <c r="AD122" s="87">
        <v>961649.80109539838</v>
      </c>
      <c r="AE122" s="87">
        <v>317344.4343614814</v>
      </c>
      <c r="AF122">
        <v>317344.4343614814</v>
      </c>
      <c r="AG122" s="87"/>
    </row>
    <row r="123" spans="1:33">
      <c r="A123" s="53" t="s">
        <v>519</v>
      </c>
      <c r="B123" t="s">
        <v>208</v>
      </c>
      <c r="C123" t="s">
        <v>149</v>
      </c>
      <c r="E123" t="s">
        <v>209</v>
      </c>
      <c r="F123" t="s">
        <v>209</v>
      </c>
      <c r="G123" t="s">
        <v>210</v>
      </c>
      <c r="H123" t="s">
        <v>520</v>
      </c>
      <c r="I123" t="s">
        <v>12</v>
      </c>
      <c r="J123" t="s">
        <v>521</v>
      </c>
      <c r="K123" s="87">
        <v>230436.41772211198</v>
      </c>
      <c r="L123" s="87">
        <v>0</v>
      </c>
      <c r="M123" s="87">
        <v>0</v>
      </c>
      <c r="N123" s="87">
        <v>0</v>
      </c>
      <c r="O123" s="87">
        <v>778455.61460692482</v>
      </c>
      <c r="P123" s="87">
        <v>0</v>
      </c>
      <c r="Q123" s="87">
        <v>0</v>
      </c>
      <c r="R123" s="87">
        <v>778455.61460692482</v>
      </c>
      <c r="S123" s="87">
        <v>0</v>
      </c>
      <c r="T123" s="87">
        <v>0</v>
      </c>
      <c r="U123" s="87">
        <v>0</v>
      </c>
      <c r="V123" s="87">
        <v>0</v>
      </c>
      <c r="W123" s="87">
        <v>0</v>
      </c>
      <c r="X123" s="87">
        <v>0</v>
      </c>
      <c r="Y123" s="87">
        <v>0</v>
      </c>
      <c r="Z123" s="87">
        <v>778455.61460692482</v>
      </c>
      <c r="AA123" s="87">
        <v>244753.57</v>
      </c>
      <c r="AB123" s="87">
        <v>80768.67809999999</v>
      </c>
      <c r="AC123" s="87">
        <v>0</v>
      </c>
      <c r="AD123" s="87">
        <v>533702.04460692476</v>
      </c>
      <c r="AE123" s="87">
        <v>176121.67472028517</v>
      </c>
      <c r="AF123">
        <v>176121.67472028517</v>
      </c>
      <c r="AG123" s="87"/>
    </row>
    <row r="124" spans="1:33">
      <c r="A124" s="53" t="s">
        <v>522</v>
      </c>
      <c r="B124" t="s">
        <v>214</v>
      </c>
      <c r="C124" t="s">
        <v>209</v>
      </c>
      <c r="E124" t="s">
        <v>209</v>
      </c>
      <c r="F124" t="s">
        <v>209</v>
      </c>
      <c r="G124" t="s">
        <v>210</v>
      </c>
      <c r="H124" t="s">
        <v>523</v>
      </c>
      <c r="I124" t="s">
        <v>6</v>
      </c>
      <c r="J124" t="s">
        <v>6</v>
      </c>
      <c r="K124" s="87">
        <v>-22428134.639778994</v>
      </c>
      <c r="L124" s="87">
        <v>41282094.522734188</v>
      </c>
      <c r="M124" s="87">
        <v>33497802.223406121</v>
      </c>
      <c r="N124" s="87">
        <v>7784292.2993280664</v>
      </c>
      <c r="O124" s="87">
        <v>41845101.705029562</v>
      </c>
      <c r="P124" s="87">
        <v>13909533.569999998</v>
      </c>
      <c r="Q124" s="87">
        <v>13909533.569999998</v>
      </c>
      <c r="R124" s="87">
        <v>27935568.135029562</v>
      </c>
      <c r="S124" s="87">
        <v>1330032</v>
      </c>
      <c r="T124" s="87">
        <v>0</v>
      </c>
      <c r="U124" s="87">
        <v>0</v>
      </c>
      <c r="V124" s="87">
        <v>0</v>
      </c>
      <c r="W124" s="87">
        <v>5244623.4115972705</v>
      </c>
      <c r="X124" s="87">
        <v>6574655.4115972705</v>
      </c>
      <c r="Y124" s="87">
        <v>0</v>
      </c>
      <c r="Z124" s="87">
        <v>34510223.546626836</v>
      </c>
      <c r="AA124" s="87">
        <v>15909551.970000001</v>
      </c>
      <c r="AB124" s="87">
        <v>5250152.1500999993</v>
      </c>
      <c r="AC124" s="87">
        <v>0</v>
      </c>
      <c r="AD124" s="87">
        <v>18600671.576626837</v>
      </c>
      <c r="AE124" s="87">
        <v>6138221.6202868549</v>
      </c>
      <c r="AF124">
        <v>6138221.6202868549</v>
      </c>
      <c r="AG124" s="87"/>
    </row>
    <row r="125" spans="1:33">
      <c r="A125" s="53" t="s">
        <v>524</v>
      </c>
      <c r="B125" t="s">
        <v>208</v>
      </c>
      <c r="C125" t="s">
        <v>149</v>
      </c>
      <c r="E125" t="s">
        <v>209</v>
      </c>
      <c r="F125" t="s">
        <v>209</v>
      </c>
      <c r="G125" t="s">
        <v>210</v>
      </c>
      <c r="H125" t="s">
        <v>525</v>
      </c>
      <c r="I125" t="s">
        <v>10</v>
      </c>
      <c r="J125" t="s">
        <v>526</v>
      </c>
      <c r="K125" s="87">
        <v>384073.11568765459</v>
      </c>
      <c r="L125" s="87">
        <v>1588948.7341524728</v>
      </c>
      <c r="M125" s="87">
        <v>771349.41542453761</v>
      </c>
      <c r="N125" s="87">
        <v>817599.3187279352</v>
      </c>
      <c r="O125" s="87">
        <v>1290015.0088159489</v>
      </c>
      <c r="P125" s="87">
        <v>500796.14</v>
      </c>
      <c r="Q125" s="87">
        <v>0</v>
      </c>
      <c r="R125" s="87">
        <v>1290015.0088159489</v>
      </c>
      <c r="S125" s="87">
        <v>0</v>
      </c>
      <c r="T125" s="87">
        <v>0</v>
      </c>
      <c r="U125" s="87">
        <v>0</v>
      </c>
      <c r="V125" s="87">
        <v>0</v>
      </c>
      <c r="W125" s="87">
        <v>0</v>
      </c>
      <c r="X125" s="87">
        <v>0</v>
      </c>
      <c r="Y125" s="87">
        <v>0</v>
      </c>
      <c r="Z125" s="87">
        <v>1290015.0088159489</v>
      </c>
      <c r="AA125" s="87">
        <v>547356.73</v>
      </c>
      <c r="AB125" s="87">
        <v>180627.72089999999</v>
      </c>
      <c r="AC125" s="87">
        <v>0</v>
      </c>
      <c r="AD125" s="87">
        <v>742658.27881594887</v>
      </c>
      <c r="AE125" s="87">
        <v>245077.2320092631</v>
      </c>
      <c r="AF125">
        <v>245077.2320092631</v>
      </c>
      <c r="AG125" s="87"/>
    </row>
    <row r="126" spans="1:33">
      <c r="A126" s="53" t="s">
        <v>527</v>
      </c>
      <c r="B126" t="s">
        <v>214</v>
      </c>
      <c r="C126" t="s">
        <v>149</v>
      </c>
      <c r="E126" t="s">
        <v>209</v>
      </c>
      <c r="F126" t="s">
        <v>209</v>
      </c>
      <c r="G126" t="s">
        <v>210</v>
      </c>
      <c r="H126" t="s">
        <v>528</v>
      </c>
      <c r="I126" t="s">
        <v>11</v>
      </c>
      <c r="J126" t="s">
        <v>529</v>
      </c>
      <c r="K126" s="87">
        <v>-3861542.3568734201</v>
      </c>
      <c r="L126" s="87">
        <v>11648617.456969345</v>
      </c>
      <c r="M126" s="87">
        <v>2082357.6713321984</v>
      </c>
      <c r="N126" s="87">
        <v>9566259.7856371459</v>
      </c>
      <c r="O126" s="87">
        <v>2108372.9406648832</v>
      </c>
      <c r="P126" s="87">
        <v>2845592.07</v>
      </c>
      <c r="Q126" s="87">
        <v>0</v>
      </c>
      <c r="R126" s="87">
        <v>2108372.9406648832</v>
      </c>
      <c r="S126" s="87">
        <v>1042613</v>
      </c>
      <c r="T126" s="87">
        <v>0</v>
      </c>
      <c r="U126" s="87">
        <v>0</v>
      </c>
      <c r="V126" s="87">
        <v>0</v>
      </c>
      <c r="W126" s="87">
        <v>0</v>
      </c>
      <c r="X126" s="87">
        <v>1042613</v>
      </c>
      <c r="Y126" s="87">
        <v>0</v>
      </c>
      <c r="Z126" s="87">
        <v>3150985.9406648832</v>
      </c>
      <c r="AA126" s="87">
        <v>1496770.33</v>
      </c>
      <c r="AB126" s="87">
        <v>493934.20889999997</v>
      </c>
      <c r="AC126" s="87">
        <v>0</v>
      </c>
      <c r="AD126" s="87">
        <v>1654215.6106648832</v>
      </c>
      <c r="AE126" s="87">
        <v>545891.15151941136</v>
      </c>
      <c r="AF126">
        <v>545891.15151941136</v>
      </c>
      <c r="AG126" s="87"/>
    </row>
    <row r="127" spans="1:33">
      <c r="A127" s="53" t="s">
        <v>530</v>
      </c>
      <c r="B127" t="s">
        <v>214</v>
      </c>
      <c r="C127" t="s">
        <v>209</v>
      </c>
      <c r="E127" t="s">
        <v>209</v>
      </c>
      <c r="F127" t="s">
        <v>209</v>
      </c>
      <c r="G127" t="s">
        <v>210</v>
      </c>
      <c r="H127" t="s">
        <v>531</v>
      </c>
      <c r="I127" t="s">
        <v>4</v>
      </c>
      <c r="J127" t="s">
        <v>532</v>
      </c>
      <c r="K127" s="87">
        <v>694122.35586104332</v>
      </c>
      <c r="L127" s="87">
        <v>0</v>
      </c>
      <c r="M127" s="87">
        <v>0</v>
      </c>
      <c r="N127" s="87">
        <v>0</v>
      </c>
      <c r="O127" s="87">
        <v>999879.7004129024</v>
      </c>
      <c r="P127" s="87">
        <v>0</v>
      </c>
      <c r="Q127" s="87">
        <v>0</v>
      </c>
      <c r="R127" s="87">
        <v>999879.7004129024</v>
      </c>
      <c r="S127" s="87">
        <v>173045</v>
      </c>
      <c r="T127" s="87">
        <v>0</v>
      </c>
      <c r="U127" s="87">
        <v>123604</v>
      </c>
      <c r="V127" s="87">
        <v>0</v>
      </c>
      <c r="W127" s="87">
        <v>792348.01751970476</v>
      </c>
      <c r="X127" s="87">
        <v>1088997.0175197048</v>
      </c>
      <c r="Y127" s="87">
        <v>0</v>
      </c>
      <c r="Z127" s="87">
        <v>2088876.717932607</v>
      </c>
      <c r="AA127" s="87">
        <v>901424.05</v>
      </c>
      <c r="AB127" s="87">
        <v>297469.93649999995</v>
      </c>
      <c r="AC127" s="87">
        <v>0</v>
      </c>
      <c r="AD127" s="87">
        <v>1187452.667932607</v>
      </c>
      <c r="AE127" s="87">
        <v>391859.38041776035</v>
      </c>
      <c r="AF127">
        <v>391859.38041776035</v>
      </c>
      <c r="AG127" s="87"/>
    </row>
    <row r="128" spans="1:33">
      <c r="A128" s="53" t="s">
        <v>533</v>
      </c>
      <c r="B128" t="s">
        <v>286</v>
      </c>
      <c r="C128" t="s">
        <v>209</v>
      </c>
      <c r="E128" t="s">
        <v>287</v>
      </c>
      <c r="F128" t="s">
        <v>209</v>
      </c>
      <c r="G128" t="s">
        <v>210</v>
      </c>
      <c r="H128" t="s">
        <v>534</v>
      </c>
      <c r="I128" t="s">
        <v>6</v>
      </c>
      <c r="J128" t="s">
        <v>6</v>
      </c>
      <c r="K128" s="87">
        <v>-1032119.8096962507</v>
      </c>
      <c r="L128" s="87">
        <v>2060135.929383819</v>
      </c>
      <c r="M128" s="87">
        <v>115662.9826649647</v>
      </c>
      <c r="N128" s="87">
        <v>1944472.9467188544</v>
      </c>
      <c r="O128" s="87">
        <v>118739.61547983586</v>
      </c>
      <c r="P128" s="87">
        <v>943202.78</v>
      </c>
      <c r="Q128" s="87">
        <v>30849.642977396492</v>
      </c>
      <c r="R128" s="87">
        <v>87889.97250243937</v>
      </c>
      <c r="S128" s="87">
        <v>0</v>
      </c>
      <c r="T128" s="87">
        <v>0</v>
      </c>
      <c r="U128" s="87">
        <v>0</v>
      </c>
      <c r="V128" s="87">
        <v>0</v>
      </c>
      <c r="W128" s="87">
        <v>0</v>
      </c>
      <c r="X128" s="87">
        <v>0</v>
      </c>
      <c r="Y128" s="87">
        <v>0</v>
      </c>
      <c r="Z128" s="87">
        <v>87889.97250243937</v>
      </c>
      <c r="AA128" s="87">
        <v>0</v>
      </c>
      <c r="AB128" s="87">
        <v>0</v>
      </c>
      <c r="AC128" s="87">
        <v>0</v>
      </c>
      <c r="AD128" s="87">
        <v>87889.97250243937</v>
      </c>
      <c r="AE128" s="87">
        <v>29003.690925804989</v>
      </c>
      <c r="AF128">
        <v>29003.690925804989</v>
      </c>
      <c r="AG128" s="87"/>
    </row>
    <row r="129" spans="1:33">
      <c r="A129" s="53" t="s">
        <v>535</v>
      </c>
      <c r="B129" t="s">
        <v>208</v>
      </c>
      <c r="C129" t="s">
        <v>149</v>
      </c>
      <c r="E129" t="s">
        <v>209</v>
      </c>
      <c r="F129" t="s">
        <v>209</v>
      </c>
      <c r="G129" t="s">
        <v>210</v>
      </c>
      <c r="H129" t="s">
        <v>536</v>
      </c>
      <c r="I129" t="s">
        <v>9</v>
      </c>
      <c r="J129" t="s">
        <v>537</v>
      </c>
      <c r="K129" s="87">
        <v>243438.36407511035</v>
      </c>
      <c r="L129" s="87">
        <v>0</v>
      </c>
      <c r="M129" s="87">
        <v>0</v>
      </c>
      <c r="N129" s="87">
        <v>0</v>
      </c>
      <c r="O129" s="87">
        <v>331950.08926087676</v>
      </c>
      <c r="P129" s="87">
        <v>0</v>
      </c>
      <c r="Q129" s="87">
        <v>0</v>
      </c>
      <c r="R129" s="87">
        <v>331950.08926087676</v>
      </c>
      <c r="S129" s="87">
        <v>0</v>
      </c>
      <c r="T129" s="87">
        <v>0</v>
      </c>
      <c r="U129" s="87">
        <v>0</v>
      </c>
      <c r="V129" s="87">
        <v>0</v>
      </c>
      <c r="W129" s="87">
        <v>0</v>
      </c>
      <c r="X129" s="87">
        <v>0</v>
      </c>
      <c r="Y129" s="87">
        <v>0</v>
      </c>
      <c r="Z129" s="87">
        <v>331950.08926087676</v>
      </c>
      <c r="AA129" s="87">
        <v>118153.3</v>
      </c>
      <c r="AB129" s="87">
        <v>38990.588999999993</v>
      </c>
      <c r="AC129" s="87">
        <v>0</v>
      </c>
      <c r="AD129" s="87">
        <v>213796.78926087677</v>
      </c>
      <c r="AE129" s="87">
        <v>70552.940456089331</v>
      </c>
      <c r="AF129">
        <v>70552.940456089331</v>
      </c>
      <c r="AG129" s="87"/>
    </row>
    <row r="130" spans="1:33">
      <c r="A130" s="53" t="s">
        <v>538</v>
      </c>
      <c r="B130" t="s">
        <v>539</v>
      </c>
      <c r="C130" t="s">
        <v>209</v>
      </c>
      <c r="E130" t="s">
        <v>209</v>
      </c>
      <c r="F130" t="s">
        <v>209</v>
      </c>
      <c r="G130" t="s">
        <v>210</v>
      </c>
      <c r="H130" t="s">
        <v>540</v>
      </c>
      <c r="I130" t="s">
        <v>14</v>
      </c>
      <c r="J130" t="s">
        <v>14</v>
      </c>
      <c r="K130" s="87">
        <v>43917165.363418907</v>
      </c>
      <c r="L130" s="87">
        <v>327075348.36981493</v>
      </c>
      <c r="M130" s="87">
        <v>260261977.6557712</v>
      </c>
      <c r="N130" s="87">
        <v>66813370.714043736</v>
      </c>
      <c r="O130" s="87">
        <v>288897118.90080148</v>
      </c>
      <c r="P130" s="87">
        <v>122419747.52</v>
      </c>
      <c r="Q130" s="87">
        <v>11689211.442537352</v>
      </c>
      <c r="R130" s="87">
        <v>277207907.45826411</v>
      </c>
      <c r="S130" s="87">
        <v>57800101</v>
      </c>
      <c r="T130" s="87">
        <v>2940953</v>
      </c>
      <c r="U130" s="87">
        <v>0</v>
      </c>
      <c r="V130" s="87">
        <v>0</v>
      </c>
      <c r="W130" s="87">
        <v>0</v>
      </c>
      <c r="X130" s="87">
        <v>60741054</v>
      </c>
      <c r="Y130" s="87">
        <v>79519814.782457203</v>
      </c>
      <c r="Z130" s="87">
        <v>417468776.24072134</v>
      </c>
      <c r="AA130" s="87">
        <v>159312733.88999999</v>
      </c>
      <c r="AB130" s="87">
        <v>52573202.183699988</v>
      </c>
      <c r="AC130" s="87">
        <v>0</v>
      </c>
      <c r="AD130" s="87">
        <v>178636227.56826413</v>
      </c>
      <c r="AE130" s="87">
        <v>58949955.097527154</v>
      </c>
      <c r="AF130">
        <v>58949955.097527154</v>
      </c>
      <c r="AG130" s="87"/>
    </row>
    <row r="131" spans="1:33">
      <c r="A131" s="53" t="s">
        <v>541</v>
      </c>
      <c r="B131" t="s">
        <v>214</v>
      </c>
      <c r="C131" t="s">
        <v>209</v>
      </c>
      <c r="E131" t="s">
        <v>209</v>
      </c>
      <c r="F131" t="s">
        <v>209</v>
      </c>
      <c r="G131" t="s">
        <v>210</v>
      </c>
      <c r="H131" t="s">
        <v>542</v>
      </c>
      <c r="I131" t="s">
        <v>4</v>
      </c>
      <c r="J131" t="s">
        <v>4</v>
      </c>
      <c r="K131" s="87">
        <v>818142.24805719091</v>
      </c>
      <c r="L131" s="87">
        <v>29217956.069285478</v>
      </c>
      <c r="M131" s="87">
        <v>0</v>
      </c>
      <c r="N131" s="87">
        <v>29217956.069285478</v>
      </c>
      <c r="O131" s="87">
        <v>21625105.026616961</v>
      </c>
      <c r="P131" s="87">
        <v>0</v>
      </c>
      <c r="Q131" s="87">
        <v>0</v>
      </c>
      <c r="R131" s="87">
        <v>21625105.026616961</v>
      </c>
      <c r="S131" s="87">
        <v>0</v>
      </c>
      <c r="T131" s="87">
        <v>0</v>
      </c>
      <c r="U131" s="87">
        <v>0</v>
      </c>
      <c r="V131" s="87">
        <v>0</v>
      </c>
      <c r="W131" s="87">
        <v>2429234</v>
      </c>
      <c r="X131" s="87">
        <v>2429234</v>
      </c>
      <c r="Y131" s="87">
        <v>0</v>
      </c>
      <c r="Z131" s="87">
        <v>24054339.026616961</v>
      </c>
      <c r="AA131" s="87">
        <v>11302966.119999999</v>
      </c>
      <c r="AB131" s="87">
        <v>3729978.8195999991</v>
      </c>
      <c r="AC131" s="87">
        <v>0</v>
      </c>
      <c r="AD131" s="87">
        <v>12751372.906616962</v>
      </c>
      <c r="AE131" s="87">
        <v>4207953.0591835966</v>
      </c>
      <c r="AF131">
        <v>4207953.0591835966</v>
      </c>
      <c r="AG131" s="87"/>
    </row>
    <row r="132" spans="1:33">
      <c r="A132" s="53" t="s">
        <v>543</v>
      </c>
      <c r="B132" t="s">
        <v>214</v>
      </c>
      <c r="C132" t="s">
        <v>149</v>
      </c>
      <c r="E132" t="s">
        <v>209</v>
      </c>
      <c r="F132" t="s">
        <v>209</v>
      </c>
      <c r="G132" t="s">
        <v>210</v>
      </c>
      <c r="H132" t="s">
        <v>544</v>
      </c>
      <c r="I132" t="s">
        <v>12</v>
      </c>
      <c r="J132" t="s">
        <v>545</v>
      </c>
      <c r="K132" s="87">
        <v>447137.54962813429</v>
      </c>
      <c r="L132" s="87">
        <v>0</v>
      </c>
      <c r="M132" s="87">
        <v>0</v>
      </c>
      <c r="N132" s="87">
        <v>0</v>
      </c>
      <c r="O132" s="87">
        <v>591470.65296650236</v>
      </c>
      <c r="P132" s="87">
        <v>0</v>
      </c>
      <c r="Q132" s="87">
        <v>0</v>
      </c>
      <c r="R132" s="87">
        <v>591470.65296650236</v>
      </c>
      <c r="S132" s="87">
        <v>0</v>
      </c>
      <c r="T132" s="87">
        <v>0</v>
      </c>
      <c r="U132" s="87">
        <v>0</v>
      </c>
      <c r="V132" s="87">
        <v>0</v>
      </c>
      <c r="W132" s="87">
        <v>0</v>
      </c>
      <c r="X132" s="87">
        <v>0</v>
      </c>
      <c r="Y132" s="87">
        <v>0</v>
      </c>
      <c r="Z132" s="87">
        <v>591470.65296650236</v>
      </c>
      <c r="AA132" s="87">
        <v>242997.91</v>
      </c>
      <c r="AB132" s="87">
        <v>80189.310299999997</v>
      </c>
      <c r="AC132" s="87">
        <v>0</v>
      </c>
      <c r="AD132" s="87">
        <v>348472.74296650232</v>
      </c>
      <c r="AE132" s="87">
        <v>114996.00517894576</v>
      </c>
      <c r="AF132">
        <v>114996.00517894576</v>
      </c>
      <c r="AG132" s="87"/>
    </row>
    <row r="133" spans="1:33">
      <c r="A133" s="53" t="s">
        <v>546</v>
      </c>
      <c r="B133" t="s">
        <v>214</v>
      </c>
      <c r="C133" t="s">
        <v>209</v>
      </c>
      <c r="E133" t="s">
        <v>209</v>
      </c>
      <c r="F133" t="s">
        <v>209</v>
      </c>
      <c r="G133" t="s">
        <v>210</v>
      </c>
      <c r="H133" t="s">
        <v>547</v>
      </c>
      <c r="I133" t="s">
        <v>14</v>
      </c>
      <c r="J133" t="s">
        <v>14</v>
      </c>
      <c r="K133" s="87">
        <v>4473584.7401631353</v>
      </c>
      <c r="L133" s="87">
        <v>0</v>
      </c>
      <c r="M133" s="87">
        <v>0</v>
      </c>
      <c r="N133" s="87">
        <v>0</v>
      </c>
      <c r="O133" s="87">
        <v>10853103.29251693</v>
      </c>
      <c r="P133" s="87">
        <v>0</v>
      </c>
      <c r="Q133" s="87">
        <v>0</v>
      </c>
      <c r="R133" s="87">
        <v>10853103.29251693</v>
      </c>
      <c r="S133" s="87">
        <v>0</v>
      </c>
      <c r="T133" s="87">
        <v>0</v>
      </c>
      <c r="U133" s="87">
        <v>0</v>
      </c>
      <c r="V133" s="87">
        <v>0</v>
      </c>
      <c r="W133" s="87">
        <v>0</v>
      </c>
      <c r="X133" s="87">
        <v>0</v>
      </c>
      <c r="Y133" s="87">
        <v>0</v>
      </c>
      <c r="Z133" s="87">
        <v>10853103.29251693</v>
      </c>
      <c r="AA133" s="87">
        <v>4194587.5</v>
      </c>
      <c r="AB133" s="87">
        <v>1384213.8749999998</v>
      </c>
      <c r="AC133" s="87">
        <v>0</v>
      </c>
      <c r="AD133" s="87">
        <v>6658515.79251693</v>
      </c>
      <c r="AE133" s="87">
        <v>2197310.2115305867</v>
      </c>
      <c r="AF133">
        <v>2197310.2115305867</v>
      </c>
      <c r="AG133" s="87"/>
    </row>
    <row r="134" spans="1:33">
      <c r="A134" s="53" t="s">
        <v>548</v>
      </c>
      <c r="B134" t="s">
        <v>214</v>
      </c>
      <c r="C134" t="s">
        <v>149</v>
      </c>
      <c r="E134" t="s">
        <v>209</v>
      </c>
      <c r="F134" t="s">
        <v>209</v>
      </c>
      <c r="G134" t="s">
        <v>210</v>
      </c>
      <c r="H134" t="s">
        <v>549</v>
      </c>
      <c r="I134" t="s">
        <v>9</v>
      </c>
      <c r="J134" t="s">
        <v>550</v>
      </c>
      <c r="K134" s="87">
        <v>-5406126.6213160185</v>
      </c>
      <c r="L134" s="87">
        <v>4534950.9850132242</v>
      </c>
      <c r="M134" s="87">
        <v>2598302.0809589759</v>
      </c>
      <c r="N134" s="87">
        <v>1936648.9040542482</v>
      </c>
      <c r="O134" s="87">
        <v>3967117.5684111109</v>
      </c>
      <c r="P134" s="87">
        <v>0</v>
      </c>
      <c r="Q134" s="87">
        <v>0</v>
      </c>
      <c r="R134" s="87">
        <v>3967117.5684111109</v>
      </c>
      <c r="S134" s="87">
        <v>0</v>
      </c>
      <c r="T134" s="87">
        <v>0</v>
      </c>
      <c r="U134" s="87">
        <v>0</v>
      </c>
      <c r="V134" s="87">
        <v>0</v>
      </c>
      <c r="W134" s="87">
        <v>0</v>
      </c>
      <c r="X134" s="87">
        <v>0</v>
      </c>
      <c r="Y134" s="87">
        <v>0</v>
      </c>
      <c r="Z134" s="87">
        <v>3967117.5684111109</v>
      </c>
      <c r="AA134" s="87">
        <v>0</v>
      </c>
      <c r="AB134" s="87">
        <v>0</v>
      </c>
      <c r="AC134" s="87">
        <v>0</v>
      </c>
      <c r="AD134" s="87">
        <v>3967117.5684111109</v>
      </c>
      <c r="AE134" s="87">
        <v>1309148.7975756663</v>
      </c>
      <c r="AF134">
        <v>1309148.7975756663</v>
      </c>
      <c r="AG134" s="87"/>
    </row>
    <row r="135" spans="1:33">
      <c r="A135" s="53" t="s">
        <v>551</v>
      </c>
      <c r="B135" t="s">
        <v>214</v>
      </c>
      <c r="C135" t="s">
        <v>209</v>
      </c>
      <c r="E135" t="s">
        <v>209</v>
      </c>
      <c r="F135" t="s">
        <v>209</v>
      </c>
      <c r="G135" t="s">
        <v>210</v>
      </c>
      <c r="H135" t="s">
        <v>552</v>
      </c>
      <c r="I135" t="s">
        <v>10</v>
      </c>
      <c r="J135" t="s">
        <v>553</v>
      </c>
      <c r="K135" s="87">
        <v>6323639.3409280544</v>
      </c>
      <c r="L135" s="87">
        <v>29854790.002391197</v>
      </c>
      <c r="M135" s="87">
        <v>14075236.270501664</v>
      </c>
      <c r="N135" s="87">
        <v>15779553.731889533</v>
      </c>
      <c r="O135" s="87">
        <v>23147860.525204957</v>
      </c>
      <c r="P135" s="87">
        <v>5169952.45</v>
      </c>
      <c r="Q135" s="87">
        <v>0</v>
      </c>
      <c r="R135" s="87">
        <v>23147860.525204957</v>
      </c>
      <c r="S135" s="87">
        <v>776576</v>
      </c>
      <c r="T135" s="87">
        <v>0</v>
      </c>
      <c r="U135" s="87">
        <v>0</v>
      </c>
      <c r="V135" s="87">
        <v>0</v>
      </c>
      <c r="W135" s="87">
        <v>0</v>
      </c>
      <c r="X135" s="87">
        <v>776576</v>
      </c>
      <c r="Y135" s="87">
        <v>0</v>
      </c>
      <c r="Z135" s="87">
        <v>23924436.525204957</v>
      </c>
      <c r="AA135" s="87">
        <v>11870804.73</v>
      </c>
      <c r="AB135" s="87">
        <v>3917365.5608999995</v>
      </c>
      <c r="AC135" s="87">
        <v>0</v>
      </c>
      <c r="AD135" s="87">
        <v>12053631.795204956</v>
      </c>
      <c r="AE135" s="87">
        <v>3977698.4924176349</v>
      </c>
      <c r="AF135">
        <v>3977698.4924176349</v>
      </c>
      <c r="AG135" s="87"/>
    </row>
    <row r="136" spans="1:33">
      <c r="A136" s="53" t="s">
        <v>111</v>
      </c>
      <c r="B136" t="s">
        <v>281</v>
      </c>
      <c r="C136" t="s">
        <v>209</v>
      </c>
      <c r="E136" t="s">
        <v>209</v>
      </c>
      <c r="F136" t="s">
        <v>209</v>
      </c>
      <c r="G136" t="s">
        <v>283</v>
      </c>
      <c r="H136" t="s">
        <v>554</v>
      </c>
      <c r="I136" t="s">
        <v>11</v>
      </c>
      <c r="J136" t="s">
        <v>314</v>
      </c>
      <c r="K136" s="87">
        <v>7025713.9833472259</v>
      </c>
      <c r="L136" s="87">
        <v>6568811.8672992643</v>
      </c>
      <c r="M136" s="87">
        <v>3720764.0806880766</v>
      </c>
      <c r="N136" s="87">
        <v>2848047.7866111877</v>
      </c>
      <c r="O136" s="87">
        <v>3960339.8166547711</v>
      </c>
      <c r="P136" s="87">
        <v>12235072.999999998</v>
      </c>
      <c r="Q136" s="87">
        <v>2361311.2300415845</v>
      </c>
      <c r="R136" s="87">
        <v>1599028.5866131866</v>
      </c>
      <c r="S136" s="87">
        <v>2260785.9699999997</v>
      </c>
      <c r="T136" s="87">
        <v>0</v>
      </c>
      <c r="U136" s="87">
        <v>0</v>
      </c>
      <c r="V136" s="87">
        <v>0</v>
      </c>
      <c r="W136" s="87">
        <v>0</v>
      </c>
      <c r="X136" s="87">
        <v>2260785.9699999997</v>
      </c>
      <c r="Y136" s="87">
        <v>0</v>
      </c>
      <c r="Z136" s="87">
        <v>2260785.9699999997</v>
      </c>
      <c r="AA136" s="87">
        <v>1806107.63</v>
      </c>
      <c r="AB136" s="87">
        <v>596015.51789999986</v>
      </c>
      <c r="AC136" s="87">
        <v>0</v>
      </c>
      <c r="AD136" s="87">
        <v>2260785.9699999997</v>
      </c>
      <c r="AE136" s="87">
        <v>746059.37009999983</v>
      </c>
      <c r="AF136">
        <v>746059.37</v>
      </c>
      <c r="AG136" s="87"/>
    </row>
    <row r="137" spans="1:33">
      <c r="A137" s="53" t="s">
        <v>555</v>
      </c>
      <c r="B137" t="s">
        <v>214</v>
      </c>
      <c r="C137" t="s">
        <v>149</v>
      </c>
      <c r="E137" t="s">
        <v>209</v>
      </c>
      <c r="F137" t="s">
        <v>209</v>
      </c>
      <c r="G137" t="s">
        <v>210</v>
      </c>
      <c r="H137" t="s">
        <v>556</v>
      </c>
      <c r="I137" t="s">
        <v>12</v>
      </c>
      <c r="J137" t="s">
        <v>557</v>
      </c>
      <c r="K137" s="87">
        <v>788018.88073825324</v>
      </c>
      <c r="L137" s="87">
        <v>8773103.0456319228</v>
      </c>
      <c r="M137" s="87">
        <v>4130639.1960936706</v>
      </c>
      <c r="N137" s="87">
        <v>4642463.8495382518</v>
      </c>
      <c r="O137" s="87">
        <v>4587313.0134325754</v>
      </c>
      <c r="P137" s="87">
        <v>0</v>
      </c>
      <c r="Q137" s="87">
        <v>0</v>
      </c>
      <c r="R137" s="87">
        <v>4587313.0134325754</v>
      </c>
      <c r="S137" s="87">
        <v>0</v>
      </c>
      <c r="T137" s="87">
        <v>0</v>
      </c>
      <c r="U137" s="87">
        <v>0</v>
      </c>
      <c r="V137" s="87">
        <v>0</v>
      </c>
      <c r="W137" s="87">
        <v>0</v>
      </c>
      <c r="X137" s="87">
        <v>0</v>
      </c>
      <c r="Y137" s="87">
        <v>0</v>
      </c>
      <c r="Z137" s="87">
        <v>4587313.0134325754</v>
      </c>
      <c r="AA137" s="87">
        <v>1582302.01</v>
      </c>
      <c r="AB137" s="87">
        <v>522159.66329999996</v>
      </c>
      <c r="AC137" s="87">
        <v>0</v>
      </c>
      <c r="AD137" s="87">
        <v>3005011.0034325756</v>
      </c>
      <c r="AE137" s="87">
        <v>991653.63113274984</v>
      </c>
      <c r="AF137">
        <v>991653.63113274984</v>
      </c>
      <c r="AG137" s="87"/>
    </row>
    <row r="138" spans="1:33">
      <c r="A138" s="53" t="s">
        <v>558</v>
      </c>
      <c r="B138" t="s">
        <v>539</v>
      </c>
      <c r="C138" t="s">
        <v>209</v>
      </c>
      <c r="E138" t="s">
        <v>209</v>
      </c>
      <c r="F138" t="s">
        <v>209</v>
      </c>
      <c r="G138" t="s">
        <v>210</v>
      </c>
      <c r="H138" t="s">
        <v>559</v>
      </c>
      <c r="I138" t="s">
        <v>4</v>
      </c>
      <c r="J138" t="s">
        <v>4</v>
      </c>
      <c r="K138" s="87">
        <v>73620008.60348396</v>
      </c>
      <c r="L138" s="87">
        <v>573662038.13214755</v>
      </c>
      <c r="M138" s="87">
        <v>411895734.98911452</v>
      </c>
      <c r="N138" s="87">
        <v>161766303.14303303</v>
      </c>
      <c r="O138" s="87">
        <v>530700319.64253604</v>
      </c>
      <c r="P138" s="87">
        <v>219274678.44999999</v>
      </c>
      <c r="Q138" s="87">
        <v>0</v>
      </c>
      <c r="R138" s="87">
        <v>530700319.64253604</v>
      </c>
      <c r="S138" s="87">
        <v>153401988.16999999</v>
      </c>
      <c r="T138" s="87">
        <v>37658710.859999999</v>
      </c>
      <c r="U138" s="87">
        <v>0</v>
      </c>
      <c r="V138" s="87">
        <v>0</v>
      </c>
      <c r="W138" s="87">
        <v>0</v>
      </c>
      <c r="X138" s="87">
        <v>191060699.02999997</v>
      </c>
      <c r="Y138" s="87">
        <v>140673696.30999202</v>
      </c>
      <c r="Z138" s="87">
        <v>862434714.98252797</v>
      </c>
      <c r="AA138" s="87">
        <v>293642729.67000002</v>
      </c>
      <c r="AB138" s="87">
        <v>96902100.791099995</v>
      </c>
      <c r="AC138" s="87">
        <v>0</v>
      </c>
      <c r="AD138" s="87">
        <v>428118289.00253588</v>
      </c>
      <c r="AE138" s="87">
        <v>141279035.37083682</v>
      </c>
      <c r="AF138">
        <v>141279035.37083685</v>
      </c>
      <c r="AG138" s="87"/>
    </row>
    <row r="139" spans="1:33">
      <c r="A139" s="53" t="s">
        <v>560</v>
      </c>
      <c r="B139" t="s">
        <v>208</v>
      </c>
      <c r="C139" t="s">
        <v>149</v>
      </c>
      <c r="E139" t="s">
        <v>209</v>
      </c>
      <c r="F139" t="s">
        <v>209</v>
      </c>
      <c r="G139" t="s">
        <v>210</v>
      </c>
      <c r="H139" t="s">
        <v>561</v>
      </c>
      <c r="I139" t="s">
        <v>12</v>
      </c>
      <c r="J139" t="s">
        <v>562</v>
      </c>
      <c r="K139" s="87">
        <v>1668848.2187937286</v>
      </c>
      <c r="L139" s="87">
        <v>2976010.8671427881</v>
      </c>
      <c r="M139" s="87">
        <v>1788424.0864989182</v>
      </c>
      <c r="N139" s="87">
        <v>1187586.7806438699</v>
      </c>
      <c r="O139" s="87">
        <v>2898127.7682287619</v>
      </c>
      <c r="P139" s="87">
        <v>1618939.9100000001</v>
      </c>
      <c r="Q139" s="87">
        <v>0</v>
      </c>
      <c r="R139" s="87">
        <v>2898127.7682287619</v>
      </c>
      <c r="S139" s="87">
        <v>226985</v>
      </c>
      <c r="T139" s="87">
        <v>0</v>
      </c>
      <c r="U139" s="87">
        <v>0</v>
      </c>
      <c r="V139" s="87">
        <v>0</v>
      </c>
      <c r="W139" s="87">
        <v>0</v>
      </c>
      <c r="X139" s="87">
        <v>226985</v>
      </c>
      <c r="Y139" s="87">
        <v>0</v>
      </c>
      <c r="Z139" s="87">
        <v>3125112.7682287619</v>
      </c>
      <c r="AA139" s="87">
        <v>1187742.1100000001</v>
      </c>
      <c r="AB139" s="87">
        <v>391954.89629999996</v>
      </c>
      <c r="AC139" s="87">
        <v>0</v>
      </c>
      <c r="AD139" s="87">
        <v>1937370.6582287617</v>
      </c>
      <c r="AE139" s="87">
        <v>639332.31721549132</v>
      </c>
      <c r="AF139">
        <v>639332.31721549132</v>
      </c>
      <c r="AG139" s="87"/>
    </row>
    <row r="140" spans="1:33">
      <c r="A140" s="53" t="s">
        <v>563</v>
      </c>
      <c r="B140" t="s">
        <v>214</v>
      </c>
      <c r="C140" t="s">
        <v>209</v>
      </c>
      <c r="E140" t="s">
        <v>209</v>
      </c>
      <c r="F140" t="s">
        <v>209</v>
      </c>
      <c r="G140" t="s">
        <v>210</v>
      </c>
      <c r="H140" t="s">
        <v>564</v>
      </c>
      <c r="I140" t="s">
        <v>6</v>
      </c>
      <c r="J140" t="s">
        <v>6</v>
      </c>
      <c r="K140" s="87">
        <v>39624967.563131705</v>
      </c>
      <c r="L140" s="87">
        <v>0</v>
      </c>
      <c r="M140" s="87">
        <v>0</v>
      </c>
      <c r="N140" s="87">
        <v>0</v>
      </c>
      <c r="O140" s="87">
        <v>39321724.27512043</v>
      </c>
      <c r="P140" s="87">
        <v>0</v>
      </c>
      <c r="Q140" s="87">
        <v>0</v>
      </c>
      <c r="R140" s="87">
        <v>39321724.27512043</v>
      </c>
      <c r="S140" s="87">
        <v>0</v>
      </c>
      <c r="T140" s="87">
        <v>0</v>
      </c>
      <c r="U140" s="87">
        <v>0</v>
      </c>
      <c r="V140" s="87">
        <v>0</v>
      </c>
      <c r="W140" s="87">
        <v>0</v>
      </c>
      <c r="X140" s="87">
        <v>0</v>
      </c>
      <c r="Y140" s="87">
        <v>0</v>
      </c>
      <c r="Z140" s="87">
        <v>39321724.27512043</v>
      </c>
      <c r="AA140" s="87">
        <v>16504473.49</v>
      </c>
      <c r="AB140" s="87">
        <v>5446476.251699999</v>
      </c>
      <c r="AC140" s="87">
        <v>0</v>
      </c>
      <c r="AD140" s="87">
        <v>22817250.785120428</v>
      </c>
      <c r="AE140" s="87">
        <v>7529692.7590897419</v>
      </c>
      <c r="AF140">
        <v>7529692.7590897419</v>
      </c>
      <c r="AG140" s="87"/>
    </row>
    <row r="141" spans="1:33">
      <c r="A141" s="53" t="s">
        <v>565</v>
      </c>
      <c r="B141" t="s">
        <v>214</v>
      </c>
      <c r="C141" t="s">
        <v>149</v>
      </c>
      <c r="E141" t="s">
        <v>209</v>
      </c>
      <c r="F141" t="s">
        <v>209</v>
      </c>
      <c r="G141" t="s">
        <v>210</v>
      </c>
      <c r="H141" t="s">
        <v>566</v>
      </c>
      <c r="I141" t="s">
        <v>11</v>
      </c>
      <c r="J141" t="s">
        <v>567</v>
      </c>
      <c r="K141" s="87">
        <v>669076.51206305262</v>
      </c>
      <c r="L141" s="87">
        <v>0</v>
      </c>
      <c r="M141" s="87">
        <v>0</v>
      </c>
      <c r="N141" s="87">
        <v>0</v>
      </c>
      <c r="O141" s="87">
        <v>2502453.0951960068</v>
      </c>
      <c r="P141" s="87">
        <v>0</v>
      </c>
      <c r="Q141" s="87">
        <v>0</v>
      </c>
      <c r="R141" s="87">
        <v>2502453.0951960068</v>
      </c>
      <c r="S141" s="87">
        <v>151969</v>
      </c>
      <c r="T141" s="87">
        <v>0</v>
      </c>
      <c r="U141" s="87">
        <v>7378</v>
      </c>
      <c r="V141" s="87">
        <v>0</v>
      </c>
      <c r="W141" s="87">
        <v>154525</v>
      </c>
      <c r="X141" s="87">
        <v>313872</v>
      </c>
      <c r="Y141" s="87">
        <v>0</v>
      </c>
      <c r="Z141" s="87">
        <v>2816325.0951960068</v>
      </c>
      <c r="AA141" s="87">
        <v>1670591.01</v>
      </c>
      <c r="AB141" s="87">
        <v>551295.03329999989</v>
      </c>
      <c r="AC141" s="87">
        <v>0</v>
      </c>
      <c r="AD141" s="87">
        <v>1145734.0851960068</v>
      </c>
      <c r="AE141" s="87">
        <v>378092.24811468227</v>
      </c>
      <c r="AF141">
        <v>378092.24811468227</v>
      </c>
      <c r="AG141" s="87"/>
    </row>
    <row r="142" spans="1:33">
      <c r="A142" s="53" t="s">
        <v>568</v>
      </c>
      <c r="B142" t="s">
        <v>208</v>
      </c>
      <c r="C142" t="s">
        <v>209</v>
      </c>
      <c r="E142" t="s">
        <v>209</v>
      </c>
      <c r="F142" t="s">
        <v>209</v>
      </c>
      <c r="G142" t="s">
        <v>210</v>
      </c>
      <c r="H142" t="s">
        <v>569</v>
      </c>
      <c r="I142" t="s">
        <v>6</v>
      </c>
      <c r="J142" t="s">
        <v>384</v>
      </c>
      <c r="K142" s="87">
        <v>2412384.3627749342</v>
      </c>
      <c r="L142" s="87">
        <v>15655346.581744734</v>
      </c>
      <c r="M142" s="87">
        <v>6895061.842432512</v>
      </c>
      <c r="N142" s="87">
        <v>8760284.7393122222</v>
      </c>
      <c r="O142" s="87">
        <v>8895766.7673430536</v>
      </c>
      <c r="P142" s="87">
        <v>5482586.1299999999</v>
      </c>
      <c r="Q142" s="87">
        <v>0</v>
      </c>
      <c r="R142" s="87">
        <v>8895766.7673430536</v>
      </c>
      <c r="S142" s="87">
        <v>1195836</v>
      </c>
      <c r="T142" s="87">
        <v>0</v>
      </c>
      <c r="U142" s="87">
        <v>1465783.5435263999</v>
      </c>
      <c r="V142" s="87">
        <v>0</v>
      </c>
      <c r="W142" s="87">
        <v>10625912.389045004</v>
      </c>
      <c r="X142" s="87">
        <v>13287531.932571404</v>
      </c>
      <c r="Y142" s="87">
        <v>0</v>
      </c>
      <c r="Z142" s="87">
        <v>22183298.699914455</v>
      </c>
      <c r="AA142" s="87">
        <v>9989526.9100000001</v>
      </c>
      <c r="AB142" s="87">
        <v>3296543.8802999998</v>
      </c>
      <c r="AC142" s="87">
        <v>0</v>
      </c>
      <c r="AD142" s="87">
        <v>12193771.789914455</v>
      </c>
      <c r="AE142" s="87">
        <v>4023944.6906717694</v>
      </c>
      <c r="AF142">
        <v>4023944.69</v>
      </c>
      <c r="AG142" s="87"/>
    </row>
    <row r="143" spans="1:33">
      <c r="A143" s="53" t="s">
        <v>570</v>
      </c>
      <c r="B143" t="s">
        <v>214</v>
      </c>
      <c r="C143" t="s">
        <v>209</v>
      </c>
      <c r="E143" t="s">
        <v>209</v>
      </c>
      <c r="F143" t="s">
        <v>209</v>
      </c>
      <c r="G143" t="s">
        <v>210</v>
      </c>
      <c r="H143" t="s">
        <v>571</v>
      </c>
      <c r="I143" t="s">
        <v>14</v>
      </c>
      <c r="J143" t="s">
        <v>14</v>
      </c>
      <c r="K143" s="87">
        <v>-213083.7863235469</v>
      </c>
      <c r="L143" s="87">
        <v>0</v>
      </c>
      <c r="M143" s="87">
        <v>0</v>
      </c>
      <c r="N143" s="87">
        <v>0</v>
      </c>
      <c r="O143" s="87">
        <v>4440232.089600116</v>
      </c>
      <c r="P143" s="87">
        <v>0</v>
      </c>
      <c r="Q143" s="87">
        <v>0</v>
      </c>
      <c r="R143" s="87">
        <v>4440232.089600116</v>
      </c>
      <c r="S143" s="87">
        <v>0</v>
      </c>
      <c r="T143" s="87">
        <v>0</v>
      </c>
      <c r="U143" s="87">
        <v>0</v>
      </c>
      <c r="V143" s="87">
        <v>0</v>
      </c>
      <c r="W143" s="87">
        <v>0</v>
      </c>
      <c r="X143" s="87">
        <v>0</v>
      </c>
      <c r="Y143" s="87">
        <v>0</v>
      </c>
      <c r="Z143" s="87">
        <v>4440232.089600116</v>
      </c>
      <c r="AA143" s="87">
        <v>2802964.56</v>
      </c>
      <c r="AB143" s="87">
        <v>924978.30479999993</v>
      </c>
      <c r="AC143" s="87">
        <v>0</v>
      </c>
      <c r="AD143" s="87">
        <v>1637267.529600116</v>
      </c>
      <c r="AE143" s="87">
        <v>540298.28476803808</v>
      </c>
      <c r="AF143">
        <v>540298.28476803808</v>
      </c>
      <c r="AG143" s="87"/>
    </row>
    <row r="144" spans="1:33">
      <c r="A144" s="53" t="s">
        <v>572</v>
      </c>
      <c r="B144" t="s">
        <v>208</v>
      </c>
      <c r="C144" t="s">
        <v>149</v>
      </c>
      <c r="E144" t="s">
        <v>209</v>
      </c>
      <c r="F144" t="s">
        <v>209</v>
      </c>
      <c r="G144" t="s">
        <v>210</v>
      </c>
      <c r="H144" t="s">
        <v>573</v>
      </c>
      <c r="I144" t="s">
        <v>11</v>
      </c>
      <c r="J144" t="s">
        <v>574</v>
      </c>
      <c r="K144" s="87">
        <v>165695.73264437757</v>
      </c>
      <c r="L144" s="87">
        <v>579285.12761638733</v>
      </c>
      <c r="M144" s="87">
        <v>235259.4332673536</v>
      </c>
      <c r="N144" s="87">
        <v>344025.69434903376</v>
      </c>
      <c r="O144" s="87">
        <v>480092.99313095678</v>
      </c>
      <c r="P144" s="87">
        <v>0</v>
      </c>
      <c r="Q144" s="87">
        <v>0</v>
      </c>
      <c r="R144" s="87">
        <v>480092.99313095678</v>
      </c>
      <c r="S144" s="87">
        <v>0</v>
      </c>
      <c r="T144" s="87">
        <v>0</v>
      </c>
      <c r="U144" s="87">
        <v>0</v>
      </c>
      <c r="V144" s="87">
        <v>0</v>
      </c>
      <c r="W144" s="87">
        <v>0</v>
      </c>
      <c r="X144" s="87">
        <v>0</v>
      </c>
      <c r="Y144" s="87">
        <v>0</v>
      </c>
      <c r="Z144" s="87">
        <v>480092.99313095678</v>
      </c>
      <c r="AA144" s="87">
        <v>198053.83</v>
      </c>
      <c r="AB144" s="87">
        <v>65357.763899999991</v>
      </c>
      <c r="AC144" s="87">
        <v>0</v>
      </c>
      <c r="AD144" s="87">
        <v>282039.16313095682</v>
      </c>
      <c r="AE144" s="87">
        <v>93072.923833215726</v>
      </c>
      <c r="AF144">
        <v>93072.923833215726</v>
      </c>
      <c r="AG144" s="87"/>
    </row>
    <row r="145" spans="1:33">
      <c r="A145" s="53" t="s">
        <v>575</v>
      </c>
      <c r="B145" t="s">
        <v>214</v>
      </c>
      <c r="C145" t="s">
        <v>209</v>
      </c>
      <c r="E145" t="s">
        <v>209</v>
      </c>
      <c r="F145" t="s">
        <v>209</v>
      </c>
      <c r="G145" t="s">
        <v>210</v>
      </c>
      <c r="H145" t="s">
        <v>576</v>
      </c>
      <c r="I145" t="s">
        <v>4</v>
      </c>
      <c r="J145" t="s">
        <v>260</v>
      </c>
      <c r="K145" s="87">
        <v>-3100239.4403326977</v>
      </c>
      <c r="L145" s="87">
        <v>0</v>
      </c>
      <c r="M145" s="87">
        <v>0</v>
      </c>
      <c r="N145" s="87">
        <v>0</v>
      </c>
      <c r="O145" s="87">
        <v>43440084.195262723</v>
      </c>
      <c r="P145" s="87">
        <v>0</v>
      </c>
      <c r="Q145" s="87">
        <v>0</v>
      </c>
      <c r="R145" s="87">
        <v>43440084.195262723</v>
      </c>
      <c r="S145" s="87">
        <v>830481</v>
      </c>
      <c r="T145" s="87">
        <v>0</v>
      </c>
      <c r="U145" s="87">
        <v>69371</v>
      </c>
      <c r="V145" s="87">
        <v>0</v>
      </c>
      <c r="W145" s="87">
        <v>10287427</v>
      </c>
      <c r="X145" s="87">
        <v>11187279</v>
      </c>
      <c r="Y145" s="87">
        <v>0</v>
      </c>
      <c r="Z145" s="87">
        <v>54627363.195262723</v>
      </c>
      <c r="AA145" s="87">
        <v>21254079.489999998</v>
      </c>
      <c r="AB145" s="87">
        <v>7013846.2316999985</v>
      </c>
      <c r="AC145" s="87">
        <v>0</v>
      </c>
      <c r="AD145" s="87">
        <v>33373283.705262724</v>
      </c>
      <c r="AE145" s="87">
        <v>11013183.622736696</v>
      </c>
      <c r="AF145">
        <v>11013183.622736696</v>
      </c>
      <c r="AG145" s="87"/>
    </row>
    <row r="146" spans="1:33">
      <c r="A146" s="53" t="s">
        <v>577</v>
      </c>
      <c r="B146" t="s">
        <v>208</v>
      </c>
      <c r="C146" t="s">
        <v>149</v>
      </c>
      <c r="E146" t="s">
        <v>209</v>
      </c>
      <c r="F146" t="s">
        <v>209</v>
      </c>
      <c r="G146" t="s">
        <v>210</v>
      </c>
      <c r="H146" t="s">
        <v>578</v>
      </c>
      <c r="I146" t="s">
        <v>9</v>
      </c>
      <c r="J146" t="s">
        <v>579</v>
      </c>
      <c r="K146" s="87">
        <v>430074.27395448287</v>
      </c>
      <c r="L146" s="87">
        <v>1158758.0858081125</v>
      </c>
      <c r="M146" s="87">
        <v>632539.67487710726</v>
      </c>
      <c r="N146" s="87">
        <v>526218.41093100526</v>
      </c>
      <c r="O146" s="87">
        <v>823878.56635624962</v>
      </c>
      <c r="P146" s="87">
        <v>679595.98</v>
      </c>
      <c r="Q146" s="87">
        <v>0</v>
      </c>
      <c r="R146" s="87">
        <v>823878.56635624962</v>
      </c>
      <c r="S146" s="87">
        <v>0</v>
      </c>
      <c r="T146" s="87">
        <v>0</v>
      </c>
      <c r="U146" s="87">
        <v>0</v>
      </c>
      <c r="V146" s="87">
        <v>0</v>
      </c>
      <c r="W146" s="87">
        <v>28946</v>
      </c>
      <c r="X146" s="87">
        <v>28946</v>
      </c>
      <c r="Y146" s="87">
        <v>0</v>
      </c>
      <c r="Z146" s="87">
        <v>852824.56635624962</v>
      </c>
      <c r="AA146" s="87">
        <v>328478.18</v>
      </c>
      <c r="AB146" s="87">
        <v>108397.79939999999</v>
      </c>
      <c r="AC146" s="87">
        <v>0</v>
      </c>
      <c r="AD146" s="87">
        <v>524346.38635624968</v>
      </c>
      <c r="AE146" s="87">
        <v>173034.30749756235</v>
      </c>
      <c r="AF146">
        <v>173034.30749756235</v>
      </c>
      <c r="AG146" s="87"/>
    </row>
    <row r="147" spans="1:33">
      <c r="A147" s="53" t="s">
        <v>580</v>
      </c>
      <c r="B147" t="s">
        <v>214</v>
      </c>
      <c r="C147" t="s">
        <v>209</v>
      </c>
      <c r="E147" t="s">
        <v>209</v>
      </c>
      <c r="F147" t="s">
        <v>227</v>
      </c>
      <c r="G147" t="s">
        <v>210</v>
      </c>
      <c r="H147" t="s">
        <v>581</v>
      </c>
      <c r="I147" t="s">
        <v>9</v>
      </c>
      <c r="J147" t="s">
        <v>9</v>
      </c>
      <c r="K147" s="87">
        <v>8364194.0960245272</v>
      </c>
      <c r="L147" s="87">
        <v>8320749.5329323476</v>
      </c>
      <c r="M147" s="87">
        <v>4476168.0793501958</v>
      </c>
      <c r="N147" s="87">
        <v>3844581.4535821518</v>
      </c>
      <c r="O147" s="87">
        <v>7148730.6380568063</v>
      </c>
      <c r="P147" s="87">
        <v>8715243.9499999993</v>
      </c>
      <c r="Q147" s="87">
        <v>0</v>
      </c>
      <c r="R147" s="87">
        <v>7148730.6380568063</v>
      </c>
      <c r="S147" s="87">
        <v>0</v>
      </c>
      <c r="T147" s="87">
        <v>0</v>
      </c>
      <c r="U147" s="87">
        <v>0</v>
      </c>
      <c r="V147" s="87">
        <v>0</v>
      </c>
      <c r="W147" s="87">
        <v>0</v>
      </c>
      <c r="X147" s="87">
        <v>0</v>
      </c>
      <c r="Y147" s="87">
        <v>0</v>
      </c>
      <c r="Z147" s="87">
        <v>7148730.6380568063</v>
      </c>
      <c r="AA147" s="87">
        <v>0</v>
      </c>
      <c r="AB147" s="87">
        <v>0</v>
      </c>
      <c r="AC147" s="87">
        <v>0</v>
      </c>
      <c r="AD147" s="87">
        <v>7148730.6380568063</v>
      </c>
      <c r="AE147" s="87">
        <v>2359081.1105587459</v>
      </c>
      <c r="AF147">
        <v>2359081.1105587459</v>
      </c>
      <c r="AG147" s="87"/>
    </row>
    <row r="148" spans="1:33">
      <c r="A148" s="53" t="s">
        <v>112</v>
      </c>
      <c r="B148" t="s">
        <v>281</v>
      </c>
      <c r="C148" t="s">
        <v>209</v>
      </c>
      <c r="E148" t="s">
        <v>282</v>
      </c>
      <c r="F148" t="s">
        <v>209</v>
      </c>
      <c r="G148" t="s">
        <v>283</v>
      </c>
      <c r="H148" t="s">
        <v>582</v>
      </c>
      <c r="I148" t="s">
        <v>12</v>
      </c>
      <c r="J148" t="s">
        <v>557</v>
      </c>
      <c r="K148" s="87">
        <v>217096.58555647999</v>
      </c>
      <c r="L148" s="87">
        <v>42047549.80004096</v>
      </c>
      <c r="M148" s="87">
        <v>0</v>
      </c>
      <c r="N148" s="87">
        <v>42047549.80004096</v>
      </c>
      <c r="O148" s="87">
        <v>0</v>
      </c>
      <c r="P148" s="87">
        <v>0</v>
      </c>
      <c r="Q148" s="87">
        <v>0</v>
      </c>
      <c r="R148" s="87">
        <v>0</v>
      </c>
      <c r="S148" s="87">
        <v>10950</v>
      </c>
      <c r="T148" s="87">
        <v>0</v>
      </c>
      <c r="U148" s="87">
        <v>0</v>
      </c>
      <c r="V148" s="87">
        <v>0</v>
      </c>
      <c r="W148" s="87">
        <v>165447</v>
      </c>
      <c r="X148" s="87">
        <v>176397</v>
      </c>
      <c r="Y148" s="87">
        <v>0</v>
      </c>
      <c r="Z148" s="87">
        <v>10950</v>
      </c>
      <c r="AA148" s="87">
        <v>25335.46</v>
      </c>
      <c r="AB148" s="87">
        <v>8360.7017999999989</v>
      </c>
      <c r="AC148" s="87">
        <v>0</v>
      </c>
      <c r="AD148" s="87">
        <v>10950</v>
      </c>
      <c r="AE148" s="87">
        <v>3613.4999999999995</v>
      </c>
      <c r="AF148">
        <v>3613.5</v>
      </c>
      <c r="AG148" s="87"/>
    </row>
    <row r="149" spans="1:33">
      <c r="A149" s="53" t="s">
        <v>583</v>
      </c>
      <c r="B149" t="s">
        <v>208</v>
      </c>
      <c r="C149" t="s">
        <v>149</v>
      </c>
      <c r="E149" t="s">
        <v>209</v>
      </c>
      <c r="F149" t="s">
        <v>209</v>
      </c>
      <c r="G149" t="s">
        <v>210</v>
      </c>
      <c r="H149" t="s">
        <v>584</v>
      </c>
      <c r="I149" t="s">
        <v>12</v>
      </c>
      <c r="J149" t="s">
        <v>266</v>
      </c>
      <c r="K149" s="87">
        <v>124196.35822755848</v>
      </c>
      <c r="L149" s="87">
        <v>0</v>
      </c>
      <c r="M149" s="87">
        <v>0</v>
      </c>
      <c r="N149" s="87">
        <v>0</v>
      </c>
      <c r="O149" s="87">
        <v>343317.31969794561</v>
      </c>
      <c r="P149" s="87">
        <v>0</v>
      </c>
      <c r="Q149" s="87">
        <v>0</v>
      </c>
      <c r="R149" s="87">
        <v>343317.31969794561</v>
      </c>
      <c r="S149" s="87">
        <v>0</v>
      </c>
      <c r="T149" s="87">
        <v>0</v>
      </c>
      <c r="U149" s="87">
        <v>0</v>
      </c>
      <c r="V149" s="87">
        <v>0</v>
      </c>
      <c r="W149" s="87">
        <v>0</v>
      </c>
      <c r="X149" s="87">
        <v>0</v>
      </c>
      <c r="Y149" s="87">
        <v>0</v>
      </c>
      <c r="Z149" s="87">
        <v>343317.31969794561</v>
      </c>
      <c r="AA149" s="87">
        <v>136900.78</v>
      </c>
      <c r="AB149" s="87">
        <v>45177.257399999995</v>
      </c>
      <c r="AC149" s="87">
        <v>0</v>
      </c>
      <c r="AD149" s="87">
        <v>206416.53969794561</v>
      </c>
      <c r="AE149" s="87">
        <v>68117.458100322052</v>
      </c>
      <c r="AF149">
        <v>68117.458100322052</v>
      </c>
      <c r="AG149" s="87"/>
    </row>
    <row r="150" spans="1:33">
      <c r="A150" s="53" t="s">
        <v>585</v>
      </c>
      <c r="B150" t="s">
        <v>214</v>
      </c>
      <c r="C150" t="s">
        <v>209</v>
      </c>
      <c r="E150" t="s">
        <v>209</v>
      </c>
      <c r="F150" t="s">
        <v>209</v>
      </c>
      <c r="G150" t="s">
        <v>210</v>
      </c>
      <c r="H150" t="s">
        <v>586</v>
      </c>
      <c r="I150" t="s">
        <v>5</v>
      </c>
      <c r="J150" t="s">
        <v>5</v>
      </c>
      <c r="K150" s="87">
        <v>-20828307.033802167</v>
      </c>
      <c r="L150" s="87">
        <v>8106525.7309775641</v>
      </c>
      <c r="M150" s="87">
        <v>6304434.8395890668</v>
      </c>
      <c r="N150" s="87">
        <v>1802090.8913884973</v>
      </c>
      <c r="O150" s="87">
        <v>7934550.7521941587</v>
      </c>
      <c r="P150" s="87">
        <v>0</v>
      </c>
      <c r="Q150" s="87">
        <v>0</v>
      </c>
      <c r="R150" s="87">
        <v>7934550.7521941587</v>
      </c>
      <c r="S150" s="87">
        <v>434411</v>
      </c>
      <c r="T150" s="87">
        <v>0</v>
      </c>
      <c r="U150" s="87">
        <v>0</v>
      </c>
      <c r="V150" s="87">
        <v>0</v>
      </c>
      <c r="W150" s="87">
        <v>239036.52469943845</v>
      </c>
      <c r="X150" s="87">
        <v>673447.52469943848</v>
      </c>
      <c r="Y150" s="87">
        <v>0</v>
      </c>
      <c r="Z150" s="87">
        <v>8607998.2768935971</v>
      </c>
      <c r="AA150" s="87">
        <v>3681791.32</v>
      </c>
      <c r="AB150" s="87">
        <v>1214991.1355999997</v>
      </c>
      <c r="AC150" s="87">
        <v>0</v>
      </c>
      <c r="AD150" s="87">
        <v>4926206.9568935968</v>
      </c>
      <c r="AE150" s="87">
        <v>1625648.2957748869</v>
      </c>
      <c r="AF150">
        <v>1625648.2957748869</v>
      </c>
      <c r="AG150" s="87"/>
    </row>
    <row r="151" spans="1:33">
      <c r="A151" s="53" t="s">
        <v>587</v>
      </c>
      <c r="B151" t="s">
        <v>214</v>
      </c>
      <c r="C151" t="s">
        <v>149</v>
      </c>
      <c r="E151" t="s">
        <v>209</v>
      </c>
      <c r="F151" t="s">
        <v>209</v>
      </c>
      <c r="G151" t="s">
        <v>210</v>
      </c>
      <c r="H151" t="s">
        <v>588</v>
      </c>
      <c r="I151" t="s">
        <v>11</v>
      </c>
      <c r="J151" t="s">
        <v>589</v>
      </c>
      <c r="K151" s="87">
        <v>-3345888.7569993981</v>
      </c>
      <c r="L151" s="87">
        <v>3752641.6958103799</v>
      </c>
      <c r="M151" s="87">
        <v>2517671.2189617404</v>
      </c>
      <c r="N151" s="87">
        <v>1234970.4768486395</v>
      </c>
      <c r="O151" s="87">
        <v>3491265.5710311681</v>
      </c>
      <c r="P151" s="87">
        <v>406752.94</v>
      </c>
      <c r="Q151" s="87">
        <v>406752.94</v>
      </c>
      <c r="R151" s="87">
        <v>3084512.6310311682</v>
      </c>
      <c r="S151" s="87">
        <v>324623</v>
      </c>
      <c r="T151" s="87">
        <v>0</v>
      </c>
      <c r="U151" s="87">
        <v>0</v>
      </c>
      <c r="V151" s="87">
        <v>0</v>
      </c>
      <c r="W151" s="87">
        <v>0</v>
      </c>
      <c r="X151" s="87">
        <v>324623</v>
      </c>
      <c r="Y151" s="87">
        <v>0</v>
      </c>
      <c r="Z151" s="87">
        <v>3409135.6310311682</v>
      </c>
      <c r="AA151" s="87">
        <v>0</v>
      </c>
      <c r="AB151" s="87">
        <v>0</v>
      </c>
      <c r="AC151" s="87">
        <v>0</v>
      </c>
      <c r="AD151" s="87">
        <v>3409135.6310311682</v>
      </c>
      <c r="AE151" s="87">
        <v>1125014.7582402853</v>
      </c>
      <c r="AF151">
        <v>1125014.7582402853</v>
      </c>
      <c r="AG151" s="87"/>
    </row>
    <row r="152" spans="1:33">
      <c r="A152" s="53" t="s">
        <v>590</v>
      </c>
      <c r="B152" t="s">
        <v>208</v>
      </c>
      <c r="C152" t="s">
        <v>149</v>
      </c>
      <c r="E152" t="s">
        <v>209</v>
      </c>
      <c r="F152" t="s">
        <v>209</v>
      </c>
      <c r="G152" t="s">
        <v>210</v>
      </c>
      <c r="H152" t="s">
        <v>591</v>
      </c>
      <c r="I152" t="s">
        <v>14</v>
      </c>
      <c r="J152" t="s">
        <v>592</v>
      </c>
      <c r="K152" s="87">
        <v>774140.01767979446</v>
      </c>
      <c r="L152" s="87">
        <v>12328084.976102779</v>
      </c>
      <c r="M152" s="87">
        <v>3649989.3170863362</v>
      </c>
      <c r="N152" s="87">
        <v>8678095.6590164416</v>
      </c>
      <c r="O152" s="87">
        <v>13836740.339703502</v>
      </c>
      <c r="P152" s="87">
        <v>0</v>
      </c>
      <c r="Q152" s="87">
        <v>0</v>
      </c>
      <c r="R152" s="87">
        <v>13836740.339703502</v>
      </c>
      <c r="S152" s="87">
        <v>566766</v>
      </c>
      <c r="T152" s="87">
        <v>0</v>
      </c>
      <c r="U152" s="87">
        <v>0</v>
      </c>
      <c r="V152" s="87">
        <v>0</v>
      </c>
      <c r="W152" s="87">
        <v>0</v>
      </c>
      <c r="X152" s="87">
        <v>566766</v>
      </c>
      <c r="Y152" s="87">
        <v>0</v>
      </c>
      <c r="Z152" s="87">
        <v>14403506.339703502</v>
      </c>
      <c r="AA152" s="87">
        <v>3989584.48</v>
      </c>
      <c r="AB152" s="87">
        <v>1316562.8783999998</v>
      </c>
      <c r="AC152" s="87">
        <v>0</v>
      </c>
      <c r="AD152" s="87">
        <v>10413921.859703502</v>
      </c>
      <c r="AE152" s="87">
        <v>3436594.2137021553</v>
      </c>
      <c r="AF152">
        <v>3436594.2137021553</v>
      </c>
      <c r="AG152" s="87"/>
    </row>
    <row r="153" spans="1:33">
      <c r="A153" s="53" t="s">
        <v>593</v>
      </c>
      <c r="B153" t="s">
        <v>214</v>
      </c>
      <c r="C153" t="s">
        <v>209</v>
      </c>
      <c r="E153" t="s">
        <v>209</v>
      </c>
      <c r="F153" t="s">
        <v>209</v>
      </c>
      <c r="G153" t="s">
        <v>210</v>
      </c>
      <c r="H153" t="s">
        <v>594</v>
      </c>
      <c r="I153" t="s">
        <v>14</v>
      </c>
      <c r="J153" t="s">
        <v>14</v>
      </c>
      <c r="K153" s="87">
        <v>505871.92068365135</v>
      </c>
      <c r="L153" s="87">
        <v>0</v>
      </c>
      <c r="M153" s="87">
        <v>0</v>
      </c>
      <c r="N153" s="87">
        <v>0</v>
      </c>
      <c r="O153" s="87">
        <v>25157029.92668305</v>
      </c>
      <c r="P153" s="87">
        <v>0</v>
      </c>
      <c r="Q153" s="87">
        <v>0</v>
      </c>
      <c r="R153" s="87">
        <v>25157029.92668305</v>
      </c>
      <c r="S153" s="87">
        <v>0</v>
      </c>
      <c r="T153" s="87">
        <v>0</v>
      </c>
      <c r="U153" s="87">
        <v>0</v>
      </c>
      <c r="V153" s="87">
        <v>0</v>
      </c>
      <c r="W153" s="87">
        <v>0</v>
      </c>
      <c r="X153" s="87">
        <v>0</v>
      </c>
      <c r="Y153" s="87">
        <v>0</v>
      </c>
      <c r="Z153" s="87">
        <v>25157029.92668305</v>
      </c>
      <c r="AA153" s="87">
        <v>13774933.720000001</v>
      </c>
      <c r="AB153" s="87">
        <v>4545728.1275999993</v>
      </c>
      <c r="AC153" s="87">
        <v>0</v>
      </c>
      <c r="AD153" s="87">
        <v>11382096.206683049</v>
      </c>
      <c r="AE153" s="87">
        <v>3756091.7482054057</v>
      </c>
      <c r="AF153">
        <v>3756091.7482054057</v>
      </c>
      <c r="AG153" s="87"/>
    </row>
    <row r="154" spans="1:33">
      <c r="A154" s="53" t="s">
        <v>595</v>
      </c>
      <c r="B154" t="s">
        <v>208</v>
      </c>
      <c r="C154" t="s">
        <v>149</v>
      </c>
      <c r="E154" t="s">
        <v>209</v>
      </c>
      <c r="F154" t="s">
        <v>209</v>
      </c>
      <c r="G154" t="s">
        <v>210</v>
      </c>
      <c r="H154" t="s">
        <v>596</v>
      </c>
      <c r="I154" t="s">
        <v>12</v>
      </c>
      <c r="J154" t="s">
        <v>471</v>
      </c>
      <c r="K154" s="87">
        <v>599522.55531015689</v>
      </c>
      <c r="L154" s="87">
        <v>2255828.3806313137</v>
      </c>
      <c r="M154" s="87">
        <v>1631626.2031976704</v>
      </c>
      <c r="N154" s="87">
        <v>624202.17743364326</v>
      </c>
      <c r="O154" s="87">
        <v>1990397.9539451394</v>
      </c>
      <c r="P154" s="87">
        <v>925221.39</v>
      </c>
      <c r="Q154" s="87">
        <v>0</v>
      </c>
      <c r="R154" s="87">
        <v>1990397.9539451394</v>
      </c>
      <c r="S154" s="87">
        <v>0</v>
      </c>
      <c r="T154" s="87">
        <v>0</v>
      </c>
      <c r="U154" s="87">
        <v>0</v>
      </c>
      <c r="V154" s="87">
        <v>0</v>
      </c>
      <c r="W154" s="87">
        <v>0</v>
      </c>
      <c r="X154" s="87">
        <v>0</v>
      </c>
      <c r="Y154" s="87">
        <v>0</v>
      </c>
      <c r="Z154" s="87">
        <v>1990397.9539451394</v>
      </c>
      <c r="AA154" s="87">
        <v>894384.25</v>
      </c>
      <c r="AB154" s="87">
        <v>295146.80249999999</v>
      </c>
      <c r="AC154" s="87">
        <v>0</v>
      </c>
      <c r="AD154" s="87">
        <v>1096013.7039451394</v>
      </c>
      <c r="AE154" s="87">
        <v>361684.52230189589</v>
      </c>
      <c r="AF154">
        <v>361684.52230189589</v>
      </c>
      <c r="AG154" s="87"/>
    </row>
    <row r="155" spans="1:33">
      <c r="A155" s="53" t="s">
        <v>597</v>
      </c>
      <c r="B155" t="s">
        <v>208</v>
      </c>
      <c r="C155" t="s">
        <v>149</v>
      </c>
      <c r="E155" t="s">
        <v>209</v>
      </c>
      <c r="F155" t="s">
        <v>209</v>
      </c>
      <c r="G155" t="s">
        <v>210</v>
      </c>
      <c r="H155" t="s">
        <v>598</v>
      </c>
      <c r="I155" t="s">
        <v>9</v>
      </c>
      <c r="J155" t="s">
        <v>599</v>
      </c>
      <c r="K155" s="87">
        <v>1141301.1878965755</v>
      </c>
      <c r="L155" s="87">
        <v>1994367.8403451387</v>
      </c>
      <c r="M155" s="87">
        <v>1010181.9627189247</v>
      </c>
      <c r="N155" s="87">
        <v>984185.87762621394</v>
      </c>
      <c r="O155" s="87">
        <v>2139976.9989258749</v>
      </c>
      <c r="P155" s="87">
        <v>793193.92999999993</v>
      </c>
      <c r="Q155" s="87">
        <v>0</v>
      </c>
      <c r="R155" s="87">
        <v>2139976.9989258749</v>
      </c>
      <c r="S155" s="87">
        <v>4465</v>
      </c>
      <c r="T155" s="87">
        <v>0</v>
      </c>
      <c r="U155" s="87">
        <v>0</v>
      </c>
      <c r="V155" s="87">
        <v>0</v>
      </c>
      <c r="W155" s="87">
        <v>0</v>
      </c>
      <c r="X155" s="87">
        <v>4465</v>
      </c>
      <c r="Y155" s="87">
        <v>0</v>
      </c>
      <c r="Z155" s="87">
        <v>2144441.9989258749</v>
      </c>
      <c r="AA155" s="87">
        <v>1075161.43</v>
      </c>
      <c r="AB155" s="87">
        <v>354803.27189999993</v>
      </c>
      <c r="AC155" s="87">
        <v>0</v>
      </c>
      <c r="AD155" s="87">
        <v>1069280.568925875</v>
      </c>
      <c r="AE155" s="87">
        <v>352862.58774553868</v>
      </c>
      <c r="AF155">
        <v>352862.58774553868</v>
      </c>
      <c r="AG155" s="87"/>
    </row>
    <row r="156" spans="1:33">
      <c r="A156" s="53" t="s">
        <v>600</v>
      </c>
      <c r="B156" t="s">
        <v>214</v>
      </c>
      <c r="C156" t="s">
        <v>149</v>
      </c>
      <c r="E156" t="s">
        <v>209</v>
      </c>
      <c r="F156" t="s">
        <v>209</v>
      </c>
      <c r="G156" t="s">
        <v>210</v>
      </c>
      <c r="H156" t="s">
        <v>601</v>
      </c>
      <c r="I156" t="s">
        <v>11</v>
      </c>
      <c r="J156" t="s">
        <v>602</v>
      </c>
      <c r="K156" s="87">
        <v>598978.43920614431</v>
      </c>
      <c r="L156" s="87">
        <v>866339.37725934479</v>
      </c>
      <c r="M156" s="87">
        <v>375686.83126101835</v>
      </c>
      <c r="N156" s="87">
        <v>490652.54599832644</v>
      </c>
      <c r="O156" s="87">
        <v>886367.57927605207</v>
      </c>
      <c r="P156" s="87">
        <v>0</v>
      </c>
      <c r="Q156" s="87">
        <v>0</v>
      </c>
      <c r="R156" s="87">
        <v>886367.57927605207</v>
      </c>
      <c r="S156" s="87">
        <v>0</v>
      </c>
      <c r="T156" s="87">
        <v>0</v>
      </c>
      <c r="U156" s="87">
        <v>0</v>
      </c>
      <c r="V156" s="87">
        <v>0</v>
      </c>
      <c r="W156" s="87">
        <v>0</v>
      </c>
      <c r="X156" s="87">
        <v>0</v>
      </c>
      <c r="Y156" s="87">
        <v>0</v>
      </c>
      <c r="Z156" s="87">
        <v>886367.57927605207</v>
      </c>
      <c r="AA156" s="87">
        <v>340661.12</v>
      </c>
      <c r="AB156" s="87">
        <v>112418.16959999998</v>
      </c>
      <c r="AC156" s="87">
        <v>0</v>
      </c>
      <c r="AD156" s="87">
        <v>545706.45927605208</v>
      </c>
      <c r="AE156" s="87">
        <v>180083.13156109717</v>
      </c>
      <c r="AF156">
        <v>180083.13156109717</v>
      </c>
      <c r="AG156" s="87"/>
    </row>
    <row r="157" spans="1:33">
      <c r="A157" s="53" t="s">
        <v>603</v>
      </c>
      <c r="B157" t="s">
        <v>208</v>
      </c>
      <c r="C157" t="s">
        <v>149</v>
      </c>
      <c r="E157" t="s">
        <v>209</v>
      </c>
      <c r="F157" t="s">
        <v>209</v>
      </c>
      <c r="G157" t="s">
        <v>210</v>
      </c>
      <c r="H157" t="s">
        <v>604</v>
      </c>
      <c r="I157" t="s">
        <v>12</v>
      </c>
      <c r="J157" t="s">
        <v>605</v>
      </c>
      <c r="K157" s="87">
        <v>-107040.62639423989</v>
      </c>
      <c r="L157" s="87">
        <v>1889053.2585853308</v>
      </c>
      <c r="M157" s="87">
        <v>859311.57580387837</v>
      </c>
      <c r="N157" s="87">
        <v>1029741.6827814524</v>
      </c>
      <c r="O157" s="87">
        <v>1173167.277258368</v>
      </c>
      <c r="P157" s="87">
        <v>792555.05</v>
      </c>
      <c r="Q157" s="87">
        <v>0</v>
      </c>
      <c r="R157" s="87">
        <v>1173167.277258368</v>
      </c>
      <c r="S157" s="87">
        <v>3700.9500000000007</v>
      </c>
      <c r="T157" s="87">
        <v>0</v>
      </c>
      <c r="U157" s="87">
        <v>0</v>
      </c>
      <c r="V157" s="87">
        <v>0</v>
      </c>
      <c r="W157" s="87">
        <v>0</v>
      </c>
      <c r="X157" s="87">
        <v>3700.9500000000007</v>
      </c>
      <c r="Y157" s="87">
        <v>0</v>
      </c>
      <c r="Z157" s="87">
        <v>1176868.2272583679</v>
      </c>
      <c r="AA157" s="87">
        <v>376551.77</v>
      </c>
      <c r="AB157" s="87">
        <v>124262.08409999999</v>
      </c>
      <c r="AC157" s="87">
        <v>0</v>
      </c>
      <c r="AD157" s="87">
        <v>800316.45725836791</v>
      </c>
      <c r="AE157" s="87">
        <v>264104.43089526141</v>
      </c>
      <c r="AF157">
        <v>264104.43089526141</v>
      </c>
      <c r="AG157" s="87"/>
    </row>
    <row r="158" spans="1:33">
      <c r="A158" s="53" t="s">
        <v>606</v>
      </c>
      <c r="B158" t="s">
        <v>208</v>
      </c>
      <c r="C158" t="s">
        <v>149</v>
      </c>
      <c r="E158" t="s">
        <v>209</v>
      </c>
      <c r="F158" t="s">
        <v>209</v>
      </c>
      <c r="G158" t="s">
        <v>210</v>
      </c>
      <c r="H158" t="s">
        <v>607</v>
      </c>
      <c r="I158" t="s">
        <v>6</v>
      </c>
      <c r="J158" t="s">
        <v>608</v>
      </c>
      <c r="K158" s="87">
        <v>432022.27899478999</v>
      </c>
      <c r="L158" s="87">
        <v>5269089.3364134002</v>
      </c>
      <c r="M158" s="87">
        <v>2421479.1225649915</v>
      </c>
      <c r="N158" s="87">
        <v>2847610.2138484088</v>
      </c>
      <c r="O158" s="87">
        <v>4407906.6864655875</v>
      </c>
      <c r="P158" s="87">
        <v>4137634.3599999994</v>
      </c>
      <c r="Q158" s="87">
        <v>858001.86715680081</v>
      </c>
      <c r="R158" s="87">
        <v>3549904.8193087867</v>
      </c>
      <c r="S158" s="87">
        <v>0</v>
      </c>
      <c r="T158" s="87">
        <v>0</v>
      </c>
      <c r="U158" s="87">
        <v>0</v>
      </c>
      <c r="V158" s="87">
        <v>0</v>
      </c>
      <c r="W158" s="87">
        <v>0</v>
      </c>
      <c r="X158" s="87">
        <v>0</v>
      </c>
      <c r="Y158" s="87">
        <v>0</v>
      </c>
      <c r="Z158" s="87">
        <v>3549904.8193087867</v>
      </c>
      <c r="AA158" s="87">
        <v>1665246.95</v>
      </c>
      <c r="AB158" s="87">
        <v>549531.49349999987</v>
      </c>
      <c r="AC158" s="87">
        <v>0</v>
      </c>
      <c r="AD158" s="87">
        <v>1884657.8693087867</v>
      </c>
      <c r="AE158" s="87">
        <v>621937.09687189967</v>
      </c>
      <c r="AF158">
        <v>621937.1</v>
      </c>
      <c r="AG158" s="87"/>
    </row>
    <row r="159" spans="1:33">
      <c r="A159" s="53" t="s">
        <v>609</v>
      </c>
      <c r="B159" t="s">
        <v>208</v>
      </c>
      <c r="C159" t="s">
        <v>149</v>
      </c>
      <c r="E159" t="s">
        <v>209</v>
      </c>
      <c r="F159" t="s">
        <v>209</v>
      </c>
      <c r="G159" t="s">
        <v>210</v>
      </c>
      <c r="H159" t="s">
        <v>610</v>
      </c>
      <c r="I159" t="s">
        <v>11</v>
      </c>
      <c r="J159" t="s">
        <v>589</v>
      </c>
      <c r="K159" s="87">
        <v>414332.68842022301</v>
      </c>
      <c r="L159" s="87">
        <v>7935024.1177871088</v>
      </c>
      <c r="M159" s="87">
        <v>4208142.7287535109</v>
      </c>
      <c r="N159" s="87">
        <v>3726881.3890335979</v>
      </c>
      <c r="O159" s="87">
        <v>8505832.792806631</v>
      </c>
      <c r="P159" s="87">
        <v>4649704.4799999995</v>
      </c>
      <c r="Q159" s="87">
        <v>508490.40254617855</v>
      </c>
      <c r="R159" s="87">
        <v>7997342.3902604524</v>
      </c>
      <c r="S159" s="87">
        <v>0</v>
      </c>
      <c r="T159" s="87">
        <v>0</v>
      </c>
      <c r="U159" s="87">
        <v>0</v>
      </c>
      <c r="V159" s="87">
        <v>0</v>
      </c>
      <c r="W159" s="87">
        <v>0</v>
      </c>
      <c r="X159" s="87">
        <v>0</v>
      </c>
      <c r="Y159" s="87">
        <v>0</v>
      </c>
      <c r="Z159" s="87">
        <v>7997342.3902604524</v>
      </c>
      <c r="AA159" s="87">
        <v>2497413.16</v>
      </c>
      <c r="AB159" s="87">
        <v>824146.34279999998</v>
      </c>
      <c r="AC159" s="87">
        <v>0</v>
      </c>
      <c r="AD159" s="87">
        <v>5499929.2302604523</v>
      </c>
      <c r="AE159" s="87">
        <v>1814976.6459859491</v>
      </c>
      <c r="AF159">
        <v>1814976.6459859491</v>
      </c>
      <c r="AG159" s="87"/>
    </row>
    <row r="160" spans="1:33">
      <c r="A160" s="53" t="s">
        <v>611</v>
      </c>
      <c r="B160" t="s">
        <v>214</v>
      </c>
      <c r="C160" t="s">
        <v>209</v>
      </c>
      <c r="E160" t="s">
        <v>209</v>
      </c>
      <c r="F160" t="s">
        <v>209</v>
      </c>
      <c r="G160" t="s">
        <v>210</v>
      </c>
      <c r="H160" t="s">
        <v>612</v>
      </c>
      <c r="I160" t="s">
        <v>14</v>
      </c>
      <c r="J160" t="s">
        <v>613</v>
      </c>
      <c r="K160" s="87">
        <v>-599653.96971115237</v>
      </c>
      <c r="L160" s="87">
        <v>0</v>
      </c>
      <c r="M160" s="87">
        <v>0</v>
      </c>
      <c r="N160" s="87">
        <v>0</v>
      </c>
      <c r="O160" s="87">
        <v>7640976.421883882</v>
      </c>
      <c r="P160" s="87">
        <v>0</v>
      </c>
      <c r="Q160" s="87">
        <v>0</v>
      </c>
      <c r="R160" s="87">
        <v>7640976.421883882</v>
      </c>
      <c r="S160" s="87">
        <v>0</v>
      </c>
      <c r="T160" s="87">
        <v>0</v>
      </c>
      <c r="U160" s="87">
        <v>0</v>
      </c>
      <c r="V160" s="87">
        <v>0</v>
      </c>
      <c r="W160" s="87">
        <v>0</v>
      </c>
      <c r="X160" s="87">
        <v>0</v>
      </c>
      <c r="Y160" s="87">
        <v>0</v>
      </c>
      <c r="Z160" s="87">
        <v>7640976.421883882</v>
      </c>
      <c r="AA160" s="87">
        <v>3576371.86</v>
      </c>
      <c r="AB160" s="87">
        <v>1180202.7137999998</v>
      </c>
      <c r="AC160" s="87">
        <v>0</v>
      </c>
      <c r="AD160" s="87">
        <v>4064604.5618838822</v>
      </c>
      <c r="AE160" s="87">
        <v>1341319.5054216811</v>
      </c>
      <c r="AF160">
        <v>1341319.5054216811</v>
      </c>
      <c r="AG160" s="87"/>
    </row>
    <row r="161" spans="1:33">
      <c r="A161" s="53" t="s">
        <v>614</v>
      </c>
      <c r="B161" t="s">
        <v>208</v>
      </c>
      <c r="C161" t="s">
        <v>209</v>
      </c>
      <c r="E161" t="s">
        <v>209</v>
      </c>
      <c r="F161" t="s">
        <v>209</v>
      </c>
      <c r="G161" t="s">
        <v>210</v>
      </c>
      <c r="H161" t="s">
        <v>615</v>
      </c>
      <c r="I161" t="s">
        <v>4</v>
      </c>
      <c r="J161" t="s">
        <v>479</v>
      </c>
      <c r="K161" s="87">
        <v>4654934.5026677251</v>
      </c>
      <c r="L161" s="87">
        <v>14857527.71478045</v>
      </c>
      <c r="M161" s="87">
        <v>7636841.4457870079</v>
      </c>
      <c r="N161" s="87">
        <v>7220686.2689934419</v>
      </c>
      <c r="O161" s="87">
        <v>7865375.7125947131</v>
      </c>
      <c r="P161" s="87">
        <v>10266961.690000001</v>
      </c>
      <c r="Q161" s="87">
        <v>0</v>
      </c>
      <c r="R161" s="87">
        <v>7865375.7125947131</v>
      </c>
      <c r="S161" s="87">
        <v>0</v>
      </c>
      <c r="T161" s="87">
        <v>0</v>
      </c>
      <c r="U161" s="87">
        <v>0</v>
      </c>
      <c r="V161" s="87">
        <v>0</v>
      </c>
      <c r="W161" s="87">
        <v>0</v>
      </c>
      <c r="X161" s="87">
        <v>0</v>
      </c>
      <c r="Y161" s="87">
        <v>0</v>
      </c>
      <c r="Z161" s="87">
        <v>7865375.7125947131</v>
      </c>
      <c r="AA161" s="87">
        <v>4892465.24</v>
      </c>
      <c r="AB161" s="87">
        <v>1614513.5292</v>
      </c>
      <c r="AC161" s="87">
        <v>0</v>
      </c>
      <c r="AD161" s="87">
        <v>2972910.4725947129</v>
      </c>
      <c r="AE161" s="87">
        <v>981060.45595625485</v>
      </c>
      <c r="AF161">
        <v>981060.45595625485</v>
      </c>
      <c r="AG161" s="87"/>
    </row>
    <row r="162" spans="1:33">
      <c r="A162" s="53" t="s">
        <v>616</v>
      </c>
      <c r="B162" t="s">
        <v>214</v>
      </c>
      <c r="C162" t="s">
        <v>209</v>
      </c>
      <c r="E162" t="s">
        <v>209</v>
      </c>
      <c r="F162" t="s">
        <v>227</v>
      </c>
      <c r="G162" t="s">
        <v>210</v>
      </c>
      <c r="H162" t="s">
        <v>617</v>
      </c>
      <c r="I162" t="s">
        <v>13</v>
      </c>
      <c r="J162" t="s">
        <v>13</v>
      </c>
      <c r="K162" s="87">
        <v>-82002997.279160142</v>
      </c>
      <c r="L162" s="87">
        <v>5915817.4610465933</v>
      </c>
      <c r="M162" s="87">
        <v>2664840.3994603776</v>
      </c>
      <c r="N162" s="87">
        <v>3250977.0615862156</v>
      </c>
      <c r="O162" s="87">
        <v>3979513.9938086402</v>
      </c>
      <c r="P162" s="87">
        <v>0</v>
      </c>
      <c r="Q162" s="87">
        <v>0</v>
      </c>
      <c r="R162" s="87">
        <v>3979513.9938086402</v>
      </c>
      <c r="S162" s="87">
        <v>633060</v>
      </c>
      <c r="T162" s="87">
        <v>0</v>
      </c>
      <c r="U162" s="87">
        <v>0</v>
      </c>
      <c r="V162" s="87">
        <v>0</v>
      </c>
      <c r="W162" s="87">
        <v>0</v>
      </c>
      <c r="X162" s="87">
        <v>633060</v>
      </c>
      <c r="Y162" s="87">
        <v>0</v>
      </c>
      <c r="Z162" s="87">
        <v>4612573.9938086402</v>
      </c>
      <c r="AA162" s="87">
        <v>1878548.79</v>
      </c>
      <c r="AB162" s="87">
        <v>619921.10069999995</v>
      </c>
      <c r="AC162" s="87">
        <v>0</v>
      </c>
      <c r="AD162" s="87">
        <v>2734025.2038086401</v>
      </c>
      <c r="AE162" s="87">
        <v>902228.31725685101</v>
      </c>
      <c r="AF162">
        <v>902228.31725685101</v>
      </c>
      <c r="AG162" s="87"/>
    </row>
    <row r="163" spans="1:33">
      <c r="A163" s="53" t="s">
        <v>618</v>
      </c>
      <c r="B163" t="s">
        <v>208</v>
      </c>
      <c r="C163" t="s">
        <v>149</v>
      </c>
      <c r="E163" t="s">
        <v>209</v>
      </c>
      <c r="F163" t="s">
        <v>209</v>
      </c>
      <c r="G163" t="s">
        <v>210</v>
      </c>
      <c r="H163" t="s">
        <v>619</v>
      </c>
      <c r="I163" t="s">
        <v>12</v>
      </c>
      <c r="J163" t="s">
        <v>620</v>
      </c>
      <c r="K163" s="87">
        <v>1733617.3981077508</v>
      </c>
      <c r="L163" s="87">
        <v>3617466.3950179107</v>
      </c>
      <c r="M163" s="87">
        <v>2145149.3401139202</v>
      </c>
      <c r="N163" s="87">
        <v>1472317.0549039906</v>
      </c>
      <c r="O163" s="87">
        <v>2156809.5713577727</v>
      </c>
      <c r="P163" s="87">
        <v>1871025.88</v>
      </c>
      <c r="Q163" s="87">
        <v>0</v>
      </c>
      <c r="R163" s="87">
        <v>2156809.5713577727</v>
      </c>
      <c r="S163" s="87">
        <v>0</v>
      </c>
      <c r="T163" s="87">
        <v>0</v>
      </c>
      <c r="U163" s="87">
        <v>0</v>
      </c>
      <c r="V163" s="87">
        <v>0</v>
      </c>
      <c r="W163" s="87">
        <v>0</v>
      </c>
      <c r="X163" s="87">
        <v>0</v>
      </c>
      <c r="Y163" s="87">
        <v>0</v>
      </c>
      <c r="Z163" s="87">
        <v>2156809.5713577727</v>
      </c>
      <c r="AA163" s="87">
        <v>877627.18</v>
      </c>
      <c r="AB163" s="87">
        <v>289616.9694</v>
      </c>
      <c r="AC163" s="87">
        <v>0</v>
      </c>
      <c r="AD163" s="87">
        <v>1279182.3913577725</v>
      </c>
      <c r="AE163" s="87">
        <v>422130.18914806488</v>
      </c>
      <c r="AF163">
        <v>422130.18914806488</v>
      </c>
      <c r="AG163" s="87"/>
    </row>
    <row r="164" spans="1:33">
      <c r="A164" s="53" t="s">
        <v>621</v>
      </c>
      <c r="B164" t="s">
        <v>214</v>
      </c>
      <c r="C164" t="s">
        <v>209</v>
      </c>
      <c r="E164" t="s">
        <v>209</v>
      </c>
      <c r="F164" t="s">
        <v>209</v>
      </c>
      <c r="G164" t="s">
        <v>210</v>
      </c>
      <c r="H164" t="s">
        <v>622</v>
      </c>
      <c r="I164" t="s">
        <v>5</v>
      </c>
      <c r="J164" t="s">
        <v>5</v>
      </c>
      <c r="K164" s="87">
        <v>-775138.83921369968</v>
      </c>
      <c r="L164" s="87">
        <v>6324965.6870057657</v>
      </c>
      <c r="M164" s="87">
        <v>3792279.5998088699</v>
      </c>
      <c r="N164" s="87">
        <v>2532686.0871968959</v>
      </c>
      <c r="O164" s="87">
        <v>6588604.3957101787</v>
      </c>
      <c r="P164" s="87">
        <v>0</v>
      </c>
      <c r="Q164" s="87">
        <v>0</v>
      </c>
      <c r="R164" s="87">
        <v>6588604.3957101787</v>
      </c>
      <c r="S164" s="87">
        <v>215175</v>
      </c>
      <c r="T164" s="87">
        <v>0</v>
      </c>
      <c r="U164" s="87">
        <v>0</v>
      </c>
      <c r="V164" s="87">
        <v>0</v>
      </c>
      <c r="W164" s="87">
        <v>179170.0689421338</v>
      </c>
      <c r="X164" s="87">
        <v>394345.0689421338</v>
      </c>
      <c r="Y164" s="87">
        <v>0</v>
      </c>
      <c r="Z164" s="87">
        <v>6982949.4646523129</v>
      </c>
      <c r="AA164" s="87">
        <v>3078606.86</v>
      </c>
      <c r="AB164" s="87">
        <v>1015940.2637999998</v>
      </c>
      <c r="AC164" s="87">
        <v>0</v>
      </c>
      <c r="AD164" s="87">
        <v>3904342.604652313</v>
      </c>
      <c r="AE164" s="87">
        <v>1288433.0595352631</v>
      </c>
      <c r="AF164">
        <v>1288433.0595352631</v>
      </c>
      <c r="AG164" s="87"/>
    </row>
    <row r="165" spans="1:33">
      <c r="A165" s="53" t="s">
        <v>623</v>
      </c>
      <c r="B165" t="s">
        <v>208</v>
      </c>
      <c r="C165" t="s">
        <v>149</v>
      </c>
      <c r="E165" t="s">
        <v>209</v>
      </c>
      <c r="F165" t="s">
        <v>209</v>
      </c>
      <c r="G165" t="s">
        <v>210</v>
      </c>
      <c r="H165" t="s">
        <v>624</v>
      </c>
      <c r="I165" t="s">
        <v>12</v>
      </c>
      <c r="J165" t="s">
        <v>625</v>
      </c>
      <c r="K165" s="87">
        <v>-299978.78717004793</v>
      </c>
      <c r="L165" s="87">
        <v>890305.86259186605</v>
      </c>
      <c r="M165" s="87">
        <v>577836.6401957632</v>
      </c>
      <c r="N165" s="87">
        <v>312469.22239610285</v>
      </c>
      <c r="O165" s="87">
        <v>1055528.8280103169</v>
      </c>
      <c r="P165" s="87">
        <v>557407.6</v>
      </c>
      <c r="Q165" s="87">
        <v>544917.16477394511</v>
      </c>
      <c r="R165" s="87">
        <v>510611.66323637182</v>
      </c>
      <c r="S165" s="87">
        <v>0</v>
      </c>
      <c r="T165" s="87">
        <v>0</v>
      </c>
      <c r="U165" s="87">
        <v>0</v>
      </c>
      <c r="V165" s="87">
        <v>0</v>
      </c>
      <c r="W165" s="87">
        <v>0</v>
      </c>
      <c r="X165" s="87">
        <v>0</v>
      </c>
      <c r="Y165" s="87">
        <v>0</v>
      </c>
      <c r="Z165" s="87">
        <v>510611.66323637182</v>
      </c>
      <c r="AA165" s="87">
        <v>404125.38</v>
      </c>
      <c r="AB165" s="87">
        <v>133361.37539999999</v>
      </c>
      <c r="AC165" s="87">
        <v>0</v>
      </c>
      <c r="AD165" s="87">
        <v>106486.28323637182</v>
      </c>
      <c r="AE165" s="87">
        <v>35140.473468002689</v>
      </c>
      <c r="AF165">
        <v>35140.473468002689</v>
      </c>
      <c r="AG165" s="87"/>
    </row>
    <row r="166" spans="1:33">
      <c r="A166" s="53" t="s">
        <v>626</v>
      </c>
      <c r="B166" t="s">
        <v>214</v>
      </c>
      <c r="C166" t="s">
        <v>149</v>
      </c>
      <c r="E166" t="s">
        <v>209</v>
      </c>
      <c r="F166" t="s">
        <v>209</v>
      </c>
      <c r="G166" t="s">
        <v>210</v>
      </c>
      <c r="H166" t="s">
        <v>627</v>
      </c>
      <c r="I166" t="s">
        <v>10</v>
      </c>
      <c r="J166" t="s">
        <v>628</v>
      </c>
      <c r="K166" s="87">
        <v>45088.900281241411</v>
      </c>
      <c r="L166" s="87">
        <v>959779.44113573525</v>
      </c>
      <c r="M166" s="87">
        <v>403810.06717560318</v>
      </c>
      <c r="N166" s="87">
        <v>555969.37396013201</v>
      </c>
      <c r="O166" s="87">
        <v>1222169.4000350465</v>
      </c>
      <c r="P166" s="87">
        <v>322534.41000000003</v>
      </c>
      <c r="Q166" s="87">
        <v>0</v>
      </c>
      <c r="R166" s="87">
        <v>1222169.4000350465</v>
      </c>
      <c r="S166" s="87">
        <v>0</v>
      </c>
      <c r="T166" s="87">
        <v>0</v>
      </c>
      <c r="U166" s="87">
        <v>0</v>
      </c>
      <c r="V166" s="87">
        <v>0</v>
      </c>
      <c r="W166" s="87">
        <v>396963</v>
      </c>
      <c r="X166" s="87">
        <v>396963</v>
      </c>
      <c r="Y166" s="87">
        <v>0</v>
      </c>
      <c r="Z166" s="87">
        <v>1619132.4000350465</v>
      </c>
      <c r="AA166" s="87">
        <v>721993.93</v>
      </c>
      <c r="AB166" s="87">
        <v>238257.9969</v>
      </c>
      <c r="AC166" s="87">
        <v>0</v>
      </c>
      <c r="AD166" s="87">
        <v>897138.47003504646</v>
      </c>
      <c r="AE166" s="87">
        <v>296055.69511156529</v>
      </c>
      <c r="AF166">
        <v>296055.69511156529</v>
      </c>
      <c r="AG166" s="87"/>
    </row>
    <row r="167" spans="1:33">
      <c r="A167" s="53" t="s">
        <v>113</v>
      </c>
      <c r="B167" t="s">
        <v>281</v>
      </c>
      <c r="C167" t="s">
        <v>209</v>
      </c>
      <c r="E167" t="s">
        <v>209</v>
      </c>
      <c r="F167" t="s">
        <v>209</v>
      </c>
      <c r="G167" t="s">
        <v>283</v>
      </c>
      <c r="H167" t="s">
        <v>629</v>
      </c>
      <c r="I167" t="s">
        <v>3</v>
      </c>
      <c r="J167" t="s">
        <v>3</v>
      </c>
      <c r="K167" s="87">
        <v>2646247.0939041534</v>
      </c>
      <c r="L167" s="87">
        <v>13844956.497361921</v>
      </c>
      <c r="M167" s="87">
        <v>0</v>
      </c>
      <c r="N167" s="87">
        <v>13844956.497361921</v>
      </c>
      <c r="O167" s="87">
        <v>0</v>
      </c>
      <c r="P167" s="87">
        <v>14842083</v>
      </c>
      <c r="Q167" s="87">
        <v>0</v>
      </c>
      <c r="R167" s="87">
        <v>0</v>
      </c>
      <c r="S167" s="87">
        <v>0</v>
      </c>
      <c r="T167" s="87">
        <v>0</v>
      </c>
      <c r="U167" s="87">
        <v>2216</v>
      </c>
      <c r="V167" s="87">
        <v>0</v>
      </c>
      <c r="W167" s="87">
        <v>531920</v>
      </c>
      <c r="X167" s="87">
        <v>534136</v>
      </c>
      <c r="Y167" s="87">
        <v>0</v>
      </c>
      <c r="Z167" s="87">
        <v>2216</v>
      </c>
      <c r="AA167" s="87">
        <v>132322.29</v>
      </c>
      <c r="AB167" s="87">
        <v>43666.3557</v>
      </c>
      <c r="AC167" s="87">
        <v>0</v>
      </c>
      <c r="AD167" s="87">
        <v>2216</v>
      </c>
      <c r="AE167" s="87">
        <v>731.27999999999986</v>
      </c>
      <c r="AF167">
        <v>731.27999999999986</v>
      </c>
      <c r="AG167" s="87"/>
    </row>
    <row r="168" spans="1:33">
      <c r="A168" s="53" t="s">
        <v>630</v>
      </c>
      <c r="B168" t="s">
        <v>214</v>
      </c>
      <c r="C168" t="s">
        <v>149</v>
      </c>
      <c r="E168" t="s">
        <v>209</v>
      </c>
      <c r="F168" t="s">
        <v>209</v>
      </c>
      <c r="G168" t="s">
        <v>210</v>
      </c>
      <c r="H168" t="s">
        <v>631</v>
      </c>
      <c r="I168" t="s">
        <v>9</v>
      </c>
      <c r="J168" t="s">
        <v>632</v>
      </c>
      <c r="K168" s="87">
        <v>-1106533.1422788599</v>
      </c>
      <c r="L168" s="87">
        <v>1538091.7512871446</v>
      </c>
      <c r="M168" s="87">
        <v>908610.83921538561</v>
      </c>
      <c r="N168" s="87">
        <v>629480.912071759</v>
      </c>
      <c r="O168" s="87">
        <v>1624216.3850235904</v>
      </c>
      <c r="P168" s="87">
        <v>416183.65</v>
      </c>
      <c r="Q168" s="87">
        <v>416183.65</v>
      </c>
      <c r="R168" s="87">
        <v>1208032.7350235903</v>
      </c>
      <c r="S168" s="87">
        <v>0</v>
      </c>
      <c r="T168" s="87">
        <v>0</v>
      </c>
      <c r="U168" s="87">
        <v>0</v>
      </c>
      <c r="V168" s="87">
        <v>0</v>
      </c>
      <c r="W168" s="87">
        <v>0</v>
      </c>
      <c r="X168" s="87">
        <v>0</v>
      </c>
      <c r="Y168" s="87">
        <v>0</v>
      </c>
      <c r="Z168" s="87">
        <v>1208032.7350235903</v>
      </c>
      <c r="AA168" s="87">
        <v>631958.23</v>
      </c>
      <c r="AB168" s="87">
        <v>208546.21589999998</v>
      </c>
      <c r="AC168" s="87">
        <v>0</v>
      </c>
      <c r="AD168" s="87">
        <v>576074.50502359029</v>
      </c>
      <c r="AE168" s="87">
        <v>190104.58665778473</v>
      </c>
      <c r="AF168">
        <v>190104.58665778473</v>
      </c>
      <c r="AG168" s="87"/>
    </row>
    <row r="169" spans="1:33">
      <c r="A169" s="53" t="s">
        <v>114</v>
      </c>
      <c r="B169" t="s">
        <v>281</v>
      </c>
      <c r="C169" t="s">
        <v>209</v>
      </c>
      <c r="E169" t="s">
        <v>282</v>
      </c>
      <c r="F169" t="s">
        <v>209</v>
      </c>
      <c r="G169" t="s">
        <v>283</v>
      </c>
      <c r="H169" t="s">
        <v>633</v>
      </c>
      <c r="I169" t="s">
        <v>11</v>
      </c>
      <c r="J169" t="s">
        <v>634</v>
      </c>
      <c r="K169" s="87">
        <v>1401390.1194444031</v>
      </c>
      <c r="L169" s="87">
        <v>51735709.171184637</v>
      </c>
      <c r="M169" s="87">
        <v>0</v>
      </c>
      <c r="N169" s="87">
        <v>51735709.171184637</v>
      </c>
      <c r="O169" s="87">
        <v>0</v>
      </c>
      <c r="P169" s="87">
        <v>0</v>
      </c>
      <c r="Q169" s="87">
        <v>0</v>
      </c>
      <c r="R169" s="87">
        <v>0</v>
      </c>
      <c r="S169" s="87">
        <v>0</v>
      </c>
      <c r="T169" s="87">
        <v>0</v>
      </c>
      <c r="U169" s="87">
        <v>5239</v>
      </c>
      <c r="V169" s="87">
        <v>0</v>
      </c>
      <c r="W169" s="87">
        <v>127491</v>
      </c>
      <c r="X169" s="87">
        <v>132730</v>
      </c>
      <c r="Y169" s="87">
        <v>0</v>
      </c>
      <c r="Z169" s="87">
        <v>5239</v>
      </c>
      <c r="AA169" s="87">
        <v>191071.47</v>
      </c>
      <c r="AB169" s="87">
        <v>63053.585099999989</v>
      </c>
      <c r="AC169" s="87">
        <v>0</v>
      </c>
      <c r="AD169" s="87">
        <v>5239</v>
      </c>
      <c r="AE169" s="87">
        <v>1728.87</v>
      </c>
      <c r="AF169">
        <v>1728.87</v>
      </c>
      <c r="AG169" s="87"/>
    </row>
    <row r="170" spans="1:33">
      <c r="A170" s="53" t="s">
        <v>635</v>
      </c>
      <c r="B170" t="s">
        <v>539</v>
      </c>
      <c r="C170" t="s">
        <v>209</v>
      </c>
      <c r="E170" t="s">
        <v>209</v>
      </c>
      <c r="F170" t="s">
        <v>209</v>
      </c>
      <c r="G170" t="s">
        <v>210</v>
      </c>
      <c r="H170" t="s">
        <v>636</v>
      </c>
      <c r="I170" t="s">
        <v>6</v>
      </c>
      <c r="J170" t="s">
        <v>6</v>
      </c>
      <c r="K170" s="87">
        <v>29895333.64891763</v>
      </c>
      <c r="L170" s="87">
        <v>490456576.1632275</v>
      </c>
      <c r="M170" s="87">
        <v>219292467.4358916</v>
      </c>
      <c r="N170" s="87">
        <v>271164108.72733593</v>
      </c>
      <c r="O170" s="87">
        <v>668947291.41779292</v>
      </c>
      <c r="P170" s="87">
        <v>162723799.84</v>
      </c>
      <c r="Q170" s="87">
        <v>0</v>
      </c>
      <c r="R170" s="87">
        <v>668947291.41779292</v>
      </c>
      <c r="S170" s="87">
        <v>194131970</v>
      </c>
      <c r="T170" s="87">
        <v>0</v>
      </c>
      <c r="U170" s="87">
        <v>0</v>
      </c>
      <c r="V170" s="87">
        <v>0</v>
      </c>
      <c r="W170" s="87">
        <v>0</v>
      </c>
      <c r="X170" s="87">
        <v>194131970</v>
      </c>
      <c r="Y170" s="87">
        <v>107990264.60268676</v>
      </c>
      <c r="Z170" s="87">
        <v>971069526.02047968</v>
      </c>
      <c r="AA170" s="87">
        <v>365468874.38</v>
      </c>
      <c r="AB170" s="87">
        <v>120604728.54539998</v>
      </c>
      <c r="AC170" s="87">
        <v>0</v>
      </c>
      <c r="AD170" s="87">
        <v>497610387.03779292</v>
      </c>
      <c r="AE170" s="87">
        <v>164211427.72247165</v>
      </c>
      <c r="AF170">
        <v>164211427.72247165</v>
      </c>
      <c r="AG170" s="87"/>
    </row>
    <row r="171" spans="1:33">
      <c r="A171" s="53" t="s">
        <v>637</v>
      </c>
      <c r="B171" t="s">
        <v>214</v>
      </c>
      <c r="C171" t="s">
        <v>149</v>
      </c>
      <c r="E171" t="s">
        <v>209</v>
      </c>
      <c r="F171" t="s">
        <v>209</v>
      </c>
      <c r="G171" t="s">
        <v>210</v>
      </c>
      <c r="H171" t="s">
        <v>638</v>
      </c>
      <c r="I171" t="s">
        <v>10</v>
      </c>
      <c r="J171" t="s">
        <v>639</v>
      </c>
      <c r="K171" s="87">
        <v>551606.08927083516</v>
      </c>
      <c r="L171" s="87">
        <v>0</v>
      </c>
      <c r="M171" s="87">
        <v>0</v>
      </c>
      <c r="N171" s="87">
        <v>0</v>
      </c>
      <c r="O171" s="87">
        <v>817109.9159012608</v>
      </c>
      <c r="P171" s="87">
        <v>0</v>
      </c>
      <c r="Q171" s="87">
        <v>0</v>
      </c>
      <c r="R171" s="87">
        <v>817109.9159012608</v>
      </c>
      <c r="S171" s="87">
        <v>0</v>
      </c>
      <c r="T171" s="87">
        <v>0</v>
      </c>
      <c r="U171" s="87">
        <v>0</v>
      </c>
      <c r="V171" s="87">
        <v>0</v>
      </c>
      <c r="W171" s="87">
        <v>0</v>
      </c>
      <c r="X171" s="87">
        <v>0</v>
      </c>
      <c r="Y171" s="87">
        <v>0</v>
      </c>
      <c r="Z171" s="87">
        <v>817109.9159012608</v>
      </c>
      <c r="AA171" s="87">
        <v>393294.02</v>
      </c>
      <c r="AB171" s="87">
        <v>129787.0266</v>
      </c>
      <c r="AC171" s="87">
        <v>0</v>
      </c>
      <c r="AD171" s="87">
        <v>423815.89590126078</v>
      </c>
      <c r="AE171" s="87">
        <v>139859.24564741604</v>
      </c>
      <c r="AF171">
        <v>139859.24564741604</v>
      </c>
      <c r="AG171" s="87"/>
    </row>
    <row r="172" spans="1:33">
      <c r="A172" s="53" t="s">
        <v>640</v>
      </c>
      <c r="B172" t="s">
        <v>208</v>
      </c>
      <c r="C172" t="s">
        <v>149</v>
      </c>
      <c r="E172" t="s">
        <v>209</v>
      </c>
      <c r="F172" t="s">
        <v>209</v>
      </c>
      <c r="G172" t="s">
        <v>210</v>
      </c>
      <c r="H172" t="s">
        <v>641</v>
      </c>
      <c r="I172" t="s">
        <v>9</v>
      </c>
      <c r="J172" t="s">
        <v>642</v>
      </c>
      <c r="K172" s="87">
        <v>-1027023.8049947906</v>
      </c>
      <c r="L172" s="87">
        <v>1729335.0458632957</v>
      </c>
      <c r="M172" s="87">
        <v>364236.11308833276</v>
      </c>
      <c r="N172" s="87">
        <v>1365098.9327749629</v>
      </c>
      <c r="O172" s="87">
        <v>1882094.3639798271</v>
      </c>
      <c r="P172" s="87">
        <v>812697.29</v>
      </c>
      <c r="Q172" s="87">
        <v>474622.16221982776</v>
      </c>
      <c r="R172" s="87">
        <v>1407472.2017599994</v>
      </c>
      <c r="S172" s="87">
        <v>75380</v>
      </c>
      <c r="T172" s="87">
        <v>0</v>
      </c>
      <c r="U172" s="87">
        <v>0</v>
      </c>
      <c r="V172" s="87">
        <v>0</v>
      </c>
      <c r="W172" s="87">
        <v>0</v>
      </c>
      <c r="X172" s="87">
        <v>75380</v>
      </c>
      <c r="Y172" s="87">
        <v>0</v>
      </c>
      <c r="Z172" s="87">
        <v>1482852.2017599994</v>
      </c>
      <c r="AA172" s="87">
        <v>614888.75</v>
      </c>
      <c r="AB172" s="87">
        <v>202913.28749999998</v>
      </c>
      <c r="AC172" s="87">
        <v>0</v>
      </c>
      <c r="AD172" s="87">
        <v>867963.45175999939</v>
      </c>
      <c r="AE172" s="87">
        <v>286427.93908079976</v>
      </c>
      <c r="AF172">
        <v>286427.93908079976</v>
      </c>
      <c r="AG172" s="87"/>
    </row>
    <row r="173" spans="1:33">
      <c r="A173" s="53" t="s">
        <v>643</v>
      </c>
      <c r="B173" t="s">
        <v>208</v>
      </c>
      <c r="C173" t="s">
        <v>149</v>
      </c>
      <c r="E173" t="s">
        <v>209</v>
      </c>
      <c r="F173" t="s">
        <v>209</v>
      </c>
      <c r="G173" t="s">
        <v>210</v>
      </c>
      <c r="H173" t="s">
        <v>644</v>
      </c>
      <c r="I173" t="s">
        <v>10</v>
      </c>
      <c r="J173" t="s">
        <v>645</v>
      </c>
      <c r="K173" s="87">
        <v>1245026.9496895999</v>
      </c>
      <c r="L173" s="87">
        <v>0</v>
      </c>
      <c r="M173" s="87">
        <v>0</v>
      </c>
      <c r="N173" s="87">
        <v>0</v>
      </c>
      <c r="O173" s="87">
        <v>1507940.9504579839</v>
      </c>
      <c r="P173" s="87">
        <v>0</v>
      </c>
      <c r="Q173" s="87">
        <v>0</v>
      </c>
      <c r="R173" s="87">
        <v>1507940.9504579839</v>
      </c>
      <c r="S173" s="87">
        <v>0</v>
      </c>
      <c r="T173" s="87">
        <v>0</v>
      </c>
      <c r="U173" s="87">
        <v>0</v>
      </c>
      <c r="V173" s="87">
        <v>0</v>
      </c>
      <c r="W173" s="87">
        <v>0</v>
      </c>
      <c r="X173" s="87">
        <v>0</v>
      </c>
      <c r="Y173" s="87">
        <v>0</v>
      </c>
      <c r="Z173" s="87">
        <v>1507940.9504579839</v>
      </c>
      <c r="AA173" s="87">
        <v>692245.68</v>
      </c>
      <c r="AB173" s="87">
        <v>228441.07439999998</v>
      </c>
      <c r="AC173" s="87">
        <v>0</v>
      </c>
      <c r="AD173" s="87">
        <v>815695.27045798383</v>
      </c>
      <c r="AE173" s="87">
        <v>269179.43925113464</v>
      </c>
      <c r="AF173">
        <v>269179.43925113464</v>
      </c>
      <c r="AG173" s="87"/>
    </row>
    <row r="174" spans="1:33">
      <c r="A174" s="53" t="s">
        <v>646</v>
      </c>
      <c r="B174" t="s">
        <v>214</v>
      </c>
      <c r="C174" t="s">
        <v>209</v>
      </c>
      <c r="E174" t="s">
        <v>209</v>
      </c>
      <c r="F174" t="s">
        <v>209</v>
      </c>
      <c r="G174" t="s">
        <v>210</v>
      </c>
      <c r="H174" t="s">
        <v>647</v>
      </c>
      <c r="I174" t="s">
        <v>4</v>
      </c>
      <c r="J174" t="s">
        <v>4</v>
      </c>
      <c r="K174" s="87">
        <v>3650641.2746779355</v>
      </c>
      <c r="L174" s="87">
        <v>54311821.397900172</v>
      </c>
      <c r="M174" s="87">
        <v>24485075.939479601</v>
      </c>
      <c r="N174" s="87">
        <v>29826745.458420571</v>
      </c>
      <c r="O174" s="87">
        <v>42745316.43453908</v>
      </c>
      <c r="P174" s="87">
        <v>9030460.5999999996</v>
      </c>
      <c r="Q174" s="87">
        <v>0</v>
      </c>
      <c r="R174" s="87">
        <v>42745316.43453908</v>
      </c>
      <c r="S174" s="87">
        <v>0</v>
      </c>
      <c r="T174" s="87">
        <v>0</v>
      </c>
      <c r="U174" s="87">
        <v>0</v>
      </c>
      <c r="V174" s="87">
        <v>0</v>
      </c>
      <c r="W174" s="87">
        <v>3412739</v>
      </c>
      <c r="X174" s="87">
        <v>3412739</v>
      </c>
      <c r="Y174" s="87">
        <v>0</v>
      </c>
      <c r="Z174" s="87">
        <v>46158055.43453908</v>
      </c>
      <c r="AA174" s="87">
        <v>16442742.77</v>
      </c>
      <c r="AB174" s="87">
        <v>5426105.114099999</v>
      </c>
      <c r="AC174" s="87">
        <v>0</v>
      </c>
      <c r="AD174" s="87">
        <v>29715312.66453908</v>
      </c>
      <c r="AE174" s="87">
        <v>9806053.1792978942</v>
      </c>
      <c r="AF174">
        <v>9806053.1792978942</v>
      </c>
      <c r="AG174" s="87"/>
    </row>
    <row r="175" spans="1:33">
      <c r="A175" s="53" t="s">
        <v>648</v>
      </c>
      <c r="B175" t="s">
        <v>214</v>
      </c>
      <c r="C175" t="s">
        <v>149</v>
      </c>
      <c r="E175" t="s">
        <v>209</v>
      </c>
      <c r="F175" t="s">
        <v>209</v>
      </c>
      <c r="G175" t="s">
        <v>210</v>
      </c>
      <c r="H175" t="s">
        <v>649</v>
      </c>
      <c r="I175" t="s">
        <v>10</v>
      </c>
      <c r="J175" t="s">
        <v>650</v>
      </c>
      <c r="K175" s="87">
        <v>86327.992226918213</v>
      </c>
      <c r="L175" s="87">
        <v>951560.18606058578</v>
      </c>
      <c r="M175" s="87">
        <v>118542.75412887039</v>
      </c>
      <c r="N175" s="87">
        <v>833017.43193171534</v>
      </c>
      <c r="O175" s="87">
        <v>590549.2726117376</v>
      </c>
      <c r="P175" s="87">
        <v>685268.53</v>
      </c>
      <c r="Q175" s="87">
        <v>0</v>
      </c>
      <c r="R175" s="87">
        <v>590549.2726117376</v>
      </c>
      <c r="S175" s="87">
        <v>0</v>
      </c>
      <c r="T175" s="87">
        <v>0</v>
      </c>
      <c r="U175" s="87">
        <v>0</v>
      </c>
      <c r="V175" s="87">
        <v>0</v>
      </c>
      <c r="W175" s="87">
        <v>0</v>
      </c>
      <c r="X175" s="87">
        <v>0</v>
      </c>
      <c r="Y175" s="87">
        <v>0</v>
      </c>
      <c r="Z175" s="87">
        <v>590549.2726117376</v>
      </c>
      <c r="AA175" s="87">
        <v>177417.1</v>
      </c>
      <c r="AB175" s="87">
        <v>58547.642999999996</v>
      </c>
      <c r="AC175" s="87">
        <v>0</v>
      </c>
      <c r="AD175" s="87">
        <v>413132.17261173762</v>
      </c>
      <c r="AE175" s="87">
        <v>136333.61696187337</v>
      </c>
      <c r="AF175">
        <v>136333.61696187337</v>
      </c>
      <c r="AG175" s="87"/>
    </row>
    <row r="176" spans="1:33">
      <c r="A176" s="53" t="s">
        <v>651</v>
      </c>
      <c r="B176" t="s">
        <v>208</v>
      </c>
      <c r="C176" t="s">
        <v>149</v>
      </c>
      <c r="E176" t="s">
        <v>209</v>
      </c>
      <c r="F176" t="s">
        <v>209</v>
      </c>
      <c r="G176" t="s">
        <v>210</v>
      </c>
      <c r="H176" t="s">
        <v>652</v>
      </c>
      <c r="I176" t="s">
        <v>12</v>
      </c>
      <c r="J176" t="s">
        <v>291</v>
      </c>
      <c r="K176" s="87">
        <v>93715.510105907102</v>
      </c>
      <c r="L176" s="87">
        <v>532866.21208237065</v>
      </c>
      <c r="M176" s="87">
        <v>367772.07400209917</v>
      </c>
      <c r="N176" s="87">
        <v>165094.13808027148</v>
      </c>
      <c r="O176" s="87">
        <v>848417.19168048643</v>
      </c>
      <c r="P176" s="87">
        <v>0</v>
      </c>
      <c r="Q176" s="87">
        <v>0</v>
      </c>
      <c r="R176" s="87">
        <v>848417.19168048643</v>
      </c>
      <c r="S176" s="87">
        <v>0</v>
      </c>
      <c r="T176" s="87">
        <v>0</v>
      </c>
      <c r="U176" s="87">
        <v>0</v>
      </c>
      <c r="V176" s="87">
        <v>0</v>
      </c>
      <c r="W176" s="87">
        <v>0</v>
      </c>
      <c r="X176" s="87">
        <v>0</v>
      </c>
      <c r="Y176" s="87">
        <v>0</v>
      </c>
      <c r="Z176" s="87">
        <v>848417.19168048643</v>
      </c>
      <c r="AA176" s="87">
        <v>183722.51</v>
      </c>
      <c r="AB176" s="87">
        <v>60628.428299999992</v>
      </c>
      <c r="AC176" s="87">
        <v>0</v>
      </c>
      <c r="AD176" s="87">
        <v>664694.68168048642</v>
      </c>
      <c r="AE176" s="87">
        <v>219349.2449545605</v>
      </c>
      <c r="AF176">
        <v>219349.2449545605</v>
      </c>
      <c r="AG176" s="87"/>
    </row>
    <row r="177" spans="1:33">
      <c r="A177" s="53" t="s">
        <v>653</v>
      </c>
      <c r="B177" t="s">
        <v>214</v>
      </c>
      <c r="C177" t="s">
        <v>209</v>
      </c>
      <c r="E177" t="s">
        <v>209</v>
      </c>
      <c r="F177" t="s">
        <v>209</v>
      </c>
      <c r="G177" t="s">
        <v>210</v>
      </c>
      <c r="H177" t="s">
        <v>654</v>
      </c>
      <c r="I177" t="s">
        <v>7</v>
      </c>
      <c r="J177" t="s">
        <v>7</v>
      </c>
      <c r="K177" s="87">
        <v>5392853.5673959628</v>
      </c>
      <c r="L177" s="87">
        <v>11970597.12240308</v>
      </c>
      <c r="M177" s="87">
        <v>2324146.2207593825</v>
      </c>
      <c r="N177" s="87">
        <v>9646450.9016436972</v>
      </c>
      <c r="O177" s="87">
        <v>6491699.7676690109</v>
      </c>
      <c r="P177" s="87">
        <v>3275363.8</v>
      </c>
      <c r="Q177" s="87">
        <v>0</v>
      </c>
      <c r="R177" s="87">
        <v>6491699.7676690109</v>
      </c>
      <c r="S177" s="87">
        <v>39909</v>
      </c>
      <c r="T177" s="87">
        <v>0</v>
      </c>
      <c r="U177" s="87">
        <v>0</v>
      </c>
      <c r="V177" s="87">
        <v>0</v>
      </c>
      <c r="W177" s="87">
        <v>0</v>
      </c>
      <c r="X177" s="87">
        <v>39909</v>
      </c>
      <c r="Y177" s="87">
        <v>0</v>
      </c>
      <c r="Z177" s="87">
        <v>6531608.7676690109</v>
      </c>
      <c r="AA177" s="87">
        <v>1524084.51</v>
      </c>
      <c r="AB177" s="87">
        <v>502947.88829999993</v>
      </c>
      <c r="AC177" s="87">
        <v>0</v>
      </c>
      <c r="AD177" s="87">
        <v>5007524.2576690111</v>
      </c>
      <c r="AE177" s="87">
        <v>1652483.0050307733</v>
      </c>
      <c r="AF177">
        <v>1652483.0050307733</v>
      </c>
      <c r="AG177" s="87"/>
    </row>
    <row r="178" spans="1:33">
      <c r="A178" s="53" t="s">
        <v>655</v>
      </c>
      <c r="B178" t="s">
        <v>214</v>
      </c>
      <c r="C178" t="s">
        <v>209</v>
      </c>
      <c r="E178" t="s">
        <v>209</v>
      </c>
      <c r="F178" t="s">
        <v>209</v>
      </c>
      <c r="G178" t="s">
        <v>210</v>
      </c>
      <c r="H178" t="s">
        <v>656</v>
      </c>
      <c r="I178" t="s">
        <v>14</v>
      </c>
      <c r="J178" t="s">
        <v>14</v>
      </c>
      <c r="K178" s="87">
        <v>-1690975.2346876469</v>
      </c>
      <c r="L178" s="87">
        <v>23951150.529045049</v>
      </c>
      <c r="M178" s="87">
        <v>11531738.480343582</v>
      </c>
      <c r="N178" s="87">
        <v>12419412.048701467</v>
      </c>
      <c r="O178" s="87">
        <v>15357090.50836288</v>
      </c>
      <c r="P178" s="87">
        <v>7090815.9499999993</v>
      </c>
      <c r="Q178" s="87">
        <v>0</v>
      </c>
      <c r="R178" s="87">
        <v>15357090.50836288</v>
      </c>
      <c r="S178" s="87">
        <v>0</v>
      </c>
      <c r="T178" s="87">
        <v>0</v>
      </c>
      <c r="U178" s="87">
        <v>0</v>
      </c>
      <c r="V178" s="87">
        <v>0</v>
      </c>
      <c r="W178" s="87">
        <v>0</v>
      </c>
      <c r="X178" s="87">
        <v>0</v>
      </c>
      <c r="Y178" s="87">
        <v>0</v>
      </c>
      <c r="Z178" s="87">
        <v>15357090.50836288</v>
      </c>
      <c r="AA178" s="87">
        <v>6466786.8600000003</v>
      </c>
      <c r="AB178" s="87">
        <v>2134039.6637999997</v>
      </c>
      <c r="AC178" s="87">
        <v>0</v>
      </c>
      <c r="AD178" s="87">
        <v>8890303.6483628787</v>
      </c>
      <c r="AE178" s="87">
        <v>2933800.2039597505</v>
      </c>
      <c r="AF178">
        <v>2933800.2039597505</v>
      </c>
      <c r="AG178" s="87"/>
    </row>
    <row r="179" spans="1:33">
      <c r="A179" s="53" t="s">
        <v>657</v>
      </c>
      <c r="B179" t="s">
        <v>208</v>
      </c>
      <c r="C179" t="s">
        <v>149</v>
      </c>
      <c r="E179" t="s">
        <v>209</v>
      </c>
      <c r="F179" t="s">
        <v>209</v>
      </c>
      <c r="G179" t="s">
        <v>210</v>
      </c>
      <c r="H179" t="s">
        <v>658</v>
      </c>
      <c r="I179" t="s">
        <v>3</v>
      </c>
      <c r="J179" t="s">
        <v>659</v>
      </c>
      <c r="K179" s="87">
        <v>-310676.99822046736</v>
      </c>
      <c r="L179" s="87">
        <v>1639555.6937758815</v>
      </c>
      <c r="M179" s="87">
        <v>389220.96552657918</v>
      </c>
      <c r="N179" s="87">
        <v>1250334.7282493024</v>
      </c>
      <c r="O179" s="87">
        <v>733164.49478630407</v>
      </c>
      <c r="P179" s="87">
        <v>829669.35</v>
      </c>
      <c r="Q179" s="87">
        <v>0</v>
      </c>
      <c r="R179" s="87">
        <v>733164.49478630407</v>
      </c>
      <c r="S179" s="87">
        <v>0</v>
      </c>
      <c r="T179" s="87">
        <v>0</v>
      </c>
      <c r="U179" s="87">
        <v>0</v>
      </c>
      <c r="V179" s="87">
        <v>0</v>
      </c>
      <c r="W179" s="87">
        <v>0</v>
      </c>
      <c r="X179" s="87">
        <v>0</v>
      </c>
      <c r="Y179" s="87">
        <v>0</v>
      </c>
      <c r="Z179" s="87">
        <v>733164.49478630407</v>
      </c>
      <c r="AA179" s="87">
        <v>532842.49</v>
      </c>
      <c r="AB179" s="87">
        <v>175838.02169999998</v>
      </c>
      <c r="AC179" s="87">
        <v>0</v>
      </c>
      <c r="AD179" s="87">
        <v>200322.00478630408</v>
      </c>
      <c r="AE179" s="87">
        <v>66106.261579480342</v>
      </c>
      <c r="AF179">
        <v>66106.261579480342</v>
      </c>
      <c r="AG179" s="87"/>
    </row>
    <row r="180" spans="1:33">
      <c r="A180" s="53" t="s">
        <v>660</v>
      </c>
      <c r="B180" t="s">
        <v>214</v>
      </c>
      <c r="C180" t="s">
        <v>209</v>
      </c>
      <c r="E180" t="s">
        <v>209</v>
      </c>
      <c r="F180" t="s">
        <v>209</v>
      </c>
      <c r="G180" t="s">
        <v>210</v>
      </c>
      <c r="H180" t="s">
        <v>661</v>
      </c>
      <c r="I180" t="s">
        <v>4</v>
      </c>
      <c r="J180" t="s">
        <v>532</v>
      </c>
      <c r="K180" s="87">
        <v>2375917.4234247473</v>
      </c>
      <c r="L180" s="87">
        <v>0</v>
      </c>
      <c r="M180" s="87">
        <v>0</v>
      </c>
      <c r="N180" s="87">
        <v>0</v>
      </c>
      <c r="O180" s="87">
        <v>12678628.77450959</v>
      </c>
      <c r="P180" s="87">
        <v>0</v>
      </c>
      <c r="Q180" s="87">
        <v>0</v>
      </c>
      <c r="R180" s="87">
        <v>12678628.77450959</v>
      </c>
      <c r="S180" s="87">
        <v>0</v>
      </c>
      <c r="T180" s="87">
        <v>0</v>
      </c>
      <c r="U180" s="87">
        <v>0</v>
      </c>
      <c r="V180" s="87">
        <v>0</v>
      </c>
      <c r="W180" s="87">
        <v>0</v>
      </c>
      <c r="X180" s="87">
        <v>0</v>
      </c>
      <c r="Y180" s="87">
        <v>0</v>
      </c>
      <c r="Z180" s="87">
        <v>12678628.77450959</v>
      </c>
      <c r="AA180" s="87">
        <v>5016581.6100000003</v>
      </c>
      <c r="AB180" s="87">
        <v>1655471.9312999998</v>
      </c>
      <c r="AC180" s="87">
        <v>0</v>
      </c>
      <c r="AD180" s="87">
        <v>7662047.1645095898</v>
      </c>
      <c r="AE180" s="87">
        <v>2528475.5642881645</v>
      </c>
      <c r="AF180">
        <v>2528475.5642881645</v>
      </c>
      <c r="AG180" s="87"/>
    </row>
    <row r="181" spans="1:33">
      <c r="A181" s="53" t="s">
        <v>662</v>
      </c>
      <c r="B181" t="s">
        <v>214</v>
      </c>
      <c r="C181" t="s">
        <v>209</v>
      </c>
      <c r="E181" t="s">
        <v>209</v>
      </c>
      <c r="F181" t="s">
        <v>209</v>
      </c>
      <c r="G181" t="s">
        <v>210</v>
      </c>
      <c r="H181" t="s">
        <v>346</v>
      </c>
      <c r="I181" t="s">
        <v>15</v>
      </c>
      <c r="J181" t="s">
        <v>15</v>
      </c>
      <c r="K181" s="87">
        <v>-2350438.3545603361</v>
      </c>
      <c r="L181" s="87">
        <v>35201458.692024171</v>
      </c>
      <c r="M181" s="87">
        <v>30208749.761032313</v>
      </c>
      <c r="N181" s="87">
        <v>4992708.9309918582</v>
      </c>
      <c r="O181" s="87">
        <v>36277149.91460444</v>
      </c>
      <c r="P181" s="87">
        <v>8079823.7699999996</v>
      </c>
      <c r="Q181" s="87">
        <v>5437553.1935684774</v>
      </c>
      <c r="R181" s="87">
        <v>30839596.721035965</v>
      </c>
      <c r="S181" s="87">
        <v>1143018</v>
      </c>
      <c r="T181" s="87">
        <v>0</v>
      </c>
      <c r="U181" s="87">
        <v>0</v>
      </c>
      <c r="V181" s="87">
        <v>0</v>
      </c>
      <c r="W181" s="87">
        <v>8352967</v>
      </c>
      <c r="X181" s="87">
        <v>9495985</v>
      </c>
      <c r="Y181" s="87">
        <v>0</v>
      </c>
      <c r="Z181" s="87">
        <v>40335581.721035965</v>
      </c>
      <c r="AA181" s="87">
        <v>17655949.030000001</v>
      </c>
      <c r="AB181" s="87">
        <v>5826463.1798999999</v>
      </c>
      <c r="AC181" s="87">
        <v>0</v>
      </c>
      <c r="AD181" s="87">
        <v>22679632.691035964</v>
      </c>
      <c r="AE181" s="87">
        <v>7484278.7880418673</v>
      </c>
      <c r="AF181">
        <v>7484278.7880418673</v>
      </c>
      <c r="AG181" s="87"/>
    </row>
    <row r="182" spans="1:33">
      <c r="A182" s="53" t="s">
        <v>663</v>
      </c>
      <c r="B182" t="s">
        <v>214</v>
      </c>
      <c r="C182" t="s">
        <v>149</v>
      </c>
      <c r="E182" t="s">
        <v>209</v>
      </c>
      <c r="F182" t="s">
        <v>209</v>
      </c>
      <c r="G182" t="s">
        <v>210</v>
      </c>
      <c r="H182" t="s">
        <v>664</v>
      </c>
      <c r="I182" t="s">
        <v>10</v>
      </c>
      <c r="J182" t="s">
        <v>665</v>
      </c>
      <c r="K182" s="87">
        <v>-2632406.6374946823</v>
      </c>
      <c r="L182" s="87">
        <v>1937725.4276370907</v>
      </c>
      <c r="M182" s="87">
        <v>1529755.9902852864</v>
      </c>
      <c r="N182" s="87">
        <v>407969.43735180423</v>
      </c>
      <c r="O182" s="87">
        <v>2114358.1207619584</v>
      </c>
      <c r="P182" s="87">
        <v>0</v>
      </c>
      <c r="Q182" s="87">
        <v>0</v>
      </c>
      <c r="R182" s="87">
        <v>2114358.1207619584</v>
      </c>
      <c r="S182" s="87">
        <v>0</v>
      </c>
      <c r="T182" s="87">
        <v>0</v>
      </c>
      <c r="U182" s="87">
        <v>0</v>
      </c>
      <c r="V182" s="87">
        <v>0</v>
      </c>
      <c r="W182" s="87">
        <v>0</v>
      </c>
      <c r="X182" s="87">
        <v>0</v>
      </c>
      <c r="Y182" s="87">
        <v>0</v>
      </c>
      <c r="Z182" s="87">
        <v>2114358.1207619584</v>
      </c>
      <c r="AA182" s="87">
        <v>918117.49</v>
      </c>
      <c r="AB182" s="87">
        <v>302978.77169999998</v>
      </c>
      <c r="AC182" s="87">
        <v>0</v>
      </c>
      <c r="AD182" s="87">
        <v>1196240.6307619584</v>
      </c>
      <c r="AE182" s="87">
        <v>394759.4081514462</v>
      </c>
      <c r="AF182">
        <v>394759.4081514462</v>
      </c>
      <c r="AG182" s="87"/>
    </row>
    <row r="183" spans="1:33">
      <c r="A183" s="53" t="s">
        <v>666</v>
      </c>
      <c r="B183" t="s">
        <v>208</v>
      </c>
      <c r="C183" t="s">
        <v>149</v>
      </c>
      <c r="E183" t="s">
        <v>209</v>
      </c>
      <c r="F183" t="s">
        <v>209</v>
      </c>
      <c r="G183" t="s">
        <v>210</v>
      </c>
      <c r="H183" t="s">
        <v>667</v>
      </c>
      <c r="I183" t="s">
        <v>10</v>
      </c>
      <c r="J183" t="s">
        <v>422</v>
      </c>
      <c r="K183" s="87">
        <v>251792.91629040634</v>
      </c>
      <c r="L183" s="87">
        <v>0</v>
      </c>
      <c r="M183" s="87">
        <v>0</v>
      </c>
      <c r="N183" s="87">
        <v>0</v>
      </c>
      <c r="O183" s="87">
        <v>641860.11323212809</v>
      </c>
      <c r="P183" s="87">
        <v>0</v>
      </c>
      <c r="Q183" s="87">
        <v>0</v>
      </c>
      <c r="R183" s="87">
        <v>641860.11323212809</v>
      </c>
      <c r="S183" s="87">
        <v>0</v>
      </c>
      <c r="T183" s="87">
        <v>0</v>
      </c>
      <c r="U183" s="87">
        <v>0</v>
      </c>
      <c r="V183" s="87">
        <v>0</v>
      </c>
      <c r="W183" s="87">
        <v>0</v>
      </c>
      <c r="X183" s="87">
        <v>0</v>
      </c>
      <c r="Y183" s="87">
        <v>0</v>
      </c>
      <c r="Z183" s="87">
        <v>641860.11323212809</v>
      </c>
      <c r="AA183" s="87">
        <v>338308.64</v>
      </c>
      <c r="AB183" s="87">
        <v>111641.85119999999</v>
      </c>
      <c r="AC183" s="87">
        <v>0</v>
      </c>
      <c r="AD183" s="87">
        <v>303551.47323212808</v>
      </c>
      <c r="AE183" s="87">
        <v>100171.98616660225</v>
      </c>
      <c r="AF183">
        <v>100171.98616660225</v>
      </c>
      <c r="AG183" s="87"/>
    </row>
    <row r="184" spans="1:33">
      <c r="A184" s="53" t="s">
        <v>668</v>
      </c>
      <c r="B184" t="s">
        <v>208</v>
      </c>
      <c r="C184" t="s">
        <v>209</v>
      </c>
      <c r="E184" t="s">
        <v>209</v>
      </c>
      <c r="F184" t="s">
        <v>209</v>
      </c>
      <c r="G184" t="s">
        <v>210</v>
      </c>
      <c r="H184" t="s">
        <v>669</v>
      </c>
      <c r="I184" t="s">
        <v>12</v>
      </c>
      <c r="J184" t="s">
        <v>457</v>
      </c>
      <c r="K184" s="87">
        <v>7813970.6145154294</v>
      </c>
      <c r="L184" s="87">
        <v>39277925.297854766</v>
      </c>
      <c r="M184" s="87">
        <v>20026578.303274546</v>
      </c>
      <c r="N184" s="87">
        <v>19251346.99458022</v>
      </c>
      <c r="O184" s="87">
        <v>23300082.851615001</v>
      </c>
      <c r="P184" s="87">
        <v>18646427.799999997</v>
      </c>
      <c r="Q184" s="87">
        <v>0</v>
      </c>
      <c r="R184" s="87">
        <v>23300082.851615001</v>
      </c>
      <c r="S184" s="87">
        <v>4802486</v>
      </c>
      <c r="T184" s="87">
        <v>0</v>
      </c>
      <c r="U184" s="87">
        <v>0</v>
      </c>
      <c r="V184" s="87">
        <v>0</v>
      </c>
      <c r="W184" s="87">
        <v>7938950.5640505683</v>
      </c>
      <c r="X184" s="87">
        <v>12741436.564050568</v>
      </c>
      <c r="Y184" s="87">
        <v>0</v>
      </c>
      <c r="Z184" s="87">
        <v>36041519.415665567</v>
      </c>
      <c r="AA184" s="87">
        <v>18699982.300000001</v>
      </c>
      <c r="AB184" s="87">
        <v>6170994.1589999991</v>
      </c>
      <c r="AC184" s="87">
        <v>0</v>
      </c>
      <c r="AD184" s="87">
        <v>17341537.115665566</v>
      </c>
      <c r="AE184" s="87">
        <v>5722707.2481696373</v>
      </c>
      <c r="AF184">
        <v>5722707.2481696373</v>
      </c>
      <c r="AG184" s="87"/>
    </row>
    <row r="185" spans="1:33">
      <c r="A185" s="53" t="s">
        <v>670</v>
      </c>
      <c r="B185" t="s">
        <v>214</v>
      </c>
      <c r="C185" t="s">
        <v>149</v>
      </c>
      <c r="E185" t="s">
        <v>209</v>
      </c>
      <c r="F185" t="s">
        <v>209</v>
      </c>
      <c r="G185" t="s">
        <v>210</v>
      </c>
      <c r="H185" t="s">
        <v>671</v>
      </c>
      <c r="I185" t="s">
        <v>12</v>
      </c>
      <c r="J185" t="s">
        <v>291</v>
      </c>
      <c r="K185" s="87">
        <v>-5699563.7705171034</v>
      </c>
      <c r="L185" s="87">
        <v>31272366.012512714</v>
      </c>
      <c r="M185" s="87">
        <v>18928907.441547051</v>
      </c>
      <c r="N185" s="87">
        <v>12343458.570965663</v>
      </c>
      <c r="O185" s="87">
        <v>24832678.01060541</v>
      </c>
      <c r="P185" s="87">
        <v>4043757.27</v>
      </c>
      <c r="Q185" s="87">
        <v>0</v>
      </c>
      <c r="R185" s="87">
        <v>24832678.01060541</v>
      </c>
      <c r="S185" s="87">
        <v>0</v>
      </c>
      <c r="T185" s="87">
        <v>0</v>
      </c>
      <c r="U185" s="87">
        <v>0</v>
      </c>
      <c r="V185" s="87">
        <v>0</v>
      </c>
      <c r="W185" s="87">
        <v>0</v>
      </c>
      <c r="X185" s="87">
        <v>0</v>
      </c>
      <c r="Y185" s="87">
        <v>0</v>
      </c>
      <c r="Z185" s="87">
        <v>24832678.01060541</v>
      </c>
      <c r="AA185" s="87">
        <v>11856178.75</v>
      </c>
      <c r="AB185" s="87">
        <v>3912538.9874999993</v>
      </c>
      <c r="AC185" s="87">
        <v>0</v>
      </c>
      <c r="AD185" s="87">
        <v>12976499.26060541</v>
      </c>
      <c r="AE185" s="87">
        <v>4282244.7559997849</v>
      </c>
      <c r="AF185">
        <v>4282244.7559997849</v>
      </c>
      <c r="AG185" s="87"/>
    </row>
    <row r="186" spans="1:33">
      <c r="A186" s="53" t="s">
        <v>672</v>
      </c>
      <c r="B186" t="s">
        <v>539</v>
      </c>
      <c r="C186" t="s">
        <v>209</v>
      </c>
      <c r="E186" t="s">
        <v>209</v>
      </c>
      <c r="F186" t="s">
        <v>209</v>
      </c>
      <c r="G186" t="s">
        <v>210</v>
      </c>
      <c r="H186" t="s">
        <v>673</v>
      </c>
      <c r="I186" t="s">
        <v>3</v>
      </c>
      <c r="J186" t="s">
        <v>3</v>
      </c>
      <c r="K186" s="87">
        <v>86580212.771718711</v>
      </c>
      <c r="L186" s="87">
        <v>262084560.37626016</v>
      </c>
      <c r="M186" s="87">
        <v>136100761.18548331</v>
      </c>
      <c r="N186" s="87">
        <v>125983799.19077685</v>
      </c>
      <c r="O186" s="87">
        <v>199621441.89844486</v>
      </c>
      <c r="P186" s="87">
        <v>110400566.95</v>
      </c>
      <c r="Q186" s="87">
        <v>0</v>
      </c>
      <c r="R186" s="87">
        <v>199621441.89844486</v>
      </c>
      <c r="S186" s="87">
        <v>44911541</v>
      </c>
      <c r="T186" s="87">
        <v>5658093.0999999996</v>
      </c>
      <c r="U186" s="87">
        <v>0</v>
      </c>
      <c r="V186" s="87">
        <v>0</v>
      </c>
      <c r="W186" s="87">
        <v>0</v>
      </c>
      <c r="X186" s="87">
        <v>50569634.100000001</v>
      </c>
      <c r="Y186" s="87">
        <v>73461519.876127154</v>
      </c>
      <c r="Z186" s="87">
        <v>323652595.87457204</v>
      </c>
      <c r="AA186" s="87">
        <v>120183620.14</v>
      </c>
      <c r="AB186" s="87">
        <v>39660594.646199994</v>
      </c>
      <c r="AC186" s="87">
        <v>0</v>
      </c>
      <c r="AD186" s="87">
        <v>130007455.85844488</v>
      </c>
      <c r="AE186" s="87">
        <v>42902460.433286808</v>
      </c>
      <c r="AF186">
        <v>42902460.433286794</v>
      </c>
      <c r="AG186" s="87"/>
    </row>
    <row r="187" spans="1:33">
      <c r="A187" s="53" t="s">
        <v>674</v>
      </c>
      <c r="B187" t="s">
        <v>208</v>
      </c>
      <c r="C187" t="s">
        <v>149</v>
      </c>
      <c r="E187" t="s">
        <v>209</v>
      </c>
      <c r="F187" t="s">
        <v>209</v>
      </c>
      <c r="G187" t="s">
        <v>210</v>
      </c>
      <c r="H187" t="s">
        <v>675</v>
      </c>
      <c r="I187" t="s">
        <v>12</v>
      </c>
      <c r="J187" t="s">
        <v>676</v>
      </c>
      <c r="K187" s="87">
        <v>408489.99003850232</v>
      </c>
      <c r="L187" s="87">
        <v>0</v>
      </c>
      <c r="M187" s="87">
        <v>0</v>
      </c>
      <c r="N187" s="87">
        <v>0</v>
      </c>
      <c r="O187" s="87">
        <v>718961.98776639998</v>
      </c>
      <c r="P187" s="87">
        <v>0</v>
      </c>
      <c r="Q187" s="87">
        <v>0</v>
      </c>
      <c r="R187" s="87">
        <v>718961.98776639998</v>
      </c>
      <c r="S187" s="87">
        <v>0</v>
      </c>
      <c r="T187" s="87">
        <v>0</v>
      </c>
      <c r="U187" s="87">
        <v>0</v>
      </c>
      <c r="V187" s="87">
        <v>0</v>
      </c>
      <c r="W187" s="87">
        <v>0</v>
      </c>
      <c r="X187" s="87">
        <v>0</v>
      </c>
      <c r="Y187" s="87">
        <v>0</v>
      </c>
      <c r="Z187" s="87">
        <v>718961.98776639998</v>
      </c>
      <c r="AA187" s="87">
        <v>254819.53</v>
      </c>
      <c r="AB187" s="87">
        <v>84090.444899999988</v>
      </c>
      <c r="AC187" s="87">
        <v>0</v>
      </c>
      <c r="AD187" s="87">
        <v>464142.45776639995</v>
      </c>
      <c r="AE187" s="87">
        <v>153167.011062912</v>
      </c>
      <c r="AF187">
        <v>153167.011062912</v>
      </c>
      <c r="AG187" s="87"/>
    </row>
    <row r="188" spans="1:33">
      <c r="A188" s="53" t="s">
        <v>677</v>
      </c>
      <c r="B188" t="s">
        <v>208</v>
      </c>
      <c r="C188" t="s">
        <v>209</v>
      </c>
      <c r="E188" t="s">
        <v>209</v>
      </c>
      <c r="F188" t="s">
        <v>209</v>
      </c>
      <c r="G188" t="s">
        <v>210</v>
      </c>
      <c r="H188" t="s">
        <v>678</v>
      </c>
      <c r="I188" t="s">
        <v>12</v>
      </c>
      <c r="J188" t="s">
        <v>679</v>
      </c>
      <c r="K188" s="87">
        <v>11034837.96557238</v>
      </c>
      <c r="L188" s="87">
        <v>25744428.330811508</v>
      </c>
      <c r="M188" s="87">
        <v>14859162.383474305</v>
      </c>
      <c r="N188" s="87">
        <v>10885265.947337203</v>
      </c>
      <c r="O188" s="87">
        <v>16359818.384770021</v>
      </c>
      <c r="P188" s="87">
        <v>15368275.699999999</v>
      </c>
      <c r="Q188" s="87">
        <v>0</v>
      </c>
      <c r="R188" s="87">
        <v>16359818.384770021</v>
      </c>
      <c r="S188" s="87">
        <v>1523018</v>
      </c>
      <c r="T188" s="87">
        <v>0</v>
      </c>
      <c r="U188" s="87">
        <v>0</v>
      </c>
      <c r="V188" s="87">
        <v>0</v>
      </c>
      <c r="W188" s="87">
        <v>8605351</v>
      </c>
      <c r="X188" s="87">
        <v>10128369</v>
      </c>
      <c r="Y188" s="87">
        <v>0</v>
      </c>
      <c r="Z188" s="87">
        <v>26488187.384770021</v>
      </c>
      <c r="AA188" s="87">
        <v>10426100.92</v>
      </c>
      <c r="AB188" s="87">
        <v>3440613.3035999998</v>
      </c>
      <c r="AC188" s="87">
        <v>0</v>
      </c>
      <c r="AD188" s="87">
        <v>16062086.464770021</v>
      </c>
      <c r="AE188" s="87">
        <v>5300488.5333741065</v>
      </c>
      <c r="AF188">
        <v>5300488.5333741065</v>
      </c>
      <c r="AG188" s="87"/>
    </row>
    <row r="189" spans="1:33">
      <c r="A189" s="53" t="s">
        <v>680</v>
      </c>
      <c r="B189" t="s">
        <v>208</v>
      </c>
      <c r="C189" t="s">
        <v>149</v>
      </c>
      <c r="E189" t="s">
        <v>209</v>
      </c>
      <c r="F189" t="s">
        <v>209</v>
      </c>
      <c r="G189" t="s">
        <v>210</v>
      </c>
      <c r="H189" t="s">
        <v>681</v>
      </c>
      <c r="I189" t="s">
        <v>12</v>
      </c>
      <c r="J189" t="s">
        <v>682</v>
      </c>
      <c r="K189" s="87">
        <v>540958.33566655999</v>
      </c>
      <c r="L189" s="87">
        <v>0</v>
      </c>
      <c r="M189" s="87">
        <v>0</v>
      </c>
      <c r="N189" s="87">
        <v>0</v>
      </c>
      <c r="O189" s="87">
        <v>1737782.7287573761</v>
      </c>
      <c r="P189" s="87">
        <v>0</v>
      </c>
      <c r="Q189" s="87">
        <v>0</v>
      </c>
      <c r="R189" s="87">
        <v>1737782.7287573761</v>
      </c>
      <c r="S189" s="87">
        <v>0</v>
      </c>
      <c r="T189" s="87">
        <v>0</v>
      </c>
      <c r="U189" s="87">
        <v>0</v>
      </c>
      <c r="V189" s="87">
        <v>0</v>
      </c>
      <c r="W189" s="87">
        <v>0</v>
      </c>
      <c r="X189" s="87">
        <v>0</v>
      </c>
      <c r="Y189" s="87">
        <v>0</v>
      </c>
      <c r="Z189" s="87">
        <v>1737782.7287573761</v>
      </c>
      <c r="AA189" s="87">
        <v>516967.88</v>
      </c>
      <c r="AB189" s="87">
        <v>170599.40039999998</v>
      </c>
      <c r="AC189" s="87">
        <v>0</v>
      </c>
      <c r="AD189" s="87">
        <v>1220814.848757376</v>
      </c>
      <c r="AE189" s="87">
        <v>402868.90008993406</v>
      </c>
      <c r="AF189">
        <v>402868.90008993406</v>
      </c>
      <c r="AG189" s="87"/>
    </row>
    <row r="190" spans="1:33">
      <c r="A190" s="53" t="s">
        <v>683</v>
      </c>
      <c r="B190" t="s">
        <v>208</v>
      </c>
      <c r="C190" t="s">
        <v>149</v>
      </c>
      <c r="E190" t="s">
        <v>209</v>
      </c>
      <c r="F190" t="s">
        <v>209</v>
      </c>
      <c r="G190" t="s">
        <v>210</v>
      </c>
      <c r="H190" t="s">
        <v>684</v>
      </c>
      <c r="I190" t="s">
        <v>12</v>
      </c>
      <c r="J190" t="s">
        <v>685</v>
      </c>
      <c r="K190" s="87">
        <v>622027.30313041934</v>
      </c>
      <c r="L190" s="87">
        <v>0</v>
      </c>
      <c r="M190" s="87">
        <v>0</v>
      </c>
      <c r="N190" s="87">
        <v>0</v>
      </c>
      <c r="O190" s="87">
        <v>1119711.457947264</v>
      </c>
      <c r="P190" s="87">
        <v>0</v>
      </c>
      <c r="Q190" s="87">
        <v>0</v>
      </c>
      <c r="R190" s="87">
        <v>1119711.457947264</v>
      </c>
      <c r="S190" s="87">
        <v>0</v>
      </c>
      <c r="T190" s="87">
        <v>0</v>
      </c>
      <c r="U190" s="87">
        <v>0</v>
      </c>
      <c r="V190" s="87">
        <v>0</v>
      </c>
      <c r="W190" s="87">
        <v>0</v>
      </c>
      <c r="X190" s="87">
        <v>0</v>
      </c>
      <c r="Y190" s="87">
        <v>0</v>
      </c>
      <c r="Z190" s="87">
        <v>1119711.457947264</v>
      </c>
      <c r="AA190" s="87">
        <v>157541.69</v>
      </c>
      <c r="AB190" s="87">
        <v>51988.757699999995</v>
      </c>
      <c r="AC190" s="87">
        <v>0</v>
      </c>
      <c r="AD190" s="87">
        <v>962169.76794726402</v>
      </c>
      <c r="AE190" s="87">
        <v>317516.02342259703</v>
      </c>
      <c r="AF190">
        <v>317516.02342259703</v>
      </c>
      <c r="AG190" s="87"/>
    </row>
    <row r="191" spans="1:33">
      <c r="A191" s="53" t="s">
        <v>686</v>
      </c>
      <c r="B191" t="s">
        <v>214</v>
      </c>
      <c r="C191" t="s">
        <v>209</v>
      </c>
      <c r="E191" t="s">
        <v>209</v>
      </c>
      <c r="F191" t="s">
        <v>209</v>
      </c>
      <c r="G191" t="s">
        <v>210</v>
      </c>
      <c r="H191" t="s">
        <v>687</v>
      </c>
      <c r="I191" t="s">
        <v>14</v>
      </c>
      <c r="J191" t="s">
        <v>14</v>
      </c>
      <c r="K191" s="87">
        <v>1166368.7589470923</v>
      </c>
      <c r="L191" s="87">
        <v>19694887.588281129</v>
      </c>
      <c r="M191" s="87">
        <v>13963689.438422002</v>
      </c>
      <c r="N191" s="87">
        <v>5731198.1498591267</v>
      </c>
      <c r="O191" s="87">
        <v>18396343.32085555</v>
      </c>
      <c r="P191" s="87">
        <v>0</v>
      </c>
      <c r="Q191" s="87">
        <v>0</v>
      </c>
      <c r="R191" s="87">
        <v>18396343.32085555</v>
      </c>
      <c r="S191" s="87">
        <v>0</v>
      </c>
      <c r="T191" s="87">
        <v>0</v>
      </c>
      <c r="U191" s="87">
        <v>0</v>
      </c>
      <c r="V191" s="87">
        <v>0</v>
      </c>
      <c r="W191" s="87">
        <v>0</v>
      </c>
      <c r="X191" s="87">
        <v>0</v>
      </c>
      <c r="Y191" s="87">
        <v>0</v>
      </c>
      <c r="Z191" s="87">
        <v>18396343.32085555</v>
      </c>
      <c r="AA191" s="87">
        <v>4582055.96</v>
      </c>
      <c r="AB191" s="87">
        <v>1512078.4667999998</v>
      </c>
      <c r="AC191" s="87">
        <v>0</v>
      </c>
      <c r="AD191" s="87">
        <v>13814287.36085555</v>
      </c>
      <c r="AE191" s="87">
        <v>4558714.8290823316</v>
      </c>
      <c r="AF191">
        <v>4558714.8290823316</v>
      </c>
      <c r="AG191" s="87"/>
    </row>
    <row r="192" spans="1:33">
      <c r="A192" s="53" t="s">
        <v>688</v>
      </c>
      <c r="B192" t="s">
        <v>214</v>
      </c>
      <c r="C192" t="s">
        <v>149</v>
      </c>
      <c r="E192" t="s">
        <v>209</v>
      </c>
      <c r="F192" t="s">
        <v>209</v>
      </c>
      <c r="G192" t="s">
        <v>210</v>
      </c>
      <c r="H192" t="s">
        <v>689</v>
      </c>
      <c r="I192" t="s">
        <v>15</v>
      </c>
      <c r="J192" t="s">
        <v>242</v>
      </c>
      <c r="K192" s="87">
        <v>669619.85011535359</v>
      </c>
      <c r="L192" s="87">
        <v>0</v>
      </c>
      <c r="M192" s="87">
        <v>0</v>
      </c>
      <c r="N192" s="87">
        <v>0</v>
      </c>
      <c r="O192" s="87">
        <v>3136592.1449516583</v>
      </c>
      <c r="P192" s="87">
        <v>0</v>
      </c>
      <c r="Q192" s="87">
        <v>0</v>
      </c>
      <c r="R192" s="87">
        <v>3136592.1449516583</v>
      </c>
      <c r="S192" s="87">
        <v>524509</v>
      </c>
      <c r="T192" s="87">
        <v>0</v>
      </c>
      <c r="U192" s="87">
        <v>0</v>
      </c>
      <c r="V192" s="87">
        <v>0</v>
      </c>
      <c r="W192" s="87">
        <v>0</v>
      </c>
      <c r="X192" s="87">
        <v>524509</v>
      </c>
      <c r="Y192" s="87">
        <v>0</v>
      </c>
      <c r="Z192" s="87">
        <v>3661101.1449516583</v>
      </c>
      <c r="AA192" s="87">
        <v>1277258.03</v>
      </c>
      <c r="AB192" s="87">
        <v>421495.14989999996</v>
      </c>
      <c r="AC192" s="87">
        <v>0</v>
      </c>
      <c r="AD192" s="87">
        <v>2383843.1149516581</v>
      </c>
      <c r="AE192" s="87">
        <v>786668.22793404723</v>
      </c>
      <c r="AF192">
        <v>786668.22793404723</v>
      </c>
      <c r="AG192" s="87"/>
    </row>
    <row r="193" spans="1:33">
      <c r="A193" s="53" t="s">
        <v>690</v>
      </c>
      <c r="B193" t="s">
        <v>208</v>
      </c>
      <c r="C193" t="s">
        <v>149</v>
      </c>
      <c r="E193" t="s">
        <v>209</v>
      </c>
      <c r="F193" t="s">
        <v>209</v>
      </c>
      <c r="G193" t="s">
        <v>210</v>
      </c>
      <c r="H193" t="s">
        <v>691</v>
      </c>
      <c r="I193" t="s">
        <v>12</v>
      </c>
      <c r="J193" t="s">
        <v>692</v>
      </c>
      <c r="K193" s="87">
        <v>954881.14950860816</v>
      </c>
      <c r="L193" s="87">
        <v>3106031.9579367545</v>
      </c>
      <c r="M193" s="87">
        <v>1376427.1354107903</v>
      </c>
      <c r="N193" s="87">
        <v>1729604.8225259641</v>
      </c>
      <c r="O193" s="87">
        <v>1733145.1838288896</v>
      </c>
      <c r="P193" s="87">
        <v>1758333.53</v>
      </c>
      <c r="Q193" s="87">
        <v>0</v>
      </c>
      <c r="R193" s="87">
        <v>1733145.1838288896</v>
      </c>
      <c r="S193" s="87">
        <v>23683</v>
      </c>
      <c r="T193" s="87">
        <v>0</v>
      </c>
      <c r="U193" s="87">
        <v>0</v>
      </c>
      <c r="V193" s="87">
        <v>0</v>
      </c>
      <c r="W193" s="87">
        <v>0</v>
      </c>
      <c r="X193" s="87">
        <v>23683</v>
      </c>
      <c r="Y193" s="87">
        <v>0</v>
      </c>
      <c r="Z193" s="87">
        <v>1756828.1838288896</v>
      </c>
      <c r="AA193" s="87">
        <v>1196901.79</v>
      </c>
      <c r="AB193" s="87">
        <v>394977.59069999994</v>
      </c>
      <c r="AC193" s="87">
        <v>0</v>
      </c>
      <c r="AD193" s="87">
        <v>559926.39382888959</v>
      </c>
      <c r="AE193" s="87">
        <v>184775.70996353356</v>
      </c>
      <c r="AF193">
        <v>184775.70996353356</v>
      </c>
      <c r="AG193" s="87"/>
    </row>
    <row r="194" spans="1:33">
      <c r="A194" s="53" t="s">
        <v>693</v>
      </c>
      <c r="B194" t="s">
        <v>208</v>
      </c>
      <c r="C194" t="s">
        <v>149</v>
      </c>
      <c r="E194" t="s">
        <v>209</v>
      </c>
      <c r="F194" t="s">
        <v>209</v>
      </c>
      <c r="G194" t="s">
        <v>210</v>
      </c>
      <c r="H194" t="s">
        <v>694</v>
      </c>
      <c r="I194" t="s">
        <v>12</v>
      </c>
      <c r="J194" t="s">
        <v>695</v>
      </c>
      <c r="K194" s="87">
        <v>363778.47774589446</v>
      </c>
      <c r="L194" s="87">
        <v>0</v>
      </c>
      <c r="M194" s="87">
        <v>0</v>
      </c>
      <c r="N194" s="87">
        <v>0</v>
      </c>
      <c r="O194" s="87">
        <v>2755329.7931871489</v>
      </c>
      <c r="P194" s="87">
        <v>0</v>
      </c>
      <c r="Q194" s="87">
        <v>0</v>
      </c>
      <c r="R194" s="87">
        <v>2755329.7931871489</v>
      </c>
      <c r="S194" s="87">
        <v>136525</v>
      </c>
      <c r="T194" s="87">
        <v>0</v>
      </c>
      <c r="U194" s="87">
        <v>0</v>
      </c>
      <c r="V194" s="87">
        <v>0</v>
      </c>
      <c r="W194" s="87">
        <v>0</v>
      </c>
      <c r="X194" s="87">
        <v>136525</v>
      </c>
      <c r="Y194" s="87">
        <v>0</v>
      </c>
      <c r="Z194" s="87">
        <v>2891854.7931871489</v>
      </c>
      <c r="AA194" s="87">
        <v>578246.44999999995</v>
      </c>
      <c r="AB194" s="87">
        <v>190821.32849999997</v>
      </c>
      <c r="AC194" s="87">
        <v>0</v>
      </c>
      <c r="AD194" s="87">
        <v>2313608.3431871487</v>
      </c>
      <c r="AE194" s="87">
        <v>763490.7532517591</v>
      </c>
      <c r="AF194">
        <v>763490.7532517591</v>
      </c>
      <c r="AG194" s="87"/>
    </row>
    <row r="195" spans="1:33">
      <c r="A195" s="53" t="s">
        <v>696</v>
      </c>
      <c r="B195" t="s">
        <v>208</v>
      </c>
      <c r="C195" t="s">
        <v>149</v>
      </c>
      <c r="E195" t="s">
        <v>209</v>
      </c>
      <c r="F195" t="s">
        <v>209</v>
      </c>
      <c r="G195" t="s">
        <v>210</v>
      </c>
      <c r="H195" t="s">
        <v>697</v>
      </c>
      <c r="I195" t="s">
        <v>7</v>
      </c>
      <c r="J195" t="s">
        <v>698</v>
      </c>
      <c r="K195" s="87">
        <v>2409314.5696736267</v>
      </c>
      <c r="L195" s="87">
        <v>2987888.3160269298</v>
      </c>
      <c r="M195" s="87">
        <v>249548.5606587904</v>
      </c>
      <c r="N195" s="87">
        <v>2738339.7553681396</v>
      </c>
      <c r="O195" s="87">
        <v>1753857.8074622976</v>
      </c>
      <c r="P195" s="87">
        <v>1843520.25</v>
      </c>
      <c r="Q195" s="87">
        <v>0</v>
      </c>
      <c r="R195" s="87">
        <v>1753857.8074622976</v>
      </c>
      <c r="S195" s="87">
        <v>0</v>
      </c>
      <c r="T195" s="87">
        <v>0</v>
      </c>
      <c r="U195" s="87">
        <v>0</v>
      </c>
      <c r="V195" s="87">
        <v>0</v>
      </c>
      <c r="W195" s="87">
        <v>0</v>
      </c>
      <c r="X195" s="87">
        <v>0</v>
      </c>
      <c r="Y195" s="87">
        <v>0</v>
      </c>
      <c r="Z195" s="87">
        <v>1753857.8074622976</v>
      </c>
      <c r="AA195" s="87">
        <v>420404.23</v>
      </c>
      <c r="AB195" s="87">
        <v>138733.39589999997</v>
      </c>
      <c r="AC195" s="87">
        <v>0</v>
      </c>
      <c r="AD195" s="87">
        <v>1333453.5774622976</v>
      </c>
      <c r="AE195" s="87">
        <v>440039.68056255812</v>
      </c>
      <c r="AF195">
        <v>440039.68056255812</v>
      </c>
      <c r="AG195" s="87"/>
    </row>
    <row r="196" spans="1:33">
      <c r="A196" s="53" t="s">
        <v>699</v>
      </c>
      <c r="B196" t="s">
        <v>208</v>
      </c>
      <c r="C196" t="s">
        <v>149</v>
      </c>
      <c r="E196" t="s">
        <v>209</v>
      </c>
      <c r="F196" t="s">
        <v>209</v>
      </c>
      <c r="G196" t="s">
        <v>210</v>
      </c>
      <c r="H196" t="s">
        <v>700</v>
      </c>
      <c r="I196" t="s">
        <v>8</v>
      </c>
      <c r="J196" t="s">
        <v>701</v>
      </c>
      <c r="K196" s="87">
        <v>469624.02110830089</v>
      </c>
      <c r="L196" s="87">
        <v>0</v>
      </c>
      <c r="M196" s="87">
        <v>0</v>
      </c>
      <c r="N196" s="87">
        <v>0</v>
      </c>
      <c r="O196" s="87">
        <v>1163430.0856795902</v>
      </c>
      <c r="P196" s="87">
        <v>0</v>
      </c>
      <c r="Q196" s="87">
        <v>0</v>
      </c>
      <c r="R196" s="87">
        <v>1163430.0856795902</v>
      </c>
      <c r="S196" s="87">
        <v>277522</v>
      </c>
      <c r="T196" s="87">
        <v>0</v>
      </c>
      <c r="U196" s="87">
        <v>0</v>
      </c>
      <c r="V196" s="87">
        <v>0</v>
      </c>
      <c r="W196" s="87">
        <v>0</v>
      </c>
      <c r="X196" s="87">
        <v>277522</v>
      </c>
      <c r="Y196" s="87">
        <v>0</v>
      </c>
      <c r="Z196" s="87">
        <v>1440952.0856795902</v>
      </c>
      <c r="AA196" s="87">
        <v>432291.3</v>
      </c>
      <c r="AB196" s="87">
        <v>142656.12899999999</v>
      </c>
      <c r="AC196" s="87">
        <v>0</v>
      </c>
      <c r="AD196" s="87">
        <v>1008660.7856795902</v>
      </c>
      <c r="AE196" s="87">
        <v>332858.05927426473</v>
      </c>
      <c r="AF196">
        <v>332858.05927426473</v>
      </c>
      <c r="AG196" s="87"/>
    </row>
    <row r="197" spans="1:33">
      <c r="A197" s="53" t="s">
        <v>702</v>
      </c>
      <c r="B197" t="s">
        <v>208</v>
      </c>
      <c r="C197" t="s">
        <v>149</v>
      </c>
      <c r="E197" t="s">
        <v>209</v>
      </c>
      <c r="F197" t="s">
        <v>209</v>
      </c>
      <c r="G197" t="s">
        <v>210</v>
      </c>
      <c r="H197" t="s">
        <v>703</v>
      </c>
      <c r="I197" t="s">
        <v>13</v>
      </c>
      <c r="J197" t="s">
        <v>704</v>
      </c>
      <c r="K197" s="87">
        <v>942670.22632957425</v>
      </c>
      <c r="L197" s="87">
        <v>0</v>
      </c>
      <c r="M197" s="87">
        <v>0</v>
      </c>
      <c r="N197" s="87">
        <v>0</v>
      </c>
      <c r="O197" s="87">
        <v>3306756.6163163395</v>
      </c>
      <c r="P197" s="87">
        <v>0</v>
      </c>
      <c r="Q197" s="87">
        <v>0</v>
      </c>
      <c r="R197" s="87">
        <v>3306756.6163163395</v>
      </c>
      <c r="S197" s="87">
        <v>184159.78</v>
      </c>
      <c r="T197" s="87">
        <v>0</v>
      </c>
      <c r="U197" s="87">
        <v>0</v>
      </c>
      <c r="V197" s="87">
        <v>0</v>
      </c>
      <c r="W197" s="87">
        <v>0</v>
      </c>
      <c r="X197" s="87">
        <v>184159.78</v>
      </c>
      <c r="Y197" s="87">
        <v>0</v>
      </c>
      <c r="Z197" s="87">
        <v>3490916.3963163393</v>
      </c>
      <c r="AA197" s="87">
        <v>1084776.32</v>
      </c>
      <c r="AB197" s="87">
        <v>357976.18559999997</v>
      </c>
      <c r="AC197" s="87">
        <v>0</v>
      </c>
      <c r="AD197" s="87">
        <v>2406140.076316339</v>
      </c>
      <c r="AE197" s="87">
        <v>794026.22518439195</v>
      </c>
      <c r="AF197">
        <v>794026.22518439195</v>
      </c>
      <c r="AG197" s="87"/>
    </row>
    <row r="198" spans="1:33">
      <c r="A198" s="53" t="s">
        <v>705</v>
      </c>
      <c r="B198" t="s">
        <v>214</v>
      </c>
      <c r="C198" t="s">
        <v>149</v>
      </c>
      <c r="E198" t="s">
        <v>209</v>
      </c>
      <c r="F198" t="s">
        <v>209</v>
      </c>
      <c r="G198" t="s">
        <v>210</v>
      </c>
      <c r="H198" t="s">
        <v>706</v>
      </c>
      <c r="I198" t="s">
        <v>10</v>
      </c>
      <c r="J198" t="s">
        <v>707</v>
      </c>
      <c r="K198" s="87">
        <v>137222.97500620774</v>
      </c>
      <c r="L198" s="87">
        <v>0</v>
      </c>
      <c r="M198" s="87">
        <v>0</v>
      </c>
      <c r="N198" s="87">
        <v>0</v>
      </c>
      <c r="O198" s="87">
        <v>3303526.4022448128</v>
      </c>
      <c r="P198" s="87">
        <v>0</v>
      </c>
      <c r="Q198" s="87">
        <v>0</v>
      </c>
      <c r="R198" s="87">
        <v>3303526.4022448128</v>
      </c>
      <c r="S198" s="87">
        <v>568418.83000000007</v>
      </c>
      <c r="T198" s="87">
        <v>0</v>
      </c>
      <c r="U198" s="87">
        <v>0</v>
      </c>
      <c r="V198" s="87">
        <v>0</v>
      </c>
      <c r="W198" s="87">
        <v>0</v>
      </c>
      <c r="X198" s="87">
        <v>568418.83000000007</v>
      </c>
      <c r="Y198" s="87">
        <v>0</v>
      </c>
      <c r="Z198" s="87">
        <v>3871945.2322448129</v>
      </c>
      <c r="AA198" s="87">
        <v>1693963.16</v>
      </c>
      <c r="AB198" s="87">
        <v>559007.84279999987</v>
      </c>
      <c r="AC198" s="87">
        <v>0</v>
      </c>
      <c r="AD198" s="87">
        <v>2177982.0722448127</v>
      </c>
      <c r="AE198" s="87">
        <v>718734.08384078823</v>
      </c>
      <c r="AF198">
        <v>718734.08384078823</v>
      </c>
      <c r="AG198" s="87"/>
    </row>
    <row r="199" spans="1:33">
      <c r="A199" s="53" t="s">
        <v>708</v>
      </c>
      <c r="B199" t="s">
        <v>214</v>
      </c>
      <c r="C199" t="s">
        <v>149</v>
      </c>
      <c r="E199" t="s">
        <v>209</v>
      </c>
      <c r="F199" t="s">
        <v>209</v>
      </c>
      <c r="G199" t="s">
        <v>210</v>
      </c>
      <c r="H199" t="s">
        <v>709</v>
      </c>
      <c r="I199" t="s">
        <v>13</v>
      </c>
      <c r="J199" t="s">
        <v>710</v>
      </c>
      <c r="K199" s="87">
        <v>119728.51464716817</v>
      </c>
      <c r="L199" s="87">
        <v>5525595.846890389</v>
      </c>
      <c r="M199" s="87">
        <v>3436663.7777934335</v>
      </c>
      <c r="N199" s="87">
        <v>2088932.0690969555</v>
      </c>
      <c r="O199" s="87">
        <v>5566235.3979330556</v>
      </c>
      <c r="P199" s="87">
        <v>1242294.68</v>
      </c>
      <c r="Q199" s="87">
        <v>0</v>
      </c>
      <c r="R199" s="87">
        <v>5566235.3979330556</v>
      </c>
      <c r="S199" s="87">
        <v>18722</v>
      </c>
      <c r="T199" s="87">
        <v>0</v>
      </c>
      <c r="U199" s="87">
        <v>65508</v>
      </c>
      <c r="V199" s="87">
        <v>0</v>
      </c>
      <c r="W199" s="87">
        <v>901183.72346075927</v>
      </c>
      <c r="X199" s="87">
        <v>985413.72346075927</v>
      </c>
      <c r="Y199" s="87">
        <v>0</v>
      </c>
      <c r="Z199" s="87">
        <v>6551649.1213938147</v>
      </c>
      <c r="AA199" s="87">
        <v>2329708.35</v>
      </c>
      <c r="AB199" s="87">
        <v>768803.75549999997</v>
      </c>
      <c r="AC199" s="87">
        <v>0</v>
      </c>
      <c r="AD199" s="87">
        <v>4221940.7713938151</v>
      </c>
      <c r="AE199" s="87">
        <v>1393240.4545599585</v>
      </c>
      <c r="AF199">
        <v>1393240.4545599585</v>
      </c>
      <c r="AG199" s="87"/>
    </row>
    <row r="200" spans="1:33">
      <c r="A200" s="53" t="s">
        <v>711</v>
      </c>
      <c r="B200" t="s">
        <v>214</v>
      </c>
      <c r="C200" t="s">
        <v>209</v>
      </c>
      <c r="E200" t="s">
        <v>209</v>
      </c>
      <c r="F200" t="s">
        <v>209</v>
      </c>
      <c r="G200" t="s">
        <v>210</v>
      </c>
      <c r="H200" t="s">
        <v>712</v>
      </c>
      <c r="I200" t="s">
        <v>3</v>
      </c>
      <c r="J200" t="s">
        <v>3</v>
      </c>
      <c r="K200" s="87">
        <v>-170915.2522572639</v>
      </c>
      <c r="L200" s="87">
        <v>25670874.241032925</v>
      </c>
      <c r="M200" s="87">
        <v>17558876.475520205</v>
      </c>
      <c r="N200" s="87">
        <v>8111997.7655127198</v>
      </c>
      <c r="O200" s="87">
        <v>14327830.845261298</v>
      </c>
      <c r="P200" s="87">
        <v>5165099.0199999996</v>
      </c>
      <c r="Q200" s="87">
        <v>0</v>
      </c>
      <c r="R200" s="87">
        <v>14327830.845261298</v>
      </c>
      <c r="S200" s="87">
        <v>1075393</v>
      </c>
      <c r="T200" s="87">
        <v>0</v>
      </c>
      <c r="U200" s="87">
        <v>954731.2</v>
      </c>
      <c r="V200" s="87">
        <v>0</v>
      </c>
      <c r="W200" s="87">
        <v>8966970.3337556086</v>
      </c>
      <c r="X200" s="87">
        <v>10997094.533755608</v>
      </c>
      <c r="Y200" s="87">
        <v>0</v>
      </c>
      <c r="Z200" s="87">
        <v>25324925.379016906</v>
      </c>
      <c r="AA200" s="87">
        <v>9105944.0399999991</v>
      </c>
      <c r="AB200" s="87">
        <v>3004961.5331999995</v>
      </c>
      <c r="AC200" s="87">
        <v>0</v>
      </c>
      <c r="AD200" s="87">
        <v>16218981.339016907</v>
      </c>
      <c r="AE200" s="87">
        <v>5352263.8418755783</v>
      </c>
      <c r="AF200">
        <v>5352263.8418755783</v>
      </c>
      <c r="AG200" s="87"/>
    </row>
    <row r="201" spans="1:33">
      <c r="A201" s="53" t="s">
        <v>713</v>
      </c>
      <c r="B201" t="s">
        <v>208</v>
      </c>
      <c r="C201" t="s">
        <v>209</v>
      </c>
      <c r="E201" t="s">
        <v>209</v>
      </c>
      <c r="F201" t="s">
        <v>209</v>
      </c>
      <c r="G201" t="s">
        <v>210</v>
      </c>
      <c r="H201" t="s">
        <v>714</v>
      </c>
      <c r="I201" t="s">
        <v>9</v>
      </c>
      <c r="J201" t="s">
        <v>9</v>
      </c>
      <c r="K201" s="87">
        <v>18950.5105664</v>
      </c>
      <c r="L201" s="87">
        <v>0</v>
      </c>
      <c r="M201" s="87">
        <v>0</v>
      </c>
      <c r="N201" s="87">
        <v>0</v>
      </c>
      <c r="O201" s="87">
        <v>0</v>
      </c>
      <c r="P201" s="87">
        <v>0</v>
      </c>
      <c r="Q201" s="87">
        <v>0</v>
      </c>
      <c r="R201" s="87">
        <v>0</v>
      </c>
      <c r="S201" s="87">
        <v>0</v>
      </c>
      <c r="T201" s="87">
        <v>0</v>
      </c>
      <c r="U201" s="87">
        <v>0</v>
      </c>
      <c r="V201" s="87">
        <v>0</v>
      </c>
      <c r="W201" s="87">
        <v>57104</v>
      </c>
      <c r="X201" s="87">
        <v>57104</v>
      </c>
      <c r="Y201" s="87">
        <v>0</v>
      </c>
      <c r="Z201" s="87">
        <v>57104</v>
      </c>
      <c r="AA201" s="87">
        <v>126038.92</v>
      </c>
      <c r="AB201" s="87">
        <v>41592.843599999993</v>
      </c>
      <c r="AC201" s="87">
        <v>0</v>
      </c>
      <c r="AD201" s="87">
        <v>-68934.92</v>
      </c>
      <c r="AE201" s="87">
        <v>-22748.523599999997</v>
      </c>
      <c r="AF201">
        <v>0</v>
      </c>
      <c r="AG201" s="87"/>
    </row>
    <row r="202" spans="1:33">
      <c r="A202" s="53" t="s">
        <v>715</v>
      </c>
      <c r="B202" t="s">
        <v>208</v>
      </c>
      <c r="C202" t="s">
        <v>149</v>
      </c>
      <c r="E202" t="s">
        <v>209</v>
      </c>
      <c r="F202" t="s">
        <v>209</v>
      </c>
      <c r="G202" t="s">
        <v>210</v>
      </c>
      <c r="H202" t="s">
        <v>716</v>
      </c>
      <c r="I202" t="s">
        <v>12</v>
      </c>
      <c r="J202" t="s">
        <v>717</v>
      </c>
      <c r="K202" s="87">
        <v>377324.64821112325</v>
      </c>
      <c r="L202" s="87">
        <v>0</v>
      </c>
      <c r="M202" s="87">
        <v>0</v>
      </c>
      <c r="N202" s="87">
        <v>0</v>
      </c>
      <c r="O202" s="87">
        <v>1445401.6005087232</v>
      </c>
      <c r="P202" s="87">
        <v>0</v>
      </c>
      <c r="Q202" s="87">
        <v>0</v>
      </c>
      <c r="R202" s="87">
        <v>1445401.6005087232</v>
      </c>
      <c r="S202" s="87">
        <v>0</v>
      </c>
      <c r="T202" s="87">
        <v>0</v>
      </c>
      <c r="U202" s="87">
        <v>0</v>
      </c>
      <c r="V202" s="87">
        <v>0</v>
      </c>
      <c r="W202" s="87">
        <v>0</v>
      </c>
      <c r="X202" s="87">
        <v>0</v>
      </c>
      <c r="Y202" s="87">
        <v>0</v>
      </c>
      <c r="Z202" s="87">
        <v>1445401.6005087232</v>
      </c>
      <c r="AA202" s="87">
        <v>658713.5</v>
      </c>
      <c r="AB202" s="87">
        <v>217375.45499999999</v>
      </c>
      <c r="AC202" s="87">
        <v>0</v>
      </c>
      <c r="AD202" s="87">
        <v>786688.10050872318</v>
      </c>
      <c r="AE202" s="87">
        <v>259607.07316787858</v>
      </c>
      <c r="AF202">
        <v>259607.07316787858</v>
      </c>
      <c r="AG202" s="87"/>
    </row>
    <row r="203" spans="1:33">
      <c r="A203" s="53" t="s">
        <v>718</v>
      </c>
      <c r="B203" t="s">
        <v>214</v>
      </c>
      <c r="C203" t="s">
        <v>149</v>
      </c>
      <c r="E203" t="s">
        <v>209</v>
      </c>
      <c r="F203" t="s">
        <v>209</v>
      </c>
      <c r="G203" t="s">
        <v>210</v>
      </c>
      <c r="H203" t="s">
        <v>719</v>
      </c>
      <c r="I203" t="s">
        <v>12</v>
      </c>
      <c r="J203" t="s">
        <v>476</v>
      </c>
      <c r="K203" s="87">
        <v>-4177482.140467165</v>
      </c>
      <c r="L203" s="87">
        <v>17144718.473052979</v>
      </c>
      <c r="M203" s="87">
        <v>14808416.600162692</v>
      </c>
      <c r="N203" s="87">
        <v>2336301.8728902861</v>
      </c>
      <c r="O203" s="87">
        <v>16215814.863003096</v>
      </c>
      <c r="P203" s="87">
        <v>4834404.4600000009</v>
      </c>
      <c r="Q203" s="87">
        <v>4834404.4600000009</v>
      </c>
      <c r="R203" s="87">
        <v>11381410.403003095</v>
      </c>
      <c r="S203" s="87">
        <v>671603</v>
      </c>
      <c r="T203" s="87">
        <v>0</v>
      </c>
      <c r="U203" s="87">
        <v>0</v>
      </c>
      <c r="V203" s="87">
        <v>0</v>
      </c>
      <c r="W203" s="87">
        <v>0</v>
      </c>
      <c r="X203" s="87">
        <v>671603</v>
      </c>
      <c r="Y203" s="87">
        <v>0</v>
      </c>
      <c r="Z203" s="87">
        <v>12053013.403003095</v>
      </c>
      <c r="AA203" s="87">
        <v>9042047.5600000005</v>
      </c>
      <c r="AB203" s="87">
        <v>2983875.6947999997</v>
      </c>
      <c r="AC203" s="87">
        <v>0</v>
      </c>
      <c r="AD203" s="87">
        <v>3010965.8430030942</v>
      </c>
      <c r="AE203" s="87">
        <v>993618.7281910209</v>
      </c>
      <c r="AF203">
        <v>993618.7281910209</v>
      </c>
      <c r="AG203" s="87"/>
    </row>
    <row r="204" spans="1:33">
      <c r="A204" s="53" t="s">
        <v>720</v>
      </c>
      <c r="B204" t="s">
        <v>208</v>
      </c>
      <c r="C204" t="s">
        <v>149</v>
      </c>
      <c r="E204" t="s">
        <v>209</v>
      </c>
      <c r="F204" t="s">
        <v>209</v>
      </c>
      <c r="G204" t="s">
        <v>210</v>
      </c>
      <c r="H204" t="s">
        <v>721</v>
      </c>
      <c r="I204" t="s">
        <v>12</v>
      </c>
      <c r="J204" t="s">
        <v>722</v>
      </c>
      <c r="K204" s="87">
        <v>1598079.9651505919</v>
      </c>
      <c r="L204" s="87">
        <v>1630659.3356719825</v>
      </c>
      <c r="M204" s="87">
        <v>1069563.3823117823</v>
      </c>
      <c r="N204" s="87">
        <v>561095.95336020016</v>
      </c>
      <c r="O204" s="87">
        <v>1494601.4869793281</v>
      </c>
      <c r="P204" s="87">
        <v>909513.34000000008</v>
      </c>
      <c r="Q204" s="87">
        <v>0</v>
      </c>
      <c r="R204" s="87">
        <v>1494601.4869793281</v>
      </c>
      <c r="S204" s="87">
        <v>0</v>
      </c>
      <c r="T204" s="87">
        <v>0</v>
      </c>
      <c r="U204" s="87">
        <v>0</v>
      </c>
      <c r="V204" s="87">
        <v>0</v>
      </c>
      <c r="W204" s="87">
        <v>0</v>
      </c>
      <c r="X204" s="87">
        <v>0</v>
      </c>
      <c r="Y204" s="87">
        <v>0</v>
      </c>
      <c r="Z204" s="87">
        <v>1494601.4869793281</v>
      </c>
      <c r="AA204" s="87">
        <v>746931.29</v>
      </c>
      <c r="AB204" s="87">
        <v>246487.32569999999</v>
      </c>
      <c r="AC204" s="87">
        <v>0</v>
      </c>
      <c r="AD204" s="87">
        <v>747670.19697932806</v>
      </c>
      <c r="AE204" s="87">
        <v>246731.16500317823</v>
      </c>
      <c r="AF204">
        <v>246731.16500317823</v>
      </c>
      <c r="AG204" s="87"/>
    </row>
    <row r="205" spans="1:33">
      <c r="A205" s="53" t="s">
        <v>723</v>
      </c>
      <c r="B205" t="s">
        <v>214</v>
      </c>
      <c r="C205" t="s">
        <v>209</v>
      </c>
      <c r="E205" t="s">
        <v>209</v>
      </c>
      <c r="F205" t="s">
        <v>209</v>
      </c>
      <c r="G205" t="s">
        <v>210</v>
      </c>
      <c r="H205" t="s">
        <v>724</v>
      </c>
      <c r="I205" t="s">
        <v>9</v>
      </c>
      <c r="J205" t="s">
        <v>725</v>
      </c>
      <c r="K205" s="87">
        <v>70197.694269838277</v>
      </c>
      <c r="L205" s="87">
        <v>35069036.829233125</v>
      </c>
      <c r="M205" s="87">
        <v>23125125.173913907</v>
      </c>
      <c r="N205" s="87">
        <v>11943911.655319218</v>
      </c>
      <c r="O205" s="87">
        <v>29680414.820116114</v>
      </c>
      <c r="P205" s="87">
        <v>13042489.970000001</v>
      </c>
      <c r="Q205" s="87">
        <v>1028380.6204109453</v>
      </c>
      <c r="R205" s="87">
        <v>28652034.199705169</v>
      </c>
      <c r="S205" s="87">
        <v>6971983</v>
      </c>
      <c r="T205" s="87">
        <v>0</v>
      </c>
      <c r="U205" s="87">
        <v>0</v>
      </c>
      <c r="V205" s="87">
        <v>0</v>
      </c>
      <c r="W205" s="87">
        <v>3878705</v>
      </c>
      <c r="X205" s="87">
        <v>10850688</v>
      </c>
      <c r="Y205" s="87">
        <v>0</v>
      </c>
      <c r="Z205" s="87">
        <v>39502722.199705169</v>
      </c>
      <c r="AA205" s="87">
        <v>18753958.460000001</v>
      </c>
      <c r="AB205" s="87">
        <v>6188806.2917999998</v>
      </c>
      <c r="AC205" s="87">
        <v>0</v>
      </c>
      <c r="AD205" s="87">
        <v>20748763.739705168</v>
      </c>
      <c r="AE205" s="87">
        <v>6847092.0341027044</v>
      </c>
      <c r="AF205">
        <v>6847092.0341027044</v>
      </c>
      <c r="AG205" s="87"/>
    </row>
    <row r="206" spans="1:33">
      <c r="A206" s="53" t="s">
        <v>726</v>
      </c>
      <c r="B206" t="s">
        <v>214</v>
      </c>
      <c r="C206" t="s">
        <v>209</v>
      </c>
      <c r="E206" t="s">
        <v>209</v>
      </c>
      <c r="F206" t="s">
        <v>209</v>
      </c>
      <c r="G206" t="s">
        <v>210</v>
      </c>
      <c r="H206" t="s">
        <v>727</v>
      </c>
      <c r="I206" t="s">
        <v>10</v>
      </c>
      <c r="J206" t="s">
        <v>327</v>
      </c>
      <c r="K206" s="87">
        <v>-10603808.502567058</v>
      </c>
      <c r="L206" s="87">
        <v>61968782.5382175</v>
      </c>
      <c r="M206" s="87">
        <v>40963266.050804362</v>
      </c>
      <c r="N206" s="87">
        <v>21005516.487413138</v>
      </c>
      <c r="O206" s="87">
        <v>66819267.220830724</v>
      </c>
      <c r="P206" s="87">
        <v>19096041.379999999</v>
      </c>
      <c r="Q206" s="87">
        <v>8694333.3951539174</v>
      </c>
      <c r="R206" s="87">
        <v>58124933.825676806</v>
      </c>
      <c r="S206" s="87">
        <v>10971617.74</v>
      </c>
      <c r="T206" s="87">
        <v>0</v>
      </c>
      <c r="U206" s="87">
        <v>0</v>
      </c>
      <c r="V206" s="87">
        <v>0</v>
      </c>
      <c r="W206" s="87">
        <v>0</v>
      </c>
      <c r="X206" s="87">
        <v>10971617.74</v>
      </c>
      <c r="Y206" s="87">
        <v>0</v>
      </c>
      <c r="Z206" s="87">
        <v>69096551.565676808</v>
      </c>
      <c r="AA206" s="87">
        <v>22950489.66</v>
      </c>
      <c r="AB206" s="87">
        <v>7573661.5877999989</v>
      </c>
      <c r="AC206" s="87">
        <v>0</v>
      </c>
      <c r="AD206" s="87">
        <v>46146061.905676812</v>
      </c>
      <c r="AE206" s="87">
        <v>15228200.428873345</v>
      </c>
      <c r="AF206">
        <v>15228200.428873345</v>
      </c>
      <c r="AG206" s="87"/>
    </row>
    <row r="207" spans="1:33">
      <c r="A207" s="53" t="s">
        <v>728</v>
      </c>
      <c r="B207" t="s">
        <v>208</v>
      </c>
      <c r="C207" t="s">
        <v>209</v>
      </c>
      <c r="E207" t="s">
        <v>209</v>
      </c>
      <c r="F207" t="s">
        <v>209</v>
      </c>
      <c r="G207" t="s">
        <v>210</v>
      </c>
      <c r="H207" t="s">
        <v>346</v>
      </c>
      <c r="I207" t="s">
        <v>15</v>
      </c>
      <c r="J207" t="s">
        <v>15</v>
      </c>
      <c r="K207" s="87">
        <v>-1029544.3608066724</v>
      </c>
      <c r="L207" s="87">
        <v>118221959.20435363</v>
      </c>
      <c r="M207" s="87">
        <v>114154658.78781426</v>
      </c>
      <c r="N207" s="87">
        <v>4067300.416539371</v>
      </c>
      <c r="O207" s="87">
        <v>124858063.03035462</v>
      </c>
      <c r="P207" s="87">
        <v>0</v>
      </c>
      <c r="Q207" s="87">
        <v>0</v>
      </c>
      <c r="R207" s="87">
        <v>124858063.03035462</v>
      </c>
      <c r="S207" s="87">
        <v>4636480</v>
      </c>
      <c r="T207" s="87">
        <v>0</v>
      </c>
      <c r="U207" s="87">
        <v>0</v>
      </c>
      <c r="V207" s="87">
        <v>0</v>
      </c>
      <c r="W207" s="87">
        <v>6268499</v>
      </c>
      <c r="X207" s="87">
        <v>10904979</v>
      </c>
      <c r="Y207" s="87">
        <v>0</v>
      </c>
      <c r="Z207" s="87">
        <v>135763042.03035462</v>
      </c>
      <c r="AA207" s="87">
        <v>57275185.090000004</v>
      </c>
      <c r="AB207" s="87">
        <v>18900811.079700001</v>
      </c>
      <c r="AC207" s="87">
        <v>0</v>
      </c>
      <c r="AD207" s="87">
        <v>78487856.940354615</v>
      </c>
      <c r="AE207" s="87">
        <v>25900992.790317021</v>
      </c>
      <c r="AF207">
        <v>25900992.790317021</v>
      </c>
      <c r="AG207" s="87"/>
    </row>
    <row r="208" spans="1:33">
      <c r="A208" s="53" t="s">
        <v>729</v>
      </c>
      <c r="B208" t="s">
        <v>214</v>
      </c>
      <c r="C208" t="s">
        <v>149</v>
      </c>
      <c r="E208" t="s">
        <v>209</v>
      </c>
      <c r="F208" t="s">
        <v>209</v>
      </c>
      <c r="G208" t="s">
        <v>210</v>
      </c>
      <c r="H208" t="s">
        <v>730</v>
      </c>
      <c r="I208" t="s">
        <v>12</v>
      </c>
      <c r="J208" t="s">
        <v>731</v>
      </c>
      <c r="K208" s="87">
        <v>241483.71213532161</v>
      </c>
      <c r="L208" s="87">
        <v>0</v>
      </c>
      <c r="M208" s="87">
        <v>0</v>
      </c>
      <c r="N208" s="87">
        <v>0</v>
      </c>
      <c r="O208" s="87">
        <v>678146.51715614717</v>
      </c>
      <c r="P208" s="87">
        <v>0</v>
      </c>
      <c r="Q208" s="87">
        <v>0</v>
      </c>
      <c r="R208" s="87">
        <v>678146.51715614717</v>
      </c>
      <c r="S208" s="87">
        <v>0</v>
      </c>
      <c r="T208" s="87">
        <v>0</v>
      </c>
      <c r="U208" s="87">
        <v>0</v>
      </c>
      <c r="V208" s="87">
        <v>0</v>
      </c>
      <c r="W208" s="87">
        <v>0</v>
      </c>
      <c r="X208" s="87">
        <v>0</v>
      </c>
      <c r="Y208" s="87">
        <v>0</v>
      </c>
      <c r="Z208" s="87">
        <v>678146.51715614717</v>
      </c>
      <c r="AA208" s="87">
        <v>349168.16</v>
      </c>
      <c r="AB208" s="87">
        <v>115225.49279999998</v>
      </c>
      <c r="AC208" s="87">
        <v>0</v>
      </c>
      <c r="AD208" s="87">
        <v>328978.35715614719</v>
      </c>
      <c r="AE208" s="87">
        <v>108562.85786152855</v>
      </c>
      <c r="AF208">
        <v>108562.85786152855</v>
      </c>
      <c r="AG208" s="87"/>
    </row>
    <row r="209" spans="1:33">
      <c r="A209" s="53" t="s">
        <v>732</v>
      </c>
      <c r="B209" t="s">
        <v>214</v>
      </c>
      <c r="C209" t="s">
        <v>209</v>
      </c>
      <c r="E209" t="s">
        <v>209</v>
      </c>
      <c r="F209" t="s">
        <v>209</v>
      </c>
      <c r="G209" t="s">
        <v>210</v>
      </c>
      <c r="H209" t="s">
        <v>733</v>
      </c>
      <c r="I209" t="s">
        <v>6</v>
      </c>
      <c r="J209" t="s">
        <v>6</v>
      </c>
      <c r="K209" s="87">
        <v>-75425780.302413374</v>
      </c>
      <c r="L209" s="87">
        <v>153685108.7982004</v>
      </c>
      <c r="M209" s="87">
        <v>48099439.680415802</v>
      </c>
      <c r="N209" s="87">
        <v>105585669.11778459</v>
      </c>
      <c r="O209" s="87">
        <v>97693563.354321808</v>
      </c>
      <c r="P209" s="87">
        <v>35110743.509999998</v>
      </c>
      <c r="Q209" s="87">
        <v>4950854.6946287751</v>
      </c>
      <c r="R209" s="87">
        <v>92742708.659693033</v>
      </c>
      <c r="S209" s="87">
        <v>6730345</v>
      </c>
      <c r="T209" s="87">
        <v>0</v>
      </c>
      <c r="U209" s="87">
        <v>0</v>
      </c>
      <c r="V209" s="87">
        <v>0</v>
      </c>
      <c r="W209" s="87">
        <v>0</v>
      </c>
      <c r="X209" s="87">
        <v>6730345</v>
      </c>
      <c r="Y209" s="87">
        <v>0</v>
      </c>
      <c r="Z209" s="87">
        <v>99473053.659693033</v>
      </c>
      <c r="AA209" s="87">
        <v>42021637.890000001</v>
      </c>
      <c r="AB209" s="87">
        <v>13867140.503699999</v>
      </c>
      <c r="AC209" s="87">
        <v>0</v>
      </c>
      <c r="AD209" s="87">
        <v>57451415.769693032</v>
      </c>
      <c r="AE209" s="87">
        <v>18958967.203998696</v>
      </c>
      <c r="AF209">
        <v>18958967.203998696</v>
      </c>
      <c r="AG209" s="87"/>
    </row>
    <row r="210" spans="1:33">
      <c r="A210" s="53" t="s">
        <v>734</v>
      </c>
      <c r="B210" t="s">
        <v>208</v>
      </c>
      <c r="C210" t="s">
        <v>209</v>
      </c>
      <c r="E210" t="s">
        <v>209</v>
      </c>
      <c r="F210" t="s">
        <v>209</v>
      </c>
      <c r="G210" t="s">
        <v>210</v>
      </c>
      <c r="H210" t="s">
        <v>735</v>
      </c>
      <c r="I210" t="s">
        <v>13</v>
      </c>
      <c r="J210" t="s">
        <v>324</v>
      </c>
      <c r="K210" s="87">
        <v>590986.02973742038</v>
      </c>
      <c r="L210" s="87">
        <v>8891471.6496325471</v>
      </c>
      <c r="M210" s="87">
        <v>4729613.7034809599</v>
      </c>
      <c r="N210" s="87">
        <v>4161857.9461515872</v>
      </c>
      <c r="O210" s="87">
        <v>9101106.1780488212</v>
      </c>
      <c r="P210" s="87">
        <v>0</v>
      </c>
      <c r="Q210" s="87">
        <v>0</v>
      </c>
      <c r="R210" s="87">
        <v>9101106.1780488212</v>
      </c>
      <c r="S210" s="87">
        <v>304271</v>
      </c>
      <c r="T210" s="87">
        <v>0</v>
      </c>
      <c r="U210" s="87">
        <v>0</v>
      </c>
      <c r="V210" s="87">
        <v>0</v>
      </c>
      <c r="W210" s="87">
        <v>0</v>
      </c>
      <c r="X210" s="87">
        <v>304271</v>
      </c>
      <c r="Y210" s="87">
        <v>0</v>
      </c>
      <c r="Z210" s="87">
        <v>9405377.1780488212</v>
      </c>
      <c r="AA210" s="87">
        <v>4568976.0599999996</v>
      </c>
      <c r="AB210" s="87">
        <v>1507762.0997999997</v>
      </c>
      <c r="AC210" s="87">
        <v>0</v>
      </c>
      <c r="AD210" s="87">
        <v>4836401.1180488216</v>
      </c>
      <c r="AE210" s="87">
        <v>1596012.3689561107</v>
      </c>
      <c r="AF210">
        <v>1596012.3689561107</v>
      </c>
      <c r="AG210" s="87"/>
    </row>
    <row r="211" spans="1:33">
      <c r="A211" s="53" t="s">
        <v>736</v>
      </c>
      <c r="B211" t="s">
        <v>208</v>
      </c>
      <c r="C211" t="s">
        <v>149</v>
      </c>
      <c r="E211" t="s">
        <v>209</v>
      </c>
      <c r="F211" t="s">
        <v>209</v>
      </c>
      <c r="G211" t="s">
        <v>210</v>
      </c>
      <c r="H211" t="s">
        <v>737</v>
      </c>
      <c r="I211" t="s">
        <v>13</v>
      </c>
      <c r="J211" t="s">
        <v>738</v>
      </c>
      <c r="K211" s="87">
        <v>755045.0134205441</v>
      </c>
      <c r="L211" s="87">
        <v>2735082.7726679049</v>
      </c>
      <c r="M211" s="87">
        <v>2193731.454687539</v>
      </c>
      <c r="N211" s="87">
        <v>541351.31798036583</v>
      </c>
      <c r="O211" s="87">
        <v>2595906.0264376067</v>
      </c>
      <c r="P211" s="87">
        <v>1111941.3</v>
      </c>
      <c r="Q211" s="87">
        <v>0</v>
      </c>
      <c r="R211" s="87">
        <v>2595906.0264376067</v>
      </c>
      <c r="S211" s="87">
        <v>78600.09</v>
      </c>
      <c r="T211" s="87">
        <v>0</v>
      </c>
      <c r="U211" s="87">
        <v>0</v>
      </c>
      <c r="V211" s="87">
        <v>0</v>
      </c>
      <c r="W211" s="87">
        <v>0</v>
      </c>
      <c r="X211" s="87">
        <v>78600.09</v>
      </c>
      <c r="Y211" s="87">
        <v>0</v>
      </c>
      <c r="Z211" s="87">
        <v>2674506.1164376065</v>
      </c>
      <c r="AA211" s="87">
        <v>909055.62</v>
      </c>
      <c r="AB211" s="87">
        <v>299988.35459999996</v>
      </c>
      <c r="AC211" s="87">
        <v>0</v>
      </c>
      <c r="AD211" s="87">
        <v>1765450.4964376064</v>
      </c>
      <c r="AE211" s="87">
        <v>582598.66382441006</v>
      </c>
      <c r="AF211">
        <v>582598.66382441006</v>
      </c>
      <c r="AG211" s="87"/>
    </row>
    <row r="212" spans="1:33">
      <c r="A212" s="53" t="s">
        <v>115</v>
      </c>
      <c r="B212" t="s">
        <v>281</v>
      </c>
      <c r="C212" t="s">
        <v>209</v>
      </c>
      <c r="E212" t="s">
        <v>282</v>
      </c>
      <c r="F212" t="s">
        <v>209</v>
      </c>
      <c r="G212" t="s">
        <v>283</v>
      </c>
      <c r="H212" t="s">
        <v>739</v>
      </c>
      <c r="I212" t="s">
        <v>12</v>
      </c>
      <c r="J212" t="s">
        <v>740</v>
      </c>
      <c r="K212" s="87">
        <v>2522988.2750548222</v>
      </c>
      <c r="L212" s="87">
        <v>26232940.016532481</v>
      </c>
      <c r="M212" s="87">
        <v>0</v>
      </c>
      <c r="N212" s="87">
        <v>26232940.016532481</v>
      </c>
      <c r="O212" s="87">
        <v>0</v>
      </c>
      <c r="P212" s="87">
        <v>0</v>
      </c>
      <c r="Q212" s="87">
        <v>0</v>
      </c>
      <c r="R212" s="87">
        <v>0</v>
      </c>
      <c r="S212" s="87">
        <v>0</v>
      </c>
      <c r="T212" s="87">
        <v>0</v>
      </c>
      <c r="U212" s="87">
        <v>10734</v>
      </c>
      <c r="V212" s="87">
        <v>0</v>
      </c>
      <c r="W212" s="87">
        <v>272947</v>
      </c>
      <c r="X212" s="87">
        <v>283681</v>
      </c>
      <c r="Y212" s="87">
        <v>0</v>
      </c>
      <c r="Z212" s="87">
        <v>10734</v>
      </c>
      <c r="AA212" s="87">
        <v>282719.03999999998</v>
      </c>
      <c r="AB212" s="87">
        <v>93297.283199999976</v>
      </c>
      <c r="AC212" s="87">
        <v>0</v>
      </c>
      <c r="AD212" s="87">
        <v>10734</v>
      </c>
      <c r="AE212" s="87">
        <v>3542.2199999999993</v>
      </c>
      <c r="AF212">
        <v>3542.22</v>
      </c>
      <c r="AG212" s="87"/>
    </row>
    <row r="213" spans="1:33">
      <c r="A213" s="53" t="s">
        <v>116</v>
      </c>
      <c r="B213" t="s">
        <v>281</v>
      </c>
      <c r="C213" t="s">
        <v>209</v>
      </c>
      <c r="E213" t="s">
        <v>282</v>
      </c>
      <c r="F213" t="s">
        <v>209</v>
      </c>
      <c r="G213" t="s">
        <v>283</v>
      </c>
      <c r="H213" t="s">
        <v>741</v>
      </c>
      <c r="I213" t="s">
        <v>4</v>
      </c>
      <c r="J213" t="s">
        <v>339</v>
      </c>
      <c r="K213" s="87">
        <v>10763997.468701746</v>
      </c>
      <c r="L213" s="87">
        <v>38500004.741488643</v>
      </c>
      <c r="M213" s="87">
        <v>0</v>
      </c>
      <c r="N213" s="87">
        <v>38500004.741488643</v>
      </c>
      <c r="O213" s="87">
        <v>0</v>
      </c>
      <c r="P213" s="87">
        <v>42488822</v>
      </c>
      <c r="Q213" s="87">
        <v>0</v>
      </c>
      <c r="R213" s="87">
        <v>0</v>
      </c>
      <c r="S213" s="87">
        <v>0</v>
      </c>
      <c r="T213" s="87">
        <v>0</v>
      </c>
      <c r="U213" s="87">
        <v>16804</v>
      </c>
      <c r="V213" s="87">
        <v>0</v>
      </c>
      <c r="W213" s="87">
        <v>310979</v>
      </c>
      <c r="X213" s="87">
        <v>327783</v>
      </c>
      <c r="Y213" s="87">
        <v>0</v>
      </c>
      <c r="Z213" s="87">
        <v>16804</v>
      </c>
      <c r="AA213" s="87">
        <v>520537.88</v>
      </c>
      <c r="AB213" s="87">
        <v>171777.50039999999</v>
      </c>
      <c r="AC213" s="87">
        <v>0</v>
      </c>
      <c r="AD213" s="87">
        <v>16804</v>
      </c>
      <c r="AE213" s="87">
        <v>5545.32</v>
      </c>
      <c r="AF213">
        <v>5545.32</v>
      </c>
      <c r="AG213" s="87"/>
    </row>
    <row r="214" spans="1:33">
      <c r="A214" s="53" t="s">
        <v>742</v>
      </c>
      <c r="B214" t="s">
        <v>214</v>
      </c>
      <c r="C214" t="s">
        <v>209</v>
      </c>
      <c r="E214" t="s">
        <v>209</v>
      </c>
      <c r="F214" t="s">
        <v>209</v>
      </c>
      <c r="G214" t="s">
        <v>210</v>
      </c>
      <c r="H214" t="s">
        <v>743</v>
      </c>
      <c r="I214" t="s">
        <v>6</v>
      </c>
      <c r="J214" t="s">
        <v>6</v>
      </c>
      <c r="K214" s="87">
        <v>38020085.240230858</v>
      </c>
      <c r="L214" s="87">
        <v>0</v>
      </c>
      <c r="M214" s="87">
        <v>0</v>
      </c>
      <c r="N214" s="87">
        <v>0</v>
      </c>
      <c r="O214" s="87">
        <v>60144449.07573624</v>
      </c>
      <c r="P214" s="87">
        <v>0</v>
      </c>
      <c r="Q214" s="87">
        <v>0</v>
      </c>
      <c r="R214" s="87">
        <v>60144449.07573624</v>
      </c>
      <c r="S214" s="87">
        <v>0</v>
      </c>
      <c r="T214" s="87">
        <v>0</v>
      </c>
      <c r="U214" s="87">
        <v>0</v>
      </c>
      <c r="V214" s="87">
        <v>0</v>
      </c>
      <c r="W214" s="87">
        <v>5119398.8774892706</v>
      </c>
      <c r="X214" s="87">
        <v>5119398.8774892706</v>
      </c>
      <c r="Y214" s="87">
        <v>0</v>
      </c>
      <c r="Z214" s="87">
        <v>65263847.953225508</v>
      </c>
      <c r="AA214" s="87">
        <v>28177499.84</v>
      </c>
      <c r="AB214" s="87">
        <v>9298574.9471999984</v>
      </c>
      <c r="AC214" s="87">
        <v>0</v>
      </c>
      <c r="AD214" s="87">
        <v>37086348.113225505</v>
      </c>
      <c r="AE214" s="87">
        <v>12238494.877364418</v>
      </c>
      <c r="AF214">
        <v>12238494.877364418</v>
      </c>
      <c r="AG214" s="87"/>
    </row>
    <row r="215" spans="1:33">
      <c r="A215" s="53" t="s">
        <v>744</v>
      </c>
      <c r="B215" t="s">
        <v>214</v>
      </c>
      <c r="C215" t="s">
        <v>209</v>
      </c>
      <c r="E215" t="s">
        <v>209</v>
      </c>
      <c r="F215" t="s">
        <v>209</v>
      </c>
      <c r="G215" t="s">
        <v>210</v>
      </c>
      <c r="H215" t="s">
        <v>745</v>
      </c>
      <c r="I215" t="s">
        <v>6</v>
      </c>
      <c r="J215" t="s">
        <v>6</v>
      </c>
      <c r="K215" s="87">
        <v>5760662.5787156615</v>
      </c>
      <c r="L215" s="87">
        <v>0</v>
      </c>
      <c r="M215" s="87">
        <v>0</v>
      </c>
      <c r="N215" s="87">
        <v>0</v>
      </c>
      <c r="O215" s="87">
        <v>42529065.065221347</v>
      </c>
      <c r="P215" s="87">
        <v>0</v>
      </c>
      <c r="Q215" s="87">
        <v>0</v>
      </c>
      <c r="R215" s="87">
        <v>42529065.065221347</v>
      </c>
      <c r="S215" s="87">
        <v>0</v>
      </c>
      <c r="T215" s="87">
        <v>0</v>
      </c>
      <c r="U215" s="87">
        <v>0</v>
      </c>
      <c r="V215" s="87">
        <v>0</v>
      </c>
      <c r="W215" s="87">
        <v>2132162.511354214</v>
      </c>
      <c r="X215" s="87">
        <v>2132162.511354214</v>
      </c>
      <c r="Y215" s="87">
        <v>0</v>
      </c>
      <c r="Z215" s="87">
        <v>44661227.576575562</v>
      </c>
      <c r="AA215" s="87">
        <v>17118977.43</v>
      </c>
      <c r="AB215" s="87">
        <v>5649262.5518999994</v>
      </c>
      <c r="AC215" s="87">
        <v>0</v>
      </c>
      <c r="AD215" s="87">
        <v>27542250.146575563</v>
      </c>
      <c r="AE215" s="87">
        <v>9088942.5483699348</v>
      </c>
      <c r="AF215">
        <v>9088942.5483699348</v>
      </c>
      <c r="AG215" s="87"/>
    </row>
    <row r="216" spans="1:33">
      <c r="A216" s="53" t="s">
        <v>746</v>
      </c>
      <c r="B216" t="s">
        <v>208</v>
      </c>
      <c r="C216" t="s">
        <v>209</v>
      </c>
      <c r="E216" t="s">
        <v>209</v>
      </c>
      <c r="F216" t="s">
        <v>209</v>
      </c>
      <c r="G216" t="s">
        <v>210</v>
      </c>
      <c r="H216" t="s">
        <v>747</v>
      </c>
      <c r="I216" t="s">
        <v>9</v>
      </c>
      <c r="J216" t="s">
        <v>9</v>
      </c>
      <c r="K216" s="87">
        <v>24246521.132576678</v>
      </c>
      <c r="L216" s="87">
        <v>74845584.857011288</v>
      </c>
      <c r="M216" s="87">
        <v>0</v>
      </c>
      <c r="N216" s="87">
        <v>74845584.857011288</v>
      </c>
      <c r="O216" s="87">
        <v>98726992.355211839</v>
      </c>
      <c r="P216" s="87">
        <v>38826135.440000005</v>
      </c>
      <c r="Q216" s="87">
        <v>0</v>
      </c>
      <c r="R216" s="87">
        <v>98726992.355211839</v>
      </c>
      <c r="S216" s="87">
        <v>25873545</v>
      </c>
      <c r="T216" s="87">
        <v>821833</v>
      </c>
      <c r="U216" s="87">
        <v>4657238.0999999996</v>
      </c>
      <c r="V216" s="87">
        <v>0</v>
      </c>
      <c r="W216" s="87">
        <v>17477279.221000232</v>
      </c>
      <c r="X216" s="87">
        <v>48829895.321000233</v>
      </c>
      <c r="Y216" s="87">
        <v>0</v>
      </c>
      <c r="Z216" s="87">
        <v>147556887.67621207</v>
      </c>
      <c r="AA216" s="87">
        <v>53843628.609999999</v>
      </c>
      <c r="AB216" s="87">
        <v>17768397.441299997</v>
      </c>
      <c r="AC216" s="87">
        <v>0</v>
      </c>
      <c r="AD216" s="87">
        <v>93713259.066212073</v>
      </c>
      <c r="AE216" s="87">
        <v>30925375.491849981</v>
      </c>
      <c r="AF216">
        <v>30925375.491849981</v>
      </c>
      <c r="AG216" s="87"/>
    </row>
    <row r="217" spans="1:33">
      <c r="A217" s="53" t="s">
        <v>748</v>
      </c>
      <c r="B217" t="s">
        <v>214</v>
      </c>
      <c r="C217" t="s">
        <v>209</v>
      </c>
      <c r="E217" t="s">
        <v>209</v>
      </c>
      <c r="F217" t="s">
        <v>209</v>
      </c>
      <c r="G217" t="s">
        <v>210</v>
      </c>
      <c r="H217" t="s">
        <v>749</v>
      </c>
      <c r="I217" t="s">
        <v>8</v>
      </c>
      <c r="J217" t="s">
        <v>8</v>
      </c>
      <c r="K217" s="87">
        <v>-4745542.3067677459</v>
      </c>
      <c r="L217" s="87">
        <v>38333228.083745398</v>
      </c>
      <c r="M217" s="87">
        <v>19830571.43851902</v>
      </c>
      <c r="N217" s="87">
        <v>18502656.645226378</v>
      </c>
      <c r="O217" s="87">
        <v>35919376.76293654</v>
      </c>
      <c r="P217" s="87">
        <v>6544585.4000000004</v>
      </c>
      <c r="Q217" s="87">
        <v>0</v>
      </c>
      <c r="R217" s="87">
        <v>35919376.76293654</v>
      </c>
      <c r="S217" s="87">
        <v>1145868</v>
      </c>
      <c r="T217" s="87">
        <v>0</v>
      </c>
      <c r="U217" s="87">
        <v>57426</v>
      </c>
      <c r="V217" s="87">
        <v>0</v>
      </c>
      <c r="W217" s="87">
        <v>4354018.4051823793</v>
      </c>
      <c r="X217" s="87">
        <v>5557312.4051823793</v>
      </c>
      <c r="Y217" s="87">
        <v>0</v>
      </c>
      <c r="Z217" s="87">
        <v>41476689.168118916</v>
      </c>
      <c r="AA217" s="87">
        <v>16399835.789999999</v>
      </c>
      <c r="AB217" s="87">
        <v>5411945.8106999993</v>
      </c>
      <c r="AC217" s="87">
        <v>0</v>
      </c>
      <c r="AD217" s="87">
        <v>25076853.378118917</v>
      </c>
      <c r="AE217" s="87">
        <v>8275361.6147792414</v>
      </c>
      <c r="AF217">
        <v>8275361.6147792414</v>
      </c>
      <c r="AG217" s="87"/>
    </row>
    <row r="218" spans="1:33">
      <c r="A218" s="53" t="s">
        <v>750</v>
      </c>
      <c r="B218" t="s">
        <v>208</v>
      </c>
      <c r="C218" t="s">
        <v>149</v>
      </c>
      <c r="E218" t="s">
        <v>209</v>
      </c>
      <c r="F218" t="s">
        <v>209</v>
      </c>
      <c r="G218" t="s">
        <v>210</v>
      </c>
      <c r="H218" t="s">
        <v>751</v>
      </c>
      <c r="I218" t="s">
        <v>12</v>
      </c>
      <c r="J218" t="s">
        <v>752</v>
      </c>
      <c r="K218" s="87">
        <v>621277.64663516148</v>
      </c>
      <c r="L218" s="87">
        <v>507163.90049443056</v>
      </c>
      <c r="M218" s="87">
        <v>302999.83985313278</v>
      </c>
      <c r="N218" s="87">
        <v>204164.06064129778</v>
      </c>
      <c r="O218" s="87">
        <v>478010.68069224956</v>
      </c>
      <c r="P218" s="87">
        <v>338794.11</v>
      </c>
      <c r="Q218" s="87">
        <v>0</v>
      </c>
      <c r="R218" s="87">
        <v>478010.68069224956</v>
      </c>
      <c r="S218" s="87">
        <v>0</v>
      </c>
      <c r="T218" s="87">
        <v>0</v>
      </c>
      <c r="U218" s="87">
        <v>0</v>
      </c>
      <c r="V218" s="87">
        <v>0</v>
      </c>
      <c r="W218" s="87">
        <v>0</v>
      </c>
      <c r="X218" s="87">
        <v>0</v>
      </c>
      <c r="Y218" s="87">
        <v>0</v>
      </c>
      <c r="Z218" s="87">
        <v>478010.68069224956</v>
      </c>
      <c r="AA218" s="87">
        <v>114431.6</v>
      </c>
      <c r="AB218" s="87">
        <v>37762.428</v>
      </c>
      <c r="AC218" s="87">
        <v>0</v>
      </c>
      <c r="AD218" s="87">
        <v>363579.08069224958</v>
      </c>
      <c r="AE218" s="87">
        <v>119981.09662844233</v>
      </c>
      <c r="AF218">
        <v>119981.09662844233</v>
      </c>
      <c r="AG218" s="87"/>
    </row>
    <row r="219" spans="1:33">
      <c r="A219" s="53" t="s">
        <v>753</v>
      </c>
      <c r="B219" t="s">
        <v>208</v>
      </c>
      <c r="C219" t="s">
        <v>209</v>
      </c>
      <c r="E219" t="s">
        <v>209</v>
      </c>
      <c r="F219" t="s">
        <v>209</v>
      </c>
      <c r="G219" t="s">
        <v>210</v>
      </c>
      <c r="H219" t="s">
        <v>754</v>
      </c>
      <c r="I219" t="s">
        <v>3</v>
      </c>
      <c r="J219" t="s">
        <v>755</v>
      </c>
      <c r="K219" s="87">
        <v>2350150.5805913866</v>
      </c>
      <c r="L219" s="87">
        <v>8818315.5719347689</v>
      </c>
      <c r="M219" s="87">
        <v>6288858.6791172354</v>
      </c>
      <c r="N219" s="87">
        <v>2529456.8928175336</v>
      </c>
      <c r="O219" s="87">
        <v>8376473.6476506619</v>
      </c>
      <c r="P219" s="87">
        <v>0</v>
      </c>
      <c r="Q219" s="87">
        <v>0</v>
      </c>
      <c r="R219" s="87">
        <v>8376473.6476506619</v>
      </c>
      <c r="S219" s="87">
        <v>99364</v>
      </c>
      <c r="T219" s="87">
        <v>0</v>
      </c>
      <c r="U219" s="87">
        <v>0</v>
      </c>
      <c r="V219" s="87">
        <v>0</v>
      </c>
      <c r="W219" s="87">
        <v>0</v>
      </c>
      <c r="X219" s="87">
        <v>99364</v>
      </c>
      <c r="Y219" s="87">
        <v>0</v>
      </c>
      <c r="Z219" s="87">
        <v>8475837.6476506628</v>
      </c>
      <c r="AA219" s="87">
        <v>4352817.24</v>
      </c>
      <c r="AB219" s="87">
        <v>1436429.6891999999</v>
      </c>
      <c r="AC219" s="87">
        <v>0</v>
      </c>
      <c r="AD219" s="87">
        <v>4123020.4076506626</v>
      </c>
      <c r="AE219" s="87">
        <v>1360596.7345247185</v>
      </c>
      <c r="AF219">
        <v>1360596.7345247185</v>
      </c>
      <c r="AG219" s="87"/>
    </row>
    <row r="220" spans="1:33">
      <c r="A220" s="53" t="s">
        <v>756</v>
      </c>
      <c r="B220" t="s">
        <v>214</v>
      </c>
      <c r="C220" t="s">
        <v>149</v>
      </c>
      <c r="E220" t="s">
        <v>209</v>
      </c>
      <c r="F220" t="s">
        <v>209</v>
      </c>
      <c r="G220" t="s">
        <v>210</v>
      </c>
      <c r="H220" t="s">
        <v>757</v>
      </c>
      <c r="I220" t="s">
        <v>12</v>
      </c>
      <c r="J220" t="s">
        <v>758</v>
      </c>
      <c r="K220" s="87">
        <v>-2958115.4669415466</v>
      </c>
      <c r="L220" s="87">
        <v>41066121.725976631</v>
      </c>
      <c r="M220" s="87">
        <v>1199311.2978482319</v>
      </c>
      <c r="N220" s="87">
        <v>39866810.428128399</v>
      </c>
      <c r="O220" s="87">
        <v>18688200.899574552</v>
      </c>
      <c r="P220" s="87">
        <v>5455893.46</v>
      </c>
      <c r="Q220" s="87">
        <v>0</v>
      </c>
      <c r="R220" s="87">
        <v>18688200.899574552</v>
      </c>
      <c r="S220" s="87">
        <v>0</v>
      </c>
      <c r="T220" s="87">
        <v>0</v>
      </c>
      <c r="U220" s="87">
        <v>2782143</v>
      </c>
      <c r="V220" s="87">
        <v>0</v>
      </c>
      <c r="W220" s="87">
        <v>4766909.0470290575</v>
      </c>
      <c r="X220" s="87">
        <v>7549052.0470290575</v>
      </c>
      <c r="Y220" s="87">
        <v>0</v>
      </c>
      <c r="Z220" s="87">
        <v>26237252.946603611</v>
      </c>
      <c r="AA220" s="87">
        <v>13161564.42</v>
      </c>
      <c r="AB220" s="87">
        <v>4343316.2585999994</v>
      </c>
      <c r="AC220" s="87">
        <v>0</v>
      </c>
      <c r="AD220" s="87">
        <v>13075688.526603611</v>
      </c>
      <c r="AE220" s="87">
        <v>4314977.2137791915</v>
      </c>
      <c r="AF220">
        <v>4314977.2137791915</v>
      </c>
      <c r="AG220" s="87"/>
    </row>
    <row r="221" spans="1:33">
      <c r="A221" s="53" t="s">
        <v>117</v>
      </c>
      <c r="B221" t="s">
        <v>281</v>
      </c>
      <c r="C221" t="s">
        <v>209</v>
      </c>
      <c r="E221" t="s">
        <v>282</v>
      </c>
      <c r="F221" t="s">
        <v>209</v>
      </c>
      <c r="G221" t="s">
        <v>283</v>
      </c>
      <c r="H221" t="s">
        <v>759</v>
      </c>
      <c r="I221" t="s">
        <v>3</v>
      </c>
      <c r="J221" t="s">
        <v>3</v>
      </c>
      <c r="K221" s="87">
        <v>8822462.1263815667</v>
      </c>
      <c r="L221" s="87">
        <v>49796753.8160512</v>
      </c>
      <c r="M221" s="87">
        <v>0</v>
      </c>
      <c r="N221" s="87">
        <v>49796753.8160512</v>
      </c>
      <c r="O221" s="87">
        <v>0</v>
      </c>
      <c r="P221" s="87">
        <v>50500298</v>
      </c>
      <c r="Q221" s="87">
        <v>0</v>
      </c>
      <c r="R221" s="87">
        <v>0</v>
      </c>
      <c r="S221" s="87">
        <v>0</v>
      </c>
      <c r="T221" s="87">
        <v>0</v>
      </c>
      <c r="U221" s="87">
        <v>7738</v>
      </c>
      <c r="V221" s="87">
        <v>0</v>
      </c>
      <c r="W221" s="87">
        <v>191578</v>
      </c>
      <c r="X221" s="87">
        <v>199316</v>
      </c>
      <c r="Y221" s="87">
        <v>0</v>
      </c>
      <c r="Z221" s="87">
        <v>7738</v>
      </c>
      <c r="AA221" s="87">
        <v>494659.5</v>
      </c>
      <c r="AB221" s="87">
        <v>163237.63499999998</v>
      </c>
      <c r="AC221" s="87">
        <v>0</v>
      </c>
      <c r="AD221" s="87">
        <v>7738</v>
      </c>
      <c r="AE221" s="87">
        <v>2553.5399999999995</v>
      </c>
      <c r="AF221">
        <v>2553.5399999999995</v>
      </c>
      <c r="AG221" s="87"/>
    </row>
    <row r="222" spans="1:33">
      <c r="A222" s="53" t="s">
        <v>760</v>
      </c>
      <c r="B222" t="s">
        <v>214</v>
      </c>
      <c r="C222" t="s">
        <v>209</v>
      </c>
      <c r="E222" t="s">
        <v>209</v>
      </c>
      <c r="F222" t="s">
        <v>227</v>
      </c>
      <c r="G222" t="s">
        <v>210</v>
      </c>
      <c r="H222" t="s">
        <v>761</v>
      </c>
      <c r="I222" t="s">
        <v>4</v>
      </c>
      <c r="J222" t="s">
        <v>4</v>
      </c>
      <c r="K222" s="87">
        <v>-62977031.45190572</v>
      </c>
      <c r="L222" s="87">
        <v>16765080.491473297</v>
      </c>
      <c r="M222" s="87">
        <v>6234931.3573500169</v>
      </c>
      <c r="N222" s="87">
        <v>10530149.134123281</v>
      </c>
      <c r="O222" s="87">
        <v>7069404.2360085417</v>
      </c>
      <c r="P222" s="87">
        <v>0</v>
      </c>
      <c r="Q222" s="87">
        <v>0</v>
      </c>
      <c r="R222" s="87">
        <v>7069404.2360085417</v>
      </c>
      <c r="S222" s="87">
        <v>658528</v>
      </c>
      <c r="T222" s="87">
        <v>0</v>
      </c>
      <c r="U222" s="87">
        <v>1492299</v>
      </c>
      <c r="V222" s="87">
        <v>0</v>
      </c>
      <c r="W222" s="87">
        <v>13793126</v>
      </c>
      <c r="X222" s="87">
        <v>15943953</v>
      </c>
      <c r="Y222" s="87">
        <v>0</v>
      </c>
      <c r="Z222" s="87">
        <v>23013357.23600854</v>
      </c>
      <c r="AA222" s="87">
        <v>0</v>
      </c>
      <c r="AB222" s="87">
        <v>0</v>
      </c>
      <c r="AC222" s="87">
        <v>0</v>
      </c>
      <c r="AD222" s="87">
        <v>23013357.23600854</v>
      </c>
      <c r="AE222" s="87">
        <v>7594407.8878828175</v>
      </c>
      <c r="AF222">
        <v>7594407.8878828175</v>
      </c>
      <c r="AG222" s="87"/>
    </row>
    <row r="223" spans="1:33">
      <c r="A223" s="53" t="s">
        <v>762</v>
      </c>
      <c r="B223" t="s">
        <v>208</v>
      </c>
      <c r="C223" t="s">
        <v>149</v>
      </c>
      <c r="E223" t="s">
        <v>209</v>
      </c>
      <c r="F223" t="s">
        <v>209</v>
      </c>
      <c r="G223" t="s">
        <v>210</v>
      </c>
      <c r="H223" t="s">
        <v>763</v>
      </c>
      <c r="I223" t="s">
        <v>10</v>
      </c>
      <c r="J223" t="s">
        <v>764</v>
      </c>
      <c r="K223" s="87">
        <v>195538.83656885754</v>
      </c>
      <c r="L223" s="87">
        <v>2335289.4157028249</v>
      </c>
      <c r="M223" s="87">
        <v>818789.69589957129</v>
      </c>
      <c r="N223" s="87">
        <v>1516499.7198032537</v>
      </c>
      <c r="O223" s="87">
        <v>1107502.3466013698</v>
      </c>
      <c r="P223" s="87">
        <v>1310066.1399999999</v>
      </c>
      <c r="Q223" s="87">
        <v>0</v>
      </c>
      <c r="R223" s="87">
        <v>1107502.3466013698</v>
      </c>
      <c r="S223" s="87">
        <v>90159</v>
      </c>
      <c r="T223" s="87">
        <v>0</v>
      </c>
      <c r="U223" s="87">
        <v>0</v>
      </c>
      <c r="V223" s="87">
        <v>0</v>
      </c>
      <c r="W223" s="87">
        <v>0</v>
      </c>
      <c r="X223" s="87">
        <v>90159</v>
      </c>
      <c r="Y223" s="87">
        <v>0</v>
      </c>
      <c r="Z223" s="87">
        <v>1197661.3466013698</v>
      </c>
      <c r="AA223" s="87">
        <v>870273.98</v>
      </c>
      <c r="AB223" s="87">
        <v>287190.41339999996</v>
      </c>
      <c r="AC223" s="87">
        <v>0</v>
      </c>
      <c r="AD223" s="87">
        <v>327387.36660136981</v>
      </c>
      <c r="AE223" s="87">
        <v>108037.830978452</v>
      </c>
      <c r="AF223">
        <v>108037.830978452</v>
      </c>
      <c r="AG223" s="87"/>
    </row>
    <row r="224" spans="1:33">
      <c r="A224" s="53" t="s">
        <v>765</v>
      </c>
      <c r="B224" t="s">
        <v>208</v>
      </c>
      <c r="C224" t="s">
        <v>149</v>
      </c>
      <c r="E224" t="s">
        <v>209</v>
      </c>
      <c r="F224" t="s">
        <v>209</v>
      </c>
      <c r="G224" t="s">
        <v>210</v>
      </c>
      <c r="H224" t="s">
        <v>766</v>
      </c>
      <c r="I224" t="s">
        <v>11</v>
      </c>
      <c r="J224" t="s">
        <v>767</v>
      </c>
      <c r="K224" s="87">
        <v>-2320521.473121691</v>
      </c>
      <c r="L224" s="87">
        <v>4168110.3399747261</v>
      </c>
      <c r="M224" s="87">
        <v>2837652.7914633472</v>
      </c>
      <c r="N224" s="87">
        <v>1330457.5485113789</v>
      </c>
      <c r="O224" s="87">
        <v>3072143.006757888</v>
      </c>
      <c r="P224" s="87">
        <v>1847588.8700000003</v>
      </c>
      <c r="Q224" s="87">
        <v>1847588.8700000003</v>
      </c>
      <c r="R224" s="87">
        <v>1224554.1367578877</v>
      </c>
      <c r="S224" s="87">
        <v>2816191</v>
      </c>
      <c r="T224" s="87">
        <v>0</v>
      </c>
      <c r="U224" s="87">
        <v>0</v>
      </c>
      <c r="V224" s="87">
        <v>0</v>
      </c>
      <c r="W224" s="87">
        <v>0</v>
      </c>
      <c r="X224" s="87">
        <v>2816191</v>
      </c>
      <c r="Y224" s="87">
        <v>0</v>
      </c>
      <c r="Z224" s="87">
        <v>4040745.1367578879</v>
      </c>
      <c r="AA224" s="87">
        <v>2037504.8</v>
      </c>
      <c r="AB224" s="87">
        <v>672376.58399999992</v>
      </c>
      <c r="AC224" s="87">
        <v>0</v>
      </c>
      <c r="AD224" s="87">
        <v>2003240.3367578879</v>
      </c>
      <c r="AE224" s="87">
        <v>661069.31113010284</v>
      </c>
      <c r="AF224">
        <v>661069.31113010284</v>
      </c>
      <c r="AG224" s="87"/>
    </row>
    <row r="225" spans="1:33">
      <c r="A225" s="53" t="s">
        <v>768</v>
      </c>
      <c r="B225" t="s">
        <v>208</v>
      </c>
      <c r="C225" t="s">
        <v>149</v>
      </c>
      <c r="E225" t="s">
        <v>209</v>
      </c>
      <c r="F225" t="s">
        <v>209</v>
      </c>
      <c r="G225" t="s">
        <v>210</v>
      </c>
      <c r="H225" t="s">
        <v>769</v>
      </c>
      <c r="I225" t="s">
        <v>12</v>
      </c>
      <c r="J225" t="s">
        <v>770</v>
      </c>
      <c r="K225" s="87">
        <v>1002207.9586663425</v>
      </c>
      <c r="L225" s="87">
        <v>5220048.8355292957</v>
      </c>
      <c r="M225" s="87">
        <v>4516317.9330278914</v>
      </c>
      <c r="N225" s="87">
        <v>703730.90250140429</v>
      </c>
      <c r="O225" s="87">
        <v>5404336.846191898</v>
      </c>
      <c r="P225" s="87">
        <v>2144660.9400000004</v>
      </c>
      <c r="Q225" s="87">
        <v>438722.07883225358</v>
      </c>
      <c r="R225" s="87">
        <v>4965614.7673596442</v>
      </c>
      <c r="S225" s="87">
        <v>451427</v>
      </c>
      <c r="T225" s="87">
        <v>0</v>
      </c>
      <c r="U225" s="87">
        <v>0</v>
      </c>
      <c r="V225" s="87">
        <v>0</v>
      </c>
      <c r="W225" s="87">
        <v>0</v>
      </c>
      <c r="X225" s="87">
        <v>451427</v>
      </c>
      <c r="Y225" s="87">
        <v>0</v>
      </c>
      <c r="Z225" s="87">
        <v>5417041.7673596442</v>
      </c>
      <c r="AA225" s="87">
        <v>3225305.47</v>
      </c>
      <c r="AB225" s="87">
        <v>1064350.8051</v>
      </c>
      <c r="AC225" s="87">
        <v>0</v>
      </c>
      <c r="AD225" s="87">
        <v>2191736.297359644</v>
      </c>
      <c r="AE225" s="87">
        <v>723272.97812868236</v>
      </c>
      <c r="AF225">
        <v>723272.97812868236</v>
      </c>
      <c r="AG225" s="87"/>
    </row>
    <row r="226" spans="1:33">
      <c r="A226" s="53" t="s">
        <v>771</v>
      </c>
      <c r="B226" t="s">
        <v>539</v>
      </c>
      <c r="C226" t="s">
        <v>209</v>
      </c>
      <c r="E226" t="s">
        <v>209</v>
      </c>
      <c r="F226" t="s">
        <v>209</v>
      </c>
      <c r="G226" t="s">
        <v>210</v>
      </c>
      <c r="H226" t="s">
        <v>772</v>
      </c>
      <c r="I226" t="s">
        <v>5</v>
      </c>
      <c r="J226" t="s">
        <v>5</v>
      </c>
      <c r="K226" s="87">
        <v>26173011.138915915</v>
      </c>
      <c r="L226" s="87">
        <v>129527220.70461848</v>
      </c>
      <c r="M226" s="87">
        <v>72156506.00247936</v>
      </c>
      <c r="N226" s="87">
        <v>57370714.702139124</v>
      </c>
      <c r="O226" s="87">
        <v>72528547.61913833</v>
      </c>
      <c r="P226" s="87">
        <v>42794971.369999997</v>
      </c>
      <c r="Q226" s="87">
        <v>0</v>
      </c>
      <c r="R226" s="87">
        <v>72528547.61913833</v>
      </c>
      <c r="S226" s="87">
        <v>13789744</v>
      </c>
      <c r="T226" s="87">
        <v>0</v>
      </c>
      <c r="U226" s="87">
        <v>8991021</v>
      </c>
      <c r="V226" s="87">
        <v>0</v>
      </c>
      <c r="W226" s="87">
        <v>51617388.739571616</v>
      </c>
      <c r="X226" s="87">
        <v>74398153.739571616</v>
      </c>
      <c r="Y226" s="87">
        <v>30444137.279671658</v>
      </c>
      <c r="Z226" s="87">
        <v>177370838.6383816</v>
      </c>
      <c r="AA226" s="87">
        <v>40901827.950000003</v>
      </c>
      <c r="AB226" s="87">
        <v>13497603.223499998</v>
      </c>
      <c r="AC226" s="87">
        <v>0</v>
      </c>
      <c r="AD226" s="87">
        <v>106024873.40870993</v>
      </c>
      <c r="AE226" s="87">
        <v>34988208.224874273</v>
      </c>
      <c r="AF226">
        <v>34988208.224874273</v>
      </c>
      <c r="AG226" s="87"/>
    </row>
    <row r="227" spans="1:33">
      <c r="A227" s="53" t="s">
        <v>773</v>
      </c>
      <c r="B227" t="s">
        <v>214</v>
      </c>
      <c r="C227" t="s">
        <v>209</v>
      </c>
      <c r="E227" t="s">
        <v>209</v>
      </c>
      <c r="F227" t="s">
        <v>209</v>
      </c>
      <c r="G227" t="s">
        <v>210</v>
      </c>
      <c r="H227" t="s">
        <v>774</v>
      </c>
      <c r="I227" t="s">
        <v>10</v>
      </c>
      <c r="J227" t="s">
        <v>398</v>
      </c>
      <c r="K227" s="87">
        <v>-2329117.0355735249</v>
      </c>
      <c r="L227" s="87">
        <v>19710530.913441885</v>
      </c>
      <c r="M227" s="87">
        <v>12775714.818996212</v>
      </c>
      <c r="N227" s="87">
        <v>6934816.0944456737</v>
      </c>
      <c r="O227" s="87">
        <v>20485157.513075911</v>
      </c>
      <c r="P227" s="87">
        <v>7440445.25</v>
      </c>
      <c r="Q227" s="87">
        <v>2834746.1911278516</v>
      </c>
      <c r="R227" s="87">
        <v>17650411.321948059</v>
      </c>
      <c r="S227" s="87">
        <v>1019821.0799999998</v>
      </c>
      <c r="T227" s="87">
        <v>0</v>
      </c>
      <c r="U227" s="87">
        <v>0</v>
      </c>
      <c r="V227" s="87">
        <v>0</v>
      </c>
      <c r="W227" s="87">
        <v>0</v>
      </c>
      <c r="X227" s="87">
        <v>1019821.0799999998</v>
      </c>
      <c r="Y227" s="87">
        <v>0</v>
      </c>
      <c r="Z227" s="87">
        <v>18670232.401948057</v>
      </c>
      <c r="AA227" s="87">
        <v>7104769.1500000004</v>
      </c>
      <c r="AB227" s="87">
        <v>2344573.8194999998</v>
      </c>
      <c r="AC227" s="87">
        <v>0</v>
      </c>
      <c r="AD227" s="87">
        <v>11565463.251948057</v>
      </c>
      <c r="AE227" s="87">
        <v>3816602.8731428585</v>
      </c>
      <c r="AF227">
        <v>3816602.8731428585</v>
      </c>
      <c r="AG227" s="87"/>
    </row>
    <row r="228" spans="1:33">
      <c r="A228" s="53" t="s">
        <v>775</v>
      </c>
      <c r="B228" t="s">
        <v>214</v>
      </c>
      <c r="C228" t="s">
        <v>209</v>
      </c>
      <c r="E228" t="s">
        <v>209</v>
      </c>
      <c r="F228" t="s">
        <v>227</v>
      </c>
      <c r="G228" t="s">
        <v>210</v>
      </c>
      <c r="H228" t="s">
        <v>776</v>
      </c>
      <c r="I228" t="s">
        <v>6</v>
      </c>
      <c r="J228" t="s">
        <v>6</v>
      </c>
      <c r="K228" s="87">
        <v>-229986384.23997438</v>
      </c>
      <c r="L228" s="87">
        <v>14280764.443116948</v>
      </c>
      <c r="M228" s="87">
        <v>90839014.923608541</v>
      </c>
      <c r="N228" s="87">
        <v>0</v>
      </c>
      <c r="O228" s="87">
        <v>109746486.81965472</v>
      </c>
      <c r="P228" s="87">
        <v>0</v>
      </c>
      <c r="Q228" s="87">
        <v>0</v>
      </c>
      <c r="R228" s="87">
        <v>109746486.81965472</v>
      </c>
      <c r="S228" s="87">
        <v>586949.61508907634</v>
      </c>
      <c r="T228" s="87">
        <v>2061271</v>
      </c>
      <c r="U228" s="87">
        <v>0</v>
      </c>
      <c r="V228" s="87">
        <v>0</v>
      </c>
      <c r="W228" s="87">
        <v>0</v>
      </c>
      <c r="X228" s="87">
        <v>2648220.6150890766</v>
      </c>
      <c r="Y228" s="87">
        <v>0</v>
      </c>
      <c r="Z228" s="87">
        <v>112394707.43474379</v>
      </c>
      <c r="AA228" s="87">
        <v>35654562.880000003</v>
      </c>
      <c r="AB228" s="87">
        <v>11766005.750399999</v>
      </c>
      <c r="AC228" s="87">
        <v>0</v>
      </c>
      <c r="AD228" s="87">
        <v>76740144.554743797</v>
      </c>
      <c r="AE228" s="87">
        <v>25324247.703065448</v>
      </c>
      <c r="AF228">
        <v>25324247.703065448</v>
      </c>
      <c r="AG228" s="87"/>
    </row>
    <row r="229" spans="1:33">
      <c r="A229" s="53" t="s">
        <v>777</v>
      </c>
      <c r="B229" t="s">
        <v>214</v>
      </c>
      <c r="C229" t="s">
        <v>149</v>
      </c>
      <c r="E229" t="s">
        <v>209</v>
      </c>
      <c r="F229" t="s">
        <v>209</v>
      </c>
      <c r="G229" t="s">
        <v>210</v>
      </c>
      <c r="H229" t="s">
        <v>778</v>
      </c>
      <c r="I229" t="s">
        <v>11</v>
      </c>
      <c r="J229" t="s">
        <v>359</v>
      </c>
      <c r="K229" s="87">
        <v>4316521.4369072281</v>
      </c>
      <c r="L229" s="87">
        <v>14271419.008501142</v>
      </c>
      <c r="M229" s="87">
        <v>8951824.267480297</v>
      </c>
      <c r="N229" s="87">
        <v>5319594.7410208452</v>
      </c>
      <c r="O229" s="87">
        <v>16330864.738184225</v>
      </c>
      <c r="P229" s="87">
        <v>3020685.15</v>
      </c>
      <c r="Q229" s="87">
        <v>0</v>
      </c>
      <c r="R229" s="87">
        <v>16330864.738184225</v>
      </c>
      <c r="S229" s="87">
        <v>0</v>
      </c>
      <c r="T229" s="87">
        <v>0</v>
      </c>
      <c r="U229" s="87">
        <v>0</v>
      </c>
      <c r="V229" s="87">
        <v>0</v>
      </c>
      <c r="W229" s="87">
        <v>0</v>
      </c>
      <c r="X229" s="87">
        <v>0</v>
      </c>
      <c r="Y229" s="87">
        <v>0</v>
      </c>
      <c r="Z229" s="87">
        <v>16330864.738184225</v>
      </c>
      <c r="AA229" s="87">
        <v>7236228.2699999996</v>
      </c>
      <c r="AB229" s="87">
        <v>2387955.3290999997</v>
      </c>
      <c r="AC229" s="87">
        <v>0</v>
      </c>
      <c r="AD229" s="87">
        <v>9094636.4681842253</v>
      </c>
      <c r="AE229" s="87">
        <v>3001230.0345007936</v>
      </c>
      <c r="AF229">
        <v>3001230.0345007936</v>
      </c>
      <c r="AG229" s="87"/>
    </row>
    <row r="230" spans="1:33">
      <c r="A230" s="53" t="s">
        <v>779</v>
      </c>
      <c r="B230" t="s">
        <v>214</v>
      </c>
      <c r="C230" t="s">
        <v>209</v>
      </c>
      <c r="E230" t="s">
        <v>209</v>
      </c>
      <c r="F230" t="s">
        <v>209</v>
      </c>
      <c r="G230" t="s">
        <v>210</v>
      </c>
      <c r="H230" t="s">
        <v>780</v>
      </c>
      <c r="I230" t="s">
        <v>4</v>
      </c>
      <c r="J230" t="s">
        <v>4</v>
      </c>
      <c r="K230" s="87">
        <v>4042356.8961382899</v>
      </c>
      <c r="L230" s="87">
        <v>100691058.65618208</v>
      </c>
      <c r="M230" s="87">
        <v>22111258.483987235</v>
      </c>
      <c r="N230" s="87">
        <v>78579800.172194839</v>
      </c>
      <c r="O230" s="87">
        <v>77083620.312052414</v>
      </c>
      <c r="P230" s="87">
        <v>11974829.710000001</v>
      </c>
      <c r="Q230" s="87">
        <v>0</v>
      </c>
      <c r="R230" s="87">
        <v>77083620.312052414</v>
      </c>
      <c r="S230" s="87">
        <v>0</v>
      </c>
      <c r="T230" s="87">
        <v>0</v>
      </c>
      <c r="U230" s="87">
        <v>0</v>
      </c>
      <c r="V230" s="87">
        <v>0</v>
      </c>
      <c r="W230" s="87">
        <v>0</v>
      </c>
      <c r="X230" s="87">
        <v>0</v>
      </c>
      <c r="Y230" s="87">
        <v>0</v>
      </c>
      <c r="Z230" s="87">
        <v>77083620.312052414</v>
      </c>
      <c r="AA230" s="87">
        <v>32344147.460000001</v>
      </c>
      <c r="AB230" s="87">
        <v>10673568.661799999</v>
      </c>
      <c r="AC230" s="87">
        <v>0</v>
      </c>
      <c r="AD230" s="87">
        <v>44739472.852052413</v>
      </c>
      <c r="AE230" s="87">
        <v>14764026.041177293</v>
      </c>
      <c r="AF230">
        <v>14764026.041177293</v>
      </c>
      <c r="AG230" s="87"/>
    </row>
    <row r="231" spans="1:33">
      <c r="A231" s="53" t="s">
        <v>781</v>
      </c>
      <c r="B231" t="s">
        <v>214</v>
      </c>
      <c r="C231" t="s">
        <v>209</v>
      </c>
      <c r="E231" t="s">
        <v>209</v>
      </c>
      <c r="F231" t="s">
        <v>209</v>
      </c>
      <c r="G231" t="s">
        <v>210</v>
      </c>
      <c r="H231" t="s">
        <v>782</v>
      </c>
      <c r="I231" t="s">
        <v>6</v>
      </c>
      <c r="J231" t="s">
        <v>6</v>
      </c>
      <c r="K231" s="87">
        <v>14309017.936812194</v>
      </c>
      <c r="L231" s="87">
        <v>0</v>
      </c>
      <c r="M231" s="87">
        <v>0</v>
      </c>
      <c r="N231" s="87">
        <v>0</v>
      </c>
      <c r="O231" s="87">
        <v>36416183.440870002</v>
      </c>
      <c r="P231" s="87">
        <v>0</v>
      </c>
      <c r="Q231" s="87">
        <v>0</v>
      </c>
      <c r="R231" s="87">
        <v>36416183.440870002</v>
      </c>
      <c r="S231" s="87">
        <v>0</v>
      </c>
      <c r="T231" s="87">
        <v>0</v>
      </c>
      <c r="U231" s="87">
        <v>0</v>
      </c>
      <c r="V231" s="87">
        <v>0</v>
      </c>
      <c r="W231" s="87">
        <v>2895933.1576904636</v>
      </c>
      <c r="X231" s="87">
        <v>2895933.1576904636</v>
      </c>
      <c r="Y231" s="87">
        <v>0</v>
      </c>
      <c r="Z231" s="87">
        <v>39312116.598560467</v>
      </c>
      <c r="AA231" s="87">
        <v>15016998.890000001</v>
      </c>
      <c r="AB231" s="87">
        <v>4955609.6336999992</v>
      </c>
      <c r="AC231" s="87">
        <v>0</v>
      </c>
      <c r="AD231" s="87">
        <v>24295117.708560467</v>
      </c>
      <c r="AE231" s="87">
        <v>8017388.8438249538</v>
      </c>
      <c r="AF231">
        <v>8017388.8438249538</v>
      </c>
      <c r="AG231" s="87"/>
    </row>
    <row r="232" spans="1:33">
      <c r="A232" s="53" t="s">
        <v>783</v>
      </c>
      <c r="B232" t="s">
        <v>208</v>
      </c>
      <c r="C232" t="s">
        <v>149</v>
      </c>
      <c r="E232" t="s">
        <v>209</v>
      </c>
      <c r="F232" t="s">
        <v>209</v>
      </c>
      <c r="G232" t="s">
        <v>210</v>
      </c>
      <c r="H232" t="s">
        <v>784</v>
      </c>
      <c r="I232" t="s">
        <v>10</v>
      </c>
      <c r="J232" t="s">
        <v>414</v>
      </c>
      <c r="K232" s="87">
        <v>-361168.44783756795</v>
      </c>
      <c r="L232" s="87">
        <v>1057866.0529802814</v>
      </c>
      <c r="M232" s="87">
        <v>711569.38200714253</v>
      </c>
      <c r="N232" s="87">
        <v>346296.67097313888</v>
      </c>
      <c r="O232" s="87">
        <v>1429451.1590695167</v>
      </c>
      <c r="P232" s="87">
        <v>255447.83000000002</v>
      </c>
      <c r="Q232" s="87">
        <v>255447.83000000002</v>
      </c>
      <c r="R232" s="87">
        <v>1174003.3290695166</v>
      </c>
      <c r="S232" s="87">
        <v>26833</v>
      </c>
      <c r="T232" s="87">
        <v>0</v>
      </c>
      <c r="U232" s="87">
        <v>0</v>
      </c>
      <c r="V232" s="87">
        <v>0</v>
      </c>
      <c r="W232" s="87">
        <v>0</v>
      </c>
      <c r="X232" s="87">
        <v>26833</v>
      </c>
      <c r="Y232" s="87">
        <v>0</v>
      </c>
      <c r="Z232" s="87">
        <v>1200836.3290695166</v>
      </c>
      <c r="AA232" s="87">
        <v>275501.78000000003</v>
      </c>
      <c r="AB232" s="87">
        <v>90915.587400000004</v>
      </c>
      <c r="AC232" s="87">
        <v>0</v>
      </c>
      <c r="AD232" s="87">
        <v>925334.54906951659</v>
      </c>
      <c r="AE232" s="87">
        <v>305360.40119294042</v>
      </c>
      <c r="AF232">
        <v>305360.40119294042</v>
      </c>
      <c r="AG232" s="87"/>
    </row>
    <row r="233" spans="1:33">
      <c r="A233" s="53" t="s">
        <v>785</v>
      </c>
      <c r="B233" t="s">
        <v>214</v>
      </c>
      <c r="C233" t="s">
        <v>149</v>
      </c>
      <c r="E233" t="s">
        <v>209</v>
      </c>
      <c r="F233" t="s">
        <v>209</v>
      </c>
      <c r="G233" t="s">
        <v>210</v>
      </c>
      <c r="H233" t="s">
        <v>786</v>
      </c>
      <c r="I233" t="s">
        <v>11</v>
      </c>
      <c r="J233" t="s">
        <v>634</v>
      </c>
      <c r="K233" s="87">
        <v>1834429.1001781244</v>
      </c>
      <c r="L233" s="87">
        <v>0</v>
      </c>
      <c r="M233" s="87">
        <v>0</v>
      </c>
      <c r="N233" s="87">
        <v>0</v>
      </c>
      <c r="O233" s="87">
        <v>3532186.8126678783</v>
      </c>
      <c r="P233" s="87">
        <v>0</v>
      </c>
      <c r="Q233" s="87">
        <v>0</v>
      </c>
      <c r="R233" s="87">
        <v>3532186.8126678783</v>
      </c>
      <c r="S233" s="87">
        <v>370939</v>
      </c>
      <c r="T233" s="87">
        <v>0</v>
      </c>
      <c r="U233" s="87">
        <v>45000</v>
      </c>
      <c r="V233" s="87">
        <v>0</v>
      </c>
      <c r="W233" s="87">
        <v>836173.95520463632</v>
      </c>
      <c r="X233" s="87">
        <v>1252112.9552046363</v>
      </c>
      <c r="Y233" s="87">
        <v>0</v>
      </c>
      <c r="Z233" s="87">
        <v>4784299.7678725142</v>
      </c>
      <c r="AA233" s="87">
        <v>2308398.69</v>
      </c>
      <c r="AB233" s="87">
        <v>761771.5676999999</v>
      </c>
      <c r="AC233" s="87">
        <v>0</v>
      </c>
      <c r="AD233" s="87">
        <v>2475901.0778725143</v>
      </c>
      <c r="AE233" s="87">
        <v>817047.35569792951</v>
      </c>
      <c r="AF233">
        <v>817047.35569792951</v>
      </c>
      <c r="AG233" s="87"/>
    </row>
    <row r="234" spans="1:33">
      <c r="A234" s="53" t="s">
        <v>787</v>
      </c>
      <c r="B234" t="s">
        <v>214</v>
      </c>
      <c r="C234" t="s">
        <v>209</v>
      </c>
      <c r="E234" t="s">
        <v>209</v>
      </c>
      <c r="F234" t="s">
        <v>209</v>
      </c>
      <c r="G234" t="s">
        <v>210</v>
      </c>
      <c r="H234" t="s">
        <v>788</v>
      </c>
      <c r="I234" t="s">
        <v>6</v>
      </c>
      <c r="J234" t="s">
        <v>384</v>
      </c>
      <c r="K234" s="87">
        <v>774839.72235676425</v>
      </c>
      <c r="L234" s="87">
        <v>16878259.169497613</v>
      </c>
      <c r="M234" s="87">
        <v>0</v>
      </c>
      <c r="N234" s="87">
        <v>16878259.169497613</v>
      </c>
      <c r="O234" s="87">
        <v>10586013.367545549</v>
      </c>
      <c r="P234" s="87">
        <v>0</v>
      </c>
      <c r="Q234" s="87">
        <v>0</v>
      </c>
      <c r="R234" s="87">
        <v>10586013.367545549</v>
      </c>
      <c r="S234" s="87">
        <v>137511</v>
      </c>
      <c r="T234" s="87">
        <v>0</v>
      </c>
      <c r="U234" s="87">
        <v>0</v>
      </c>
      <c r="V234" s="87">
        <v>0</v>
      </c>
      <c r="W234" s="87">
        <v>0</v>
      </c>
      <c r="X234" s="87">
        <v>137511</v>
      </c>
      <c r="Y234" s="87">
        <v>0</v>
      </c>
      <c r="Z234" s="87">
        <v>10723524.367545549</v>
      </c>
      <c r="AA234" s="87">
        <v>4281199.0199999996</v>
      </c>
      <c r="AB234" s="87">
        <v>1412795.6765999997</v>
      </c>
      <c r="AC234" s="87">
        <v>0</v>
      </c>
      <c r="AD234" s="87">
        <v>6442325.3475455493</v>
      </c>
      <c r="AE234" s="87">
        <v>2125967.3646900309</v>
      </c>
      <c r="AF234">
        <v>2125967.3646900309</v>
      </c>
      <c r="AG234" s="87"/>
    </row>
    <row r="235" spans="1:33">
      <c r="A235" s="53" t="s">
        <v>789</v>
      </c>
      <c r="B235" t="s">
        <v>214</v>
      </c>
      <c r="C235" t="s">
        <v>209</v>
      </c>
      <c r="E235" t="s">
        <v>209</v>
      </c>
      <c r="F235" t="s">
        <v>209</v>
      </c>
      <c r="G235" t="s">
        <v>210</v>
      </c>
      <c r="H235" t="s">
        <v>790</v>
      </c>
      <c r="I235" t="s">
        <v>6</v>
      </c>
      <c r="J235" t="s">
        <v>384</v>
      </c>
      <c r="K235" s="87">
        <v>2008976.3701233247</v>
      </c>
      <c r="L235" s="87">
        <v>25259624.533168558</v>
      </c>
      <c r="M235" s="87">
        <v>0</v>
      </c>
      <c r="N235" s="87">
        <v>25259624.533168558</v>
      </c>
      <c r="O235" s="87">
        <v>17442569.49690282</v>
      </c>
      <c r="P235" s="87">
        <v>0</v>
      </c>
      <c r="Q235" s="87">
        <v>0</v>
      </c>
      <c r="R235" s="87">
        <v>17442569.49690282</v>
      </c>
      <c r="S235" s="87">
        <v>118884</v>
      </c>
      <c r="T235" s="87">
        <v>0</v>
      </c>
      <c r="U235" s="87">
        <v>0</v>
      </c>
      <c r="V235" s="87">
        <v>0</v>
      </c>
      <c r="W235" s="87">
        <v>0</v>
      </c>
      <c r="X235" s="87">
        <v>118884</v>
      </c>
      <c r="Y235" s="87">
        <v>0</v>
      </c>
      <c r="Z235" s="87">
        <v>17561453.49690282</v>
      </c>
      <c r="AA235" s="87">
        <v>7003462.04</v>
      </c>
      <c r="AB235" s="87">
        <v>2311142.4731999999</v>
      </c>
      <c r="AC235" s="87">
        <v>0</v>
      </c>
      <c r="AD235" s="87">
        <v>10557991.456902821</v>
      </c>
      <c r="AE235" s="87">
        <v>3484137.1807779297</v>
      </c>
      <c r="AF235">
        <v>3484137.1807779297</v>
      </c>
      <c r="AG235" s="87"/>
    </row>
    <row r="236" spans="1:33">
      <c r="A236" s="53" t="s">
        <v>791</v>
      </c>
      <c r="B236" t="s">
        <v>214</v>
      </c>
      <c r="C236" t="s">
        <v>149</v>
      </c>
      <c r="E236" t="s">
        <v>209</v>
      </c>
      <c r="F236" t="s">
        <v>209</v>
      </c>
      <c r="G236" t="s">
        <v>210</v>
      </c>
      <c r="H236" t="s">
        <v>552</v>
      </c>
      <c r="I236" t="s">
        <v>10</v>
      </c>
      <c r="J236" t="s">
        <v>792</v>
      </c>
      <c r="K236" s="87">
        <v>383486.99820103677</v>
      </c>
      <c r="L236" s="87">
        <v>0</v>
      </c>
      <c r="M236" s="87">
        <v>0</v>
      </c>
      <c r="N236" s="87">
        <v>0</v>
      </c>
      <c r="O236" s="87">
        <v>1775484.2902361599</v>
      </c>
      <c r="P236" s="87">
        <v>0</v>
      </c>
      <c r="Q236" s="87">
        <v>0</v>
      </c>
      <c r="R236" s="87">
        <v>1775484.2902361599</v>
      </c>
      <c r="S236" s="87">
        <v>0</v>
      </c>
      <c r="T236" s="87">
        <v>0</v>
      </c>
      <c r="U236" s="87">
        <v>0</v>
      </c>
      <c r="V236" s="87">
        <v>0</v>
      </c>
      <c r="W236" s="87">
        <v>0</v>
      </c>
      <c r="X236" s="87">
        <v>0</v>
      </c>
      <c r="Y236" s="87">
        <v>0</v>
      </c>
      <c r="Z236" s="87">
        <v>1775484.2902361599</v>
      </c>
      <c r="AA236" s="87">
        <v>714463.37</v>
      </c>
      <c r="AB236" s="87">
        <v>235772.91209999996</v>
      </c>
      <c r="AC236" s="87">
        <v>0</v>
      </c>
      <c r="AD236" s="87">
        <v>1061020.92023616</v>
      </c>
      <c r="AE236" s="87">
        <v>350136.9036779328</v>
      </c>
      <c r="AF236">
        <v>350136.9036779328</v>
      </c>
      <c r="AG236" s="87"/>
    </row>
    <row r="237" spans="1:33">
      <c r="A237" s="53" t="s">
        <v>793</v>
      </c>
      <c r="B237" t="s">
        <v>214</v>
      </c>
      <c r="C237" t="s">
        <v>149</v>
      </c>
      <c r="E237" t="s">
        <v>209</v>
      </c>
      <c r="F237" t="s">
        <v>209</v>
      </c>
      <c r="G237" t="s">
        <v>210</v>
      </c>
      <c r="H237" t="s">
        <v>794</v>
      </c>
      <c r="I237" t="s">
        <v>8</v>
      </c>
      <c r="J237" t="s">
        <v>278</v>
      </c>
      <c r="K237" s="87">
        <v>694525.75208235509</v>
      </c>
      <c r="L237" s="87">
        <v>0</v>
      </c>
      <c r="M237" s="87">
        <v>0</v>
      </c>
      <c r="N237" s="87">
        <v>0</v>
      </c>
      <c r="O237" s="87">
        <v>259404.3957064448</v>
      </c>
      <c r="P237" s="87">
        <v>0</v>
      </c>
      <c r="Q237" s="87">
        <v>0</v>
      </c>
      <c r="R237" s="87">
        <v>259404.3957064448</v>
      </c>
      <c r="S237" s="87">
        <v>0</v>
      </c>
      <c r="T237" s="87">
        <v>0</v>
      </c>
      <c r="U237" s="87">
        <v>0</v>
      </c>
      <c r="V237" s="87">
        <v>0</v>
      </c>
      <c r="W237" s="87">
        <v>0</v>
      </c>
      <c r="X237" s="87">
        <v>0</v>
      </c>
      <c r="Y237" s="87">
        <v>0</v>
      </c>
      <c r="Z237" s="87">
        <v>259404.3957064448</v>
      </c>
      <c r="AA237" s="87">
        <v>97829.66</v>
      </c>
      <c r="AB237" s="87">
        <v>32283.787799999998</v>
      </c>
      <c r="AC237" s="87">
        <v>0</v>
      </c>
      <c r="AD237" s="87">
        <v>161574.7357064448</v>
      </c>
      <c r="AE237" s="87">
        <v>53319.662783126776</v>
      </c>
      <c r="AF237">
        <v>53319.662783126776</v>
      </c>
      <c r="AG237" s="87"/>
    </row>
    <row r="238" spans="1:33">
      <c r="A238" s="53" t="s">
        <v>795</v>
      </c>
      <c r="B238" t="s">
        <v>214</v>
      </c>
      <c r="C238" t="s">
        <v>149</v>
      </c>
      <c r="E238" t="s">
        <v>209</v>
      </c>
      <c r="F238" t="s">
        <v>209</v>
      </c>
      <c r="G238" t="s">
        <v>210</v>
      </c>
      <c r="H238" t="s">
        <v>796</v>
      </c>
      <c r="I238" t="s">
        <v>10</v>
      </c>
      <c r="J238" t="s">
        <v>797</v>
      </c>
      <c r="K238" s="87">
        <v>410565.41329771513</v>
      </c>
      <c r="L238" s="87">
        <v>411202.56012396252</v>
      </c>
      <c r="M238" s="87">
        <v>1066699.7905691904</v>
      </c>
      <c r="N238" s="87">
        <v>0</v>
      </c>
      <c r="O238" s="87">
        <v>1244821.485704832</v>
      </c>
      <c r="P238" s="87">
        <v>0</v>
      </c>
      <c r="Q238" s="87">
        <v>0</v>
      </c>
      <c r="R238" s="87">
        <v>1244821.485704832</v>
      </c>
      <c r="S238" s="87">
        <v>11061</v>
      </c>
      <c r="T238" s="87">
        <v>0</v>
      </c>
      <c r="U238" s="87">
        <v>0</v>
      </c>
      <c r="V238" s="87">
        <v>0</v>
      </c>
      <c r="W238" s="87">
        <v>0</v>
      </c>
      <c r="X238" s="87">
        <v>11061</v>
      </c>
      <c r="Y238" s="87">
        <v>0</v>
      </c>
      <c r="Z238" s="87">
        <v>1255882.485704832</v>
      </c>
      <c r="AA238" s="87">
        <v>803088.17</v>
      </c>
      <c r="AB238" s="87">
        <v>265019.09609999997</v>
      </c>
      <c r="AC238" s="87">
        <v>0</v>
      </c>
      <c r="AD238" s="87">
        <v>452794.31570483197</v>
      </c>
      <c r="AE238" s="87">
        <v>149422.12418259453</v>
      </c>
      <c r="AF238">
        <v>149422.12418259453</v>
      </c>
      <c r="AG238" s="87"/>
    </row>
    <row r="239" spans="1:33">
      <c r="A239" s="53" t="s">
        <v>798</v>
      </c>
      <c r="B239" t="s">
        <v>214</v>
      </c>
      <c r="C239" t="s">
        <v>209</v>
      </c>
      <c r="E239" t="s">
        <v>209</v>
      </c>
      <c r="F239" t="s">
        <v>209</v>
      </c>
      <c r="G239" t="s">
        <v>210</v>
      </c>
      <c r="H239" t="s">
        <v>799</v>
      </c>
      <c r="I239" t="s">
        <v>4</v>
      </c>
      <c r="J239" t="s">
        <v>4</v>
      </c>
      <c r="K239" s="87">
        <v>615849.59893595544</v>
      </c>
      <c r="L239" s="87">
        <v>0</v>
      </c>
      <c r="M239" s="87">
        <v>0</v>
      </c>
      <c r="N239" s="87">
        <v>0</v>
      </c>
      <c r="O239" s="87">
        <v>3360440.2584493533</v>
      </c>
      <c r="P239" s="87">
        <v>0</v>
      </c>
      <c r="Q239" s="87">
        <v>0</v>
      </c>
      <c r="R239" s="87">
        <v>3360440.2584493533</v>
      </c>
      <c r="S239" s="87">
        <v>0</v>
      </c>
      <c r="T239" s="87">
        <v>0</v>
      </c>
      <c r="U239" s="87">
        <v>0</v>
      </c>
      <c r="V239" s="87">
        <v>0</v>
      </c>
      <c r="W239" s="87">
        <v>0</v>
      </c>
      <c r="X239" s="87">
        <v>0</v>
      </c>
      <c r="Y239" s="87">
        <v>0</v>
      </c>
      <c r="Z239" s="87">
        <v>3360440.2584493533</v>
      </c>
      <c r="AA239" s="87">
        <v>1372745.04</v>
      </c>
      <c r="AB239" s="87">
        <v>453005.86319999996</v>
      </c>
      <c r="AC239" s="87">
        <v>0</v>
      </c>
      <c r="AD239" s="87">
        <v>1987695.2184493532</v>
      </c>
      <c r="AE239" s="87">
        <v>655939.42208828637</v>
      </c>
      <c r="AF239">
        <v>655939.42208828637</v>
      </c>
      <c r="AG239" s="87"/>
    </row>
    <row r="240" spans="1:33">
      <c r="A240" s="53" t="s">
        <v>800</v>
      </c>
      <c r="B240" t="s">
        <v>214</v>
      </c>
      <c r="C240" t="s">
        <v>149</v>
      </c>
      <c r="E240" t="s">
        <v>209</v>
      </c>
      <c r="F240" t="s">
        <v>209</v>
      </c>
      <c r="G240" t="s">
        <v>210</v>
      </c>
      <c r="H240" t="s">
        <v>801</v>
      </c>
      <c r="I240" t="s">
        <v>6</v>
      </c>
      <c r="J240" t="s">
        <v>608</v>
      </c>
      <c r="K240" s="87">
        <v>575334.14047746558</v>
      </c>
      <c r="L240" s="87">
        <v>0</v>
      </c>
      <c r="M240" s="87">
        <v>0</v>
      </c>
      <c r="N240" s="87">
        <v>0</v>
      </c>
      <c r="O240" s="87">
        <v>80278.091764684796</v>
      </c>
      <c r="P240" s="87">
        <v>0</v>
      </c>
      <c r="Q240" s="87">
        <v>0</v>
      </c>
      <c r="R240" s="87">
        <v>80278.091764684796</v>
      </c>
      <c r="S240" s="87">
        <v>870</v>
      </c>
      <c r="T240" s="87">
        <v>0</v>
      </c>
      <c r="U240" s="87">
        <v>0</v>
      </c>
      <c r="V240" s="87">
        <v>0</v>
      </c>
      <c r="W240" s="87">
        <v>615405</v>
      </c>
      <c r="X240" s="87">
        <v>616275</v>
      </c>
      <c r="Y240" s="87">
        <v>0</v>
      </c>
      <c r="Z240" s="87">
        <v>696553.09176468477</v>
      </c>
      <c r="AA240" s="87">
        <v>167081.51</v>
      </c>
      <c r="AB240" s="87">
        <v>55136.898299999993</v>
      </c>
      <c r="AC240" s="87">
        <v>0</v>
      </c>
      <c r="AD240" s="87">
        <v>529471.58176468476</v>
      </c>
      <c r="AE240" s="87">
        <v>174725.62198234594</v>
      </c>
      <c r="AF240">
        <v>174725.62198234594</v>
      </c>
      <c r="AG240" s="87"/>
    </row>
    <row r="241" spans="1:33">
      <c r="A241" s="53" t="s">
        <v>802</v>
      </c>
      <c r="B241" t="s">
        <v>214</v>
      </c>
      <c r="C241" t="s">
        <v>209</v>
      </c>
      <c r="E241" t="s">
        <v>209</v>
      </c>
      <c r="F241" t="s">
        <v>209</v>
      </c>
      <c r="G241" t="s">
        <v>210</v>
      </c>
      <c r="H241" t="s">
        <v>803</v>
      </c>
      <c r="I241" t="s">
        <v>7</v>
      </c>
      <c r="J241" t="s">
        <v>237</v>
      </c>
      <c r="K241" s="87">
        <v>1337582.7928925087</v>
      </c>
      <c r="L241" s="87">
        <v>7471439.0783600481</v>
      </c>
      <c r="M241" s="87">
        <v>2821381.6930029257</v>
      </c>
      <c r="N241" s="87">
        <v>4650057.3853571229</v>
      </c>
      <c r="O241" s="87">
        <v>3482465.2117900769</v>
      </c>
      <c r="P241" s="87">
        <v>0</v>
      </c>
      <c r="Q241" s="87">
        <v>0</v>
      </c>
      <c r="R241" s="87">
        <v>3482465.2117900769</v>
      </c>
      <c r="S241" s="87">
        <v>165239</v>
      </c>
      <c r="T241" s="87">
        <v>0</v>
      </c>
      <c r="U241" s="87">
        <v>0</v>
      </c>
      <c r="V241" s="87">
        <v>0</v>
      </c>
      <c r="W241" s="87">
        <v>0</v>
      </c>
      <c r="X241" s="87">
        <v>165239</v>
      </c>
      <c r="Y241" s="87">
        <v>0</v>
      </c>
      <c r="Z241" s="87">
        <v>3647704.2117900769</v>
      </c>
      <c r="AA241" s="87">
        <v>1084331.76</v>
      </c>
      <c r="AB241" s="87">
        <v>357829.48079999996</v>
      </c>
      <c r="AC241" s="87">
        <v>0</v>
      </c>
      <c r="AD241" s="87">
        <v>2563372.4517900767</v>
      </c>
      <c r="AE241" s="87">
        <v>845912.90909072524</v>
      </c>
      <c r="AF241">
        <v>845912.90909072524</v>
      </c>
      <c r="AG241" s="87"/>
    </row>
    <row r="242" spans="1:33">
      <c r="A242" s="53" t="s">
        <v>804</v>
      </c>
      <c r="B242" t="s">
        <v>214</v>
      </c>
      <c r="C242" t="s">
        <v>209</v>
      </c>
      <c r="E242" t="s">
        <v>209</v>
      </c>
      <c r="F242" t="s">
        <v>209</v>
      </c>
      <c r="G242" t="s">
        <v>210</v>
      </c>
      <c r="H242" t="s">
        <v>346</v>
      </c>
      <c r="I242" t="s">
        <v>15</v>
      </c>
      <c r="J242" t="s">
        <v>15</v>
      </c>
      <c r="K242" s="87">
        <v>280167.57070201053</v>
      </c>
      <c r="L242" s="87">
        <v>3248640.3137070211</v>
      </c>
      <c r="M242" s="87">
        <v>2806629.6629431858</v>
      </c>
      <c r="N242" s="87">
        <v>442010.65076383529</v>
      </c>
      <c r="O242" s="87">
        <v>3283892.5903432416</v>
      </c>
      <c r="P242" s="87">
        <v>0</v>
      </c>
      <c r="Q242" s="87">
        <v>0</v>
      </c>
      <c r="R242" s="87">
        <v>3283892.5903432416</v>
      </c>
      <c r="S242" s="87">
        <v>89849</v>
      </c>
      <c r="T242" s="87">
        <v>0</v>
      </c>
      <c r="U242" s="87">
        <v>0</v>
      </c>
      <c r="V242" s="87">
        <v>0</v>
      </c>
      <c r="W242" s="87">
        <v>478589</v>
      </c>
      <c r="X242" s="87">
        <v>568438</v>
      </c>
      <c r="Y242" s="87">
        <v>0</v>
      </c>
      <c r="Z242" s="87">
        <v>3852330.5903432416</v>
      </c>
      <c r="AA242" s="87">
        <v>1441559.36</v>
      </c>
      <c r="AB242" s="87">
        <v>475714.58879999997</v>
      </c>
      <c r="AC242" s="87">
        <v>0</v>
      </c>
      <c r="AD242" s="87">
        <v>2410771.2303432412</v>
      </c>
      <c r="AE242" s="87">
        <v>795554.50601326954</v>
      </c>
      <c r="AF242">
        <v>795554.50601326954</v>
      </c>
      <c r="AG242" s="87"/>
    </row>
    <row r="243" spans="1:33">
      <c r="A243" s="53" t="s">
        <v>805</v>
      </c>
      <c r="B243" t="s">
        <v>214</v>
      </c>
      <c r="C243" t="s">
        <v>209</v>
      </c>
      <c r="E243" t="s">
        <v>209</v>
      </c>
      <c r="F243" t="s">
        <v>209</v>
      </c>
      <c r="G243" t="s">
        <v>210</v>
      </c>
      <c r="H243" t="s">
        <v>346</v>
      </c>
      <c r="I243" t="s">
        <v>15</v>
      </c>
      <c r="J243" t="s">
        <v>15</v>
      </c>
      <c r="K243" s="87">
        <v>-1188976.2129379516</v>
      </c>
      <c r="L243" s="87">
        <v>18887769.504157048</v>
      </c>
      <c r="M243" s="87">
        <v>16072698.343847392</v>
      </c>
      <c r="N243" s="87">
        <v>2815071.1603096556</v>
      </c>
      <c r="O243" s="87">
        <v>17409165.790598866</v>
      </c>
      <c r="P243" s="87">
        <v>0</v>
      </c>
      <c r="Q243" s="87">
        <v>0</v>
      </c>
      <c r="R243" s="87">
        <v>17409165.790598866</v>
      </c>
      <c r="S243" s="87">
        <v>738276</v>
      </c>
      <c r="T243" s="87">
        <v>0</v>
      </c>
      <c r="U243" s="87">
        <v>0</v>
      </c>
      <c r="V243" s="87">
        <v>0</v>
      </c>
      <c r="W243" s="87">
        <v>2109140</v>
      </c>
      <c r="X243" s="87">
        <v>2847416</v>
      </c>
      <c r="Y243" s="87">
        <v>0</v>
      </c>
      <c r="Z243" s="87">
        <v>20256581.790598866</v>
      </c>
      <c r="AA243" s="87">
        <v>8190405.54</v>
      </c>
      <c r="AB243" s="87">
        <v>2702833.8281999999</v>
      </c>
      <c r="AC243" s="87">
        <v>0</v>
      </c>
      <c r="AD243" s="87">
        <v>12066176.250598866</v>
      </c>
      <c r="AE243" s="87">
        <v>3981838.1626976249</v>
      </c>
      <c r="AF243">
        <v>3981838.1626976249</v>
      </c>
      <c r="AG243" s="87"/>
    </row>
    <row r="244" spans="1:33">
      <c r="A244" s="53" t="s">
        <v>806</v>
      </c>
      <c r="B244" t="s">
        <v>214</v>
      </c>
      <c r="C244" t="s">
        <v>209</v>
      </c>
      <c r="E244" t="s">
        <v>209</v>
      </c>
      <c r="F244" t="s">
        <v>209</v>
      </c>
      <c r="G244" t="s">
        <v>210</v>
      </c>
      <c r="H244" t="s">
        <v>807</v>
      </c>
      <c r="I244" t="s">
        <v>3</v>
      </c>
      <c r="J244" t="s">
        <v>3</v>
      </c>
      <c r="K244" s="87">
        <v>-31546637.008787539</v>
      </c>
      <c r="L244" s="87">
        <v>70389175.193096608</v>
      </c>
      <c r="M244" s="87">
        <v>38121961.44797954</v>
      </c>
      <c r="N244" s="87">
        <v>32267213.745117068</v>
      </c>
      <c r="O244" s="87">
        <v>61866729.115560062</v>
      </c>
      <c r="P244" s="87">
        <v>21388285.939999998</v>
      </c>
      <c r="Q244" s="87">
        <v>20667709.203670472</v>
      </c>
      <c r="R244" s="87">
        <v>41199019.91188959</v>
      </c>
      <c r="S244" s="87">
        <v>1767525</v>
      </c>
      <c r="T244" s="87">
        <v>0</v>
      </c>
      <c r="U244" s="87">
        <v>0</v>
      </c>
      <c r="V244" s="87">
        <v>0</v>
      </c>
      <c r="W244" s="87">
        <v>2313657.1473119417</v>
      </c>
      <c r="X244" s="87">
        <v>4081182.1473119417</v>
      </c>
      <c r="Y244" s="87">
        <v>0</v>
      </c>
      <c r="Z244" s="87">
        <v>45280202.059201531</v>
      </c>
      <c r="AA244" s="87">
        <v>27457004.25</v>
      </c>
      <c r="AB244" s="87">
        <v>9060811.402499998</v>
      </c>
      <c r="AC244" s="87">
        <v>0</v>
      </c>
      <c r="AD244" s="87">
        <v>17823197.809201531</v>
      </c>
      <c r="AE244" s="87">
        <v>5881655.2770365048</v>
      </c>
      <c r="AF244">
        <v>5881655.2770365048</v>
      </c>
      <c r="AG244" s="87"/>
    </row>
    <row r="245" spans="1:33">
      <c r="A245" s="53" t="s">
        <v>808</v>
      </c>
      <c r="B245" t="s">
        <v>214</v>
      </c>
      <c r="C245" t="s">
        <v>209</v>
      </c>
      <c r="E245" t="s">
        <v>209</v>
      </c>
      <c r="F245" t="s">
        <v>209</v>
      </c>
      <c r="G245" t="s">
        <v>210</v>
      </c>
      <c r="H245" t="s">
        <v>809</v>
      </c>
      <c r="I245" t="s">
        <v>6</v>
      </c>
      <c r="J245" t="s">
        <v>223</v>
      </c>
      <c r="K245" s="87">
        <v>2903277.5563077913</v>
      </c>
      <c r="L245" s="87">
        <v>12956404.494180411</v>
      </c>
      <c r="M245" s="87">
        <v>0</v>
      </c>
      <c r="N245" s="87">
        <v>12956404.494180411</v>
      </c>
      <c r="O245" s="87">
        <v>15167222.409937384</v>
      </c>
      <c r="P245" s="87">
        <v>0</v>
      </c>
      <c r="Q245" s="87">
        <v>0</v>
      </c>
      <c r="R245" s="87">
        <v>15167222.409937384</v>
      </c>
      <c r="S245" s="87">
        <v>0</v>
      </c>
      <c r="T245" s="87">
        <v>0</v>
      </c>
      <c r="U245" s="87">
        <v>0</v>
      </c>
      <c r="V245" s="87">
        <v>0</v>
      </c>
      <c r="W245" s="87">
        <v>0</v>
      </c>
      <c r="X245" s="87">
        <v>0</v>
      </c>
      <c r="Y245" s="87">
        <v>0</v>
      </c>
      <c r="Z245" s="87">
        <v>15167222.409937384</v>
      </c>
      <c r="AA245" s="87">
        <v>6706821.79</v>
      </c>
      <c r="AB245" s="87">
        <v>2213251.1906999997</v>
      </c>
      <c r="AC245" s="87">
        <v>0</v>
      </c>
      <c r="AD245" s="87">
        <v>8460400.6199373826</v>
      </c>
      <c r="AE245" s="87">
        <v>2791932.2045793361</v>
      </c>
      <c r="AF245">
        <v>2791932.2045793361</v>
      </c>
      <c r="AG245" s="87"/>
    </row>
    <row r="246" spans="1:33">
      <c r="A246" s="53" t="s">
        <v>810</v>
      </c>
      <c r="B246" t="s">
        <v>214</v>
      </c>
      <c r="C246" t="s">
        <v>209</v>
      </c>
      <c r="E246" t="s">
        <v>209</v>
      </c>
      <c r="F246" t="s">
        <v>209</v>
      </c>
      <c r="G246" t="s">
        <v>210</v>
      </c>
      <c r="H246" t="s">
        <v>811</v>
      </c>
      <c r="I246" t="s">
        <v>7</v>
      </c>
      <c r="J246" t="s">
        <v>7</v>
      </c>
      <c r="K246" s="87">
        <v>33796406.99284362</v>
      </c>
      <c r="L246" s="87">
        <v>29508219.59689182</v>
      </c>
      <c r="M246" s="87">
        <v>11967121.451571105</v>
      </c>
      <c r="N246" s="87">
        <v>17541098.145320714</v>
      </c>
      <c r="O246" s="87">
        <v>19352279.791623283</v>
      </c>
      <c r="P246" s="87">
        <v>24880821.549999997</v>
      </c>
      <c r="Q246" s="87">
        <v>0</v>
      </c>
      <c r="R246" s="87">
        <v>19352279.791623283</v>
      </c>
      <c r="S246" s="87">
        <v>0</v>
      </c>
      <c r="T246" s="87">
        <v>0</v>
      </c>
      <c r="U246" s="87">
        <v>0</v>
      </c>
      <c r="V246" s="87">
        <v>0</v>
      </c>
      <c r="W246" s="87">
        <v>0</v>
      </c>
      <c r="X246" s="87">
        <v>0</v>
      </c>
      <c r="Y246" s="87">
        <v>0</v>
      </c>
      <c r="Z246" s="87">
        <v>19352279.791623283</v>
      </c>
      <c r="AA246" s="87">
        <v>12080406.35</v>
      </c>
      <c r="AB246" s="87">
        <v>3986534.0954999994</v>
      </c>
      <c r="AC246" s="87">
        <v>0</v>
      </c>
      <c r="AD246" s="87">
        <v>7271873.4416232836</v>
      </c>
      <c r="AE246" s="87">
        <v>2399718.2357356832</v>
      </c>
      <c r="AF246">
        <v>2399718.2357356832</v>
      </c>
      <c r="AG246" s="87"/>
    </row>
    <row r="247" spans="1:33">
      <c r="A247" s="53" t="s">
        <v>812</v>
      </c>
      <c r="B247" t="s">
        <v>214</v>
      </c>
      <c r="C247" t="s">
        <v>209</v>
      </c>
      <c r="E247" t="s">
        <v>209</v>
      </c>
      <c r="F247" t="s">
        <v>209</v>
      </c>
      <c r="G247" t="s">
        <v>210</v>
      </c>
      <c r="H247" t="s">
        <v>813</v>
      </c>
      <c r="I247" t="s">
        <v>7</v>
      </c>
      <c r="J247" t="s">
        <v>371</v>
      </c>
      <c r="K247" s="87">
        <v>-9995423.3838168904</v>
      </c>
      <c r="L247" s="87">
        <v>28353292.604359698</v>
      </c>
      <c r="M247" s="87">
        <v>18567952.322293248</v>
      </c>
      <c r="N247" s="87">
        <v>9785340.2820664495</v>
      </c>
      <c r="O247" s="87">
        <v>21405462.168549046</v>
      </c>
      <c r="P247" s="87">
        <v>8883499.4699999988</v>
      </c>
      <c r="Q247" s="87">
        <v>8883499.4699999988</v>
      </c>
      <c r="R247" s="87">
        <v>12521962.698549047</v>
      </c>
      <c r="S247" s="87">
        <v>2267886.1044216808</v>
      </c>
      <c r="T247" s="87">
        <v>0</v>
      </c>
      <c r="U247" s="87">
        <v>826005</v>
      </c>
      <c r="V247" s="87">
        <v>0</v>
      </c>
      <c r="W247" s="87">
        <v>7755214.0035465816</v>
      </c>
      <c r="X247" s="87">
        <v>10849105.107968263</v>
      </c>
      <c r="Y247" s="87">
        <v>0</v>
      </c>
      <c r="Z247" s="87">
        <v>23371067.80651731</v>
      </c>
      <c r="AA247" s="87">
        <v>12182324.869999999</v>
      </c>
      <c r="AB247" s="87">
        <v>4020167.2070999993</v>
      </c>
      <c r="AC247" s="87">
        <v>0</v>
      </c>
      <c r="AD247" s="87">
        <v>11188742.936517311</v>
      </c>
      <c r="AE247" s="87">
        <v>3692285.1690507121</v>
      </c>
      <c r="AF247">
        <v>3692285.1690507121</v>
      </c>
      <c r="AG247" s="87"/>
    </row>
    <row r="248" spans="1:33">
      <c r="A248" s="53" t="s">
        <v>814</v>
      </c>
      <c r="B248" t="s">
        <v>214</v>
      </c>
      <c r="C248" t="s">
        <v>149</v>
      </c>
      <c r="E248" t="s">
        <v>209</v>
      </c>
      <c r="F248" t="s">
        <v>209</v>
      </c>
      <c r="G248" t="s">
        <v>210</v>
      </c>
      <c r="H248" t="s">
        <v>815</v>
      </c>
      <c r="I248" t="s">
        <v>11</v>
      </c>
      <c r="J248" t="s">
        <v>816</v>
      </c>
      <c r="K248" s="87">
        <v>-3196168.0203468264</v>
      </c>
      <c r="L248" s="87">
        <v>8235881.3467742559</v>
      </c>
      <c r="M248" s="87">
        <v>3554666.4581720321</v>
      </c>
      <c r="N248" s="87">
        <v>4681214.8886022232</v>
      </c>
      <c r="O248" s="87">
        <v>4903366.7529005818</v>
      </c>
      <c r="P248" s="87">
        <v>2513064.41</v>
      </c>
      <c r="Q248" s="87">
        <v>1028017.5417446028</v>
      </c>
      <c r="R248" s="87">
        <v>3875349.211155979</v>
      </c>
      <c r="S248" s="87">
        <v>286042</v>
      </c>
      <c r="T248" s="87">
        <v>0</v>
      </c>
      <c r="U248" s="87">
        <v>64142</v>
      </c>
      <c r="V248" s="87">
        <v>0</v>
      </c>
      <c r="W248" s="87">
        <v>900296</v>
      </c>
      <c r="X248" s="87">
        <v>1250480</v>
      </c>
      <c r="Y248" s="87">
        <v>0</v>
      </c>
      <c r="Z248" s="87">
        <v>5125829.211155979</v>
      </c>
      <c r="AA248" s="87">
        <v>2944713.77</v>
      </c>
      <c r="AB248" s="87">
        <v>971755.54409999994</v>
      </c>
      <c r="AC248" s="87">
        <v>0</v>
      </c>
      <c r="AD248" s="87">
        <v>2181115.4411559789</v>
      </c>
      <c r="AE248" s="87">
        <v>719768.09558147297</v>
      </c>
      <c r="AF248">
        <v>719768.09558147297</v>
      </c>
      <c r="AG248" s="87"/>
    </row>
    <row r="249" spans="1:33">
      <c r="A249" s="53" t="s">
        <v>817</v>
      </c>
      <c r="B249" t="s">
        <v>214</v>
      </c>
      <c r="C249" t="s">
        <v>209</v>
      </c>
      <c r="E249" t="s">
        <v>209</v>
      </c>
      <c r="F249" t="s">
        <v>209</v>
      </c>
      <c r="G249" t="s">
        <v>210</v>
      </c>
      <c r="H249" t="s">
        <v>818</v>
      </c>
      <c r="I249" t="s">
        <v>9</v>
      </c>
      <c r="J249" t="s">
        <v>9</v>
      </c>
      <c r="K249" s="87">
        <v>672163.4220985024</v>
      </c>
      <c r="L249" s="87">
        <v>0</v>
      </c>
      <c r="M249" s="87">
        <v>0</v>
      </c>
      <c r="N249" s="87">
        <v>0</v>
      </c>
      <c r="O249" s="87">
        <v>501946.42120142962</v>
      </c>
      <c r="P249" s="87">
        <v>0</v>
      </c>
      <c r="Q249" s="87">
        <v>0</v>
      </c>
      <c r="R249" s="87">
        <v>501946.42120142962</v>
      </c>
      <c r="S249" s="87">
        <v>0</v>
      </c>
      <c r="T249" s="87">
        <v>0</v>
      </c>
      <c r="U249" s="87">
        <v>0</v>
      </c>
      <c r="V249" s="87">
        <v>0</v>
      </c>
      <c r="W249" s="87">
        <v>0</v>
      </c>
      <c r="X249" s="87">
        <v>0</v>
      </c>
      <c r="Y249" s="87">
        <v>0</v>
      </c>
      <c r="Z249" s="87">
        <v>501946.42120142962</v>
      </c>
      <c r="AA249" s="87">
        <v>0</v>
      </c>
      <c r="AB249" s="87">
        <v>0</v>
      </c>
      <c r="AC249" s="87">
        <v>0</v>
      </c>
      <c r="AD249" s="87">
        <v>501946.42120142962</v>
      </c>
      <c r="AE249" s="87">
        <v>165642.31899647176</v>
      </c>
      <c r="AF249">
        <v>165642.31899647176</v>
      </c>
      <c r="AG249" s="87"/>
    </row>
    <row r="250" spans="1:33">
      <c r="A250" s="53" t="s">
        <v>819</v>
      </c>
      <c r="B250" t="s">
        <v>214</v>
      </c>
      <c r="C250" t="s">
        <v>209</v>
      </c>
      <c r="E250" t="s">
        <v>209</v>
      </c>
      <c r="F250" t="s">
        <v>209</v>
      </c>
      <c r="G250" t="s">
        <v>210</v>
      </c>
      <c r="H250" t="s">
        <v>820</v>
      </c>
      <c r="I250" t="s">
        <v>8</v>
      </c>
      <c r="J250" t="s">
        <v>8</v>
      </c>
      <c r="K250" s="87">
        <v>1892237.0901643783</v>
      </c>
      <c r="L250" s="87">
        <v>10065214.059650747</v>
      </c>
      <c r="M250" s="87">
        <v>7534799.119260313</v>
      </c>
      <c r="N250" s="87">
        <v>2530414.9403904341</v>
      </c>
      <c r="O250" s="87">
        <v>9029318.7155953161</v>
      </c>
      <c r="P250" s="87">
        <v>2884691.6199999996</v>
      </c>
      <c r="Q250" s="87">
        <v>0</v>
      </c>
      <c r="R250" s="87">
        <v>9029318.7155953161</v>
      </c>
      <c r="S250" s="87">
        <v>1059514</v>
      </c>
      <c r="T250" s="87">
        <v>0</v>
      </c>
      <c r="U250" s="87">
        <v>597330.00000000116</v>
      </c>
      <c r="V250" s="87">
        <v>0</v>
      </c>
      <c r="W250" s="87">
        <v>1221954.43353907</v>
      </c>
      <c r="X250" s="87">
        <v>2878798.4335390711</v>
      </c>
      <c r="Y250" s="87">
        <v>0</v>
      </c>
      <c r="Z250" s="87">
        <v>11908117.149134386</v>
      </c>
      <c r="AA250" s="87">
        <v>6285041.8799999999</v>
      </c>
      <c r="AB250" s="87">
        <v>2074063.8203999996</v>
      </c>
      <c r="AC250" s="87">
        <v>0</v>
      </c>
      <c r="AD250" s="87">
        <v>5623075.2691343864</v>
      </c>
      <c r="AE250" s="87">
        <v>1855614.8388143475</v>
      </c>
      <c r="AF250">
        <v>1855614.8388143475</v>
      </c>
      <c r="AG250" s="87"/>
    </row>
    <row r="251" spans="1:33">
      <c r="A251" s="53" t="s">
        <v>821</v>
      </c>
      <c r="B251" t="s">
        <v>214</v>
      </c>
      <c r="C251" t="s">
        <v>209</v>
      </c>
      <c r="E251" t="s">
        <v>209</v>
      </c>
      <c r="F251" t="s">
        <v>209</v>
      </c>
      <c r="G251" t="s">
        <v>210</v>
      </c>
      <c r="H251" t="s">
        <v>822</v>
      </c>
      <c r="I251" t="s">
        <v>4</v>
      </c>
      <c r="J251" t="s">
        <v>260</v>
      </c>
      <c r="K251" s="87">
        <v>2482511.0694780927</v>
      </c>
      <c r="L251" s="87">
        <v>0</v>
      </c>
      <c r="M251" s="87">
        <v>0</v>
      </c>
      <c r="N251" s="87">
        <v>0</v>
      </c>
      <c r="O251" s="87">
        <v>5192051.8890200574</v>
      </c>
      <c r="P251" s="87">
        <v>0</v>
      </c>
      <c r="Q251" s="87">
        <v>0</v>
      </c>
      <c r="R251" s="87">
        <v>5192051.8890200574</v>
      </c>
      <c r="S251" s="87">
        <v>0</v>
      </c>
      <c r="T251" s="87">
        <v>0</v>
      </c>
      <c r="U251" s="87">
        <v>0</v>
      </c>
      <c r="V251" s="87">
        <v>0</v>
      </c>
      <c r="W251" s="87">
        <v>0</v>
      </c>
      <c r="X251" s="87">
        <v>0</v>
      </c>
      <c r="Y251" s="87">
        <v>0</v>
      </c>
      <c r="Z251" s="87">
        <v>5192051.8890200574</v>
      </c>
      <c r="AA251" s="87">
        <v>2601511.1</v>
      </c>
      <c r="AB251" s="87">
        <v>858498.66299999994</v>
      </c>
      <c r="AC251" s="87">
        <v>0</v>
      </c>
      <c r="AD251" s="87">
        <v>2590540.7890200573</v>
      </c>
      <c r="AE251" s="87">
        <v>854878.4603766189</v>
      </c>
      <c r="AF251">
        <v>854878.4603766189</v>
      </c>
      <c r="AG251" s="87"/>
    </row>
    <row r="252" spans="1:33">
      <c r="A252" s="53" t="s">
        <v>118</v>
      </c>
      <c r="B252" t="s">
        <v>281</v>
      </c>
      <c r="C252" t="s">
        <v>209</v>
      </c>
      <c r="E252" t="s">
        <v>209</v>
      </c>
      <c r="F252" t="s">
        <v>209</v>
      </c>
      <c r="G252" t="s">
        <v>283</v>
      </c>
      <c r="H252" t="s">
        <v>823</v>
      </c>
      <c r="I252" t="s">
        <v>4</v>
      </c>
      <c r="J252" t="s">
        <v>4</v>
      </c>
      <c r="K252" s="87">
        <v>25873926.45540357</v>
      </c>
      <c r="L252" s="87">
        <v>33283926.365564961</v>
      </c>
      <c r="M252" s="87">
        <v>28461228.901769217</v>
      </c>
      <c r="N252" s="87">
        <v>4822697.4637957439</v>
      </c>
      <c r="O252" s="87">
        <v>33877173.920603953</v>
      </c>
      <c r="P252" s="87">
        <v>53242068</v>
      </c>
      <c r="Q252" s="87">
        <v>22545444.080800686</v>
      </c>
      <c r="R252" s="87">
        <v>11331729.839803267</v>
      </c>
      <c r="S252" s="87">
        <v>0</v>
      </c>
      <c r="T252" s="87">
        <v>0</v>
      </c>
      <c r="U252" s="87">
        <v>0</v>
      </c>
      <c r="V252" s="87">
        <v>0</v>
      </c>
      <c r="W252" s="87">
        <v>0</v>
      </c>
      <c r="X252" s="87">
        <v>0</v>
      </c>
      <c r="Y252" s="87">
        <v>0</v>
      </c>
      <c r="Z252" s="87">
        <v>0</v>
      </c>
      <c r="AA252" s="87">
        <v>4184938.68</v>
      </c>
      <c r="AB252" s="87">
        <v>1381029.7644</v>
      </c>
      <c r="AC252" s="87">
        <v>0</v>
      </c>
      <c r="AD252" s="87">
        <v>0</v>
      </c>
      <c r="AE252" s="87">
        <v>0</v>
      </c>
      <c r="AF252">
        <v>0</v>
      </c>
      <c r="AG252" s="87"/>
    </row>
    <row r="253" spans="1:33">
      <c r="A253" s="53" t="s">
        <v>824</v>
      </c>
      <c r="B253" t="s">
        <v>286</v>
      </c>
      <c r="C253" t="s">
        <v>209</v>
      </c>
      <c r="E253" t="s">
        <v>287</v>
      </c>
      <c r="F253" t="s">
        <v>209</v>
      </c>
      <c r="G253" t="s">
        <v>210</v>
      </c>
      <c r="H253" t="s">
        <v>825</v>
      </c>
      <c r="I253" t="s">
        <v>6</v>
      </c>
      <c r="J253" t="s">
        <v>6</v>
      </c>
      <c r="K253" s="87">
        <v>-592440.39692719514</v>
      </c>
      <c r="L253" s="87">
        <v>1832332.9819828577</v>
      </c>
      <c r="M253" s="87">
        <v>62896.222460827747</v>
      </c>
      <c r="N253" s="87">
        <v>1769436.7595220299</v>
      </c>
      <c r="O253" s="87">
        <v>85958.931037035567</v>
      </c>
      <c r="P253" s="87">
        <v>2945277.71</v>
      </c>
      <c r="Q253" s="87">
        <v>1768281.3474051652</v>
      </c>
      <c r="R253" s="87">
        <v>0</v>
      </c>
      <c r="S253" s="87">
        <v>0</v>
      </c>
      <c r="T253" s="87">
        <v>0</v>
      </c>
      <c r="U253" s="87">
        <v>0</v>
      </c>
      <c r="V253" s="87">
        <v>0</v>
      </c>
      <c r="W253" s="87">
        <v>0</v>
      </c>
      <c r="X253" s="87">
        <v>0</v>
      </c>
      <c r="Y253" s="87">
        <v>0</v>
      </c>
      <c r="Z253" s="87">
        <v>0</v>
      </c>
      <c r="AA253" s="87">
        <v>0</v>
      </c>
      <c r="AB253" s="87">
        <v>0</v>
      </c>
      <c r="AC253" s="87">
        <v>0</v>
      </c>
      <c r="AD253" s="87">
        <v>0</v>
      </c>
      <c r="AE253" s="87">
        <v>0</v>
      </c>
      <c r="AF253">
        <v>0</v>
      </c>
      <c r="AG253" s="87"/>
    </row>
    <row r="254" spans="1:33">
      <c r="A254" s="53" t="s">
        <v>826</v>
      </c>
      <c r="B254" t="s">
        <v>214</v>
      </c>
      <c r="C254" t="s">
        <v>149</v>
      </c>
      <c r="E254" t="s">
        <v>209</v>
      </c>
      <c r="F254" t="s">
        <v>209</v>
      </c>
      <c r="G254" t="s">
        <v>210</v>
      </c>
      <c r="H254" t="s">
        <v>827</v>
      </c>
      <c r="I254" t="s">
        <v>12</v>
      </c>
      <c r="J254" t="s">
        <v>828</v>
      </c>
      <c r="K254" s="87">
        <v>123334.73676464635</v>
      </c>
      <c r="L254" s="87">
        <v>0</v>
      </c>
      <c r="M254" s="87">
        <v>0</v>
      </c>
      <c r="N254" s="87">
        <v>0</v>
      </c>
      <c r="O254" s="87">
        <v>594256.43068933126</v>
      </c>
      <c r="P254" s="87">
        <v>0</v>
      </c>
      <c r="Q254" s="87">
        <v>0</v>
      </c>
      <c r="R254" s="87">
        <v>594256.43068933126</v>
      </c>
      <c r="S254" s="87">
        <v>0</v>
      </c>
      <c r="T254" s="87">
        <v>0</v>
      </c>
      <c r="U254" s="87">
        <v>0</v>
      </c>
      <c r="V254" s="87">
        <v>0</v>
      </c>
      <c r="W254" s="87">
        <v>0</v>
      </c>
      <c r="X254" s="87">
        <v>0</v>
      </c>
      <c r="Y254" s="87">
        <v>0</v>
      </c>
      <c r="Z254" s="87">
        <v>594256.43068933126</v>
      </c>
      <c r="AA254" s="87">
        <v>247973.77</v>
      </c>
      <c r="AB254" s="87">
        <v>81831.344099999988</v>
      </c>
      <c r="AC254" s="87">
        <v>0</v>
      </c>
      <c r="AD254" s="87">
        <v>346282.66068933124</v>
      </c>
      <c r="AE254" s="87">
        <v>114273.2780274793</v>
      </c>
      <c r="AF254">
        <v>114273.2780274793</v>
      </c>
      <c r="AG254" s="87"/>
    </row>
    <row r="255" spans="1:33">
      <c r="A255" s="53" t="s">
        <v>829</v>
      </c>
      <c r="B255" t="s">
        <v>214</v>
      </c>
      <c r="C255" t="s">
        <v>149</v>
      </c>
      <c r="E255" t="s">
        <v>209</v>
      </c>
      <c r="F255" t="s">
        <v>209</v>
      </c>
      <c r="G255" t="s">
        <v>210</v>
      </c>
      <c r="H255" t="s">
        <v>830</v>
      </c>
      <c r="I255" t="s">
        <v>15</v>
      </c>
      <c r="J255" t="s">
        <v>831</v>
      </c>
      <c r="K255" s="87">
        <v>-19974.543909196775</v>
      </c>
      <c r="L255" s="87">
        <v>1260425.181413237</v>
      </c>
      <c r="M255" s="87">
        <v>0</v>
      </c>
      <c r="N255" s="87">
        <v>1260425.181413237</v>
      </c>
      <c r="O255" s="87">
        <v>1210843.5573445118</v>
      </c>
      <c r="P255" s="87">
        <v>0</v>
      </c>
      <c r="Q255" s="87">
        <v>0</v>
      </c>
      <c r="R255" s="87">
        <v>1210843.5573445118</v>
      </c>
      <c r="S255" s="87">
        <v>0</v>
      </c>
      <c r="T255" s="87">
        <v>0</v>
      </c>
      <c r="U255" s="87">
        <v>0</v>
      </c>
      <c r="V255" s="87">
        <v>0</v>
      </c>
      <c r="W255" s="87">
        <v>0</v>
      </c>
      <c r="X255" s="87">
        <v>0</v>
      </c>
      <c r="Y255" s="87">
        <v>0</v>
      </c>
      <c r="Z255" s="87">
        <v>1210843.5573445118</v>
      </c>
      <c r="AA255" s="87">
        <v>510215.34</v>
      </c>
      <c r="AB255" s="87">
        <v>168371.06219999999</v>
      </c>
      <c r="AC255" s="87">
        <v>0</v>
      </c>
      <c r="AD255" s="87">
        <v>700628.21734451177</v>
      </c>
      <c r="AE255" s="87">
        <v>231207.31172368885</v>
      </c>
      <c r="AF255">
        <v>231207.31172368885</v>
      </c>
      <c r="AG255" s="87"/>
    </row>
    <row r="256" spans="1:33">
      <c r="A256" s="53" t="s">
        <v>832</v>
      </c>
      <c r="B256" t="s">
        <v>286</v>
      </c>
      <c r="C256" t="s">
        <v>209</v>
      </c>
      <c r="E256" t="s">
        <v>287</v>
      </c>
      <c r="F256" t="s">
        <v>209</v>
      </c>
      <c r="G256" t="s">
        <v>210</v>
      </c>
      <c r="H256" t="s">
        <v>833</v>
      </c>
      <c r="I256" t="s">
        <v>14</v>
      </c>
      <c r="J256" t="s">
        <v>248</v>
      </c>
      <c r="K256" s="87">
        <v>-440252.0359356674</v>
      </c>
      <c r="L256" s="87">
        <v>0</v>
      </c>
      <c r="M256" s="87">
        <v>0</v>
      </c>
      <c r="N256" s="87">
        <v>0</v>
      </c>
      <c r="O256" s="87">
        <v>13284.571254886399</v>
      </c>
      <c r="P256" s="87">
        <v>0</v>
      </c>
      <c r="Q256" s="87">
        <v>0</v>
      </c>
      <c r="R256" s="87">
        <v>13284.571254886399</v>
      </c>
      <c r="S256" s="87">
        <v>0</v>
      </c>
      <c r="T256" s="87">
        <v>0</v>
      </c>
      <c r="U256" s="87">
        <v>0</v>
      </c>
      <c r="V256" s="87">
        <v>0</v>
      </c>
      <c r="W256" s="87">
        <v>0</v>
      </c>
      <c r="X256" s="87">
        <v>0</v>
      </c>
      <c r="Y256" s="87">
        <v>0</v>
      </c>
      <c r="Z256" s="87">
        <v>13284.571254886399</v>
      </c>
      <c r="AA256" s="87">
        <v>5768.36</v>
      </c>
      <c r="AB256" s="87">
        <v>1903.5587999999996</v>
      </c>
      <c r="AC256" s="87">
        <v>0</v>
      </c>
      <c r="AD256" s="87">
        <v>7516.2112548863997</v>
      </c>
      <c r="AE256" s="87">
        <v>2480.3497141125117</v>
      </c>
      <c r="AF256">
        <v>2480.3497141125117</v>
      </c>
      <c r="AG256" s="87"/>
    </row>
    <row r="257" spans="1:33">
      <c r="A257" s="53" t="s">
        <v>834</v>
      </c>
      <c r="B257" t="s">
        <v>214</v>
      </c>
      <c r="C257" t="s">
        <v>149</v>
      </c>
      <c r="E257" t="s">
        <v>209</v>
      </c>
      <c r="F257" t="s">
        <v>209</v>
      </c>
      <c r="G257" t="s">
        <v>210</v>
      </c>
      <c r="H257" t="s">
        <v>835</v>
      </c>
      <c r="I257" t="s">
        <v>12</v>
      </c>
      <c r="J257" t="s">
        <v>836</v>
      </c>
      <c r="K257" s="87">
        <v>166616.01747212795</v>
      </c>
      <c r="L257" s="87">
        <v>220604.35035793792</v>
      </c>
      <c r="M257" s="87">
        <v>158704.96408721921</v>
      </c>
      <c r="N257" s="87">
        <v>61899.386270718707</v>
      </c>
      <c r="O257" s="87">
        <v>256969.1234247424</v>
      </c>
      <c r="P257" s="87">
        <v>0</v>
      </c>
      <c r="Q257" s="87">
        <v>0</v>
      </c>
      <c r="R257" s="87">
        <v>256969.1234247424</v>
      </c>
      <c r="S257" s="87">
        <v>0</v>
      </c>
      <c r="T257" s="87">
        <v>0</v>
      </c>
      <c r="U257" s="87">
        <v>0</v>
      </c>
      <c r="V257" s="87">
        <v>0</v>
      </c>
      <c r="W257" s="87">
        <v>0</v>
      </c>
      <c r="X257" s="87">
        <v>0</v>
      </c>
      <c r="Y257" s="87">
        <v>0</v>
      </c>
      <c r="Z257" s="87">
        <v>256969.1234247424</v>
      </c>
      <c r="AA257" s="87">
        <v>119489.21</v>
      </c>
      <c r="AB257" s="87">
        <v>39431.439299999998</v>
      </c>
      <c r="AC257" s="87">
        <v>0</v>
      </c>
      <c r="AD257" s="87">
        <v>137479.91342474241</v>
      </c>
      <c r="AE257" s="87">
        <v>45368.371430164989</v>
      </c>
      <c r="AF257">
        <v>45368.371430164989</v>
      </c>
      <c r="AG257" s="87"/>
    </row>
    <row r="258" spans="1:33">
      <c r="A258" s="53" t="s">
        <v>837</v>
      </c>
      <c r="B258" t="s">
        <v>214</v>
      </c>
      <c r="C258" t="s">
        <v>209</v>
      </c>
      <c r="E258" t="s">
        <v>209</v>
      </c>
      <c r="F258" t="s">
        <v>209</v>
      </c>
      <c r="G258" t="s">
        <v>210</v>
      </c>
      <c r="H258" t="s">
        <v>838</v>
      </c>
      <c r="I258" t="s">
        <v>6</v>
      </c>
      <c r="J258" t="s">
        <v>6</v>
      </c>
      <c r="K258" s="87">
        <v>-3328253.1463475004</v>
      </c>
      <c r="L258" s="87">
        <v>29227127.60764917</v>
      </c>
      <c r="M258" s="87">
        <v>18363361.806245204</v>
      </c>
      <c r="N258" s="87">
        <v>10863765.801403966</v>
      </c>
      <c r="O258" s="87">
        <v>24343821.932472061</v>
      </c>
      <c r="P258" s="87">
        <v>10601298.469999999</v>
      </c>
      <c r="Q258" s="87">
        <v>3065785.8149435334</v>
      </c>
      <c r="R258" s="87">
        <v>21278036.117528528</v>
      </c>
      <c r="S258" s="87">
        <v>2584525</v>
      </c>
      <c r="T258" s="87">
        <v>0</v>
      </c>
      <c r="U258" s="87">
        <v>2663719.7312000012</v>
      </c>
      <c r="V258" s="87">
        <v>0</v>
      </c>
      <c r="W258" s="87">
        <v>12962337.680101259</v>
      </c>
      <c r="X258" s="87">
        <v>18210582.411301259</v>
      </c>
      <c r="Y258" s="87">
        <v>0</v>
      </c>
      <c r="Z258" s="87">
        <v>39488618.528829783</v>
      </c>
      <c r="AA258" s="87">
        <v>20548867.600000001</v>
      </c>
      <c r="AB258" s="87">
        <v>6781126.3079999993</v>
      </c>
      <c r="AC258" s="87">
        <v>0</v>
      </c>
      <c r="AD258" s="87">
        <v>18939750.928829782</v>
      </c>
      <c r="AE258" s="87">
        <v>6250117.8065138282</v>
      </c>
      <c r="AF258">
        <v>6250117.8065138282</v>
      </c>
      <c r="AG258" s="87"/>
    </row>
    <row r="259" spans="1:33">
      <c r="A259" s="53" t="s">
        <v>839</v>
      </c>
      <c r="B259" t="s">
        <v>286</v>
      </c>
      <c r="C259" t="s">
        <v>209</v>
      </c>
      <c r="E259" t="s">
        <v>287</v>
      </c>
      <c r="F259" t="s">
        <v>209</v>
      </c>
      <c r="G259" t="s">
        <v>210</v>
      </c>
      <c r="H259" t="s">
        <v>840</v>
      </c>
      <c r="I259" t="s">
        <v>4</v>
      </c>
      <c r="J259" t="s">
        <v>4</v>
      </c>
      <c r="K259" s="87">
        <v>-1004887.8896981202</v>
      </c>
      <c r="L259" s="87">
        <v>0</v>
      </c>
      <c r="M259" s="87">
        <v>0</v>
      </c>
      <c r="N259" s="87">
        <v>0</v>
      </c>
      <c r="O259" s="87">
        <v>107448.51420971025</v>
      </c>
      <c r="P259" s="87">
        <v>0</v>
      </c>
      <c r="Q259" s="87">
        <v>0</v>
      </c>
      <c r="R259" s="87">
        <v>107448.51420971025</v>
      </c>
      <c r="S259" s="87">
        <v>0</v>
      </c>
      <c r="T259" s="87">
        <v>0</v>
      </c>
      <c r="U259" s="87">
        <v>0</v>
      </c>
      <c r="V259" s="87">
        <v>0</v>
      </c>
      <c r="W259" s="87">
        <v>0</v>
      </c>
      <c r="X259" s="87">
        <v>0</v>
      </c>
      <c r="Y259" s="87">
        <v>0</v>
      </c>
      <c r="Z259" s="87">
        <v>107448.51420971025</v>
      </c>
      <c r="AA259" s="87">
        <v>11842.84</v>
      </c>
      <c r="AB259" s="87">
        <v>3908.1371999999997</v>
      </c>
      <c r="AC259" s="87">
        <v>0</v>
      </c>
      <c r="AD259" s="87">
        <v>95605.674209710254</v>
      </c>
      <c r="AE259" s="87">
        <v>31549.872489204379</v>
      </c>
      <c r="AF259">
        <v>31549.872489204379</v>
      </c>
      <c r="AG259" s="87"/>
    </row>
    <row r="260" spans="1:33">
      <c r="A260" s="53" t="s">
        <v>841</v>
      </c>
      <c r="B260" t="s">
        <v>214</v>
      </c>
      <c r="C260" t="s">
        <v>209</v>
      </c>
      <c r="E260" t="s">
        <v>209</v>
      </c>
      <c r="F260" t="s">
        <v>209</v>
      </c>
      <c r="G260" t="s">
        <v>210</v>
      </c>
      <c r="H260" t="s">
        <v>842</v>
      </c>
      <c r="I260" t="s">
        <v>4</v>
      </c>
      <c r="J260" t="s">
        <v>260</v>
      </c>
      <c r="K260" s="87">
        <v>2465482.2713036551</v>
      </c>
      <c r="L260" s="87">
        <v>0</v>
      </c>
      <c r="M260" s="87">
        <v>0</v>
      </c>
      <c r="N260" s="87">
        <v>0</v>
      </c>
      <c r="O260" s="87">
        <v>7419533.6341950214</v>
      </c>
      <c r="P260" s="87">
        <v>0</v>
      </c>
      <c r="Q260" s="87">
        <v>0</v>
      </c>
      <c r="R260" s="87">
        <v>7419533.6341950214</v>
      </c>
      <c r="S260" s="87">
        <v>0</v>
      </c>
      <c r="T260" s="87">
        <v>0</v>
      </c>
      <c r="U260" s="87">
        <v>0</v>
      </c>
      <c r="V260" s="87">
        <v>0</v>
      </c>
      <c r="W260" s="87">
        <v>0</v>
      </c>
      <c r="X260" s="87">
        <v>0</v>
      </c>
      <c r="Y260" s="87">
        <v>0</v>
      </c>
      <c r="Z260" s="87">
        <v>7419533.6341950214</v>
      </c>
      <c r="AA260" s="87">
        <v>3410840.22</v>
      </c>
      <c r="AB260" s="87">
        <v>1125577.2726</v>
      </c>
      <c r="AC260" s="87">
        <v>0</v>
      </c>
      <c r="AD260" s="87">
        <v>4008693.4141950211</v>
      </c>
      <c r="AE260" s="87">
        <v>1322868.8266843569</v>
      </c>
      <c r="AF260">
        <v>1322868.8266843569</v>
      </c>
      <c r="AG260" s="87"/>
    </row>
    <row r="261" spans="1:33">
      <c r="A261" s="53" t="s">
        <v>843</v>
      </c>
      <c r="B261" t="s">
        <v>214</v>
      </c>
      <c r="C261" t="s">
        <v>209</v>
      </c>
      <c r="E261" t="s">
        <v>209</v>
      </c>
      <c r="F261" t="s">
        <v>209</v>
      </c>
      <c r="G261" t="s">
        <v>210</v>
      </c>
      <c r="H261" t="s">
        <v>542</v>
      </c>
      <c r="I261" t="s">
        <v>14</v>
      </c>
      <c r="J261" t="s">
        <v>14</v>
      </c>
      <c r="K261" s="87">
        <v>1196631.9167848676</v>
      </c>
      <c r="L261" s="87">
        <v>15901469.396073986</v>
      </c>
      <c r="M261" s="87">
        <v>0</v>
      </c>
      <c r="N261" s="87">
        <v>15901469.396073986</v>
      </c>
      <c r="O261" s="87">
        <v>12873192.212219441</v>
      </c>
      <c r="P261" s="87">
        <v>0</v>
      </c>
      <c r="Q261" s="87">
        <v>0</v>
      </c>
      <c r="R261" s="87">
        <v>12873192.212219441</v>
      </c>
      <c r="S261" s="87">
        <v>0</v>
      </c>
      <c r="T261" s="87">
        <v>0</v>
      </c>
      <c r="U261" s="87">
        <v>0</v>
      </c>
      <c r="V261" s="87">
        <v>0</v>
      </c>
      <c r="W261" s="87">
        <v>1620550</v>
      </c>
      <c r="X261" s="87">
        <v>1620550</v>
      </c>
      <c r="Y261" s="87">
        <v>0</v>
      </c>
      <c r="Z261" s="87">
        <v>14493742.212219441</v>
      </c>
      <c r="AA261" s="87">
        <v>6288418.4199999999</v>
      </c>
      <c r="AB261" s="87">
        <v>2075178.0785999997</v>
      </c>
      <c r="AC261" s="87">
        <v>0</v>
      </c>
      <c r="AD261" s="87">
        <v>8205323.7922194414</v>
      </c>
      <c r="AE261" s="87">
        <v>2707756.8514324157</v>
      </c>
      <c r="AF261">
        <v>2707756.8514324157</v>
      </c>
      <c r="AG261" s="87"/>
    </row>
    <row r="262" spans="1:33">
      <c r="A262" s="53" t="s">
        <v>844</v>
      </c>
      <c r="B262" t="s">
        <v>214</v>
      </c>
      <c r="C262" t="s">
        <v>209</v>
      </c>
      <c r="E262" t="s">
        <v>209</v>
      </c>
      <c r="F262" t="s">
        <v>227</v>
      </c>
      <c r="G262" t="s">
        <v>210</v>
      </c>
      <c r="H262" t="s">
        <v>346</v>
      </c>
      <c r="I262" t="s">
        <v>15</v>
      </c>
      <c r="J262" t="s">
        <v>15</v>
      </c>
      <c r="K262" s="87">
        <v>-87902903.701066911</v>
      </c>
      <c r="L262" s="87">
        <v>11052605.685981192</v>
      </c>
      <c r="M262" s="87">
        <v>6237565.5296312682</v>
      </c>
      <c r="N262" s="87">
        <v>4815040.1563499235</v>
      </c>
      <c r="O262" s="87">
        <v>10769577.762469267</v>
      </c>
      <c r="P262" s="87">
        <v>0</v>
      </c>
      <c r="Q262" s="87">
        <v>0</v>
      </c>
      <c r="R262" s="87">
        <v>10769577.762469267</v>
      </c>
      <c r="S262" s="87">
        <v>525205</v>
      </c>
      <c r="T262" s="87">
        <v>0</v>
      </c>
      <c r="U262" s="87">
        <v>0</v>
      </c>
      <c r="V262" s="87">
        <v>0</v>
      </c>
      <c r="W262" s="87">
        <v>659824</v>
      </c>
      <c r="X262" s="87">
        <v>1185029</v>
      </c>
      <c r="Y262" s="87">
        <v>0</v>
      </c>
      <c r="Z262" s="87">
        <v>11954606.762469267</v>
      </c>
      <c r="AA262" s="87">
        <v>3487253.71</v>
      </c>
      <c r="AB262" s="87">
        <v>1150793.7242999999</v>
      </c>
      <c r="AC262" s="87">
        <v>0</v>
      </c>
      <c r="AD262" s="87">
        <v>8467353.0524692684</v>
      </c>
      <c r="AE262" s="87">
        <v>2794226.507314858</v>
      </c>
      <c r="AF262">
        <v>2794226.507314858</v>
      </c>
      <c r="AG262" s="87"/>
    </row>
    <row r="263" spans="1:33">
      <c r="A263" s="53" t="s">
        <v>845</v>
      </c>
      <c r="B263" t="s">
        <v>208</v>
      </c>
      <c r="C263" t="s">
        <v>149</v>
      </c>
      <c r="E263" t="s">
        <v>209</v>
      </c>
      <c r="F263" t="s">
        <v>209</v>
      </c>
      <c r="G263" t="s">
        <v>210</v>
      </c>
      <c r="H263" t="s">
        <v>846</v>
      </c>
      <c r="I263" t="s">
        <v>12</v>
      </c>
      <c r="J263" t="s">
        <v>847</v>
      </c>
      <c r="K263" s="87">
        <v>-334401.72071039974</v>
      </c>
      <c r="L263" s="87">
        <v>1207554.3386267254</v>
      </c>
      <c r="M263" s="87">
        <v>304149.38477647363</v>
      </c>
      <c r="N263" s="87">
        <v>903404.95385025174</v>
      </c>
      <c r="O263" s="87">
        <v>609966.51982192637</v>
      </c>
      <c r="P263" s="87">
        <v>640392.21</v>
      </c>
      <c r="Q263" s="87">
        <v>71388.976860148017</v>
      </c>
      <c r="R263" s="87">
        <v>538577.54296177835</v>
      </c>
      <c r="S263" s="87">
        <v>0</v>
      </c>
      <c r="T263" s="87">
        <v>0</v>
      </c>
      <c r="U263" s="87">
        <v>0</v>
      </c>
      <c r="V263" s="87">
        <v>0</v>
      </c>
      <c r="W263" s="87">
        <v>0</v>
      </c>
      <c r="X263" s="87">
        <v>0</v>
      </c>
      <c r="Y263" s="87">
        <v>0</v>
      </c>
      <c r="Z263" s="87">
        <v>538577.54296177835</v>
      </c>
      <c r="AA263" s="87">
        <v>81644.67</v>
      </c>
      <c r="AB263" s="87">
        <v>26942.741099999996</v>
      </c>
      <c r="AC263" s="87">
        <v>0</v>
      </c>
      <c r="AD263" s="87">
        <v>456932.87296177837</v>
      </c>
      <c r="AE263" s="87">
        <v>150787.84807738685</v>
      </c>
      <c r="AF263">
        <v>150787.84807738685</v>
      </c>
      <c r="AG263" s="87"/>
    </row>
    <row r="264" spans="1:33">
      <c r="A264" s="53" t="s">
        <v>848</v>
      </c>
      <c r="B264" t="s">
        <v>214</v>
      </c>
      <c r="C264" t="s">
        <v>209</v>
      </c>
      <c r="E264" t="s">
        <v>209</v>
      </c>
      <c r="F264" t="s">
        <v>209</v>
      </c>
      <c r="G264" t="s">
        <v>210</v>
      </c>
      <c r="H264" t="s">
        <v>849</v>
      </c>
      <c r="I264" t="s">
        <v>15</v>
      </c>
      <c r="J264" t="s">
        <v>242</v>
      </c>
      <c r="K264" s="87">
        <v>-90192.883572650171</v>
      </c>
      <c r="L264" s="87">
        <v>0</v>
      </c>
      <c r="M264" s="87">
        <v>0</v>
      </c>
      <c r="N264" s="87">
        <v>0</v>
      </c>
      <c r="O264" s="87">
        <v>12448902.421680424</v>
      </c>
      <c r="P264" s="87">
        <v>0</v>
      </c>
      <c r="Q264" s="87">
        <v>0</v>
      </c>
      <c r="R264" s="87">
        <v>12448902.421680424</v>
      </c>
      <c r="S264" s="87">
        <v>705808.19999999984</v>
      </c>
      <c r="T264" s="87">
        <v>0</v>
      </c>
      <c r="U264" s="87">
        <v>0</v>
      </c>
      <c r="V264" s="87">
        <v>0</v>
      </c>
      <c r="W264" s="87">
        <v>0</v>
      </c>
      <c r="X264" s="87">
        <v>705808.19999999984</v>
      </c>
      <c r="Y264" s="87">
        <v>0</v>
      </c>
      <c r="Z264" s="87">
        <v>13154710.621680424</v>
      </c>
      <c r="AA264" s="87">
        <v>8013107.8899999997</v>
      </c>
      <c r="AB264" s="87">
        <v>2644325.6036999994</v>
      </c>
      <c r="AC264" s="87">
        <v>0</v>
      </c>
      <c r="AD264" s="87">
        <v>5141602.731680424</v>
      </c>
      <c r="AE264" s="87">
        <v>1696728.9014545395</v>
      </c>
      <c r="AF264">
        <v>1696728.9014545395</v>
      </c>
      <c r="AG264" s="87"/>
    </row>
    <row r="265" spans="1:33">
      <c r="A265" s="53" t="s">
        <v>850</v>
      </c>
      <c r="B265" t="s">
        <v>286</v>
      </c>
      <c r="C265" t="s">
        <v>209</v>
      </c>
      <c r="E265" t="s">
        <v>287</v>
      </c>
      <c r="F265" t="s">
        <v>209</v>
      </c>
      <c r="G265" t="s">
        <v>210</v>
      </c>
      <c r="H265" t="s">
        <v>851</v>
      </c>
      <c r="I265" t="s">
        <v>5</v>
      </c>
      <c r="J265" t="s">
        <v>5</v>
      </c>
      <c r="K265" s="87">
        <v>-2783817.0737221343</v>
      </c>
      <c r="L265" s="87">
        <v>0</v>
      </c>
      <c r="M265" s="87">
        <v>0</v>
      </c>
      <c r="N265" s="87">
        <v>0</v>
      </c>
      <c r="O265" s="87">
        <v>26673.93383887424</v>
      </c>
      <c r="P265" s="87">
        <v>0</v>
      </c>
      <c r="Q265" s="87">
        <v>0</v>
      </c>
      <c r="R265" s="87">
        <v>26673.93383887424</v>
      </c>
      <c r="S265" s="87">
        <v>0</v>
      </c>
      <c r="T265" s="87">
        <v>0</v>
      </c>
      <c r="U265" s="87">
        <v>0</v>
      </c>
      <c r="V265" s="87">
        <v>0</v>
      </c>
      <c r="W265" s="87">
        <v>0</v>
      </c>
      <c r="X265" s="87">
        <v>0</v>
      </c>
      <c r="Y265" s="87">
        <v>0</v>
      </c>
      <c r="Z265" s="87">
        <v>26673.93383887424</v>
      </c>
      <c r="AA265" s="87">
        <v>33748.61</v>
      </c>
      <c r="AB265" s="87">
        <v>11137.041299999999</v>
      </c>
      <c r="AC265" s="87">
        <v>0</v>
      </c>
      <c r="AD265" s="87">
        <v>-7074.6761611257607</v>
      </c>
      <c r="AE265" s="87">
        <v>-2334.6431331715012</v>
      </c>
      <c r="AF265">
        <v>0</v>
      </c>
      <c r="AG265" s="87"/>
    </row>
    <row r="266" spans="1:33">
      <c r="A266" s="53" t="s">
        <v>852</v>
      </c>
      <c r="B266" t="s">
        <v>214</v>
      </c>
      <c r="C266" t="s">
        <v>209</v>
      </c>
      <c r="E266" t="s">
        <v>209</v>
      </c>
      <c r="F266" t="s">
        <v>209</v>
      </c>
      <c r="G266" t="s">
        <v>210</v>
      </c>
      <c r="H266" t="s">
        <v>853</v>
      </c>
      <c r="I266" t="s">
        <v>15</v>
      </c>
      <c r="J266" t="s">
        <v>242</v>
      </c>
      <c r="K266" s="87">
        <v>-1833578.5393244929</v>
      </c>
      <c r="L266" s="87">
        <v>7402161.9734780649</v>
      </c>
      <c r="M266" s="87">
        <v>4563426.2477497347</v>
      </c>
      <c r="N266" s="87">
        <v>2838735.7257283302</v>
      </c>
      <c r="O266" s="87">
        <v>5708944.1507264767</v>
      </c>
      <c r="P266" s="87">
        <v>0</v>
      </c>
      <c r="Q266" s="87">
        <v>0</v>
      </c>
      <c r="R266" s="87">
        <v>5708944.1507264767</v>
      </c>
      <c r="S266" s="87">
        <v>1062151</v>
      </c>
      <c r="T266" s="87">
        <v>0</v>
      </c>
      <c r="U266" s="87">
        <v>56679</v>
      </c>
      <c r="V266" s="87">
        <v>0</v>
      </c>
      <c r="W266" s="87">
        <v>480241</v>
      </c>
      <c r="X266" s="87">
        <v>1599071</v>
      </c>
      <c r="Y266" s="87">
        <v>0</v>
      </c>
      <c r="Z266" s="87">
        <v>7308015.1507264767</v>
      </c>
      <c r="AA266" s="87">
        <v>2975257.3</v>
      </c>
      <c r="AB266" s="87">
        <v>981834.90899999987</v>
      </c>
      <c r="AC266" s="87">
        <v>0</v>
      </c>
      <c r="AD266" s="87">
        <v>4332757.8507264769</v>
      </c>
      <c r="AE266" s="87">
        <v>1429810.0907397368</v>
      </c>
      <c r="AF266">
        <v>1429810.0907397368</v>
      </c>
      <c r="AG266" s="87"/>
    </row>
    <row r="267" spans="1:33">
      <c r="A267" s="53" t="s">
        <v>854</v>
      </c>
      <c r="B267" t="s">
        <v>214</v>
      </c>
      <c r="C267" t="s">
        <v>209</v>
      </c>
      <c r="E267" t="s">
        <v>209</v>
      </c>
      <c r="F267" t="s">
        <v>209</v>
      </c>
      <c r="G267" t="s">
        <v>210</v>
      </c>
      <c r="H267" t="s">
        <v>855</v>
      </c>
      <c r="I267" t="s">
        <v>6</v>
      </c>
      <c r="J267" t="s">
        <v>6</v>
      </c>
      <c r="K267" s="87">
        <v>-1542466.3891430674</v>
      </c>
      <c r="L267" s="87">
        <v>39780105.217591867</v>
      </c>
      <c r="M267" s="87">
        <v>0</v>
      </c>
      <c r="N267" s="87">
        <v>39780105.217591867</v>
      </c>
      <c r="O267" s="87">
        <v>30966013.801293079</v>
      </c>
      <c r="P267" s="87">
        <v>0</v>
      </c>
      <c r="Q267" s="87">
        <v>0</v>
      </c>
      <c r="R267" s="87">
        <v>30966013.801293079</v>
      </c>
      <c r="S267" s="87">
        <v>775862</v>
      </c>
      <c r="T267" s="87">
        <v>0</v>
      </c>
      <c r="U267" s="87">
        <v>0</v>
      </c>
      <c r="V267" s="87">
        <v>0</v>
      </c>
      <c r="W267" s="87">
        <v>0</v>
      </c>
      <c r="X267" s="87">
        <v>775862</v>
      </c>
      <c r="Y267" s="87">
        <v>0</v>
      </c>
      <c r="Z267" s="87">
        <v>31741875.801293079</v>
      </c>
      <c r="AA267" s="87">
        <v>12997993.67</v>
      </c>
      <c r="AB267" s="87">
        <v>4289337.9110999992</v>
      </c>
      <c r="AC267" s="87">
        <v>0</v>
      </c>
      <c r="AD267" s="87">
        <v>18743882.131293081</v>
      </c>
      <c r="AE267" s="87">
        <v>6185481.1033267146</v>
      </c>
      <c r="AF267">
        <v>6185481.1033267146</v>
      </c>
      <c r="AG267" s="87"/>
    </row>
    <row r="268" spans="1:33">
      <c r="A268" s="53" t="s">
        <v>856</v>
      </c>
      <c r="B268" t="s">
        <v>286</v>
      </c>
      <c r="C268" t="s">
        <v>209</v>
      </c>
      <c r="E268" t="s">
        <v>287</v>
      </c>
      <c r="F268" t="s">
        <v>209</v>
      </c>
      <c r="G268" t="s">
        <v>210</v>
      </c>
      <c r="H268" t="s">
        <v>857</v>
      </c>
      <c r="I268" t="s">
        <v>15</v>
      </c>
      <c r="J268" t="s">
        <v>15</v>
      </c>
      <c r="K268" s="87">
        <v>-79764.229483044794</v>
      </c>
      <c r="L268" s="87">
        <v>0</v>
      </c>
      <c r="M268" s="87">
        <v>0</v>
      </c>
      <c r="N268" s="87">
        <v>0</v>
      </c>
      <c r="O268" s="87">
        <v>13783.657656195946</v>
      </c>
      <c r="P268" s="87">
        <v>0</v>
      </c>
      <c r="Q268" s="87">
        <v>0</v>
      </c>
      <c r="R268" s="87">
        <v>13783.657656195946</v>
      </c>
      <c r="S268" s="87">
        <v>0</v>
      </c>
      <c r="T268" s="87">
        <v>0</v>
      </c>
      <c r="U268" s="87">
        <v>0</v>
      </c>
      <c r="V268" s="87">
        <v>0</v>
      </c>
      <c r="W268" s="87">
        <v>0</v>
      </c>
      <c r="X268" s="87">
        <v>0</v>
      </c>
      <c r="Y268" s="87">
        <v>0</v>
      </c>
      <c r="Z268" s="87">
        <v>13783.657656195946</v>
      </c>
      <c r="AA268" s="87">
        <v>1523.85</v>
      </c>
      <c r="AB268" s="87">
        <v>502.87049999999994</v>
      </c>
      <c r="AC268" s="87">
        <v>0</v>
      </c>
      <c r="AD268" s="87">
        <v>12259.807656195946</v>
      </c>
      <c r="AE268" s="87">
        <v>4045.7365265446615</v>
      </c>
      <c r="AF268">
        <v>4045.7365265446615</v>
      </c>
      <c r="AG268" s="87"/>
    </row>
    <row r="269" spans="1:33">
      <c r="A269" s="53" t="s">
        <v>858</v>
      </c>
      <c r="B269" t="s">
        <v>214</v>
      </c>
      <c r="C269" t="s">
        <v>209</v>
      </c>
      <c r="E269" t="s">
        <v>209</v>
      </c>
      <c r="F269" t="s">
        <v>209</v>
      </c>
      <c r="G269" t="s">
        <v>210</v>
      </c>
      <c r="H269" t="s">
        <v>859</v>
      </c>
      <c r="I269" t="s">
        <v>4</v>
      </c>
      <c r="J269" t="s">
        <v>245</v>
      </c>
      <c r="K269" s="87">
        <v>454969.92521236523</v>
      </c>
      <c r="L269" s="87">
        <v>0</v>
      </c>
      <c r="M269" s="87">
        <v>0</v>
      </c>
      <c r="N269" s="87">
        <v>0</v>
      </c>
      <c r="O269" s="87">
        <v>3001270.8044553474</v>
      </c>
      <c r="P269" s="87">
        <v>0</v>
      </c>
      <c r="Q269" s="87">
        <v>0</v>
      </c>
      <c r="R269" s="87">
        <v>3001270.8044553474</v>
      </c>
      <c r="S269" s="87">
        <v>0</v>
      </c>
      <c r="T269" s="87">
        <v>0</v>
      </c>
      <c r="U269" s="87">
        <v>0</v>
      </c>
      <c r="V269" s="87">
        <v>0</v>
      </c>
      <c r="W269" s="87">
        <v>0</v>
      </c>
      <c r="X269" s="87">
        <v>0</v>
      </c>
      <c r="Y269" s="87">
        <v>0</v>
      </c>
      <c r="Z269" s="87">
        <v>3001270.8044553474</v>
      </c>
      <c r="AA269" s="87">
        <v>1133853.6499999999</v>
      </c>
      <c r="AB269" s="87">
        <v>374171.70449999993</v>
      </c>
      <c r="AC269" s="87">
        <v>0</v>
      </c>
      <c r="AD269" s="87">
        <v>1867417.1544553475</v>
      </c>
      <c r="AE269" s="87">
        <v>616247.66097026458</v>
      </c>
      <c r="AF269">
        <v>616247.66097026458</v>
      </c>
      <c r="AG269" s="87"/>
    </row>
    <row r="270" spans="1:33">
      <c r="A270" s="53" t="s">
        <v>860</v>
      </c>
      <c r="B270" t="s">
        <v>214</v>
      </c>
      <c r="C270" t="s">
        <v>209</v>
      </c>
      <c r="E270" t="s">
        <v>209</v>
      </c>
      <c r="F270" t="s">
        <v>209</v>
      </c>
      <c r="G270" t="s">
        <v>210</v>
      </c>
      <c r="H270" t="s">
        <v>861</v>
      </c>
      <c r="I270" t="s">
        <v>6</v>
      </c>
      <c r="J270" t="s">
        <v>6</v>
      </c>
      <c r="K270" s="87">
        <v>530582.2666930689</v>
      </c>
      <c r="L270" s="87">
        <v>42851435.260616116</v>
      </c>
      <c r="M270" s="87">
        <v>19646334.297722168</v>
      </c>
      <c r="N270" s="87">
        <v>23205100.962893948</v>
      </c>
      <c r="O270" s="87">
        <v>42088745.700674027</v>
      </c>
      <c r="P270" s="87">
        <v>9964273.5099999998</v>
      </c>
      <c r="Q270" s="87">
        <v>0</v>
      </c>
      <c r="R270" s="87">
        <v>42088745.700674027</v>
      </c>
      <c r="S270" s="87">
        <v>2337211</v>
      </c>
      <c r="T270" s="87">
        <v>0</v>
      </c>
      <c r="U270" s="87">
        <v>0</v>
      </c>
      <c r="V270" s="87">
        <v>0</v>
      </c>
      <c r="W270" s="87">
        <v>9091738.9637949392</v>
      </c>
      <c r="X270" s="87">
        <v>11428949.963794939</v>
      </c>
      <c r="Y270" s="87">
        <v>0</v>
      </c>
      <c r="Z270" s="87">
        <v>53517695.664468966</v>
      </c>
      <c r="AA270" s="87">
        <v>21688668.350000001</v>
      </c>
      <c r="AB270" s="87">
        <v>7157260.5554999998</v>
      </c>
      <c r="AC270" s="87">
        <v>0</v>
      </c>
      <c r="AD270" s="87">
        <v>31829027.314468965</v>
      </c>
      <c r="AE270" s="87">
        <v>10503579.013774756</v>
      </c>
      <c r="AF270">
        <v>10503579.013774756</v>
      </c>
      <c r="AG270" s="87"/>
    </row>
    <row r="271" spans="1:33">
      <c r="A271" s="53" t="s">
        <v>862</v>
      </c>
      <c r="B271" t="s">
        <v>214</v>
      </c>
      <c r="C271" t="s">
        <v>209</v>
      </c>
      <c r="E271" t="s">
        <v>209</v>
      </c>
      <c r="F271" t="s">
        <v>209</v>
      </c>
      <c r="G271" t="s">
        <v>210</v>
      </c>
      <c r="H271" t="s">
        <v>346</v>
      </c>
      <c r="I271" t="s">
        <v>15</v>
      </c>
      <c r="J271" t="s">
        <v>242</v>
      </c>
      <c r="K271" s="87">
        <v>-1760124.4522891778</v>
      </c>
      <c r="L271" s="87">
        <v>18749573.467780013</v>
      </c>
      <c r="M271" s="87">
        <v>12390349.824597647</v>
      </c>
      <c r="N271" s="87">
        <v>6359223.6431823652</v>
      </c>
      <c r="O271" s="87">
        <v>16304340.895781511</v>
      </c>
      <c r="P271" s="87">
        <v>0</v>
      </c>
      <c r="Q271" s="87">
        <v>0</v>
      </c>
      <c r="R271" s="87">
        <v>16304340.895781511</v>
      </c>
      <c r="S271" s="87">
        <v>749453</v>
      </c>
      <c r="T271" s="87">
        <v>0</v>
      </c>
      <c r="U271" s="87">
        <v>0</v>
      </c>
      <c r="V271" s="87">
        <v>0</v>
      </c>
      <c r="W271" s="87">
        <v>1103443</v>
      </c>
      <c r="X271" s="87">
        <v>1852896</v>
      </c>
      <c r="Y271" s="87">
        <v>0</v>
      </c>
      <c r="Z271" s="87">
        <v>18157236.89578151</v>
      </c>
      <c r="AA271" s="87">
        <v>7467920.8200000003</v>
      </c>
      <c r="AB271" s="87">
        <v>2464413.8706</v>
      </c>
      <c r="AC271" s="87">
        <v>0</v>
      </c>
      <c r="AD271" s="87">
        <v>10689316.075781509</v>
      </c>
      <c r="AE271" s="87">
        <v>3527474.3050078973</v>
      </c>
      <c r="AF271">
        <v>3527474.3050078973</v>
      </c>
      <c r="AG271" s="87"/>
    </row>
    <row r="272" spans="1:33">
      <c r="A272" s="53" t="s">
        <v>863</v>
      </c>
      <c r="B272" t="s">
        <v>214</v>
      </c>
      <c r="C272" t="s">
        <v>209</v>
      </c>
      <c r="E272" t="s">
        <v>209</v>
      </c>
      <c r="F272" t="s">
        <v>209</v>
      </c>
      <c r="G272" t="s">
        <v>210</v>
      </c>
      <c r="H272" t="s">
        <v>864</v>
      </c>
      <c r="I272" t="s">
        <v>11</v>
      </c>
      <c r="J272" t="s">
        <v>865</v>
      </c>
      <c r="K272" s="87">
        <v>2418024.7030110094</v>
      </c>
      <c r="L272" s="87">
        <v>24492536.745496549</v>
      </c>
      <c r="M272" s="87">
        <v>12020128.606476501</v>
      </c>
      <c r="N272" s="87">
        <v>12472408.139020048</v>
      </c>
      <c r="O272" s="87">
        <v>16063404.301694948</v>
      </c>
      <c r="P272" s="87">
        <v>6550884.6500000004</v>
      </c>
      <c r="Q272" s="87">
        <v>0</v>
      </c>
      <c r="R272" s="87">
        <v>16063404.301694948</v>
      </c>
      <c r="S272" s="87">
        <v>2251</v>
      </c>
      <c r="T272" s="87">
        <v>0</v>
      </c>
      <c r="U272" s="87">
        <v>0</v>
      </c>
      <c r="V272" s="87">
        <v>0</v>
      </c>
      <c r="W272" s="87">
        <v>2717694</v>
      </c>
      <c r="X272" s="87">
        <v>2719945</v>
      </c>
      <c r="Y272" s="87">
        <v>0</v>
      </c>
      <c r="Z272" s="87">
        <v>18783349.301694948</v>
      </c>
      <c r="AA272" s="87">
        <v>8392649.3000000007</v>
      </c>
      <c r="AB272" s="87">
        <v>2769574.2689999999</v>
      </c>
      <c r="AC272" s="87">
        <v>0</v>
      </c>
      <c r="AD272" s="87">
        <v>10390700.001694947</v>
      </c>
      <c r="AE272" s="87">
        <v>3428931.0005593323</v>
      </c>
      <c r="AF272">
        <v>3428931.0005593323</v>
      </c>
      <c r="AG272" s="87"/>
    </row>
    <row r="273" spans="1:33">
      <c r="A273" s="53" t="s">
        <v>866</v>
      </c>
      <c r="B273" t="s">
        <v>214</v>
      </c>
      <c r="C273" t="s">
        <v>209</v>
      </c>
      <c r="E273" t="s">
        <v>209</v>
      </c>
      <c r="F273" t="s">
        <v>209</v>
      </c>
      <c r="G273" t="s">
        <v>210</v>
      </c>
      <c r="H273" t="s">
        <v>867</v>
      </c>
      <c r="I273" t="s">
        <v>5</v>
      </c>
      <c r="J273" t="s">
        <v>5</v>
      </c>
      <c r="K273" s="87">
        <v>-17138602.647250079</v>
      </c>
      <c r="L273" s="87">
        <v>12868400.898510071</v>
      </c>
      <c r="M273" s="87">
        <v>10689264.097669778</v>
      </c>
      <c r="N273" s="87">
        <v>2179136.8008402921</v>
      </c>
      <c r="O273" s="87">
        <v>11958006.313266916</v>
      </c>
      <c r="P273" s="87">
        <v>0</v>
      </c>
      <c r="Q273" s="87">
        <v>0</v>
      </c>
      <c r="R273" s="87">
        <v>11958006.313266916</v>
      </c>
      <c r="S273" s="87">
        <v>1065290</v>
      </c>
      <c r="T273" s="87">
        <v>0</v>
      </c>
      <c r="U273" s="87">
        <v>0</v>
      </c>
      <c r="V273" s="87">
        <v>0</v>
      </c>
      <c r="W273" s="87">
        <v>517814.78710849129</v>
      </c>
      <c r="X273" s="87">
        <v>1583104.7871084912</v>
      </c>
      <c r="Y273" s="87">
        <v>0</v>
      </c>
      <c r="Z273" s="87">
        <v>13541111.100375406</v>
      </c>
      <c r="AA273" s="87">
        <v>6963552.0999999996</v>
      </c>
      <c r="AB273" s="87">
        <v>2297972.1929999995</v>
      </c>
      <c r="AC273" s="87">
        <v>0</v>
      </c>
      <c r="AD273" s="87">
        <v>6577559.0003754068</v>
      </c>
      <c r="AE273" s="87">
        <v>2170594.4701238838</v>
      </c>
      <c r="AF273">
        <v>2170594.4701238838</v>
      </c>
      <c r="AG273" s="87"/>
    </row>
    <row r="274" spans="1:33">
      <c r="A274" s="53" t="s">
        <v>868</v>
      </c>
      <c r="B274" t="s">
        <v>214</v>
      </c>
      <c r="C274" t="s">
        <v>149</v>
      </c>
      <c r="E274" t="s">
        <v>209</v>
      </c>
      <c r="F274" t="s">
        <v>209</v>
      </c>
      <c r="G274" t="s">
        <v>210</v>
      </c>
      <c r="H274" t="s">
        <v>869</v>
      </c>
      <c r="I274" t="s">
        <v>9</v>
      </c>
      <c r="J274" t="s">
        <v>870</v>
      </c>
      <c r="K274" s="87">
        <v>-764687.56831953884</v>
      </c>
      <c r="L274" s="87">
        <v>2331444.67133414</v>
      </c>
      <c r="M274" s="87">
        <v>1541705.3458557182</v>
      </c>
      <c r="N274" s="87">
        <v>789739.32547842176</v>
      </c>
      <c r="O274" s="87">
        <v>3106143.2670150399</v>
      </c>
      <c r="P274" s="87">
        <v>390519.73</v>
      </c>
      <c r="Q274" s="87">
        <v>365467.97284111707</v>
      </c>
      <c r="R274" s="87">
        <v>2740675.2941739229</v>
      </c>
      <c r="S274" s="87">
        <v>357408.55000000005</v>
      </c>
      <c r="T274" s="87">
        <v>0</v>
      </c>
      <c r="U274" s="87">
        <v>0</v>
      </c>
      <c r="V274" s="87">
        <v>0</v>
      </c>
      <c r="W274" s="87">
        <v>0</v>
      </c>
      <c r="X274" s="87">
        <v>357408.55000000005</v>
      </c>
      <c r="Y274" s="87">
        <v>0</v>
      </c>
      <c r="Z274" s="87">
        <v>3098083.8441739231</v>
      </c>
      <c r="AA274" s="87">
        <v>1128251.73</v>
      </c>
      <c r="AB274" s="87">
        <v>372323.07089999993</v>
      </c>
      <c r="AC274" s="87">
        <v>0</v>
      </c>
      <c r="AD274" s="87">
        <v>1969832.1141739232</v>
      </c>
      <c r="AE274" s="87">
        <v>650044.59767739463</v>
      </c>
      <c r="AF274">
        <v>650044.59767739463</v>
      </c>
      <c r="AG274" s="87"/>
    </row>
    <row r="275" spans="1:33">
      <c r="A275" s="53" t="s">
        <v>871</v>
      </c>
      <c r="B275" t="s">
        <v>208</v>
      </c>
      <c r="C275" t="s">
        <v>149</v>
      </c>
      <c r="E275" t="s">
        <v>209</v>
      </c>
      <c r="F275" t="s">
        <v>209</v>
      </c>
      <c r="G275" t="s">
        <v>210</v>
      </c>
      <c r="H275" t="s">
        <v>872</v>
      </c>
      <c r="I275" t="s">
        <v>12</v>
      </c>
      <c r="J275" t="s">
        <v>873</v>
      </c>
      <c r="K275" s="87">
        <v>85603.596056473572</v>
      </c>
      <c r="L275" s="87">
        <v>0</v>
      </c>
      <c r="M275" s="87">
        <v>0</v>
      </c>
      <c r="N275" s="87">
        <v>0</v>
      </c>
      <c r="O275" s="87">
        <v>552906.58517606405</v>
      </c>
      <c r="P275" s="87">
        <v>0</v>
      </c>
      <c r="Q275" s="87">
        <v>0</v>
      </c>
      <c r="R275" s="87">
        <v>552906.58517606405</v>
      </c>
      <c r="S275" s="87">
        <v>0</v>
      </c>
      <c r="T275" s="87">
        <v>0</v>
      </c>
      <c r="U275" s="87">
        <v>0</v>
      </c>
      <c r="V275" s="87">
        <v>0</v>
      </c>
      <c r="W275" s="87">
        <v>0</v>
      </c>
      <c r="X275" s="87">
        <v>0</v>
      </c>
      <c r="Y275" s="87">
        <v>0</v>
      </c>
      <c r="Z275" s="87">
        <v>552906.58517606405</v>
      </c>
      <c r="AA275" s="87">
        <v>182388.68</v>
      </c>
      <c r="AB275" s="87">
        <v>60188.264399999993</v>
      </c>
      <c r="AC275" s="87">
        <v>0</v>
      </c>
      <c r="AD275" s="87">
        <v>370517.90517606406</v>
      </c>
      <c r="AE275" s="87">
        <v>122270.90870810114</v>
      </c>
      <c r="AF275">
        <v>122270.90870810114</v>
      </c>
      <c r="AG275" s="87"/>
    </row>
    <row r="276" spans="1:33">
      <c r="A276" s="53" t="s">
        <v>874</v>
      </c>
      <c r="B276" t="s">
        <v>214</v>
      </c>
      <c r="C276" t="s">
        <v>149</v>
      </c>
      <c r="E276" t="s">
        <v>209</v>
      </c>
      <c r="F276" t="s">
        <v>209</v>
      </c>
      <c r="G276" t="s">
        <v>210</v>
      </c>
      <c r="H276" t="s">
        <v>875</v>
      </c>
      <c r="I276" t="s">
        <v>11</v>
      </c>
      <c r="J276" t="s">
        <v>876</v>
      </c>
      <c r="K276" s="87">
        <v>152516.57426288645</v>
      </c>
      <c r="L276" s="87">
        <v>0</v>
      </c>
      <c r="M276" s="87">
        <v>0</v>
      </c>
      <c r="N276" s="87">
        <v>0</v>
      </c>
      <c r="O276" s="87">
        <v>552598.04684672004</v>
      </c>
      <c r="P276" s="87">
        <v>0</v>
      </c>
      <c r="Q276" s="87">
        <v>0</v>
      </c>
      <c r="R276" s="87">
        <v>552598.04684672004</v>
      </c>
      <c r="S276" s="87">
        <v>0</v>
      </c>
      <c r="T276" s="87">
        <v>0</v>
      </c>
      <c r="U276" s="87">
        <v>0</v>
      </c>
      <c r="V276" s="87">
        <v>0</v>
      </c>
      <c r="W276" s="87">
        <v>0</v>
      </c>
      <c r="X276" s="87">
        <v>0</v>
      </c>
      <c r="Y276" s="87">
        <v>0</v>
      </c>
      <c r="Z276" s="87">
        <v>552598.04684672004</v>
      </c>
      <c r="AA276" s="87">
        <v>257290.48</v>
      </c>
      <c r="AB276" s="87">
        <v>84905.858399999997</v>
      </c>
      <c r="AC276" s="87">
        <v>0</v>
      </c>
      <c r="AD276" s="87">
        <v>295307.56684672006</v>
      </c>
      <c r="AE276" s="87">
        <v>97451.497059417597</v>
      </c>
      <c r="AF276">
        <v>97451.497059417597</v>
      </c>
      <c r="AG276" s="87"/>
    </row>
    <row r="277" spans="1:33">
      <c r="A277" s="53" t="s">
        <v>877</v>
      </c>
      <c r="B277" t="s">
        <v>214</v>
      </c>
      <c r="C277" t="s">
        <v>209</v>
      </c>
      <c r="E277" t="s">
        <v>209</v>
      </c>
      <c r="F277" t="s">
        <v>209</v>
      </c>
      <c r="G277" t="s">
        <v>210</v>
      </c>
      <c r="H277" t="s">
        <v>878</v>
      </c>
      <c r="I277" t="s">
        <v>3</v>
      </c>
      <c r="J277" t="s">
        <v>3</v>
      </c>
      <c r="K277" s="87">
        <v>-2708977.0983485505</v>
      </c>
      <c r="L277" s="87">
        <v>8868639.7985720504</v>
      </c>
      <c r="M277" s="87">
        <v>2334160.7762721921</v>
      </c>
      <c r="N277" s="87">
        <v>6534479.0222998578</v>
      </c>
      <c r="O277" s="87">
        <v>11051972.52600069</v>
      </c>
      <c r="P277" s="87">
        <v>0</v>
      </c>
      <c r="Q277" s="87">
        <v>0</v>
      </c>
      <c r="R277" s="87">
        <v>11051972.52600069</v>
      </c>
      <c r="S277" s="87">
        <v>190785</v>
      </c>
      <c r="T277" s="87">
        <v>0</v>
      </c>
      <c r="U277" s="87">
        <v>0</v>
      </c>
      <c r="V277" s="87">
        <v>0</v>
      </c>
      <c r="W277" s="87">
        <v>3337605.6995494501</v>
      </c>
      <c r="X277" s="87">
        <v>3528390.6995494501</v>
      </c>
      <c r="Y277" s="87">
        <v>0</v>
      </c>
      <c r="Z277" s="87">
        <v>14580363.225550139</v>
      </c>
      <c r="AA277" s="87">
        <v>4668823.75</v>
      </c>
      <c r="AB277" s="87">
        <v>1540711.8374999999</v>
      </c>
      <c r="AC277" s="87">
        <v>0</v>
      </c>
      <c r="AD277" s="87">
        <v>9911539.4755501393</v>
      </c>
      <c r="AE277" s="87">
        <v>3270808.0269315452</v>
      </c>
      <c r="AF277">
        <v>3270808.0269315452</v>
      </c>
      <c r="AG277" s="87"/>
    </row>
    <row r="278" spans="1:33">
      <c r="A278" s="53" t="s">
        <v>879</v>
      </c>
      <c r="B278" t="s">
        <v>214</v>
      </c>
      <c r="C278" t="s">
        <v>149</v>
      </c>
      <c r="E278" t="s">
        <v>209</v>
      </c>
      <c r="F278" t="s">
        <v>209</v>
      </c>
      <c r="G278" t="s">
        <v>210</v>
      </c>
      <c r="H278" t="s">
        <v>880</v>
      </c>
      <c r="I278" t="s">
        <v>12</v>
      </c>
      <c r="J278" t="s">
        <v>881</v>
      </c>
      <c r="K278" s="87">
        <v>351934.26116710412</v>
      </c>
      <c r="L278" s="87">
        <v>0</v>
      </c>
      <c r="M278" s="87">
        <v>0</v>
      </c>
      <c r="N278" s="87">
        <v>0</v>
      </c>
      <c r="O278" s="87">
        <v>836964.69974673912</v>
      </c>
      <c r="P278" s="87">
        <v>0</v>
      </c>
      <c r="Q278" s="87">
        <v>0</v>
      </c>
      <c r="R278" s="87">
        <v>836964.69974673912</v>
      </c>
      <c r="S278" s="87">
        <v>0</v>
      </c>
      <c r="T278" s="87">
        <v>0</v>
      </c>
      <c r="U278" s="87">
        <v>0</v>
      </c>
      <c r="V278" s="87">
        <v>0</v>
      </c>
      <c r="W278" s="87">
        <v>0</v>
      </c>
      <c r="X278" s="87">
        <v>0</v>
      </c>
      <c r="Y278" s="87">
        <v>0</v>
      </c>
      <c r="Z278" s="87">
        <v>836964.69974673912</v>
      </c>
      <c r="AA278" s="87">
        <v>274413.19</v>
      </c>
      <c r="AB278" s="87">
        <v>90556.352699999989</v>
      </c>
      <c r="AC278" s="87">
        <v>0</v>
      </c>
      <c r="AD278" s="87">
        <v>562551.50974673918</v>
      </c>
      <c r="AE278" s="87">
        <v>185641.9982164239</v>
      </c>
      <c r="AF278">
        <v>185641.9982164239</v>
      </c>
      <c r="AG278" s="87"/>
    </row>
    <row r="279" spans="1:33">
      <c r="A279" s="53" t="s">
        <v>882</v>
      </c>
      <c r="B279" t="s">
        <v>214</v>
      </c>
      <c r="C279" t="s">
        <v>209</v>
      </c>
      <c r="E279" t="s">
        <v>209</v>
      </c>
      <c r="F279" t="s">
        <v>209</v>
      </c>
      <c r="G279" t="s">
        <v>210</v>
      </c>
      <c r="H279" t="s">
        <v>883</v>
      </c>
      <c r="I279" t="s">
        <v>11</v>
      </c>
      <c r="J279" t="s">
        <v>253</v>
      </c>
      <c r="K279" s="87">
        <v>7350977.8816287704</v>
      </c>
      <c r="L279" s="87">
        <v>5570811.2478595404</v>
      </c>
      <c r="M279" s="87">
        <v>3250478.2137882882</v>
      </c>
      <c r="N279" s="87">
        <v>2320333.0340712522</v>
      </c>
      <c r="O279" s="87">
        <v>4019166.9417139967</v>
      </c>
      <c r="P279" s="87">
        <v>2613149.65</v>
      </c>
      <c r="Q279" s="87">
        <v>0</v>
      </c>
      <c r="R279" s="87">
        <v>4019166.9417139967</v>
      </c>
      <c r="S279" s="87">
        <v>510424</v>
      </c>
      <c r="T279" s="87">
        <v>0</v>
      </c>
      <c r="U279" s="87">
        <v>294755.76000000007</v>
      </c>
      <c r="V279" s="87">
        <v>0</v>
      </c>
      <c r="W279" s="87">
        <v>1348999.578529601</v>
      </c>
      <c r="X279" s="87">
        <v>2154179.3385296008</v>
      </c>
      <c r="Y279" s="87">
        <v>0</v>
      </c>
      <c r="Z279" s="87">
        <v>6173346.2802435979</v>
      </c>
      <c r="AA279" s="87">
        <v>3996955.54</v>
      </c>
      <c r="AB279" s="87">
        <v>1318995.3281999999</v>
      </c>
      <c r="AC279" s="87">
        <v>0</v>
      </c>
      <c r="AD279" s="87">
        <v>2176390.7402435979</v>
      </c>
      <c r="AE279" s="87">
        <v>718208.94428038714</v>
      </c>
      <c r="AF279">
        <v>718208.94428038714</v>
      </c>
      <c r="AG279" s="87"/>
    </row>
    <row r="280" spans="1:33">
      <c r="A280" s="53" t="s">
        <v>884</v>
      </c>
      <c r="B280" t="s">
        <v>214</v>
      </c>
      <c r="C280" t="s">
        <v>209</v>
      </c>
      <c r="E280" t="s">
        <v>209</v>
      </c>
      <c r="F280" t="s">
        <v>209</v>
      </c>
      <c r="G280" t="s">
        <v>210</v>
      </c>
      <c r="H280" t="s">
        <v>346</v>
      </c>
      <c r="I280" t="s">
        <v>15</v>
      </c>
      <c r="J280" t="s">
        <v>885</v>
      </c>
      <c r="K280" s="87">
        <v>-2240812.5413853745</v>
      </c>
      <c r="L280" s="87">
        <v>19526924.407625094</v>
      </c>
      <c r="M280" s="87">
        <v>14949532.150358619</v>
      </c>
      <c r="N280" s="87">
        <v>4577392.2572664749</v>
      </c>
      <c r="O280" s="87">
        <v>18469951.673811764</v>
      </c>
      <c r="P280" s="87">
        <v>2585577.58</v>
      </c>
      <c r="Q280" s="87">
        <v>248997.86411890015</v>
      </c>
      <c r="R280" s="87">
        <v>18220953.809692863</v>
      </c>
      <c r="S280" s="87">
        <v>693396</v>
      </c>
      <c r="T280" s="87">
        <v>0</v>
      </c>
      <c r="U280" s="87">
        <v>0</v>
      </c>
      <c r="V280" s="87">
        <v>0</v>
      </c>
      <c r="W280" s="87">
        <v>2593621</v>
      </c>
      <c r="X280" s="87">
        <v>3287017</v>
      </c>
      <c r="Y280" s="87">
        <v>0</v>
      </c>
      <c r="Z280" s="87">
        <v>21507970.809692863</v>
      </c>
      <c r="AA280" s="87">
        <v>8457746.0199999996</v>
      </c>
      <c r="AB280" s="87">
        <v>2791056.1865999997</v>
      </c>
      <c r="AC280" s="87">
        <v>0</v>
      </c>
      <c r="AD280" s="87">
        <v>13050224.789692864</v>
      </c>
      <c r="AE280" s="87">
        <v>4306574.1805986445</v>
      </c>
      <c r="AF280">
        <v>4306574.1805986445</v>
      </c>
      <c r="AG280" s="87"/>
    </row>
    <row r="281" spans="1:33">
      <c r="A281" s="53" t="s">
        <v>886</v>
      </c>
      <c r="B281" t="s">
        <v>214</v>
      </c>
      <c r="C281" t="s">
        <v>209</v>
      </c>
      <c r="E281" t="s">
        <v>209</v>
      </c>
      <c r="F281" t="s">
        <v>209</v>
      </c>
      <c r="G281" t="s">
        <v>210</v>
      </c>
      <c r="H281" t="s">
        <v>542</v>
      </c>
      <c r="I281" t="s">
        <v>4</v>
      </c>
      <c r="J281" t="s">
        <v>4</v>
      </c>
      <c r="K281" s="87">
        <v>635775.59193611355</v>
      </c>
      <c r="L281" s="87">
        <v>17477283.533702794</v>
      </c>
      <c r="M281" s="87">
        <v>0</v>
      </c>
      <c r="N281" s="87">
        <v>17477283.533702794</v>
      </c>
      <c r="O281" s="87">
        <v>13392707.51035711</v>
      </c>
      <c r="P281" s="87">
        <v>0</v>
      </c>
      <c r="Q281" s="87">
        <v>0</v>
      </c>
      <c r="R281" s="87">
        <v>13392707.51035711</v>
      </c>
      <c r="S281" s="87">
        <v>0</v>
      </c>
      <c r="T281" s="87">
        <v>0</v>
      </c>
      <c r="U281" s="87">
        <v>0</v>
      </c>
      <c r="V281" s="87">
        <v>0</v>
      </c>
      <c r="W281" s="87">
        <v>1706591</v>
      </c>
      <c r="X281" s="87">
        <v>1706591</v>
      </c>
      <c r="Y281" s="87">
        <v>0</v>
      </c>
      <c r="Z281" s="87">
        <v>15099298.51035711</v>
      </c>
      <c r="AA281" s="87">
        <v>6351937.5599999996</v>
      </c>
      <c r="AB281" s="87">
        <v>2096139.3947999997</v>
      </c>
      <c r="AC281" s="87">
        <v>0</v>
      </c>
      <c r="AD281" s="87">
        <v>8747360.9503571093</v>
      </c>
      <c r="AE281" s="87">
        <v>2886629.1136178458</v>
      </c>
      <c r="AF281">
        <v>2886629.1136178458</v>
      </c>
      <c r="AG281" s="87"/>
    </row>
    <row r="282" spans="1:33">
      <c r="A282" s="53" t="s">
        <v>887</v>
      </c>
      <c r="B282" t="s">
        <v>214</v>
      </c>
      <c r="C282" t="s">
        <v>209</v>
      </c>
      <c r="E282" t="s">
        <v>209</v>
      </c>
      <c r="F282" t="s">
        <v>209</v>
      </c>
      <c r="G282" t="s">
        <v>210</v>
      </c>
      <c r="H282" t="s">
        <v>888</v>
      </c>
      <c r="I282" t="s">
        <v>4</v>
      </c>
      <c r="J282" t="s">
        <v>4</v>
      </c>
      <c r="K282" s="87">
        <v>-6253807.1553506302</v>
      </c>
      <c r="L282" s="87">
        <v>0</v>
      </c>
      <c r="M282" s="87">
        <v>0</v>
      </c>
      <c r="N282" s="87">
        <v>0</v>
      </c>
      <c r="O282" s="87">
        <v>502197.92626053118</v>
      </c>
      <c r="P282" s="87">
        <v>0</v>
      </c>
      <c r="Q282" s="87">
        <v>0</v>
      </c>
      <c r="R282" s="87">
        <v>502197.92626053118</v>
      </c>
      <c r="S282" s="87">
        <v>0</v>
      </c>
      <c r="T282" s="87">
        <v>0</v>
      </c>
      <c r="U282" s="87">
        <v>0</v>
      </c>
      <c r="V282" s="87">
        <v>0</v>
      </c>
      <c r="W282" s="87">
        <v>0</v>
      </c>
      <c r="X282" s="87">
        <v>0</v>
      </c>
      <c r="Y282" s="87">
        <v>0</v>
      </c>
      <c r="Z282" s="87">
        <v>502197.92626053118</v>
      </c>
      <c r="AA282" s="87">
        <v>169907.55</v>
      </c>
      <c r="AB282" s="87">
        <v>56069.491499999989</v>
      </c>
      <c r="AC282" s="87">
        <v>0</v>
      </c>
      <c r="AD282" s="87">
        <v>332290.37626053119</v>
      </c>
      <c r="AE282" s="87">
        <v>109655.82416597528</v>
      </c>
      <c r="AF282">
        <v>109655.82416597528</v>
      </c>
      <c r="AG282" s="87"/>
    </row>
    <row r="283" spans="1:33">
      <c r="A283" s="53" t="s">
        <v>889</v>
      </c>
      <c r="B283" t="s">
        <v>214</v>
      </c>
      <c r="C283" t="s">
        <v>209</v>
      </c>
      <c r="E283" t="s">
        <v>209</v>
      </c>
      <c r="F283" t="s">
        <v>209</v>
      </c>
      <c r="G283" t="s">
        <v>210</v>
      </c>
      <c r="H283" t="s">
        <v>890</v>
      </c>
      <c r="I283" t="s">
        <v>6</v>
      </c>
      <c r="J283" t="s">
        <v>223</v>
      </c>
      <c r="K283" s="87">
        <v>534839.38295148232</v>
      </c>
      <c r="L283" s="87">
        <v>0</v>
      </c>
      <c r="M283" s="87">
        <v>0</v>
      </c>
      <c r="N283" s="87">
        <v>0</v>
      </c>
      <c r="O283" s="87">
        <v>577378.55421520246</v>
      </c>
      <c r="P283" s="87">
        <v>0</v>
      </c>
      <c r="Q283" s="87">
        <v>0</v>
      </c>
      <c r="R283" s="87">
        <v>577378.55421520246</v>
      </c>
      <c r="S283" s="87">
        <v>0</v>
      </c>
      <c r="T283" s="87">
        <v>0</v>
      </c>
      <c r="U283" s="87">
        <v>0</v>
      </c>
      <c r="V283" s="87">
        <v>0</v>
      </c>
      <c r="W283" s="87">
        <v>0</v>
      </c>
      <c r="X283" s="87">
        <v>0</v>
      </c>
      <c r="Y283" s="87">
        <v>0</v>
      </c>
      <c r="Z283" s="87">
        <v>577378.55421520246</v>
      </c>
      <c r="AA283" s="87">
        <v>211090.89</v>
      </c>
      <c r="AB283" s="87">
        <v>69659.993699999992</v>
      </c>
      <c r="AC283" s="87">
        <v>0</v>
      </c>
      <c r="AD283" s="87">
        <v>366287.66421520244</v>
      </c>
      <c r="AE283" s="87">
        <v>120874.9291910168</v>
      </c>
      <c r="AF283">
        <v>120874.9291910168</v>
      </c>
      <c r="AG283" s="87"/>
    </row>
    <row r="284" spans="1:33">
      <c r="A284" s="53" t="s">
        <v>891</v>
      </c>
      <c r="B284" t="s">
        <v>214</v>
      </c>
      <c r="C284" t="s">
        <v>149</v>
      </c>
      <c r="E284" t="s">
        <v>209</v>
      </c>
      <c r="F284" t="s">
        <v>209</v>
      </c>
      <c r="G284" t="s">
        <v>210</v>
      </c>
      <c r="H284" t="s">
        <v>892</v>
      </c>
      <c r="I284" t="s">
        <v>10</v>
      </c>
      <c r="J284" t="s">
        <v>650</v>
      </c>
      <c r="K284" s="87">
        <v>592699.61306447384</v>
      </c>
      <c r="L284" s="87">
        <v>1395845.2262847454</v>
      </c>
      <c r="M284" s="87">
        <v>1034780.1573245695</v>
      </c>
      <c r="N284" s="87">
        <v>361065.06896017585</v>
      </c>
      <c r="O284" s="87">
        <v>1377731.4761944832</v>
      </c>
      <c r="P284" s="87">
        <v>0</v>
      </c>
      <c r="Q284" s="87">
        <v>0</v>
      </c>
      <c r="R284" s="87">
        <v>1377731.4761944832</v>
      </c>
      <c r="S284" s="87">
        <v>0</v>
      </c>
      <c r="T284" s="87">
        <v>0</v>
      </c>
      <c r="U284" s="87">
        <v>0</v>
      </c>
      <c r="V284" s="87">
        <v>0</v>
      </c>
      <c r="W284" s="87">
        <v>0</v>
      </c>
      <c r="X284" s="87">
        <v>0</v>
      </c>
      <c r="Y284" s="87">
        <v>0</v>
      </c>
      <c r="Z284" s="87">
        <v>1377731.4761944832</v>
      </c>
      <c r="AA284" s="87">
        <v>296132.64</v>
      </c>
      <c r="AB284" s="87">
        <v>97723.771199999988</v>
      </c>
      <c r="AC284" s="87">
        <v>0</v>
      </c>
      <c r="AD284" s="87">
        <v>1081598.8361944831</v>
      </c>
      <c r="AE284" s="87">
        <v>356927.61594417947</v>
      </c>
      <c r="AF284">
        <v>356927.61594417947</v>
      </c>
      <c r="AG284" s="87"/>
    </row>
    <row r="285" spans="1:33">
      <c r="A285" s="53" t="s">
        <v>893</v>
      </c>
      <c r="B285" t="s">
        <v>208</v>
      </c>
      <c r="C285" t="s">
        <v>149</v>
      </c>
      <c r="E285" t="s">
        <v>209</v>
      </c>
      <c r="F285" t="s">
        <v>209</v>
      </c>
      <c r="G285" t="s">
        <v>210</v>
      </c>
      <c r="H285" t="s">
        <v>894</v>
      </c>
      <c r="I285" t="s">
        <v>3</v>
      </c>
      <c r="J285" t="s">
        <v>895</v>
      </c>
      <c r="K285" s="87">
        <v>192606.62691307531</v>
      </c>
      <c r="L285" s="87">
        <v>2052242.4187817909</v>
      </c>
      <c r="M285" s="87">
        <v>739466.14524966397</v>
      </c>
      <c r="N285" s="87">
        <v>1312776.273532127</v>
      </c>
      <c r="O285" s="87">
        <v>2385267.4251562241</v>
      </c>
      <c r="P285" s="87">
        <v>832870.75</v>
      </c>
      <c r="Q285" s="87">
        <v>0</v>
      </c>
      <c r="R285" s="87">
        <v>2385267.4251562241</v>
      </c>
      <c r="S285" s="87">
        <v>47883.22</v>
      </c>
      <c r="T285" s="87">
        <v>0</v>
      </c>
      <c r="U285" s="87">
        <v>0</v>
      </c>
      <c r="V285" s="87">
        <v>0</v>
      </c>
      <c r="W285" s="87">
        <v>0</v>
      </c>
      <c r="X285" s="87">
        <v>47883.22</v>
      </c>
      <c r="Y285" s="87">
        <v>0</v>
      </c>
      <c r="Z285" s="87">
        <v>2433150.6451562243</v>
      </c>
      <c r="AA285" s="87">
        <v>1005422.99</v>
      </c>
      <c r="AB285" s="87">
        <v>331789.58669999999</v>
      </c>
      <c r="AC285" s="87">
        <v>0</v>
      </c>
      <c r="AD285" s="87">
        <v>1427727.6551562243</v>
      </c>
      <c r="AE285" s="87">
        <v>471150.12620155397</v>
      </c>
      <c r="AF285">
        <v>471150.12620155397</v>
      </c>
      <c r="AG285" s="87"/>
    </row>
    <row r="286" spans="1:33">
      <c r="A286" s="53" t="s">
        <v>896</v>
      </c>
      <c r="B286" t="s">
        <v>208</v>
      </c>
      <c r="C286" t="s">
        <v>149</v>
      </c>
      <c r="E286" t="s">
        <v>209</v>
      </c>
      <c r="F286" t="s">
        <v>209</v>
      </c>
      <c r="G286" t="s">
        <v>210</v>
      </c>
      <c r="H286" t="s">
        <v>897</v>
      </c>
      <c r="I286" t="s">
        <v>10</v>
      </c>
      <c r="J286" t="s">
        <v>898</v>
      </c>
      <c r="K286" s="87">
        <v>558133.26029045763</v>
      </c>
      <c r="L286" s="87">
        <v>0</v>
      </c>
      <c r="M286" s="87">
        <v>0</v>
      </c>
      <c r="N286" s="87">
        <v>0</v>
      </c>
      <c r="O286" s="87">
        <v>3025989.6229056255</v>
      </c>
      <c r="P286" s="87">
        <v>0</v>
      </c>
      <c r="Q286" s="87">
        <v>0</v>
      </c>
      <c r="R286" s="87">
        <v>3025989.6229056255</v>
      </c>
      <c r="S286" s="87">
        <v>156459.27000000002</v>
      </c>
      <c r="T286" s="87">
        <v>0</v>
      </c>
      <c r="U286" s="87">
        <v>0</v>
      </c>
      <c r="V286" s="87">
        <v>0</v>
      </c>
      <c r="W286" s="87">
        <v>0</v>
      </c>
      <c r="X286" s="87">
        <v>156459.27000000002</v>
      </c>
      <c r="Y286" s="87">
        <v>0</v>
      </c>
      <c r="Z286" s="87">
        <v>3182448.8929056255</v>
      </c>
      <c r="AA286" s="87">
        <v>643159.29</v>
      </c>
      <c r="AB286" s="87">
        <v>212242.56569999998</v>
      </c>
      <c r="AC286" s="87">
        <v>0</v>
      </c>
      <c r="AD286" s="87">
        <v>2539289.6029056255</v>
      </c>
      <c r="AE286" s="87">
        <v>837965.5689588564</v>
      </c>
      <c r="AF286">
        <v>837965.5689588564</v>
      </c>
      <c r="AG286" s="87"/>
    </row>
    <row r="287" spans="1:33">
      <c r="A287" s="53" t="s">
        <v>899</v>
      </c>
      <c r="B287" t="s">
        <v>286</v>
      </c>
      <c r="C287" t="s">
        <v>209</v>
      </c>
      <c r="E287" t="s">
        <v>287</v>
      </c>
      <c r="F287" t="s">
        <v>209</v>
      </c>
      <c r="G287" t="s">
        <v>210</v>
      </c>
      <c r="H287" t="s">
        <v>900</v>
      </c>
      <c r="I287" t="s">
        <v>6</v>
      </c>
      <c r="J287" t="s">
        <v>6</v>
      </c>
      <c r="K287" s="87">
        <v>-982529.72321279999</v>
      </c>
      <c r="L287" s="87">
        <v>0</v>
      </c>
      <c r="M287" s="87">
        <v>0</v>
      </c>
      <c r="N287" s="87">
        <v>0</v>
      </c>
      <c r="O287" s="87">
        <v>25832.316321279999</v>
      </c>
      <c r="P287" s="87">
        <v>0</v>
      </c>
      <c r="Q287" s="87">
        <v>0</v>
      </c>
      <c r="R287" s="87">
        <v>25832.316321279999</v>
      </c>
      <c r="S287" s="87">
        <v>0</v>
      </c>
      <c r="T287" s="87">
        <v>0</v>
      </c>
      <c r="U287" s="87">
        <v>0</v>
      </c>
      <c r="V287" s="87">
        <v>0</v>
      </c>
      <c r="W287" s="87">
        <v>0</v>
      </c>
      <c r="X287" s="87">
        <v>0</v>
      </c>
      <c r="Y287" s="87">
        <v>0</v>
      </c>
      <c r="Z287" s="87">
        <v>25832.316321279999</v>
      </c>
      <c r="AA287" s="87">
        <v>31987.29</v>
      </c>
      <c r="AB287" s="87">
        <v>10555.805699999999</v>
      </c>
      <c r="AC287" s="87">
        <v>0</v>
      </c>
      <c r="AD287" s="87">
        <v>-6154.9736787200018</v>
      </c>
      <c r="AE287" s="87">
        <v>-2031.1413139775996</v>
      </c>
      <c r="AF287">
        <v>0</v>
      </c>
      <c r="AG287" s="87"/>
    </row>
    <row r="288" spans="1:33">
      <c r="A288" s="53" t="s">
        <v>901</v>
      </c>
      <c r="B288" t="s">
        <v>214</v>
      </c>
      <c r="C288" t="s">
        <v>209</v>
      </c>
      <c r="E288" t="s">
        <v>209</v>
      </c>
      <c r="F288" t="s">
        <v>209</v>
      </c>
      <c r="G288" t="s">
        <v>210</v>
      </c>
      <c r="H288" t="s">
        <v>902</v>
      </c>
      <c r="I288" t="s">
        <v>14</v>
      </c>
      <c r="J288" t="s">
        <v>248</v>
      </c>
      <c r="K288" s="87">
        <v>2363606.4540563901</v>
      </c>
      <c r="L288" s="87">
        <v>0</v>
      </c>
      <c r="M288" s="87">
        <v>0</v>
      </c>
      <c r="N288" s="87">
        <v>0</v>
      </c>
      <c r="O288" s="87">
        <v>2675282.9849711764</v>
      </c>
      <c r="P288" s="87">
        <v>0</v>
      </c>
      <c r="Q288" s="87">
        <v>0</v>
      </c>
      <c r="R288" s="87">
        <v>2675282.9849711764</v>
      </c>
      <c r="S288" s="87">
        <v>0</v>
      </c>
      <c r="T288" s="87">
        <v>0</v>
      </c>
      <c r="U288" s="87">
        <v>0</v>
      </c>
      <c r="V288" s="87">
        <v>0</v>
      </c>
      <c r="W288" s="87">
        <v>0</v>
      </c>
      <c r="X288" s="87">
        <v>0</v>
      </c>
      <c r="Y288" s="87">
        <v>0</v>
      </c>
      <c r="Z288" s="87">
        <v>2675282.9849711764</v>
      </c>
      <c r="AA288" s="87">
        <v>655863.31999999995</v>
      </c>
      <c r="AB288" s="87">
        <v>216434.89559999996</v>
      </c>
      <c r="AC288" s="87">
        <v>0</v>
      </c>
      <c r="AD288" s="87">
        <v>2019419.6649711765</v>
      </c>
      <c r="AE288" s="87">
        <v>666408.48944048816</v>
      </c>
      <c r="AF288">
        <v>666408.48944048816</v>
      </c>
      <c r="AG288" s="87"/>
    </row>
    <row r="289" spans="1:33">
      <c r="A289" s="53" t="s">
        <v>903</v>
      </c>
      <c r="B289" t="s">
        <v>208</v>
      </c>
      <c r="C289" t="s">
        <v>149</v>
      </c>
      <c r="E289" t="s">
        <v>209</v>
      </c>
      <c r="F289" t="s">
        <v>209</v>
      </c>
      <c r="G289" t="s">
        <v>210</v>
      </c>
      <c r="H289" t="s">
        <v>904</v>
      </c>
      <c r="I289" t="s">
        <v>12</v>
      </c>
      <c r="J289" t="s">
        <v>905</v>
      </c>
      <c r="K289" s="87">
        <v>2314213.8499293183</v>
      </c>
      <c r="L289" s="87">
        <v>2352176.8816343909</v>
      </c>
      <c r="M289" s="87">
        <v>1771686.3824929025</v>
      </c>
      <c r="N289" s="87">
        <v>580490.49914148846</v>
      </c>
      <c r="O289" s="87">
        <v>2882314.6574211582</v>
      </c>
      <c r="P289" s="87">
        <v>1504056.1400000001</v>
      </c>
      <c r="Q289" s="87">
        <v>0</v>
      </c>
      <c r="R289" s="87">
        <v>2882314.6574211582</v>
      </c>
      <c r="S289" s="87">
        <v>109994</v>
      </c>
      <c r="T289" s="87">
        <v>0</v>
      </c>
      <c r="U289" s="87">
        <v>0</v>
      </c>
      <c r="V289" s="87">
        <v>0</v>
      </c>
      <c r="W289" s="87">
        <v>0</v>
      </c>
      <c r="X289" s="87">
        <v>109994</v>
      </c>
      <c r="Y289" s="87">
        <v>0</v>
      </c>
      <c r="Z289" s="87">
        <v>2992308.6574211582</v>
      </c>
      <c r="AA289" s="87">
        <v>786701.79</v>
      </c>
      <c r="AB289" s="87">
        <v>259611.59069999997</v>
      </c>
      <c r="AC289" s="87">
        <v>0</v>
      </c>
      <c r="AD289" s="87">
        <v>2205606.8674211581</v>
      </c>
      <c r="AE289" s="87">
        <v>727850.26624898217</v>
      </c>
      <c r="AF289">
        <v>727850.26624898217</v>
      </c>
      <c r="AG289" s="87"/>
    </row>
    <row r="290" spans="1:33">
      <c r="A290" s="53" t="s">
        <v>906</v>
      </c>
      <c r="B290" t="s">
        <v>214</v>
      </c>
      <c r="C290" t="s">
        <v>209</v>
      </c>
      <c r="E290" t="s">
        <v>209</v>
      </c>
      <c r="F290" t="s">
        <v>209</v>
      </c>
      <c r="G290" t="s">
        <v>210</v>
      </c>
      <c r="H290" t="s">
        <v>907</v>
      </c>
      <c r="I290" t="s">
        <v>4</v>
      </c>
      <c r="J290" t="s">
        <v>4</v>
      </c>
      <c r="K290" s="87">
        <v>-1732694.9748955385</v>
      </c>
      <c r="L290" s="87">
        <v>2629633.2962145642</v>
      </c>
      <c r="M290" s="87">
        <v>-12811.419457715207</v>
      </c>
      <c r="N290" s="87">
        <v>2642444.7156722792</v>
      </c>
      <c r="O290" s="87">
        <v>188638.1961764608</v>
      </c>
      <c r="P290" s="87">
        <v>0</v>
      </c>
      <c r="Q290" s="87">
        <v>0</v>
      </c>
      <c r="R290" s="87">
        <v>188638.1961764608</v>
      </c>
      <c r="S290" s="87">
        <v>0</v>
      </c>
      <c r="T290" s="87">
        <v>0</v>
      </c>
      <c r="U290" s="87">
        <v>0</v>
      </c>
      <c r="V290" s="87">
        <v>0</v>
      </c>
      <c r="W290" s="87">
        <v>2604796</v>
      </c>
      <c r="X290" s="87">
        <v>2604796</v>
      </c>
      <c r="Y290" s="87">
        <v>0</v>
      </c>
      <c r="Z290" s="87">
        <v>2793434.1961764609</v>
      </c>
      <c r="AA290" s="87">
        <v>1504171.08</v>
      </c>
      <c r="AB290" s="87">
        <v>496376.45639999997</v>
      </c>
      <c r="AC290" s="87">
        <v>0</v>
      </c>
      <c r="AD290" s="87">
        <v>1289263.1161764609</v>
      </c>
      <c r="AE290" s="87">
        <v>425456.82833823207</v>
      </c>
      <c r="AF290">
        <v>425456.82833823207</v>
      </c>
      <c r="AG290" s="87"/>
    </row>
    <row r="291" spans="1:33">
      <c r="A291" s="53" t="s">
        <v>908</v>
      </c>
      <c r="B291" t="s">
        <v>214</v>
      </c>
      <c r="C291" t="s">
        <v>209</v>
      </c>
      <c r="E291" t="s">
        <v>209</v>
      </c>
      <c r="F291" t="s">
        <v>209</v>
      </c>
      <c r="G291" t="s">
        <v>210</v>
      </c>
      <c r="H291" t="s">
        <v>909</v>
      </c>
      <c r="I291" t="s">
        <v>11</v>
      </c>
      <c r="J291" t="s">
        <v>865</v>
      </c>
      <c r="K291" s="87">
        <v>-804543.25192604156</v>
      </c>
      <c r="L291" s="87">
        <v>6115470.1959960395</v>
      </c>
      <c r="M291" s="87">
        <v>387558.46114657278</v>
      </c>
      <c r="N291" s="87">
        <v>5727911.7348494669</v>
      </c>
      <c r="O291" s="87">
        <v>548252.02797711361</v>
      </c>
      <c r="P291" s="87">
        <v>0</v>
      </c>
      <c r="Q291" s="87">
        <v>0</v>
      </c>
      <c r="R291" s="87">
        <v>548252.02797711361</v>
      </c>
      <c r="S291" s="87">
        <v>0</v>
      </c>
      <c r="T291" s="87">
        <v>0</v>
      </c>
      <c r="U291" s="87">
        <v>0</v>
      </c>
      <c r="V291" s="87">
        <v>0</v>
      </c>
      <c r="W291" s="87">
        <v>1540833</v>
      </c>
      <c r="X291" s="87">
        <v>1540833</v>
      </c>
      <c r="Y291" s="87">
        <v>0</v>
      </c>
      <c r="Z291" s="87">
        <v>2089085.0279771136</v>
      </c>
      <c r="AA291" s="87">
        <v>178397.03</v>
      </c>
      <c r="AB291" s="87">
        <v>58871.019899999992</v>
      </c>
      <c r="AC291" s="87">
        <v>0</v>
      </c>
      <c r="AD291" s="87">
        <v>1910687.9979771136</v>
      </c>
      <c r="AE291" s="87">
        <v>630527.03933244746</v>
      </c>
      <c r="AF291">
        <v>630527.03933244746</v>
      </c>
      <c r="AG291" s="87"/>
    </row>
    <row r="292" spans="1:33">
      <c r="A292" s="53" t="s">
        <v>910</v>
      </c>
      <c r="B292" t="s">
        <v>214</v>
      </c>
      <c r="C292" t="s">
        <v>149</v>
      </c>
      <c r="E292" t="s">
        <v>209</v>
      </c>
      <c r="F292" t="s">
        <v>209</v>
      </c>
      <c r="G292" t="s">
        <v>210</v>
      </c>
      <c r="H292" t="s">
        <v>911</v>
      </c>
      <c r="I292" t="s">
        <v>10</v>
      </c>
      <c r="J292" t="s">
        <v>912</v>
      </c>
      <c r="K292" s="87">
        <v>262359.8431756288</v>
      </c>
      <c r="L292" s="87">
        <v>843424.76533603668</v>
      </c>
      <c r="M292" s="87">
        <v>577804.40642014716</v>
      </c>
      <c r="N292" s="87">
        <v>265620.35891588952</v>
      </c>
      <c r="O292" s="87">
        <v>892253.88351644168</v>
      </c>
      <c r="P292" s="87">
        <v>0</v>
      </c>
      <c r="Q292" s="87">
        <v>0</v>
      </c>
      <c r="R292" s="87">
        <v>892253.88351644168</v>
      </c>
      <c r="S292" s="87">
        <v>0</v>
      </c>
      <c r="T292" s="87">
        <v>0</v>
      </c>
      <c r="U292" s="87">
        <v>0</v>
      </c>
      <c r="V292" s="87">
        <v>0</v>
      </c>
      <c r="W292" s="87">
        <v>0</v>
      </c>
      <c r="X292" s="87">
        <v>0</v>
      </c>
      <c r="Y292" s="87">
        <v>0</v>
      </c>
      <c r="Z292" s="87">
        <v>892253.88351644168</v>
      </c>
      <c r="AA292" s="87">
        <v>896299.55</v>
      </c>
      <c r="AB292" s="87">
        <v>295778.85149999999</v>
      </c>
      <c r="AC292" s="87">
        <v>0</v>
      </c>
      <c r="AD292" s="87">
        <v>-4045.6664835583651</v>
      </c>
      <c r="AE292" s="87">
        <v>-1335.0699395742849</v>
      </c>
      <c r="AF292">
        <v>0</v>
      </c>
      <c r="AG292" s="87"/>
    </row>
    <row r="293" spans="1:33">
      <c r="A293" s="53" t="s">
        <v>913</v>
      </c>
      <c r="B293" t="s">
        <v>214</v>
      </c>
      <c r="C293" t="s">
        <v>209</v>
      </c>
      <c r="E293" t="s">
        <v>209</v>
      </c>
      <c r="F293" t="s">
        <v>209</v>
      </c>
      <c r="G293" t="s">
        <v>210</v>
      </c>
      <c r="H293" t="s">
        <v>914</v>
      </c>
      <c r="I293" t="s">
        <v>6</v>
      </c>
      <c r="J293" t="s">
        <v>6</v>
      </c>
      <c r="K293" s="87">
        <v>11844444.92598507</v>
      </c>
      <c r="L293" s="87">
        <v>0</v>
      </c>
      <c r="M293" s="87">
        <v>0</v>
      </c>
      <c r="N293" s="87">
        <v>0</v>
      </c>
      <c r="O293" s="87">
        <v>28009338.24051901</v>
      </c>
      <c r="P293" s="87">
        <v>0</v>
      </c>
      <c r="Q293" s="87">
        <v>0</v>
      </c>
      <c r="R293" s="87">
        <v>28009338.24051901</v>
      </c>
      <c r="S293" s="87">
        <v>0</v>
      </c>
      <c r="T293" s="87">
        <v>0</v>
      </c>
      <c r="U293" s="87">
        <v>0</v>
      </c>
      <c r="V293" s="87">
        <v>0</v>
      </c>
      <c r="W293" s="87">
        <v>2719072.2593225525</v>
      </c>
      <c r="X293" s="87">
        <v>2719072.2593225525</v>
      </c>
      <c r="Y293" s="87">
        <v>0</v>
      </c>
      <c r="Z293" s="87">
        <v>30728410.499841563</v>
      </c>
      <c r="AA293" s="87">
        <v>12092274.77</v>
      </c>
      <c r="AB293" s="87">
        <v>3990450.6740999995</v>
      </c>
      <c r="AC293" s="87">
        <v>0</v>
      </c>
      <c r="AD293" s="87">
        <v>18636135.729841564</v>
      </c>
      <c r="AE293" s="87">
        <v>6149924.7908477159</v>
      </c>
      <c r="AF293">
        <v>6149924.7908477159</v>
      </c>
      <c r="AG293" s="87"/>
    </row>
    <row r="294" spans="1:33">
      <c r="A294" s="53" t="s">
        <v>915</v>
      </c>
      <c r="B294" t="s">
        <v>214</v>
      </c>
      <c r="C294" t="s">
        <v>209</v>
      </c>
      <c r="E294" t="s">
        <v>209</v>
      </c>
      <c r="F294" t="s">
        <v>209</v>
      </c>
      <c r="G294" t="s">
        <v>210</v>
      </c>
      <c r="H294" t="s">
        <v>916</v>
      </c>
      <c r="I294" t="s">
        <v>6</v>
      </c>
      <c r="J294" t="s">
        <v>6</v>
      </c>
      <c r="K294" s="87">
        <v>1115822.6990208991</v>
      </c>
      <c r="L294" s="87">
        <v>0</v>
      </c>
      <c r="M294" s="87">
        <v>0</v>
      </c>
      <c r="N294" s="87">
        <v>0</v>
      </c>
      <c r="O294" s="87">
        <v>2980631.4099509283</v>
      </c>
      <c r="P294" s="87">
        <v>0</v>
      </c>
      <c r="Q294" s="87">
        <v>0</v>
      </c>
      <c r="R294" s="87">
        <v>2980631.4099509283</v>
      </c>
      <c r="S294" s="87">
        <v>0</v>
      </c>
      <c r="T294" s="87">
        <v>0</v>
      </c>
      <c r="U294" s="87">
        <v>0</v>
      </c>
      <c r="V294" s="87">
        <v>0</v>
      </c>
      <c r="W294" s="87">
        <v>0</v>
      </c>
      <c r="X294" s="87">
        <v>0</v>
      </c>
      <c r="Y294" s="87">
        <v>0</v>
      </c>
      <c r="Z294" s="87">
        <v>2980631.4099509283</v>
      </c>
      <c r="AA294" s="87">
        <v>1227479.69</v>
      </c>
      <c r="AB294" s="87">
        <v>405068.29769999994</v>
      </c>
      <c r="AC294" s="87">
        <v>0</v>
      </c>
      <c r="AD294" s="87">
        <v>1753151.7199509284</v>
      </c>
      <c r="AE294" s="87">
        <v>578540.06758380635</v>
      </c>
      <c r="AF294">
        <v>578540.06758380635</v>
      </c>
      <c r="AG294" s="87"/>
    </row>
    <row r="295" spans="1:33">
      <c r="A295" s="53" t="s">
        <v>917</v>
      </c>
      <c r="B295" t="s">
        <v>214</v>
      </c>
      <c r="C295" t="s">
        <v>149</v>
      </c>
      <c r="E295" t="s">
        <v>209</v>
      </c>
      <c r="F295" t="s">
        <v>209</v>
      </c>
      <c r="G295" t="s">
        <v>210</v>
      </c>
      <c r="H295" t="s">
        <v>918</v>
      </c>
      <c r="I295" t="s">
        <v>10</v>
      </c>
      <c r="J295" t="s">
        <v>919</v>
      </c>
      <c r="K295" s="87">
        <v>232264.31507955206</v>
      </c>
      <c r="L295" s="87">
        <v>1586574.1794111615</v>
      </c>
      <c r="M295" s="87">
        <v>1119015.4296061439</v>
      </c>
      <c r="N295" s="87">
        <v>467558.74980501761</v>
      </c>
      <c r="O295" s="87">
        <v>1607092.9712371968</v>
      </c>
      <c r="P295" s="87">
        <v>0</v>
      </c>
      <c r="Q295" s="87">
        <v>0</v>
      </c>
      <c r="R295" s="87">
        <v>1607092.9712371968</v>
      </c>
      <c r="S295" s="87">
        <v>0</v>
      </c>
      <c r="T295" s="87">
        <v>0</v>
      </c>
      <c r="U295" s="87">
        <v>0</v>
      </c>
      <c r="V295" s="87">
        <v>0</v>
      </c>
      <c r="W295" s="87">
        <v>0</v>
      </c>
      <c r="X295" s="87">
        <v>0</v>
      </c>
      <c r="Y295" s="87">
        <v>0</v>
      </c>
      <c r="Z295" s="87">
        <v>1607092.9712371968</v>
      </c>
      <c r="AA295" s="87">
        <v>301470.17</v>
      </c>
      <c r="AB295" s="87">
        <v>99485.156099999978</v>
      </c>
      <c r="AC295" s="87">
        <v>0</v>
      </c>
      <c r="AD295" s="87">
        <v>1305622.8012371969</v>
      </c>
      <c r="AE295" s="87">
        <v>430855.52440827497</v>
      </c>
      <c r="AF295">
        <v>430855.52440827497</v>
      </c>
      <c r="AG295" s="87"/>
    </row>
    <row r="296" spans="1:33">
      <c r="A296" s="53" t="s">
        <v>920</v>
      </c>
      <c r="B296" t="s">
        <v>214</v>
      </c>
      <c r="C296" t="s">
        <v>209</v>
      </c>
      <c r="E296" t="s">
        <v>209</v>
      </c>
      <c r="F296" t="s">
        <v>209</v>
      </c>
      <c r="G296" t="s">
        <v>210</v>
      </c>
      <c r="H296" t="s">
        <v>921</v>
      </c>
      <c r="I296" t="s">
        <v>9</v>
      </c>
      <c r="J296" t="s">
        <v>9</v>
      </c>
      <c r="K296" s="87">
        <v>1327774.2224038658</v>
      </c>
      <c r="L296" s="87">
        <v>0</v>
      </c>
      <c r="M296" s="87">
        <v>0</v>
      </c>
      <c r="N296" s="87">
        <v>0</v>
      </c>
      <c r="O296" s="87">
        <v>891970.21575710725</v>
      </c>
      <c r="P296" s="87">
        <v>0</v>
      </c>
      <c r="Q296" s="87">
        <v>0</v>
      </c>
      <c r="R296" s="87">
        <v>891970.21575710725</v>
      </c>
      <c r="S296" s="87">
        <v>0</v>
      </c>
      <c r="T296" s="87">
        <v>0</v>
      </c>
      <c r="U296" s="87">
        <v>0</v>
      </c>
      <c r="V296" s="87">
        <v>0</v>
      </c>
      <c r="W296" s="87">
        <v>16015</v>
      </c>
      <c r="X296" s="87">
        <v>16015</v>
      </c>
      <c r="Y296" s="87">
        <v>0</v>
      </c>
      <c r="Z296" s="87">
        <v>907985.21575710725</v>
      </c>
      <c r="AA296" s="87">
        <v>0</v>
      </c>
      <c r="AB296" s="87">
        <v>0</v>
      </c>
      <c r="AC296" s="87">
        <v>0</v>
      </c>
      <c r="AD296" s="87">
        <v>907985.21575710725</v>
      </c>
      <c r="AE296" s="87">
        <v>299635.12119984534</v>
      </c>
      <c r="AF296">
        <v>299635.12119984534</v>
      </c>
      <c r="AG296" s="87"/>
    </row>
    <row r="297" spans="1:33">
      <c r="A297" s="53" t="s">
        <v>922</v>
      </c>
      <c r="B297" t="s">
        <v>286</v>
      </c>
      <c r="C297" t="s">
        <v>209</v>
      </c>
      <c r="E297" t="s">
        <v>287</v>
      </c>
      <c r="F297" t="s">
        <v>209</v>
      </c>
      <c r="G297" t="s">
        <v>210</v>
      </c>
      <c r="H297" t="s">
        <v>923</v>
      </c>
      <c r="I297" t="s">
        <v>14</v>
      </c>
      <c r="J297" t="s">
        <v>248</v>
      </c>
      <c r="K297" s="87">
        <v>-6481.0956815360978</v>
      </c>
      <c r="L297" s="87">
        <v>0</v>
      </c>
      <c r="M297" s="87">
        <v>0</v>
      </c>
      <c r="N297" s="87">
        <v>0</v>
      </c>
      <c r="O297" s="87">
        <v>6220.4445234176001</v>
      </c>
      <c r="P297" s="87">
        <v>0</v>
      </c>
      <c r="Q297" s="87">
        <v>0</v>
      </c>
      <c r="R297" s="87">
        <v>6220.4445234176001</v>
      </c>
      <c r="S297" s="87">
        <v>0</v>
      </c>
      <c r="T297" s="87">
        <v>0</v>
      </c>
      <c r="U297" s="87">
        <v>0</v>
      </c>
      <c r="V297" s="87">
        <v>0</v>
      </c>
      <c r="W297" s="87">
        <v>0</v>
      </c>
      <c r="X297" s="87">
        <v>0</v>
      </c>
      <c r="Y297" s="87">
        <v>0</v>
      </c>
      <c r="Z297" s="87">
        <v>6220.4445234176001</v>
      </c>
      <c r="AA297" s="87">
        <v>0</v>
      </c>
      <c r="AB297" s="87">
        <v>0</v>
      </c>
      <c r="AC297" s="87">
        <v>0</v>
      </c>
      <c r="AD297" s="87">
        <v>6220.4445234176001</v>
      </c>
      <c r="AE297" s="87">
        <v>2052.7466927278078</v>
      </c>
      <c r="AF297">
        <v>2052.7466927278078</v>
      </c>
      <c r="AG297" s="87"/>
    </row>
    <row r="298" spans="1:33">
      <c r="A298" s="53" t="s">
        <v>924</v>
      </c>
      <c r="B298" t="s">
        <v>208</v>
      </c>
      <c r="C298" t="s">
        <v>149</v>
      </c>
      <c r="E298" t="s">
        <v>209</v>
      </c>
      <c r="F298" t="s">
        <v>209</v>
      </c>
      <c r="G298" t="s">
        <v>210</v>
      </c>
      <c r="H298" t="s">
        <v>925</v>
      </c>
      <c r="I298" t="s">
        <v>8</v>
      </c>
      <c r="J298" t="s">
        <v>926</v>
      </c>
      <c r="K298" s="87">
        <v>523692.67191091203</v>
      </c>
      <c r="L298" s="87">
        <v>0</v>
      </c>
      <c r="M298" s="87">
        <v>0</v>
      </c>
      <c r="N298" s="87">
        <v>0</v>
      </c>
      <c r="O298" s="87">
        <v>1451432.0975021056</v>
      </c>
      <c r="P298" s="87">
        <v>0</v>
      </c>
      <c r="Q298" s="87">
        <v>0</v>
      </c>
      <c r="R298" s="87">
        <v>1451432.0975021056</v>
      </c>
      <c r="S298" s="87">
        <v>0</v>
      </c>
      <c r="T298" s="87">
        <v>0</v>
      </c>
      <c r="U298" s="87">
        <v>0</v>
      </c>
      <c r="V298" s="87">
        <v>0</v>
      </c>
      <c r="W298" s="87">
        <v>0</v>
      </c>
      <c r="X298" s="87">
        <v>0</v>
      </c>
      <c r="Y298" s="87">
        <v>0</v>
      </c>
      <c r="Z298" s="87">
        <v>1451432.0975021056</v>
      </c>
      <c r="AA298" s="87">
        <v>238585.33</v>
      </c>
      <c r="AB298" s="87">
        <v>78733.15889999998</v>
      </c>
      <c r="AC298" s="87">
        <v>0</v>
      </c>
      <c r="AD298" s="87">
        <v>1212846.7675021056</v>
      </c>
      <c r="AE298" s="87">
        <v>400239.43327569484</v>
      </c>
      <c r="AF298">
        <v>400239.43327569484</v>
      </c>
      <c r="AG298" s="87"/>
    </row>
    <row r="299" spans="1:33">
      <c r="A299" s="53" t="s">
        <v>927</v>
      </c>
      <c r="B299" t="s">
        <v>214</v>
      </c>
      <c r="C299" t="s">
        <v>209</v>
      </c>
      <c r="E299" t="s">
        <v>209</v>
      </c>
      <c r="F299" t="s">
        <v>209</v>
      </c>
      <c r="G299" t="s">
        <v>210</v>
      </c>
      <c r="H299" t="s">
        <v>346</v>
      </c>
      <c r="I299" t="s">
        <v>15</v>
      </c>
      <c r="J299" t="s">
        <v>928</v>
      </c>
      <c r="K299" s="87">
        <v>231476.18873182722</v>
      </c>
      <c r="L299" s="87">
        <v>3321428.6882129153</v>
      </c>
      <c r="M299" s="87">
        <v>3085685.5324890111</v>
      </c>
      <c r="N299" s="87">
        <v>235743.15572390426</v>
      </c>
      <c r="O299" s="87">
        <v>1029495.7879653887</v>
      </c>
      <c r="P299" s="87">
        <v>0</v>
      </c>
      <c r="Q299" s="87">
        <v>0</v>
      </c>
      <c r="R299" s="87">
        <v>1029495.7879653887</v>
      </c>
      <c r="S299" s="87">
        <v>8670</v>
      </c>
      <c r="T299" s="87">
        <v>0</v>
      </c>
      <c r="U299" s="87">
        <v>0</v>
      </c>
      <c r="V299" s="87">
        <v>0</v>
      </c>
      <c r="W299" s="87">
        <v>238798</v>
      </c>
      <c r="X299" s="87">
        <v>247468</v>
      </c>
      <c r="Y299" s="87">
        <v>0</v>
      </c>
      <c r="Z299" s="87">
        <v>1276963.7879653887</v>
      </c>
      <c r="AA299" s="87">
        <v>466546.21</v>
      </c>
      <c r="AB299" s="87">
        <v>153960.2493</v>
      </c>
      <c r="AC299" s="87">
        <v>0</v>
      </c>
      <c r="AD299" s="87">
        <v>810417.57796538877</v>
      </c>
      <c r="AE299" s="87">
        <v>267437.80072857824</v>
      </c>
      <c r="AF299">
        <v>267437.80072857824</v>
      </c>
      <c r="AG299" s="87"/>
    </row>
    <row r="300" spans="1:33">
      <c r="A300" s="53" t="s">
        <v>929</v>
      </c>
      <c r="B300" t="s">
        <v>214</v>
      </c>
      <c r="C300" t="s">
        <v>209</v>
      </c>
      <c r="E300" t="s">
        <v>209</v>
      </c>
      <c r="F300" t="s">
        <v>227</v>
      </c>
      <c r="G300" t="s">
        <v>210</v>
      </c>
      <c r="H300" t="s">
        <v>930</v>
      </c>
      <c r="I300" t="s">
        <v>5</v>
      </c>
      <c r="J300" t="s">
        <v>5</v>
      </c>
      <c r="K300" s="87">
        <v>-22234197.209136192</v>
      </c>
      <c r="L300" s="87">
        <v>4922197.3213027045</v>
      </c>
      <c r="M300" s="87">
        <v>4005939.0959247947</v>
      </c>
      <c r="N300" s="87">
        <v>916258.22537790984</v>
      </c>
      <c r="O300" s="87">
        <v>4502733.2873384356</v>
      </c>
      <c r="P300" s="87">
        <v>0</v>
      </c>
      <c r="Q300" s="87">
        <v>0</v>
      </c>
      <c r="R300" s="87">
        <v>4502733.2873384356</v>
      </c>
      <c r="S300" s="87">
        <v>236217</v>
      </c>
      <c r="T300" s="87">
        <v>0</v>
      </c>
      <c r="U300" s="87">
        <v>0</v>
      </c>
      <c r="V300" s="87">
        <v>0</v>
      </c>
      <c r="W300" s="87">
        <v>651184.55720601324</v>
      </c>
      <c r="X300" s="87">
        <v>887401.55720601324</v>
      </c>
      <c r="Y300" s="87">
        <v>0</v>
      </c>
      <c r="Z300" s="87">
        <v>5390134.8445444489</v>
      </c>
      <c r="AA300" s="87">
        <v>2162592.87</v>
      </c>
      <c r="AB300" s="87">
        <v>713655.64709999994</v>
      </c>
      <c r="AC300" s="87">
        <v>0</v>
      </c>
      <c r="AD300" s="87">
        <v>3227541.9745444488</v>
      </c>
      <c r="AE300" s="87">
        <v>1065088.8515996679</v>
      </c>
      <c r="AF300">
        <v>1065088.8515996679</v>
      </c>
      <c r="AG300" s="87"/>
    </row>
    <row r="301" spans="1:33">
      <c r="A301" s="53" t="s">
        <v>931</v>
      </c>
      <c r="B301" t="s">
        <v>214</v>
      </c>
      <c r="C301" t="s">
        <v>209</v>
      </c>
      <c r="E301" t="s">
        <v>209</v>
      </c>
      <c r="F301" t="s">
        <v>209</v>
      </c>
      <c r="G301" t="s">
        <v>210</v>
      </c>
      <c r="H301" t="s">
        <v>932</v>
      </c>
      <c r="I301" t="s">
        <v>7</v>
      </c>
      <c r="J301" t="s">
        <v>237</v>
      </c>
      <c r="K301" s="87">
        <v>-28568909.237365305</v>
      </c>
      <c r="L301" s="87">
        <v>28448055.526189703</v>
      </c>
      <c r="M301" s="87">
        <v>21394518.748861961</v>
      </c>
      <c r="N301" s="87">
        <v>7053536.7773277424</v>
      </c>
      <c r="O301" s="87">
        <v>24403183.534968406</v>
      </c>
      <c r="P301" s="87">
        <v>0</v>
      </c>
      <c r="Q301" s="87">
        <v>0</v>
      </c>
      <c r="R301" s="87">
        <v>24403183.534968406</v>
      </c>
      <c r="S301" s="87">
        <v>1103243</v>
      </c>
      <c r="T301" s="87">
        <v>0</v>
      </c>
      <c r="U301" s="87">
        <v>0</v>
      </c>
      <c r="V301" s="87">
        <v>0</v>
      </c>
      <c r="W301" s="87">
        <v>0</v>
      </c>
      <c r="X301" s="87">
        <v>1103243</v>
      </c>
      <c r="Y301" s="87">
        <v>0</v>
      </c>
      <c r="Z301" s="87">
        <v>25506426.534968406</v>
      </c>
      <c r="AA301" s="87">
        <v>12483488.23</v>
      </c>
      <c r="AB301" s="87">
        <v>4119551.1158999996</v>
      </c>
      <c r="AC301" s="87">
        <v>0</v>
      </c>
      <c r="AD301" s="87">
        <v>13022938.304968406</v>
      </c>
      <c r="AE301" s="87">
        <v>4297569.6406395724</v>
      </c>
      <c r="AF301">
        <v>4297569.6406395724</v>
      </c>
      <c r="AG301" s="87"/>
    </row>
    <row r="302" spans="1:33">
      <c r="A302" s="53" t="s">
        <v>933</v>
      </c>
      <c r="B302" t="s">
        <v>214</v>
      </c>
      <c r="C302" t="s">
        <v>209</v>
      </c>
      <c r="E302" t="s">
        <v>209</v>
      </c>
      <c r="F302" t="s">
        <v>209</v>
      </c>
      <c r="G302" t="s">
        <v>210</v>
      </c>
      <c r="H302" t="s">
        <v>934</v>
      </c>
      <c r="I302" t="s">
        <v>7</v>
      </c>
      <c r="J302" t="s">
        <v>237</v>
      </c>
      <c r="K302" s="87">
        <v>-11346707.060947821</v>
      </c>
      <c r="L302" s="87">
        <v>14883653.455298161</v>
      </c>
      <c r="M302" s="87">
        <v>8655691.39020909</v>
      </c>
      <c r="N302" s="87">
        <v>6227962.0650890712</v>
      </c>
      <c r="O302" s="87">
        <v>15941039.22227872</v>
      </c>
      <c r="P302" s="87">
        <v>3524697.21</v>
      </c>
      <c r="Q302" s="87">
        <v>3524697.21</v>
      </c>
      <c r="R302" s="87">
        <v>12416342.012278721</v>
      </c>
      <c r="S302" s="87">
        <v>1220802</v>
      </c>
      <c r="T302" s="87">
        <v>0</v>
      </c>
      <c r="U302" s="87">
        <v>0</v>
      </c>
      <c r="V302" s="87">
        <v>0</v>
      </c>
      <c r="W302" s="87">
        <v>0</v>
      </c>
      <c r="X302" s="87">
        <v>1220802</v>
      </c>
      <c r="Y302" s="87">
        <v>0</v>
      </c>
      <c r="Z302" s="87">
        <v>13637144.012278721</v>
      </c>
      <c r="AA302" s="87">
        <v>7952247.8399999999</v>
      </c>
      <c r="AB302" s="87">
        <v>2624241.7871999997</v>
      </c>
      <c r="AC302" s="87">
        <v>0</v>
      </c>
      <c r="AD302" s="87">
        <v>5684896.1722787209</v>
      </c>
      <c r="AE302" s="87">
        <v>1876015.7368519777</v>
      </c>
      <c r="AF302">
        <v>1876015.7368519777</v>
      </c>
      <c r="AG302" s="87"/>
    </row>
    <row r="303" spans="1:33">
      <c r="A303" s="53" t="s">
        <v>935</v>
      </c>
      <c r="B303" t="s">
        <v>214</v>
      </c>
      <c r="C303" t="s">
        <v>209</v>
      </c>
      <c r="E303" t="s">
        <v>209</v>
      </c>
      <c r="F303" t="s">
        <v>209</v>
      </c>
      <c r="G303" t="s">
        <v>210</v>
      </c>
      <c r="H303" t="s">
        <v>936</v>
      </c>
      <c r="I303" t="s">
        <v>6</v>
      </c>
      <c r="J303" t="s">
        <v>384</v>
      </c>
      <c r="K303" s="87">
        <v>5055237.9321281612</v>
      </c>
      <c r="L303" s="87">
        <v>0</v>
      </c>
      <c r="M303" s="87">
        <v>0</v>
      </c>
      <c r="N303" s="87">
        <v>0</v>
      </c>
      <c r="O303" s="87">
        <v>6011444.8451454537</v>
      </c>
      <c r="P303" s="87">
        <v>0</v>
      </c>
      <c r="Q303" s="87">
        <v>0</v>
      </c>
      <c r="R303" s="87">
        <v>6011444.8451454537</v>
      </c>
      <c r="S303" s="87">
        <v>0</v>
      </c>
      <c r="T303" s="87">
        <v>0</v>
      </c>
      <c r="U303" s="87">
        <v>0</v>
      </c>
      <c r="V303" s="87">
        <v>0</v>
      </c>
      <c r="W303" s="87">
        <v>0</v>
      </c>
      <c r="X303" s="87">
        <v>0</v>
      </c>
      <c r="Y303" s="87">
        <v>0</v>
      </c>
      <c r="Z303" s="87">
        <v>6011444.8451454537</v>
      </c>
      <c r="AA303" s="87">
        <v>2487053.29</v>
      </c>
      <c r="AB303" s="87">
        <v>820727.58569999994</v>
      </c>
      <c r="AC303" s="87">
        <v>0</v>
      </c>
      <c r="AD303" s="87">
        <v>3524391.5551454537</v>
      </c>
      <c r="AE303" s="87">
        <v>1163049.2131979996</v>
      </c>
      <c r="AF303">
        <v>1163049.2131979996</v>
      </c>
      <c r="AG303" s="87"/>
    </row>
    <row r="304" spans="1:33">
      <c r="A304" s="53" t="s">
        <v>937</v>
      </c>
      <c r="B304" t="s">
        <v>214</v>
      </c>
      <c r="C304" t="s">
        <v>149</v>
      </c>
      <c r="E304" t="s">
        <v>209</v>
      </c>
      <c r="F304" t="s">
        <v>209</v>
      </c>
      <c r="G304" t="s">
        <v>210</v>
      </c>
      <c r="H304" t="s">
        <v>938</v>
      </c>
      <c r="I304" t="s">
        <v>12</v>
      </c>
      <c r="J304" t="s">
        <v>939</v>
      </c>
      <c r="K304" s="87">
        <v>-1063843.2354808829</v>
      </c>
      <c r="L304" s="87">
        <v>2244997.4637598214</v>
      </c>
      <c r="M304" s="87">
        <v>400114.05397859839</v>
      </c>
      <c r="N304" s="87">
        <v>1844883.4097812229</v>
      </c>
      <c r="O304" s="87">
        <v>746608.1176026368</v>
      </c>
      <c r="P304" s="87">
        <v>411184.6</v>
      </c>
      <c r="Q304" s="87">
        <v>0</v>
      </c>
      <c r="R304" s="87">
        <v>746608.1176026368</v>
      </c>
      <c r="S304" s="87">
        <v>0</v>
      </c>
      <c r="T304" s="87">
        <v>0</v>
      </c>
      <c r="U304" s="87">
        <v>0</v>
      </c>
      <c r="V304" s="87">
        <v>0</v>
      </c>
      <c r="W304" s="87">
        <v>0</v>
      </c>
      <c r="X304" s="87">
        <v>0</v>
      </c>
      <c r="Y304" s="87">
        <v>0</v>
      </c>
      <c r="Z304" s="87">
        <v>746608.1176026368</v>
      </c>
      <c r="AA304" s="87">
        <v>563220.21</v>
      </c>
      <c r="AB304" s="87">
        <v>185862.66929999998</v>
      </c>
      <c r="AC304" s="87">
        <v>0</v>
      </c>
      <c r="AD304" s="87">
        <v>183387.90760263684</v>
      </c>
      <c r="AE304" s="87">
        <v>60518.009508870135</v>
      </c>
      <c r="AF304">
        <v>60518.009508870135</v>
      </c>
      <c r="AG304" s="87"/>
    </row>
    <row r="305" spans="1:33">
      <c r="A305" s="53" t="s">
        <v>940</v>
      </c>
      <c r="B305" t="s">
        <v>214</v>
      </c>
      <c r="C305" t="s">
        <v>149</v>
      </c>
      <c r="E305" t="s">
        <v>209</v>
      </c>
      <c r="F305" t="s">
        <v>209</v>
      </c>
      <c r="G305" t="s">
        <v>210</v>
      </c>
      <c r="H305" t="s">
        <v>941</v>
      </c>
      <c r="I305" t="s">
        <v>6</v>
      </c>
      <c r="J305" t="s">
        <v>942</v>
      </c>
      <c r="K305" s="87">
        <v>-449477.11077086732</v>
      </c>
      <c r="L305" s="87">
        <v>1694890.4522704857</v>
      </c>
      <c r="M305" s="87">
        <v>295800.22592494084</v>
      </c>
      <c r="N305" s="87">
        <v>1399090.2263455449</v>
      </c>
      <c r="O305" s="87">
        <v>586277.10701038083</v>
      </c>
      <c r="P305" s="87">
        <v>0</v>
      </c>
      <c r="Q305" s="87">
        <v>0</v>
      </c>
      <c r="R305" s="87">
        <v>586277.10701038083</v>
      </c>
      <c r="S305" s="87">
        <v>0</v>
      </c>
      <c r="T305" s="87">
        <v>0</v>
      </c>
      <c r="U305" s="87">
        <v>0</v>
      </c>
      <c r="V305" s="87">
        <v>0</v>
      </c>
      <c r="W305" s="87">
        <v>505593</v>
      </c>
      <c r="X305" s="87">
        <v>505593</v>
      </c>
      <c r="Y305" s="87">
        <v>0</v>
      </c>
      <c r="Z305" s="87">
        <v>1091870.1070103808</v>
      </c>
      <c r="AA305" s="87">
        <v>508881.88</v>
      </c>
      <c r="AB305" s="87">
        <v>167931.02039999998</v>
      </c>
      <c r="AC305" s="87">
        <v>0</v>
      </c>
      <c r="AD305" s="87">
        <v>582988.22701038083</v>
      </c>
      <c r="AE305" s="87">
        <v>192386.11491342564</v>
      </c>
      <c r="AF305">
        <v>192386.11491342564</v>
      </c>
      <c r="AG305" s="87"/>
    </row>
    <row r="306" spans="1:33">
      <c r="A306" s="53" t="s">
        <v>943</v>
      </c>
      <c r="B306" t="s">
        <v>214</v>
      </c>
      <c r="C306" t="s">
        <v>209</v>
      </c>
      <c r="E306" t="s">
        <v>209</v>
      </c>
      <c r="F306" t="s">
        <v>209</v>
      </c>
      <c r="G306" t="s">
        <v>210</v>
      </c>
      <c r="H306" t="s">
        <v>944</v>
      </c>
      <c r="I306" t="s">
        <v>10</v>
      </c>
      <c r="J306" t="s">
        <v>327</v>
      </c>
      <c r="K306" s="87">
        <v>1116865.5864540227</v>
      </c>
      <c r="L306" s="87">
        <v>0</v>
      </c>
      <c r="M306" s="87">
        <v>0</v>
      </c>
      <c r="N306" s="87">
        <v>0</v>
      </c>
      <c r="O306" s="87">
        <v>7145585.9928918835</v>
      </c>
      <c r="P306" s="87">
        <v>0</v>
      </c>
      <c r="Q306" s="87">
        <v>0</v>
      </c>
      <c r="R306" s="87">
        <v>7145585.9928918835</v>
      </c>
      <c r="S306" s="87">
        <v>1039630</v>
      </c>
      <c r="T306" s="87">
        <v>0</v>
      </c>
      <c r="U306" s="87">
        <v>0</v>
      </c>
      <c r="V306" s="87">
        <v>0</v>
      </c>
      <c r="W306" s="87">
        <v>832705.6477066949</v>
      </c>
      <c r="X306" s="87">
        <v>1872335.6477066949</v>
      </c>
      <c r="Y306" s="87">
        <v>0</v>
      </c>
      <c r="Z306" s="87">
        <v>9017921.6405985784</v>
      </c>
      <c r="AA306" s="87">
        <v>4212906.2300000004</v>
      </c>
      <c r="AB306" s="87">
        <v>1390259.0559</v>
      </c>
      <c r="AC306" s="87">
        <v>0</v>
      </c>
      <c r="AD306" s="87">
        <v>4805015.4105985779</v>
      </c>
      <c r="AE306" s="87">
        <v>1585655.0854975306</v>
      </c>
      <c r="AF306">
        <v>1585655.0854975306</v>
      </c>
      <c r="AG306" s="87"/>
    </row>
    <row r="307" spans="1:33">
      <c r="A307" s="53" t="s">
        <v>945</v>
      </c>
      <c r="B307" t="s">
        <v>214</v>
      </c>
      <c r="C307" t="s">
        <v>209</v>
      </c>
      <c r="E307" t="s">
        <v>209</v>
      </c>
      <c r="F307" t="s">
        <v>209</v>
      </c>
      <c r="G307" t="s">
        <v>210</v>
      </c>
      <c r="H307" t="s">
        <v>946</v>
      </c>
      <c r="I307" t="s">
        <v>14</v>
      </c>
      <c r="J307" t="s">
        <v>14</v>
      </c>
      <c r="K307" s="87">
        <v>-7490517.6645243382</v>
      </c>
      <c r="L307" s="87">
        <v>17776525.222422052</v>
      </c>
      <c r="M307" s="87">
        <v>9985524.3151286785</v>
      </c>
      <c r="N307" s="87">
        <v>7791000.9072933737</v>
      </c>
      <c r="O307" s="87">
        <v>11994428.237952385</v>
      </c>
      <c r="P307" s="87">
        <v>0</v>
      </c>
      <c r="Q307" s="87">
        <v>0</v>
      </c>
      <c r="R307" s="87">
        <v>11994428.237952385</v>
      </c>
      <c r="S307" s="87">
        <v>50996</v>
      </c>
      <c r="T307" s="87">
        <v>0</v>
      </c>
      <c r="U307" s="87">
        <v>0</v>
      </c>
      <c r="V307" s="87">
        <v>0</v>
      </c>
      <c r="W307" s="87">
        <v>0</v>
      </c>
      <c r="X307" s="87">
        <v>50996</v>
      </c>
      <c r="Y307" s="87">
        <v>0</v>
      </c>
      <c r="Z307" s="87">
        <v>12045424.237952385</v>
      </c>
      <c r="AA307" s="87">
        <v>8346643.4299999997</v>
      </c>
      <c r="AB307" s="87">
        <v>2754392.3318999996</v>
      </c>
      <c r="AC307" s="87">
        <v>0</v>
      </c>
      <c r="AD307" s="87">
        <v>3698780.8079523854</v>
      </c>
      <c r="AE307" s="87">
        <v>1220597.6666242871</v>
      </c>
      <c r="AF307">
        <v>1220597.6666242871</v>
      </c>
      <c r="AG307" s="87"/>
    </row>
    <row r="308" spans="1:33">
      <c r="A308" s="53" t="s">
        <v>947</v>
      </c>
      <c r="B308" t="s">
        <v>214</v>
      </c>
      <c r="C308" t="s">
        <v>209</v>
      </c>
      <c r="E308" t="s">
        <v>209</v>
      </c>
      <c r="F308" t="s">
        <v>209</v>
      </c>
      <c r="G308" t="s">
        <v>210</v>
      </c>
      <c r="H308" t="s">
        <v>948</v>
      </c>
      <c r="I308" t="s">
        <v>4</v>
      </c>
      <c r="J308" t="s">
        <v>260</v>
      </c>
      <c r="K308" s="87">
        <v>1377905.4964471557</v>
      </c>
      <c r="L308" s="87">
        <v>0</v>
      </c>
      <c r="M308" s="87">
        <v>0</v>
      </c>
      <c r="N308" s="87">
        <v>0</v>
      </c>
      <c r="O308" s="87">
        <v>10329571.97212434</v>
      </c>
      <c r="P308" s="87">
        <v>0</v>
      </c>
      <c r="Q308" s="87">
        <v>0</v>
      </c>
      <c r="R308" s="87">
        <v>10329571.97212434</v>
      </c>
      <c r="S308" s="87">
        <v>0</v>
      </c>
      <c r="T308" s="87">
        <v>0</v>
      </c>
      <c r="U308" s="87">
        <v>0</v>
      </c>
      <c r="V308" s="87">
        <v>0</v>
      </c>
      <c r="W308" s="87">
        <v>0</v>
      </c>
      <c r="X308" s="87">
        <v>0</v>
      </c>
      <c r="Y308" s="87">
        <v>0</v>
      </c>
      <c r="Z308" s="87">
        <v>10329571.97212434</v>
      </c>
      <c r="AA308" s="87">
        <v>3320836.77</v>
      </c>
      <c r="AB308" s="87">
        <v>1095876.1340999999</v>
      </c>
      <c r="AC308" s="87">
        <v>0</v>
      </c>
      <c r="AD308" s="87">
        <v>7008735.2021243405</v>
      </c>
      <c r="AE308" s="87">
        <v>2312882.616701032</v>
      </c>
      <c r="AF308">
        <v>2312882.616701032</v>
      </c>
      <c r="AG308" s="87"/>
    </row>
    <row r="309" spans="1:33">
      <c r="A309" s="53" t="s">
        <v>949</v>
      </c>
      <c r="B309" t="s">
        <v>214</v>
      </c>
      <c r="C309" t="s">
        <v>209</v>
      </c>
      <c r="E309" t="s">
        <v>209</v>
      </c>
      <c r="F309" t="s">
        <v>227</v>
      </c>
      <c r="G309" t="s">
        <v>210</v>
      </c>
      <c r="H309" t="s">
        <v>950</v>
      </c>
      <c r="I309" t="s">
        <v>4</v>
      </c>
      <c r="J309" t="s">
        <v>4</v>
      </c>
      <c r="K309" s="87">
        <v>22977992.30890635</v>
      </c>
      <c r="L309" s="87">
        <v>10781271.089252222</v>
      </c>
      <c r="M309" s="87">
        <v>9269908.598077694</v>
      </c>
      <c r="N309" s="87">
        <v>1511362.4911745284</v>
      </c>
      <c r="O309" s="87">
        <v>9252089.4211488981</v>
      </c>
      <c r="P309" s="87">
        <v>888023.38</v>
      </c>
      <c r="Q309" s="87">
        <v>0</v>
      </c>
      <c r="R309" s="87">
        <v>9252089.4211488981</v>
      </c>
      <c r="S309" s="87">
        <v>0</v>
      </c>
      <c r="T309" s="87">
        <v>0</v>
      </c>
      <c r="U309" s="87">
        <v>0</v>
      </c>
      <c r="V309" s="87">
        <v>0</v>
      </c>
      <c r="W309" s="87">
        <v>3682182</v>
      </c>
      <c r="X309" s="87">
        <v>3682182</v>
      </c>
      <c r="Y309" s="87">
        <v>0</v>
      </c>
      <c r="Z309" s="87">
        <v>12934271.421148898</v>
      </c>
      <c r="AA309" s="87">
        <v>5909509.3700000001</v>
      </c>
      <c r="AB309" s="87">
        <v>1950138.0920999998</v>
      </c>
      <c r="AC309" s="87">
        <v>0</v>
      </c>
      <c r="AD309" s="87">
        <v>7024762.051148898</v>
      </c>
      <c r="AE309" s="87">
        <v>2318171.4768791357</v>
      </c>
      <c r="AF309">
        <v>2318171.4768791357</v>
      </c>
      <c r="AG309" s="87"/>
    </row>
    <row r="310" spans="1:33">
      <c r="A310" s="53" t="s">
        <v>951</v>
      </c>
      <c r="B310" t="s">
        <v>208</v>
      </c>
      <c r="C310" t="s">
        <v>149</v>
      </c>
      <c r="E310" t="s">
        <v>209</v>
      </c>
      <c r="F310" t="s">
        <v>209</v>
      </c>
      <c r="G310" t="s">
        <v>210</v>
      </c>
      <c r="H310" t="s">
        <v>952</v>
      </c>
      <c r="I310" t="s">
        <v>9</v>
      </c>
      <c r="J310" t="s">
        <v>953</v>
      </c>
      <c r="K310" s="87">
        <v>-14727.011645875207</v>
      </c>
      <c r="L310" s="87">
        <v>0</v>
      </c>
      <c r="M310" s="87">
        <v>0</v>
      </c>
      <c r="N310" s="87">
        <v>0</v>
      </c>
      <c r="O310" s="87">
        <v>618267.09626393602</v>
      </c>
      <c r="P310" s="87">
        <v>0</v>
      </c>
      <c r="Q310" s="87">
        <v>0</v>
      </c>
      <c r="R310" s="87">
        <v>618267.09626393602</v>
      </c>
      <c r="S310" s="87">
        <v>0</v>
      </c>
      <c r="T310" s="87">
        <v>0</v>
      </c>
      <c r="U310" s="87">
        <v>0</v>
      </c>
      <c r="V310" s="87">
        <v>0</v>
      </c>
      <c r="W310" s="87">
        <v>0</v>
      </c>
      <c r="X310" s="87">
        <v>0</v>
      </c>
      <c r="Y310" s="87">
        <v>0</v>
      </c>
      <c r="Z310" s="87">
        <v>618267.09626393602</v>
      </c>
      <c r="AA310" s="87">
        <v>275294.40000000002</v>
      </c>
      <c r="AB310" s="87">
        <v>90847.152000000002</v>
      </c>
      <c r="AC310" s="87">
        <v>0</v>
      </c>
      <c r="AD310" s="87">
        <v>342972.696263936</v>
      </c>
      <c r="AE310" s="87">
        <v>113180.98976709886</v>
      </c>
      <c r="AF310">
        <v>113180.98976709886</v>
      </c>
      <c r="AG310" s="87"/>
    </row>
    <row r="311" spans="1:33">
      <c r="A311" s="53" t="s">
        <v>954</v>
      </c>
      <c r="B311" t="s">
        <v>214</v>
      </c>
      <c r="C311" t="s">
        <v>209</v>
      </c>
      <c r="E311" t="s">
        <v>209</v>
      </c>
      <c r="F311" t="s">
        <v>209</v>
      </c>
      <c r="G311" t="s">
        <v>210</v>
      </c>
      <c r="H311" t="s">
        <v>955</v>
      </c>
      <c r="I311" t="s">
        <v>14</v>
      </c>
      <c r="J311" t="s">
        <v>14</v>
      </c>
      <c r="K311" s="87">
        <v>-371921.83450896206</v>
      </c>
      <c r="L311" s="87">
        <v>6561098.6141706556</v>
      </c>
      <c r="M311" s="87">
        <v>3541118.1391146919</v>
      </c>
      <c r="N311" s="87">
        <v>3019980.4750559637</v>
      </c>
      <c r="O311" s="87">
        <v>8252692.2776004253</v>
      </c>
      <c r="P311" s="87">
        <v>0</v>
      </c>
      <c r="Q311" s="87">
        <v>0</v>
      </c>
      <c r="R311" s="87">
        <v>8252692.2776004253</v>
      </c>
      <c r="S311" s="87">
        <v>0</v>
      </c>
      <c r="T311" s="87">
        <v>0</v>
      </c>
      <c r="U311" s="87">
        <v>0</v>
      </c>
      <c r="V311" s="87">
        <v>0</v>
      </c>
      <c r="W311" s="87">
        <v>0</v>
      </c>
      <c r="X311" s="87">
        <v>0</v>
      </c>
      <c r="Y311" s="87">
        <v>0</v>
      </c>
      <c r="Z311" s="87">
        <v>8252692.2776004253</v>
      </c>
      <c r="AA311" s="87">
        <v>2793058.03</v>
      </c>
      <c r="AB311" s="87">
        <v>921709.14989999984</v>
      </c>
      <c r="AC311" s="87">
        <v>0</v>
      </c>
      <c r="AD311" s="87">
        <v>5459634.247600425</v>
      </c>
      <c r="AE311" s="87">
        <v>1801679.3017081402</v>
      </c>
      <c r="AF311">
        <v>1801679.3017081402</v>
      </c>
      <c r="AG311" s="87"/>
    </row>
    <row r="312" spans="1:33">
      <c r="A312" s="53" t="s">
        <v>956</v>
      </c>
      <c r="B312" t="s">
        <v>214</v>
      </c>
      <c r="C312" t="s">
        <v>149</v>
      </c>
      <c r="E312" t="s">
        <v>209</v>
      </c>
      <c r="F312" t="s">
        <v>209</v>
      </c>
      <c r="G312" t="s">
        <v>210</v>
      </c>
      <c r="H312" t="s">
        <v>957</v>
      </c>
      <c r="I312" t="s">
        <v>12</v>
      </c>
      <c r="J312" t="s">
        <v>958</v>
      </c>
      <c r="K312" s="87">
        <v>541139.35043786233</v>
      </c>
      <c r="L312" s="87">
        <v>962595.64731335908</v>
      </c>
      <c r="M312" s="87">
        <v>957462.33756149758</v>
      </c>
      <c r="N312" s="87">
        <v>5133.3097518614959</v>
      </c>
      <c r="O312" s="87">
        <v>957462.33756149758</v>
      </c>
      <c r="P312" s="87">
        <v>111656.39</v>
      </c>
      <c r="Q312" s="87">
        <v>0</v>
      </c>
      <c r="R312" s="87">
        <v>957462.33756149758</v>
      </c>
      <c r="S312" s="87">
        <v>0</v>
      </c>
      <c r="T312" s="87">
        <v>0</v>
      </c>
      <c r="U312" s="87">
        <v>0</v>
      </c>
      <c r="V312" s="87">
        <v>0</v>
      </c>
      <c r="W312" s="87">
        <v>0</v>
      </c>
      <c r="X312" s="87">
        <v>0</v>
      </c>
      <c r="Y312" s="87">
        <v>0</v>
      </c>
      <c r="Z312" s="87">
        <v>957462.33756149758</v>
      </c>
      <c r="AA312" s="87">
        <v>453646.62</v>
      </c>
      <c r="AB312" s="87">
        <v>149703.38459999999</v>
      </c>
      <c r="AC312" s="87">
        <v>0</v>
      </c>
      <c r="AD312" s="87">
        <v>503815.71756149759</v>
      </c>
      <c r="AE312" s="87">
        <v>166259.18679529417</v>
      </c>
      <c r="AF312">
        <v>166259.18679529417</v>
      </c>
      <c r="AG312" s="87"/>
    </row>
    <row r="313" spans="1:33">
      <c r="A313" s="53" t="s">
        <v>959</v>
      </c>
      <c r="B313" t="s">
        <v>214</v>
      </c>
      <c r="C313" t="s">
        <v>209</v>
      </c>
      <c r="E313" t="s">
        <v>209</v>
      </c>
      <c r="F313" t="s">
        <v>209</v>
      </c>
      <c r="G313" t="s">
        <v>210</v>
      </c>
      <c r="H313" t="s">
        <v>960</v>
      </c>
      <c r="I313" t="s">
        <v>9</v>
      </c>
      <c r="J313" t="s">
        <v>725</v>
      </c>
      <c r="K313" s="87">
        <v>5819776.1934338436</v>
      </c>
      <c r="L313" s="87">
        <v>23864513.546134237</v>
      </c>
      <c r="M313" s="87">
        <v>14132613.339786565</v>
      </c>
      <c r="N313" s="87">
        <v>9731900.2063476723</v>
      </c>
      <c r="O313" s="87">
        <v>19416087.60875567</v>
      </c>
      <c r="P313" s="87">
        <v>5555444.9800000004</v>
      </c>
      <c r="Q313" s="87">
        <v>0</v>
      </c>
      <c r="R313" s="87">
        <v>19416087.60875567</v>
      </c>
      <c r="S313" s="87">
        <v>5037696</v>
      </c>
      <c r="T313" s="87">
        <v>0</v>
      </c>
      <c r="U313" s="87">
        <v>0</v>
      </c>
      <c r="V313" s="87">
        <v>0</v>
      </c>
      <c r="W313" s="87">
        <v>6099886.3455435289</v>
      </c>
      <c r="X313" s="87">
        <v>11137582.34554353</v>
      </c>
      <c r="Y313" s="87">
        <v>0</v>
      </c>
      <c r="Z313" s="87">
        <v>30553669.9542992</v>
      </c>
      <c r="AA313" s="87">
        <v>13235051.939999999</v>
      </c>
      <c r="AB313" s="87">
        <v>4367567.1401999993</v>
      </c>
      <c r="AC313" s="87">
        <v>0</v>
      </c>
      <c r="AD313" s="87">
        <v>17318618.014299199</v>
      </c>
      <c r="AE313" s="87">
        <v>5715143.9447187362</v>
      </c>
      <c r="AF313">
        <v>5715143.9447187362</v>
      </c>
      <c r="AG313" s="87"/>
    </row>
    <row r="314" spans="1:33">
      <c r="A314" s="53" t="s">
        <v>961</v>
      </c>
      <c r="B314" t="s">
        <v>214</v>
      </c>
      <c r="C314" t="s">
        <v>149</v>
      </c>
      <c r="E314" t="s">
        <v>209</v>
      </c>
      <c r="F314" t="s">
        <v>209</v>
      </c>
      <c r="G314" t="s">
        <v>210</v>
      </c>
      <c r="H314" t="s">
        <v>962</v>
      </c>
      <c r="I314" t="s">
        <v>12</v>
      </c>
      <c r="J314" t="s">
        <v>963</v>
      </c>
      <c r="K314" s="87">
        <v>739179.10663797753</v>
      </c>
      <c r="L314" s="87">
        <v>1317992.6842719826</v>
      </c>
      <c r="M314" s="87">
        <v>570464.29115235829</v>
      </c>
      <c r="N314" s="87">
        <v>747528.39311962435</v>
      </c>
      <c r="O314" s="87">
        <v>1281926.6380634112</v>
      </c>
      <c r="P314" s="87">
        <v>89773.25</v>
      </c>
      <c r="Q314" s="87">
        <v>0</v>
      </c>
      <c r="R314" s="87">
        <v>1281926.6380634112</v>
      </c>
      <c r="S314" s="87">
        <v>19654</v>
      </c>
      <c r="T314" s="87">
        <v>0</v>
      </c>
      <c r="U314" s="87">
        <v>0</v>
      </c>
      <c r="V314" s="87">
        <v>0</v>
      </c>
      <c r="W314" s="87">
        <v>0</v>
      </c>
      <c r="X314" s="87">
        <v>19654</v>
      </c>
      <c r="Y314" s="87">
        <v>0</v>
      </c>
      <c r="Z314" s="87">
        <v>1301580.6380634112</v>
      </c>
      <c r="AA314" s="87">
        <v>247312.64000000001</v>
      </c>
      <c r="AB314" s="87">
        <v>81613.171199999997</v>
      </c>
      <c r="AC314" s="87">
        <v>0</v>
      </c>
      <c r="AD314" s="87">
        <v>1054267.9980634111</v>
      </c>
      <c r="AE314" s="87">
        <v>347908.43936092569</v>
      </c>
      <c r="AF314">
        <v>347908.43936092569</v>
      </c>
      <c r="AG314" s="87"/>
    </row>
    <row r="315" spans="1:33">
      <c r="A315" s="53" t="s">
        <v>964</v>
      </c>
      <c r="B315" t="s">
        <v>214</v>
      </c>
      <c r="C315" t="s">
        <v>209</v>
      </c>
      <c r="E315" t="s">
        <v>209</v>
      </c>
      <c r="F315" t="s">
        <v>209</v>
      </c>
      <c r="G315" t="s">
        <v>210</v>
      </c>
      <c r="H315" t="s">
        <v>965</v>
      </c>
      <c r="I315" t="s">
        <v>10</v>
      </c>
      <c r="J315" t="s">
        <v>553</v>
      </c>
      <c r="K315" s="87">
        <v>-181554.27681458805</v>
      </c>
      <c r="L315" s="87">
        <v>8216057.5560155623</v>
      </c>
      <c r="M315" s="87">
        <v>4906826.7231715564</v>
      </c>
      <c r="N315" s="87">
        <v>3309230.8328440059</v>
      </c>
      <c r="O315" s="87">
        <v>8048960.4468828375</v>
      </c>
      <c r="P315" s="87">
        <v>0</v>
      </c>
      <c r="Q315" s="87">
        <v>0</v>
      </c>
      <c r="R315" s="87">
        <v>8048960.4468828375</v>
      </c>
      <c r="S315" s="87">
        <v>701365.35000000009</v>
      </c>
      <c r="T315" s="87">
        <v>0</v>
      </c>
      <c r="U315" s="87">
        <v>0</v>
      </c>
      <c r="V315" s="87">
        <v>0</v>
      </c>
      <c r="W315" s="87">
        <v>0</v>
      </c>
      <c r="X315" s="87">
        <v>701365.35000000009</v>
      </c>
      <c r="Y315" s="87">
        <v>0</v>
      </c>
      <c r="Z315" s="87">
        <v>8750325.796882838</v>
      </c>
      <c r="AA315" s="87">
        <v>2901305.91</v>
      </c>
      <c r="AB315" s="87">
        <v>957430.95029999991</v>
      </c>
      <c r="AC315" s="87">
        <v>0</v>
      </c>
      <c r="AD315" s="87">
        <v>5849019.8868828379</v>
      </c>
      <c r="AE315" s="87">
        <v>1930176.5626713361</v>
      </c>
      <c r="AF315">
        <v>1930176.5626713361</v>
      </c>
      <c r="AG315" s="87"/>
    </row>
    <row r="316" spans="1:33">
      <c r="A316" s="53" t="s">
        <v>966</v>
      </c>
      <c r="B316" t="s">
        <v>214</v>
      </c>
      <c r="C316" t="s">
        <v>209</v>
      </c>
      <c r="E316" t="s">
        <v>209</v>
      </c>
      <c r="F316" t="s">
        <v>209</v>
      </c>
      <c r="G316" t="s">
        <v>210</v>
      </c>
      <c r="H316" t="s">
        <v>967</v>
      </c>
      <c r="I316" t="s">
        <v>14</v>
      </c>
      <c r="J316" t="s">
        <v>248</v>
      </c>
      <c r="K316" s="87">
        <v>199663.27456588796</v>
      </c>
      <c r="L316" s="87">
        <v>0</v>
      </c>
      <c r="M316" s="87">
        <v>0</v>
      </c>
      <c r="N316" s="87">
        <v>0</v>
      </c>
      <c r="O316" s="87">
        <v>879478.21616148483</v>
      </c>
      <c r="P316" s="87">
        <v>0</v>
      </c>
      <c r="Q316" s="87">
        <v>0</v>
      </c>
      <c r="R316" s="87">
        <v>879478.21616148483</v>
      </c>
      <c r="S316" s="87">
        <v>0</v>
      </c>
      <c r="T316" s="87">
        <v>0</v>
      </c>
      <c r="U316" s="87">
        <v>0</v>
      </c>
      <c r="V316" s="87">
        <v>0</v>
      </c>
      <c r="W316" s="87">
        <v>0</v>
      </c>
      <c r="X316" s="87">
        <v>0</v>
      </c>
      <c r="Y316" s="87">
        <v>0</v>
      </c>
      <c r="Z316" s="87">
        <v>879478.21616148483</v>
      </c>
      <c r="AA316" s="87">
        <v>437931.42</v>
      </c>
      <c r="AB316" s="87">
        <v>144517.36859999999</v>
      </c>
      <c r="AC316" s="87">
        <v>0</v>
      </c>
      <c r="AD316" s="87">
        <v>441546.79616148485</v>
      </c>
      <c r="AE316" s="87">
        <v>145710.44273328996</v>
      </c>
      <c r="AF316">
        <v>145710.44273328996</v>
      </c>
      <c r="AG316" s="87"/>
    </row>
    <row r="317" spans="1:33">
      <c r="A317" s="53" t="s">
        <v>968</v>
      </c>
      <c r="B317" t="s">
        <v>208</v>
      </c>
      <c r="C317" t="s">
        <v>149</v>
      </c>
      <c r="E317" t="s">
        <v>209</v>
      </c>
      <c r="F317" t="s">
        <v>209</v>
      </c>
      <c r="G317" t="s">
        <v>210</v>
      </c>
      <c r="H317" t="s">
        <v>969</v>
      </c>
      <c r="I317" t="s">
        <v>11</v>
      </c>
      <c r="J317" t="s">
        <v>970</v>
      </c>
      <c r="K317" s="87">
        <v>623349.75171159045</v>
      </c>
      <c r="L317" s="87">
        <v>1718993.4997129643</v>
      </c>
      <c r="M317" s="87">
        <v>0</v>
      </c>
      <c r="N317" s="87">
        <v>1718993.4997129643</v>
      </c>
      <c r="O317" s="87">
        <v>1382878.6202611967</v>
      </c>
      <c r="P317" s="87">
        <v>0</v>
      </c>
      <c r="Q317" s="87">
        <v>0</v>
      </c>
      <c r="R317" s="87">
        <v>1382878.6202611967</v>
      </c>
      <c r="S317" s="87">
        <v>0</v>
      </c>
      <c r="T317" s="87">
        <v>0</v>
      </c>
      <c r="U317" s="87">
        <v>0</v>
      </c>
      <c r="V317" s="87">
        <v>0</v>
      </c>
      <c r="W317" s="87">
        <v>53763</v>
      </c>
      <c r="X317" s="87">
        <v>53763</v>
      </c>
      <c r="Y317" s="87">
        <v>0</v>
      </c>
      <c r="Z317" s="87">
        <v>1436641.6202611967</v>
      </c>
      <c r="AA317" s="87">
        <v>937665.99</v>
      </c>
      <c r="AB317" s="87">
        <v>309429.77669999999</v>
      </c>
      <c r="AC317" s="87">
        <v>0</v>
      </c>
      <c r="AD317" s="87">
        <v>498975.63026119675</v>
      </c>
      <c r="AE317" s="87">
        <v>164661.95798619487</v>
      </c>
      <c r="AF317">
        <v>164661.95798619487</v>
      </c>
      <c r="AG317" s="87"/>
    </row>
    <row r="318" spans="1:33">
      <c r="A318" s="53" t="s">
        <v>971</v>
      </c>
      <c r="B318" t="s">
        <v>286</v>
      </c>
      <c r="C318" t="s">
        <v>209</v>
      </c>
      <c r="E318" t="s">
        <v>287</v>
      </c>
      <c r="F318" t="s">
        <v>209</v>
      </c>
      <c r="G318" t="s">
        <v>210</v>
      </c>
      <c r="H318" t="s">
        <v>972</v>
      </c>
      <c r="I318" t="s">
        <v>15</v>
      </c>
      <c r="J318" t="s">
        <v>15</v>
      </c>
      <c r="K318" s="87">
        <v>-944068.00211251131</v>
      </c>
      <c r="L318" s="87">
        <v>0</v>
      </c>
      <c r="M318" s="87">
        <v>0</v>
      </c>
      <c r="N318" s="87">
        <v>0</v>
      </c>
      <c r="O318" s="87">
        <v>32568.245003127071</v>
      </c>
      <c r="P318" s="87">
        <v>0</v>
      </c>
      <c r="Q318" s="87">
        <v>0</v>
      </c>
      <c r="R318" s="87">
        <v>32568.245003127071</v>
      </c>
      <c r="S318" s="87">
        <v>0</v>
      </c>
      <c r="T318" s="87">
        <v>0</v>
      </c>
      <c r="U318" s="87">
        <v>0</v>
      </c>
      <c r="V318" s="87">
        <v>0</v>
      </c>
      <c r="W318" s="87">
        <v>0</v>
      </c>
      <c r="X318" s="87">
        <v>0</v>
      </c>
      <c r="Y318" s="87">
        <v>0</v>
      </c>
      <c r="Z318" s="87">
        <v>32568.245003127071</v>
      </c>
      <c r="AA318" s="87">
        <v>5249.59</v>
      </c>
      <c r="AB318" s="87">
        <v>1732.3646999999999</v>
      </c>
      <c r="AC318" s="87">
        <v>0</v>
      </c>
      <c r="AD318" s="87">
        <v>27318.655003127071</v>
      </c>
      <c r="AE318" s="87">
        <v>9015.1561510319316</v>
      </c>
      <c r="AF318">
        <v>9015.1561510319316</v>
      </c>
      <c r="AG318" s="87"/>
    </row>
    <row r="319" spans="1:33">
      <c r="A319" s="53" t="s">
        <v>973</v>
      </c>
      <c r="B319" t="s">
        <v>214</v>
      </c>
      <c r="C319" t="s">
        <v>209</v>
      </c>
      <c r="E319" t="s">
        <v>287</v>
      </c>
      <c r="F319" t="s">
        <v>209</v>
      </c>
      <c r="G319" t="s">
        <v>210</v>
      </c>
      <c r="H319" t="s">
        <v>974</v>
      </c>
      <c r="I319" t="s">
        <v>4</v>
      </c>
      <c r="J319" t="s">
        <v>4</v>
      </c>
      <c r="K319" s="87">
        <v>133439.47425625485</v>
      </c>
      <c r="L319" s="87">
        <v>2172016.0943839615</v>
      </c>
      <c r="M319" s="87">
        <v>310547.52227807319</v>
      </c>
      <c r="N319" s="87">
        <v>1861468.5721058883</v>
      </c>
      <c r="O319" s="87">
        <v>424946.60777993058</v>
      </c>
      <c r="P319" s="87">
        <v>0</v>
      </c>
      <c r="Q319" s="87">
        <v>0</v>
      </c>
      <c r="R319" s="87">
        <v>424946.60777993058</v>
      </c>
      <c r="S319" s="87">
        <v>14788</v>
      </c>
      <c r="T319" s="87">
        <v>0</v>
      </c>
      <c r="U319" s="87">
        <v>0</v>
      </c>
      <c r="V319" s="87">
        <v>0</v>
      </c>
      <c r="W319" s="87">
        <v>0</v>
      </c>
      <c r="X319" s="87">
        <v>14788</v>
      </c>
      <c r="Y319" s="87">
        <v>0</v>
      </c>
      <c r="Z319" s="87">
        <v>439734.60777993058</v>
      </c>
      <c r="AA319" s="87">
        <v>156301.37</v>
      </c>
      <c r="AB319" s="87">
        <v>51579.452099999995</v>
      </c>
      <c r="AC319" s="87">
        <v>0</v>
      </c>
      <c r="AD319" s="87">
        <v>283433.23777993058</v>
      </c>
      <c r="AE319" s="87">
        <v>93532.968467377068</v>
      </c>
      <c r="AF319">
        <v>93532.968467377068</v>
      </c>
      <c r="AG319" s="87"/>
    </row>
    <row r="320" spans="1:33">
      <c r="A320" s="53" t="s">
        <v>975</v>
      </c>
      <c r="B320" t="s">
        <v>214</v>
      </c>
      <c r="C320" t="s">
        <v>209</v>
      </c>
      <c r="E320" t="s">
        <v>209</v>
      </c>
      <c r="F320" t="s">
        <v>209</v>
      </c>
      <c r="G320" t="s">
        <v>210</v>
      </c>
      <c r="H320" t="s">
        <v>976</v>
      </c>
      <c r="I320" t="s">
        <v>6</v>
      </c>
      <c r="J320" t="s">
        <v>6</v>
      </c>
      <c r="K320" s="87">
        <v>1609305.6269763056</v>
      </c>
      <c r="L320" s="87">
        <v>0</v>
      </c>
      <c r="M320" s="87">
        <v>0</v>
      </c>
      <c r="N320" s="87">
        <v>0</v>
      </c>
      <c r="O320" s="87">
        <v>13446981.469538677</v>
      </c>
      <c r="P320" s="87">
        <v>0</v>
      </c>
      <c r="Q320" s="87">
        <v>0</v>
      </c>
      <c r="R320" s="87">
        <v>13446981.469538677</v>
      </c>
      <c r="S320" s="87">
        <v>0</v>
      </c>
      <c r="T320" s="87">
        <v>0</v>
      </c>
      <c r="U320" s="87">
        <v>0</v>
      </c>
      <c r="V320" s="87">
        <v>0</v>
      </c>
      <c r="W320" s="87">
        <v>599347.23147813324</v>
      </c>
      <c r="X320" s="87">
        <v>599347.23147813324</v>
      </c>
      <c r="Y320" s="87">
        <v>0</v>
      </c>
      <c r="Z320" s="87">
        <v>14046328.70101681</v>
      </c>
      <c r="AA320" s="87">
        <v>5862117.6100000003</v>
      </c>
      <c r="AB320" s="87">
        <v>1934498.8112999999</v>
      </c>
      <c r="AC320" s="87">
        <v>0</v>
      </c>
      <c r="AD320" s="87">
        <v>8184211.0910168095</v>
      </c>
      <c r="AE320" s="87">
        <v>2700789.6600355469</v>
      </c>
      <c r="AF320">
        <v>2700789.6600355469</v>
      </c>
      <c r="AG320" s="87"/>
    </row>
    <row r="321" spans="1:33">
      <c r="A321" s="53" t="s">
        <v>977</v>
      </c>
      <c r="B321" t="s">
        <v>286</v>
      </c>
      <c r="C321" t="s">
        <v>209</v>
      </c>
      <c r="E321" t="s">
        <v>287</v>
      </c>
      <c r="F321" t="s">
        <v>209</v>
      </c>
      <c r="G321" t="s">
        <v>210</v>
      </c>
      <c r="H321" t="s">
        <v>978</v>
      </c>
      <c r="I321" t="s">
        <v>12</v>
      </c>
      <c r="J321" t="s">
        <v>679</v>
      </c>
      <c r="K321" s="87">
        <v>16012.31764769268</v>
      </c>
      <c r="L321" s="87">
        <v>4691026.4114979925</v>
      </c>
      <c r="M321" s="87">
        <v>0</v>
      </c>
      <c r="N321" s="87">
        <v>4691026.4114979925</v>
      </c>
      <c r="O321" s="87">
        <v>0</v>
      </c>
      <c r="P321" s="87">
        <v>1794094.88</v>
      </c>
      <c r="Q321" s="87">
        <v>0</v>
      </c>
      <c r="R321" s="87">
        <v>0</v>
      </c>
      <c r="S321" s="87">
        <v>0</v>
      </c>
      <c r="T321" s="87">
        <v>0</v>
      </c>
      <c r="U321" s="87">
        <v>73481</v>
      </c>
      <c r="V321" s="87">
        <v>0</v>
      </c>
      <c r="W321" s="87">
        <v>81450.164664068201</v>
      </c>
      <c r="X321" s="87">
        <v>154931.1646640682</v>
      </c>
      <c r="Y321" s="87">
        <v>0</v>
      </c>
      <c r="Z321" s="87">
        <v>154931.1646640682</v>
      </c>
      <c r="AA321" s="87">
        <v>55060.81</v>
      </c>
      <c r="AB321" s="87">
        <v>18170.067299999999</v>
      </c>
      <c r="AC321" s="87">
        <v>0</v>
      </c>
      <c r="AD321" s="87">
        <v>99870.354664068203</v>
      </c>
      <c r="AE321" s="87">
        <v>32957.217039142502</v>
      </c>
      <c r="AF321">
        <v>32957.217039142502</v>
      </c>
      <c r="AG321" s="87"/>
    </row>
    <row r="322" spans="1:33">
      <c r="A322" s="53" t="s">
        <v>979</v>
      </c>
      <c r="B322" t="s">
        <v>208</v>
      </c>
      <c r="C322" t="s">
        <v>149</v>
      </c>
      <c r="E322" t="s">
        <v>209</v>
      </c>
      <c r="F322" t="s">
        <v>209</v>
      </c>
      <c r="G322" t="s">
        <v>210</v>
      </c>
      <c r="H322" t="s">
        <v>980</v>
      </c>
      <c r="I322" t="s">
        <v>12</v>
      </c>
      <c r="J322" t="s">
        <v>981</v>
      </c>
      <c r="K322" s="87">
        <v>249150.27338557437</v>
      </c>
      <c r="L322" s="87">
        <v>0</v>
      </c>
      <c r="M322" s="87">
        <v>0</v>
      </c>
      <c r="N322" s="87">
        <v>0</v>
      </c>
      <c r="O322" s="87">
        <v>2295894.7842797567</v>
      </c>
      <c r="P322" s="87">
        <v>0</v>
      </c>
      <c r="Q322" s="87">
        <v>0</v>
      </c>
      <c r="R322" s="87">
        <v>2295894.7842797567</v>
      </c>
      <c r="S322" s="87">
        <v>0</v>
      </c>
      <c r="T322" s="87">
        <v>0</v>
      </c>
      <c r="U322" s="87">
        <v>0</v>
      </c>
      <c r="V322" s="87">
        <v>0</v>
      </c>
      <c r="W322" s="87">
        <v>0</v>
      </c>
      <c r="X322" s="87">
        <v>0</v>
      </c>
      <c r="Y322" s="87">
        <v>0</v>
      </c>
      <c r="Z322" s="87">
        <v>2295894.7842797567</v>
      </c>
      <c r="AA322" s="87">
        <v>394249.73</v>
      </c>
      <c r="AB322" s="87">
        <v>130102.41089999997</v>
      </c>
      <c r="AC322" s="87">
        <v>0</v>
      </c>
      <c r="AD322" s="87">
        <v>1901645.0542797567</v>
      </c>
      <c r="AE322" s="87">
        <v>627542.86791231961</v>
      </c>
      <c r="AF322">
        <v>627542.86791231961</v>
      </c>
      <c r="AG322" s="87"/>
    </row>
    <row r="323" spans="1:33">
      <c r="A323" s="53" t="s">
        <v>982</v>
      </c>
      <c r="B323" t="s">
        <v>214</v>
      </c>
      <c r="C323" t="s">
        <v>209</v>
      </c>
      <c r="E323" t="s">
        <v>209</v>
      </c>
      <c r="F323" t="s">
        <v>209</v>
      </c>
      <c r="G323" t="s">
        <v>210</v>
      </c>
      <c r="H323" t="s">
        <v>983</v>
      </c>
      <c r="I323" t="s">
        <v>6</v>
      </c>
      <c r="J323" t="s">
        <v>6</v>
      </c>
      <c r="K323" s="87">
        <v>2685708.0005996712</v>
      </c>
      <c r="L323" s="87">
        <v>0</v>
      </c>
      <c r="M323" s="87">
        <v>0</v>
      </c>
      <c r="N323" s="87">
        <v>0</v>
      </c>
      <c r="O323" s="87">
        <v>5892694.1230210261</v>
      </c>
      <c r="P323" s="87">
        <v>0</v>
      </c>
      <c r="Q323" s="87">
        <v>0</v>
      </c>
      <c r="R323" s="87">
        <v>5892694.1230210261</v>
      </c>
      <c r="S323" s="87">
        <v>0</v>
      </c>
      <c r="T323" s="87">
        <v>0</v>
      </c>
      <c r="U323" s="87">
        <v>0</v>
      </c>
      <c r="V323" s="87">
        <v>0</v>
      </c>
      <c r="W323" s="87">
        <v>0</v>
      </c>
      <c r="X323" s="87">
        <v>0</v>
      </c>
      <c r="Y323" s="87">
        <v>0</v>
      </c>
      <c r="Z323" s="87">
        <v>5892694.1230210261</v>
      </c>
      <c r="AA323" s="87">
        <v>2255774.9300000002</v>
      </c>
      <c r="AB323" s="87">
        <v>744405.72690000001</v>
      </c>
      <c r="AC323" s="87">
        <v>0</v>
      </c>
      <c r="AD323" s="87">
        <v>3636919.193021026</v>
      </c>
      <c r="AE323" s="87">
        <v>1200183.3336969386</v>
      </c>
      <c r="AF323">
        <v>1200183.3336969386</v>
      </c>
      <c r="AG323" s="87"/>
    </row>
    <row r="324" spans="1:33">
      <c r="A324" s="53" t="s">
        <v>984</v>
      </c>
      <c r="B324" t="s">
        <v>214</v>
      </c>
      <c r="C324" t="s">
        <v>209</v>
      </c>
      <c r="E324" t="s">
        <v>209</v>
      </c>
      <c r="F324" t="s">
        <v>209</v>
      </c>
      <c r="G324" t="s">
        <v>210</v>
      </c>
      <c r="H324" t="s">
        <v>985</v>
      </c>
      <c r="I324" t="s">
        <v>3</v>
      </c>
      <c r="J324" t="s">
        <v>986</v>
      </c>
      <c r="K324" s="87">
        <v>368623.47756881971</v>
      </c>
      <c r="L324" s="87">
        <v>8816469.7527748644</v>
      </c>
      <c r="M324" s="87">
        <v>6446817.2416884992</v>
      </c>
      <c r="N324" s="87">
        <v>2369652.5110863652</v>
      </c>
      <c r="O324" s="87">
        <v>7691884.5257332735</v>
      </c>
      <c r="P324" s="87">
        <v>0</v>
      </c>
      <c r="Q324" s="87">
        <v>0</v>
      </c>
      <c r="R324" s="87">
        <v>7691884.5257332735</v>
      </c>
      <c r="S324" s="87">
        <v>395516</v>
      </c>
      <c r="T324" s="87">
        <v>0</v>
      </c>
      <c r="U324" s="87">
        <v>0</v>
      </c>
      <c r="V324" s="87">
        <v>0</v>
      </c>
      <c r="W324" s="87">
        <v>0</v>
      </c>
      <c r="X324" s="87">
        <v>395516</v>
      </c>
      <c r="Y324" s="87">
        <v>0</v>
      </c>
      <c r="Z324" s="87">
        <v>8087400.5257332735</v>
      </c>
      <c r="AA324" s="87">
        <v>2706934.3</v>
      </c>
      <c r="AB324" s="87">
        <v>893288.31899999978</v>
      </c>
      <c r="AC324" s="87">
        <v>0</v>
      </c>
      <c r="AD324" s="87">
        <v>5380466.2257332737</v>
      </c>
      <c r="AE324" s="87">
        <v>1775553.8544919803</v>
      </c>
      <c r="AF324">
        <v>1775553.8544919803</v>
      </c>
      <c r="AG324" s="87"/>
    </row>
    <row r="325" spans="1:33">
      <c r="A325" s="53" t="s">
        <v>987</v>
      </c>
      <c r="B325" t="s">
        <v>286</v>
      </c>
      <c r="C325" t="s">
        <v>209</v>
      </c>
      <c r="E325" t="s">
        <v>287</v>
      </c>
      <c r="F325" t="s">
        <v>209</v>
      </c>
      <c r="G325" t="s">
        <v>210</v>
      </c>
      <c r="H325" t="s">
        <v>988</v>
      </c>
      <c r="I325" t="s">
        <v>15</v>
      </c>
      <c r="J325" t="s">
        <v>242</v>
      </c>
      <c r="K325" s="87">
        <v>-744287.40120310173</v>
      </c>
      <c r="L325" s="87">
        <v>1294116.5268621261</v>
      </c>
      <c r="M325" s="87">
        <v>108314.34010912295</v>
      </c>
      <c r="N325" s="87">
        <v>1185802.1867530032</v>
      </c>
      <c r="O325" s="87">
        <v>138294.85594053662</v>
      </c>
      <c r="P325" s="87">
        <v>534734.24999999988</v>
      </c>
      <c r="Q325" s="87">
        <v>93219.464450098341</v>
      </c>
      <c r="R325" s="87">
        <v>45075.391490438284</v>
      </c>
      <c r="S325" s="87">
        <v>8099</v>
      </c>
      <c r="T325" s="87">
        <v>0</v>
      </c>
      <c r="U325" s="87">
        <v>0</v>
      </c>
      <c r="V325" s="87">
        <v>0</v>
      </c>
      <c r="W325" s="87">
        <v>0</v>
      </c>
      <c r="X325" s="87">
        <v>8099</v>
      </c>
      <c r="Y325" s="87">
        <v>0</v>
      </c>
      <c r="Z325" s="87">
        <v>53174.391490438284</v>
      </c>
      <c r="AA325" s="87">
        <v>53174.39</v>
      </c>
      <c r="AB325" s="87">
        <v>17547.548699999999</v>
      </c>
      <c r="AC325" s="87">
        <v>0</v>
      </c>
      <c r="AD325" s="87">
        <v>1.4904382842360064E-3</v>
      </c>
      <c r="AE325" s="87">
        <v>4.918446320516523E-4</v>
      </c>
      <c r="AF325">
        <v>4.918446320516523E-4</v>
      </c>
      <c r="AG325" s="87"/>
    </row>
    <row r="326" spans="1:33">
      <c r="A326" s="53" t="s">
        <v>989</v>
      </c>
      <c r="B326" t="s">
        <v>208</v>
      </c>
      <c r="C326" t="s">
        <v>149</v>
      </c>
      <c r="E326" t="s">
        <v>209</v>
      </c>
      <c r="F326" t="s">
        <v>209</v>
      </c>
      <c r="G326" t="s">
        <v>210</v>
      </c>
      <c r="H326" t="s">
        <v>990</v>
      </c>
      <c r="I326" t="s">
        <v>12</v>
      </c>
      <c r="J326" t="s">
        <v>407</v>
      </c>
      <c r="K326" s="87">
        <v>593264.7785969408</v>
      </c>
      <c r="L326" s="87">
        <v>542224.86547414714</v>
      </c>
      <c r="M326" s="87">
        <v>-5663.0319513599998</v>
      </c>
      <c r="N326" s="87">
        <v>547887.8974255072</v>
      </c>
      <c r="O326" s="87">
        <v>710205.69315422722</v>
      </c>
      <c r="P326" s="87">
        <v>368696.63</v>
      </c>
      <c r="Q326" s="87">
        <v>0</v>
      </c>
      <c r="R326" s="87">
        <v>710205.69315422722</v>
      </c>
      <c r="S326" s="87">
        <v>0</v>
      </c>
      <c r="T326" s="87">
        <v>0</v>
      </c>
      <c r="U326" s="87">
        <v>0</v>
      </c>
      <c r="V326" s="87">
        <v>0</v>
      </c>
      <c r="W326" s="87">
        <v>0</v>
      </c>
      <c r="X326" s="87">
        <v>0</v>
      </c>
      <c r="Y326" s="87">
        <v>0</v>
      </c>
      <c r="Z326" s="87">
        <v>710205.69315422722</v>
      </c>
      <c r="AA326" s="87">
        <v>609917.74</v>
      </c>
      <c r="AB326" s="87">
        <v>201272.85419999997</v>
      </c>
      <c r="AC326" s="87">
        <v>0</v>
      </c>
      <c r="AD326" s="87">
        <v>100287.95315422723</v>
      </c>
      <c r="AE326" s="87">
        <v>33095.024540894985</v>
      </c>
      <c r="AF326">
        <v>33095.024540894985</v>
      </c>
      <c r="AG326" s="87"/>
    </row>
    <row r="327" spans="1:33">
      <c r="A327" s="53" t="s">
        <v>991</v>
      </c>
      <c r="B327" t="s">
        <v>286</v>
      </c>
      <c r="C327" t="s">
        <v>209</v>
      </c>
      <c r="E327" t="s">
        <v>287</v>
      </c>
      <c r="F327" t="s">
        <v>209</v>
      </c>
      <c r="G327" t="s">
        <v>210</v>
      </c>
      <c r="H327" t="s">
        <v>992</v>
      </c>
      <c r="I327" t="s">
        <v>6</v>
      </c>
      <c r="J327" t="s">
        <v>6</v>
      </c>
      <c r="K327" s="87">
        <v>-528111.60381936596</v>
      </c>
      <c r="L327" s="87">
        <v>1261122.8057743846</v>
      </c>
      <c r="M327" s="87">
        <v>174867.09506569899</v>
      </c>
      <c r="N327" s="87">
        <v>1086255.7107086857</v>
      </c>
      <c r="O327" s="87">
        <v>211800.44886590383</v>
      </c>
      <c r="P327" s="87">
        <v>0</v>
      </c>
      <c r="Q327" s="87">
        <v>0</v>
      </c>
      <c r="R327" s="87">
        <v>211800.44886590383</v>
      </c>
      <c r="S327" s="87">
        <v>8891</v>
      </c>
      <c r="T327" s="87">
        <v>0</v>
      </c>
      <c r="U327" s="87">
        <v>0</v>
      </c>
      <c r="V327" s="87">
        <v>0</v>
      </c>
      <c r="W327" s="87">
        <v>0</v>
      </c>
      <c r="X327" s="87">
        <v>8891</v>
      </c>
      <c r="Y327" s="87">
        <v>0</v>
      </c>
      <c r="Z327" s="87">
        <v>220691.44886590383</v>
      </c>
      <c r="AA327" s="87">
        <v>69028.350000000006</v>
      </c>
      <c r="AB327" s="87">
        <v>22779.355499999998</v>
      </c>
      <c r="AC327" s="87">
        <v>0</v>
      </c>
      <c r="AD327" s="87">
        <v>151663.09886590383</v>
      </c>
      <c r="AE327" s="87">
        <v>50048.822625748253</v>
      </c>
      <c r="AF327">
        <v>50048.822625748253</v>
      </c>
      <c r="AG327" s="87"/>
    </row>
    <row r="328" spans="1:33">
      <c r="A328" s="53" t="s">
        <v>993</v>
      </c>
      <c r="B328" t="s">
        <v>286</v>
      </c>
      <c r="C328" t="s">
        <v>209</v>
      </c>
      <c r="E328" t="s">
        <v>287</v>
      </c>
      <c r="F328" t="s">
        <v>209</v>
      </c>
      <c r="G328" t="s">
        <v>210</v>
      </c>
      <c r="H328" t="s">
        <v>994</v>
      </c>
      <c r="I328" t="s">
        <v>3</v>
      </c>
      <c r="J328" t="s">
        <v>3</v>
      </c>
      <c r="K328" s="87">
        <v>-1061863.976082922</v>
      </c>
      <c r="L328" s="87">
        <v>1246183.2951129652</v>
      </c>
      <c r="M328" s="87">
        <v>154729.08236623832</v>
      </c>
      <c r="N328" s="87">
        <v>1091454.2127467268</v>
      </c>
      <c r="O328" s="87">
        <v>210661.16527397159</v>
      </c>
      <c r="P328" s="87">
        <v>184319.31999999995</v>
      </c>
      <c r="Q328" s="87">
        <v>154729.08333619498</v>
      </c>
      <c r="R328" s="87">
        <v>55932.081937776617</v>
      </c>
      <c r="S328" s="87">
        <v>12646</v>
      </c>
      <c r="T328" s="87">
        <v>0</v>
      </c>
      <c r="U328" s="87">
        <v>0</v>
      </c>
      <c r="V328" s="87">
        <v>0</v>
      </c>
      <c r="W328" s="87">
        <v>0</v>
      </c>
      <c r="X328" s="87">
        <v>12646</v>
      </c>
      <c r="Y328" s="87">
        <v>0</v>
      </c>
      <c r="Z328" s="87">
        <v>68578.081937776617</v>
      </c>
      <c r="AA328" s="87">
        <v>10555.06</v>
      </c>
      <c r="AB328" s="87">
        <v>3483.1697999999992</v>
      </c>
      <c r="AC328" s="87">
        <v>0</v>
      </c>
      <c r="AD328" s="87">
        <v>58023.021937776619</v>
      </c>
      <c r="AE328" s="87">
        <v>19147.597239466282</v>
      </c>
      <c r="AF328">
        <v>19147.597239466282</v>
      </c>
      <c r="AG328" s="87"/>
    </row>
    <row r="329" spans="1:33">
      <c r="A329" s="53" t="s">
        <v>995</v>
      </c>
      <c r="B329" t="s">
        <v>214</v>
      </c>
      <c r="C329" t="s">
        <v>209</v>
      </c>
      <c r="E329" t="s">
        <v>209</v>
      </c>
      <c r="F329" t="s">
        <v>209</v>
      </c>
      <c r="G329" t="s">
        <v>210</v>
      </c>
      <c r="H329" t="s">
        <v>996</v>
      </c>
      <c r="I329" t="s">
        <v>6</v>
      </c>
      <c r="J329" t="s">
        <v>263</v>
      </c>
      <c r="K329" s="87">
        <v>828154.69270912022</v>
      </c>
      <c r="L329" s="87">
        <v>0</v>
      </c>
      <c r="M329" s="87">
        <v>0</v>
      </c>
      <c r="N329" s="87">
        <v>0</v>
      </c>
      <c r="O329" s="87">
        <v>8671117.4921423364</v>
      </c>
      <c r="P329" s="87">
        <v>0</v>
      </c>
      <c r="Q329" s="87">
        <v>0</v>
      </c>
      <c r="R329" s="87">
        <v>8671117.4921423364</v>
      </c>
      <c r="S329" s="87">
        <v>234196</v>
      </c>
      <c r="T329" s="87">
        <v>0</v>
      </c>
      <c r="U329" s="87">
        <v>0</v>
      </c>
      <c r="V329" s="87">
        <v>0</v>
      </c>
      <c r="W329" s="87">
        <v>2332684.3482964206</v>
      </c>
      <c r="X329" s="87">
        <v>2566880.3482964206</v>
      </c>
      <c r="Y329" s="87">
        <v>0</v>
      </c>
      <c r="Z329" s="87">
        <v>11237997.840438757</v>
      </c>
      <c r="AA329" s="87">
        <v>4255895.2</v>
      </c>
      <c r="AB329" s="87">
        <v>1404445.416</v>
      </c>
      <c r="AC329" s="87">
        <v>0</v>
      </c>
      <c r="AD329" s="87">
        <v>6982102.6404387569</v>
      </c>
      <c r="AE329" s="87">
        <v>2304093.8713447899</v>
      </c>
      <c r="AF329">
        <v>2304093.8713447899</v>
      </c>
      <c r="AG329" s="87"/>
    </row>
    <row r="330" spans="1:33">
      <c r="A330" s="53" t="s">
        <v>997</v>
      </c>
      <c r="B330" t="s">
        <v>214</v>
      </c>
      <c r="C330" t="s">
        <v>149</v>
      </c>
      <c r="E330" t="s">
        <v>209</v>
      </c>
      <c r="F330" t="s">
        <v>209</v>
      </c>
      <c r="G330" t="s">
        <v>210</v>
      </c>
      <c r="H330" t="s">
        <v>998</v>
      </c>
      <c r="I330" t="s">
        <v>12</v>
      </c>
      <c r="J330" t="s">
        <v>999</v>
      </c>
      <c r="K330" s="87">
        <v>381957.9058367745</v>
      </c>
      <c r="L330" s="87">
        <v>0</v>
      </c>
      <c r="M330" s="87">
        <v>0</v>
      </c>
      <c r="N330" s="87">
        <v>0</v>
      </c>
      <c r="O330" s="87">
        <v>840880.00795706874</v>
      </c>
      <c r="P330" s="87">
        <v>0</v>
      </c>
      <c r="Q330" s="87">
        <v>0</v>
      </c>
      <c r="R330" s="87">
        <v>840880.00795706874</v>
      </c>
      <c r="S330" s="87">
        <v>0</v>
      </c>
      <c r="T330" s="87">
        <v>0</v>
      </c>
      <c r="U330" s="87">
        <v>0</v>
      </c>
      <c r="V330" s="87">
        <v>0</v>
      </c>
      <c r="W330" s="87">
        <v>0</v>
      </c>
      <c r="X330" s="87">
        <v>0</v>
      </c>
      <c r="Y330" s="87">
        <v>0</v>
      </c>
      <c r="Z330" s="87">
        <v>840880.00795706874</v>
      </c>
      <c r="AA330" s="87">
        <v>287643.69</v>
      </c>
      <c r="AB330" s="87">
        <v>94922.417699999991</v>
      </c>
      <c r="AC330" s="87">
        <v>0</v>
      </c>
      <c r="AD330" s="87">
        <v>553236.31795706879</v>
      </c>
      <c r="AE330" s="87">
        <v>182567.98492583266</v>
      </c>
      <c r="AF330">
        <v>182567.98492583266</v>
      </c>
      <c r="AG330" s="87"/>
    </row>
    <row r="331" spans="1:33">
      <c r="A331" s="53" t="s">
        <v>1000</v>
      </c>
      <c r="B331" t="s">
        <v>214</v>
      </c>
      <c r="C331" t="s">
        <v>209</v>
      </c>
      <c r="E331" t="s">
        <v>209</v>
      </c>
      <c r="F331" t="s">
        <v>209</v>
      </c>
      <c r="G331" t="s">
        <v>210</v>
      </c>
      <c r="H331" t="s">
        <v>1001</v>
      </c>
      <c r="I331" t="s">
        <v>14</v>
      </c>
      <c r="J331" t="s">
        <v>14</v>
      </c>
      <c r="K331" s="87">
        <v>-986253.89830735826</v>
      </c>
      <c r="L331" s="87">
        <v>0</v>
      </c>
      <c r="M331" s="87">
        <v>0</v>
      </c>
      <c r="N331" s="87">
        <v>0</v>
      </c>
      <c r="O331" s="87">
        <v>9280306.1994588282</v>
      </c>
      <c r="P331" s="87">
        <v>0</v>
      </c>
      <c r="Q331" s="87">
        <v>0</v>
      </c>
      <c r="R331" s="87">
        <v>9280306.1994588282</v>
      </c>
      <c r="S331" s="87">
        <v>0</v>
      </c>
      <c r="T331" s="87">
        <v>0</v>
      </c>
      <c r="U331" s="87">
        <v>0</v>
      </c>
      <c r="V331" s="87">
        <v>0</v>
      </c>
      <c r="W331" s="87">
        <v>2793064</v>
      </c>
      <c r="X331" s="87">
        <v>2793064</v>
      </c>
      <c r="Y331" s="87">
        <v>0</v>
      </c>
      <c r="Z331" s="87">
        <v>12073370.199458828</v>
      </c>
      <c r="AA331" s="87">
        <v>5185774.76</v>
      </c>
      <c r="AB331" s="87">
        <v>1711305.6707999997</v>
      </c>
      <c r="AC331" s="87">
        <v>0</v>
      </c>
      <c r="AD331" s="87">
        <v>6887595.4394588284</v>
      </c>
      <c r="AE331" s="87">
        <v>2272906.4950214131</v>
      </c>
      <c r="AF331">
        <v>2272906.4950214131</v>
      </c>
      <c r="AG331" s="87"/>
    </row>
    <row r="332" spans="1:33">
      <c r="A332" s="53" t="s">
        <v>1002</v>
      </c>
      <c r="B332" t="s">
        <v>214</v>
      </c>
      <c r="C332" t="s">
        <v>149</v>
      </c>
      <c r="E332" t="s">
        <v>209</v>
      </c>
      <c r="F332" t="s">
        <v>209</v>
      </c>
      <c r="G332" t="s">
        <v>210</v>
      </c>
      <c r="H332" t="s">
        <v>1003</v>
      </c>
      <c r="I332" t="s">
        <v>15</v>
      </c>
      <c r="J332" t="s">
        <v>347</v>
      </c>
      <c r="K332" s="87">
        <v>44215.891657728818</v>
      </c>
      <c r="L332" s="87">
        <v>7200361.5104553448</v>
      </c>
      <c r="M332" s="87">
        <v>3402576.2019264512</v>
      </c>
      <c r="N332" s="87">
        <v>3797785.3085288936</v>
      </c>
      <c r="O332" s="87">
        <v>6921098.0953210881</v>
      </c>
      <c r="P332" s="87">
        <v>1012106.9</v>
      </c>
      <c r="Q332" s="87">
        <v>0</v>
      </c>
      <c r="R332" s="87">
        <v>6921098.0953210881</v>
      </c>
      <c r="S332" s="87">
        <v>1195297.8</v>
      </c>
      <c r="T332" s="87">
        <v>0</v>
      </c>
      <c r="U332" s="87">
        <v>0</v>
      </c>
      <c r="V332" s="87">
        <v>0</v>
      </c>
      <c r="W332" s="87">
        <v>0</v>
      </c>
      <c r="X332" s="87">
        <v>1195297.8</v>
      </c>
      <c r="Y332" s="87">
        <v>0</v>
      </c>
      <c r="Z332" s="87">
        <v>8116395.8953210879</v>
      </c>
      <c r="AA332" s="87">
        <v>3468921.88</v>
      </c>
      <c r="AB332" s="87">
        <v>1144744.2203999998</v>
      </c>
      <c r="AC332" s="87">
        <v>0</v>
      </c>
      <c r="AD332" s="87">
        <v>4647474.015321088</v>
      </c>
      <c r="AE332" s="87">
        <v>1533666.425055959</v>
      </c>
      <c r="AF332">
        <v>1533666.425055959</v>
      </c>
      <c r="AG332" s="87"/>
    </row>
    <row r="333" spans="1:33">
      <c r="A333" s="53" t="s">
        <v>1004</v>
      </c>
      <c r="B333" t="s">
        <v>214</v>
      </c>
      <c r="C333" t="s">
        <v>209</v>
      </c>
      <c r="E333" t="s">
        <v>209</v>
      </c>
      <c r="F333" t="s">
        <v>209</v>
      </c>
      <c r="G333" t="s">
        <v>210</v>
      </c>
      <c r="H333" t="s">
        <v>1005</v>
      </c>
      <c r="I333" t="s">
        <v>4</v>
      </c>
      <c r="J333" t="s">
        <v>4</v>
      </c>
      <c r="K333" s="87">
        <v>-2645319.0212973547</v>
      </c>
      <c r="L333" s="87">
        <v>15444587.657052055</v>
      </c>
      <c r="M333" s="87">
        <v>8697062.2770752683</v>
      </c>
      <c r="N333" s="87">
        <v>6747525.3799767867</v>
      </c>
      <c r="O333" s="87">
        <v>13614739.404781928</v>
      </c>
      <c r="P333" s="87">
        <v>2747966.07</v>
      </c>
      <c r="Q333" s="87">
        <v>0</v>
      </c>
      <c r="R333" s="87">
        <v>13614739.404781928</v>
      </c>
      <c r="S333" s="87">
        <v>0</v>
      </c>
      <c r="T333" s="87">
        <v>0</v>
      </c>
      <c r="U333" s="87">
        <v>0</v>
      </c>
      <c r="V333" s="87">
        <v>0</v>
      </c>
      <c r="W333" s="87">
        <v>0</v>
      </c>
      <c r="X333" s="87">
        <v>0</v>
      </c>
      <c r="Y333" s="87">
        <v>0</v>
      </c>
      <c r="Z333" s="87">
        <v>13614739.404781928</v>
      </c>
      <c r="AA333" s="87">
        <v>5069997.38</v>
      </c>
      <c r="AB333" s="87">
        <v>1673099.1353999998</v>
      </c>
      <c r="AC333" s="87">
        <v>0</v>
      </c>
      <c r="AD333" s="87">
        <v>8544742.0247819275</v>
      </c>
      <c r="AE333" s="87">
        <v>2819764.8681780361</v>
      </c>
      <c r="AF333">
        <v>2819764.8681780361</v>
      </c>
      <c r="AG333" s="87"/>
    </row>
    <row r="334" spans="1:33">
      <c r="A334" s="53" t="s">
        <v>1006</v>
      </c>
      <c r="B334" t="s">
        <v>214</v>
      </c>
      <c r="C334" t="s">
        <v>209</v>
      </c>
      <c r="E334" t="s">
        <v>209</v>
      </c>
      <c r="F334" t="s">
        <v>227</v>
      </c>
      <c r="G334" t="s">
        <v>210</v>
      </c>
      <c r="H334" t="s">
        <v>1007</v>
      </c>
      <c r="I334" t="s">
        <v>4</v>
      </c>
      <c r="J334" t="s">
        <v>260</v>
      </c>
      <c r="K334" s="87">
        <v>5337293.9426951343</v>
      </c>
      <c r="L334" s="87">
        <v>4524196.357883825</v>
      </c>
      <c r="M334" s="87">
        <v>2219555.8073701379</v>
      </c>
      <c r="N334" s="87">
        <v>2304640.5505136871</v>
      </c>
      <c r="O334" s="87">
        <v>2601195.0201848578</v>
      </c>
      <c r="P334" s="87">
        <v>2733055.23</v>
      </c>
      <c r="Q334" s="87">
        <v>0</v>
      </c>
      <c r="R334" s="87">
        <v>2601195.0201848578</v>
      </c>
      <c r="S334" s="87">
        <v>174023</v>
      </c>
      <c r="T334" s="87">
        <v>0</v>
      </c>
      <c r="U334" s="87">
        <v>92334</v>
      </c>
      <c r="V334" s="87">
        <v>0</v>
      </c>
      <c r="W334" s="87">
        <v>1350567.8249414626</v>
      </c>
      <c r="X334" s="87">
        <v>1616924.8249414626</v>
      </c>
      <c r="Y334" s="87">
        <v>0</v>
      </c>
      <c r="Z334" s="87">
        <v>4218119.8451263206</v>
      </c>
      <c r="AA334" s="87">
        <v>0</v>
      </c>
      <c r="AB334" s="87">
        <v>0</v>
      </c>
      <c r="AC334" s="87">
        <v>0</v>
      </c>
      <c r="AD334" s="87">
        <v>4218119.8451263206</v>
      </c>
      <c r="AE334" s="87">
        <v>1391979.5488916857</v>
      </c>
      <c r="AF334">
        <v>1391979.5488916857</v>
      </c>
      <c r="AG334" s="87"/>
    </row>
    <row r="335" spans="1:33">
      <c r="A335" s="53" t="s">
        <v>1008</v>
      </c>
      <c r="B335" t="s">
        <v>286</v>
      </c>
      <c r="C335" t="s">
        <v>209</v>
      </c>
      <c r="E335" t="s">
        <v>287</v>
      </c>
      <c r="F335" t="s">
        <v>209</v>
      </c>
      <c r="G335" t="s">
        <v>210</v>
      </c>
      <c r="H335" t="s">
        <v>1009</v>
      </c>
      <c r="I335" t="s">
        <v>6</v>
      </c>
      <c r="J335" t="s">
        <v>6</v>
      </c>
      <c r="K335" s="87">
        <v>346223.38833225024</v>
      </c>
      <c r="L335" s="87">
        <v>2643394.1128257657</v>
      </c>
      <c r="M335" s="87">
        <v>80296.061211751818</v>
      </c>
      <c r="N335" s="87">
        <v>2563098.051614014</v>
      </c>
      <c r="O335" s="87">
        <v>102222.96909678947</v>
      </c>
      <c r="P335" s="87">
        <v>2659342.0099999998</v>
      </c>
      <c r="Q335" s="87">
        <v>0</v>
      </c>
      <c r="R335" s="87">
        <v>102222.96909678947</v>
      </c>
      <c r="S335" s="87">
        <v>0</v>
      </c>
      <c r="T335" s="87">
        <v>0</v>
      </c>
      <c r="U335" s="87">
        <v>0</v>
      </c>
      <c r="V335" s="87">
        <v>0</v>
      </c>
      <c r="W335" s="87">
        <v>0</v>
      </c>
      <c r="X335" s="87">
        <v>0</v>
      </c>
      <c r="Y335" s="87">
        <v>0</v>
      </c>
      <c r="Z335" s="87">
        <v>102222.96909678947</v>
      </c>
      <c r="AA335" s="87">
        <v>0</v>
      </c>
      <c r="AB335" s="87">
        <v>0</v>
      </c>
      <c r="AC335" s="87">
        <v>0</v>
      </c>
      <c r="AD335" s="87">
        <v>102222.96909678947</v>
      </c>
      <c r="AE335" s="87">
        <v>33733.579801940519</v>
      </c>
      <c r="AF335">
        <v>33733.579801940519</v>
      </c>
      <c r="AG335" s="87"/>
    </row>
    <row r="336" spans="1:33">
      <c r="A336" s="53" t="s">
        <v>1010</v>
      </c>
      <c r="B336" t="s">
        <v>208</v>
      </c>
      <c r="C336" t="s">
        <v>149</v>
      </c>
      <c r="E336" t="s">
        <v>209</v>
      </c>
      <c r="F336" t="s">
        <v>209</v>
      </c>
      <c r="G336" t="s">
        <v>210</v>
      </c>
      <c r="H336" t="s">
        <v>1011</v>
      </c>
      <c r="I336" t="s">
        <v>12</v>
      </c>
      <c r="J336" t="s">
        <v>1012</v>
      </c>
      <c r="K336" s="87">
        <v>471951.90014085115</v>
      </c>
      <c r="L336" s="87">
        <v>0</v>
      </c>
      <c r="M336" s="87">
        <v>0</v>
      </c>
      <c r="N336" s="87">
        <v>0</v>
      </c>
      <c r="O336" s="87">
        <v>182492.76365178879</v>
      </c>
      <c r="P336" s="87">
        <v>0</v>
      </c>
      <c r="Q336" s="87">
        <v>0</v>
      </c>
      <c r="R336" s="87">
        <v>182492.76365178879</v>
      </c>
      <c r="S336" s="87">
        <v>0</v>
      </c>
      <c r="T336" s="87">
        <v>0</v>
      </c>
      <c r="U336" s="87">
        <v>0</v>
      </c>
      <c r="V336" s="87">
        <v>0</v>
      </c>
      <c r="W336" s="87">
        <v>0</v>
      </c>
      <c r="X336" s="87">
        <v>0</v>
      </c>
      <c r="Y336" s="87">
        <v>0</v>
      </c>
      <c r="Z336" s="87">
        <v>182492.76365178879</v>
      </c>
      <c r="AA336" s="87">
        <v>63771.59</v>
      </c>
      <c r="AB336" s="87">
        <v>21044.624699999997</v>
      </c>
      <c r="AC336" s="87">
        <v>0</v>
      </c>
      <c r="AD336" s="87">
        <v>118721.17365178879</v>
      </c>
      <c r="AE336" s="87">
        <v>39177.987305090297</v>
      </c>
      <c r="AF336">
        <v>39177.987305090297</v>
      </c>
      <c r="AG336" s="87"/>
    </row>
    <row r="337" spans="1:33">
      <c r="A337" s="53" t="s">
        <v>1013</v>
      </c>
      <c r="B337" t="s">
        <v>214</v>
      </c>
      <c r="C337" t="s">
        <v>149</v>
      </c>
      <c r="E337" t="s">
        <v>209</v>
      </c>
      <c r="F337" t="s">
        <v>209</v>
      </c>
      <c r="G337" t="s">
        <v>210</v>
      </c>
      <c r="H337" t="s">
        <v>1014</v>
      </c>
      <c r="I337" t="s">
        <v>11</v>
      </c>
      <c r="J337" t="s">
        <v>1015</v>
      </c>
      <c r="K337" s="87">
        <v>-274048.81093578186</v>
      </c>
      <c r="L337" s="87">
        <v>6871173.462396102</v>
      </c>
      <c r="M337" s="87">
        <v>4467749.4914741246</v>
      </c>
      <c r="N337" s="87">
        <v>2403423.9709219774</v>
      </c>
      <c r="O337" s="87">
        <v>7910469.9219684098</v>
      </c>
      <c r="P337" s="87">
        <v>1463822.37</v>
      </c>
      <c r="Q337" s="87">
        <v>0</v>
      </c>
      <c r="R337" s="87">
        <v>7910469.9219684098</v>
      </c>
      <c r="S337" s="87">
        <v>1071716</v>
      </c>
      <c r="T337" s="87">
        <v>0</v>
      </c>
      <c r="U337" s="87">
        <v>1741780.9960912841</v>
      </c>
      <c r="V337" s="87">
        <v>0</v>
      </c>
      <c r="W337" s="87">
        <v>789245</v>
      </c>
      <c r="X337" s="87">
        <v>3602741.9960912839</v>
      </c>
      <c r="Y337" s="87">
        <v>0</v>
      </c>
      <c r="Z337" s="87">
        <v>11513211.918059694</v>
      </c>
      <c r="AA337" s="87">
        <v>5341885.87</v>
      </c>
      <c r="AB337" s="87">
        <v>1762822.3370999999</v>
      </c>
      <c r="AC337" s="87">
        <v>0</v>
      </c>
      <c r="AD337" s="87">
        <v>6171326.0480596935</v>
      </c>
      <c r="AE337" s="87">
        <v>2036537.5958596987</v>
      </c>
      <c r="AF337">
        <v>2036537.5958596987</v>
      </c>
      <c r="AG337" s="87"/>
    </row>
    <row r="338" spans="1:33">
      <c r="A338" s="53" t="s">
        <v>1016</v>
      </c>
      <c r="B338" t="s">
        <v>214</v>
      </c>
      <c r="C338" t="s">
        <v>209</v>
      </c>
      <c r="E338" t="s">
        <v>209</v>
      </c>
      <c r="F338" t="s">
        <v>209</v>
      </c>
      <c r="G338" t="s">
        <v>210</v>
      </c>
      <c r="H338" t="s">
        <v>1017</v>
      </c>
      <c r="I338" t="s">
        <v>5</v>
      </c>
      <c r="J338" t="s">
        <v>5</v>
      </c>
      <c r="K338" s="87">
        <v>2063397.540381352</v>
      </c>
      <c r="L338" s="87">
        <v>6597661.5075877635</v>
      </c>
      <c r="M338" s="87">
        <v>4830762.8593560653</v>
      </c>
      <c r="N338" s="87">
        <v>1766898.6482316982</v>
      </c>
      <c r="O338" s="87">
        <v>6567833.6575254267</v>
      </c>
      <c r="P338" s="87">
        <v>0</v>
      </c>
      <c r="Q338" s="87">
        <v>0</v>
      </c>
      <c r="R338" s="87">
        <v>6567833.6575254267</v>
      </c>
      <c r="S338" s="87">
        <v>364166</v>
      </c>
      <c r="T338" s="87">
        <v>0</v>
      </c>
      <c r="U338" s="87">
        <v>0</v>
      </c>
      <c r="V338" s="87">
        <v>0</v>
      </c>
      <c r="W338" s="87">
        <v>279774.31483596779</v>
      </c>
      <c r="X338" s="87">
        <v>643940.31483596773</v>
      </c>
      <c r="Y338" s="87">
        <v>0</v>
      </c>
      <c r="Z338" s="87">
        <v>7211773.9723613942</v>
      </c>
      <c r="AA338" s="87">
        <v>3014858.55</v>
      </c>
      <c r="AB338" s="87">
        <v>994903.32149999985</v>
      </c>
      <c r="AC338" s="87">
        <v>0</v>
      </c>
      <c r="AD338" s="87">
        <v>4196915.4223613944</v>
      </c>
      <c r="AE338" s="87">
        <v>1384982.0893792601</v>
      </c>
      <c r="AF338">
        <v>1384982.0893792601</v>
      </c>
      <c r="AG338" s="87"/>
    </row>
    <row r="339" spans="1:33">
      <c r="A339" s="53" t="s">
        <v>1018</v>
      </c>
      <c r="B339" t="s">
        <v>286</v>
      </c>
      <c r="C339" t="s">
        <v>209</v>
      </c>
      <c r="E339" t="s">
        <v>287</v>
      </c>
      <c r="F339" t="s">
        <v>209</v>
      </c>
      <c r="G339" t="s">
        <v>210</v>
      </c>
      <c r="H339" t="s">
        <v>1019</v>
      </c>
      <c r="I339" t="s">
        <v>7</v>
      </c>
      <c r="J339" t="s">
        <v>237</v>
      </c>
      <c r="K339" s="87">
        <v>3279.6602619646546</v>
      </c>
      <c r="L339" s="87">
        <v>541794.99175424001</v>
      </c>
      <c r="M339" s="87">
        <v>250985.23899904001</v>
      </c>
      <c r="N339" s="87">
        <v>290809.75275520002</v>
      </c>
      <c r="O339" s="87">
        <v>286840.57411072002</v>
      </c>
      <c r="P339" s="87">
        <v>1431010.42</v>
      </c>
      <c r="Q339" s="87">
        <v>1136921.0069828352</v>
      </c>
      <c r="R339" s="87">
        <v>0</v>
      </c>
      <c r="S339" s="87">
        <v>0</v>
      </c>
      <c r="T339" s="87">
        <v>0</v>
      </c>
      <c r="U339" s="87">
        <v>0</v>
      </c>
      <c r="V339" s="87">
        <v>0</v>
      </c>
      <c r="W339" s="87">
        <v>0</v>
      </c>
      <c r="X339" s="87">
        <v>0</v>
      </c>
      <c r="Y339" s="87">
        <v>0</v>
      </c>
      <c r="Z339" s="87">
        <v>0</v>
      </c>
      <c r="AA339" s="87">
        <v>0</v>
      </c>
      <c r="AB339" s="87">
        <v>0</v>
      </c>
      <c r="AC339" s="87">
        <v>0</v>
      </c>
      <c r="AD339" s="87">
        <v>0</v>
      </c>
      <c r="AE339" s="87">
        <v>0</v>
      </c>
      <c r="AF339">
        <v>0</v>
      </c>
      <c r="AG339" s="87"/>
    </row>
    <row r="340" spans="1:33">
      <c r="A340" s="53" t="s">
        <v>1020</v>
      </c>
      <c r="B340" t="s">
        <v>208</v>
      </c>
      <c r="C340" t="s">
        <v>149</v>
      </c>
      <c r="E340" t="s">
        <v>209</v>
      </c>
      <c r="F340" t="s">
        <v>209</v>
      </c>
      <c r="G340" t="s">
        <v>210</v>
      </c>
      <c r="H340" t="s">
        <v>1021</v>
      </c>
      <c r="I340" t="s">
        <v>10</v>
      </c>
      <c r="J340" t="s">
        <v>1022</v>
      </c>
      <c r="K340" s="87">
        <v>240952.3288637696</v>
      </c>
      <c r="L340" s="87">
        <v>1359557.1344252722</v>
      </c>
      <c r="M340" s="87">
        <v>0</v>
      </c>
      <c r="N340" s="87">
        <v>1359557.1344252722</v>
      </c>
      <c r="O340" s="87">
        <v>1334313.6759667455</v>
      </c>
      <c r="P340" s="87">
        <v>0</v>
      </c>
      <c r="Q340" s="87">
        <v>0</v>
      </c>
      <c r="R340" s="87">
        <v>1334313.6759667455</v>
      </c>
      <c r="S340" s="87">
        <v>0</v>
      </c>
      <c r="T340" s="87">
        <v>0</v>
      </c>
      <c r="U340" s="87">
        <v>0</v>
      </c>
      <c r="V340" s="87">
        <v>0</v>
      </c>
      <c r="W340" s="87">
        <v>0</v>
      </c>
      <c r="X340" s="87">
        <v>0</v>
      </c>
      <c r="Y340" s="87">
        <v>0</v>
      </c>
      <c r="Z340" s="87">
        <v>1334313.6759667455</v>
      </c>
      <c r="AA340" s="87">
        <v>511695.47</v>
      </c>
      <c r="AB340" s="87">
        <v>168859.50509999998</v>
      </c>
      <c r="AC340" s="87">
        <v>0</v>
      </c>
      <c r="AD340" s="87">
        <v>822618.2059667455</v>
      </c>
      <c r="AE340" s="87">
        <v>271464.00796902599</v>
      </c>
      <c r="AF340">
        <v>271464.00796902599</v>
      </c>
      <c r="AG340" s="87"/>
    </row>
    <row r="341" spans="1:33">
      <c r="A341" s="53" t="s">
        <v>1023</v>
      </c>
      <c r="B341" t="s">
        <v>214</v>
      </c>
      <c r="C341" t="s">
        <v>209</v>
      </c>
      <c r="E341" t="s">
        <v>209</v>
      </c>
      <c r="F341" t="s">
        <v>209</v>
      </c>
      <c r="G341" t="s">
        <v>210</v>
      </c>
      <c r="H341" t="s">
        <v>1024</v>
      </c>
      <c r="I341" t="s">
        <v>6</v>
      </c>
      <c r="J341" t="s">
        <v>223</v>
      </c>
      <c r="K341" s="87">
        <v>5846109.8317766134</v>
      </c>
      <c r="L341" s="87">
        <v>0</v>
      </c>
      <c r="M341" s="87">
        <v>0</v>
      </c>
      <c r="N341" s="87">
        <v>0</v>
      </c>
      <c r="O341" s="87">
        <v>18385860.532062642</v>
      </c>
      <c r="P341" s="87">
        <v>0</v>
      </c>
      <c r="Q341" s="87">
        <v>0</v>
      </c>
      <c r="R341" s="87">
        <v>18385860.532062642</v>
      </c>
      <c r="S341" s="87">
        <v>0</v>
      </c>
      <c r="T341" s="87">
        <v>0</v>
      </c>
      <c r="U341" s="87">
        <v>0</v>
      </c>
      <c r="V341" s="87">
        <v>0</v>
      </c>
      <c r="W341" s="87">
        <v>2885527</v>
      </c>
      <c r="X341" s="87">
        <v>2885527</v>
      </c>
      <c r="Y341" s="87">
        <v>0</v>
      </c>
      <c r="Z341" s="87">
        <v>21271387.532062642</v>
      </c>
      <c r="AA341" s="87">
        <v>7686210.9800000004</v>
      </c>
      <c r="AB341" s="87">
        <v>2536449.6233999999</v>
      </c>
      <c r="AC341" s="87">
        <v>0</v>
      </c>
      <c r="AD341" s="87">
        <v>13585176.552062642</v>
      </c>
      <c r="AE341" s="87">
        <v>4483108.2621806711</v>
      </c>
      <c r="AF341">
        <v>4483108.2621806711</v>
      </c>
      <c r="AG341" s="87"/>
    </row>
    <row r="342" spans="1:33">
      <c r="A342" s="53" t="s">
        <v>1025</v>
      </c>
      <c r="B342" t="s">
        <v>214</v>
      </c>
      <c r="C342" t="s">
        <v>209</v>
      </c>
      <c r="E342" t="s">
        <v>209</v>
      </c>
      <c r="F342" t="s">
        <v>209</v>
      </c>
      <c r="G342" t="s">
        <v>210</v>
      </c>
      <c r="H342" t="s">
        <v>1026</v>
      </c>
      <c r="I342" t="s">
        <v>6</v>
      </c>
      <c r="J342" t="s">
        <v>6</v>
      </c>
      <c r="K342" s="87">
        <v>-604486.28850150912</v>
      </c>
      <c r="L342" s="87">
        <v>17013297.369321253</v>
      </c>
      <c r="M342" s="87">
        <v>12558533.054131465</v>
      </c>
      <c r="N342" s="87">
        <v>4454764.3151897881</v>
      </c>
      <c r="O342" s="87">
        <v>18506186.468533758</v>
      </c>
      <c r="P342" s="87">
        <v>0</v>
      </c>
      <c r="Q342" s="87">
        <v>0</v>
      </c>
      <c r="R342" s="87">
        <v>18506186.468533758</v>
      </c>
      <c r="S342" s="87">
        <v>753036</v>
      </c>
      <c r="T342" s="87">
        <v>0</v>
      </c>
      <c r="U342" s="87">
        <v>0</v>
      </c>
      <c r="V342" s="87">
        <v>0</v>
      </c>
      <c r="W342" s="87">
        <v>2542295.8143891767</v>
      </c>
      <c r="X342" s="87">
        <v>3295331.8143891767</v>
      </c>
      <c r="Y342" s="87">
        <v>0</v>
      </c>
      <c r="Z342" s="87">
        <v>21801518.282922935</v>
      </c>
      <c r="AA342" s="87">
        <v>12674542.57</v>
      </c>
      <c r="AB342" s="87">
        <v>4182599.0480999998</v>
      </c>
      <c r="AC342" s="87">
        <v>0</v>
      </c>
      <c r="AD342" s="87">
        <v>9126975.7129229344</v>
      </c>
      <c r="AE342" s="87">
        <v>3011901.9852645681</v>
      </c>
      <c r="AF342">
        <v>3011901.9852645681</v>
      </c>
      <c r="AG342" s="87"/>
    </row>
    <row r="343" spans="1:33">
      <c r="A343" s="53" t="s">
        <v>1027</v>
      </c>
      <c r="B343" t="s">
        <v>214</v>
      </c>
      <c r="C343" t="s">
        <v>209</v>
      </c>
      <c r="E343" t="s">
        <v>209</v>
      </c>
      <c r="F343" t="s">
        <v>209</v>
      </c>
      <c r="G343" t="s">
        <v>210</v>
      </c>
      <c r="H343" t="s">
        <v>1028</v>
      </c>
      <c r="I343" t="s">
        <v>6</v>
      </c>
      <c r="J343" t="s">
        <v>6</v>
      </c>
      <c r="K343" s="87">
        <v>2677482.1630915911</v>
      </c>
      <c r="L343" s="87">
        <v>0</v>
      </c>
      <c r="M343" s="87">
        <v>0</v>
      </c>
      <c r="N343" s="87">
        <v>0</v>
      </c>
      <c r="O343" s="87">
        <v>4488307.7458452694</v>
      </c>
      <c r="P343" s="87">
        <v>0</v>
      </c>
      <c r="Q343" s="87">
        <v>0</v>
      </c>
      <c r="R343" s="87">
        <v>4488307.7458452694</v>
      </c>
      <c r="S343" s="87">
        <v>0</v>
      </c>
      <c r="T343" s="87">
        <v>0</v>
      </c>
      <c r="U343" s="87">
        <v>0</v>
      </c>
      <c r="V343" s="87">
        <v>0</v>
      </c>
      <c r="W343" s="87">
        <v>1441710.1162981794</v>
      </c>
      <c r="X343" s="87">
        <v>1441710.1162981794</v>
      </c>
      <c r="Y343" s="87">
        <v>0</v>
      </c>
      <c r="Z343" s="87">
        <v>5930017.8621434486</v>
      </c>
      <c r="AA343" s="87">
        <v>2479091.15</v>
      </c>
      <c r="AB343" s="87">
        <v>818100.07949999988</v>
      </c>
      <c r="AC343" s="87">
        <v>0</v>
      </c>
      <c r="AD343" s="87">
        <v>3450926.7121434486</v>
      </c>
      <c r="AE343" s="87">
        <v>1138805.8150073378</v>
      </c>
      <c r="AF343">
        <v>1138805.8150073378</v>
      </c>
      <c r="AG343" s="87"/>
    </row>
    <row r="344" spans="1:33">
      <c r="A344" s="53" t="s">
        <v>1029</v>
      </c>
      <c r="B344" t="s">
        <v>214</v>
      </c>
      <c r="C344" t="s">
        <v>149</v>
      </c>
      <c r="E344" t="s">
        <v>209</v>
      </c>
      <c r="F344" t="s">
        <v>209</v>
      </c>
      <c r="G344" t="s">
        <v>210</v>
      </c>
      <c r="H344" t="s">
        <v>1030</v>
      </c>
      <c r="I344" t="s">
        <v>3</v>
      </c>
      <c r="J344" t="s">
        <v>1031</v>
      </c>
      <c r="K344" s="87">
        <v>-1245016.6896577538</v>
      </c>
      <c r="L344" s="87">
        <v>5077708.2316607218</v>
      </c>
      <c r="M344" s="87">
        <v>2444777.4111645697</v>
      </c>
      <c r="N344" s="87">
        <v>2632930.8204961522</v>
      </c>
      <c r="O344" s="87">
        <v>4719089.3441405958</v>
      </c>
      <c r="P344" s="87">
        <v>692584.52</v>
      </c>
      <c r="Q344" s="87">
        <v>0</v>
      </c>
      <c r="R344" s="87">
        <v>4719089.3441405958</v>
      </c>
      <c r="S344" s="87">
        <v>281950</v>
      </c>
      <c r="T344" s="87">
        <v>0</v>
      </c>
      <c r="U344" s="87">
        <v>0</v>
      </c>
      <c r="V344" s="87">
        <v>0</v>
      </c>
      <c r="W344" s="87">
        <v>0</v>
      </c>
      <c r="X344" s="87">
        <v>281950</v>
      </c>
      <c r="Y344" s="87">
        <v>0</v>
      </c>
      <c r="Z344" s="87">
        <v>5001039.3441405958</v>
      </c>
      <c r="AA344" s="87">
        <v>1938984.81</v>
      </c>
      <c r="AB344" s="87">
        <v>639864.98729999992</v>
      </c>
      <c r="AC344" s="87">
        <v>0</v>
      </c>
      <c r="AD344" s="87">
        <v>3062054.5341405957</v>
      </c>
      <c r="AE344" s="87">
        <v>1010477.9962663965</v>
      </c>
      <c r="AF344">
        <v>1010477.9962663965</v>
      </c>
      <c r="AG344" s="87"/>
    </row>
    <row r="345" spans="1:33">
      <c r="A345" s="53" t="s">
        <v>1032</v>
      </c>
      <c r="B345" t="s">
        <v>214</v>
      </c>
      <c r="C345" t="s">
        <v>209</v>
      </c>
      <c r="E345" t="s">
        <v>209</v>
      </c>
      <c r="F345" t="s">
        <v>209</v>
      </c>
      <c r="G345" t="s">
        <v>210</v>
      </c>
      <c r="H345" t="s">
        <v>1033</v>
      </c>
      <c r="I345" t="s">
        <v>14</v>
      </c>
      <c r="J345" t="s">
        <v>1034</v>
      </c>
      <c r="K345" s="87">
        <v>-1163132.9239769327</v>
      </c>
      <c r="L345" s="87">
        <v>0</v>
      </c>
      <c r="M345" s="87">
        <v>0</v>
      </c>
      <c r="N345" s="87">
        <v>0</v>
      </c>
      <c r="O345" s="87">
        <v>8003458.1812132867</v>
      </c>
      <c r="P345" s="87">
        <v>0</v>
      </c>
      <c r="Q345" s="87">
        <v>0</v>
      </c>
      <c r="R345" s="87">
        <v>8003458.1812132867</v>
      </c>
      <c r="S345" s="87">
        <v>181961</v>
      </c>
      <c r="T345" s="87">
        <v>0</v>
      </c>
      <c r="U345" s="87">
        <v>0</v>
      </c>
      <c r="V345" s="87">
        <v>0</v>
      </c>
      <c r="W345" s="87">
        <v>0</v>
      </c>
      <c r="X345" s="87">
        <v>181961</v>
      </c>
      <c r="Y345" s="87">
        <v>0</v>
      </c>
      <c r="Z345" s="87">
        <v>8185419.1812132867</v>
      </c>
      <c r="AA345" s="87">
        <v>3680251.89</v>
      </c>
      <c r="AB345" s="87">
        <v>1214483.1236999999</v>
      </c>
      <c r="AC345" s="87">
        <v>0</v>
      </c>
      <c r="AD345" s="87">
        <v>4505167.291213287</v>
      </c>
      <c r="AE345" s="87">
        <v>1486705.2061003842</v>
      </c>
      <c r="AF345">
        <v>1486705.2061003842</v>
      </c>
      <c r="AG345" s="87"/>
    </row>
    <row r="346" spans="1:33">
      <c r="A346" s="53" t="s">
        <v>1035</v>
      </c>
      <c r="B346" t="s">
        <v>214</v>
      </c>
      <c r="C346" t="s">
        <v>149</v>
      </c>
      <c r="E346" t="s">
        <v>209</v>
      </c>
      <c r="F346" t="s">
        <v>209</v>
      </c>
      <c r="G346" t="s">
        <v>210</v>
      </c>
      <c r="H346" t="s">
        <v>1036</v>
      </c>
      <c r="I346" t="s">
        <v>11</v>
      </c>
      <c r="J346" t="s">
        <v>1037</v>
      </c>
      <c r="K346" s="87">
        <v>-3313473.8823407884</v>
      </c>
      <c r="L346" s="87">
        <v>3176181.3151962818</v>
      </c>
      <c r="M346" s="87">
        <v>2638902.6175961345</v>
      </c>
      <c r="N346" s="87">
        <v>537278.69760014722</v>
      </c>
      <c r="O346" s="87">
        <v>2960731.8912127488</v>
      </c>
      <c r="P346" s="87">
        <v>0</v>
      </c>
      <c r="Q346" s="87">
        <v>0</v>
      </c>
      <c r="R346" s="87">
        <v>2960731.8912127488</v>
      </c>
      <c r="S346" s="87">
        <v>177636</v>
      </c>
      <c r="T346" s="87">
        <v>0</v>
      </c>
      <c r="U346" s="87">
        <v>0</v>
      </c>
      <c r="V346" s="87">
        <v>0</v>
      </c>
      <c r="W346" s="87">
        <v>1192978.2708747876</v>
      </c>
      <c r="X346" s="87">
        <v>1370614.2708747876</v>
      </c>
      <c r="Y346" s="87">
        <v>0</v>
      </c>
      <c r="Z346" s="87">
        <v>4331346.1620875364</v>
      </c>
      <c r="AA346" s="87">
        <v>1546566.62</v>
      </c>
      <c r="AB346" s="87">
        <v>510366.98459999997</v>
      </c>
      <c r="AC346" s="87">
        <v>0</v>
      </c>
      <c r="AD346" s="87">
        <v>2784779.5420875363</v>
      </c>
      <c r="AE346" s="87">
        <v>918977.24888888688</v>
      </c>
      <c r="AF346">
        <v>918977.24888888688</v>
      </c>
      <c r="AG346" s="87"/>
    </row>
    <row r="347" spans="1:33">
      <c r="A347" s="53" t="s">
        <v>1038</v>
      </c>
      <c r="B347" t="s">
        <v>214</v>
      </c>
      <c r="C347" t="s">
        <v>149</v>
      </c>
      <c r="E347" t="s">
        <v>209</v>
      </c>
      <c r="F347" t="s">
        <v>209</v>
      </c>
      <c r="G347" t="s">
        <v>210</v>
      </c>
      <c r="H347" t="s">
        <v>1039</v>
      </c>
      <c r="I347" t="s">
        <v>11</v>
      </c>
      <c r="J347" t="s">
        <v>634</v>
      </c>
      <c r="K347" s="87">
        <v>-3187719.0210621953</v>
      </c>
      <c r="L347" s="87">
        <v>4032787.2849593777</v>
      </c>
      <c r="M347" s="87">
        <v>3130175.3796377345</v>
      </c>
      <c r="N347" s="87">
        <v>902611.90532164322</v>
      </c>
      <c r="O347" s="87">
        <v>3539558.9194312706</v>
      </c>
      <c r="P347" s="87">
        <v>800286.10000000009</v>
      </c>
      <c r="Q347" s="87">
        <v>800286.10000000009</v>
      </c>
      <c r="R347" s="87">
        <v>2739272.8194312705</v>
      </c>
      <c r="S347" s="87">
        <v>192036</v>
      </c>
      <c r="T347" s="87">
        <v>0</v>
      </c>
      <c r="U347" s="87">
        <v>0</v>
      </c>
      <c r="V347" s="87">
        <v>0</v>
      </c>
      <c r="W347" s="87">
        <v>2183434.3651871611</v>
      </c>
      <c r="X347" s="87">
        <v>2375470.3651871611</v>
      </c>
      <c r="Y347" s="87">
        <v>0</v>
      </c>
      <c r="Z347" s="87">
        <v>5114743.1846184321</v>
      </c>
      <c r="AA347" s="87">
        <v>1679714.74</v>
      </c>
      <c r="AB347" s="87">
        <v>554305.86419999995</v>
      </c>
      <c r="AC347" s="87">
        <v>0</v>
      </c>
      <c r="AD347" s="87">
        <v>3435028.4446184319</v>
      </c>
      <c r="AE347" s="87">
        <v>1133559.3867240825</v>
      </c>
      <c r="AF347">
        <v>1133559.3867240825</v>
      </c>
      <c r="AG347" s="87"/>
    </row>
    <row r="348" spans="1:33">
      <c r="A348" s="53" t="s">
        <v>1040</v>
      </c>
      <c r="B348" t="s">
        <v>214</v>
      </c>
      <c r="C348" t="s">
        <v>209</v>
      </c>
      <c r="E348" t="s">
        <v>209</v>
      </c>
      <c r="F348" t="s">
        <v>209</v>
      </c>
      <c r="G348" t="s">
        <v>210</v>
      </c>
      <c r="H348" t="s">
        <v>1041</v>
      </c>
      <c r="I348" t="s">
        <v>11</v>
      </c>
      <c r="J348" t="s">
        <v>1042</v>
      </c>
      <c r="K348" s="87">
        <v>-7852292.6445730831</v>
      </c>
      <c r="L348" s="87">
        <v>10656132.848335652</v>
      </c>
      <c r="M348" s="87">
        <v>5019951.0944825085</v>
      </c>
      <c r="N348" s="87">
        <v>5636181.7538531432</v>
      </c>
      <c r="O348" s="87">
        <v>9399957.9523367174</v>
      </c>
      <c r="P348" s="87">
        <v>2616351.9300000002</v>
      </c>
      <c r="Q348" s="87">
        <v>2616351.9300000002</v>
      </c>
      <c r="R348" s="87">
        <v>6783606.0223367177</v>
      </c>
      <c r="S348" s="87">
        <v>477577</v>
      </c>
      <c r="T348" s="87">
        <v>0</v>
      </c>
      <c r="U348" s="87">
        <v>0</v>
      </c>
      <c r="V348" s="87">
        <v>0</v>
      </c>
      <c r="W348" s="87">
        <v>3196485.2828873373</v>
      </c>
      <c r="X348" s="87">
        <v>3674062.2828873373</v>
      </c>
      <c r="Y348" s="87">
        <v>0</v>
      </c>
      <c r="Z348" s="87">
        <v>10457668.305224055</v>
      </c>
      <c r="AA348" s="87">
        <v>5381483.5999999996</v>
      </c>
      <c r="AB348" s="87">
        <v>1775889.5879999998</v>
      </c>
      <c r="AC348" s="87">
        <v>0</v>
      </c>
      <c r="AD348" s="87">
        <v>5076184.7052240558</v>
      </c>
      <c r="AE348" s="87">
        <v>1675140.9527239383</v>
      </c>
      <c r="AF348">
        <v>1675140.9527239383</v>
      </c>
      <c r="AG348" s="87"/>
    </row>
    <row r="349" spans="1:33">
      <c r="A349" s="53" t="s">
        <v>1043</v>
      </c>
      <c r="B349" t="s">
        <v>214</v>
      </c>
      <c r="C349" t="s">
        <v>149</v>
      </c>
      <c r="E349" t="s">
        <v>209</v>
      </c>
      <c r="F349" t="s">
        <v>209</v>
      </c>
      <c r="G349" t="s">
        <v>210</v>
      </c>
      <c r="H349" t="s">
        <v>1044</v>
      </c>
      <c r="I349" t="s">
        <v>11</v>
      </c>
      <c r="J349" t="s">
        <v>1045</v>
      </c>
      <c r="K349" s="87">
        <v>-52422.758404352135</v>
      </c>
      <c r="L349" s="87">
        <v>2793236.7588234553</v>
      </c>
      <c r="M349" s="87">
        <v>1645424.3870118656</v>
      </c>
      <c r="N349" s="87">
        <v>1147812.3718115897</v>
      </c>
      <c r="O349" s="87">
        <v>2202733.7793857534</v>
      </c>
      <c r="P349" s="87">
        <v>416632.22000000003</v>
      </c>
      <c r="Q349" s="87">
        <v>0</v>
      </c>
      <c r="R349" s="87">
        <v>2202733.7793857534</v>
      </c>
      <c r="S349" s="87">
        <v>66006</v>
      </c>
      <c r="T349" s="87">
        <v>0</v>
      </c>
      <c r="U349" s="87">
        <v>0</v>
      </c>
      <c r="V349" s="87">
        <v>0</v>
      </c>
      <c r="W349" s="87">
        <v>405503.01953975152</v>
      </c>
      <c r="X349" s="87">
        <v>471509.01953975152</v>
      </c>
      <c r="Y349" s="87">
        <v>0</v>
      </c>
      <c r="Z349" s="87">
        <v>2674242.798925505</v>
      </c>
      <c r="AA349" s="87">
        <v>1148429.1200000001</v>
      </c>
      <c r="AB349" s="87">
        <v>378981.60959999997</v>
      </c>
      <c r="AC349" s="87">
        <v>0</v>
      </c>
      <c r="AD349" s="87">
        <v>1525813.6789255049</v>
      </c>
      <c r="AE349" s="87">
        <v>503518.51404541661</v>
      </c>
      <c r="AF349">
        <v>503518.51404541661</v>
      </c>
      <c r="AG349" s="87"/>
    </row>
    <row r="350" spans="1:33">
      <c r="A350" s="53" t="s">
        <v>1046</v>
      </c>
      <c r="B350" t="s">
        <v>214</v>
      </c>
      <c r="C350" t="s">
        <v>209</v>
      </c>
      <c r="E350" t="s">
        <v>209</v>
      </c>
      <c r="F350" t="s">
        <v>209</v>
      </c>
      <c r="G350" t="s">
        <v>210</v>
      </c>
      <c r="H350" t="s">
        <v>1047</v>
      </c>
      <c r="I350" t="s">
        <v>4</v>
      </c>
      <c r="J350" t="s">
        <v>260</v>
      </c>
      <c r="K350" s="87">
        <v>2128819.5619120635</v>
      </c>
      <c r="L350" s="87">
        <v>0</v>
      </c>
      <c r="M350" s="87">
        <v>0</v>
      </c>
      <c r="N350" s="87">
        <v>0</v>
      </c>
      <c r="O350" s="87">
        <v>3656358.0896471548</v>
      </c>
      <c r="P350" s="87">
        <v>0</v>
      </c>
      <c r="Q350" s="87">
        <v>0</v>
      </c>
      <c r="R350" s="87">
        <v>3656358.0896471548</v>
      </c>
      <c r="S350" s="87">
        <v>0</v>
      </c>
      <c r="T350" s="87">
        <v>0</v>
      </c>
      <c r="U350" s="87">
        <v>0</v>
      </c>
      <c r="V350" s="87">
        <v>0</v>
      </c>
      <c r="W350" s="87">
        <v>0</v>
      </c>
      <c r="X350" s="87">
        <v>0</v>
      </c>
      <c r="Y350" s="87">
        <v>0</v>
      </c>
      <c r="Z350" s="87">
        <v>3656358.0896471548</v>
      </c>
      <c r="AA350" s="87">
        <v>1322052.3700000001</v>
      </c>
      <c r="AB350" s="87">
        <v>436277.28210000001</v>
      </c>
      <c r="AC350" s="87">
        <v>0</v>
      </c>
      <c r="AD350" s="87">
        <v>2334305.7196471547</v>
      </c>
      <c r="AE350" s="87">
        <v>770320.88748356095</v>
      </c>
      <c r="AF350">
        <v>770320.88748356095</v>
      </c>
      <c r="AG350" s="87"/>
    </row>
    <row r="351" spans="1:33">
      <c r="A351" s="53" t="s">
        <v>1048</v>
      </c>
      <c r="B351" t="s">
        <v>214</v>
      </c>
      <c r="C351" t="s">
        <v>209</v>
      </c>
      <c r="E351" t="s">
        <v>209</v>
      </c>
      <c r="F351" t="s">
        <v>209</v>
      </c>
      <c r="G351" t="s">
        <v>210</v>
      </c>
      <c r="H351" t="s">
        <v>1049</v>
      </c>
      <c r="I351" t="s">
        <v>11</v>
      </c>
      <c r="J351" t="s">
        <v>314</v>
      </c>
      <c r="K351" s="87">
        <v>-120287.70267503461</v>
      </c>
      <c r="L351" s="87">
        <v>36258389.073363006</v>
      </c>
      <c r="M351" s="87">
        <v>25658104.648139402</v>
      </c>
      <c r="N351" s="87">
        <v>10600284.425223604</v>
      </c>
      <c r="O351" s="87">
        <v>32445614.41606098</v>
      </c>
      <c r="P351" s="87">
        <v>6549212.0600000005</v>
      </c>
      <c r="Q351" s="87">
        <v>0</v>
      </c>
      <c r="R351" s="87">
        <v>32445614.41606098</v>
      </c>
      <c r="S351" s="87">
        <v>1589659</v>
      </c>
      <c r="T351" s="87">
        <v>0</v>
      </c>
      <c r="U351" s="87">
        <v>11673159.759383928</v>
      </c>
      <c r="V351" s="87">
        <v>0</v>
      </c>
      <c r="W351" s="87">
        <v>13087292.34308048</v>
      </c>
      <c r="X351" s="87">
        <v>26350111.102464408</v>
      </c>
      <c r="Y351" s="87">
        <v>0</v>
      </c>
      <c r="Z351" s="87">
        <v>58795725.518525392</v>
      </c>
      <c r="AA351" s="87">
        <v>12024088.93</v>
      </c>
      <c r="AB351" s="87">
        <v>3967949.3468999993</v>
      </c>
      <c r="AC351" s="87">
        <v>0</v>
      </c>
      <c r="AD351" s="87">
        <v>46771636.588525392</v>
      </c>
      <c r="AE351" s="87">
        <v>15434640.074213376</v>
      </c>
      <c r="AF351">
        <v>15434640.074213376</v>
      </c>
      <c r="AG351" s="87"/>
    </row>
    <row r="352" spans="1:33">
      <c r="A352" s="53" t="s">
        <v>1050</v>
      </c>
      <c r="B352" t="s">
        <v>214</v>
      </c>
      <c r="C352" t="s">
        <v>149</v>
      </c>
      <c r="E352" t="s">
        <v>209</v>
      </c>
      <c r="F352" t="s">
        <v>209</v>
      </c>
      <c r="G352" t="s">
        <v>210</v>
      </c>
      <c r="H352" t="s">
        <v>1051</v>
      </c>
      <c r="I352" t="s">
        <v>11</v>
      </c>
      <c r="J352" t="s">
        <v>1052</v>
      </c>
      <c r="K352" s="87">
        <v>-172013.90028426267</v>
      </c>
      <c r="L352" s="87">
        <v>0</v>
      </c>
      <c r="M352" s="87">
        <v>0</v>
      </c>
      <c r="N352" s="87">
        <v>0</v>
      </c>
      <c r="O352" s="87">
        <v>3855758.3955939328</v>
      </c>
      <c r="P352" s="87">
        <v>0</v>
      </c>
      <c r="Q352" s="87">
        <v>0</v>
      </c>
      <c r="R352" s="87">
        <v>3855758.3955939328</v>
      </c>
      <c r="S352" s="87">
        <v>173630</v>
      </c>
      <c r="T352" s="87">
        <v>0</v>
      </c>
      <c r="U352" s="87">
        <v>0</v>
      </c>
      <c r="V352" s="87">
        <v>0</v>
      </c>
      <c r="W352" s="87">
        <v>2679438.9515746478</v>
      </c>
      <c r="X352" s="87">
        <v>2853068.9515746478</v>
      </c>
      <c r="Y352" s="87">
        <v>0</v>
      </c>
      <c r="Z352" s="87">
        <v>6708827.3471685806</v>
      </c>
      <c r="AA352" s="87">
        <v>2159177.98</v>
      </c>
      <c r="AB352" s="87">
        <v>712528.73339999991</v>
      </c>
      <c r="AC352" s="87">
        <v>0</v>
      </c>
      <c r="AD352" s="87">
        <v>4549649.3671685811</v>
      </c>
      <c r="AE352" s="87">
        <v>1501384.2911656317</v>
      </c>
      <c r="AF352">
        <v>1501384.2911656317</v>
      </c>
      <c r="AG352" s="87"/>
    </row>
    <row r="353" spans="1:33">
      <c r="A353" s="53" t="s">
        <v>1053</v>
      </c>
      <c r="B353" t="s">
        <v>214</v>
      </c>
      <c r="C353" t="s">
        <v>149</v>
      </c>
      <c r="E353" t="s">
        <v>209</v>
      </c>
      <c r="F353" t="s">
        <v>209</v>
      </c>
      <c r="G353" t="s">
        <v>210</v>
      </c>
      <c r="H353" t="s">
        <v>1054</v>
      </c>
      <c r="I353" t="s">
        <v>11</v>
      </c>
      <c r="J353" t="s">
        <v>567</v>
      </c>
      <c r="K353" s="87">
        <v>335360.09616972791</v>
      </c>
      <c r="L353" s="87">
        <v>0</v>
      </c>
      <c r="M353" s="87">
        <v>0</v>
      </c>
      <c r="N353" s="87">
        <v>0</v>
      </c>
      <c r="O353" s="87">
        <v>3110878.6298652161</v>
      </c>
      <c r="P353" s="87">
        <v>0</v>
      </c>
      <c r="Q353" s="87">
        <v>0</v>
      </c>
      <c r="R353" s="87">
        <v>3110878.6298652161</v>
      </c>
      <c r="S353" s="87">
        <v>72178</v>
      </c>
      <c r="T353" s="87">
        <v>0</v>
      </c>
      <c r="U353" s="87">
        <v>0</v>
      </c>
      <c r="V353" s="87">
        <v>0</v>
      </c>
      <c r="W353" s="87">
        <v>706882.95459556836</v>
      </c>
      <c r="X353" s="87">
        <v>779060.95459556836</v>
      </c>
      <c r="Y353" s="87">
        <v>0</v>
      </c>
      <c r="Z353" s="87">
        <v>3889939.5844607847</v>
      </c>
      <c r="AA353" s="87">
        <v>1748678.79</v>
      </c>
      <c r="AB353" s="87">
        <v>577064.00069999998</v>
      </c>
      <c r="AC353" s="87">
        <v>0</v>
      </c>
      <c r="AD353" s="87">
        <v>2141260.7944607846</v>
      </c>
      <c r="AE353" s="87">
        <v>706616.06217205874</v>
      </c>
      <c r="AF353">
        <v>706616.06217205874</v>
      </c>
      <c r="AG353" s="87"/>
    </row>
    <row r="354" spans="1:33">
      <c r="A354" s="53" t="s">
        <v>1055</v>
      </c>
      <c r="B354" t="s">
        <v>214</v>
      </c>
      <c r="E354" t="s">
        <v>209</v>
      </c>
      <c r="F354" t="s">
        <v>209</v>
      </c>
      <c r="G354" t="s">
        <v>210</v>
      </c>
      <c r="H354" t="s">
        <v>1056</v>
      </c>
      <c r="I354" t="s">
        <v>11</v>
      </c>
      <c r="J354" t="s">
        <v>314</v>
      </c>
      <c r="K354" s="87">
        <v>720565.88140360231</v>
      </c>
      <c r="L354" s="87">
        <v>0</v>
      </c>
      <c r="M354" s="87">
        <v>0</v>
      </c>
      <c r="N354" s="87">
        <v>0</v>
      </c>
      <c r="O354" s="87">
        <v>476237.0159171265</v>
      </c>
      <c r="P354" s="87">
        <v>0</v>
      </c>
      <c r="Q354" s="87">
        <v>0</v>
      </c>
      <c r="R354" s="87">
        <v>476237.0159171265</v>
      </c>
      <c r="S354" s="87">
        <v>0</v>
      </c>
      <c r="T354" s="87">
        <v>0</v>
      </c>
      <c r="U354" s="87">
        <v>0</v>
      </c>
      <c r="V354" s="87">
        <v>0</v>
      </c>
      <c r="W354" s="87">
        <v>169994.04284451177</v>
      </c>
      <c r="X354" s="87">
        <v>169994.04284451177</v>
      </c>
      <c r="Y354" s="87">
        <v>0</v>
      </c>
      <c r="Z354" s="87">
        <v>646231.05876163824</v>
      </c>
      <c r="AA354" s="87">
        <v>0</v>
      </c>
      <c r="AB354" s="87">
        <v>0</v>
      </c>
      <c r="AC354" s="87">
        <v>0</v>
      </c>
      <c r="AD354" s="87">
        <v>646231.05876163824</v>
      </c>
      <c r="AE354" s="87">
        <v>213256.24939134059</v>
      </c>
      <c r="AF354">
        <v>213256.24939134059</v>
      </c>
      <c r="AG354" s="87"/>
    </row>
    <row r="355" spans="1:33">
      <c r="A355" s="53" t="s">
        <v>1057</v>
      </c>
      <c r="B355" t="s">
        <v>214</v>
      </c>
      <c r="E355" t="s">
        <v>209</v>
      </c>
      <c r="F355" t="s">
        <v>209</v>
      </c>
      <c r="G355" t="s">
        <v>210</v>
      </c>
      <c r="H355" t="s">
        <v>1058</v>
      </c>
      <c r="I355" t="s">
        <v>11</v>
      </c>
      <c r="J355" t="s">
        <v>314</v>
      </c>
      <c r="K355" s="87">
        <v>-113039.361293165</v>
      </c>
      <c r="L355" s="87">
        <v>0</v>
      </c>
      <c r="M355" s="87">
        <v>0</v>
      </c>
      <c r="N355" s="87">
        <v>0</v>
      </c>
      <c r="O355" s="87">
        <v>422458.95508013206</v>
      </c>
      <c r="P355" s="87">
        <v>0</v>
      </c>
      <c r="Q355" s="87">
        <v>0</v>
      </c>
      <c r="R355" s="87">
        <v>422458.95508013206</v>
      </c>
      <c r="S355" s="87">
        <v>1268</v>
      </c>
      <c r="T355" s="87">
        <v>0</v>
      </c>
      <c r="U355" s="87">
        <v>0</v>
      </c>
      <c r="V355" s="87">
        <v>0</v>
      </c>
      <c r="W355" s="87">
        <v>142322.34225304957</v>
      </c>
      <c r="X355" s="87">
        <v>143590.34225304957</v>
      </c>
      <c r="Y355" s="87">
        <v>0</v>
      </c>
      <c r="Z355" s="87">
        <v>566049.2973331816</v>
      </c>
      <c r="AA355" s="87">
        <v>0</v>
      </c>
      <c r="AB355" s="87">
        <v>0</v>
      </c>
      <c r="AC355" s="87">
        <v>0</v>
      </c>
      <c r="AD355" s="87">
        <v>566049.2973331816</v>
      </c>
      <c r="AE355" s="87">
        <v>186796.26811994991</v>
      </c>
      <c r="AF355">
        <v>186796.26811994991</v>
      </c>
      <c r="AG355" s="87"/>
    </row>
    <row r="356" spans="1:33">
      <c r="A356" s="53" t="s">
        <v>1059</v>
      </c>
      <c r="B356" t="s">
        <v>214</v>
      </c>
      <c r="C356" t="s">
        <v>209</v>
      </c>
      <c r="E356" t="s">
        <v>209</v>
      </c>
      <c r="F356" t="s">
        <v>209</v>
      </c>
      <c r="G356" t="s">
        <v>210</v>
      </c>
      <c r="H356" t="s">
        <v>1060</v>
      </c>
      <c r="I356" t="s">
        <v>4</v>
      </c>
      <c r="J356" t="s">
        <v>4</v>
      </c>
      <c r="K356" s="87">
        <v>1996386.6838058494</v>
      </c>
      <c r="L356" s="87">
        <v>0</v>
      </c>
      <c r="M356" s="87">
        <v>0</v>
      </c>
      <c r="N356" s="87">
        <v>0</v>
      </c>
      <c r="O356" s="87">
        <v>17158250.578727335</v>
      </c>
      <c r="P356" s="87">
        <v>0</v>
      </c>
      <c r="Q356" s="87">
        <v>0</v>
      </c>
      <c r="R356" s="87">
        <v>17158250.578727335</v>
      </c>
      <c r="S356" s="87">
        <v>535391</v>
      </c>
      <c r="T356" s="87">
        <v>0</v>
      </c>
      <c r="U356" s="87">
        <v>0</v>
      </c>
      <c r="V356" s="87">
        <v>0</v>
      </c>
      <c r="W356" s="87">
        <v>0</v>
      </c>
      <c r="X356" s="87">
        <v>535391</v>
      </c>
      <c r="Y356" s="87">
        <v>0</v>
      </c>
      <c r="Z356" s="87">
        <v>17693641.578727335</v>
      </c>
      <c r="AA356" s="87">
        <v>7396655.4699999997</v>
      </c>
      <c r="AB356" s="87">
        <v>2440896.3050999995</v>
      </c>
      <c r="AC356" s="87">
        <v>0</v>
      </c>
      <c r="AD356" s="87">
        <v>10296986.108727336</v>
      </c>
      <c r="AE356" s="87">
        <v>3398005.4158800198</v>
      </c>
      <c r="AF356">
        <v>3398005.4158800198</v>
      </c>
      <c r="AG356" s="87"/>
    </row>
    <row r="357" spans="1:33">
      <c r="A357" s="53" t="s">
        <v>1061</v>
      </c>
      <c r="B357" t="s">
        <v>214</v>
      </c>
      <c r="C357" t="s">
        <v>149</v>
      </c>
      <c r="E357" t="s">
        <v>209</v>
      </c>
      <c r="F357" t="s">
        <v>209</v>
      </c>
      <c r="G357" t="s">
        <v>210</v>
      </c>
      <c r="H357" t="s">
        <v>1062</v>
      </c>
      <c r="I357" t="s">
        <v>11</v>
      </c>
      <c r="J357" t="s">
        <v>1063</v>
      </c>
      <c r="K357" s="87">
        <v>-83023.787946265438</v>
      </c>
      <c r="L357" s="87">
        <v>0</v>
      </c>
      <c r="M357" s="87">
        <v>0</v>
      </c>
      <c r="N357" s="87">
        <v>0</v>
      </c>
      <c r="O357" s="87">
        <v>3208405.8998107649</v>
      </c>
      <c r="P357" s="87">
        <v>0</v>
      </c>
      <c r="Q357" s="87">
        <v>0</v>
      </c>
      <c r="R357" s="87">
        <v>3208405.8998107649</v>
      </c>
      <c r="S357" s="87">
        <v>0</v>
      </c>
      <c r="T357" s="87">
        <v>0</v>
      </c>
      <c r="U357" s="87">
        <v>0</v>
      </c>
      <c r="V357" s="87">
        <v>0</v>
      </c>
      <c r="W357" s="87">
        <v>544277.38920164376</v>
      </c>
      <c r="X357" s="87">
        <v>544277.38920164376</v>
      </c>
      <c r="Y357" s="87">
        <v>0</v>
      </c>
      <c r="Z357" s="87">
        <v>3752683.2890124088</v>
      </c>
      <c r="AA357" s="87">
        <v>205947.47</v>
      </c>
      <c r="AB357" s="87">
        <v>67962.665099999998</v>
      </c>
      <c r="AC357" s="87">
        <v>0</v>
      </c>
      <c r="AD357" s="87">
        <v>3546735.8190124086</v>
      </c>
      <c r="AE357" s="87">
        <v>1170422.8202740946</v>
      </c>
      <c r="AF357">
        <v>1170422.8202740946</v>
      </c>
      <c r="AG357" s="87"/>
    </row>
    <row r="358" spans="1:33">
      <c r="A358" s="53" t="s">
        <v>1064</v>
      </c>
      <c r="B358" t="s">
        <v>214</v>
      </c>
      <c r="C358" t="s">
        <v>209</v>
      </c>
      <c r="E358" t="s">
        <v>209</v>
      </c>
      <c r="F358" t="s">
        <v>209</v>
      </c>
      <c r="G358" t="s">
        <v>210</v>
      </c>
      <c r="H358" t="s">
        <v>1065</v>
      </c>
      <c r="I358" t="s">
        <v>15</v>
      </c>
      <c r="J358" t="s">
        <v>15</v>
      </c>
      <c r="K358" s="87">
        <v>552379.78415692819</v>
      </c>
      <c r="L358" s="87">
        <v>0</v>
      </c>
      <c r="M358" s="87">
        <v>0</v>
      </c>
      <c r="N358" s="87">
        <v>0</v>
      </c>
      <c r="O358" s="87">
        <v>2151053.9884415232</v>
      </c>
      <c r="P358" s="87">
        <v>0</v>
      </c>
      <c r="Q358" s="87">
        <v>0</v>
      </c>
      <c r="R358" s="87">
        <v>2151053.9884415232</v>
      </c>
      <c r="S358" s="87">
        <v>118995.76999999999</v>
      </c>
      <c r="T358" s="87">
        <v>0</v>
      </c>
      <c r="U358" s="87">
        <v>0</v>
      </c>
      <c r="V358" s="87">
        <v>0</v>
      </c>
      <c r="W358" s="87">
        <v>0</v>
      </c>
      <c r="X358" s="87">
        <v>118995.76999999999</v>
      </c>
      <c r="Y358" s="87">
        <v>0</v>
      </c>
      <c r="Z358" s="87">
        <v>2270049.7584415232</v>
      </c>
      <c r="AA358" s="87">
        <v>524672.12</v>
      </c>
      <c r="AB358" s="87">
        <v>173141.79959999997</v>
      </c>
      <c r="AC358" s="87">
        <v>0</v>
      </c>
      <c r="AD358" s="87">
        <v>1745377.6384415231</v>
      </c>
      <c r="AE358" s="87">
        <v>575974.62068570266</v>
      </c>
      <c r="AF358">
        <v>575974.62068570266</v>
      </c>
      <c r="AG358" s="87"/>
    </row>
    <row r="359" spans="1:33">
      <c r="A359" s="53" t="s">
        <v>1066</v>
      </c>
      <c r="B359" t="s">
        <v>214</v>
      </c>
      <c r="C359" t="s">
        <v>149</v>
      </c>
      <c r="E359" t="s">
        <v>209</v>
      </c>
      <c r="F359" t="s">
        <v>209</v>
      </c>
      <c r="G359" t="s">
        <v>210</v>
      </c>
      <c r="H359" t="s">
        <v>1067</v>
      </c>
      <c r="I359" t="s">
        <v>11</v>
      </c>
      <c r="J359" t="s">
        <v>491</v>
      </c>
      <c r="K359" s="87">
        <v>138048.5915524349</v>
      </c>
      <c r="L359" s="87">
        <v>3526864.9935435117</v>
      </c>
      <c r="M359" s="87">
        <v>2837263.6160253952</v>
      </c>
      <c r="N359" s="87">
        <v>689601.3775181165</v>
      </c>
      <c r="O359" s="87">
        <v>3006650.8533517565</v>
      </c>
      <c r="P359" s="87">
        <v>342969.74</v>
      </c>
      <c r="Q359" s="87">
        <v>0</v>
      </c>
      <c r="R359" s="87">
        <v>3006650.8533517565</v>
      </c>
      <c r="S359" s="87">
        <v>0</v>
      </c>
      <c r="T359" s="87">
        <v>0</v>
      </c>
      <c r="U359" s="87">
        <v>0</v>
      </c>
      <c r="V359" s="87">
        <v>0</v>
      </c>
      <c r="W359" s="87">
        <v>0</v>
      </c>
      <c r="X359" s="87">
        <v>0</v>
      </c>
      <c r="Y359" s="87">
        <v>0</v>
      </c>
      <c r="Z359" s="87">
        <v>3006650.8533517565</v>
      </c>
      <c r="AA359" s="87">
        <v>1087936.4099999999</v>
      </c>
      <c r="AB359" s="87">
        <v>359019.01529999991</v>
      </c>
      <c r="AC359" s="87">
        <v>0</v>
      </c>
      <c r="AD359" s="87">
        <v>1918714.4433517565</v>
      </c>
      <c r="AE359" s="87">
        <v>633175.76630607969</v>
      </c>
      <c r="AF359">
        <v>633175.77</v>
      </c>
      <c r="AG359" s="87"/>
    </row>
    <row r="360" spans="1:33">
      <c r="A360" s="53" t="s">
        <v>1068</v>
      </c>
      <c r="B360" t="s">
        <v>208</v>
      </c>
      <c r="C360" t="s">
        <v>149</v>
      </c>
      <c r="E360" t="s">
        <v>209</v>
      </c>
      <c r="F360" t="s">
        <v>209</v>
      </c>
      <c r="G360" t="s">
        <v>210</v>
      </c>
      <c r="H360" t="s">
        <v>1069</v>
      </c>
      <c r="I360" t="s">
        <v>10</v>
      </c>
      <c r="J360" t="s">
        <v>1070</v>
      </c>
      <c r="K360" s="87">
        <v>787356.65572587517</v>
      </c>
      <c r="L360" s="87">
        <v>1067483.3072799048</v>
      </c>
      <c r="M360" s="87">
        <v>238268.39301762558</v>
      </c>
      <c r="N360" s="87">
        <v>829214.91426227929</v>
      </c>
      <c r="O360" s="87">
        <v>335903.84625584638</v>
      </c>
      <c r="P360" s="87">
        <v>554959.05000000005</v>
      </c>
      <c r="Q360" s="87">
        <v>0</v>
      </c>
      <c r="R360" s="87">
        <v>335903.84625584638</v>
      </c>
      <c r="S360" s="87">
        <v>0</v>
      </c>
      <c r="T360" s="87">
        <v>0</v>
      </c>
      <c r="U360" s="87">
        <v>0</v>
      </c>
      <c r="V360" s="87">
        <v>0</v>
      </c>
      <c r="W360" s="87">
        <v>848171</v>
      </c>
      <c r="X360" s="87">
        <v>848171</v>
      </c>
      <c r="Y360" s="87">
        <v>0</v>
      </c>
      <c r="Z360" s="87">
        <v>1184074.8462558463</v>
      </c>
      <c r="AA360" s="87">
        <v>470223.4</v>
      </c>
      <c r="AB360" s="87">
        <v>155173.72199999998</v>
      </c>
      <c r="AC360" s="87">
        <v>0</v>
      </c>
      <c r="AD360" s="87">
        <v>713851.4462558463</v>
      </c>
      <c r="AE360" s="87">
        <v>235570.97726442924</v>
      </c>
      <c r="AF360">
        <v>235570.97726442924</v>
      </c>
      <c r="AG360" s="87"/>
    </row>
    <row r="361" spans="1:33">
      <c r="A361" s="53" t="s">
        <v>1071</v>
      </c>
      <c r="B361" t="s">
        <v>208</v>
      </c>
      <c r="C361" t="s">
        <v>149</v>
      </c>
      <c r="E361" t="s">
        <v>209</v>
      </c>
      <c r="F361" t="s">
        <v>209</v>
      </c>
      <c r="G361" t="s">
        <v>210</v>
      </c>
      <c r="H361" t="s">
        <v>1072</v>
      </c>
      <c r="I361" t="s">
        <v>12</v>
      </c>
      <c r="J361" t="s">
        <v>1073</v>
      </c>
      <c r="K361" s="87">
        <v>334143.18686891522</v>
      </c>
      <c r="L361" s="87">
        <v>0</v>
      </c>
      <c r="M361" s="87">
        <v>0</v>
      </c>
      <c r="N361" s="87">
        <v>0</v>
      </c>
      <c r="O361" s="87">
        <v>1860123.3695616766</v>
      </c>
      <c r="P361" s="87">
        <v>0</v>
      </c>
      <c r="Q361" s="87">
        <v>0</v>
      </c>
      <c r="R361" s="87">
        <v>1860123.3695616766</v>
      </c>
      <c r="S361" s="87">
        <v>0</v>
      </c>
      <c r="T361" s="87">
        <v>0</v>
      </c>
      <c r="U361" s="87">
        <v>0</v>
      </c>
      <c r="V361" s="87">
        <v>0</v>
      </c>
      <c r="W361" s="87">
        <v>0</v>
      </c>
      <c r="X361" s="87">
        <v>0</v>
      </c>
      <c r="Y361" s="87">
        <v>0</v>
      </c>
      <c r="Z361" s="87">
        <v>1860123.3695616766</v>
      </c>
      <c r="AA361" s="87">
        <v>742262.46</v>
      </c>
      <c r="AB361" s="87">
        <v>244946.61179999996</v>
      </c>
      <c r="AC361" s="87">
        <v>0</v>
      </c>
      <c r="AD361" s="87">
        <v>1117860.9095616767</v>
      </c>
      <c r="AE361" s="87">
        <v>368894.10015535331</v>
      </c>
      <c r="AF361">
        <v>368894.10015535331</v>
      </c>
      <c r="AG361" s="87"/>
    </row>
    <row r="362" spans="1:33">
      <c r="A362" s="53" t="s">
        <v>1074</v>
      </c>
      <c r="B362" t="s">
        <v>214</v>
      </c>
      <c r="C362" t="s">
        <v>149</v>
      </c>
      <c r="E362" t="s">
        <v>209</v>
      </c>
      <c r="F362" t="s">
        <v>209</v>
      </c>
      <c r="G362" t="s">
        <v>210</v>
      </c>
      <c r="H362" t="s">
        <v>1075</v>
      </c>
      <c r="I362" t="s">
        <v>12</v>
      </c>
      <c r="J362" t="s">
        <v>740</v>
      </c>
      <c r="K362" s="87">
        <v>145629.99664514654</v>
      </c>
      <c r="L362" s="87">
        <v>4617724.8789673308</v>
      </c>
      <c r="M362" s="87">
        <v>2546463.9020898561</v>
      </c>
      <c r="N362" s="87">
        <v>2071260.9768774747</v>
      </c>
      <c r="O362" s="87">
        <v>3451016.8881760766</v>
      </c>
      <c r="P362" s="87">
        <v>0</v>
      </c>
      <c r="Q362" s="87">
        <v>0</v>
      </c>
      <c r="R362" s="87">
        <v>3451016.8881760766</v>
      </c>
      <c r="S362" s="87">
        <v>621256</v>
      </c>
      <c r="T362" s="87">
        <v>0</v>
      </c>
      <c r="U362" s="87">
        <v>483256.07999999996</v>
      </c>
      <c r="V362" s="87">
        <v>0</v>
      </c>
      <c r="W362" s="87">
        <v>1895644.2102487492</v>
      </c>
      <c r="X362" s="87">
        <v>3000156.2902487493</v>
      </c>
      <c r="Y362" s="87">
        <v>0</v>
      </c>
      <c r="Z362" s="87">
        <v>6451173.1784248259</v>
      </c>
      <c r="AA362" s="87">
        <v>2373885.4900000002</v>
      </c>
      <c r="AB362" s="87">
        <v>783382.21169999999</v>
      </c>
      <c r="AC362" s="87">
        <v>0</v>
      </c>
      <c r="AD362" s="87">
        <v>4077287.6884248257</v>
      </c>
      <c r="AE362" s="87">
        <v>1345504.9371801922</v>
      </c>
      <c r="AF362">
        <v>1345504.9371801922</v>
      </c>
      <c r="AG362" s="87"/>
    </row>
    <row r="363" spans="1:33">
      <c r="A363" s="53" t="s">
        <v>1076</v>
      </c>
      <c r="B363" t="s">
        <v>214</v>
      </c>
      <c r="E363" t="s">
        <v>209</v>
      </c>
      <c r="F363" t="s">
        <v>209</v>
      </c>
      <c r="G363" t="s">
        <v>210</v>
      </c>
      <c r="H363" t="s">
        <v>1065</v>
      </c>
      <c r="I363" t="s">
        <v>15</v>
      </c>
      <c r="J363" t="s">
        <v>885</v>
      </c>
      <c r="K363" s="87">
        <v>738834.3105780225</v>
      </c>
      <c r="L363" s="87">
        <v>0</v>
      </c>
      <c r="M363" s="87">
        <v>0</v>
      </c>
      <c r="N363" s="87">
        <v>0</v>
      </c>
      <c r="O363" s="87">
        <v>1826918.5777900289</v>
      </c>
      <c r="P363" s="87">
        <v>0</v>
      </c>
      <c r="Q363" s="87">
        <v>0</v>
      </c>
      <c r="R363" s="87">
        <v>1826918.5777900289</v>
      </c>
      <c r="S363" s="87">
        <v>107322</v>
      </c>
      <c r="T363" s="87">
        <v>0</v>
      </c>
      <c r="U363" s="87">
        <v>0</v>
      </c>
      <c r="V363" s="87">
        <v>0</v>
      </c>
      <c r="W363" s="87">
        <v>0</v>
      </c>
      <c r="X363" s="87">
        <v>107322</v>
      </c>
      <c r="Y363" s="87">
        <v>0</v>
      </c>
      <c r="Z363" s="87">
        <v>1934240.5777900289</v>
      </c>
      <c r="AA363" s="87">
        <v>0</v>
      </c>
      <c r="AB363" s="87">
        <v>0</v>
      </c>
      <c r="AC363" s="87">
        <v>0</v>
      </c>
      <c r="AD363" s="87">
        <v>1934240.5777900289</v>
      </c>
      <c r="AE363" s="87">
        <v>638299.39067070943</v>
      </c>
      <c r="AF363">
        <v>638299.39067070943</v>
      </c>
      <c r="AG363" s="87"/>
    </row>
    <row r="364" spans="1:33">
      <c r="A364" s="53" t="s">
        <v>1077</v>
      </c>
      <c r="B364" t="s">
        <v>214</v>
      </c>
      <c r="C364" t="s">
        <v>209</v>
      </c>
      <c r="E364" t="s">
        <v>209</v>
      </c>
      <c r="F364" t="s">
        <v>209</v>
      </c>
      <c r="G364" t="s">
        <v>210</v>
      </c>
      <c r="H364" t="s">
        <v>1078</v>
      </c>
      <c r="I364" t="s">
        <v>9</v>
      </c>
      <c r="J364" t="s">
        <v>9</v>
      </c>
      <c r="K364" s="87">
        <v>21072816.883126218</v>
      </c>
      <c r="L364" s="87">
        <v>33432103.720668018</v>
      </c>
      <c r="M364" s="87">
        <v>16915777.455827352</v>
      </c>
      <c r="N364" s="87">
        <v>16516326.264840666</v>
      </c>
      <c r="O364" s="87">
        <v>30756802.517557226</v>
      </c>
      <c r="P364" s="87">
        <v>5050598.3500000006</v>
      </c>
      <c r="Q364" s="87">
        <v>0</v>
      </c>
      <c r="R364" s="87">
        <v>30756802.517557226</v>
      </c>
      <c r="S364" s="87">
        <v>0</v>
      </c>
      <c r="T364" s="87">
        <v>0</v>
      </c>
      <c r="U364" s="87">
        <v>0</v>
      </c>
      <c r="V364" s="87">
        <v>0</v>
      </c>
      <c r="W364" s="87">
        <v>0</v>
      </c>
      <c r="X364" s="87">
        <v>0</v>
      </c>
      <c r="Y364" s="87">
        <v>0</v>
      </c>
      <c r="Z364" s="87">
        <v>30756802.517557226</v>
      </c>
      <c r="AA364" s="87">
        <v>14136665.08</v>
      </c>
      <c r="AB364" s="87">
        <v>4665099.4763999991</v>
      </c>
      <c r="AC364" s="87">
        <v>0</v>
      </c>
      <c r="AD364" s="87">
        <v>16620137.437557226</v>
      </c>
      <c r="AE364" s="87">
        <v>5484645.3543938845</v>
      </c>
      <c r="AF364">
        <v>5484645.3543938845</v>
      </c>
      <c r="AG364" s="87"/>
    </row>
    <row r="365" spans="1:33">
      <c r="A365" s="53" t="s">
        <v>1079</v>
      </c>
      <c r="B365" t="s">
        <v>214</v>
      </c>
      <c r="E365" t="s">
        <v>209</v>
      </c>
      <c r="F365" t="s">
        <v>209</v>
      </c>
      <c r="G365" t="s">
        <v>210</v>
      </c>
      <c r="H365" t="s">
        <v>1065</v>
      </c>
      <c r="I365" t="s">
        <v>15</v>
      </c>
      <c r="J365" t="s">
        <v>15</v>
      </c>
      <c r="K365" s="87">
        <v>282640.74489405437</v>
      </c>
      <c r="L365" s="87">
        <v>0</v>
      </c>
      <c r="M365" s="87">
        <v>0</v>
      </c>
      <c r="N365" s="87">
        <v>0</v>
      </c>
      <c r="O365" s="87">
        <v>1148111.5210476799</v>
      </c>
      <c r="P365" s="87">
        <v>0</v>
      </c>
      <c r="Q365" s="87">
        <v>0</v>
      </c>
      <c r="R365" s="87">
        <v>1148111.5210476799</v>
      </c>
      <c r="S365" s="87">
        <v>164120</v>
      </c>
      <c r="T365" s="87">
        <v>0</v>
      </c>
      <c r="U365" s="87">
        <v>0</v>
      </c>
      <c r="V365" s="87">
        <v>0</v>
      </c>
      <c r="W365" s="87">
        <v>0</v>
      </c>
      <c r="X365" s="87">
        <v>164120</v>
      </c>
      <c r="Y365" s="87">
        <v>0</v>
      </c>
      <c r="Z365" s="87">
        <v>1312231.5210476799</v>
      </c>
      <c r="AA365" s="87">
        <v>0</v>
      </c>
      <c r="AB365" s="87">
        <v>0</v>
      </c>
      <c r="AC365" s="87">
        <v>0</v>
      </c>
      <c r="AD365" s="87">
        <v>1312231.5210476799</v>
      </c>
      <c r="AE365" s="87">
        <v>433036.40194573434</v>
      </c>
      <c r="AF365">
        <v>433036.40194573434</v>
      </c>
      <c r="AG365" s="87"/>
    </row>
    <row r="366" spans="1:33">
      <c r="A366" s="53" t="s">
        <v>1080</v>
      </c>
      <c r="B366" t="s">
        <v>214</v>
      </c>
      <c r="C366" t="s">
        <v>209</v>
      </c>
      <c r="E366" t="s">
        <v>209</v>
      </c>
      <c r="F366" t="s">
        <v>209</v>
      </c>
      <c r="G366" t="s">
        <v>210</v>
      </c>
      <c r="H366" t="s">
        <v>552</v>
      </c>
      <c r="I366" t="s">
        <v>10</v>
      </c>
      <c r="J366" t="s">
        <v>553</v>
      </c>
      <c r="K366" s="87">
        <v>2613717.9473508094</v>
      </c>
      <c r="L366" s="87">
        <v>0</v>
      </c>
      <c r="M366" s="87">
        <v>0</v>
      </c>
      <c r="N366" s="87">
        <v>0</v>
      </c>
      <c r="O366" s="87">
        <v>3817361.5326140672</v>
      </c>
      <c r="P366" s="87">
        <v>0</v>
      </c>
      <c r="Q366" s="87">
        <v>0</v>
      </c>
      <c r="R366" s="87">
        <v>3817361.5326140672</v>
      </c>
      <c r="S366" s="87">
        <v>0</v>
      </c>
      <c r="T366" s="87">
        <v>0</v>
      </c>
      <c r="U366" s="87">
        <v>0</v>
      </c>
      <c r="V366" s="87">
        <v>0</v>
      </c>
      <c r="W366" s="87">
        <v>0</v>
      </c>
      <c r="X366" s="87">
        <v>0</v>
      </c>
      <c r="Y366" s="87">
        <v>0</v>
      </c>
      <c r="Z366" s="87">
        <v>3817361.5326140672</v>
      </c>
      <c r="AA366" s="87">
        <v>1503118.63</v>
      </c>
      <c r="AB366" s="87">
        <v>496029.14789999992</v>
      </c>
      <c r="AC366" s="87">
        <v>0</v>
      </c>
      <c r="AD366" s="87">
        <v>2314242.9026140673</v>
      </c>
      <c r="AE366" s="87">
        <v>763700.15786264208</v>
      </c>
      <c r="AF366">
        <v>763700.15786264208</v>
      </c>
      <c r="AG366" s="87"/>
    </row>
    <row r="367" spans="1:33">
      <c r="A367" s="53" t="s">
        <v>1081</v>
      </c>
      <c r="B367" t="s">
        <v>208</v>
      </c>
      <c r="C367" t="s">
        <v>209</v>
      </c>
      <c r="E367" t="s">
        <v>209</v>
      </c>
      <c r="F367" t="s">
        <v>209</v>
      </c>
      <c r="G367" t="s">
        <v>210</v>
      </c>
      <c r="H367" t="s">
        <v>1082</v>
      </c>
      <c r="I367" t="s">
        <v>8</v>
      </c>
      <c r="J367" t="s">
        <v>1083</v>
      </c>
      <c r="K367" s="87">
        <v>2206326.0335337985</v>
      </c>
      <c r="L367" s="87">
        <v>7175444.5961651579</v>
      </c>
      <c r="M367" s="87">
        <v>6257191.5859172614</v>
      </c>
      <c r="N367" s="87">
        <v>918253.01024789643</v>
      </c>
      <c r="O367" s="87">
        <v>7260111.0577777158</v>
      </c>
      <c r="P367" s="87">
        <v>4266915.7</v>
      </c>
      <c r="Q367" s="87">
        <v>1142336.6562183052</v>
      </c>
      <c r="R367" s="87">
        <v>6117774.4015594106</v>
      </c>
      <c r="S367" s="87">
        <v>70522</v>
      </c>
      <c r="T367" s="87">
        <v>0</v>
      </c>
      <c r="U367" s="87">
        <v>0</v>
      </c>
      <c r="V367" s="87">
        <v>0</v>
      </c>
      <c r="W367" s="87">
        <v>92520.687247636335</v>
      </c>
      <c r="X367" s="87">
        <v>163042.68724763632</v>
      </c>
      <c r="Y367" s="87">
        <v>0</v>
      </c>
      <c r="Z367" s="87">
        <v>6280817.0888070473</v>
      </c>
      <c r="AA367" s="87">
        <v>2993673.38</v>
      </c>
      <c r="AB367" s="87">
        <v>987912.21539999987</v>
      </c>
      <c r="AC367" s="87">
        <v>0</v>
      </c>
      <c r="AD367" s="87">
        <v>3287143.7088070475</v>
      </c>
      <c r="AE367" s="87">
        <v>1084757.4239063256</v>
      </c>
      <c r="AF367">
        <v>1084757.4239063256</v>
      </c>
      <c r="AG367" s="87"/>
    </row>
    <row r="368" spans="1:33">
      <c r="A368" s="53" t="s">
        <v>1084</v>
      </c>
      <c r="B368" t="s">
        <v>214</v>
      </c>
      <c r="C368" t="s">
        <v>209</v>
      </c>
      <c r="E368" t="s">
        <v>209</v>
      </c>
      <c r="F368" t="s">
        <v>209</v>
      </c>
      <c r="G368" t="s">
        <v>210</v>
      </c>
      <c r="H368" t="s">
        <v>1085</v>
      </c>
      <c r="I368" t="s">
        <v>14</v>
      </c>
      <c r="J368" t="s">
        <v>248</v>
      </c>
      <c r="K368" s="87">
        <v>2212208.8134567682</v>
      </c>
      <c r="L368" s="87">
        <v>0</v>
      </c>
      <c r="M368" s="87">
        <v>0</v>
      </c>
      <c r="N368" s="87">
        <v>0</v>
      </c>
      <c r="O368" s="87">
        <v>1842354.5007533566</v>
      </c>
      <c r="P368" s="87">
        <v>0</v>
      </c>
      <c r="Q368" s="87">
        <v>0</v>
      </c>
      <c r="R368" s="87">
        <v>1842354.5007533566</v>
      </c>
      <c r="S368" s="87">
        <v>0</v>
      </c>
      <c r="T368" s="87">
        <v>0</v>
      </c>
      <c r="U368" s="87">
        <v>0</v>
      </c>
      <c r="V368" s="87">
        <v>0</v>
      </c>
      <c r="W368" s="87">
        <v>7517918</v>
      </c>
      <c r="X368" s="87">
        <v>7517918</v>
      </c>
      <c r="Y368" s="87">
        <v>0</v>
      </c>
      <c r="Z368" s="87">
        <v>9360272.5007533561</v>
      </c>
      <c r="AA368" s="87">
        <v>4124890.06</v>
      </c>
      <c r="AB368" s="87">
        <v>1361213.7197999998</v>
      </c>
      <c r="AC368" s="87">
        <v>0</v>
      </c>
      <c r="AD368" s="87">
        <v>5235382.4407533556</v>
      </c>
      <c r="AE368" s="87">
        <v>1727676.2054486072</v>
      </c>
      <c r="AF368">
        <v>1727676.2054486072</v>
      </c>
      <c r="AG368" s="87"/>
    </row>
    <row r="369" spans="1:33">
      <c r="A369" s="53" t="s">
        <v>1086</v>
      </c>
      <c r="B369" t="s">
        <v>214</v>
      </c>
      <c r="E369" t="s">
        <v>209</v>
      </c>
      <c r="F369" t="s">
        <v>209</v>
      </c>
      <c r="G369" t="s">
        <v>210</v>
      </c>
      <c r="H369" t="s">
        <v>346</v>
      </c>
      <c r="I369" t="s">
        <v>15</v>
      </c>
      <c r="J369" t="s">
        <v>928</v>
      </c>
      <c r="K369" s="87">
        <v>31445.364852608</v>
      </c>
      <c r="L369" s="87">
        <v>1344173.7987258551</v>
      </c>
      <c r="M369" s="87">
        <v>851261.96985338873</v>
      </c>
      <c r="N369" s="87">
        <v>492911.82887246634</v>
      </c>
      <c r="O369" s="87">
        <v>562204.21760814078</v>
      </c>
      <c r="P369" s="87">
        <v>0</v>
      </c>
      <c r="Q369" s="87">
        <v>0</v>
      </c>
      <c r="R369" s="87">
        <v>562204.21760814078</v>
      </c>
      <c r="S369" s="87">
        <v>49855</v>
      </c>
      <c r="T369" s="87">
        <v>0</v>
      </c>
      <c r="U369" s="87">
        <v>0</v>
      </c>
      <c r="V369" s="87">
        <v>0</v>
      </c>
      <c r="W369" s="87">
        <v>1313522</v>
      </c>
      <c r="X369" s="87">
        <v>1363377</v>
      </c>
      <c r="Y369" s="87">
        <v>0</v>
      </c>
      <c r="Z369" s="87">
        <v>1925581.2176081408</v>
      </c>
      <c r="AA369" s="87">
        <v>0</v>
      </c>
      <c r="AB369" s="87">
        <v>0</v>
      </c>
      <c r="AC369" s="87">
        <v>0</v>
      </c>
      <c r="AD369" s="87">
        <v>1925581.2176081408</v>
      </c>
      <c r="AE369" s="87">
        <v>635441.80181068636</v>
      </c>
      <c r="AF369">
        <v>635441.80181068636</v>
      </c>
      <c r="AG369" s="87"/>
    </row>
    <row r="370" spans="1:33">
      <c r="A370" s="53" t="s">
        <v>1087</v>
      </c>
      <c r="B370" t="s">
        <v>214</v>
      </c>
      <c r="C370" t="s">
        <v>209</v>
      </c>
      <c r="E370" t="s">
        <v>209</v>
      </c>
      <c r="F370" t="s">
        <v>209</v>
      </c>
      <c r="G370" t="s">
        <v>210</v>
      </c>
      <c r="H370" t="s">
        <v>228</v>
      </c>
      <c r="I370" t="s">
        <v>15</v>
      </c>
      <c r="J370" t="s">
        <v>885</v>
      </c>
      <c r="K370" s="87">
        <v>2465403.5320517737</v>
      </c>
      <c r="L370" s="87">
        <v>9699652.7675160635</v>
      </c>
      <c r="M370" s="87">
        <v>3609602.9646575013</v>
      </c>
      <c r="N370" s="87">
        <v>6090049.8028585622</v>
      </c>
      <c r="O370" s="87">
        <v>3609602.9646575013</v>
      </c>
      <c r="P370" s="87">
        <v>0</v>
      </c>
      <c r="Q370" s="87">
        <v>0</v>
      </c>
      <c r="R370" s="87">
        <v>3609602.9646575013</v>
      </c>
      <c r="S370" s="87">
        <v>0</v>
      </c>
      <c r="T370" s="87">
        <v>0</v>
      </c>
      <c r="U370" s="87">
        <v>1704467.5242303065</v>
      </c>
      <c r="V370" s="87">
        <v>0</v>
      </c>
      <c r="W370" s="87">
        <v>7380882.6251999997</v>
      </c>
      <c r="X370" s="87">
        <v>9085350.1494303066</v>
      </c>
      <c r="Y370" s="87">
        <v>0</v>
      </c>
      <c r="Z370" s="87">
        <v>12694953.114087809</v>
      </c>
      <c r="AA370" s="87">
        <v>5849233.4299999997</v>
      </c>
      <c r="AB370" s="87">
        <v>1930247.0318999996</v>
      </c>
      <c r="AC370" s="87">
        <v>0</v>
      </c>
      <c r="AD370" s="87">
        <v>6845719.6840878092</v>
      </c>
      <c r="AE370" s="87">
        <v>2259087.4957489772</v>
      </c>
      <c r="AF370">
        <v>2259087.4957489772</v>
      </c>
      <c r="AG370" s="87"/>
    </row>
    <row r="371" spans="1:33">
      <c r="A371" s="53" t="s">
        <v>1088</v>
      </c>
      <c r="B371" t="s">
        <v>214</v>
      </c>
      <c r="C371" t="s">
        <v>149</v>
      </c>
      <c r="E371" t="s">
        <v>209</v>
      </c>
      <c r="F371" t="s">
        <v>209</v>
      </c>
      <c r="G371" t="s">
        <v>210</v>
      </c>
      <c r="H371" t="s">
        <v>1089</v>
      </c>
      <c r="I371" t="s">
        <v>12</v>
      </c>
      <c r="J371" t="s">
        <v>513</v>
      </c>
      <c r="K371" s="87">
        <v>93427.776255923207</v>
      </c>
      <c r="L371" s="87">
        <v>0</v>
      </c>
      <c r="M371" s="87">
        <v>0</v>
      </c>
      <c r="N371" s="87">
        <v>0</v>
      </c>
      <c r="O371" s="87">
        <v>0</v>
      </c>
      <c r="P371" s="87">
        <v>0</v>
      </c>
      <c r="Q371" s="87">
        <v>0</v>
      </c>
      <c r="R371" s="87">
        <v>0</v>
      </c>
      <c r="S371" s="87">
        <v>0</v>
      </c>
      <c r="T371" s="87">
        <v>0</v>
      </c>
      <c r="U371" s="87">
        <v>0</v>
      </c>
      <c r="V371" s="87">
        <v>0</v>
      </c>
      <c r="W371" s="87">
        <v>680427</v>
      </c>
      <c r="X371" s="87">
        <v>680427</v>
      </c>
      <c r="Y371" s="87">
        <v>0</v>
      </c>
      <c r="Z371" s="87">
        <v>680427</v>
      </c>
      <c r="AA371" s="87">
        <v>0</v>
      </c>
      <c r="AB371" s="87">
        <v>0</v>
      </c>
      <c r="AC371" s="87">
        <v>0</v>
      </c>
      <c r="AD371" s="87">
        <v>680427</v>
      </c>
      <c r="AE371" s="87">
        <v>224540.90999999997</v>
      </c>
      <c r="AF371">
        <v>224540.90999999997</v>
      </c>
      <c r="AG371" s="87"/>
    </row>
    <row r="372" spans="1:33">
      <c r="A372" s="53" t="s">
        <v>1090</v>
      </c>
      <c r="B372" t="s">
        <v>214</v>
      </c>
      <c r="C372" t="s">
        <v>149</v>
      </c>
      <c r="E372" t="s">
        <v>209</v>
      </c>
      <c r="F372" t="s">
        <v>209</v>
      </c>
      <c r="G372" t="s">
        <v>210</v>
      </c>
      <c r="H372" t="s">
        <v>1091</v>
      </c>
      <c r="I372" t="s">
        <v>12</v>
      </c>
      <c r="J372" t="s">
        <v>1092</v>
      </c>
      <c r="K372" s="87">
        <v>-1609655.6090682382</v>
      </c>
      <c r="L372" s="87">
        <v>614113.24658639671</v>
      </c>
      <c r="M372" s="87">
        <v>41736.2715997696</v>
      </c>
      <c r="N372" s="87">
        <v>572376.97498662712</v>
      </c>
      <c r="O372" s="87">
        <v>591380.74601392634</v>
      </c>
      <c r="P372" s="87">
        <v>0</v>
      </c>
      <c r="Q372" s="87">
        <v>0</v>
      </c>
      <c r="R372" s="87">
        <v>591380.74601392634</v>
      </c>
      <c r="S372" s="87">
        <v>0</v>
      </c>
      <c r="T372" s="87">
        <v>0</v>
      </c>
      <c r="U372" s="87">
        <v>0</v>
      </c>
      <c r="V372" s="87">
        <v>0</v>
      </c>
      <c r="W372" s="87">
        <v>643566</v>
      </c>
      <c r="X372" s="87">
        <v>643566</v>
      </c>
      <c r="Y372" s="87">
        <v>0</v>
      </c>
      <c r="Z372" s="87">
        <v>1234946.7460139263</v>
      </c>
      <c r="AA372" s="87">
        <v>216647.04000000001</v>
      </c>
      <c r="AB372" s="87">
        <v>71493.523199999996</v>
      </c>
      <c r="AC372" s="87">
        <v>0</v>
      </c>
      <c r="AD372" s="87">
        <v>1018299.7060139263</v>
      </c>
      <c r="AE372" s="87">
        <v>336038.90298459562</v>
      </c>
      <c r="AF372">
        <v>336038.90298459562</v>
      </c>
      <c r="AG372" s="87"/>
    </row>
    <row r="373" spans="1:33">
      <c r="A373" s="53" t="s">
        <v>1094</v>
      </c>
      <c r="B373" t="s">
        <v>36</v>
      </c>
      <c r="D373" t="s">
        <v>1095</v>
      </c>
      <c r="E373" t="s">
        <v>209</v>
      </c>
      <c r="F373" t="s">
        <v>209</v>
      </c>
      <c r="G373" t="s">
        <v>210</v>
      </c>
      <c r="H373" t="s">
        <v>1096</v>
      </c>
      <c r="I373" t="s">
        <v>12</v>
      </c>
      <c r="J373" t="s">
        <v>457</v>
      </c>
      <c r="K373" s="87">
        <v>0</v>
      </c>
      <c r="L373" s="87">
        <v>0</v>
      </c>
      <c r="M373" s="87">
        <v>0</v>
      </c>
      <c r="N373" s="87">
        <v>0</v>
      </c>
      <c r="O373" s="87">
        <v>1660207.1926414245</v>
      </c>
      <c r="P373" s="87">
        <v>0</v>
      </c>
      <c r="Q373" s="87">
        <v>0</v>
      </c>
      <c r="R373" s="87">
        <v>1660207.1926414245</v>
      </c>
      <c r="S373" s="87">
        <v>0</v>
      </c>
      <c r="T373" s="87">
        <v>0</v>
      </c>
      <c r="U373" s="87">
        <v>0</v>
      </c>
      <c r="V373" s="87">
        <v>0</v>
      </c>
      <c r="W373" s="87">
        <v>0</v>
      </c>
      <c r="X373" s="87">
        <v>0</v>
      </c>
      <c r="Y373" s="87">
        <v>0</v>
      </c>
      <c r="Z373" s="87">
        <v>1660207.1926414245</v>
      </c>
      <c r="AA373" s="87">
        <v>772461.15</v>
      </c>
      <c r="AB373" s="87">
        <v>254912.17949999997</v>
      </c>
      <c r="AC373" s="87">
        <v>0</v>
      </c>
      <c r="AD373" s="87">
        <v>887746.04264142446</v>
      </c>
      <c r="AE373" s="87">
        <v>292956.19407167006</v>
      </c>
      <c r="AF373">
        <v>292956.19</v>
      </c>
      <c r="AG373" s="87"/>
    </row>
    <row r="374" spans="1:33">
      <c r="A374" s="53" t="s">
        <v>1097</v>
      </c>
      <c r="B374" t="s">
        <v>36</v>
      </c>
      <c r="D374" t="s">
        <v>1095</v>
      </c>
      <c r="E374" t="s">
        <v>209</v>
      </c>
      <c r="F374" t="s">
        <v>209</v>
      </c>
      <c r="G374" t="s">
        <v>210</v>
      </c>
      <c r="H374" t="s">
        <v>1098</v>
      </c>
      <c r="I374" t="s">
        <v>9</v>
      </c>
      <c r="J374" t="s">
        <v>725</v>
      </c>
      <c r="K374" s="87">
        <v>0</v>
      </c>
      <c r="L374" s="87">
        <v>0</v>
      </c>
      <c r="M374" s="87">
        <v>0</v>
      </c>
      <c r="N374" s="87">
        <v>0</v>
      </c>
      <c r="O374" s="87">
        <v>1633592.4778658811</v>
      </c>
      <c r="P374" s="87">
        <v>0</v>
      </c>
      <c r="Q374" s="87">
        <v>0</v>
      </c>
      <c r="R374" s="87">
        <v>1633592.4778658811</v>
      </c>
      <c r="S374" s="87">
        <v>0</v>
      </c>
      <c r="T374" s="87">
        <v>0</v>
      </c>
      <c r="U374" s="87">
        <v>0</v>
      </c>
      <c r="V374" s="87">
        <v>0</v>
      </c>
      <c r="W374" s="87">
        <v>0</v>
      </c>
      <c r="X374" s="87">
        <v>0</v>
      </c>
      <c r="Y374" s="87">
        <v>0</v>
      </c>
      <c r="Z374" s="87">
        <v>1633592.4778658811</v>
      </c>
      <c r="AA374" s="87">
        <v>484913.41</v>
      </c>
      <c r="AB374" s="87">
        <v>160021.42529999997</v>
      </c>
      <c r="AC374" s="87">
        <v>0</v>
      </c>
      <c r="AD374" s="87">
        <v>1148679.0678658811</v>
      </c>
      <c r="AE374" s="87">
        <v>379064.09239574068</v>
      </c>
      <c r="AF374">
        <v>379064.09</v>
      </c>
      <c r="AG374" s="87"/>
    </row>
    <row r="375" spans="1:33">
      <c r="A375" s="53" t="s">
        <v>1099</v>
      </c>
      <c r="B375" t="s">
        <v>36</v>
      </c>
      <c r="D375" t="s">
        <v>1095</v>
      </c>
      <c r="E375" t="s">
        <v>209</v>
      </c>
      <c r="F375" t="s">
        <v>209</v>
      </c>
      <c r="G375" t="s">
        <v>210</v>
      </c>
      <c r="H375" t="s">
        <v>1100</v>
      </c>
      <c r="I375" t="s">
        <v>5</v>
      </c>
      <c r="J375" t="s">
        <v>5</v>
      </c>
      <c r="K375" s="87">
        <v>0</v>
      </c>
      <c r="L375" s="87">
        <v>0</v>
      </c>
      <c r="M375" s="87">
        <v>0</v>
      </c>
      <c r="N375" s="87">
        <v>0</v>
      </c>
      <c r="O375" s="87">
        <v>6542740.0637753094</v>
      </c>
      <c r="P375" s="87">
        <v>0</v>
      </c>
      <c r="Q375" s="87">
        <v>0</v>
      </c>
      <c r="R375" s="87">
        <v>6542740.0637753094</v>
      </c>
      <c r="S375" s="87">
        <v>0</v>
      </c>
      <c r="T375" s="87">
        <v>0</v>
      </c>
      <c r="U375" s="87">
        <v>0</v>
      </c>
      <c r="V375" s="87">
        <v>0</v>
      </c>
      <c r="W375" s="87">
        <v>0</v>
      </c>
      <c r="X375" s="87">
        <v>0</v>
      </c>
      <c r="Y375" s="87">
        <v>0</v>
      </c>
      <c r="Z375" s="87">
        <v>6542740.0637753094</v>
      </c>
      <c r="AA375" s="87">
        <v>2820449.41</v>
      </c>
      <c r="AB375" s="87">
        <v>930748.30529999989</v>
      </c>
      <c r="AC375" s="87">
        <v>0</v>
      </c>
      <c r="AD375" s="87">
        <v>3722290.6537753092</v>
      </c>
      <c r="AE375" s="87">
        <v>1228355.9157458518</v>
      </c>
      <c r="AF375">
        <v>1228355.9157458518</v>
      </c>
      <c r="AG375" s="87"/>
    </row>
    <row r="376" spans="1:33">
      <c r="A376" s="53" t="s">
        <v>1101</v>
      </c>
      <c r="B376" t="s">
        <v>36</v>
      </c>
      <c r="D376" t="s">
        <v>1095</v>
      </c>
      <c r="E376" t="s">
        <v>209</v>
      </c>
      <c r="F376" t="s">
        <v>209</v>
      </c>
      <c r="G376" t="s">
        <v>210</v>
      </c>
      <c r="H376" t="s">
        <v>1102</v>
      </c>
      <c r="I376" t="s">
        <v>9</v>
      </c>
      <c r="J376" t="s">
        <v>9</v>
      </c>
      <c r="K376" s="87">
        <v>0</v>
      </c>
      <c r="L376" s="87">
        <v>0</v>
      </c>
      <c r="M376" s="87">
        <v>0</v>
      </c>
      <c r="N376" s="87">
        <v>0</v>
      </c>
      <c r="O376" s="87">
        <v>8247711.6077478454</v>
      </c>
      <c r="P376" s="87">
        <v>0</v>
      </c>
      <c r="Q376" s="87">
        <v>0</v>
      </c>
      <c r="R376" s="87">
        <v>8247711.6077478454</v>
      </c>
      <c r="S376" s="87">
        <v>0</v>
      </c>
      <c r="T376" s="87">
        <v>0</v>
      </c>
      <c r="U376" s="87">
        <v>0</v>
      </c>
      <c r="V376" s="87">
        <v>0</v>
      </c>
      <c r="W376" s="87">
        <v>0</v>
      </c>
      <c r="X376" s="87">
        <v>0</v>
      </c>
      <c r="Y376" s="87">
        <v>0</v>
      </c>
      <c r="Z376" s="87">
        <v>8247711.6077478454</v>
      </c>
      <c r="AA376" s="87">
        <v>2797741.58</v>
      </c>
      <c r="AB376" s="87">
        <v>923254.72139999992</v>
      </c>
      <c r="AC376" s="87">
        <v>0</v>
      </c>
      <c r="AD376" s="87">
        <v>5449970.0277478453</v>
      </c>
      <c r="AE376" s="87">
        <v>1798490.1091567886</v>
      </c>
      <c r="AF376">
        <v>1798490.11</v>
      </c>
      <c r="AG376" s="87"/>
    </row>
    <row r="377" spans="1:33">
      <c r="A377" s="53" t="s">
        <v>1103</v>
      </c>
      <c r="B377" t="s">
        <v>36</v>
      </c>
      <c r="D377" t="s">
        <v>1095</v>
      </c>
      <c r="E377" t="s">
        <v>209</v>
      </c>
      <c r="F377" t="s">
        <v>209</v>
      </c>
      <c r="G377" t="s">
        <v>210</v>
      </c>
      <c r="H377" t="s">
        <v>1104</v>
      </c>
      <c r="I377" t="s">
        <v>3</v>
      </c>
      <c r="J377" t="s">
        <v>3</v>
      </c>
      <c r="K377" s="87">
        <v>0</v>
      </c>
      <c r="L377" s="87">
        <v>0</v>
      </c>
      <c r="M377" s="87">
        <v>0</v>
      </c>
      <c r="N377" s="87">
        <v>0</v>
      </c>
      <c r="O377" s="87">
        <v>1375863.520162716</v>
      </c>
      <c r="P377" s="87">
        <v>0</v>
      </c>
      <c r="Q377" s="87">
        <v>0</v>
      </c>
      <c r="R377" s="87">
        <v>1375863.520162716</v>
      </c>
      <c r="S377" s="87">
        <v>0</v>
      </c>
      <c r="T377" s="87">
        <v>0</v>
      </c>
      <c r="U377" s="87">
        <v>0</v>
      </c>
      <c r="V377" s="87">
        <v>0</v>
      </c>
      <c r="W377" s="87">
        <v>0</v>
      </c>
      <c r="X377" s="87">
        <v>0</v>
      </c>
      <c r="Y377" s="87">
        <v>0</v>
      </c>
      <c r="Z377" s="87">
        <v>1375863.520162716</v>
      </c>
      <c r="AA377" s="87">
        <v>609043.38</v>
      </c>
      <c r="AB377" s="87">
        <v>200984.31539999996</v>
      </c>
      <c r="AC377" s="87">
        <v>0</v>
      </c>
      <c r="AD377" s="87">
        <v>766820.14016271604</v>
      </c>
      <c r="AE377" s="87">
        <v>253050.64625369629</v>
      </c>
      <c r="AF377">
        <v>253050.64625369629</v>
      </c>
      <c r="AG377" s="87"/>
    </row>
    <row r="378" spans="1:33">
      <c r="A378" s="53" t="s">
        <v>1105</v>
      </c>
      <c r="B378" t="s">
        <v>36</v>
      </c>
      <c r="D378" t="s">
        <v>1106</v>
      </c>
      <c r="E378" t="s">
        <v>209</v>
      </c>
      <c r="F378" t="s">
        <v>209</v>
      </c>
      <c r="G378" t="s">
        <v>210</v>
      </c>
      <c r="H378" t="s">
        <v>1107</v>
      </c>
      <c r="I378" t="s">
        <v>3</v>
      </c>
      <c r="J378" t="s">
        <v>3</v>
      </c>
      <c r="K378" s="87">
        <v>0</v>
      </c>
      <c r="L378" s="87">
        <v>0</v>
      </c>
      <c r="M378" s="87">
        <v>0</v>
      </c>
      <c r="N378" s="87">
        <v>0</v>
      </c>
      <c r="O378" s="87">
        <v>7653307.4121672399</v>
      </c>
      <c r="P378" s="87">
        <v>0</v>
      </c>
      <c r="Q378" s="87">
        <v>0</v>
      </c>
      <c r="R378" s="87">
        <v>7653307.4121672399</v>
      </c>
      <c r="S378" s="87">
        <v>0</v>
      </c>
      <c r="T378" s="87">
        <v>0</v>
      </c>
      <c r="U378" s="87">
        <v>0</v>
      </c>
      <c r="V378" s="87">
        <v>0</v>
      </c>
      <c r="W378" s="87">
        <v>0</v>
      </c>
      <c r="X378" s="87">
        <v>0</v>
      </c>
      <c r="Y378" s="87">
        <v>0</v>
      </c>
      <c r="Z378" s="87">
        <v>7653307.4121672399</v>
      </c>
      <c r="AA378" s="87">
        <v>1814446.5</v>
      </c>
      <c r="AB378" s="87">
        <v>598767.34499999997</v>
      </c>
      <c r="AC378" s="87">
        <v>0</v>
      </c>
      <c r="AD378" s="87">
        <v>5838860.9121672399</v>
      </c>
      <c r="AE378" s="87">
        <v>1926824.101015189</v>
      </c>
      <c r="AF378">
        <v>1926824.101015189</v>
      </c>
      <c r="AG378" s="87"/>
    </row>
    <row r="379" spans="1:33">
      <c r="A379" s="53" t="s">
        <v>1108</v>
      </c>
      <c r="B379" t="s">
        <v>36</v>
      </c>
      <c r="D379" t="s">
        <v>1095</v>
      </c>
      <c r="E379" t="s">
        <v>209</v>
      </c>
      <c r="F379" t="s">
        <v>209</v>
      </c>
      <c r="G379" t="s">
        <v>210</v>
      </c>
      <c r="H379" t="s">
        <v>308</v>
      </c>
      <c r="I379" t="s">
        <v>6</v>
      </c>
      <c r="J379" t="s">
        <v>309</v>
      </c>
      <c r="K379" s="87">
        <v>0</v>
      </c>
      <c r="L379" s="87">
        <v>0</v>
      </c>
      <c r="M379" s="87">
        <v>0</v>
      </c>
      <c r="N379" s="87">
        <v>0</v>
      </c>
      <c r="O379" s="87">
        <v>2649897.382601738</v>
      </c>
      <c r="P379" s="87">
        <v>0</v>
      </c>
      <c r="Q379" s="87">
        <v>0</v>
      </c>
      <c r="R379" s="87">
        <v>2649897.382601738</v>
      </c>
      <c r="S379" s="87">
        <v>0</v>
      </c>
      <c r="T379" s="87">
        <v>0</v>
      </c>
      <c r="U379" s="87">
        <v>0</v>
      </c>
      <c r="V379" s="87">
        <v>0</v>
      </c>
      <c r="W379" s="87">
        <v>0</v>
      </c>
      <c r="X379" s="87">
        <v>0</v>
      </c>
      <c r="Y379" s="87">
        <v>0</v>
      </c>
      <c r="Z379" s="87">
        <v>2649897.382601738</v>
      </c>
      <c r="AA379" s="87">
        <v>1210677.1599999999</v>
      </c>
      <c r="AB379" s="87">
        <v>399523.46279999992</v>
      </c>
      <c r="AC379" s="87">
        <v>0</v>
      </c>
      <c r="AD379" s="87">
        <v>1439220.2226017381</v>
      </c>
      <c r="AE379" s="87">
        <v>474942.67345857347</v>
      </c>
      <c r="AF379">
        <v>474942.67345857347</v>
      </c>
      <c r="AG379" s="87"/>
    </row>
    <row r="380" spans="1:33">
      <c r="A380" s="53" t="s">
        <v>1109</v>
      </c>
      <c r="B380" t="s">
        <v>36</v>
      </c>
      <c r="D380" t="s">
        <v>1095</v>
      </c>
      <c r="E380" t="s">
        <v>209</v>
      </c>
      <c r="F380" t="s">
        <v>209</v>
      </c>
      <c r="G380" t="s">
        <v>210</v>
      </c>
      <c r="H380" t="s">
        <v>1110</v>
      </c>
      <c r="I380" t="s">
        <v>6</v>
      </c>
      <c r="J380" t="s">
        <v>6</v>
      </c>
      <c r="K380" s="87">
        <v>0</v>
      </c>
      <c r="L380" s="87">
        <v>0</v>
      </c>
      <c r="M380" s="87">
        <v>0</v>
      </c>
      <c r="N380" s="87">
        <v>0</v>
      </c>
      <c r="O380" s="87">
        <v>17401701.179420464</v>
      </c>
      <c r="P380" s="87">
        <v>0</v>
      </c>
      <c r="Q380" s="87">
        <v>0</v>
      </c>
      <c r="R380" s="87">
        <v>17401701.179420464</v>
      </c>
      <c r="S380" s="87">
        <v>0</v>
      </c>
      <c r="T380" s="87">
        <v>0</v>
      </c>
      <c r="U380" s="87">
        <v>0</v>
      </c>
      <c r="V380" s="87">
        <v>0</v>
      </c>
      <c r="W380" s="87">
        <v>0</v>
      </c>
      <c r="X380" s="87">
        <v>0</v>
      </c>
      <c r="Y380" s="87">
        <v>0</v>
      </c>
      <c r="Z380" s="87">
        <v>17401701.179420464</v>
      </c>
      <c r="AA380" s="87">
        <v>13976223.84</v>
      </c>
      <c r="AB380" s="87">
        <v>4612153.8671999993</v>
      </c>
      <c r="AC380" s="87">
        <v>0</v>
      </c>
      <c r="AD380" s="87">
        <v>3425477.3394204639</v>
      </c>
      <c r="AE380" s="87">
        <v>1130407.5220087534</v>
      </c>
      <c r="AF380">
        <v>1130407.5220087534</v>
      </c>
      <c r="AG380" s="87"/>
    </row>
    <row r="381" spans="1:33">
      <c r="A381" s="53" t="s">
        <v>1111</v>
      </c>
      <c r="B381" t="s">
        <v>36</v>
      </c>
      <c r="D381" t="s">
        <v>1106</v>
      </c>
      <c r="E381" t="s">
        <v>209</v>
      </c>
      <c r="F381" t="s">
        <v>209</v>
      </c>
      <c r="G381" t="s">
        <v>210</v>
      </c>
      <c r="H381" t="s">
        <v>1112</v>
      </c>
      <c r="I381" t="s">
        <v>10</v>
      </c>
      <c r="J381" t="s">
        <v>327</v>
      </c>
      <c r="K381" s="87">
        <v>0</v>
      </c>
      <c r="L381" s="87">
        <v>0</v>
      </c>
      <c r="M381" s="87">
        <v>0</v>
      </c>
      <c r="N381" s="87">
        <v>0</v>
      </c>
      <c r="O381" s="87">
        <v>22684027.540432937</v>
      </c>
      <c r="P381" s="87">
        <v>0</v>
      </c>
      <c r="Q381" s="87">
        <v>0</v>
      </c>
      <c r="R381" s="87">
        <v>22684027.540432937</v>
      </c>
      <c r="S381" s="87">
        <v>0</v>
      </c>
      <c r="T381" s="87">
        <v>0</v>
      </c>
      <c r="U381" s="87">
        <v>0</v>
      </c>
      <c r="V381" s="87">
        <v>0</v>
      </c>
      <c r="W381" s="87">
        <v>0</v>
      </c>
      <c r="X381" s="87">
        <v>0</v>
      </c>
      <c r="Y381" s="87">
        <v>0</v>
      </c>
      <c r="Z381" s="87">
        <v>22684027.540432937</v>
      </c>
      <c r="AA381" s="87">
        <v>6311380.5599999996</v>
      </c>
      <c r="AB381" s="87">
        <v>2082755.5847999996</v>
      </c>
      <c r="AC381" s="87">
        <v>0</v>
      </c>
      <c r="AD381" s="87">
        <v>16372646.980432939</v>
      </c>
      <c r="AE381" s="87">
        <v>5402973.5035428694</v>
      </c>
      <c r="AF381">
        <v>5402973.5035428694</v>
      </c>
      <c r="AG381" s="87"/>
    </row>
    <row r="382" spans="1:33">
      <c r="A382" s="53" t="s">
        <v>1113</v>
      </c>
      <c r="B382" t="s">
        <v>36</v>
      </c>
      <c r="D382" t="s">
        <v>1106</v>
      </c>
      <c r="E382" t="s">
        <v>209</v>
      </c>
      <c r="F382" t="s">
        <v>209</v>
      </c>
      <c r="G382" t="s">
        <v>210</v>
      </c>
      <c r="H382" t="s">
        <v>1114</v>
      </c>
      <c r="I382" t="s">
        <v>4</v>
      </c>
      <c r="J382" t="s">
        <v>4</v>
      </c>
      <c r="K382" s="87">
        <v>0</v>
      </c>
      <c r="L382" s="87">
        <v>0</v>
      </c>
      <c r="M382" s="87">
        <v>0</v>
      </c>
      <c r="N382" s="87">
        <v>0</v>
      </c>
      <c r="O382" s="87">
        <v>4004496.4877925497</v>
      </c>
      <c r="P382" s="87">
        <v>0</v>
      </c>
      <c r="Q382" s="87">
        <v>0</v>
      </c>
      <c r="R382" s="87">
        <v>4004496.4877925497</v>
      </c>
      <c r="S382" s="87">
        <v>0</v>
      </c>
      <c r="T382" s="87">
        <v>0</v>
      </c>
      <c r="U382" s="87">
        <v>0</v>
      </c>
      <c r="V382" s="87">
        <v>0</v>
      </c>
      <c r="W382" s="87">
        <v>0</v>
      </c>
      <c r="X382" s="87">
        <v>0</v>
      </c>
      <c r="Y382" s="87">
        <v>0</v>
      </c>
      <c r="Z382" s="87">
        <v>4004496.4877925497</v>
      </c>
      <c r="AA382" s="87">
        <v>3101538.83</v>
      </c>
      <c r="AB382" s="87">
        <v>1023507.8139</v>
      </c>
      <c r="AC382" s="87">
        <v>0</v>
      </c>
      <c r="AD382" s="87">
        <v>902957.65779254958</v>
      </c>
      <c r="AE382" s="87">
        <v>297976.02707154118</v>
      </c>
      <c r="AF382">
        <v>297976.02707154118</v>
      </c>
      <c r="AG382" s="87"/>
    </row>
    <row r="383" spans="1:33">
      <c r="A383" s="53" t="s">
        <v>1115</v>
      </c>
      <c r="B383" t="s">
        <v>36</v>
      </c>
      <c r="D383" t="s">
        <v>1095</v>
      </c>
      <c r="E383" t="s">
        <v>209</v>
      </c>
      <c r="F383" t="s">
        <v>209</v>
      </c>
      <c r="G383" t="s">
        <v>210</v>
      </c>
      <c r="H383" t="s">
        <v>1116</v>
      </c>
      <c r="I383" t="s">
        <v>14</v>
      </c>
      <c r="J383" t="s">
        <v>14</v>
      </c>
      <c r="K383" s="87">
        <v>0</v>
      </c>
      <c r="L383" s="87">
        <v>0</v>
      </c>
      <c r="M383" s="87">
        <v>0</v>
      </c>
      <c r="N383" s="87">
        <v>0</v>
      </c>
      <c r="O383" s="87">
        <v>160034.43621855351</v>
      </c>
      <c r="P383" s="87">
        <v>0</v>
      </c>
      <c r="Q383" s="87">
        <v>0</v>
      </c>
      <c r="R383" s="87">
        <v>160034.43621855351</v>
      </c>
      <c r="S383" s="87">
        <v>0</v>
      </c>
      <c r="T383" s="87">
        <v>0</v>
      </c>
      <c r="U383" s="87">
        <v>0</v>
      </c>
      <c r="V383" s="87">
        <v>0</v>
      </c>
      <c r="W383" s="87">
        <v>0</v>
      </c>
      <c r="X383" s="87">
        <v>0</v>
      </c>
      <c r="Y383" s="87">
        <v>0</v>
      </c>
      <c r="Z383" s="87">
        <v>160034.43621855351</v>
      </c>
      <c r="AA383" s="87">
        <v>55389.760000000002</v>
      </c>
      <c r="AB383" s="87">
        <v>18278.620799999997</v>
      </c>
      <c r="AC383" s="87">
        <v>0</v>
      </c>
      <c r="AD383" s="87">
        <v>104644.6762185535</v>
      </c>
      <c r="AE383" s="87">
        <v>34532.743152122654</v>
      </c>
      <c r="AF383">
        <v>34532.743152122654</v>
      </c>
      <c r="AG383" s="87"/>
    </row>
    <row r="384" spans="1:33">
      <c r="A384" s="53" t="s">
        <v>1117</v>
      </c>
      <c r="B384" t="s">
        <v>36</v>
      </c>
      <c r="D384" t="s">
        <v>1106</v>
      </c>
      <c r="E384" t="s">
        <v>209</v>
      </c>
      <c r="F384" t="s">
        <v>209</v>
      </c>
      <c r="G384" t="s">
        <v>210</v>
      </c>
      <c r="H384" t="s">
        <v>1118</v>
      </c>
      <c r="I384" t="s">
        <v>9</v>
      </c>
      <c r="J384" t="s">
        <v>9</v>
      </c>
      <c r="K384" s="87">
        <v>0</v>
      </c>
      <c r="L384" s="87">
        <v>0</v>
      </c>
      <c r="M384" s="87">
        <v>0</v>
      </c>
      <c r="N384" s="87">
        <v>0</v>
      </c>
      <c r="O384" s="87">
        <v>42.030723827191416</v>
      </c>
      <c r="P384" s="87">
        <v>0</v>
      </c>
      <c r="Q384" s="87">
        <v>0</v>
      </c>
      <c r="R384" s="87">
        <v>42.030723827191416</v>
      </c>
      <c r="S384" s="87">
        <v>0</v>
      </c>
      <c r="T384" s="87">
        <v>0</v>
      </c>
      <c r="U384" s="87">
        <v>0</v>
      </c>
      <c r="V384" s="87">
        <v>0</v>
      </c>
      <c r="W384" s="87">
        <v>0</v>
      </c>
      <c r="X384" s="87">
        <v>0</v>
      </c>
      <c r="Y384" s="87">
        <v>0</v>
      </c>
      <c r="Z384" s="87">
        <v>42.030723827191416</v>
      </c>
      <c r="AA384" s="87">
        <v>9736.85</v>
      </c>
      <c r="AB384" s="87">
        <v>3213.1605</v>
      </c>
      <c r="AC384" s="87">
        <v>0</v>
      </c>
      <c r="AD384" s="87">
        <v>-9694.8192761728096</v>
      </c>
      <c r="AE384" s="87">
        <v>-3199.2903611370266</v>
      </c>
      <c r="AF384">
        <v>0</v>
      </c>
      <c r="AG384" s="87"/>
    </row>
    <row r="385" spans="1:33">
      <c r="A385" s="53" t="s">
        <v>1119</v>
      </c>
      <c r="B385" t="s">
        <v>36</v>
      </c>
      <c r="D385" t="s">
        <v>1106</v>
      </c>
      <c r="E385" t="s">
        <v>209</v>
      </c>
      <c r="F385" t="s">
        <v>209</v>
      </c>
      <c r="G385" t="s">
        <v>210</v>
      </c>
      <c r="H385" t="s">
        <v>1120</v>
      </c>
      <c r="I385" t="s">
        <v>9</v>
      </c>
      <c r="J385" t="s">
        <v>9</v>
      </c>
      <c r="K385" s="87">
        <v>0</v>
      </c>
      <c r="L385" s="87">
        <v>0</v>
      </c>
      <c r="M385" s="87">
        <v>0</v>
      </c>
      <c r="N385" s="87">
        <v>0</v>
      </c>
      <c r="O385" s="87">
        <v>34887.997970627664</v>
      </c>
      <c r="P385" s="87">
        <v>0</v>
      </c>
      <c r="Q385" s="87">
        <v>0</v>
      </c>
      <c r="R385" s="87">
        <v>34887.997970627664</v>
      </c>
      <c r="S385" s="87">
        <v>0</v>
      </c>
      <c r="T385" s="87">
        <v>0</v>
      </c>
      <c r="U385" s="87">
        <v>0</v>
      </c>
      <c r="V385" s="87">
        <v>0</v>
      </c>
      <c r="W385" s="87">
        <v>0</v>
      </c>
      <c r="X385" s="87">
        <v>0</v>
      </c>
      <c r="Y385" s="87">
        <v>0</v>
      </c>
      <c r="Z385" s="87">
        <v>34887.997970627664</v>
      </c>
      <c r="AA385" s="87">
        <v>7799.29</v>
      </c>
      <c r="AB385" s="87">
        <v>2573.7656999999995</v>
      </c>
      <c r="AC385" s="87">
        <v>0</v>
      </c>
      <c r="AD385" s="87">
        <v>27088.707970627664</v>
      </c>
      <c r="AE385" s="87">
        <v>8939.2736303071288</v>
      </c>
      <c r="AF385">
        <v>8939.2736303071288</v>
      </c>
      <c r="AG385" s="87"/>
    </row>
    <row r="386" spans="1:33">
      <c r="A386" t="s">
        <v>1121</v>
      </c>
      <c r="B386" t="s">
        <v>36</v>
      </c>
      <c r="D386" t="s">
        <v>1095</v>
      </c>
      <c r="H386" t="s">
        <v>1122</v>
      </c>
      <c r="I386" t="s">
        <v>10</v>
      </c>
      <c r="J386" t="s">
        <v>553</v>
      </c>
      <c r="K386" s="5">
        <v>0</v>
      </c>
      <c r="L386" s="5">
        <v>0</v>
      </c>
      <c r="M386" s="5">
        <v>0</v>
      </c>
      <c r="N386" s="5">
        <v>0</v>
      </c>
      <c r="O386" s="5">
        <v>0</v>
      </c>
      <c r="P386" s="5">
        <v>0</v>
      </c>
      <c r="Q386" s="5">
        <v>0</v>
      </c>
      <c r="R386" s="5">
        <v>0</v>
      </c>
      <c r="S386" s="5">
        <v>0</v>
      </c>
      <c r="T386" s="5">
        <v>0</v>
      </c>
      <c r="U386" s="5">
        <v>0</v>
      </c>
      <c r="V386" s="5">
        <v>0</v>
      </c>
      <c r="W386" s="5">
        <v>0</v>
      </c>
      <c r="X386" s="5">
        <v>0</v>
      </c>
      <c r="Y386" s="5">
        <v>0</v>
      </c>
      <c r="Z386" s="5">
        <v>0</v>
      </c>
      <c r="AA386" s="5">
        <v>47692.82</v>
      </c>
      <c r="AB386" s="5">
        <v>15738.630599999999</v>
      </c>
      <c r="AC386">
        <v>0</v>
      </c>
      <c r="AD386" s="87">
        <v>-47692.82</v>
      </c>
      <c r="AE386" s="87">
        <v>-15738.630599999999</v>
      </c>
      <c r="AF386">
        <v>0</v>
      </c>
      <c r="AG386" s="87"/>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33"/>
  <sheetViews>
    <sheetView workbookViewId="0">
      <selection activeCell="A3" sqref="A3"/>
    </sheetView>
  </sheetViews>
  <sheetFormatPr defaultRowHeight="12.75"/>
  <cols>
    <col min="1" max="1" width="21.42578125" bestFit="1" customWidth="1"/>
    <col min="2" max="2" width="22.5703125" bestFit="1" customWidth="1"/>
    <col min="3" max="3" width="12.5703125" bestFit="1" customWidth="1"/>
    <col min="4" max="4" width="50.85546875" bestFit="1" customWidth="1"/>
    <col min="5" max="5" width="15.140625" bestFit="1" customWidth="1"/>
    <col min="6" max="6" width="51.140625" bestFit="1" customWidth="1"/>
    <col min="7" max="7" width="15.140625" bestFit="1" customWidth="1"/>
    <col min="8" max="8" width="18.42578125" bestFit="1" customWidth="1"/>
    <col min="9" max="10" width="14" bestFit="1" customWidth="1"/>
  </cols>
  <sheetData>
    <row r="1" spans="1:10">
      <c r="I1" t="s">
        <v>1142</v>
      </c>
      <c r="J1" t="s">
        <v>1143</v>
      </c>
    </row>
    <row r="2" spans="1:10" ht="38.25">
      <c r="A2" s="123" t="s">
        <v>76</v>
      </c>
      <c r="B2" s="123" t="s">
        <v>77</v>
      </c>
      <c r="C2" s="123" t="s">
        <v>149</v>
      </c>
      <c r="D2" s="123" t="s">
        <v>78</v>
      </c>
      <c r="E2" s="123" t="s">
        <v>151</v>
      </c>
      <c r="F2" s="123" t="s">
        <v>79</v>
      </c>
      <c r="G2" s="138" t="s">
        <v>80</v>
      </c>
      <c r="H2" s="138" t="s">
        <v>81</v>
      </c>
      <c r="I2" s="145" t="s">
        <v>201</v>
      </c>
      <c r="J2" s="146" t="s">
        <v>202</v>
      </c>
    </row>
    <row r="3" spans="1:10">
      <c r="A3" s="91" t="s">
        <v>258</v>
      </c>
      <c r="B3" s="91" t="s">
        <v>214</v>
      </c>
      <c r="C3" s="91"/>
      <c r="D3" s="91" t="s">
        <v>209</v>
      </c>
      <c r="E3" s="91" t="s">
        <v>209</v>
      </c>
      <c r="F3" s="91" t="s">
        <v>259</v>
      </c>
      <c r="G3" s="91" t="s">
        <v>4</v>
      </c>
      <c r="H3" s="91" t="s">
        <v>260</v>
      </c>
      <c r="I3" s="154">
        <v>-427165.92357367324</v>
      </c>
      <c r="J3" s="154">
        <v>-140964.75559999992</v>
      </c>
    </row>
    <row r="4" spans="1:10">
      <c r="A4" s="91" t="s">
        <v>276</v>
      </c>
      <c r="B4" s="91" t="s">
        <v>208</v>
      </c>
      <c r="C4" s="91" t="s">
        <v>149</v>
      </c>
      <c r="D4" s="91" t="s">
        <v>209</v>
      </c>
      <c r="E4" s="91" t="s">
        <v>209</v>
      </c>
      <c r="F4" s="91" t="s">
        <v>277</v>
      </c>
      <c r="G4" s="91" t="s">
        <v>8</v>
      </c>
      <c r="H4" s="91" t="s">
        <v>278</v>
      </c>
      <c r="I4" s="154">
        <v>-80103.604254827631</v>
      </c>
      <c r="J4" s="154">
        <v>-26434.193699999989</v>
      </c>
    </row>
    <row r="5" spans="1:10">
      <c r="A5" s="91" t="s">
        <v>285</v>
      </c>
      <c r="B5" s="91" t="s">
        <v>286</v>
      </c>
      <c r="C5" s="91">
        <v>0</v>
      </c>
      <c r="D5" s="91" t="s">
        <v>287</v>
      </c>
      <c r="E5" s="91" t="s">
        <v>209</v>
      </c>
      <c r="F5" s="91" t="s">
        <v>288</v>
      </c>
      <c r="G5" s="91" t="s">
        <v>14</v>
      </c>
      <c r="H5" s="91" t="s">
        <v>14</v>
      </c>
      <c r="I5" s="154">
        <v>-16454.810000000001</v>
      </c>
      <c r="J5" s="154">
        <v>-5430.0873000000001</v>
      </c>
    </row>
    <row r="6" spans="1:10">
      <c r="A6" s="91" t="s">
        <v>294</v>
      </c>
      <c r="B6" s="91" t="s">
        <v>286</v>
      </c>
      <c r="C6" s="91">
        <v>0</v>
      </c>
      <c r="D6" s="91" t="s">
        <v>287</v>
      </c>
      <c r="E6" s="91" t="s">
        <v>209</v>
      </c>
      <c r="F6" s="91" t="s">
        <v>295</v>
      </c>
      <c r="G6" s="91" t="s">
        <v>6</v>
      </c>
      <c r="H6" s="91" t="s">
        <v>6</v>
      </c>
      <c r="I6" s="154">
        <v>-5312.63</v>
      </c>
      <c r="J6" s="154">
        <v>-1753.1678999999999</v>
      </c>
    </row>
    <row r="7" spans="1:10">
      <c r="A7" s="91" t="s">
        <v>348</v>
      </c>
      <c r="B7" s="91" t="s">
        <v>208</v>
      </c>
      <c r="C7" s="91" t="s">
        <v>149</v>
      </c>
      <c r="D7" s="91" t="s">
        <v>209</v>
      </c>
      <c r="E7" s="91" t="s">
        <v>209</v>
      </c>
      <c r="F7" s="91" t="s">
        <v>349</v>
      </c>
      <c r="G7" s="91" t="s">
        <v>12</v>
      </c>
      <c r="H7" s="91" t="s">
        <v>350</v>
      </c>
      <c r="I7" s="154">
        <v>-106146.84276224722</v>
      </c>
      <c r="J7" s="154">
        <v>-35028.466099999991</v>
      </c>
    </row>
    <row r="8" spans="1:10">
      <c r="A8" s="91" t="s">
        <v>477</v>
      </c>
      <c r="B8" s="91" t="s">
        <v>286</v>
      </c>
      <c r="C8" s="91"/>
      <c r="D8" s="91" t="s">
        <v>287</v>
      </c>
      <c r="E8" s="91" t="s">
        <v>209</v>
      </c>
      <c r="F8" s="91" t="s">
        <v>478</v>
      </c>
      <c r="G8" s="91" t="s">
        <v>4</v>
      </c>
      <c r="H8" s="91" t="s">
        <v>479</v>
      </c>
      <c r="I8" s="154">
        <v>-1938.435371367158</v>
      </c>
      <c r="J8" s="154">
        <v>-639.68979999999988</v>
      </c>
    </row>
    <row r="9" spans="1:10">
      <c r="A9" s="91" t="s">
        <v>713</v>
      </c>
      <c r="B9" s="91" t="s">
        <v>208</v>
      </c>
      <c r="C9" s="91" t="s">
        <v>209</v>
      </c>
      <c r="D9" s="91" t="s">
        <v>209</v>
      </c>
      <c r="E9" s="91" t="s">
        <v>209</v>
      </c>
      <c r="F9" s="91" t="s">
        <v>714</v>
      </c>
      <c r="G9" s="91" t="s">
        <v>9</v>
      </c>
      <c r="H9" s="91" t="s">
        <v>9</v>
      </c>
      <c r="I9" s="154">
        <v>-99191.725274214652</v>
      </c>
      <c r="J9" s="154">
        <v>-32733.273599999993</v>
      </c>
    </row>
    <row r="10" spans="1:10">
      <c r="A10" s="91" t="s">
        <v>850</v>
      </c>
      <c r="B10" s="91" t="s">
        <v>286</v>
      </c>
      <c r="C10" s="91" t="s">
        <v>209</v>
      </c>
      <c r="D10" s="91" t="s">
        <v>287</v>
      </c>
      <c r="E10" s="91" t="s">
        <v>209</v>
      </c>
      <c r="F10" s="91" t="s">
        <v>851</v>
      </c>
      <c r="G10" s="91" t="s">
        <v>5</v>
      </c>
      <c r="H10" s="91" t="s">
        <v>5</v>
      </c>
      <c r="I10" s="154">
        <v>-21207.977191878475</v>
      </c>
      <c r="J10" s="154">
        <v>-6998.6412999999993</v>
      </c>
    </row>
    <row r="11" spans="1:10">
      <c r="A11" s="91" t="s">
        <v>899</v>
      </c>
      <c r="B11" s="91" t="s">
        <v>286</v>
      </c>
      <c r="C11" s="91" t="s">
        <v>209</v>
      </c>
      <c r="D11" s="91" t="s">
        <v>287</v>
      </c>
      <c r="E11" s="91" t="s">
        <v>209</v>
      </c>
      <c r="F11" s="91" t="s">
        <v>900</v>
      </c>
      <c r="G11" s="91" t="s">
        <v>6</v>
      </c>
      <c r="H11" s="91" t="s">
        <v>6</v>
      </c>
      <c r="I11" s="154">
        <v>-19842.339970308785</v>
      </c>
      <c r="J11" s="154">
        <v>-6547.9756999999991</v>
      </c>
    </row>
    <row r="12" spans="1:10">
      <c r="A12" s="91" t="s">
        <v>910</v>
      </c>
      <c r="B12" s="91" t="s">
        <v>214</v>
      </c>
      <c r="C12" s="91" t="s">
        <v>149</v>
      </c>
      <c r="D12" s="91" t="s">
        <v>209</v>
      </c>
      <c r="E12" s="91" t="s">
        <v>209</v>
      </c>
      <c r="F12" s="91" t="s">
        <v>911</v>
      </c>
      <c r="G12" s="91" t="s">
        <v>10</v>
      </c>
      <c r="H12" s="91" t="s">
        <v>912</v>
      </c>
      <c r="I12" s="154">
        <v>-63438.077925354592</v>
      </c>
      <c r="J12" s="154">
        <v>-20934.571499999962</v>
      </c>
    </row>
    <row r="13" spans="1:10">
      <c r="A13" s="91" t="s">
        <v>987</v>
      </c>
      <c r="B13" s="91" t="s">
        <v>286</v>
      </c>
      <c r="C13" s="91" t="s">
        <v>209</v>
      </c>
      <c r="D13" s="91" t="s">
        <v>287</v>
      </c>
      <c r="E13" s="91" t="s">
        <v>209</v>
      </c>
      <c r="F13" s="91" t="s">
        <v>988</v>
      </c>
      <c r="G13" s="91" t="s">
        <v>15</v>
      </c>
      <c r="H13" s="91" t="s">
        <v>242</v>
      </c>
      <c r="I13" s="154">
        <v>-28174.683451090295</v>
      </c>
      <c r="J13" s="154">
        <v>-9297.6486999999997</v>
      </c>
    </row>
    <row r="14" spans="1:10">
      <c r="A14" s="91" t="s">
        <v>1117</v>
      </c>
      <c r="B14" s="91" t="s">
        <v>36</v>
      </c>
      <c r="C14" s="91"/>
      <c r="D14" s="91" t="s">
        <v>209</v>
      </c>
      <c r="E14" s="91" t="s">
        <v>209</v>
      </c>
      <c r="F14" s="91" t="s">
        <v>1118</v>
      </c>
      <c r="G14" s="91" t="s">
        <v>9</v>
      </c>
      <c r="H14" s="91" t="s">
        <v>9</v>
      </c>
      <c r="I14" s="154">
        <v>-9715.3926603381897</v>
      </c>
      <c r="J14" s="154">
        <v>-3206.0805</v>
      </c>
    </row>
    <row r="15" spans="1:10">
      <c r="A15" s="91" t="s">
        <v>1121</v>
      </c>
      <c r="B15" s="91" t="s">
        <v>36</v>
      </c>
      <c r="C15" s="91"/>
      <c r="D15" s="91"/>
      <c r="E15" s="91"/>
      <c r="F15" s="91" t="s">
        <v>1122</v>
      </c>
      <c r="G15" s="91" t="s">
        <v>10</v>
      </c>
      <c r="H15" s="91" t="s">
        <v>553</v>
      </c>
      <c r="I15" s="154">
        <v>-47692.82</v>
      </c>
      <c r="J15" s="154">
        <v>-15738.630599999999</v>
      </c>
    </row>
    <row r="16" spans="1:10">
      <c r="A16" s="91"/>
      <c r="B16" s="91"/>
      <c r="C16" s="91"/>
      <c r="D16" s="91"/>
      <c r="E16" s="91"/>
      <c r="F16" s="91"/>
      <c r="G16" s="91"/>
      <c r="H16" s="91"/>
      <c r="I16" s="154"/>
      <c r="J16" s="154"/>
    </row>
    <row r="17" spans="1:10">
      <c r="A17" s="91"/>
      <c r="B17" s="91"/>
      <c r="C17" s="91"/>
      <c r="D17" s="91"/>
      <c r="E17" s="91"/>
      <c r="F17" s="91"/>
      <c r="G17" s="91"/>
      <c r="H17" s="91"/>
      <c r="I17" s="154"/>
      <c r="J17" s="154"/>
    </row>
    <row r="18" spans="1:10">
      <c r="A18" s="129"/>
      <c r="B18" s="91"/>
      <c r="C18" s="91"/>
      <c r="D18" s="91"/>
      <c r="E18" s="91"/>
      <c r="F18" s="91"/>
      <c r="G18" s="91"/>
      <c r="H18" s="91"/>
      <c r="I18" s="154"/>
      <c r="J18" s="154"/>
    </row>
    <row r="19" spans="1:10">
      <c r="A19" s="91"/>
      <c r="B19" s="91"/>
      <c r="C19" s="91"/>
      <c r="D19" s="91"/>
      <c r="E19" s="91"/>
      <c r="F19" s="91"/>
      <c r="G19" s="91"/>
      <c r="H19" s="91"/>
      <c r="I19" s="154"/>
      <c r="J19" s="154"/>
    </row>
    <row r="20" spans="1:10" ht="13.5" thickBot="1">
      <c r="A20" s="91"/>
      <c r="B20" s="91"/>
      <c r="C20" s="91"/>
      <c r="D20" s="91"/>
      <c r="E20" s="91"/>
      <c r="F20" s="91"/>
      <c r="G20" s="91"/>
      <c r="H20" s="64"/>
      <c r="I20" s="65"/>
      <c r="J20" s="65"/>
    </row>
    <row r="21" spans="1:10" ht="13.5" thickBot="1">
      <c r="H21" s="66" t="s">
        <v>44</v>
      </c>
      <c r="I21" s="67">
        <f>SUM(I3:I20)</f>
        <v>-926385.26243530004</v>
      </c>
      <c r="J21" s="68">
        <f>SUM(J3:J20)</f>
        <v>-305707.18229999987</v>
      </c>
    </row>
    <row r="22" spans="1:10">
      <c r="I22" s="13"/>
      <c r="J22" s="13"/>
    </row>
    <row r="24" spans="1:10">
      <c r="A24" s="58" t="s">
        <v>1144</v>
      </c>
      <c r="B24" s="25"/>
    </row>
    <row r="25" spans="1:10" ht="38.25">
      <c r="A25" s="123" t="s">
        <v>76</v>
      </c>
      <c r="B25" s="124" t="s">
        <v>77</v>
      </c>
      <c r="C25" s="124" t="s">
        <v>78</v>
      </c>
      <c r="D25" s="124" t="s">
        <v>79</v>
      </c>
      <c r="E25" s="125" t="s">
        <v>80</v>
      </c>
      <c r="F25" s="125" t="s">
        <v>81</v>
      </c>
      <c r="G25" s="145" t="s">
        <v>201</v>
      </c>
      <c r="H25" s="146" t="s">
        <v>202</v>
      </c>
    </row>
    <row r="26" spans="1:10">
      <c r="A26" s="91" t="s">
        <v>103</v>
      </c>
      <c r="B26" s="130" t="s">
        <v>281</v>
      </c>
      <c r="C26" s="130" t="s">
        <v>282</v>
      </c>
      <c r="D26" s="130" t="s">
        <v>289</v>
      </c>
      <c r="E26" s="130" t="s">
        <v>15</v>
      </c>
      <c r="F26" s="130" t="s">
        <v>15</v>
      </c>
      <c r="G26" s="165">
        <v>-568860.24</v>
      </c>
      <c r="H26" s="165">
        <v>-187723.87919999997</v>
      </c>
    </row>
    <row r="27" spans="1:10">
      <c r="A27" s="91" t="s">
        <v>105</v>
      </c>
      <c r="B27" s="130" t="s">
        <v>281</v>
      </c>
      <c r="C27" s="130" t="s">
        <v>282</v>
      </c>
      <c r="D27" s="130" t="s">
        <v>292</v>
      </c>
      <c r="E27" s="130" t="s">
        <v>12</v>
      </c>
      <c r="F27" s="130" t="s">
        <v>293</v>
      </c>
      <c r="G27" s="165">
        <v>-60908.259999999951</v>
      </c>
      <c r="H27" s="165">
        <v>-20099.725799999982</v>
      </c>
    </row>
    <row r="28" spans="1:10">
      <c r="A28" s="91" t="s">
        <v>110</v>
      </c>
      <c r="B28" s="130" t="s">
        <v>281</v>
      </c>
      <c r="C28" s="130" t="s">
        <v>282</v>
      </c>
      <c r="D28" s="130" t="s">
        <v>480</v>
      </c>
      <c r="E28" s="130" t="s">
        <v>5</v>
      </c>
      <c r="F28" s="130" t="s">
        <v>5</v>
      </c>
      <c r="G28" s="165">
        <v>-5654.5300000000279</v>
      </c>
      <c r="H28" s="165">
        <v>-1865.994900000009</v>
      </c>
    </row>
    <row r="29" spans="1:10">
      <c r="A29" s="91" t="s">
        <v>114</v>
      </c>
      <c r="B29" s="130" t="s">
        <v>281</v>
      </c>
      <c r="C29" s="130" t="s">
        <v>282</v>
      </c>
      <c r="D29" s="130" t="s">
        <v>633</v>
      </c>
      <c r="E29" s="130" t="s">
        <v>11</v>
      </c>
      <c r="F29" s="130" t="s">
        <v>634</v>
      </c>
      <c r="G29" s="165">
        <v>-76329.569999999992</v>
      </c>
      <c r="H29" s="165">
        <v>-25188.758099999995</v>
      </c>
    </row>
    <row r="30" spans="1:10">
      <c r="A30" s="91" t="s">
        <v>116</v>
      </c>
      <c r="B30" s="130" t="s">
        <v>281</v>
      </c>
      <c r="C30" s="130" t="s">
        <v>282</v>
      </c>
      <c r="D30" s="130" t="s">
        <v>741</v>
      </c>
      <c r="E30" s="130" t="s">
        <v>4</v>
      </c>
      <c r="F30" s="130" t="s">
        <v>339</v>
      </c>
      <c r="G30" s="165">
        <v>-240656.77999999997</v>
      </c>
      <c r="H30" s="165">
        <v>-79416.737399999984</v>
      </c>
    </row>
    <row r="31" spans="1:10" ht="13.5" thickBot="1">
      <c r="A31" s="91" t="s">
        <v>117</v>
      </c>
      <c r="B31" s="130" t="s">
        <v>281</v>
      </c>
      <c r="C31" s="130" t="s">
        <v>282</v>
      </c>
      <c r="D31" s="130" t="s">
        <v>759</v>
      </c>
      <c r="E31" s="130" t="s">
        <v>3</v>
      </c>
      <c r="F31" s="130" t="s">
        <v>3</v>
      </c>
      <c r="G31" s="165">
        <v>-322239.3</v>
      </c>
      <c r="H31" s="165">
        <v>-106338.96899999998</v>
      </c>
    </row>
    <row r="32" spans="1:10" ht="13.5" thickBot="1">
      <c r="F32" s="69" t="s">
        <v>44</v>
      </c>
      <c r="G32" s="67">
        <f>SUM(G26:G31)</f>
        <v>-1274648.68</v>
      </c>
      <c r="H32" s="68">
        <f>SUM(H26:H31)</f>
        <v>-420634.06439999997</v>
      </c>
    </row>
    <row r="33" spans="7:8">
      <c r="G33" s="13"/>
      <c r="H33" s="13"/>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N3"/>
  <sheetViews>
    <sheetView workbookViewId="0">
      <pane ySplit="1" topLeftCell="A2" activePane="bottomLeft" state="frozen"/>
      <selection activeCell="C1" sqref="C1"/>
      <selection pane="bottomLeft" activeCell="A3" sqref="A3"/>
    </sheetView>
  </sheetViews>
  <sheetFormatPr defaultColWidth="8.85546875" defaultRowHeight="12.75"/>
  <cols>
    <col min="1" max="1" width="10" bestFit="1" customWidth="1"/>
    <col min="2" max="2" width="12.140625" bestFit="1" customWidth="1"/>
    <col min="3" max="3" width="12" bestFit="1" customWidth="1"/>
    <col min="4" max="4" width="12.5703125" bestFit="1" customWidth="1"/>
    <col min="5" max="5" width="9.85546875" bestFit="1" customWidth="1"/>
    <col min="6" max="6" width="5" bestFit="1" customWidth="1"/>
    <col min="7" max="7" width="18.5703125" bestFit="1" customWidth="1"/>
    <col min="8" max="8" width="9.42578125" bestFit="1" customWidth="1"/>
    <col min="9" max="9" width="36.5703125" bestFit="1" customWidth="1"/>
    <col min="10" max="10" width="11.42578125" bestFit="1" customWidth="1"/>
    <col min="11" max="11" width="7.85546875" bestFit="1" customWidth="1"/>
    <col min="12" max="12" width="14" bestFit="1" customWidth="1"/>
    <col min="13" max="13" width="8.5703125" bestFit="1" customWidth="1"/>
    <col min="14" max="14" width="10.5703125" bestFit="1" customWidth="1"/>
    <col min="15" max="15" width="8.42578125" bestFit="1" customWidth="1"/>
    <col min="16" max="16" width="11.140625" bestFit="1" customWidth="1"/>
    <col min="17" max="17" width="21.85546875" bestFit="1" customWidth="1"/>
    <col min="18" max="18" width="14.140625" bestFit="1" customWidth="1"/>
    <col min="19" max="19" width="14.5703125" bestFit="1" customWidth="1"/>
    <col min="20" max="21" width="11.5703125" bestFit="1" customWidth="1"/>
    <col min="22" max="22" width="8.42578125" bestFit="1" customWidth="1"/>
    <col min="23" max="23" width="12" bestFit="1" customWidth="1"/>
    <col min="24" max="24" width="14" bestFit="1" customWidth="1"/>
    <col min="25" max="25" width="15.5703125" bestFit="1" customWidth="1"/>
    <col min="26" max="26" width="13.5703125" bestFit="1" customWidth="1"/>
    <col min="27" max="27" width="10.140625" bestFit="1" customWidth="1"/>
    <col min="28" max="28" width="15.42578125" bestFit="1" customWidth="1"/>
    <col min="29" max="29" width="11.5703125" bestFit="1" customWidth="1"/>
    <col min="30" max="30" width="14.5703125" customWidth="1"/>
    <col min="31" max="31" width="8.5703125" bestFit="1" customWidth="1"/>
    <col min="32" max="32" width="15" bestFit="1" customWidth="1"/>
    <col min="33" max="33" width="13.42578125" bestFit="1" customWidth="1"/>
    <col min="34" max="34" width="15" bestFit="1" customWidth="1"/>
    <col min="35" max="35" width="9.85546875" bestFit="1" customWidth="1"/>
    <col min="36" max="36" width="7.5703125" bestFit="1" customWidth="1"/>
    <col min="37" max="37" width="10.85546875" bestFit="1" customWidth="1"/>
    <col min="38" max="38" width="11.42578125" bestFit="1" customWidth="1"/>
    <col min="39" max="39" width="10.42578125" bestFit="1" customWidth="1"/>
    <col min="40" max="40" width="14.42578125" customWidth="1"/>
    <col min="41" max="42" width="15.42578125" bestFit="1" customWidth="1"/>
    <col min="43" max="43" width="12.5703125" bestFit="1" customWidth="1"/>
    <col min="44" max="49" width="13.140625" bestFit="1" customWidth="1"/>
    <col min="50" max="50" width="13.85546875" bestFit="1" customWidth="1"/>
    <col min="51" max="51" width="13.5703125" bestFit="1" customWidth="1"/>
    <col min="52" max="52" width="13.85546875" bestFit="1" customWidth="1"/>
    <col min="53" max="53" width="14.42578125" bestFit="1" customWidth="1"/>
    <col min="54" max="54" width="13.85546875" bestFit="1" customWidth="1"/>
    <col min="55" max="57" width="13.140625" bestFit="1" customWidth="1"/>
    <col min="58" max="58" width="11.42578125" bestFit="1" customWidth="1"/>
    <col min="59" max="59" width="14.5703125" customWidth="1"/>
    <col min="60" max="60" width="12.5703125" bestFit="1" customWidth="1"/>
    <col min="61" max="61" width="15.42578125" bestFit="1" customWidth="1"/>
    <col min="62" max="62" width="13.42578125" bestFit="1" customWidth="1"/>
    <col min="63" max="63" width="14.42578125" customWidth="1"/>
    <col min="64" max="64" width="14.42578125" bestFit="1" customWidth="1"/>
    <col min="65" max="65" width="6" bestFit="1" customWidth="1"/>
  </cols>
  <sheetData>
    <row r="1" spans="1:66" ht="114.75" customHeight="1">
      <c r="A1" s="137" t="s">
        <v>75</v>
      </c>
      <c r="B1" s="123" t="s">
        <v>76</v>
      </c>
      <c r="C1" s="123" t="s">
        <v>77</v>
      </c>
      <c r="D1" s="123" t="s">
        <v>149</v>
      </c>
      <c r="E1" s="123" t="s">
        <v>150</v>
      </c>
      <c r="F1" s="123" t="s">
        <v>78</v>
      </c>
      <c r="G1" s="123" t="s">
        <v>151</v>
      </c>
      <c r="H1" s="127" t="s">
        <v>152</v>
      </c>
      <c r="I1" s="123" t="s">
        <v>79</v>
      </c>
      <c r="J1" s="138" t="s">
        <v>80</v>
      </c>
      <c r="K1" s="138" t="s">
        <v>81</v>
      </c>
      <c r="L1" s="123" t="s">
        <v>153</v>
      </c>
      <c r="M1" s="123" t="s">
        <v>154</v>
      </c>
      <c r="N1" s="123" t="s">
        <v>155</v>
      </c>
      <c r="O1" s="126" t="s">
        <v>156</v>
      </c>
      <c r="P1" s="123" t="s">
        <v>157</v>
      </c>
      <c r="Q1" s="123" t="s">
        <v>1145</v>
      </c>
      <c r="R1" s="126" t="s">
        <v>159</v>
      </c>
      <c r="S1" s="126" t="s">
        <v>89</v>
      </c>
      <c r="T1" s="123" t="s">
        <v>160</v>
      </c>
      <c r="U1" s="123" t="s">
        <v>161</v>
      </c>
      <c r="V1" s="123" t="s">
        <v>162</v>
      </c>
      <c r="W1" s="123" t="s">
        <v>163</v>
      </c>
      <c r="X1" s="123" t="s">
        <v>164</v>
      </c>
      <c r="Y1" s="126" t="s">
        <v>165</v>
      </c>
      <c r="Z1" s="123" t="s">
        <v>166</v>
      </c>
      <c r="AA1" s="126" t="s">
        <v>167</v>
      </c>
      <c r="AB1" s="139" t="s">
        <v>168</v>
      </c>
      <c r="AC1" s="139" t="s">
        <v>169</v>
      </c>
      <c r="AD1" s="139" t="s">
        <v>170</v>
      </c>
      <c r="AE1" s="139" t="s">
        <v>171</v>
      </c>
      <c r="AF1" s="139" t="s">
        <v>172</v>
      </c>
      <c r="AG1" s="139" t="s">
        <v>173</v>
      </c>
      <c r="AH1" s="140" t="s">
        <v>174</v>
      </c>
      <c r="AI1" s="141" t="s">
        <v>175</v>
      </c>
      <c r="AJ1" s="140" t="s">
        <v>176</v>
      </c>
      <c r="AK1" s="142" t="s">
        <v>177</v>
      </c>
      <c r="AL1" s="140" t="s">
        <v>178</v>
      </c>
      <c r="AM1" s="140" t="s">
        <v>179</v>
      </c>
      <c r="AN1" s="140" t="s">
        <v>180</v>
      </c>
      <c r="AO1" s="140" t="s">
        <v>181</v>
      </c>
      <c r="AP1" s="140" t="s">
        <v>182</v>
      </c>
      <c r="AQ1" s="143" t="s">
        <v>183</v>
      </c>
      <c r="AR1" s="44" t="s">
        <v>184</v>
      </c>
      <c r="AS1" s="40" t="s">
        <v>185</v>
      </c>
      <c r="AT1" s="40" t="s">
        <v>186</v>
      </c>
      <c r="AU1" s="40" t="s">
        <v>187</v>
      </c>
      <c r="AV1" s="40" t="s">
        <v>188</v>
      </c>
      <c r="AW1" s="40" t="s">
        <v>189</v>
      </c>
      <c r="AX1" s="40" t="s">
        <v>190</v>
      </c>
      <c r="AY1" s="40" t="s">
        <v>191</v>
      </c>
      <c r="AZ1" s="40" t="s">
        <v>192</v>
      </c>
      <c r="BA1" s="40" t="s">
        <v>193</v>
      </c>
      <c r="BB1" s="40" t="s">
        <v>194</v>
      </c>
      <c r="BC1" s="40" t="s">
        <v>195</v>
      </c>
      <c r="BD1" s="40" t="s">
        <v>196</v>
      </c>
      <c r="BE1" s="40" t="s">
        <v>197</v>
      </c>
      <c r="BF1" s="140" t="s">
        <v>198</v>
      </c>
      <c r="BG1" s="144" t="s">
        <v>1146</v>
      </c>
      <c r="BH1" s="144" t="s">
        <v>1147</v>
      </c>
      <c r="BI1" s="145" t="s">
        <v>201</v>
      </c>
      <c r="BJ1" s="146" t="s">
        <v>202</v>
      </c>
      <c r="BK1" s="147" t="s">
        <v>203</v>
      </c>
      <c r="BL1" s="147" t="s">
        <v>204</v>
      </c>
      <c r="BM1" s="148" t="s">
        <v>205</v>
      </c>
      <c r="BN1" s="149" t="s">
        <v>206</v>
      </c>
    </row>
    <row r="2" spans="1:66">
      <c r="A2" s="129" t="s">
        <v>1148</v>
      </c>
      <c r="B2" s="129" t="s">
        <v>1148</v>
      </c>
      <c r="C2" s="91" t="s">
        <v>214</v>
      </c>
      <c r="D2" s="91"/>
      <c r="E2" s="91"/>
      <c r="F2" s="91" t="s">
        <v>209</v>
      </c>
      <c r="G2" s="91" t="s">
        <v>209</v>
      </c>
      <c r="H2" s="150" t="s">
        <v>210</v>
      </c>
      <c r="I2" s="129" t="s">
        <v>647</v>
      </c>
      <c r="J2" s="91" t="s">
        <v>14</v>
      </c>
      <c r="K2" s="91" t="s">
        <v>14</v>
      </c>
      <c r="L2" s="131">
        <v>0</v>
      </c>
      <c r="M2" s="131">
        <v>0</v>
      </c>
      <c r="N2" s="131">
        <v>0</v>
      </c>
      <c r="O2" s="131">
        <v>0</v>
      </c>
      <c r="P2" s="131">
        <v>0</v>
      </c>
      <c r="Q2" s="131">
        <v>0</v>
      </c>
      <c r="R2" s="131">
        <v>0</v>
      </c>
      <c r="S2" s="131">
        <v>0</v>
      </c>
      <c r="T2" s="131">
        <v>0</v>
      </c>
      <c r="U2" s="131">
        <v>0</v>
      </c>
      <c r="V2" s="131">
        <v>0</v>
      </c>
      <c r="W2" s="131">
        <v>0</v>
      </c>
      <c r="X2" s="131">
        <v>743400</v>
      </c>
      <c r="Y2" s="131">
        <v>743400</v>
      </c>
      <c r="Z2" s="131">
        <v>0</v>
      </c>
      <c r="AA2" s="152">
        <v>743400</v>
      </c>
      <c r="AB2" s="133">
        <v>405597.12341047917</v>
      </c>
      <c r="AC2" s="133">
        <v>0</v>
      </c>
      <c r="AD2" s="133">
        <v>337802.87658952083</v>
      </c>
      <c r="AE2" s="133">
        <v>0</v>
      </c>
      <c r="AF2" s="133">
        <v>337802.87658952083</v>
      </c>
      <c r="AG2" s="133">
        <v>405597.12341047917</v>
      </c>
      <c r="AH2" s="131">
        <v>133847.0507254581</v>
      </c>
      <c r="AI2" s="131">
        <v>0</v>
      </c>
      <c r="AJ2" s="131">
        <v>0</v>
      </c>
      <c r="AK2" s="131"/>
      <c r="AL2" s="131">
        <v>0</v>
      </c>
      <c r="AM2" s="153">
        <v>743400</v>
      </c>
      <c r="AN2" s="151">
        <v>245321.99999999997</v>
      </c>
      <c r="AO2" s="151">
        <v>743400</v>
      </c>
      <c r="AP2" s="151">
        <v>245321.99999999997</v>
      </c>
      <c r="AQ2" s="151">
        <v>245321.99999999997</v>
      </c>
      <c r="AR2" s="151">
        <v>245321.99999999997</v>
      </c>
      <c r="AS2" s="151">
        <v>0</v>
      </c>
      <c r="AT2" s="151">
        <v>0</v>
      </c>
      <c r="AU2" s="151">
        <v>0</v>
      </c>
      <c r="AV2" s="151">
        <v>0</v>
      </c>
      <c r="AW2" s="151">
        <v>0</v>
      </c>
      <c r="AX2" s="151">
        <v>0</v>
      </c>
      <c r="AY2" s="151">
        <v>0</v>
      </c>
      <c r="AZ2" s="151">
        <v>0</v>
      </c>
      <c r="BA2" s="151">
        <v>0</v>
      </c>
      <c r="BB2" s="151">
        <v>0</v>
      </c>
      <c r="BC2" s="151">
        <v>0</v>
      </c>
      <c r="BD2" s="151">
        <v>0</v>
      </c>
      <c r="BE2" s="151">
        <v>0</v>
      </c>
      <c r="BF2" s="151">
        <v>0</v>
      </c>
      <c r="BG2" s="151">
        <v>405597.12341047917</v>
      </c>
      <c r="BH2" s="151">
        <v>133847.04999999999</v>
      </c>
      <c r="BI2" s="154">
        <v>405597.12341047917</v>
      </c>
      <c r="BJ2" s="154">
        <v>133847.04999999999</v>
      </c>
      <c r="BK2" s="154">
        <v>386442.5</v>
      </c>
      <c r="BL2" s="154">
        <v>127526.02</v>
      </c>
      <c r="BM2" s="101"/>
      <c r="BN2" s="154">
        <v>4.9999999755527824E-3</v>
      </c>
    </row>
    <row r="3" spans="1:66">
      <c r="A3" s="129" t="s">
        <v>1149</v>
      </c>
      <c r="B3" s="129" t="s">
        <v>1149</v>
      </c>
      <c r="C3" s="91" t="s">
        <v>214</v>
      </c>
      <c r="D3" s="91"/>
      <c r="E3" s="91"/>
      <c r="F3" s="91" t="s">
        <v>209</v>
      </c>
      <c r="G3" s="91" t="s">
        <v>209</v>
      </c>
      <c r="H3" s="150" t="s">
        <v>210</v>
      </c>
      <c r="I3" s="129" t="s">
        <v>1150</v>
      </c>
      <c r="J3" s="91" t="s">
        <v>6</v>
      </c>
      <c r="K3" s="91" t="s">
        <v>6</v>
      </c>
      <c r="L3" s="131">
        <v>1163116.2171899644</v>
      </c>
      <c r="M3" s="131">
        <v>0</v>
      </c>
      <c r="N3" s="131">
        <v>0</v>
      </c>
      <c r="O3" s="131">
        <v>0</v>
      </c>
      <c r="P3" s="131">
        <v>0</v>
      </c>
      <c r="Q3" s="131">
        <v>0</v>
      </c>
      <c r="R3" s="131">
        <v>0</v>
      </c>
      <c r="S3" s="131">
        <v>0</v>
      </c>
      <c r="T3" s="131">
        <v>0</v>
      </c>
      <c r="U3" s="131">
        <v>0</v>
      </c>
      <c r="V3" s="131">
        <v>0</v>
      </c>
      <c r="W3" s="131">
        <v>0</v>
      </c>
      <c r="X3" s="131">
        <v>7459871</v>
      </c>
      <c r="Y3" s="131">
        <v>7459871</v>
      </c>
      <c r="Z3" s="131">
        <v>0</v>
      </c>
      <c r="AA3" s="152">
        <v>7459871</v>
      </c>
      <c r="AB3" s="133">
        <v>4070086.3850057232</v>
      </c>
      <c r="AC3" s="133">
        <v>0</v>
      </c>
      <c r="AD3" s="133">
        <v>3389784.6149942768</v>
      </c>
      <c r="AE3" s="133">
        <v>0</v>
      </c>
      <c r="AF3" s="133">
        <v>3389784.6149942768</v>
      </c>
      <c r="AG3" s="133">
        <v>4070086.3850057232</v>
      </c>
      <c r="AH3" s="131">
        <v>1343128.5070518884</v>
      </c>
      <c r="AI3" s="131">
        <v>0</v>
      </c>
      <c r="AJ3" s="131">
        <v>0</v>
      </c>
      <c r="AK3" s="131"/>
      <c r="AL3" s="131">
        <v>0</v>
      </c>
      <c r="AM3" s="153">
        <v>7459871</v>
      </c>
      <c r="AN3" s="151">
        <v>2461757.4299999997</v>
      </c>
      <c r="AO3" s="151">
        <v>7459871</v>
      </c>
      <c r="AP3" s="151">
        <v>2461757.4299999997</v>
      </c>
      <c r="AQ3" s="151">
        <v>2461757.4299999997</v>
      </c>
      <c r="AR3" s="151">
        <v>2461757.4299999997</v>
      </c>
      <c r="AS3" s="151">
        <v>0</v>
      </c>
      <c r="AT3" s="151">
        <v>0</v>
      </c>
      <c r="AU3" s="151">
        <v>0</v>
      </c>
      <c r="AV3" s="151">
        <v>0</v>
      </c>
      <c r="AW3" s="151">
        <v>0</v>
      </c>
      <c r="AX3" s="151">
        <v>0</v>
      </c>
      <c r="AY3" s="151">
        <v>0</v>
      </c>
      <c r="AZ3" s="151">
        <v>0</v>
      </c>
      <c r="BA3" s="151">
        <v>0</v>
      </c>
      <c r="BB3" s="151">
        <v>0</v>
      </c>
      <c r="BC3" s="151">
        <v>0</v>
      </c>
      <c r="BD3" s="151">
        <v>0</v>
      </c>
      <c r="BE3" s="151">
        <v>0</v>
      </c>
      <c r="BF3" s="151">
        <v>0</v>
      </c>
      <c r="BG3" s="151">
        <v>4070086.3850057232</v>
      </c>
      <c r="BH3" s="151">
        <v>1343128.5</v>
      </c>
      <c r="BI3" s="154">
        <v>4070086.3850057232</v>
      </c>
      <c r="BJ3" s="154">
        <v>1343128.5</v>
      </c>
      <c r="BK3" s="154">
        <v>3877873.55</v>
      </c>
      <c r="BL3" s="154">
        <v>1279698.26</v>
      </c>
      <c r="BM3" s="101"/>
      <c r="BN3" s="154">
        <v>1.1499999789521098E-2</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CQ374"/>
  <sheetViews>
    <sheetView topLeftCell="P1" zoomScale="90" zoomScaleNormal="90" zoomScalePageLayoutView="90" workbookViewId="0">
      <selection activeCell="K6" sqref="K6"/>
    </sheetView>
  </sheetViews>
  <sheetFormatPr defaultColWidth="8.85546875" defaultRowHeight="12.75"/>
  <cols>
    <col min="1" max="1" width="8.140625" style="30" bestFit="1" customWidth="1"/>
    <col min="2" max="2" width="11.140625" style="30" bestFit="1" customWidth="1"/>
    <col min="3" max="3" width="13.140625" style="30" bestFit="1" customWidth="1"/>
    <col min="4" max="5" width="23.140625" style="34" bestFit="1" customWidth="1"/>
    <col min="6" max="6" width="10.42578125" style="34" customWidth="1"/>
    <col min="7" max="7" width="77.42578125" style="30" bestFit="1" customWidth="1"/>
    <col min="8" max="8" width="18.85546875" style="30" customWidth="1"/>
    <col min="9" max="9" width="13.140625" style="30" customWidth="1"/>
    <col min="10" max="10" width="17.140625" style="34" customWidth="1"/>
    <col min="11" max="16" width="18.85546875" style="34" customWidth="1"/>
    <col min="17" max="21" width="18.85546875" style="34" hidden="1" customWidth="1"/>
    <col min="22" max="22" width="18.85546875" style="34" customWidth="1"/>
    <col min="23" max="23" width="23.140625" style="34" customWidth="1"/>
    <col min="24" max="24" width="20.140625" style="34" bestFit="1" customWidth="1"/>
    <col min="25" max="30" width="16.42578125" style="34" customWidth="1"/>
    <col min="31" max="31" width="23.140625" style="33" bestFit="1" customWidth="1"/>
    <col min="32" max="33" width="16.42578125" style="33" customWidth="1"/>
    <col min="34" max="34" width="19.85546875" style="33" customWidth="1"/>
    <col min="35" max="61" width="17" style="33" customWidth="1"/>
    <col min="62" max="64" width="16.42578125" style="33" customWidth="1"/>
    <col min="65" max="65" width="22.140625" style="32" bestFit="1" customWidth="1"/>
    <col min="66" max="66" width="22.42578125" style="32" bestFit="1" customWidth="1"/>
    <col min="67" max="67" width="22.42578125" style="32" customWidth="1"/>
    <col min="68" max="68" width="32.85546875" style="31" customWidth="1"/>
    <col min="69" max="70" width="17.85546875" style="30" customWidth="1"/>
    <col min="71" max="16384" width="8.85546875" style="30"/>
  </cols>
  <sheetData>
    <row r="1" spans="1:95" s="31" customFormat="1" ht="229.5">
      <c r="D1" s="37"/>
      <c r="E1" s="37"/>
      <c r="F1" s="37"/>
      <c r="J1" s="37" t="s">
        <v>1151</v>
      </c>
      <c r="K1" s="37" t="s">
        <v>1151</v>
      </c>
      <c r="L1" s="37" t="s">
        <v>1152</v>
      </c>
      <c r="M1" s="37" t="s">
        <v>1153</v>
      </c>
      <c r="N1" s="37" t="s">
        <v>1151</v>
      </c>
      <c r="O1" s="37" t="s">
        <v>1154</v>
      </c>
      <c r="P1" s="37"/>
      <c r="Q1" s="37"/>
      <c r="R1" s="37"/>
      <c r="S1" s="37"/>
      <c r="T1" s="37"/>
      <c r="U1" s="37"/>
      <c r="V1" s="37" t="s">
        <v>1155</v>
      </c>
      <c r="W1" s="37" t="s">
        <v>1156</v>
      </c>
      <c r="X1" s="37" t="s">
        <v>1157</v>
      </c>
      <c r="Y1" s="37"/>
      <c r="Z1" s="37"/>
      <c r="AA1" s="37"/>
      <c r="AB1" s="37"/>
      <c r="AC1" s="37"/>
      <c r="AD1" s="37"/>
      <c r="AE1" s="37" t="s">
        <v>1158</v>
      </c>
      <c r="AF1" s="37"/>
      <c r="AG1" s="37"/>
      <c r="AH1" s="37"/>
      <c r="AI1" s="37"/>
      <c r="AJ1" s="28">
        <f>SUMIF($H:$H,"=Bexar",$AD:$AD)</f>
        <v>285971999.90175474</v>
      </c>
      <c r="AK1" s="28">
        <f>SUMIF($H:$H,"=Dallas",$AD:$AD)</f>
        <v>816266613.27683389</v>
      </c>
      <c r="AL1" s="28">
        <f>SUMIF($H:$H,"=El Paso",$AD:$AD)</f>
        <v>97740160.784695238</v>
      </c>
      <c r="AM1" s="28">
        <f>SUMIF($H:$H,"=Harris",$AD:$AD)</f>
        <v>978171657.78726995</v>
      </c>
      <c r="AN1" s="28">
        <f>SUMIF($H:$H,"=Hidalgo",$AD:$AD)</f>
        <v>133513461.81242442</v>
      </c>
      <c r="AO1" s="28">
        <f>SUMIF($H:$H,"=Jefferson",$AD:$AD)</f>
        <v>31711309.837335434</v>
      </c>
      <c r="AP1" s="28">
        <f>SUMIF($H:$H,"=Lubbock",$AD:$AD)</f>
        <v>101055473.98252065</v>
      </c>
      <c r="AQ1" s="28">
        <f>SUMIF($H:$H,"=MRSA Central",$AD:$AD)</f>
        <v>120946240.87106746</v>
      </c>
      <c r="AR1" s="28">
        <f>SUMIF($H:$H,"=MRSA Northeast",$AD:$AD)</f>
        <v>120340984.92028312</v>
      </c>
      <c r="AS1" s="28">
        <f>SUMIF($H:$H,"=MRSA West",$AD:$AD)</f>
        <v>140867207.69496253</v>
      </c>
      <c r="AT1" s="28">
        <f>SUMIF($H:$H,"=Nueces",$AD:$AD)</f>
        <v>94001103.266236916</v>
      </c>
      <c r="AU1" s="28">
        <f>SUMIF($H:$H,"=Tarrant",$AD:$AD)</f>
        <v>371775340.21636736</v>
      </c>
      <c r="AV1" s="28">
        <f>SUMIF($H:$H,"=Travis",$AD:$AD)</f>
        <v>147848791.3760125</v>
      </c>
      <c r="AW1" s="28">
        <f>SUMIF($H:$H,"=Bexar",$AC:$AC)</f>
        <v>131216669.20359169</v>
      </c>
      <c r="AX1" s="28">
        <f>SUMIF($H:$H,"=Dallas",$AC:$AC)</f>
        <v>402889335.2771644</v>
      </c>
      <c r="AY1" s="28">
        <f>SUMIF($H:$H,"=El Paso",$AC:$AC)</f>
        <v>44281778.530569188</v>
      </c>
      <c r="AZ1" s="28">
        <f>SUMIF($H:$H,"=Harris",$AC:$AC)</f>
        <v>524816227.79093874</v>
      </c>
      <c r="BA1" s="28">
        <f>SUMIF($H:$H,"=Hidalgo",$AC:$AC)</f>
        <v>86235353.088576451</v>
      </c>
      <c r="BB1" s="28">
        <f>SUMIF($H:$H,"=Jefferson",$AC:$AC)</f>
        <v>16502706.158072133</v>
      </c>
      <c r="BC1" s="28">
        <f>SUMIF($H:$H,"=Lubbock",$AC:$AC)</f>
        <v>77284385.658546776</v>
      </c>
      <c r="BD1" s="28">
        <f>SUMIF($H:$H,"=MRSA Central",$AC:$AC)</f>
        <v>107394428.89654762</v>
      </c>
      <c r="BE1" s="28">
        <f>SUMIF($H:$H,"=MRSA Northeast",$AC:$AC)</f>
        <v>55617595.849519566</v>
      </c>
      <c r="BF1" s="28">
        <f>SUMIF($H:$H,"=MRSA West",$AC:$AC)</f>
        <v>52887697.719647035</v>
      </c>
      <c r="BG1" s="28">
        <f>SUMIF($H:$H,"=Nueces",$AC:$AC)</f>
        <v>49915217.443593509</v>
      </c>
      <c r="BH1" s="28">
        <f>SUMIF($H:$H,"=Tarrant",$AC:$AC)</f>
        <v>158689756.90437484</v>
      </c>
      <c r="BI1" s="28">
        <f>SUMIF($H:$H,"=Travis",$AC:$AC)</f>
        <v>59637993.444452412</v>
      </c>
      <c r="BJ1" s="28"/>
      <c r="BK1" s="28"/>
      <c r="BL1" s="28"/>
      <c r="BM1" s="37"/>
      <c r="BN1" s="37"/>
      <c r="BO1" s="37"/>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row>
    <row r="2" spans="1:95" s="36" customFormat="1" ht="89.25">
      <c r="A2" s="166" t="s">
        <v>1159</v>
      </c>
      <c r="B2" s="166" t="s">
        <v>75</v>
      </c>
      <c r="C2" s="167" t="s">
        <v>1160</v>
      </c>
      <c r="D2" s="168" t="s">
        <v>1161</v>
      </c>
      <c r="E2" s="168" t="s">
        <v>149</v>
      </c>
      <c r="F2" s="169" t="s">
        <v>78</v>
      </c>
      <c r="G2" s="166" t="s">
        <v>79</v>
      </c>
      <c r="H2" s="167" t="s">
        <v>80</v>
      </c>
      <c r="I2" s="167" t="s">
        <v>81</v>
      </c>
      <c r="J2" s="168" t="s">
        <v>1162</v>
      </c>
      <c r="K2" s="168" t="s">
        <v>1163</v>
      </c>
      <c r="L2" s="168" t="s">
        <v>1164</v>
      </c>
      <c r="M2" s="168" t="s">
        <v>1165</v>
      </c>
      <c r="N2" s="168" t="s">
        <v>1166</v>
      </c>
      <c r="O2" s="168" t="s">
        <v>159</v>
      </c>
      <c r="P2" s="168" t="s">
        <v>1167</v>
      </c>
      <c r="Q2" s="168" t="s">
        <v>1168</v>
      </c>
      <c r="R2" s="168" t="s">
        <v>1169</v>
      </c>
      <c r="S2" s="168" t="s">
        <v>162</v>
      </c>
      <c r="T2" s="168" t="s">
        <v>163</v>
      </c>
      <c r="U2" s="168" t="s">
        <v>164</v>
      </c>
      <c r="V2" s="168" t="s">
        <v>1170</v>
      </c>
      <c r="W2" s="168" t="s">
        <v>1171</v>
      </c>
      <c r="X2" s="168" t="s">
        <v>1172</v>
      </c>
      <c r="Y2" s="170" t="s">
        <v>168</v>
      </c>
      <c r="Z2" s="170" t="s">
        <v>1173</v>
      </c>
      <c r="AA2" s="170" t="s">
        <v>170</v>
      </c>
      <c r="AB2" s="170" t="s">
        <v>1174</v>
      </c>
      <c r="AC2" s="170" t="s">
        <v>172</v>
      </c>
      <c r="AD2" s="170" t="s">
        <v>1175</v>
      </c>
      <c r="AE2" s="171" t="s">
        <v>1176</v>
      </c>
      <c r="AF2" s="171" t="s">
        <v>1177</v>
      </c>
      <c r="AG2" s="171" t="s">
        <v>1178</v>
      </c>
      <c r="AH2" s="172" t="s">
        <v>1179</v>
      </c>
      <c r="AI2" s="171" t="s">
        <v>1180</v>
      </c>
      <c r="AJ2" s="173" t="s">
        <v>1181</v>
      </c>
      <c r="AK2" s="173" t="s">
        <v>1182</v>
      </c>
      <c r="AL2" s="173" t="s">
        <v>1183</v>
      </c>
      <c r="AM2" s="173" t="s">
        <v>1184</v>
      </c>
      <c r="AN2" s="173" t="s">
        <v>1185</v>
      </c>
      <c r="AO2" s="173" t="s">
        <v>1186</v>
      </c>
      <c r="AP2" s="173" t="s">
        <v>1187</v>
      </c>
      <c r="AQ2" s="173" t="s">
        <v>1188</v>
      </c>
      <c r="AR2" s="173" t="s">
        <v>1189</v>
      </c>
      <c r="AS2" s="173" t="s">
        <v>1190</v>
      </c>
      <c r="AT2" s="173" t="s">
        <v>1191</v>
      </c>
      <c r="AU2" s="173" t="s">
        <v>1192</v>
      </c>
      <c r="AV2" s="173" t="s">
        <v>1193</v>
      </c>
      <c r="AW2" s="174" t="s">
        <v>1194</v>
      </c>
      <c r="AX2" s="174" t="s">
        <v>1195</v>
      </c>
      <c r="AY2" s="174" t="s">
        <v>1196</v>
      </c>
      <c r="AZ2" s="174" t="s">
        <v>1197</v>
      </c>
      <c r="BA2" s="174" t="s">
        <v>1198</v>
      </c>
      <c r="BB2" s="174" t="s">
        <v>1199</v>
      </c>
      <c r="BC2" s="174" t="s">
        <v>1200</v>
      </c>
      <c r="BD2" s="174" t="s">
        <v>1201</v>
      </c>
      <c r="BE2" s="174" t="s">
        <v>1202</v>
      </c>
      <c r="BF2" s="174" t="s">
        <v>1203</v>
      </c>
      <c r="BG2" s="174" t="s">
        <v>1204</v>
      </c>
      <c r="BH2" s="174" t="s">
        <v>1205</v>
      </c>
      <c r="BI2" s="174" t="s">
        <v>1206</v>
      </c>
      <c r="BJ2" s="171" t="s">
        <v>1207</v>
      </c>
      <c r="BK2" s="171" t="s">
        <v>1208</v>
      </c>
      <c r="BL2" s="175" t="s">
        <v>1209</v>
      </c>
      <c r="BM2" s="176" t="s">
        <v>1210</v>
      </c>
      <c r="BN2" s="176" t="s">
        <v>1211</v>
      </c>
      <c r="BO2" s="176" t="s">
        <v>1212</v>
      </c>
      <c r="BP2" s="176" t="s">
        <v>205</v>
      </c>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row>
    <row r="3" spans="1:95">
      <c r="A3" s="177" t="s">
        <v>1213</v>
      </c>
      <c r="B3" s="178" t="s">
        <v>224</v>
      </c>
      <c r="C3" s="178" t="s">
        <v>224</v>
      </c>
      <c r="D3" s="179" t="s">
        <v>214</v>
      </c>
      <c r="E3" s="179"/>
      <c r="F3" s="177"/>
      <c r="G3" s="177" t="s">
        <v>225</v>
      </c>
      <c r="H3" s="178" t="s">
        <v>3</v>
      </c>
      <c r="I3" s="178" t="s">
        <v>3</v>
      </c>
      <c r="J3" s="131">
        <f>IFERROR(INDEX(#REF!,(MATCH('Old Calc Tab'!$C:$C,#REF!,0))),0)</f>
        <v>0</v>
      </c>
      <c r="K3" s="131">
        <f>IFERROR(INDEX(#REF!,(MATCH('Old Calc Tab'!$C:$C,#REF!,0))),0)</f>
        <v>0</v>
      </c>
      <c r="L3" s="131"/>
      <c r="M3" s="131">
        <v>27056047</v>
      </c>
      <c r="N3" s="131">
        <f>IFERROR(INDEX(#REF!,(MATCH('Old Calc Tab'!$C:$C,#REF!,0))),0)</f>
        <v>0</v>
      </c>
      <c r="O3" s="131">
        <f t="shared" ref="O3:O66" si="0">IF(N3-J3+L3&gt;0,N3-J3+L3,0)</f>
        <v>0</v>
      </c>
      <c r="P3" s="131">
        <f t="shared" ref="P3:P66" si="1">IF(AND(D3="Hosp - State",N3&gt;0),0,IF(M3-O3&gt;0,M3-O3,0))</f>
        <v>27056047</v>
      </c>
      <c r="Q3" s="131"/>
      <c r="R3" s="131"/>
      <c r="S3" s="131"/>
      <c r="T3" s="131"/>
      <c r="U3" s="131"/>
      <c r="V3" s="131">
        <v>0</v>
      </c>
      <c r="W3" s="180">
        <v>0</v>
      </c>
      <c r="X3" s="180">
        <f t="shared" ref="X3:X66" si="2">P3+V3+W3</f>
        <v>27056047</v>
      </c>
      <c r="Y3" s="181">
        <f>IF(D3="Physician Group Practice",(X3/$AE$369)*'1. UC Assumptions'!$C$15,IF(OR(E3="Rural Hospital",E3="Hosp - State"),X3,(X3/$X$369)*'1. UC Assumptions'!$C$9))</f>
        <v>16284034.343248643</v>
      </c>
      <c r="Z3" s="181">
        <f t="shared" ref="Z3:Z66" si="3">IF(Y3&gt;X3-W3,Y3-(X3-W3),0)</f>
        <v>0</v>
      </c>
      <c r="AA3" s="181">
        <f t="shared" ref="AA3:AA66" si="4">X3-W3-Y3+Z3</f>
        <v>10772012.656751357</v>
      </c>
      <c r="AB3" s="182">
        <f t="shared" ref="AB3:AB66" si="5">(AA3/$AA$367)*$Z$367</f>
        <v>5784.9062821430189</v>
      </c>
      <c r="AC3" s="181">
        <f t="shared" ref="AC3:AC66" si="6">AA3+AB3</f>
        <v>10777797.563033501</v>
      </c>
      <c r="AD3" s="181">
        <f t="shared" ref="AD3:AD66" si="7">Y3-Z3+AB3</f>
        <v>16289819.249530787</v>
      </c>
      <c r="AE3" s="131">
        <v>11886540.789999999</v>
      </c>
      <c r="AF3" s="131">
        <f>AE3*'1. UC Assumptions'!$C$23</f>
        <v>3922558.4606999992</v>
      </c>
      <c r="AG3" s="183">
        <f>IF((((X3-W3-AE3)*'1. UC Assumptions'!$C$23)+AF3)&gt;0,((X3-W3-AE3)*'1. UC Assumptions'!$C$23)+AF3,0)</f>
        <v>8928495.5099999998</v>
      </c>
      <c r="AH3" s="183">
        <f>IF(((X3-W3-AE3)*'1. UC Assumptions'!$C$23)&gt;0,(X3-W3-AE3)*'1. UC Assumptions'!$C$23,0)</f>
        <v>5005937.0493000001</v>
      </c>
      <c r="AI3" s="183">
        <f t="shared" ref="AI3:AI66" si="8">AH3+AF3</f>
        <v>8928495.5099999998</v>
      </c>
      <c r="AJ3" s="183">
        <f>IF(H3="Bexar",(AD3/$AJ$1)*'1. UC Assumptions'!$E$42,0)</f>
        <v>0</v>
      </c>
      <c r="AK3" s="183">
        <f>IF(H3="Dallas",(AD3/$AK$1)*'1. UC Assumptions'!$F$42,0)</f>
        <v>0</v>
      </c>
      <c r="AL3" s="183">
        <f>IF(H3="El Paso",(AD3/$AL$1)*'1. UC Assumptions'!$G$42,0)</f>
        <v>0</v>
      </c>
      <c r="AM3" s="183">
        <f>IF(H3="Harris",(AD3/$AM$1)*'1. UC Assumptions'!$H$42,0)</f>
        <v>0</v>
      </c>
      <c r="AN3" s="183">
        <f>IF(H3="Hidalgo",(AD3/$AN$1)*'1. UC Assumptions'!$I$42,0)</f>
        <v>0</v>
      </c>
      <c r="AO3" s="183">
        <f>IF(H3="Jefferson",(AD3/$AO$1)*'1. UC Assumptions'!$J$42,0)</f>
        <v>0</v>
      </c>
      <c r="AP3" s="183">
        <f>IF(H3="Lubbock",(AD3/$AP$1)*'1. UC Assumptions'!$K$42,0)</f>
        <v>0</v>
      </c>
      <c r="AQ3" s="183">
        <f>IF(H3="MRSA Central",(AD3/$AQ$1)*'1. UC Assumptions'!$L$42,0)</f>
        <v>0</v>
      </c>
      <c r="AR3" s="183">
        <f>IF(H3="MRSA Northeast",(AD3/$AR$1)*'1. UC Assumptions'!$M$42,0)</f>
        <v>0</v>
      </c>
      <c r="AS3" s="183">
        <f>IF(H3="MRSA West",(AD3/$AS$1)*'1. UC Assumptions'!$N$42,0)</f>
        <v>0</v>
      </c>
      <c r="AT3" s="183">
        <f>IF(H3="Nueces",(AD3/$AT$1)*'1. UC Assumptions'!$O$42,0)</f>
        <v>0</v>
      </c>
      <c r="AU3" s="183">
        <f>IF(H3="Tarrant",(AD3/$AU$1)*'1. UC Assumptions'!$P$42,0)</f>
        <v>0</v>
      </c>
      <c r="AV3" s="183">
        <f>IF(H3="Travis",(AD3/$AV$1)*'1. UC Assumptions'!$Q$42,0)</f>
        <v>0</v>
      </c>
      <c r="AW3" s="183">
        <f>IF(H3="Bexar",(AC3/$AW$1)*'1. UC Assumptions'!$E$44,0)</f>
        <v>0</v>
      </c>
      <c r="AX3" s="183">
        <f>IF(H3="Dallas",(AC3/$AX$1)*'1. UC Assumptions'!$F$44,0)</f>
        <v>0</v>
      </c>
      <c r="AY3" s="183">
        <f>IF(H3="El Paso",(AC3/$AY$1)*'1. UC Assumptions'!$G$44,0)</f>
        <v>0</v>
      </c>
      <c r="AZ3" s="183">
        <f>IF(H3="Harris",(AC3/$AZ$1)*'1. UC Assumptions'!$H$44,0)</f>
        <v>0</v>
      </c>
      <c r="BA3" s="183">
        <f>IF(H3="Hidalgo",(AC3/$BA$1)*'1. UC Assumptions'!$I$44,0)</f>
        <v>0</v>
      </c>
      <c r="BB3" s="183">
        <f>IF(H3="Jefferson",(AC3/$BB$1)*'1. UC Assumptions'!$J$44,0)</f>
        <v>0</v>
      </c>
      <c r="BC3" s="183">
        <f>IF(H3="Lubbock",(AC3/$BC$1)*'1. UC Assumptions'!$K$44,0)</f>
        <v>0</v>
      </c>
      <c r="BD3" s="183">
        <f>IF(H3="MRSA Central",(AC3/$BD$1)*'1. UC Assumptions'!$L$44,0)</f>
        <v>0</v>
      </c>
      <c r="BE3" s="183">
        <f>IF(H3="MRSA Northeast",(AC3/$BE$1)*'1. UC Assumptions'!$M$44,0)</f>
        <v>0</v>
      </c>
      <c r="BF3" s="183">
        <f>IF(H3="MRSA West",(AC3/$BF$1)*'1. UC Assumptions'!$N$44,0)</f>
        <v>0</v>
      </c>
      <c r="BG3" s="183">
        <f>IF(H3="Nueces",(AC3/$BG$1)*'1. UC Assumptions'!$O$44,0)</f>
        <v>0</v>
      </c>
      <c r="BH3" s="183">
        <f>IF(H3="Tarrant",(AC3/$BH$1)*'1. UC Assumptions'!$P$44,0)</f>
        <v>0</v>
      </c>
      <c r="BI3" s="183">
        <f>IF(H3="Travis",(AC3/$BI$1)*'1. UC Assumptions'!$Q$44,0)</f>
        <v>0</v>
      </c>
      <c r="BJ3" s="183">
        <f t="shared" ref="BJ3:BJ66" si="9">SUM(AJ3:AV3)</f>
        <v>0</v>
      </c>
      <c r="BK3" s="183">
        <f t="shared" ref="BK3:BK66" si="10">SUM(AW3:BI3)</f>
        <v>0</v>
      </c>
      <c r="BL3" s="183">
        <f t="shared" ref="BL3:BL66" si="11">AD3+BK3-BJ3</f>
        <v>16289819.249530787</v>
      </c>
      <c r="BM3" s="184">
        <f t="shared" ref="BM3:BM66" si="12">BL3-AE3</f>
        <v>4403278.4595307875</v>
      </c>
      <c r="BN3" s="184">
        <f>ROUNDDOWN(BM3*'1. UC Assumptions'!$C$23,2)</f>
        <v>1453081.89</v>
      </c>
      <c r="BO3" s="184"/>
      <c r="BP3" s="185"/>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row>
    <row r="4" spans="1:95">
      <c r="A4" s="177" t="s">
        <v>1214</v>
      </c>
      <c r="B4" s="178" t="s">
        <v>226</v>
      </c>
      <c r="C4" s="178" t="s">
        <v>226</v>
      </c>
      <c r="D4" s="179" t="s">
        <v>214</v>
      </c>
      <c r="E4" s="179"/>
      <c r="F4" s="177"/>
      <c r="G4" s="177" t="s">
        <v>1215</v>
      </c>
      <c r="H4" s="178" t="s">
        <v>3</v>
      </c>
      <c r="I4" s="178" t="s">
        <v>3</v>
      </c>
      <c r="J4" s="131">
        <f>IFERROR(INDEX(#REF!,(MATCH('Old Calc Tab'!C:C,#REF!,0))),0)</f>
        <v>0</v>
      </c>
      <c r="K4" s="131">
        <f>IFERROR(INDEX(#REF!,(MATCH('Old Calc Tab'!$C:$C,#REF!,0))),0)</f>
        <v>0</v>
      </c>
      <c r="L4" s="131"/>
      <c r="M4" s="131">
        <v>735782.64814380498</v>
      </c>
      <c r="N4" s="131">
        <f>IFERROR(INDEX(#REF!,(MATCH('Old Calc Tab'!$C:$C,#REF!,0))),0)</f>
        <v>0</v>
      </c>
      <c r="O4" s="131">
        <f t="shared" si="0"/>
        <v>0</v>
      </c>
      <c r="P4" s="131">
        <f t="shared" si="1"/>
        <v>735782.64814380498</v>
      </c>
      <c r="Q4" s="131"/>
      <c r="R4" s="131"/>
      <c r="S4" s="131"/>
      <c r="T4" s="131"/>
      <c r="U4" s="131"/>
      <c r="V4" s="131">
        <v>507318.64814380498</v>
      </c>
      <c r="W4" s="180">
        <v>0</v>
      </c>
      <c r="X4" s="180">
        <f t="shared" si="2"/>
        <v>1243101.29628761</v>
      </c>
      <c r="Y4" s="181">
        <f>IF(D4="Physician Group Practice",(X4/$AE$369)*'1. UC Assumptions'!$C$15,IF(OR(E4="Rural Hospital",E4="Hosp - State"),X4,(X4/$X$369)*'1. UC Assumptions'!$C$9))</f>
        <v>748176.7089214602</v>
      </c>
      <c r="Z4" s="181">
        <f t="shared" si="3"/>
        <v>0</v>
      </c>
      <c r="AA4" s="181">
        <f t="shared" si="4"/>
        <v>494924.58736614976</v>
      </c>
      <c r="AB4" s="182">
        <f t="shared" si="5"/>
        <v>265.78991743451382</v>
      </c>
      <c r="AC4" s="181">
        <f t="shared" si="6"/>
        <v>495190.37728358427</v>
      </c>
      <c r="AD4" s="181">
        <f t="shared" si="7"/>
        <v>748442.49883889477</v>
      </c>
      <c r="AE4" s="131">
        <v>3709456.09</v>
      </c>
      <c r="AF4" s="131">
        <f>AE4*'1. UC Assumptions'!$C$23</f>
        <v>1224120.5096999998</v>
      </c>
      <c r="AG4" s="183">
        <f>IF((((X4-W4-AE4)*'1. UC Assumptions'!$C$23)+AF4)&gt;0,((X4-W4-AE4)*'1. UC Assumptions'!$C$23)+AF4,0)</f>
        <v>410223.42777491128</v>
      </c>
      <c r="AH4" s="183">
        <f>IF(((X4-W4-AE4)*'1. UC Assumptions'!$C$23)&gt;0,(X4-W4-AE4)*'1. UC Assumptions'!$C$23,0)</f>
        <v>0</v>
      </c>
      <c r="AI4" s="183">
        <f t="shared" si="8"/>
        <v>1224120.5096999998</v>
      </c>
      <c r="AJ4" s="183">
        <f>IF(H4="Bexar",(AD4/$AJ$1)*'1. UC Assumptions'!$E$42,0)</f>
        <v>0</v>
      </c>
      <c r="AK4" s="183">
        <f>IF(H4="Dallas",(AD4/$AK$1)*'1. UC Assumptions'!$F$42,0)</f>
        <v>0</v>
      </c>
      <c r="AL4" s="183">
        <f>IF(H4="El Paso",(AD4/$AL$1)*'1. UC Assumptions'!$G$42,0)</f>
        <v>0</v>
      </c>
      <c r="AM4" s="183">
        <f>IF(H4="Harris",(AD4/$AM$1)*'1. UC Assumptions'!$H$42,0)</f>
        <v>0</v>
      </c>
      <c r="AN4" s="183">
        <f>IF(H4="Hidalgo",(AD4/$AN$1)*'1. UC Assumptions'!$I$42,0)</f>
        <v>0</v>
      </c>
      <c r="AO4" s="183">
        <f>IF(H4="Jefferson",(AD4/$AO$1)*'1. UC Assumptions'!$J$42,0)</f>
        <v>0</v>
      </c>
      <c r="AP4" s="183">
        <f>IF(H4="Lubbock",(AD4/$AP$1)*'1. UC Assumptions'!$K$42,0)</f>
        <v>0</v>
      </c>
      <c r="AQ4" s="183">
        <f>IF(H4="MRSA Central",(AD4/$AQ$1)*'1. UC Assumptions'!$L$42,0)</f>
        <v>0</v>
      </c>
      <c r="AR4" s="183">
        <f>IF(H4="MRSA Northeast",(AD4/$AR$1)*'1. UC Assumptions'!$M$42,0)</f>
        <v>0</v>
      </c>
      <c r="AS4" s="183">
        <f>IF(H4="MRSA West",(AD4/$AS$1)*'1. UC Assumptions'!$N$42,0)</f>
        <v>0</v>
      </c>
      <c r="AT4" s="183">
        <f>IF(H4="Nueces",(AD4/$AT$1)*'1. UC Assumptions'!$O$42,0)</f>
        <v>0</v>
      </c>
      <c r="AU4" s="183">
        <f>IF(H4="Tarrant",(AD4/$AU$1)*'1. UC Assumptions'!$P$42,0)</f>
        <v>0</v>
      </c>
      <c r="AV4" s="183">
        <f>IF(H4="Travis",(AD4/$AV$1)*'1. UC Assumptions'!$Q$42,0)</f>
        <v>0</v>
      </c>
      <c r="AW4" s="183">
        <f>IF(H4="Bexar",(AC4/$AW$1)*'1. UC Assumptions'!$E$44,0)</f>
        <v>0</v>
      </c>
      <c r="AX4" s="183">
        <f>IF(H4="Dallas",(AC4/$AX$1)*'1. UC Assumptions'!$F$44,0)</f>
        <v>0</v>
      </c>
      <c r="AY4" s="183">
        <f>IF(H4="El Paso",(AC4/$AY$1)*'1. UC Assumptions'!$G$44,0)</f>
        <v>0</v>
      </c>
      <c r="AZ4" s="183">
        <f>IF(H4="Harris",(AC4/$AZ$1)*'1. UC Assumptions'!$H$44,0)</f>
        <v>0</v>
      </c>
      <c r="BA4" s="183">
        <f>IF(H4="Hidalgo",(AC4/$BA$1)*'1. UC Assumptions'!$I$44,0)</f>
        <v>0</v>
      </c>
      <c r="BB4" s="183">
        <f>IF(H4="Jefferson",(AC4/$BB$1)*'1. UC Assumptions'!$J$44,0)</f>
        <v>0</v>
      </c>
      <c r="BC4" s="183">
        <f>IF(H4="Lubbock",(AC4/$BC$1)*'1. UC Assumptions'!$K$44,0)</f>
        <v>0</v>
      </c>
      <c r="BD4" s="183">
        <f>IF(H4="MRSA Central",(AC4/$BD$1)*'1. UC Assumptions'!$L$44,0)</f>
        <v>0</v>
      </c>
      <c r="BE4" s="183">
        <f>IF(H4="MRSA Northeast",(AC4/$BE$1)*'1. UC Assumptions'!$M$44,0)</f>
        <v>0</v>
      </c>
      <c r="BF4" s="183">
        <f>IF(H4="MRSA West",(AC4/$BF$1)*'1. UC Assumptions'!$N$44,0)</f>
        <v>0</v>
      </c>
      <c r="BG4" s="183">
        <f>IF(H4="Nueces",(AC4/$BG$1)*'1. UC Assumptions'!$O$44,0)</f>
        <v>0</v>
      </c>
      <c r="BH4" s="183">
        <f>IF(H4="Tarrant",(AC4/$BH$1)*'1. UC Assumptions'!$P$44,0)</f>
        <v>0</v>
      </c>
      <c r="BI4" s="183">
        <f>IF(H4="Travis",(AC4/$BI$1)*'1. UC Assumptions'!$Q$44,0)</f>
        <v>0</v>
      </c>
      <c r="BJ4" s="183">
        <f t="shared" si="9"/>
        <v>0</v>
      </c>
      <c r="BK4" s="183">
        <f t="shared" si="10"/>
        <v>0</v>
      </c>
      <c r="BL4" s="183">
        <f t="shared" si="11"/>
        <v>748442.49883889477</v>
      </c>
      <c r="BM4" s="184">
        <f t="shared" si="12"/>
        <v>-2961013.5911611049</v>
      </c>
      <c r="BN4" s="184">
        <f>ROUNDDOWN(BM4*'1. UC Assumptions'!$C$23,2)</f>
        <v>-977134.48</v>
      </c>
      <c r="BO4" s="184"/>
      <c r="BP4" s="185"/>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row>
    <row r="5" spans="1:95">
      <c r="A5" s="177"/>
      <c r="B5" s="177" t="s">
        <v>1103</v>
      </c>
      <c r="C5" s="177" t="s">
        <v>1103</v>
      </c>
      <c r="D5" s="179" t="s">
        <v>36</v>
      </c>
      <c r="E5" s="179" t="s">
        <v>36</v>
      </c>
      <c r="F5" s="177"/>
      <c r="G5" s="177" t="s">
        <v>1104</v>
      </c>
      <c r="H5" s="178" t="s">
        <v>3</v>
      </c>
      <c r="I5" s="178" t="s">
        <v>3</v>
      </c>
      <c r="J5" s="131">
        <f>IFERROR(INDEX(#REF!,(MATCH('Old Calc Tab'!C:C,#REF!,0))),0)</f>
        <v>0</v>
      </c>
      <c r="K5" s="131">
        <f>IFERROR(INDEX(#REF!,(MATCH('Old Calc Tab'!$C:$C,#REF!,0))),0)</f>
        <v>0</v>
      </c>
      <c r="L5" s="131"/>
      <c r="M5" s="131">
        <v>14855448.622413971</v>
      </c>
      <c r="N5" s="131">
        <f>IFERROR(INDEX(#REF!,(MATCH('Old Calc Tab'!$C:$C,#REF!,0))),0)</f>
        <v>0</v>
      </c>
      <c r="O5" s="131">
        <f t="shared" si="0"/>
        <v>0</v>
      </c>
      <c r="P5" s="131">
        <f t="shared" si="1"/>
        <v>14855448.622413971</v>
      </c>
      <c r="Q5" s="131"/>
      <c r="R5" s="131"/>
      <c r="S5" s="131"/>
      <c r="T5" s="131"/>
      <c r="U5" s="131"/>
      <c r="V5" s="131">
        <v>0</v>
      </c>
      <c r="W5" s="180">
        <v>0</v>
      </c>
      <c r="X5" s="180">
        <f t="shared" si="2"/>
        <v>14855448.622413971</v>
      </c>
      <c r="Y5" s="181">
        <f>IF(D5="Physician Group Practice",(X5/$AE$369)*'1. UC Assumptions'!$C$15,IF(OR(E5="Rural Hospital",E5="Hosp - State"),X5,(X5/$X$369)*'1. UC Assumptions'!$C$9))</f>
        <v>2287696.2775028702</v>
      </c>
      <c r="Z5" s="181">
        <f t="shared" si="3"/>
        <v>0</v>
      </c>
      <c r="AA5" s="181">
        <f t="shared" si="4"/>
        <v>12567752.3449111</v>
      </c>
      <c r="AB5" s="182">
        <f t="shared" si="5"/>
        <v>6749.2744215192806</v>
      </c>
      <c r="AC5" s="181">
        <f t="shared" si="6"/>
        <v>12574501.619332619</v>
      </c>
      <c r="AD5" s="181">
        <f t="shared" si="7"/>
        <v>2294445.5519243893</v>
      </c>
      <c r="AE5" s="131">
        <v>5039721.5</v>
      </c>
      <c r="AF5" s="131">
        <f>AE5*'1. UC Assumptions'!$C$23</f>
        <v>1663108.0949999997</v>
      </c>
      <c r="AG5" s="183">
        <f>IF((((X5-W5-AE5)*'1. UC Assumptions'!$C$23)+AF5)&gt;0,((X5-W5-AE5)*'1. UC Assumptions'!$C$23)+AF5,0)</f>
        <v>4902298.0453966092</v>
      </c>
      <c r="AH5" s="183">
        <f>IF(((X5-W5-AE5)*'1. UC Assumptions'!$C$23)&gt;0,(X5-W5-AE5)*'1. UC Assumptions'!$C$23,0)</f>
        <v>3239189.95039661</v>
      </c>
      <c r="AI5" s="183">
        <f t="shared" si="8"/>
        <v>4902298.0453966092</v>
      </c>
      <c r="AJ5" s="183">
        <f>IF(H5="Bexar",(AD5/$AJ$1)*'1. UC Assumptions'!$E$42,0)</f>
        <v>0</v>
      </c>
      <c r="AK5" s="183">
        <f>IF(H5="Dallas",(AD5/$AK$1)*'1. UC Assumptions'!$F$42,0)</f>
        <v>0</v>
      </c>
      <c r="AL5" s="183">
        <f>IF(H5="El Paso",(AD5/$AL$1)*'1. UC Assumptions'!$G$42,0)</f>
        <v>0</v>
      </c>
      <c r="AM5" s="183">
        <f>IF(H5="Harris",(AD5/$AM$1)*'1. UC Assumptions'!$H$42,0)</f>
        <v>0</v>
      </c>
      <c r="AN5" s="183">
        <f>IF(H5="Hidalgo",(AD5/$AN$1)*'1. UC Assumptions'!$I$42,0)</f>
        <v>0</v>
      </c>
      <c r="AO5" s="183">
        <f>IF(H5="Jefferson",(AD5/$AO$1)*'1. UC Assumptions'!$J$42,0)</f>
        <v>0</v>
      </c>
      <c r="AP5" s="183">
        <f>IF(H5="Lubbock",(AD5/$AP$1)*'1. UC Assumptions'!$K$42,0)</f>
        <v>0</v>
      </c>
      <c r="AQ5" s="183">
        <f>IF(H5="MRSA Central",(AD5/$AQ$1)*'1. UC Assumptions'!$L$42,0)</f>
        <v>0</v>
      </c>
      <c r="AR5" s="183">
        <f>IF(H5="MRSA Northeast",(AD5/$AR$1)*'1. UC Assumptions'!$M$42,0)</f>
        <v>0</v>
      </c>
      <c r="AS5" s="183">
        <f>IF(H5="MRSA West",(AD5/$AS$1)*'1. UC Assumptions'!$N$42,0)</f>
        <v>0</v>
      </c>
      <c r="AT5" s="183">
        <f>IF(H5="Nueces",(AD5/$AT$1)*'1. UC Assumptions'!$O$42,0)</f>
        <v>0</v>
      </c>
      <c r="AU5" s="183">
        <f>IF(H5="Tarrant",(AD5/$AU$1)*'1. UC Assumptions'!$P$42,0)</f>
        <v>0</v>
      </c>
      <c r="AV5" s="183">
        <f>IF(H5="Travis",(AD5/$AV$1)*'1. UC Assumptions'!$Q$42,0)</f>
        <v>0</v>
      </c>
      <c r="AW5" s="183">
        <f>IF(H5="Bexar",(AC5/$AW$1)*'1. UC Assumptions'!$E$44,0)</f>
        <v>0</v>
      </c>
      <c r="AX5" s="183">
        <f>IF(H5="Dallas",(AC5/$AX$1)*'1. UC Assumptions'!$F$44,0)</f>
        <v>0</v>
      </c>
      <c r="AY5" s="183">
        <f>IF(H5="El Paso",(AC5/$AY$1)*'1. UC Assumptions'!$G$44,0)</f>
        <v>0</v>
      </c>
      <c r="AZ5" s="183">
        <f>IF(H5="Harris",(AC5/$AZ$1)*'1. UC Assumptions'!$H$44,0)</f>
        <v>0</v>
      </c>
      <c r="BA5" s="183">
        <f>IF(H5="Hidalgo",(AC5/$BA$1)*'1. UC Assumptions'!$I$44,0)</f>
        <v>0</v>
      </c>
      <c r="BB5" s="183">
        <f>IF(H5="Jefferson",(AC5/$BB$1)*'1. UC Assumptions'!$J$44,0)</f>
        <v>0</v>
      </c>
      <c r="BC5" s="183">
        <f>IF(H5="Lubbock",(AC5/$BC$1)*'1. UC Assumptions'!$K$44,0)</f>
        <v>0</v>
      </c>
      <c r="BD5" s="183">
        <f>IF(H5="MRSA Central",(AC5/$BD$1)*'1. UC Assumptions'!$L$44,0)</f>
        <v>0</v>
      </c>
      <c r="BE5" s="183">
        <f>IF(H5="MRSA Northeast",(AC5/$BE$1)*'1. UC Assumptions'!$M$44,0)</f>
        <v>0</v>
      </c>
      <c r="BF5" s="183">
        <f>IF(H5="MRSA West",(AC5/$BF$1)*'1. UC Assumptions'!$N$44,0)</f>
        <v>0</v>
      </c>
      <c r="BG5" s="183">
        <f>IF(H5="Nueces",(AC5/$BG$1)*'1. UC Assumptions'!$O$44,0)</f>
        <v>0</v>
      </c>
      <c r="BH5" s="183">
        <f>IF(H5="Tarrant",(AC5/$BH$1)*'1. UC Assumptions'!$P$44,0)</f>
        <v>0</v>
      </c>
      <c r="BI5" s="183">
        <f>IF(H5="Travis",(AC5/$BI$1)*'1. UC Assumptions'!$Q$44,0)</f>
        <v>0</v>
      </c>
      <c r="BJ5" s="183">
        <f t="shared" si="9"/>
        <v>0</v>
      </c>
      <c r="BK5" s="183">
        <f t="shared" si="10"/>
        <v>0</v>
      </c>
      <c r="BL5" s="183">
        <f t="shared" si="11"/>
        <v>2294445.5519243893</v>
      </c>
      <c r="BM5" s="184">
        <f t="shared" si="12"/>
        <v>-2745275.9480756107</v>
      </c>
      <c r="BN5" s="184">
        <f>ROUNDDOWN(BM5*'1. UC Assumptions'!$C$23,2)</f>
        <v>-905941.06</v>
      </c>
      <c r="BO5" s="184"/>
      <c r="BP5" s="185"/>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row>
    <row r="6" spans="1:95">
      <c r="A6" s="177"/>
      <c r="B6" s="177" t="s">
        <v>1105</v>
      </c>
      <c r="C6" s="177" t="s">
        <v>1105</v>
      </c>
      <c r="D6" s="179" t="s">
        <v>36</v>
      </c>
      <c r="E6" s="179" t="s">
        <v>36</v>
      </c>
      <c r="F6" s="177"/>
      <c r="G6" s="177" t="s">
        <v>1216</v>
      </c>
      <c r="H6" s="178" t="s">
        <v>3</v>
      </c>
      <c r="I6" s="178" t="s">
        <v>3</v>
      </c>
      <c r="J6" s="131">
        <f>IFERROR(INDEX(#REF!,(MATCH('Old Calc Tab'!C:C,#REF!,0))),0)</f>
        <v>0</v>
      </c>
      <c r="K6" s="131">
        <f>IFERROR(INDEX(#REF!,(MATCH('Old Calc Tab'!$C:$C,#REF!,0))),0)</f>
        <v>0</v>
      </c>
      <c r="L6" s="131"/>
      <c r="M6" s="131">
        <v>11351261.696276214</v>
      </c>
      <c r="N6" s="131">
        <f>IFERROR(INDEX(#REF!,(MATCH('Old Calc Tab'!$C:$C,#REF!,0))),0)</f>
        <v>0</v>
      </c>
      <c r="O6" s="131">
        <f t="shared" si="0"/>
        <v>0</v>
      </c>
      <c r="P6" s="131">
        <f t="shared" si="1"/>
        <v>11351261.696276214</v>
      </c>
      <c r="Q6" s="131"/>
      <c r="R6" s="131"/>
      <c r="S6" s="131"/>
      <c r="T6" s="131"/>
      <c r="U6" s="131"/>
      <c r="V6" s="131">
        <v>0</v>
      </c>
      <c r="W6" s="180">
        <v>0</v>
      </c>
      <c r="X6" s="180">
        <f t="shared" si="2"/>
        <v>11351261.696276214</v>
      </c>
      <c r="Y6" s="181">
        <f>IF(D6="Physician Group Practice",(X6/$AE$369)*'1. UC Assumptions'!$C$15,IF(OR(E6="Rural Hospital",E6="Hosp - State"),X6,(X6/$X$369)*'1. UC Assumptions'!$C$9))</f>
        <v>1748061.5892239707</v>
      </c>
      <c r="Z6" s="181">
        <f t="shared" si="3"/>
        <v>0</v>
      </c>
      <c r="AA6" s="181">
        <f t="shared" si="4"/>
        <v>9603200.1070522442</v>
      </c>
      <c r="AB6" s="182">
        <f t="shared" si="5"/>
        <v>5157.2175412498073</v>
      </c>
      <c r="AC6" s="181">
        <f t="shared" si="6"/>
        <v>9608357.3245934937</v>
      </c>
      <c r="AD6" s="181">
        <f t="shared" si="7"/>
        <v>1753218.8067652204</v>
      </c>
      <c r="AE6" s="131">
        <v>1966075.42</v>
      </c>
      <c r="AF6" s="131">
        <f>AE6*'1. UC Assumptions'!$C$23</f>
        <v>648804.88859999995</v>
      </c>
      <c r="AG6" s="183">
        <f>IF((((X6-W6-AE6)*'1. UC Assumptions'!$C$23)+AF6)&gt;0,((X6-W6-AE6)*'1. UC Assumptions'!$C$23)+AF6,0)</f>
        <v>3745916.3597711502</v>
      </c>
      <c r="AH6" s="183">
        <f>IF(((X6-W6-AE6)*'1. UC Assumptions'!$C$23)&gt;0,(X6-W6-AE6)*'1. UC Assumptions'!$C$23,0)</f>
        <v>3097111.4711711504</v>
      </c>
      <c r="AI6" s="183">
        <f t="shared" si="8"/>
        <v>3745916.3597711502</v>
      </c>
      <c r="AJ6" s="183">
        <f>IF(H6="Bexar",(AD6/$AJ$1)*'1. UC Assumptions'!$E$42,0)</f>
        <v>0</v>
      </c>
      <c r="AK6" s="183">
        <f>IF(H6="Dallas",(AD6/$AK$1)*'1. UC Assumptions'!$F$42,0)</f>
        <v>0</v>
      </c>
      <c r="AL6" s="183">
        <f>IF(H6="El Paso",(AD6/$AL$1)*'1. UC Assumptions'!$G$42,0)</f>
        <v>0</v>
      </c>
      <c r="AM6" s="183">
        <f>IF(H6="Harris",(AD6/$AM$1)*'1. UC Assumptions'!$H$42,0)</f>
        <v>0</v>
      </c>
      <c r="AN6" s="183">
        <f>IF(H6="Hidalgo",(AD6/$AN$1)*'1. UC Assumptions'!$I$42,0)</f>
        <v>0</v>
      </c>
      <c r="AO6" s="183">
        <f>IF(H6="Jefferson",(AD6/$AO$1)*'1. UC Assumptions'!$J$42,0)</f>
        <v>0</v>
      </c>
      <c r="AP6" s="183">
        <f>IF(H6="Lubbock",(AD6/$AP$1)*'1. UC Assumptions'!$K$42,0)</f>
        <v>0</v>
      </c>
      <c r="AQ6" s="183">
        <f>IF(H6="MRSA Central",(AD6/$AQ$1)*'1. UC Assumptions'!$L$42,0)</f>
        <v>0</v>
      </c>
      <c r="AR6" s="183">
        <f>IF(H6="MRSA Northeast",(AD6/$AR$1)*'1. UC Assumptions'!$M$42,0)</f>
        <v>0</v>
      </c>
      <c r="AS6" s="183">
        <f>IF(H6="MRSA West",(AD6/$AS$1)*'1. UC Assumptions'!$N$42,0)</f>
        <v>0</v>
      </c>
      <c r="AT6" s="183">
        <f>IF(H6="Nueces",(AD6/$AT$1)*'1. UC Assumptions'!$O$42,0)</f>
        <v>0</v>
      </c>
      <c r="AU6" s="183">
        <f>IF(H6="Tarrant",(AD6/$AU$1)*'1. UC Assumptions'!$P$42,0)</f>
        <v>0</v>
      </c>
      <c r="AV6" s="183">
        <f>IF(H6="Travis",(AD6/$AV$1)*'1. UC Assumptions'!$Q$42,0)</f>
        <v>0</v>
      </c>
      <c r="AW6" s="183">
        <f>IF(H6="Bexar",(AC6/$AW$1)*'1. UC Assumptions'!$E$44,0)</f>
        <v>0</v>
      </c>
      <c r="AX6" s="183">
        <f>IF(H6="Dallas",(AC6/$AX$1)*'1. UC Assumptions'!$F$44,0)</f>
        <v>0</v>
      </c>
      <c r="AY6" s="183">
        <f>IF(H6="El Paso",(AC6/$AY$1)*'1. UC Assumptions'!$G$44,0)</f>
        <v>0</v>
      </c>
      <c r="AZ6" s="183">
        <f>IF(H6="Harris",(AC6/$AZ$1)*'1. UC Assumptions'!$H$44,0)</f>
        <v>0</v>
      </c>
      <c r="BA6" s="183">
        <f>IF(H6="Hidalgo",(AC6/$BA$1)*'1. UC Assumptions'!$I$44,0)</f>
        <v>0</v>
      </c>
      <c r="BB6" s="183">
        <f>IF(H6="Jefferson",(AC6/$BB$1)*'1. UC Assumptions'!$J$44,0)</f>
        <v>0</v>
      </c>
      <c r="BC6" s="183">
        <f>IF(H6="Lubbock",(AC6/$BC$1)*'1. UC Assumptions'!$K$44,0)</f>
        <v>0</v>
      </c>
      <c r="BD6" s="183">
        <f>IF(H6="MRSA Central",(AC6/$BD$1)*'1. UC Assumptions'!$L$44,0)</f>
        <v>0</v>
      </c>
      <c r="BE6" s="183">
        <f>IF(H6="MRSA Northeast",(AC6/$BE$1)*'1. UC Assumptions'!$M$44,0)</f>
        <v>0</v>
      </c>
      <c r="BF6" s="183">
        <f>IF(H6="MRSA West",(AC6/$BF$1)*'1. UC Assumptions'!$N$44,0)</f>
        <v>0</v>
      </c>
      <c r="BG6" s="183">
        <f>IF(H6="Nueces",(AC6/$BG$1)*'1. UC Assumptions'!$O$44,0)</f>
        <v>0</v>
      </c>
      <c r="BH6" s="183">
        <f>IF(H6="Tarrant",(AC6/$BH$1)*'1. UC Assumptions'!$P$44,0)</f>
        <v>0</v>
      </c>
      <c r="BI6" s="183">
        <f>IF(H6="Travis",(AC6/$BI$1)*'1. UC Assumptions'!$Q$44,0)</f>
        <v>0</v>
      </c>
      <c r="BJ6" s="183">
        <f t="shared" si="9"/>
        <v>0</v>
      </c>
      <c r="BK6" s="183">
        <f t="shared" si="10"/>
        <v>0</v>
      </c>
      <c r="BL6" s="183">
        <f t="shared" si="11"/>
        <v>1753218.8067652204</v>
      </c>
      <c r="BM6" s="184">
        <f t="shared" si="12"/>
        <v>-212856.61323477956</v>
      </c>
      <c r="BN6" s="184">
        <f>ROUNDDOWN(BM6*'1. UC Assumptions'!$C$23,2)</f>
        <v>-70242.679999999993</v>
      </c>
      <c r="BO6" s="184"/>
      <c r="BP6" s="185"/>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row>
    <row r="7" spans="1:95">
      <c r="A7" s="177" t="s">
        <v>1217</v>
      </c>
      <c r="B7" s="178" t="s">
        <v>353</v>
      </c>
      <c r="C7" s="178" t="s">
        <v>353</v>
      </c>
      <c r="D7" s="179" t="s">
        <v>214</v>
      </c>
      <c r="E7" s="179"/>
      <c r="F7" s="177"/>
      <c r="G7" s="177" t="s">
        <v>1218</v>
      </c>
      <c r="H7" s="178" t="s">
        <v>3</v>
      </c>
      <c r="I7" s="178" t="s">
        <v>3</v>
      </c>
      <c r="J7" s="131">
        <f>IFERROR(INDEX(#REF!,(MATCH('Old Calc Tab'!C:C,#REF!,0))),0)</f>
        <v>0</v>
      </c>
      <c r="K7" s="131">
        <f>IFERROR(INDEX(#REF!,(MATCH('Old Calc Tab'!$C:$C,#REF!,0))),0)</f>
        <v>0</v>
      </c>
      <c r="L7" s="131"/>
      <c r="M7" s="131">
        <v>89158179.699852049</v>
      </c>
      <c r="N7" s="131">
        <f>IFERROR(INDEX(#REF!,(MATCH('Old Calc Tab'!$C:$C,#REF!,0))),0)</f>
        <v>0</v>
      </c>
      <c r="O7" s="131">
        <f t="shared" si="0"/>
        <v>0</v>
      </c>
      <c r="P7" s="131">
        <f t="shared" si="1"/>
        <v>89158179.699852049</v>
      </c>
      <c r="Q7" s="131"/>
      <c r="R7" s="131"/>
      <c r="S7" s="131"/>
      <c r="T7" s="131"/>
      <c r="U7" s="131"/>
      <c r="V7" s="131">
        <v>623045</v>
      </c>
      <c r="W7" s="180">
        <v>0</v>
      </c>
      <c r="X7" s="180">
        <f t="shared" si="2"/>
        <v>89781224.699852049</v>
      </c>
      <c r="Y7" s="181">
        <f>IF(D7="Physician Group Practice",(X7/$AE$369)*'1. UC Assumptions'!$C$15,IF(OR(E7="Rural Hospital",E7="Hosp - State"),X7,(X7/$X$369)*'1. UC Assumptions'!$C$9))</f>
        <v>54035999.656243727</v>
      </c>
      <c r="Z7" s="181">
        <f t="shared" si="3"/>
        <v>0</v>
      </c>
      <c r="AA7" s="181">
        <f t="shared" si="4"/>
        <v>35745225.043608323</v>
      </c>
      <c r="AB7" s="182">
        <f t="shared" si="5"/>
        <v>19196.299104029058</v>
      </c>
      <c r="AC7" s="181">
        <f t="shared" si="6"/>
        <v>35764421.34271235</v>
      </c>
      <c r="AD7" s="181">
        <f t="shared" si="7"/>
        <v>54055195.955347754</v>
      </c>
      <c r="AE7" s="131">
        <v>25586657.350000001</v>
      </c>
      <c r="AF7" s="131">
        <f>AE7*'1. UC Assumptions'!$C$23</f>
        <v>8443596.9254999999</v>
      </c>
      <c r="AG7" s="183">
        <f>IF((((X7-W7-AE7)*'1. UC Assumptions'!$C$23)+AF7)&gt;0,((X7-W7-AE7)*'1. UC Assumptions'!$C$23)+AF7,0)</f>
        <v>29627804.150951169</v>
      </c>
      <c r="AH7" s="183">
        <f>IF(((X7-W7-AE7)*'1. UC Assumptions'!$C$23)&gt;0,(X7-W7-AE7)*'1. UC Assumptions'!$C$23,0)</f>
        <v>21184207.225451171</v>
      </c>
      <c r="AI7" s="183">
        <f t="shared" si="8"/>
        <v>29627804.150951169</v>
      </c>
      <c r="AJ7" s="183">
        <f>IF(H7="Bexar",(AD7/$AJ$1)*'1. UC Assumptions'!$E$42,0)</f>
        <v>0</v>
      </c>
      <c r="AK7" s="183">
        <f>IF(H7="Dallas",(AD7/$AK$1)*'1. UC Assumptions'!$F$42,0)</f>
        <v>0</v>
      </c>
      <c r="AL7" s="183">
        <f>IF(H7="El Paso",(AD7/$AL$1)*'1. UC Assumptions'!$G$42,0)</f>
        <v>0</v>
      </c>
      <c r="AM7" s="183">
        <f>IF(H7="Harris",(AD7/$AM$1)*'1. UC Assumptions'!$H$42,0)</f>
        <v>0</v>
      </c>
      <c r="AN7" s="183">
        <f>IF(H7="Hidalgo",(AD7/$AN$1)*'1. UC Assumptions'!$I$42,0)</f>
        <v>0</v>
      </c>
      <c r="AO7" s="183">
        <f>IF(H7="Jefferson",(AD7/$AO$1)*'1. UC Assumptions'!$J$42,0)</f>
        <v>0</v>
      </c>
      <c r="AP7" s="183">
        <f>IF(H7="Lubbock",(AD7/$AP$1)*'1. UC Assumptions'!$K$42,0)</f>
        <v>0</v>
      </c>
      <c r="AQ7" s="183">
        <f>IF(H7="MRSA Central",(AD7/$AQ$1)*'1. UC Assumptions'!$L$42,0)</f>
        <v>0</v>
      </c>
      <c r="AR7" s="183">
        <f>IF(H7="MRSA Northeast",(AD7/$AR$1)*'1. UC Assumptions'!$M$42,0)</f>
        <v>0</v>
      </c>
      <c r="AS7" s="183">
        <f>IF(H7="MRSA West",(AD7/$AS$1)*'1. UC Assumptions'!$N$42,0)</f>
        <v>0</v>
      </c>
      <c r="AT7" s="183">
        <f>IF(H7="Nueces",(AD7/$AT$1)*'1. UC Assumptions'!$O$42,0)</f>
        <v>0</v>
      </c>
      <c r="AU7" s="183">
        <f>IF(H7="Tarrant",(AD7/$AU$1)*'1. UC Assumptions'!$P$42,0)</f>
        <v>0</v>
      </c>
      <c r="AV7" s="183">
        <f>IF(H7="Travis",(AD7/$AV$1)*'1. UC Assumptions'!$Q$42,0)</f>
        <v>0</v>
      </c>
      <c r="AW7" s="183">
        <f>IF(H7="Bexar",(AC7/$AW$1)*'1. UC Assumptions'!$E$44,0)</f>
        <v>0</v>
      </c>
      <c r="AX7" s="183">
        <f>IF(H7="Dallas",(AC7/$AX$1)*'1. UC Assumptions'!$F$44,0)</f>
        <v>0</v>
      </c>
      <c r="AY7" s="183">
        <f>IF(H7="El Paso",(AC7/$AY$1)*'1. UC Assumptions'!$G$44,0)</f>
        <v>0</v>
      </c>
      <c r="AZ7" s="183">
        <f>IF(H7="Harris",(AC7/$AZ$1)*'1. UC Assumptions'!$H$44,0)</f>
        <v>0</v>
      </c>
      <c r="BA7" s="183">
        <f>IF(H7="Hidalgo",(AC7/$BA$1)*'1. UC Assumptions'!$I$44,0)</f>
        <v>0</v>
      </c>
      <c r="BB7" s="183">
        <f>IF(H7="Jefferson",(AC7/$BB$1)*'1. UC Assumptions'!$J$44,0)</f>
        <v>0</v>
      </c>
      <c r="BC7" s="183">
        <f>IF(H7="Lubbock",(AC7/$BC$1)*'1. UC Assumptions'!$K$44,0)</f>
        <v>0</v>
      </c>
      <c r="BD7" s="183">
        <f>IF(H7="MRSA Central",(AC7/$BD$1)*'1. UC Assumptions'!$L$44,0)</f>
        <v>0</v>
      </c>
      <c r="BE7" s="183">
        <f>IF(H7="MRSA Northeast",(AC7/$BE$1)*'1. UC Assumptions'!$M$44,0)</f>
        <v>0</v>
      </c>
      <c r="BF7" s="183">
        <f>IF(H7="MRSA West",(AC7/$BF$1)*'1. UC Assumptions'!$N$44,0)</f>
        <v>0</v>
      </c>
      <c r="BG7" s="183">
        <f>IF(H7="Nueces",(AC7/$BG$1)*'1. UC Assumptions'!$O$44,0)</f>
        <v>0</v>
      </c>
      <c r="BH7" s="183">
        <f>IF(H7="Tarrant",(AC7/$BH$1)*'1. UC Assumptions'!$P$44,0)</f>
        <v>0</v>
      </c>
      <c r="BI7" s="183">
        <f>IF(H7="Travis",(AC7/$BI$1)*'1. UC Assumptions'!$Q$44,0)</f>
        <v>0</v>
      </c>
      <c r="BJ7" s="183">
        <f t="shared" si="9"/>
        <v>0</v>
      </c>
      <c r="BK7" s="183">
        <f t="shared" si="10"/>
        <v>0</v>
      </c>
      <c r="BL7" s="183">
        <f t="shared" si="11"/>
        <v>54055195.955347754</v>
      </c>
      <c r="BM7" s="184">
        <f t="shared" si="12"/>
        <v>28468538.605347753</v>
      </c>
      <c r="BN7" s="184">
        <f>ROUNDDOWN(BM7*'1. UC Assumptions'!$C$23,2)</f>
        <v>9394617.7300000004</v>
      </c>
      <c r="BO7" s="184"/>
      <c r="BP7" s="185"/>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row>
    <row r="8" spans="1:95">
      <c r="A8" s="177" t="s">
        <v>1219</v>
      </c>
      <c r="B8" s="178" t="s">
        <v>472</v>
      </c>
      <c r="C8" s="178" t="s">
        <v>472</v>
      </c>
      <c r="D8" s="179" t="s">
        <v>214</v>
      </c>
      <c r="E8" s="179"/>
      <c r="F8" s="177" t="s">
        <v>287</v>
      </c>
      <c r="G8" s="177" t="s">
        <v>473</v>
      </c>
      <c r="H8" s="178" t="s">
        <v>3</v>
      </c>
      <c r="I8" s="178" t="s">
        <v>3</v>
      </c>
      <c r="J8" s="131">
        <f>IFERROR(INDEX(#REF!,(MATCH('Old Calc Tab'!C:C,#REF!,0))),0)</f>
        <v>0</v>
      </c>
      <c r="K8" s="131">
        <f>IFERROR(INDEX(#REF!,(MATCH('Old Calc Tab'!$C:$C,#REF!,0))),0)</f>
        <v>0</v>
      </c>
      <c r="L8" s="131"/>
      <c r="M8" s="131">
        <v>41027</v>
      </c>
      <c r="N8" s="131">
        <f>IFERROR(INDEX(#REF!,(MATCH('Old Calc Tab'!$C:$C,#REF!,0))),0)</f>
        <v>0</v>
      </c>
      <c r="O8" s="131">
        <f t="shared" si="0"/>
        <v>0</v>
      </c>
      <c r="P8" s="131">
        <f t="shared" si="1"/>
        <v>41027</v>
      </c>
      <c r="Q8" s="131"/>
      <c r="R8" s="131"/>
      <c r="S8" s="131"/>
      <c r="T8" s="131"/>
      <c r="U8" s="131"/>
      <c r="V8" s="131">
        <v>41027</v>
      </c>
      <c r="W8" s="180">
        <v>0</v>
      </c>
      <c r="X8" s="180">
        <f t="shared" si="2"/>
        <v>82054</v>
      </c>
      <c r="Y8" s="181">
        <f>IF(D8="Physician Group Practice",(X8/$AE$369)*'1. UC Assumptions'!$C$15,IF(OR(E8="Rural Hospital",E8="Hosp - State"),X8,(X8/$X$369)*'1. UC Assumptions'!$C$9))</f>
        <v>49385.268808888599</v>
      </c>
      <c r="Z8" s="181">
        <f t="shared" si="3"/>
        <v>0</v>
      </c>
      <c r="AA8" s="181">
        <f t="shared" si="4"/>
        <v>32668.731191111401</v>
      </c>
      <c r="AB8" s="182">
        <f t="shared" si="5"/>
        <v>17.544126090369499</v>
      </c>
      <c r="AC8" s="181">
        <f t="shared" si="6"/>
        <v>32686.275317201769</v>
      </c>
      <c r="AD8" s="181">
        <f t="shared" si="7"/>
        <v>49402.812934978967</v>
      </c>
      <c r="AE8" s="131">
        <v>154996.03</v>
      </c>
      <c r="AF8" s="131">
        <f>AE8*'1. UC Assumptions'!$C$23</f>
        <v>51148.68989999999</v>
      </c>
      <c r="AG8" s="183">
        <f>IF((((X8-W8-AE8)*'1. UC Assumptions'!$C$23)+AF8)&gt;0,((X8-W8-AE8)*'1. UC Assumptions'!$C$23)+AF8,0)</f>
        <v>27077.819999999992</v>
      </c>
      <c r="AH8" s="183">
        <f>IF(((X8-W8-AE8)*'1. UC Assumptions'!$C$23)&gt;0,(X8-W8-AE8)*'1. UC Assumptions'!$C$23,0)</f>
        <v>0</v>
      </c>
      <c r="AI8" s="183">
        <f t="shared" si="8"/>
        <v>51148.68989999999</v>
      </c>
      <c r="AJ8" s="183">
        <f>IF(H8="Bexar",(AD8/$AJ$1)*'1. UC Assumptions'!$E$42,0)</f>
        <v>0</v>
      </c>
      <c r="AK8" s="183">
        <f>IF(H8="Dallas",(AD8/$AK$1)*'1. UC Assumptions'!$F$42,0)</f>
        <v>0</v>
      </c>
      <c r="AL8" s="183">
        <f>IF(H8="El Paso",(AD8/$AL$1)*'1. UC Assumptions'!$G$42,0)</f>
        <v>0</v>
      </c>
      <c r="AM8" s="183">
        <f>IF(H8="Harris",(AD8/$AM$1)*'1. UC Assumptions'!$H$42,0)</f>
        <v>0</v>
      </c>
      <c r="AN8" s="183">
        <f>IF(H8="Hidalgo",(AD8/$AN$1)*'1. UC Assumptions'!$I$42,0)</f>
        <v>0</v>
      </c>
      <c r="AO8" s="183">
        <f>IF(H8="Jefferson",(AD8/$AO$1)*'1. UC Assumptions'!$J$42,0)</f>
        <v>0</v>
      </c>
      <c r="AP8" s="183">
        <f>IF(H8="Lubbock",(AD8/$AP$1)*'1. UC Assumptions'!$K$42,0)</f>
        <v>0</v>
      </c>
      <c r="AQ8" s="183">
        <f>IF(H8="MRSA Central",(AD8/$AQ$1)*'1. UC Assumptions'!$L$42,0)</f>
        <v>0</v>
      </c>
      <c r="AR8" s="183">
        <f>IF(H8="MRSA Northeast",(AD8/$AR$1)*'1. UC Assumptions'!$M$42,0)</f>
        <v>0</v>
      </c>
      <c r="AS8" s="183">
        <f>IF(H8="MRSA West",(AD8/$AS$1)*'1. UC Assumptions'!$N$42,0)</f>
        <v>0</v>
      </c>
      <c r="AT8" s="183">
        <f>IF(H8="Nueces",(AD8/$AT$1)*'1. UC Assumptions'!$O$42,0)</f>
        <v>0</v>
      </c>
      <c r="AU8" s="183">
        <f>IF(H8="Tarrant",(AD8/$AU$1)*'1. UC Assumptions'!$P$42,0)</f>
        <v>0</v>
      </c>
      <c r="AV8" s="183">
        <f>IF(H8="Travis",(AD8/$AV$1)*'1. UC Assumptions'!$Q$42,0)</f>
        <v>0</v>
      </c>
      <c r="AW8" s="183">
        <f>IF(H8="Bexar",(AC8/$AW$1)*'1. UC Assumptions'!$E$44,0)</f>
        <v>0</v>
      </c>
      <c r="AX8" s="183">
        <f>IF(H8="Dallas",(AC8/$AX$1)*'1. UC Assumptions'!$F$44,0)</f>
        <v>0</v>
      </c>
      <c r="AY8" s="183">
        <f>IF(H8="El Paso",(AC8/$AY$1)*'1. UC Assumptions'!$G$44,0)</f>
        <v>0</v>
      </c>
      <c r="AZ8" s="183">
        <f>IF(H8="Harris",(AC8/$AZ$1)*'1. UC Assumptions'!$H$44,0)</f>
        <v>0</v>
      </c>
      <c r="BA8" s="183">
        <f>IF(H8="Hidalgo",(AC8/$BA$1)*'1. UC Assumptions'!$I$44,0)</f>
        <v>0</v>
      </c>
      <c r="BB8" s="183">
        <f>IF(H8="Jefferson",(AC8/$BB$1)*'1. UC Assumptions'!$J$44,0)</f>
        <v>0</v>
      </c>
      <c r="BC8" s="183">
        <f>IF(H8="Lubbock",(AC8/$BC$1)*'1. UC Assumptions'!$K$44,0)</f>
        <v>0</v>
      </c>
      <c r="BD8" s="183">
        <f>IF(H8="MRSA Central",(AC8/$BD$1)*'1. UC Assumptions'!$L$44,0)</f>
        <v>0</v>
      </c>
      <c r="BE8" s="183">
        <f>IF(H8="MRSA Northeast",(AC8/$BE$1)*'1. UC Assumptions'!$M$44,0)</f>
        <v>0</v>
      </c>
      <c r="BF8" s="183">
        <f>IF(H8="MRSA West",(AC8/$BF$1)*'1. UC Assumptions'!$N$44,0)</f>
        <v>0</v>
      </c>
      <c r="BG8" s="183">
        <f>IF(H8="Nueces",(AC8/$BG$1)*'1. UC Assumptions'!$O$44,0)</f>
        <v>0</v>
      </c>
      <c r="BH8" s="183">
        <f>IF(H8="Tarrant",(AC8/$BH$1)*'1. UC Assumptions'!$P$44,0)</f>
        <v>0</v>
      </c>
      <c r="BI8" s="183">
        <f>IF(H8="Travis",(AC8/$BI$1)*'1. UC Assumptions'!$Q$44,0)</f>
        <v>0</v>
      </c>
      <c r="BJ8" s="183">
        <f t="shared" si="9"/>
        <v>0</v>
      </c>
      <c r="BK8" s="183">
        <f t="shared" si="10"/>
        <v>0</v>
      </c>
      <c r="BL8" s="183">
        <f t="shared" si="11"/>
        <v>49402.812934978967</v>
      </c>
      <c r="BM8" s="184">
        <f t="shared" si="12"/>
        <v>-105593.21706502103</v>
      </c>
      <c r="BN8" s="184">
        <f>ROUNDDOWN(BM8*'1. UC Assumptions'!$C$23,2)</f>
        <v>-34845.760000000002</v>
      </c>
      <c r="BO8" s="184"/>
      <c r="BP8" s="185"/>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row>
    <row r="9" spans="1:95">
      <c r="A9" s="177" t="s">
        <v>1220</v>
      </c>
      <c r="B9" s="178" t="s">
        <v>1221</v>
      </c>
      <c r="C9" s="178" t="s">
        <v>1221</v>
      </c>
      <c r="D9" s="179" t="s">
        <v>214</v>
      </c>
      <c r="E9" s="179"/>
      <c r="F9" s="177"/>
      <c r="G9" s="177" t="s">
        <v>1222</v>
      </c>
      <c r="H9" s="178" t="s">
        <v>3</v>
      </c>
      <c r="I9" s="178" t="s">
        <v>3</v>
      </c>
      <c r="J9" s="131">
        <f>IFERROR(INDEX(#REF!,(MATCH('Old Calc Tab'!C:C,#REF!,0))),0)</f>
        <v>0</v>
      </c>
      <c r="K9" s="131">
        <f>IFERROR(INDEX(#REF!,(MATCH('Old Calc Tab'!$C:$C,#REF!,0))),0)</f>
        <v>0</v>
      </c>
      <c r="L9" s="131"/>
      <c r="M9" s="131">
        <v>1051394.5790037429</v>
      </c>
      <c r="N9" s="131">
        <f>IFERROR(INDEX(#REF!,(MATCH('Old Calc Tab'!$C:$C,#REF!,0))),0)</f>
        <v>0</v>
      </c>
      <c r="O9" s="131">
        <f t="shared" si="0"/>
        <v>0</v>
      </c>
      <c r="P9" s="131">
        <f t="shared" si="1"/>
        <v>1051394.5790037429</v>
      </c>
      <c r="Q9" s="131"/>
      <c r="R9" s="131"/>
      <c r="S9" s="131"/>
      <c r="T9" s="131"/>
      <c r="U9" s="131"/>
      <c r="V9" s="131">
        <v>0</v>
      </c>
      <c r="W9" s="180">
        <v>0</v>
      </c>
      <c r="X9" s="180">
        <f t="shared" si="2"/>
        <v>1051394.5790037429</v>
      </c>
      <c r="Y9" s="181">
        <f>IF(D9="Physician Group Practice",(X9/$AE$369)*'1. UC Assumptions'!$C$15,IF(OR(E9="Rural Hospital",E9="Hosp - State"),X9,(X9/$X$369)*'1. UC Assumptions'!$C$9))</f>
        <v>632795.5237807798</v>
      </c>
      <c r="Z9" s="181">
        <f t="shared" si="3"/>
        <v>0</v>
      </c>
      <c r="AA9" s="181">
        <f t="shared" si="4"/>
        <v>418599.0552229631</v>
      </c>
      <c r="AB9" s="182">
        <f t="shared" si="5"/>
        <v>224.80072957774902</v>
      </c>
      <c r="AC9" s="181">
        <f t="shared" si="6"/>
        <v>418823.85595254082</v>
      </c>
      <c r="AD9" s="181">
        <f t="shared" si="7"/>
        <v>633020.32451035758</v>
      </c>
      <c r="AE9" s="131">
        <v>251331.65</v>
      </c>
      <c r="AF9" s="131">
        <f>AE9*'1. UC Assumptions'!$C$23</f>
        <v>82939.444499999983</v>
      </c>
      <c r="AG9" s="183">
        <f>IF((((X9-W9-AE9)*'1. UC Assumptions'!$C$23)+AF9)&gt;0,((X9-W9-AE9)*'1. UC Assumptions'!$C$23)+AF9,0)</f>
        <v>346960.21107123513</v>
      </c>
      <c r="AH9" s="183">
        <f>IF(((X9-W9-AE9)*'1. UC Assumptions'!$C$23)&gt;0,(X9-W9-AE9)*'1. UC Assumptions'!$C$23,0)</f>
        <v>264020.76657123514</v>
      </c>
      <c r="AI9" s="183">
        <f t="shared" si="8"/>
        <v>346960.21107123513</v>
      </c>
      <c r="AJ9" s="183">
        <f>IF(H9="Bexar",(AD9/$AJ$1)*'1. UC Assumptions'!$E$42,0)</f>
        <v>0</v>
      </c>
      <c r="AK9" s="183">
        <f>IF(H9="Dallas",(AD9/$AK$1)*'1. UC Assumptions'!$F$42,0)</f>
        <v>0</v>
      </c>
      <c r="AL9" s="183">
        <f>IF(H9="El Paso",(AD9/$AL$1)*'1. UC Assumptions'!$G$42,0)</f>
        <v>0</v>
      </c>
      <c r="AM9" s="183">
        <f>IF(H9="Harris",(AD9/$AM$1)*'1. UC Assumptions'!$H$42,0)</f>
        <v>0</v>
      </c>
      <c r="AN9" s="183">
        <f>IF(H9="Hidalgo",(AD9/$AN$1)*'1. UC Assumptions'!$I$42,0)</f>
        <v>0</v>
      </c>
      <c r="AO9" s="183">
        <f>IF(H9="Jefferson",(AD9/$AO$1)*'1. UC Assumptions'!$J$42,0)</f>
        <v>0</v>
      </c>
      <c r="AP9" s="183">
        <f>IF(H9="Lubbock",(AD9/$AP$1)*'1. UC Assumptions'!$K$42,0)</f>
        <v>0</v>
      </c>
      <c r="AQ9" s="183">
        <f>IF(H9="MRSA Central",(AD9/$AQ$1)*'1. UC Assumptions'!$L$42,0)</f>
        <v>0</v>
      </c>
      <c r="AR9" s="183">
        <f>IF(H9="MRSA Northeast",(AD9/$AR$1)*'1. UC Assumptions'!$M$42,0)</f>
        <v>0</v>
      </c>
      <c r="AS9" s="183">
        <f>IF(H9="MRSA West",(AD9/$AS$1)*'1. UC Assumptions'!$N$42,0)</f>
        <v>0</v>
      </c>
      <c r="AT9" s="183">
        <f>IF(H9="Nueces",(AD9/$AT$1)*'1. UC Assumptions'!$O$42,0)</f>
        <v>0</v>
      </c>
      <c r="AU9" s="183">
        <f>IF(H9="Tarrant",(AD9/$AU$1)*'1. UC Assumptions'!$P$42,0)</f>
        <v>0</v>
      </c>
      <c r="AV9" s="183">
        <f>IF(H9="Travis",(AD9/$AV$1)*'1. UC Assumptions'!$Q$42,0)</f>
        <v>0</v>
      </c>
      <c r="AW9" s="183">
        <f>IF(H9="Bexar",(AC9/$AW$1)*'1. UC Assumptions'!$E$44,0)</f>
        <v>0</v>
      </c>
      <c r="AX9" s="183">
        <f>IF(H9="Dallas",(AC9/$AX$1)*'1. UC Assumptions'!$F$44,0)</f>
        <v>0</v>
      </c>
      <c r="AY9" s="183">
        <f>IF(H9="El Paso",(AC9/$AY$1)*'1. UC Assumptions'!$G$44,0)</f>
        <v>0</v>
      </c>
      <c r="AZ9" s="183">
        <f>IF(H9="Harris",(AC9/$AZ$1)*'1. UC Assumptions'!$H$44,0)</f>
        <v>0</v>
      </c>
      <c r="BA9" s="183">
        <f>IF(H9="Hidalgo",(AC9/$BA$1)*'1. UC Assumptions'!$I$44,0)</f>
        <v>0</v>
      </c>
      <c r="BB9" s="183">
        <f>IF(H9="Jefferson",(AC9/$BB$1)*'1. UC Assumptions'!$J$44,0)</f>
        <v>0</v>
      </c>
      <c r="BC9" s="183">
        <f>IF(H9="Lubbock",(AC9/$BC$1)*'1. UC Assumptions'!$K$44,0)</f>
        <v>0</v>
      </c>
      <c r="BD9" s="183">
        <f>IF(H9="MRSA Central",(AC9/$BD$1)*'1. UC Assumptions'!$L$44,0)</f>
        <v>0</v>
      </c>
      <c r="BE9" s="183">
        <f>IF(H9="MRSA Northeast",(AC9/$BE$1)*'1. UC Assumptions'!$M$44,0)</f>
        <v>0</v>
      </c>
      <c r="BF9" s="183">
        <f>IF(H9="MRSA West",(AC9/$BF$1)*'1. UC Assumptions'!$N$44,0)</f>
        <v>0</v>
      </c>
      <c r="BG9" s="183">
        <f>IF(H9="Nueces",(AC9/$BG$1)*'1. UC Assumptions'!$O$44,0)</f>
        <v>0</v>
      </c>
      <c r="BH9" s="183">
        <f>IF(H9="Tarrant",(AC9/$BH$1)*'1. UC Assumptions'!$P$44,0)</f>
        <v>0</v>
      </c>
      <c r="BI9" s="183">
        <f>IF(H9="Travis",(AC9/$BI$1)*'1. UC Assumptions'!$Q$44,0)</f>
        <v>0</v>
      </c>
      <c r="BJ9" s="183">
        <f t="shared" si="9"/>
        <v>0</v>
      </c>
      <c r="BK9" s="183">
        <f t="shared" si="10"/>
        <v>0</v>
      </c>
      <c r="BL9" s="183">
        <f t="shared" si="11"/>
        <v>633020.32451035758</v>
      </c>
      <c r="BM9" s="184">
        <f t="shared" si="12"/>
        <v>381688.67451035755</v>
      </c>
      <c r="BN9" s="184">
        <f>ROUNDDOWN(BM9*'1. UC Assumptions'!$C$23,2)</f>
        <v>125957.26</v>
      </c>
      <c r="BO9" s="184"/>
      <c r="BP9" s="185"/>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row>
    <row r="10" spans="1:95">
      <c r="A10" s="177" t="s">
        <v>1223</v>
      </c>
      <c r="B10" s="178" t="s">
        <v>113</v>
      </c>
      <c r="C10" s="178" t="s">
        <v>113</v>
      </c>
      <c r="D10" s="179" t="s">
        <v>281</v>
      </c>
      <c r="E10" s="179"/>
      <c r="F10" s="177" t="s">
        <v>282</v>
      </c>
      <c r="G10" s="177" t="s">
        <v>629</v>
      </c>
      <c r="H10" s="178" t="s">
        <v>3</v>
      </c>
      <c r="I10" s="178" t="s">
        <v>3</v>
      </c>
      <c r="J10" s="131">
        <f>IFERROR(INDEX(#REF!,(MATCH('Old Calc Tab'!C:C,#REF!,0))),0)</f>
        <v>0</v>
      </c>
      <c r="K10" s="131">
        <f>IFERROR(INDEX(#REF!,(MATCH('Old Calc Tab'!$C:$C,#REF!,0))),0)</f>
        <v>0</v>
      </c>
      <c r="L10" s="131"/>
      <c r="M10" s="131">
        <v>10451214</v>
      </c>
      <c r="N10" s="131">
        <f>IFERROR(INDEX(#REF!,(MATCH('Old Calc Tab'!$C:$C,#REF!,0))),0)</f>
        <v>0</v>
      </c>
      <c r="O10" s="131">
        <f t="shared" si="0"/>
        <v>0</v>
      </c>
      <c r="P10" s="131">
        <f t="shared" si="1"/>
        <v>10451214</v>
      </c>
      <c r="Q10" s="131"/>
      <c r="R10" s="131"/>
      <c r="S10" s="131"/>
      <c r="T10" s="131"/>
      <c r="U10" s="131"/>
      <c r="V10" s="131">
        <v>0</v>
      </c>
      <c r="W10" s="180">
        <v>0</v>
      </c>
      <c r="X10" s="180">
        <f t="shared" si="2"/>
        <v>10451214</v>
      </c>
      <c r="Y10" s="181">
        <f>IF(D10="Physician Group Practice",(X10/$AE$369)*'1. UC Assumptions'!$C$15,IF(OR(E10="Rural Hospital",E10="Hosp - State"),X10,(X10/$X$369)*'1. UC Assumptions'!$C$9))</f>
        <v>6290199.2927732943</v>
      </c>
      <c r="Z10" s="181">
        <f t="shared" si="3"/>
        <v>0</v>
      </c>
      <c r="AA10" s="181">
        <f t="shared" si="4"/>
        <v>4161014.7072267057</v>
      </c>
      <c r="AB10" s="182">
        <f t="shared" si="5"/>
        <v>2234.5944891587847</v>
      </c>
      <c r="AC10" s="181">
        <f t="shared" si="6"/>
        <v>4163249.3017158643</v>
      </c>
      <c r="AD10" s="181">
        <f t="shared" si="7"/>
        <v>6292433.8872624533</v>
      </c>
      <c r="AE10" s="131">
        <v>0</v>
      </c>
      <c r="AF10" s="131">
        <f>AE10*'1. UC Assumptions'!$C$23</f>
        <v>0</v>
      </c>
      <c r="AG10" s="183">
        <f>IF((((X10-W10-AE10)*'1. UC Assumptions'!$C$23)+AF10)&gt;0,((X10-W10-AE10)*'1. UC Assumptions'!$C$23)+AF10,0)</f>
        <v>3448900.6199999996</v>
      </c>
      <c r="AH10" s="183">
        <f>IF(((X10-W10-AE10)*'1. UC Assumptions'!$C$23)&gt;0,(X10-W10-AE10)*'1. UC Assumptions'!$C$23,0)</f>
        <v>3448900.6199999996</v>
      </c>
      <c r="AI10" s="183">
        <f t="shared" si="8"/>
        <v>3448900.6199999996</v>
      </c>
      <c r="AJ10" s="183">
        <f>IF(H10="Bexar",(AD10/$AJ$1)*'1. UC Assumptions'!$E$42,0)</f>
        <v>0</v>
      </c>
      <c r="AK10" s="183">
        <f>IF(H10="Dallas",(AD10/$AK$1)*'1. UC Assumptions'!$F$42,0)</f>
        <v>0</v>
      </c>
      <c r="AL10" s="183">
        <f>IF(H10="El Paso",(AD10/$AL$1)*'1. UC Assumptions'!$G$42,0)</f>
        <v>0</v>
      </c>
      <c r="AM10" s="183">
        <f>IF(H10="Harris",(AD10/$AM$1)*'1. UC Assumptions'!$H$42,0)</f>
        <v>0</v>
      </c>
      <c r="AN10" s="183">
        <f>IF(H10="Hidalgo",(AD10/$AN$1)*'1. UC Assumptions'!$I$42,0)</f>
        <v>0</v>
      </c>
      <c r="AO10" s="183">
        <f>IF(H10="Jefferson",(AD10/$AO$1)*'1. UC Assumptions'!$J$42,0)</f>
        <v>0</v>
      </c>
      <c r="AP10" s="183">
        <f>IF(H10="Lubbock",(AD10/$AP$1)*'1. UC Assumptions'!$K$42,0)</f>
        <v>0</v>
      </c>
      <c r="AQ10" s="183">
        <f>IF(H10="MRSA Central",(AD10/$AQ$1)*'1. UC Assumptions'!$L$42,0)</f>
        <v>0</v>
      </c>
      <c r="AR10" s="183">
        <f>IF(H10="MRSA Northeast",(AD10/$AR$1)*'1. UC Assumptions'!$M$42,0)</f>
        <v>0</v>
      </c>
      <c r="AS10" s="183">
        <f>IF(H10="MRSA West",(AD10/$AS$1)*'1. UC Assumptions'!$N$42,0)</f>
        <v>0</v>
      </c>
      <c r="AT10" s="183">
        <f>IF(H10="Nueces",(AD10/$AT$1)*'1. UC Assumptions'!$O$42,0)</f>
        <v>0</v>
      </c>
      <c r="AU10" s="183">
        <f>IF(H10="Tarrant",(AD10/$AU$1)*'1. UC Assumptions'!$P$42,0)</f>
        <v>0</v>
      </c>
      <c r="AV10" s="183">
        <f>IF(H10="Travis",(AD10/$AV$1)*'1. UC Assumptions'!$Q$42,0)</f>
        <v>0</v>
      </c>
      <c r="AW10" s="183">
        <f>IF(H10="Bexar",(AC10/$AW$1)*'1. UC Assumptions'!$E$44,0)</f>
        <v>0</v>
      </c>
      <c r="AX10" s="183">
        <f>IF(H10="Dallas",(AC10/$AX$1)*'1. UC Assumptions'!$F$44,0)</f>
        <v>0</v>
      </c>
      <c r="AY10" s="183">
        <f>IF(H10="El Paso",(AC10/$AY$1)*'1. UC Assumptions'!$G$44,0)</f>
        <v>0</v>
      </c>
      <c r="AZ10" s="183">
        <f>IF(H10="Harris",(AC10/$AZ$1)*'1. UC Assumptions'!$H$44,0)</f>
        <v>0</v>
      </c>
      <c r="BA10" s="183">
        <f>IF(H10="Hidalgo",(AC10/$BA$1)*'1. UC Assumptions'!$I$44,0)</f>
        <v>0</v>
      </c>
      <c r="BB10" s="183">
        <f>IF(H10="Jefferson",(AC10/$BB$1)*'1. UC Assumptions'!$J$44,0)</f>
        <v>0</v>
      </c>
      <c r="BC10" s="183">
        <f>IF(H10="Lubbock",(AC10/$BC$1)*'1. UC Assumptions'!$K$44,0)</f>
        <v>0</v>
      </c>
      <c r="BD10" s="183">
        <f>IF(H10="MRSA Central",(AC10/$BD$1)*'1. UC Assumptions'!$L$44,0)</f>
        <v>0</v>
      </c>
      <c r="BE10" s="183">
        <f>IF(H10="MRSA Northeast",(AC10/$BE$1)*'1. UC Assumptions'!$M$44,0)</f>
        <v>0</v>
      </c>
      <c r="BF10" s="183">
        <f>IF(H10="MRSA West",(AC10/$BF$1)*'1. UC Assumptions'!$N$44,0)</f>
        <v>0</v>
      </c>
      <c r="BG10" s="183">
        <f>IF(H10="Nueces",(AC10/$BG$1)*'1. UC Assumptions'!$O$44,0)</f>
        <v>0</v>
      </c>
      <c r="BH10" s="183">
        <f>IF(H10="Tarrant",(AC10/$BH$1)*'1. UC Assumptions'!$P$44,0)</f>
        <v>0</v>
      </c>
      <c r="BI10" s="183">
        <f>IF(H10="Travis",(AC10/$BI$1)*'1. UC Assumptions'!$Q$44,0)</f>
        <v>0</v>
      </c>
      <c r="BJ10" s="183">
        <f t="shared" si="9"/>
        <v>0</v>
      </c>
      <c r="BK10" s="183">
        <f t="shared" si="10"/>
        <v>0</v>
      </c>
      <c r="BL10" s="183">
        <f t="shared" si="11"/>
        <v>6292433.8872624533</v>
      </c>
      <c r="BM10" s="184">
        <f t="shared" si="12"/>
        <v>6292433.8872624533</v>
      </c>
      <c r="BN10" s="184">
        <f>ROUNDDOWN(BM10*'1. UC Assumptions'!$C$23,2)</f>
        <v>2076503.18</v>
      </c>
      <c r="BO10" s="184"/>
      <c r="BP10" s="185"/>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row>
    <row r="11" spans="1:95">
      <c r="A11" s="177" t="s">
        <v>1224</v>
      </c>
      <c r="B11" s="178" t="s">
        <v>657</v>
      </c>
      <c r="C11" s="178" t="s">
        <v>657</v>
      </c>
      <c r="D11" s="179" t="s">
        <v>208</v>
      </c>
      <c r="E11" s="179" t="s">
        <v>149</v>
      </c>
      <c r="F11" s="177"/>
      <c r="G11" s="177" t="s">
        <v>658</v>
      </c>
      <c r="H11" s="178" t="s">
        <v>3</v>
      </c>
      <c r="I11" s="178" t="s">
        <v>659</v>
      </c>
      <c r="J11" s="131">
        <f>IFERROR(INDEX(#REF!,(MATCH('Old Calc Tab'!C:C,#REF!,0))),0)</f>
        <v>0</v>
      </c>
      <c r="K11" s="131">
        <f>IFERROR(INDEX(#REF!,(MATCH('Old Calc Tab'!$C:$C,#REF!,0))),0)</f>
        <v>0</v>
      </c>
      <c r="L11" s="131"/>
      <c r="M11" s="131">
        <v>944921.85</v>
      </c>
      <c r="N11" s="131">
        <f>IFERROR(INDEX(#REF!,(MATCH('Old Calc Tab'!$C:$C,#REF!,0))),0)</f>
        <v>0</v>
      </c>
      <c r="O11" s="131">
        <f t="shared" si="0"/>
        <v>0</v>
      </c>
      <c r="P11" s="131">
        <f t="shared" si="1"/>
        <v>944921.85</v>
      </c>
      <c r="Q11" s="131"/>
      <c r="R11" s="131"/>
      <c r="S11" s="131"/>
      <c r="T11" s="131"/>
      <c r="U11" s="131"/>
      <c r="V11" s="131">
        <v>0</v>
      </c>
      <c r="W11" s="180">
        <v>0</v>
      </c>
      <c r="X11" s="180">
        <f t="shared" si="2"/>
        <v>944921.85</v>
      </c>
      <c r="Y11" s="181">
        <f>IF(D11="Physician Group Practice",(X11/$AE$369)*'1. UC Assumptions'!$C$15,IF(OR(E11="Rural Hospital",E11="Hosp - State"),X11,(X11/$X$369)*'1. UC Assumptions'!$C$9))</f>
        <v>944921.85</v>
      </c>
      <c r="Z11" s="181">
        <f t="shared" si="3"/>
        <v>0</v>
      </c>
      <c r="AA11" s="181">
        <f t="shared" si="4"/>
        <v>0</v>
      </c>
      <c r="AB11" s="182">
        <f t="shared" si="5"/>
        <v>0</v>
      </c>
      <c r="AC11" s="181">
        <f t="shared" si="6"/>
        <v>0</v>
      </c>
      <c r="AD11" s="181">
        <f t="shared" si="7"/>
        <v>944921.85</v>
      </c>
      <c r="AE11" s="131">
        <v>421082.63</v>
      </c>
      <c r="AF11" s="131">
        <f>AE11*'1. UC Assumptions'!$C$23</f>
        <v>138957.26789999998</v>
      </c>
      <c r="AG11" s="183">
        <f>IF((((X11-W11-AE11)*'1. UC Assumptions'!$C$23)+AF11)&gt;0,((X11-W11-AE11)*'1. UC Assumptions'!$C$23)+AF11,0)</f>
        <v>311824.21049999993</v>
      </c>
      <c r="AH11" s="183">
        <f>IF(((X11-W11-AE11)*'1. UC Assumptions'!$C$23)&gt;0,(X11-W11-AE11)*'1. UC Assumptions'!$C$23,0)</f>
        <v>172866.94259999998</v>
      </c>
      <c r="AI11" s="183">
        <f t="shared" si="8"/>
        <v>311824.21049999993</v>
      </c>
      <c r="AJ11" s="183">
        <f>IF(H11="Bexar",(AD11/$AJ$1)*'1. UC Assumptions'!$E$42,0)</f>
        <v>0</v>
      </c>
      <c r="AK11" s="183">
        <f>IF(H11="Dallas",(AD11/$AK$1)*'1. UC Assumptions'!$F$42,0)</f>
        <v>0</v>
      </c>
      <c r="AL11" s="183">
        <f>IF(H11="El Paso",(AD11/$AL$1)*'1. UC Assumptions'!$G$42,0)</f>
        <v>0</v>
      </c>
      <c r="AM11" s="183">
        <f>IF(H11="Harris",(AD11/$AM$1)*'1. UC Assumptions'!$H$42,0)</f>
        <v>0</v>
      </c>
      <c r="AN11" s="183">
        <f>IF(H11="Hidalgo",(AD11/$AN$1)*'1. UC Assumptions'!$I$42,0)</f>
        <v>0</v>
      </c>
      <c r="AO11" s="183">
        <f>IF(H11="Jefferson",(AD11/$AO$1)*'1. UC Assumptions'!$J$42,0)</f>
        <v>0</v>
      </c>
      <c r="AP11" s="183">
        <f>IF(H11="Lubbock",(AD11/$AP$1)*'1. UC Assumptions'!$K$42,0)</f>
        <v>0</v>
      </c>
      <c r="AQ11" s="183">
        <f>IF(H11="MRSA Central",(AD11/$AQ$1)*'1. UC Assumptions'!$L$42,0)</f>
        <v>0</v>
      </c>
      <c r="AR11" s="183">
        <f>IF(H11="MRSA Northeast",(AD11/$AR$1)*'1. UC Assumptions'!$M$42,0)</f>
        <v>0</v>
      </c>
      <c r="AS11" s="183">
        <f>IF(H11="MRSA West",(AD11/$AS$1)*'1. UC Assumptions'!$N$42,0)</f>
        <v>0</v>
      </c>
      <c r="AT11" s="183">
        <f>IF(H11="Nueces",(AD11/$AT$1)*'1. UC Assumptions'!$O$42,0)</f>
        <v>0</v>
      </c>
      <c r="AU11" s="183">
        <f>IF(H11="Tarrant",(AD11/$AU$1)*'1. UC Assumptions'!$P$42,0)</f>
        <v>0</v>
      </c>
      <c r="AV11" s="183">
        <f>IF(H11="Travis",(AD11/$AV$1)*'1. UC Assumptions'!$Q$42,0)</f>
        <v>0</v>
      </c>
      <c r="AW11" s="183">
        <f>IF(H11="Bexar",(AC11/$AW$1)*'1. UC Assumptions'!$E$44,0)</f>
        <v>0</v>
      </c>
      <c r="AX11" s="183">
        <f>IF(H11="Dallas",(AC11/$AX$1)*'1. UC Assumptions'!$F$44,0)</f>
        <v>0</v>
      </c>
      <c r="AY11" s="183">
        <f>IF(H11="El Paso",(AC11/$AY$1)*'1. UC Assumptions'!$G$44,0)</f>
        <v>0</v>
      </c>
      <c r="AZ11" s="183">
        <f>IF(H11="Harris",(AC11/$AZ$1)*'1. UC Assumptions'!$H$44,0)</f>
        <v>0</v>
      </c>
      <c r="BA11" s="183">
        <f>IF(H11="Hidalgo",(AC11/$BA$1)*'1. UC Assumptions'!$I$44,0)</f>
        <v>0</v>
      </c>
      <c r="BB11" s="183">
        <f>IF(H11="Jefferson",(AC11/$BB$1)*'1. UC Assumptions'!$J$44,0)</f>
        <v>0</v>
      </c>
      <c r="BC11" s="183">
        <f>IF(H11="Lubbock",(AC11/$BC$1)*'1. UC Assumptions'!$K$44,0)</f>
        <v>0</v>
      </c>
      <c r="BD11" s="183">
        <f>IF(H11="MRSA Central",(AC11/$BD$1)*'1. UC Assumptions'!$L$44,0)</f>
        <v>0</v>
      </c>
      <c r="BE11" s="183">
        <f>IF(H11="MRSA Northeast",(AC11/$BE$1)*'1. UC Assumptions'!$M$44,0)</f>
        <v>0</v>
      </c>
      <c r="BF11" s="183">
        <f>IF(H11="MRSA West",(AC11/$BF$1)*'1. UC Assumptions'!$N$44,0)</f>
        <v>0</v>
      </c>
      <c r="BG11" s="183">
        <f>IF(H11="Nueces",(AC11/$BG$1)*'1. UC Assumptions'!$O$44,0)</f>
        <v>0</v>
      </c>
      <c r="BH11" s="183">
        <f>IF(H11="Tarrant",(AC11/$BH$1)*'1. UC Assumptions'!$P$44,0)</f>
        <v>0</v>
      </c>
      <c r="BI11" s="183">
        <f>IF(H11="Travis",(AC11/$BI$1)*'1. UC Assumptions'!$Q$44,0)</f>
        <v>0</v>
      </c>
      <c r="BJ11" s="183">
        <f t="shared" si="9"/>
        <v>0</v>
      </c>
      <c r="BK11" s="183">
        <f t="shared" si="10"/>
        <v>0</v>
      </c>
      <c r="BL11" s="183">
        <f t="shared" si="11"/>
        <v>944921.85</v>
      </c>
      <c r="BM11" s="184">
        <f t="shared" si="12"/>
        <v>523839.22</v>
      </c>
      <c r="BN11" s="184">
        <f>ROUNDDOWN(BM11*'1. UC Assumptions'!$C$23,2)</f>
        <v>172866.94</v>
      </c>
      <c r="BO11" s="184"/>
      <c r="BP11" s="185"/>
      <c r="BQ11" s="32"/>
      <c r="BR11" s="32"/>
    </row>
    <row r="12" spans="1:95">
      <c r="A12" s="177" t="s">
        <v>1225</v>
      </c>
      <c r="B12" s="178" t="s">
        <v>672</v>
      </c>
      <c r="C12" s="178" t="s">
        <v>672</v>
      </c>
      <c r="D12" s="179" t="s">
        <v>539</v>
      </c>
      <c r="E12" s="179"/>
      <c r="F12" s="177"/>
      <c r="G12" s="177" t="s">
        <v>673</v>
      </c>
      <c r="H12" s="178" t="s">
        <v>3</v>
      </c>
      <c r="I12" s="178" t="s">
        <v>3</v>
      </c>
      <c r="J12" s="131">
        <f>IFERROR(INDEX(#REF!,(MATCH('Old Calc Tab'!C:C,#REF!,0))),0)</f>
        <v>0</v>
      </c>
      <c r="K12" s="131">
        <f>IFERROR(INDEX(#REF!,(MATCH('Old Calc Tab'!$C:$C,#REF!,0))),0)</f>
        <v>0</v>
      </c>
      <c r="L12" s="131"/>
      <c r="M12" s="131">
        <v>127964782.54000001</v>
      </c>
      <c r="N12" s="131">
        <f>IFERROR(INDEX(#REF!,(MATCH('Old Calc Tab'!$C:$C,#REF!,0))),0)</f>
        <v>0</v>
      </c>
      <c r="O12" s="131">
        <f t="shared" si="0"/>
        <v>0</v>
      </c>
      <c r="P12" s="131">
        <f t="shared" si="1"/>
        <v>127964782.54000001</v>
      </c>
      <c r="Q12" s="131"/>
      <c r="R12" s="131"/>
      <c r="S12" s="131"/>
      <c r="T12" s="131"/>
      <c r="U12" s="131"/>
      <c r="V12" s="131">
        <v>27951339.34</v>
      </c>
      <c r="W12" s="180">
        <v>75047250.730000004</v>
      </c>
      <c r="X12" s="180">
        <f t="shared" si="2"/>
        <v>230963372.61000001</v>
      </c>
      <c r="Y12" s="181">
        <f>IF(D12="Physician Group Practice",(X12/$AE$369)*'1. UC Assumptions'!$C$15,IF(OR(E12="Rural Hospital",E12="Hosp - State"),X12,(X12/$X$369)*'1. UC Assumptions'!$C$9))</f>
        <v>139008314.54106259</v>
      </c>
      <c r="Z12" s="181">
        <f t="shared" si="3"/>
        <v>0</v>
      </c>
      <c r="AA12" s="181">
        <f t="shared" si="4"/>
        <v>16907807.338937402</v>
      </c>
      <c r="AB12" s="182">
        <f t="shared" si="5"/>
        <v>9080.0191207518092</v>
      </c>
      <c r="AC12" s="181">
        <f t="shared" si="6"/>
        <v>16916887.358058155</v>
      </c>
      <c r="AD12" s="181">
        <f t="shared" si="7"/>
        <v>139017394.56018335</v>
      </c>
      <c r="AE12" s="131">
        <v>49469067.210000001</v>
      </c>
      <c r="AF12" s="131">
        <f>AE12*'1. UC Assumptions'!$C$23</f>
        <v>16324792.179299999</v>
      </c>
      <c r="AG12" s="183">
        <f>IF((((X12-W12-AE12)*'1. UC Assumptions'!$C$23)+AF12)&gt;0,((X12-W12-AE12)*'1. UC Assumptions'!$C$23)+AF12,0)</f>
        <v>51452320.220399991</v>
      </c>
      <c r="AH12" s="183">
        <f>IF(((X12-W12-AE12)*'1. UC Assumptions'!$C$23)&gt;0,(X12-W12-AE12)*'1. UC Assumptions'!$C$23,0)</f>
        <v>35127528.041099988</v>
      </c>
      <c r="AI12" s="183">
        <f t="shared" si="8"/>
        <v>51452320.220399991</v>
      </c>
      <c r="AJ12" s="183">
        <f>IF(H12="Bexar",(AD12/$AJ$1)*'1. UC Assumptions'!$E$42,0)</f>
        <v>0</v>
      </c>
      <c r="AK12" s="183">
        <f>IF(H12="Dallas",(AD12/$AK$1)*'1. UC Assumptions'!$F$42,0)</f>
        <v>0</v>
      </c>
      <c r="AL12" s="183">
        <f>IF(H12="El Paso",(AD12/$AL$1)*'1. UC Assumptions'!$G$42,0)</f>
        <v>0</v>
      </c>
      <c r="AM12" s="183">
        <f>IF(H12="Harris",(AD12/$AM$1)*'1. UC Assumptions'!$H$42,0)</f>
        <v>0</v>
      </c>
      <c r="AN12" s="183">
        <f>IF(H12="Hidalgo",(AD12/$AN$1)*'1. UC Assumptions'!$I$42,0)</f>
        <v>0</v>
      </c>
      <c r="AO12" s="183">
        <f>IF(H12="Jefferson",(AD12/$AO$1)*'1. UC Assumptions'!$J$42,0)</f>
        <v>0</v>
      </c>
      <c r="AP12" s="183">
        <f>IF(H12="Lubbock",(AD12/$AP$1)*'1. UC Assumptions'!$K$42,0)</f>
        <v>0</v>
      </c>
      <c r="AQ12" s="183">
        <f>IF(H12="MRSA Central",(AD12/$AQ$1)*'1. UC Assumptions'!$L$42,0)</f>
        <v>0</v>
      </c>
      <c r="AR12" s="183">
        <f>IF(H12="MRSA Northeast",(AD12/$AR$1)*'1. UC Assumptions'!$M$42,0)</f>
        <v>0</v>
      </c>
      <c r="AS12" s="183">
        <f>IF(H12="MRSA West",(AD12/$AS$1)*'1. UC Assumptions'!$N$42,0)</f>
        <v>0</v>
      </c>
      <c r="AT12" s="183">
        <f>IF(H12="Nueces",(AD12/$AT$1)*'1. UC Assumptions'!$O$42,0)</f>
        <v>0</v>
      </c>
      <c r="AU12" s="183">
        <f>IF(H12="Tarrant",(AD12/$AU$1)*'1. UC Assumptions'!$P$42,0)</f>
        <v>0</v>
      </c>
      <c r="AV12" s="183">
        <f>IF(H12="Travis",(AD12/$AV$1)*'1. UC Assumptions'!$Q$42,0)</f>
        <v>0</v>
      </c>
      <c r="AW12" s="183">
        <f>IF(H12="Bexar",(AC12/$AW$1)*'1. UC Assumptions'!$E$44,0)</f>
        <v>0</v>
      </c>
      <c r="AX12" s="183">
        <f>IF(H12="Dallas",(AC12/$AX$1)*'1. UC Assumptions'!$F$44,0)</f>
        <v>0</v>
      </c>
      <c r="AY12" s="183">
        <f>IF(H12="El Paso",(AC12/$AY$1)*'1. UC Assumptions'!$G$44,0)</f>
        <v>0</v>
      </c>
      <c r="AZ12" s="183">
        <f>IF(H12="Harris",(AC12/$AZ$1)*'1. UC Assumptions'!$H$44,0)</f>
        <v>0</v>
      </c>
      <c r="BA12" s="183">
        <f>IF(H12="Hidalgo",(AC12/$BA$1)*'1. UC Assumptions'!$I$44,0)</f>
        <v>0</v>
      </c>
      <c r="BB12" s="183">
        <f>IF(H12="Jefferson",(AC12/$BB$1)*'1. UC Assumptions'!$J$44,0)</f>
        <v>0</v>
      </c>
      <c r="BC12" s="183">
        <f>IF(H12="Lubbock",(AC12/$BC$1)*'1. UC Assumptions'!$K$44,0)</f>
        <v>0</v>
      </c>
      <c r="BD12" s="183">
        <f>IF(H12="MRSA Central",(AC12/$BD$1)*'1. UC Assumptions'!$L$44,0)</f>
        <v>0</v>
      </c>
      <c r="BE12" s="183">
        <f>IF(H12="MRSA Northeast",(AC12/$BE$1)*'1. UC Assumptions'!$M$44,0)</f>
        <v>0</v>
      </c>
      <c r="BF12" s="183">
        <f>IF(H12="MRSA West",(AC12/$BF$1)*'1. UC Assumptions'!$N$44,0)</f>
        <v>0</v>
      </c>
      <c r="BG12" s="183">
        <f>IF(H12="Nueces",(AC12/$BG$1)*'1. UC Assumptions'!$O$44,0)</f>
        <v>0</v>
      </c>
      <c r="BH12" s="183">
        <f>IF(H12="Tarrant",(AC12/$BH$1)*'1. UC Assumptions'!$P$44,0)</f>
        <v>0</v>
      </c>
      <c r="BI12" s="183">
        <f>IF(H12="Travis",(AC12/$BI$1)*'1. UC Assumptions'!$Q$44,0)</f>
        <v>0</v>
      </c>
      <c r="BJ12" s="183">
        <f t="shared" si="9"/>
        <v>0</v>
      </c>
      <c r="BK12" s="183">
        <f t="shared" si="10"/>
        <v>0</v>
      </c>
      <c r="BL12" s="183">
        <f t="shared" si="11"/>
        <v>139017394.56018335</v>
      </c>
      <c r="BM12" s="184">
        <f t="shared" si="12"/>
        <v>89548327.350183338</v>
      </c>
      <c r="BN12" s="184">
        <f>ROUNDDOWN(BM12*'1. UC Assumptions'!$C$23,2)</f>
        <v>29550948.02</v>
      </c>
      <c r="BO12" s="184"/>
      <c r="BP12" s="186"/>
      <c r="BQ12" s="32"/>
      <c r="BR12" s="32"/>
    </row>
    <row r="13" spans="1:95">
      <c r="A13" s="177" t="s">
        <v>1226</v>
      </c>
      <c r="B13" s="178" t="s">
        <v>711</v>
      </c>
      <c r="C13" s="178" t="s">
        <v>711</v>
      </c>
      <c r="D13" s="179" t="s">
        <v>214</v>
      </c>
      <c r="E13" s="179"/>
      <c r="F13" s="177"/>
      <c r="G13" s="177" t="s">
        <v>1227</v>
      </c>
      <c r="H13" s="178" t="s">
        <v>3</v>
      </c>
      <c r="I13" s="178" t="s">
        <v>3</v>
      </c>
      <c r="J13" s="131">
        <f>IFERROR(INDEX(#REF!,(MATCH('Old Calc Tab'!C:C,#REF!,0))),0)</f>
        <v>0</v>
      </c>
      <c r="K13" s="131">
        <f>IFERROR(INDEX(#REF!,(MATCH('Old Calc Tab'!$C:$C,#REF!,0))),0)</f>
        <v>0</v>
      </c>
      <c r="L13" s="131"/>
      <c r="M13" s="131">
        <v>4713080.5999999996</v>
      </c>
      <c r="N13" s="131">
        <f>IFERROR(INDEX(#REF!,(MATCH('Old Calc Tab'!$C:$C,#REF!,0))),0)</f>
        <v>0</v>
      </c>
      <c r="O13" s="131">
        <f t="shared" si="0"/>
        <v>0</v>
      </c>
      <c r="P13" s="131">
        <f t="shared" si="1"/>
        <v>4713080.5999999996</v>
      </c>
      <c r="Q13" s="131"/>
      <c r="R13" s="131"/>
      <c r="S13" s="131"/>
      <c r="T13" s="131"/>
      <c r="U13" s="131"/>
      <c r="V13" s="131">
        <v>0</v>
      </c>
      <c r="W13" s="180">
        <v>0</v>
      </c>
      <c r="X13" s="180">
        <f t="shared" si="2"/>
        <v>4713080.5999999996</v>
      </c>
      <c r="Y13" s="181">
        <f>IF(D13="Physician Group Practice",(X13/$AE$369)*'1. UC Assumptions'!$C$15,IF(OR(E13="Rural Hospital",E13="Hosp - State"),X13,(X13/$X$369)*'1. UC Assumptions'!$C$9))</f>
        <v>2836628.9559187605</v>
      </c>
      <c r="Z13" s="181">
        <f t="shared" si="3"/>
        <v>0</v>
      </c>
      <c r="AA13" s="181">
        <f t="shared" si="4"/>
        <v>1876451.6440812391</v>
      </c>
      <c r="AB13" s="182">
        <f t="shared" si="5"/>
        <v>1007.7129734135362</v>
      </c>
      <c r="AC13" s="181">
        <f t="shared" si="6"/>
        <v>1877459.3570546526</v>
      </c>
      <c r="AD13" s="181">
        <f t="shared" si="7"/>
        <v>2837636.668892174</v>
      </c>
      <c r="AE13" s="131">
        <v>2838282.2</v>
      </c>
      <c r="AF13" s="131">
        <f>AE13*'1. UC Assumptions'!$C$23</f>
        <v>936633.12599999993</v>
      </c>
      <c r="AG13" s="183">
        <f>IF((((X13-W13-AE13)*'1. UC Assumptions'!$C$23)+AF13)&gt;0,((X13-W13-AE13)*'1. UC Assumptions'!$C$23)+AF13,0)</f>
        <v>1555316.5979999998</v>
      </c>
      <c r="AH13" s="183">
        <f>IF(((X13-W13-AE13)*'1. UC Assumptions'!$C$23)&gt;0,(X13-W13-AE13)*'1. UC Assumptions'!$C$23,0)</f>
        <v>618683.47199999972</v>
      </c>
      <c r="AI13" s="183">
        <f t="shared" si="8"/>
        <v>1555316.5979999998</v>
      </c>
      <c r="AJ13" s="183">
        <f>IF(H13="Bexar",(AD13/$AJ$1)*'1. UC Assumptions'!$E$42,0)</f>
        <v>0</v>
      </c>
      <c r="AK13" s="183">
        <f>IF(H13="Dallas",(AD13/$AK$1)*'1. UC Assumptions'!$F$42,0)</f>
        <v>0</v>
      </c>
      <c r="AL13" s="183">
        <f>IF(H13="El Paso",(AD13/$AL$1)*'1. UC Assumptions'!$G$42,0)</f>
        <v>0</v>
      </c>
      <c r="AM13" s="183">
        <f>IF(H13="Harris",(AD13/$AM$1)*'1. UC Assumptions'!$H$42,0)</f>
        <v>0</v>
      </c>
      <c r="AN13" s="183">
        <f>IF(H13="Hidalgo",(AD13/$AN$1)*'1. UC Assumptions'!$I$42,0)</f>
        <v>0</v>
      </c>
      <c r="AO13" s="183">
        <f>IF(H13="Jefferson",(AD13/$AO$1)*'1. UC Assumptions'!$J$42,0)</f>
        <v>0</v>
      </c>
      <c r="AP13" s="183">
        <f>IF(H13="Lubbock",(AD13/$AP$1)*'1. UC Assumptions'!$K$42,0)</f>
        <v>0</v>
      </c>
      <c r="AQ13" s="183">
        <f>IF(H13="MRSA Central",(AD13/$AQ$1)*'1. UC Assumptions'!$L$42,0)</f>
        <v>0</v>
      </c>
      <c r="AR13" s="183">
        <f>IF(H13="MRSA Northeast",(AD13/$AR$1)*'1. UC Assumptions'!$M$42,0)</f>
        <v>0</v>
      </c>
      <c r="AS13" s="183">
        <f>IF(H13="MRSA West",(AD13/$AS$1)*'1. UC Assumptions'!$N$42,0)</f>
        <v>0</v>
      </c>
      <c r="AT13" s="183">
        <f>IF(H13="Nueces",(AD13/$AT$1)*'1. UC Assumptions'!$O$42,0)</f>
        <v>0</v>
      </c>
      <c r="AU13" s="183">
        <f>IF(H13="Tarrant",(AD13/$AU$1)*'1. UC Assumptions'!$P$42,0)</f>
        <v>0</v>
      </c>
      <c r="AV13" s="183">
        <f>IF(H13="Travis",(AD13/$AV$1)*'1. UC Assumptions'!$Q$42,0)</f>
        <v>0</v>
      </c>
      <c r="AW13" s="183">
        <f>IF(H13="Bexar",(AC13/$AW$1)*'1. UC Assumptions'!$E$44,0)</f>
        <v>0</v>
      </c>
      <c r="AX13" s="183">
        <f>IF(H13="Dallas",(AC13/$AX$1)*'1. UC Assumptions'!$F$44,0)</f>
        <v>0</v>
      </c>
      <c r="AY13" s="183">
        <f>IF(H13="El Paso",(AC13/$AY$1)*'1. UC Assumptions'!$G$44,0)</f>
        <v>0</v>
      </c>
      <c r="AZ13" s="183">
        <f>IF(H13="Harris",(AC13/$AZ$1)*'1. UC Assumptions'!$H$44,0)</f>
        <v>0</v>
      </c>
      <c r="BA13" s="183">
        <f>IF(H13="Hidalgo",(AC13/$BA$1)*'1. UC Assumptions'!$I$44,0)</f>
        <v>0</v>
      </c>
      <c r="BB13" s="183">
        <f>IF(H13="Jefferson",(AC13/$BB$1)*'1. UC Assumptions'!$J$44,0)</f>
        <v>0</v>
      </c>
      <c r="BC13" s="183">
        <f>IF(H13="Lubbock",(AC13/$BC$1)*'1. UC Assumptions'!$K$44,0)</f>
        <v>0</v>
      </c>
      <c r="BD13" s="183">
        <f>IF(H13="MRSA Central",(AC13/$BD$1)*'1. UC Assumptions'!$L$44,0)</f>
        <v>0</v>
      </c>
      <c r="BE13" s="183">
        <f>IF(H13="MRSA Northeast",(AC13/$BE$1)*'1. UC Assumptions'!$M$44,0)</f>
        <v>0</v>
      </c>
      <c r="BF13" s="183">
        <f>IF(H13="MRSA West",(AC13/$BF$1)*'1. UC Assumptions'!$N$44,0)</f>
        <v>0</v>
      </c>
      <c r="BG13" s="183">
        <f>IF(H13="Nueces",(AC13/$BG$1)*'1. UC Assumptions'!$O$44,0)</f>
        <v>0</v>
      </c>
      <c r="BH13" s="183">
        <f>IF(H13="Tarrant",(AC13/$BH$1)*'1. UC Assumptions'!$P$44,0)</f>
        <v>0</v>
      </c>
      <c r="BI13" s="183">
        <f>IF(H13="Travis",(AC13/$BI$1)*'1. UC Assumptions'!$Q$44,0)</f>
        <v>0</v>
      </c>
      <c r="BJ13" s="183">
        <f t="shared" si="9"/>
        <v>0</v>
      </c>
      <c r="BK13" s="183">
        <f t="shared" si="10"/>
        <v>0</v>
      </c>
      <c r="BL13" s="183">
        <f t="shared" si="11"/>
        <v>2837636.668892174</v>
      </c>
      <c r="BM13" s="184">
        <f t="shared" si="12"/>
        <v>-645.5311078261584</v>
      </c>
      <c r="BN13" s="184">
        <f>ROUNDDOWN(BM13*'1. UC Assumptions'!$C$23,2)</f>
        <v>-213.02</v>
      </c>
      <c r="BO13" s="184"/>
      <c r="BP13" s="185"/>
      <c r="BQ13" s="32"/>
      <c r="BR13" s="32"/>
    </row>
    <row r="14" spans="1:95">
      <c r="A14" s="177" t="s">
        <v>1228</v>
      </c>
      <c r="B14" s="178" t="s">
        <v>753</v>
      </c>
      <c r="C14" s="178" t="s">
        <v>753</v>
      </c>
      <c r="D14" s="179" t="s">
        <v>208</v>
      </c>
      <c r="E14" s="179"/>
      <c r="F14" s="177"/>
      <c r="G14" s="177" t="s">
        <v>1229</v>
      </c>
      <c r="H14" s="178" t="s">
        <v>3</v>
      </c>
      <c r="I14" s="178" t="s">
        <v>755</v>
      </c>
      <c r="J14" s="131">
        <f>IFERROR(INDEX(#REF!,(MATCH('Old Calc Tab'!C:C,#REF!,0))),0)</f>
        <v>0</v>
      </c>
      <c r="K14" s="131">
        <f>IFERROR(INDEX(#REF!,(MATCH('Old Calc Tab'!$C:$C,#REF!,0))),0)</f>
        <v>0</v>
      </c>
      <c r="L14" s="131"/>
      <c r="M14" s="131">
        <v>6922492</v>
      </c>
      <c r="N14" s="131">
        <f>IFERROR(INDEX(#REF!,(MATCH('Old Calc Tab'!$C:$C,#REF!,0))),0)</f>
        <v>0</v>
      </c>
      <c r="O14" s="131">
        <f t="shared" si="0"/>
        <v>0</v>
      </c>
      <c r="P14" s="131">
        <f t="shared" si="1"/>
        <v>6922492</v>
      </c>
      <c r="Q14" s="131"/>
      <c r="R14" s="131"/>
      <c r="S14" s="131"/>
      <c r="T14" s="131"/>
      <c r="U14" s="131"/>
      <c r="V14" s="131">
        <v>91885</v>
      </c>
      <c r="W14" s="180">
        <v>0</v>
      </c>
      <c r="X14" s="180">
        <f t="shared" si="2"/>
        <v>7014377</v>
      </c>
      <c r="Y14" s="181">
        <f>IF(D14="Physician Group Practice",(X14/$AE$369)*'1. UC Assumptions'!$C$15,IF(OR(E14="Rural Hospital",E14="Hosp - State"),X14,(X14/$X$369)*'1. UC Assumptions'!$C$9))</f>
        <v>4221694.1730066249</v>
      </c>
      <c r="Z14" s="181">
        <f t="shared" si="3"/>
        <v>0</v>
      </c>
      <c r="AA14" s="181">
        <f t="shared" si="4"/>
        <v>2792682.8269933751</v>
      </c>
      <c r="AB14" s="182">
        <f t="shared" si="5"/>
        <v>1499.7576539033771</v>
      </c>
      <c r="AC14" s="181">
        <f t="shared" si="6"/>
        <v>2794182.5846472783</v>
      </c>
      <c r="AD14" s="181">
        <f t="shared" si="7"/>
        <v>4223193.9306605281</v>
      </c>
      <c r="AE14" s="131">
        <v>3450802.08</v>
      </c>
      <c r="AF14" s="131">
        <f>AE14*'1. UC Assumptions'!$C$23</f>
        <v>1138764.6863999998</v>
      </c>
      <c r="AG14" s="183">
        <f>IF((((X14-W14-AE14)*'1. UC Assumptions'!$C$23)+AF14)&gt;0,((X14-W14-AE14)*'1. UC Assumptions'!$C$23)+AF14,0)</f>
        <v>2314744.4099999997</v>
      </c>
      <c r="AH14" s="183">
        <f>IF(((X14-W14-AE14)*'1. UC Assumptions'!$C$23)&gt;0,(X14-W14-AE14)*'1. UC Assumptions'!$C$23,0)</f>
        <v>1175979.7235999999</v>
      </c>
      <c r="AI14" s="183">
        <f t="shared" si="8"/>
        <v>2314744.4099999997</v>
      </c>
      <c r="AJ14" s="183">
        <f>IF(H14="Bexar",(AD14/$AJ$1)*'1. UC Assumptions'!$E$42,0)</f>
        <v>0</v>
      </c>
      <c r="AK14" s="183">
        <f>IF(H14="Dallas",(AD14/$AK$1)*'1. UC Assumptions'!$F$42,0)</f>
        <v>0</v>
      </c>
      <c r="AL14" s="183">
        <f>IF(H14="El Paso",(AD14/$AL$1)*'1. UC Assumptions'!$G$42,0)</f>
        <v>0</v>
      </c>
      <c r="AM14" s="183">
        <f>IF(H14="Harris",(AD14/$AM$1)*'1. UC Assumptions'!$H$42,0)</f>
        <v>0</v>
      </c>
      <c r="AN14" s="183">
        <f>IF(H14="Hidalgo",(AD14/$AN$1)*'1. UC Assumptions'!$I$42,0)</f>
        <v>0</v>
      </c>
      <c r="AO14" s="183">
        <f>IF(H14="Jefferson",(AD14/$AO$1)*'1. UC Assumptions'!$J$42,0)</f>
        <v>0</v>
      </c>
      <c r="AP14" s="183">
        <f>IF(H14="Lubbock",(AD14/$AP$1)*'1. UC Assumptions'!$K$42,0)</f>
        <v>0</v>
      </c>
      <c r="AQ14" s="183">
        <f>IF(H14="MRSA Central",(AD14/$AQ$1)*'1. UC Assumptions'!$L$42,0)</f>
        <v>0</v>
      </c>
      <c r="AR14" s="183">
        <f>IF(H14="MRSA Northeast",(AD14/$AR$1)*'1. UC Assumptions'!$M$42,0)</f>
        <v>0</v>
      </c>
      <c r="AS14" s="183">
        <f>IF(H14="MRSA West",(AD14/$AS$1)*'1. UC Assumptions'!$N$42,0)</f>
        <v>0</v>
      </c>
      <c r="AT14" s="183">
        <f>IF(H14="Nueces",(AD14/$AT$1)*'1. UC Assumptions'!$O$42,0)</f>
        <v>0</v>
      </c>
      <c r="AU14" s="183">
        <f>IF(H14="Tarrant",(AD14/$AU$1)*'1. UC Assumptions'!$P$42,0)</f>
        <v>0</v>
      </c>
      <c r="AV14" s="183">
        <f>IF(H14="Travis",(AD14/$AV$1)*'1. UC Assumptions'!$Q$42,0)</f>
        <v>0</v>
      </c>
      <c r="AW14" s="183">
        <f>IF(H14="Bexar",(AC14/$AW$1)*'1. UC Assumptions'!$E$44,0)</f>
        <v>0</v>
      </c>
      <c r="AX14" s="183">
        <f>IF(H14="Dallas",(AC14/$AX$1)*'1. UC Assumptions'!$F$44,0)</f>
        <v>0</v>
      </c>
      <c r="AY14" s="183">
        <f>IF(H14="El Paso",(AC14/$AY$1)*'1. UC Assumptions'!$G$44,0)</f>
        <v>0</v>
      </c>
      <c r="AZ14" s="183">
        <f>IF(H14="Harris",(AC14/$AZ$1)*'1. UC Assumptions'!$H$44,0)</f>
        <v>0</v>
      </c>
      <c r="BA14" s="183">
        <f>IF(H14="Hidalgo",(AC14/$BA$1)*'1. UC Assumptions'!$I$44,0)</f>
        <v>0</v>
      </c>
      <c r="BB14" s="183">
        <f>IF(H14="Jefferson",(AC14/$BB$1)*'1. UC Assumptions'!$J$44,0)</f>
        <v>0</v>
      </c>
      <c r="BC14" s="183">
        <f>IF(H14="Lubbock",(AC14/$BC$1)*'1. UC Assumptions'!$K$44,0)</f>
        <v>0</v>
      </c>
      <c r="BD14" s="183">
        <f>IF(H14="MRSA Central",(AC14/$BD$1)*'1. UC Assumptions'!$L$44,0)</f>
        <v>0</v>
      </c>
      <c r="BE14" s="183">
        <f>IF(H14="MRSA Northeast",(AC14/$BE$1)*'1. UC Assumptions'!$M$44,0)</f>
        <v>0</v>
      </c>
      <c r="BF14" s="183">
        <f>IF(H14="MRSA West",(AC14/$BF$1)*'1. UC Assumptions'!$N$44,0)</f>
        <v>0</v>
      </c>
      <c r="BG14" s="183">
        <f>IF(H14="Nueces",(AC14/$BG$1)*'1. UC Assumptions'!$O$44,0)</f>
        <v>0</v>
      </c>
      <c r="BH14" s="183">
        <f>IF(H14="Tarrant",(AC14/$BH$1)*'1. UC Assumptions'!$P$44,0)</f>
        <v>0</v>
      </c>
      <c r="BI14" s="183">
        <f>IF(H14="Travis",(AC14/$BI$1)*'1. UC Assumptions'!$Q$44,0)</f>
        <v>0</v>
      </c>
      <c r="BJ14" s="183">
        <f t="shared" si="9"/>
        <v>0</v>
      </c>
      <c r="BK14" s="183">
        <f t="shared" si="10"/>
        <v>0</v>
      </c>
      <c r="BL14" s="183">
        <f t="shared" si="11"/>
        <v>4223193.9306605281</v>
      </c>
      <c r="BM14" s="184">
        <f t="shared" si="12"/>
        <v>772391.85066052806</v>
      </c>
      <c r="BN14" s="184">
        <f>ROUNDDOWN(BM14*'1. UC Assumptions'!$C$23,2)</f>
        <v>254889.31</v>
      </c>
      <c r="BO14" s="184"/>
      <c r="BP14" s="185"/>
      <c r="BQ14" s="32"/>
      <c r="BR14" s="32"/>
    </row>
    <row r="15" spans="1:95">
      <c r="A15" s="177" t="s">
        <v>1230</v>
      </c>
      <c r="B15" s="178" t="s">
        <v>117</v>
      </c>
      <c r="C15" s="178" t="s">
        <v>117</v>
      </c>
      <c r="D15" s="179" t="s">
        <v>281</v>
      </c>
      <c r="E15" s="179"/>
      <c r="F15" s="177" t="s">
        <v>282</v>
      </c>
      <c r="G15" s="177" t="s">
        <v>1231</v>
      </c>
      <c r="H15" s="178" t="s">
        <v>3</v>
      </c>
      <c r="I15" s="178" t="s">
        <v>3</v>
      </c>
      <c r="J15" s="131">
        <f>IFERROR(INDEX(#REF!,(MATCH('Old Calc Tab'!C:C,#REF!,0))),0)</f>
        <v>0</v>
      </c>
      <c r="K15" s="131">
        <f>IFERROR(INDEX(#REF!,(MATCH('Old Calc Tab'!$C:$C,#REF!,0))),0)</f>
        <v>0</v>
      </c>
      <c r="L15" s="131"/>
      <c r="M15" s="131">
        <v>26982841</v>
      </c>
      <c r="N15" s="131">
        <f>IFERROR(INDEX(#REF!,(MATCH('Old Calc Tab'!$C:$C,#REF!,0))),0)</f>
        <v>0</v>
      </c>
      <c r="O15" s="131">
        <f t="shared" si="0"/>
        <v>0</v>
      </c>
      <c r="P15" s="131">
        <f t="shared" si="1"/>
        <v>26982841</v>
      </c>
      <c r="Q15" s="131"/>
      <c r="R15" s="131"/>
      <c r="S15" s="131"/>
      <c r="T15" s="131"/>
      <c r="U15" s="131"/>
      <c r="V15" s="131">
        <v>110103</v>
      </c>
      <c r="W15" s="180">
        <v>0</v>
      </c>
      <c r="X15" s="180">
        <f t="shared" si="2"/>
        <v>27092944</v>
      </c>
      <c r="Y15" s="181">
        <f>IF(D15="Physician Group Practice",(X15/$AE$369)*'1. UC Assumptions'!$C$15,IF(OR(E15="Rural Hospital",E15="Hosp - State"),X15,(X15/$X$369)*'1. UC Assumptions'!$C$9))</f>
        <v>16306241.283352006</v>
      </c>
      <c r="Z15" s="181">
        <f t="shared" si="3"/>
        <v>0</v>
      </c>
      <c r="AA15" s="181">
        <f t="shared" si="4"/>
        <v>10786702.716647994</v>
      </c>
      <c r="AB15" s="182">
        <f t="shared" si="5"/>
        <v>5792.7953018173366</v>
      </c>
      <c r="AC15" s="181">
        <f t="shared" si="6"/>
        <v>10792495.511949811</v>
      </c>
      <c r="AD15" s="181">
        <f t="shared" si="7"/>
        <v>16312034.078653824</v>
      </c>
      <c r="AE15" s="131">
        <v>70102.990000000005</v>
      </c>
      <c r="AF15" s="131">
        <f>AE15*'1. UC Assumptions'!$C$23</f>
        <v>23133.986699999998</v>
      </c>
      <c r="AG15" s="183">
        <f>IF((((X15-W15-AE15)*'1. UC Assumptions'!$C$23)+AF15)&gt;0,((X15-W15-AE15)*'1. UC Assumptions'!$C$23)+AF15,0)</f>
        <v>8940671.5199999996</v>
      </c>
      <c r="AH15" s="183">
        <f>IF(((X15-W15-AE15)*'1. UC Assumptions'!$C$23)&gt;0,(X15-W15-AE15)*'1. UC Assumptions'!$C$23,0)</f>
        <v>8917537.5332999993</v>
      </c>
      <c r="AI15" s="183">
        <f t="shared" si="8"/>
        <v>8940671.5199999996</v>
      </c>
      <c r="AJ15" s="183">
        <f>IF(H15="Bexar",(AD15/$AJ$1)*'1. UC Assumptions'!$E$42,0)</f>
        <v>0</v>
      </c>
      <c r="AK15" s="183">
        <f>IF(H15="Dallas",(AD15/$AK$1)*'1. UC Assumptions'!$F$42,0)</f>
        <v>0</v>
      </c>
      <c r="AL15" s="183">
        <f>IF(H15="El Paso",(AD15/$AL$1)*'1. UC Assumptions'!$G$42,0)</f>
        <v>0</v>
      </c>
      <c r="AM15" s="183">
        <f>IF(H15="Harris",(AD15/$AM$1)*'1. UC Assumptions'!$H$42,0)</f>
        <v>0</v>
      </c>
      <c r="AN15" s="183">
        <f>IF(H15="Hidalgo",(AD15/$AN$1)*'1. UC Assumptions'!$I$42,0)</f>
        <v>0</v>
      </c>
      <c r="AO15" s="183">
        <f>IF(H15="Jefferson",(AD15/$AO$1)*'1. UC Assumptions'!$J$42,0)</f>
        <v>0</v>
      </c>
      <c r="AP15" s="183">
        <f>IF(H15="Lubbock",(AD15/$AP$1)*'1. UC Assumptions'!$K$42,0)</f>
        <v>0</v>
      </c>
      <c r="AQ15" s="183">
        <f>IF(H15="MRSA Central",(AD15/$AQ$1)*'1. UC Assumptions'!$L$42,0)</f>
        <v>0</v>
      </c>
      <c r="AR15" s="183">
        <f>IF(H15="MRSA Northeast",(AD15/$AR$1)*'1. UC Assumptions'!$M$42,0)</f>
        <v>0</v>
      </c>
      <c r="AS15" s="183">
        <f>IF(H15="MRSA West",(AD15/$AS$1)*'1. UC Assumptions'!$N$42,0)</f>
        <v>0</v>
      </c>
      <c r="AT15" s="183">
        <f>IF(H15="Nueces",(AD15/$AT$1)*'1. UC Assumptions'!$O$42,0)</f>
        <v>0</v>
      </c>
      <c r="AU15" s="183">
        <f>IF(H15="Tarrant",(AD15/$AU$1)*'1. UC Assumptions'!$P$42,0)</f>
        <v>0</v>
      </c>
      <c r="AV15" s="183">
        <f>IF(H15="Travis",(AD15/$AV$1)*'1. UC Assumptions'!$Q$42,0)</f>
        <v>0</v>
      </c>
      <c r="AW15" s="183">
        <f>IF(H15="Bexar",(AC15/$AW$1)*'1. UC Assumptions'!$E$44,0)</f>
        <v>0</v>
      </c>
      <c r="AX15" s="183">
        <f>IF(H15="Dallas",(AC15/$AX$1)*'1. UC Assumptions'!$F$44,0)</f>
        <v>0</v>
      </c>
      <c r="AY15" s="183">
        <f>IF(H15="El Paso",(AC15/$AY$1)*'1. UC Assumptions'!$G$44,0)</f>
        <v>0</v>
      </c>
      <c r="AZ15" s="183">
        <f>IF(H15="Harris",(AC15/$AZ$1)*'1. UC Assumptions'!$H$44,0)</f>
        <v>0</v>
      </c>
      <c r="BA15" s="183">
        <f>IF(H15="Hidalgo",(AC15/$BA$1)*'1. UC Assumptions'!$I$44,0)</f>
        <v>0</v>
      </c>
      <c r="BB15" s="183">
        <f>IF(H15="Jefferson",(AC15/$BB$1)*'1. UC Assumptions'!$J$44,0)</f>
        <v>0</v>
      </c>
      <c r="BC15" s="183">
        <f>IF(H15="Lubbock",(AC15/$BC$1)*'1. UC Assumptions'!$K$44,0)</f>
        <v>0</v>
      </c>
      <c r="BD15" s="183">
        <f>IF(H15="MRSA Central",(AC15/$BD$1)*'1. UC Assumptions'!$L$44,0)</f>
        <v>0</v>
      </c>
      <c r="BE15" s="183">
        <f>IF(H15="MRSA Northeast",(AC15/$BE$1)*'1. UC Assumptions'!$M$44,0)</f>
        <v>0</v>
      </c>
      <c r="BF15" s="183">
        <f>IF(H15="MRSA West",(AC15/$BF$1)*'1. UC Assumptions'!$N$44,0)</f>
        <v>0</v>
      </c>
      <c r="BG15" s="183">
        <f>IF(H15="Nueces",(AC15/$BG$1)*'1. UC Assumptions'!$O$44,0)</f>
        <v>0</v>
      </c>
      <c r="BH15" s="183">
        <f>IF(H15="Tarrant",(AC15/$BH$1)*'1. UC Assumptions'!$P$44,0)</f>
        <v>0</v>
      </c>
      <c r="BI15" s="183">
        <f>IF(H15="Travis",(AC15/$BI$1)*'1. UC Assumptions'!$Q$44,0)</f>
        <v>0</v>
      </c>
      <c r="BJ15" s="183">
        <f t="shared" si="9"/>
        <v>0</v>
      </c>
      <c r="BK15" s="183">
        <f t="shared" si="10"/>
        <v>0</v>
      </c>
      <c r="BL15" s="183">
        <f t="shared" si="11"/>
        <v>16312034.078653824</v>
      </c>
      <c r="BM15" s="184">
        <f t="shared" si="12"/>
        <v>16241931.088653823</v>
      </c>
      <c r="BN15" s="184">
        <f>ROUNDDOWN(BM15*'1. UC Assumptions'!$C$23,2)</f>
        <v>5359837.25</v>
      </c>
      <c r="BO15" s="184"/>
      <c r="BP15" s="185"/>
      <c r="BQ15" s="32"/>
      <c r="BR15" s="32"/>
    </row>
    <row r="16" spans="1:95">
      <c r="A16" s="177" t="s">
        <v>1232</v>
      </c>
      <c r="B16" s="178" t="s">
        <v>806</v>
      </c>
      <c r="C16" s="178" t="s">
        <v>806</v>
      </c>
      <c r="D16" s="179" t="s">
        <v>214</v>
      </c>
      <c r="E16" s="179"/>
      <c r="F16" s="177"/>
      <c r="G16" s="177" t="s">
        <v>1233</v>
      </c>
      <c r="H16" s="178" t="s">
        <v>3</v>
      </c>
      <c r="I16" s="178" t="s">
        <v>3</v>
      </c>
      <c r="J16" s="131">
        <f>IFERROR(INDEX(#REF!,(MATCH('Old Calc Tab'!C:C,#REF!,0))),0)</f>
        <v>0</v>
      </c>
      <c r="K16" s="131">
        <f>IFERROR(INDEX(#REF!,(MATCH('Old Calc Tab'!$C:$C,#REF!,0))),0)</f>
        <v>0</v>
      </c>
      <c r="L16" s="131"/>
      <c r="M16" s="131">
        <v>49768082</v>
      </c>
      <c r="N16" s="131">
        <f>IFERROR(INDEX(#REF!,(MATCH('Old Calc Tab'!$C:$C,#REF!,0))),0)</f>
        <v>0</v>
      </c>
      <c r="O16" s="131">
        <f t="shared" si="0"/>
        <v>0</v>
      </c>
      <c r="P16" s="131">
        <f t="shared" si="1"/>
        <v>49768082</v>
      </c>
      <c r="Q16" s="131"/>
      <c r="R16" s="131"/>
      <c r="S16" s="131"/>
      <c r="T16" s="131"/>
      <c r="U16" s="131"/>
      <c r="V16" s="131">
        <v>0</v>
      </c>
      <c r="W16" s="180">
        <v>0</v>
      </c>
      <c r="X16" s="180">
        <f t="shared" si="2"/>
        <v>49768082</v>
      </c>
      <c r="Y16" s="181">
        <f>IF(D16="Physician Group Practice",(X16/$AE$369)*'1. UC Assumptions'!$C$15,IF(OR(E16="Rural Hospital",E16="Hosp - State"),X16,(X16/$X$369)*'1. UC Assumptions'!$C$9))</f>
        <v>29953568.47530663</v>
      </c>
      <c r="Z16" s="181">
        <f t="shared" si="3"/>
        <v>0</v>
      </c>
      <c r="AA16" s="181">
        <f t="shared" si="4"/>
        <v>19814513.52469337</v>
      </c>
      <c r="AB16" s="182">
        <f t="shared" si="5"/>
        <v>10641.010869474352</v>
      </c>
      <c r="AC16" s="181">
        <f t="shared" si="6"/>
        <v>19825154.535562843</v>
      </c>
      <c r="AD16" s="181">
        <f t="shared" si="7"/>
        <v>29964209.486176103</v>
      </c>
      <c r="AE16" s="131">
        <v>11414153.77</v>
      </c>
      <c r="AF16" s="131">
        <f>AE16*'1. UC Assumptions'!$C$23</f>
        <v>3766670.7440999993</v>
      </c>
      <c r="AG16" s="183">
        <f>IF((((X16-W16-AE16)*'1. UC Assumptions'!$C$23)+AF16)&gt;0,((X16-W16-AE16)*'1. UC Assumptions'!$C$23)+AF16,0)</f>
        <v>16423467.059999999</v>
      </c>
      <c r="AH16" s="183">
        <f>IF(((X16-W16-AE16)*'1. UC Assumptions'!$C$23)&gt;0,(X16-W16-AE16)*'1. UC Assumptions'!$C$23,0)</f>
        <v>12656796.3159</v>
      </c>
      <c r="AI16" s="183">
        <f t="shared" si="8"/>
        <v>16423467.059999999</v>
      </c>
      <c r="AJ16" s="183">
        <f>IF(H16="Bexar",(AD16/$AJ$1)*'1. UC Assumptions'!$E$42,0)</f>
        <v>0</v>
      </c>
      <c r="AK16" s="183">
        <f>IF(H16="Dallas",(AD16/$AK$1)*'1. UC Assumptions'!$F$42,0)</f>
        <v>0</v>
      </c>
      <c r="AL16" s="183">
        <f>IF(H16="El Paso",(AD16/$AL$1)*'1. UC Assumptions'!$G$42,0)</f>
        <v>0</v>
      </c>
      <c r="AM16" s="183">
        <f>IF(H16="Harris",(AD16/$AM$1)*'1. UC Assumptions'!$H$42,0)</f>
        <v>0</v>
      </c>
      <c r="AN16" s="183">
        <f>IF(H16="Hidalgo",(AD16/$AN$1)*'1. UC Assumptions'!$I$42,0)</f>
        <v>0</v>
      </c>
      <c r="AO16" s="183">
        <f>IF(H16="Jefferson",(AD16/$AO$1)*'1. UC Assumptions'!$J$42,0)</f>
        <v>0</v>
      </c>
      <c r="AP16" s="183">
        <f>IF(H16="Lubbock",(AD16/$AP$1)*'1. UC Assumptions'!$K$42,0)</f>
        <v>0</v>
      </c>
      <c r="AQ16" s="183">
        <f>IF(H16="MRSA Central",(AD16/$AQ$1)*'1. UC Assumptions'!$L$42,0)</f>
        <v>0</v>
      </c>
      <c r="AR16" s="183">
        <f>IF(H16="MRSA Northeast",(AD16/$AR$1)*'1. UC Assumptions'!$M$42,0)</f>
        <v>0</v>
      </c>
      <c r="AS16" s="183">
        <f>IF(H16="MRSA West",(AD16/$AS$1)*'1. UC Assumptions'!$N$42,0)</f>
        <v>0</v>
      </c>
      <c r="AT16" s="183">
        <f>IF(H16="Nueces",(AD16/$AT$1)*'1. UC Assumptions'!$O$42,0)</f>
        <v>0</v>
      </c>
      <c r="AU16" s="183">
        <f>IF(H16="Tarrant",(AD16/$AU$1)*'1. UC Assumptions'!$P$42,0)</f>
        <v>0</v>
      </c>
      <c r="AV16" s="183">
        <f>IF(H16="Travis",(AD16/$AV$1)*'1. UC Assumptions'!$Q$42,0)</f>
        <v>0</v>
      </c>
      <c r="AW16" s="183">
        <f>IF(H16="Bexar",(AC16/$AW$1)*'1. UC Assumptions'!$E$44,0)</f>
        <v>0</v>
      </c>
      <c r="AX16" s="183">
        <f>IF(H16="Dallas",(AC16/$AX$1)*'1. UC Assumptions'!$F$44,0)</f>
        <v>0</v>
      </c>
      <c r="AY16" s="183">
        <f>IF(H16="El Paso",(AC16/$AY$1)*'1. UC Assumptions'!$G$44,0)</f>
        <v>0</v>
      </c>
      <c r="AZ16" s="183">
        <f>IF(H16="Harris",(AC16/$AZ$1)*'1. UC Assumptions'!$H$44,0)</f>
        <v>0</v>
      </c>
      <c r="BA16" s="183">
        <f>IF(H16="Hidalgo",(AC16/$BA$1)*'1. UC Assumptions'!$I$44,0)</f>
        <v>0</v>
      </c>
      <c r="BB16" s="183">
        <f>IF(H16="Jefferson",(AC16/$BB$1)*'1. UC Assumptions'!$J$44,0)</f>
        <v>0</v>
      </c>
      <c r="BC16" s="183">
        <f>IF(H16="Lubbock",(AC16/$BC$1)*'1. UC Assumptions'!$K$44,0)</f>
        <v>0</v>
      </c>
      <c r="BD16" s="183">
        <f>IF(H16="MRSA Central",(AC16/$BD$1)*'1. UC Assumptions'!$L$44,0)</f>
        <v>0</v>
      </c>
      <c r="BE16" s="183">
        <f>IF(H16="MRSA Northeast",(AC16/$BE$1)*'1. UC Assumptions'!$M$44,0)</f>
        <v>0</v>
      </c>
      <c r="BF16" s="183">
        <f>IF(H16="MRSA West",(AC16/$BF$1)*'1. UC Assumptions'!$N$44,0)</f>
        <v>0</v>
      </c>
      <c r="BG16" s="183">
        <f>IF(H16="Nueces",(AC16/$BG$1)*'1. UC Assumptions'!$O$44,0)</f>
        <v>0</v>
      </c>
      <c r="BH16" s="183">
        <f>IF(H16="Tarrant",(AC16/$BH$1)*'1. UC Assumptions'!$P$44,0)</f>
        <v>0</v>
      </c>
      <c r="BI16" s="183">
        <f>IF(H16="Travis",(AC16/$BI$1)*'1. UC Assumptions'!$Q$44,0)</f>
        <v>0</v>
      </c>
      <c r="BJ16" s="183">
        <f t="shared" si="9"/>
        <v>0</v>
      </c>
      <c r="BK16" s="183">
        <f t="shared" si="10"/>
        <v>0</v>
      </c>
      <c r="BL16" s="183">
        <f t="shared" si="11"/>
        <v>29964209.486176103</v>
      </c>
      <c r="BM16" s="184">
        <f t="shared" si="12"/>
        <v>18550055.716176104</v>
      </c>
      <c r="BN16" s="184">
        <f>ROUNDDOWN(BM16*'1. UC Assumptions'!$C$23,2)</f>
        <v>6121518.3799999999</v>
      </c>
      <c r="BO16" s="184"/>
      <c r="BP16" s="185"/>
      <c r="BQ16" s="32"/>
      <c r="BR16" s="32"/>
    </row>
    <row r="17" spans="1:70">
      <c r="A17" s="177" t="s">
        <v>1234</v>
      </c>
      <c r="B17" s="177" t="s">
        <v>877</v>
      </c>
      <c r="C17" s="178" t="s">
        <v>877</v>
      </c>
      <c r="D17" s="179" t="s">
        <v>214</v>
      </c>
      <c r="E17" s="179"/>
      <c r="F17" s="177"/>
      <c r="G17" s="177" t="s">
        <v>1235</v>
      </c>
      <c r="H17" s="178" t="s">
        <v>3</v>
      </c>
      <c r="I17" s="178" t="s">
        <v>3</v>
      </c>
      <c r="J17" s="131">
        <f>IFERROR(INDEX(#REF!,(MATCH('Old Calc Tab'!C:C,#REF!,0))),0)</f>
        <v>0</v>
      </c>
      <c r="K17" s="131">
        <f>IFERROR(INDEX(#REF!,(MATCH('Old Calc Tab'!$C:$C,#REF!,0))),0)</f>
        <v>0</v>
      </c>
      <c r="L17" s="131"/>
      <c r="M17" s="131">
        <v>4741462.9113114467</v>
      </c>
      <c r="N17" s="131">
        <f>IFERROR(INDEX(#REF!,(MATCH('Old Calc Tab'!$C:$C,#REF!,0))),0)</f>
        <v>0</v>
      </c>
      <c r="O17" s="131">
        <f t="shared" si="0"/>
        <v>0</v>
      </c>
      <c r="P17" s="131">
        <f t="shared" si="1"/>
        <v>4741462.9113114467</v>
      </c>
      <c r="Q17" s="131"/>
      <c r="R17" s="131"/>
      <c r="S17" s="131"/>
      <c r="T17" s="131"/>
      <c r="U17" s="131"/>
      <c r="V17" s="131">
        <v>0</v>
      </c>
      <c r="W17" s="180">
        <v>0</v>
      </c>
      <c r="X17" s="180">
        <f t="shared" si="2"/>
        <v>4741462.9113114467</v>
      </c>
      <c r="Y17" s="181">
        <f>IF(D17="Physician Group Practice",(X17/$AE$369)*'1. UC Assumptions'!$C$15,IF(OR(E17="Rural Hospital",E17="Hosp - State"),X17,(X17/$X$369)*'1. UC Assumptions'!$C$9))</f>
        <v>2853711.2197149601</v>
      </c>
      <c r="Z17" s="181">
        <f t="shared" si="3"/>
        <v>0</v>
      </c>
      <c r="AA17" s="181">
        <f t="shared" si="4"/>
        <v>1887751.6915964866</v>
      </c>
      <c r="AB17" s="182">
        <f t="shared" si="5"/>
        <v>1013.7814508599026</v>
      </c>
      <c r="AC17" s="181">
        <f t="shared" si="6"/>
        <v>1888765.4730473466</v>
      </c>
      <c r="AD17" s="181">
        <f t="shared" si="7"/>
        <v>2854725.0011658198</v>
      </c>
      <c r="AE17" s="131">
        <v>2391043.86</v>
      </c>
      <c r="AF17" s="131">
        <f>AE17*'1. UC Assumptions'!$C$23</f>
        <v>789044.4737999998</v>
      </c>
      <c r="AG17" s="183">
        <f>IF((((X17-W17-AE17)*'1. UC Assumptions'!$C$23)+AF17)&gt;0,((X17-W17-AE17)*'1. UC Assumptions'!$C$23)+AF17,0)</f>
        <v>1564682.7607327772</v>
      </c>
      <c r="AH17" s="183">
        <f>IF(((X17-W17-AE17)*'1. UC Assumptions'!$C$23)&gt;0,(X17-W17-AE17)*'1. UC Assumptions'!$C$23,0)</f>
        <v>775638.28693277738</v>
      </c>
      <c r="AI17" s="183">
        <f t="shared" si="8"/>
        <v>1564682.7607327772</v>
      </c>
      <c r="AJ17" s="183">
        <f>IF(H17="Bexar",(AD17/$AJ$1)*'1. UC Assumptions'!$E$42,0)</f>
        <v>0</v>
      </c>
      <c r="AK17" s="183">
        <f>IF(H17="Dallas",(AD17/$AK$1)*'1. UC Assumptions'!$F$42,0)</f>
        <v>0</v>
      </c>
      <c r="AL17" s="183">
        <f>IF(H17="El Paso",(AD17/$AL$1)*'1. UC Assumptions'!$G$42,0)</f>
        <v>0</v>
      </c>
      <c r="AM17" s="183">
        <f>IF(H17="Harris",(AD17/$AM$1)*'1. UC Assumptions'!$H$42,0)</f>
        <v>0</v>
      </c>
      <c r="AN17" s="183">
        <f>IF(H17="Hidalgo",(AD17/$AN$1)*'1. UC Assumptions'!$I$42,0)</f>
        <v>0</v>
      </c>
      <c r="AO17" s="183">
        <f>IF(H17="Jefferson",(AD17/$AO$1)*'1. UC Assumptions'!$J$42,0)</f>
        <v>0</v>
      </c>
      <c r="AP17" s="183">
        <f>IF(H17="Lubbock",(AD17/$AP$1)*'1. UC Assumptions'!$K$42,0)</f>
        <v>0</v>
      </c>
      <c r="AQ17" s="183">
        <f>IF(H17="MRSA Central",(AD17/$AQ$1)*'1. UC Assumptions'!$L$42,0)</f>
        <v>0</v>
      </c>
      <c r="AR17" s="183">
        <f>IF(H17="MRSA Northeast",(AD17/$AR$1)*'1. UC Assumptions'!$M$42,0)</f>
        <v>0</v>
      </c>
      <c r="AS17" s="183">
        <f>IF(H17="MRSA West",(AD17/$AS$1)*'1. UC Assumptions'!$N$42,0)</f>
        <v>0</v>
      </c>
      <c r="AT17" s="183">
        <f>IF(H17="Nueces",(AD17/$AT$1)*'1. UC Assumptions'!$O$42,0)</f>
        <v>0</v>
      </c>
      <c r="AU17" s="183">
        <f>IF(H17="Tarrant",(AD17/$AU$1)*'1. UC Assumptions'!$P$42,0)</f>
        <v>0</v>
      </c>
      <c r="AV17" s="183">
        <f>IF(H17="Travis",(AD17/$AV$1)*'1. UC Assumptions'!$Q$42,0)</f>
        <v>0</v>
      </c>
      <c r="AW17" s="183">
        <f>IF(H17="Bexar",(AC17/$AW$1)*'1. UC Assumptions'!$E$44,0)</f>
        <v>0</v>
      </c>
      <c r="AX17" s="183">
        <f>IF(H17="Dallas",(AC17/$AX$1)*'1. UC Assumptions'!$F$44,0)</f>
        <v>0</v>
      </c>
      <c r="AY17" s="183">
        <f>IF(H17="El Paso",(AC17/$AY$1)*'1. UC Assumptions'!$G$44,0)</f>
        <v>0</v>
      </c>
      <c r="AZ17" s="183">
        <f>IF(H17="Harris",(AC17/$AZ$1)*'1. UC Assumptions'!$H$44,0)</f>
        <v>0</v>
      </c>
      <c r="BA17" s="183">
        <f>IF(H17="Hidalgo",(AC17/$BA$1)*'1. UC Assumptions'!$I$44,0)</f>
        <v>0</v>
      </c>
      <c r="BB17" s="183">
        <f>IF(H17="Jefferson",(AC17/$BB$1)*'1. UC Assumptions'!$J$44,0)</f>
        <v>0</v>
      </c>
      <c r="BC17" s="183">
        <f>IF(H17="Lubbock",(AC17/$BC$1)*'1. UC Assumptions'!$K$44,0)</f>
        <v>0</v>
      </c>
      <c r="BD17" s="183">
        <f>IF(H17="MRSA Central",(AC17/$BD$1)*'1. UC Assumptions'!$L$44,0)</f>
        <v>0</v>
      </c>
      <c r="BE17" s="183">
        <f>IF(H17="MRSA Northeast",(AC17/$BE$1)*'1. UC Assumptions'!$M$44,0)</f>
        <v>0</v>
      </c>
      <c r="BF17" s="183">
        <f>IF(H17="MRSA West",(AC17/$BF$1)*'1. UC Assumptions'!$N$44,0)</f>
        <v>0</v>
      </c>
      <c r="BG17" s="183">
        <f>IF(H17="Nueces",(AC17/$BG$1)*'1. UC Assumptions'!$O$44,0)</f>
        <v>0</v>
      </c>
      <c r="BH17" s="183">
        <f>IF(H17="Tarrant",(AC17/$BH$1)*'1. UC Assumptions'!$P$44,0)</f>
        <v>0</v>
      </c>
      <c r="BI17" s="183">
        <f>IF(H17="Travis",(AC17/$BI$1)*'1. UC Assumptions'!$Q$44,0)</f>
        <v>0</v>
      </c>
      <c r="BJ17" s="183">
        <f t="shared" si="9"/>
        <v>0</v>
      </c>
      <c r="BK17" s="183">
        <f t="shared" si="10"/>
        <v>0</v>
      </c>
      <c r="BL17" s="183">
        <f t="shared" si="11"/>
        <v>2854725.0011658198</v>
      </c>
      <c r="BM17" s="184">
        <f t="shared" si="12"/>
        <v>463681.14116581995</v>
      </c>
      <c r="BN17" s="184">
        <f>ROUNDDOWN(BM17*'1. UC Assumptions'!$C$23,2)</f>
        <v>153014.76999999999</v>
      </c>
      <c r="BO17" s="184"/>
      <c r="BP17" s="185"/>
      <c r="BQ17" s="32"/>
      <c r="BR17" s="32"/>
    </row>
    <row r="18" spans="1:70">
      <c r="A18" s="177" t="s">
        <v>1236</v>
      </c>
      <c r="B18" s="178" t="s">
        <v>893</v>
      </c>
      <c r="C18" s="178" t="s">
        <v>893</v>
      </c>
      <c r="D18" s="179" t="s">
        <v>208</v>
      </c>
      <c r="E18" s="179" t="s">
        <v>149</v>
      </c>
      <c r="F18" s="177"/>
      <c r="G18" s="177" t="s">
        <v>894</v>
      </c>
      <c r="H18" s="178" t="s">
        <v>3</v>
      </c>
      <c r="I18" s="178" t="s">
        <v>895</v>
      </c>
      <c r="J18" s="131">
        <f>IFERROR(INDEX(#REF!,(MATCH('Old Calc Tab'!C:C,#REF!,0))),0)</f>
        <v>0</v>
      </c>
      <c r="K18" s="131">
        <f>IFERROR(INDEX(#REF!,(MATCH('Old Calc Tab'!$C:$C,#REF!,0))),0)</f>
        <v>0</v>
      </c>
      <c r="L18" s="131"/>
      <c r="M18" s="131">
        <v>1693407.32</v>
      </c>
      <c r="N18" s="131">
        <f>IFERROR(INDEX(#REF!,(MATCH('Old Calc Tab'!$C:$C,#REF!,0))),0)</f>
        <v>0</v>
      </c>
      <c r="O18" s="131">
        <f t="shared" si="0"/>
        <v>0</v>
      </c>
      <c r="P18" s="131">
        <f t="shared" si="1"/>
        <v>1693407.32</v>
      </c>
      <c r="Q18" s="131"/>
      <c r="R18" s="131"/>
      <c r="S18" s="131"/>
      <c r="T18" s="131"/>
      <c r="U18" s="131"/>
      <c r="V18" s="131">
        <v>43131.32</v>
      </c>
      <c r="W18" s="180">
        <v>0</v>
      </c>
      <c r="X18" s="180">
        <f t="shared" si="2"/>
        <v>1736538.6400000001</v>
      </c>
      <c r="Y18" s="181">
        <f>IF(D18="Physician Group Practice",(X18/$AE$369)*'1. UC Assumptions'!$C$15,IF(OR(E18="Rural Hospital",E18="Hosp - State"),X18,(X18/$X$369)*'1. UC Assumptions'!$C$9))</f>
        <v>1736538.6400000001</v>
      </c>
      <c r="Z18" s="181">
        <f t="shared" si="3"/>
        <v>0</v>
      </c>
      <c r="AA18" s="181">
        <f t="shared" si="4"/>
        <v>0</v>
      </c>
      <c r="AB18" s="182">
        <f t="shared" si="5"/>
        <v>0</v>
      </c>
      <c r="AC18" s="181">
        <f t="shared" si="6"/>
        <v>0</v>
      </c>
      <c r="AD18" s="181">
        <f t="shared" si="7"/>
        <v>1736538.6400000001</v>
      </c>
      <c r="AE18" s="131">
        <v>552302.85</v>
      </c>
      <c r="AF18" s="131">
        <f>AE18*'1. UC Assumptions'!$C$23</f>
        <v>182259.94049999997</v>
      </c>
      <c r="AG18" s="183">
        <f>IF((((X18-W18-AE18)*'1. UC Assumptions'!$C$23)+AF18)&gt;0,((X18-W18-AE18)*'1. UC Assumptions'!$C$23)+AF18,0)</f>
        <v>573057.75119999994</v>
      </c>
      <c r="AH18" s="183">
        <f>IF(((X18-W18-AE18)*'1. UC Assumptions'!$C$23)&gt;0,(X18-W18-AE18)*'1. UC Assumptions'!$C$23,0)</f>
        <v>390797.81069999997</v>
      </c>
      <c r="AI18" s="183">
        <f t="shared" si="8"/>
        <v>573057.75119999994</v>
      </c>
      <c r="AJ18" s="183">
        <f>IF(H18="Bexar",(AD18/$AJ$1)*'1. UC Assumptions'!$E$42,0)</f>
        <v>0</v>
      </c>
      <c r="AK18" s="183">
        <f>IF(H18="Dallas",(AD18/$AK$1)*'1. UC Assumptions'!$F$42,0)</f>
        <v>0</v>
      </c>
      <c r="AL18" s="183">
        <f>IF(H18="El Paso",(AD18/$AL$1)*'1. UC Assumptions'!$G$42,0)</f>
        <v>0</v>
      </c>
      <c r="AM18" s="183">
        <f>IF(H18="Harris",(AD18/$AM$1)*'1. UC Assumptions'!$H$42,0)</f>
        <v>0</v>
      </c>
      <c r="AN18" s="183">
        <f>IF(H18="Hidalgo",(AD18/$AN$1)*'1. UC Assumptions'!$I$42,0)</f>
        <v>0</v>
      </c>
      <c r="AO18" s="183">
        <f>IF(H18="Jefferson",(AD18/$AO$1)*'1. UC Assumptions'!$J$42,0)</f>
        <v>0</v>
      </c>
      <c r="AP18" s="183">
        <f>IF(H18="Lubbock",(AD18/$AP$1)*'1. UC Assumptions'!$K$42,0)</f>
        <v>0</v>
      </c>
      <c r="AQ18" s="183">
        <f>IF(H18="MRSA Central",(AD18/$AQ$1)*'1. UC Assumptions'!$L$42,0)</f>
        <v>0</v>
      </c>
      <c r="AR18" s="183">
        <f>IF(H18="MRSA Northeast",(AD18/$AR$1)*'1. UC Assumptions'!$M$42,0)</f>
        <v>0</v>
      </c>
      <c r="AS18" s="183">
        <f>IF(H18="MRSA West",(AD18/$AS$1)*'1. UC Assumptions'!$N$42,0)</f>
        <v>0</v>
      </c>
      <c r="AT18" s="183">
        <f>IF(H18="Nueces",(AD18/$AT$1)*'1. UC Assumptions'!$O$42,0)</f>
        <v>0</v>
      </c>
      <c r="AU18" s="183">
        <f>IF(H18="Tarrant",(AD18/$AU$1)*'1. UC Assumptions'!$P$42,0)</f>
        <v>0</v>
      </c>
      <c r="AV18" s="183">
        <f>IF(H18="Travis",(AD18/$AV$1)*'1. UC Assumptions'!$Q$42,0)</f>
        <v>0</v>
      </c>
      <c r="AW18" s="183">
        <f>IF(H18="Bexar",(AC18/$AW$1)*'1. UC Assumptions'!$E$44,0)</f>
        <v>0</v>
      </c>
      <c r="AX18" s="183">
        <f>IF(H18="Dallas",(AC18/$AX$1)*'1. UC Assumptions'!$F$44,0)</f>
        <v>0</v>
      </c>
      <c r="AY18" s="183">
        <f>IF(H18="El Paso",(AC18/$AY$1)*'1. UC Assumptions'!$G$44,0)</f>
        <v>0</v>
      </c>
      <c r="AZ18" s="183">
        <f>IF(H18="Harris",(AC18/$AZ$1)*'1. UC Assumptions'!$H$44,0)</f>
        <v>0</v>
      </c>
      <c r="BA18" s="183">
        <f>IF(H18="Hidalgo",(AC18/$BA$1)*'1. UC Assumptions'!$I$44,0)</f>
        <v>0</v>
      </c>
      <c r="BB18" s="183">
        <f>IF(H18="Jefferson",(AC18/$BB$1)*'1. UC Assumptions'!$J$44,0)</f>
        <v>0</v>
      </c>
      <c r="BC18" s="183">
        <f>IF(H18="Lubbock",(AC18/$BC$1)*'1. UC Assumptions'!$K$44,0)</f>
        <v>0</v>
      </c>
      <c r="BD18" s="183">
        <f>IF(H18="MRSA Central",(AC18/$BD$1)*'1. UC Assumptions'!$L$44,0)</f>
        <v>0</v>
      </c>
      <c r="BE18" s="183">
        <f>IF(H18="MRSA Northeast",(AC18/$BE$1)*'1. UC Assumptions'!$M$44,0)</f>
        <v>0</v>
      </c>
      <c r="BF18" s="183">
        <f>IF(H18="MRSA West",(AC18/$BF$1)*'1. UC Assumptions'!$N$44,0)</f>
        <v>0</v>
      </c>
      <c r="BG18" s="183">
        <f>IF(H18="Nueces",(AC18/$BG$1)*'1. UC Assumptions'!$O$44,0)</f>
        <v>0</v>
      </c>
      <c r="BH18" s="183">
        <f>IF(H18="Tarrant",(AC18/$BH$1)*'1. UC Assumptions'!$P$44,0)</f>
        <v>0</v>
      </c>
      <c r="BI18" s="183">
        <f>IF(H18="Travis",(AC18/$BI$1)*'1. UC Assumptions'!$Q$44,0)</f>
        <v>0</v>
      </c>
      <c r="BJ18" s="183">
        <f t="shared" si="9"/>
        <v>0</v>
      </c>
      <c r="BK18" s="183">
        <f t="shared" si="10"/>
        <v>0</v>
      </c>
      <c r="BL18" s="183">
        <f t="shared" si="11"/>
        <v>1736538.6400000001</v>
      </c>
      <c r="BM18" s="184">
        <f t="shared" si="12"/>
        <v>1184235.79</v>
      </c>
      <c r="BN18" s="184">
        <f>ROUNDDOWN(BM18*'1. UC Assumptions'!$C$23,2)</f>
        <v>390797.81</v>
      </c>
      <c r="BO18" s="184"/>
      <c r="BP18" s="185"/>
      <c r="BQ18" s="32"/>
      <c r="BR18" s="32"/>
    </row>
    <row r="19" spans="1:70">
      <c r="A19" s="177" t="s">
        <v>1237</v>
      </c>
      <c r="B19" s="178" t="s">
        <v>1238</v>
      </c>
      <c r="C19" s="178" t="s">
        <v>1238</v>
      </c>
      <c r="D19" s="179" t="s">
        <v>214</v>
      </c>
      <c r="E19" s="179"/>
      <c r="F19" s="177"/>
      <c r="G19" s="177" t="s">
        <v>1239</v>
      </c>
      <c r="H19" s="178" t="s">
        <v>3</v>
      </c>
      <c r="I19" s="178" t="s">
        <v>3</v>
      </c>
      <c r="J19" s="131">
        <f>IFERROR(INDEX(#REF!,(MATCH('Old Calc Tab'!C:C,#REF!,0))),0)</f>
        <v>0</v>
      </c>
      <c r="K19" s="131">
        <f>IFERROR(INDEX(#REF!,(MATCH('Old Calc Tab'!$C:$C,#REF!,0))),0)</f>
        <v>0</v>
      </c>
      <c r="L19" s="131"/>
      <c r="M19" s="131">
        <v>0</v>
      </c>
      <c r="N19" s="131">
        <f>IFERROR(INDEX(#REF!,(MATCH('Old Calc Tab'!$C:$C,#REF!,0))),0)</f>
        <v>0</v>
      </c>
      <c r="O19" s="131">
        <f t="shared" si="0"/>
        <v>0</v>
      </c>
      <c r="P19" s="131">
        <f t="shared" si="1"/>
        <v>0</v>
      </c>
      <c r="Q19" s="131"/>
      <c r="R19" s="131"/>
      <c r="S19" s="131"/>
      <c r="T19" s="131"/>
      <c r="U19" s="131"/>
      <c r="V19" s="131">
        <v>0</v>
      </c>
      <c r="W19" s="180">
        <v>0</v>
      </c>
      <c r="X19" s="180">
        <f t="shared" si="2"/>
        <v>0</v>
      </c>
      <c r="Y19" s="181">
        <f>IF(D19="Physician Group Practice",(X19/$AE$369)*'1. UC Assumptions'!$C$15,IF(OR(E19="Rural Hospital",E19="Hosp - State"),X19,(X19/$X$369)*'1. UC Assumptions'!$C$9))</f>
        <v>0</v>
      </c>
      <c r="Z19" s="181">
        <f t="shared" si="3"/>
        <v>0</v>
      </c>
      <c r="AA19" s="181">
        <f t="shared" si="4"/>
        <v>0</v>
      </c>
      <c r="AB19" s="182">
        <f t="shared" si="5"/>
        <v>0</v>
      </c>
      <c r="AC19" s="181">
        <f t="shared" si="6"/>
        <v>0</v>
      </c>
      <c r="AD19" s="181">
        <f t="shared" si="7"/>
        <v>0</v>
      </c>
      <c r="AE19" s="131">
        <v>2499711.7599999998</v>
      </c>
      <c r="AF19" s="131">
        <f>AE19*'1. UC Assumptions'!$C$23</f>
        <v>824904.88079999981</v>
      </c>
      <c r="AG19" s="183">
        <f>IF((((X19-W19-AE19)*'1. UC Assumptions'!$C$23)+AF19)&gt;0,((X19-W19-AE19)*'1. UC Assumptions'!$C$23)+AF19,0)</f>
        <v>0</v>
      </c>
      <c r="AH19" s="183">
        <f>IF(((X19-W19-AE19)*'1. UC Assumptions'!$C$23)&gt;0,(X19-W19-AE19)*'1. UC Assumptions'!$C$23,0)</f>
        <v>0</v>
      </c>
      <c r="AI19" s="183">
        <f t="shared" si="8"/>
        <v>824904.88079999981</v>
      </c>
      <c r="AJ19" s="183">
        <f>IF(H19="Bexar",(AD19/$AJ$1)*'1. UC Assumptions'!$E$42,0)</f>
        <v>0</v>
      </c>
      <c r="AK19" s="183">
        <f>IF(H19="Dallas",(AD19/$AK$1)*'1. UC Assumptions'!$F$42,0)</f>
        <v>0</v>
      </c>
      <c r="AL19" s="183">
        <f>IF(H19="El Paso",(AD19/$AL$1)*'1. UC Assumptions'!$G$42,0)</f>
        <v>0</v>
      </c>
      <c r="AM19" s="183">
        <f>IF(H19="Harris",(AD19/$AM$1)*'1. UC Assumptions'!$H$42,0)</f>
        <v>0</v>
      </c>
      <c r="AN19" s="183">
        <f>IF(H19="Hidalgo",(AD19/$AN$1)*'1. UC Assumptions'!$I$42,0)</f>
        <v>0</v>
      </c>
      <c r="AO19" s="183">
        <f>IF(H19="Jefferson",(AD19/$AO$1)*'1. UC Assumptions'!$J$42,0)</f>
        <v>0</v>
      </c>
      <c r="AP19" s="183">
        <f>IF(H19="Lubbock",(AD19/$AP$1)*'1. UC Assumptions'!$K$42,0)</f>
        <v>0</v>
      </c>
      <c r="AQ19" s="183">
        <f>IF(H19="MRSA Central",(AD19/$AQ$1)*'1. UC Assumptions'!$L$42,0)</f>
        <v>0</v>
      </c>
      <c r="AR19" s="183">
        <f>IF(H19="MRSA Northeast",(AD19/$AR$1)*'1. UC Assumptions'!$M$42,0)</f>
        <v>0</v>
      </c>
      <c r="AS19" s="183">
        <f>IF(H19="MRSA West",(AD19/$AS$1)*'1. UC Assumptions'!$N$42,0)</f>
        <v>0</v>
      </c>
      <c r="AT19" s="183">
        <f>IF(H19="Nueces",(AD19/$AT$1)*'1. UC Assumptions'!$O$42,0)</f>
        <v>0</v>
      </c>
      <c r="AU19" s="183">
        <f>IF(H19="Tarrant",(AD19/$AU$1)*'1. UC Assumptions'!$P$42,0)</f>
        <v>0</v>
      </c>
      <c r="AV19" s="183">
        <f>IF(H19="Travis",(AD19/$AV$1)*'1. UC Assumptions'!$Q$42,0)</f>
        <v>0</v>
      </c>
      <c r="AW19" s="183">
        <f>IF(H19="Bexar",(AC19/$AW$1)*'1. UC Assumptions'!$E$44,0)</f>
        <v>0</v>
      </c>
      <c r="AX19" s="183">
        <f>IF(H19="Dallas",(AC19/$AX$1)*'1. UC Assumptions'!$F$44,0)</f>
        <v>0</v>
      </c>
      <c r="AY19" s="183">
        <f>IF(H19="El Paso",(AC19/$AY$1)*'1. UC Assumptions'!$G$44,0)</f>
        <v>0</v>
      </c>
      <c r="AZ19" s="183">
        <f>IF(H19="Harris",(AC19/$AZ$1)*'1. UC Assumptions'!$H$44,0)</f>
        <v>0</v>
      </c>
      <c r="BA19" s="183">
        <f>IF(H19="Hidalgo",(AC19/$BA$1)*'1. UC Assumptions'!$I$44,0)</f>
        <v>0</v>
      </c>
      <c r="BB19" s="183">
        <f>IF(H19="Jefferson",(AC19/$BB$1)*'1. UC Assumptions'!$J$44,0)</f>
        <v>0</v>
      </c>
      <c r="BC19" s="183">
        <f>IF(H19="Lubbock",(AC19/$BC$1)*'1. UC Assumptions'!$K$44,0)</f>
        <v>0</v>
      </c>
      <c r="BD19" s="183">
        <f>IF(H19="MRSA Central",(AC19/$BD$1)*'1. UC Assumptions'!$L$44,0)</f>
        <v>0</v>
      </c>
      <c r="BE19" s="183">
        <f>IF(H19="MRSA Northeast",(AC19/$BE$1)*'1. UC Assumptions'!$M$44,0)</f>
        <v>0</v>
      </c>
      <c r="BF19" s="183">
        <f>IF(H19="MRSA West",(AC19/$BF$1)*'1. UC Assumptions'!$N$44,0)</f>
        <v>0</v>
      </c>
      <c r="BG19" s="183">
        <f>IF(H19="Nueces",(AC19/$BG$1)*'1. UC Assumptions'!$O$44,0)</f>
        <v>0</v>
      </c>
      <c r="BH19" s="183">
        <f>IF(H19="Tarrant",(AC19/$BH$1)*'1. UC Assumptions'!$P$44,0)</f>
        <v>0</v>
      </c>
      <c r="BI19" s="183">
        <f>IF(H19="Travis",(AC19/$BI$1)*'1. UC Assumptions'!$Q$44,0)</f>
        <v>0</v>
      </c>
      <c r="BJ19" s="183">
        <f t="shared" si="9"/>
        <v>0</v>
      </c>
      <c r="BK19" s="183">
        <f t="shared" si="10"/>
        <v>0</v>
      </c>
      <c r="BL19" s="183">
        <f t="shared" si="11"/>
        <v>0</v>
      </c>
      <c r="BM19" s="184">
        <f t="shared" si="12"/>
        <v>-2499711.7599999998</v>
      </c>
      <c r="BN19" s="184">
        <f>ROUNDDOWN(BM19*'1. UC Assumptions'!$C$23,2)</f>
        <v>-824904.88</v>
      </c>
      <c r="BO19" s="184"/>
      <c r="BP19" s="185"/>
      <c r="BQ19" s="32"/>
      <c r="BR19" s="32"/>
    </row>
    <row r="20" spans="1:70">
      <c r="A20" s="177" t="s">
        <v>1240</v>
      </c>
      <c r="B20" s="178" t="s">
        <v>984</v>
      </c>
      <c r="C20" s="178" t="s">
        <v>984</v>
      </c>
      <c r="D20" s="179" t="s">
        <v>214</v>
      </c>
      <c r="E20" s="179"/>
      <c r="F20" s="177"/>
      <c r="G20" s="177" t="s">
        <v>985</v>
      </c>
      <c r="H20" s="178" t="s">
        <v>3</v>
      </c>
      <c r="I20" s="178" t="s">
        <v>986</v>
      </c>
      <c r="J20" s="131">
        <f>IFERROR(INDEX(#REF!,(MATCH('Old Calc Tab'!C:C,#REF!,0))),0)</f>
        <v>0</v>
      </c>
      <c r="K20" s="131">
        <f>IFERROR(INDEX(#REF!,(MATCH('Old Calc Tab'!$C:$C,#REF!,0))),0)</f>
        <v>0</v>
      </c>
      <c r="L20" s="131"/>
      <c r="M20" s="131">
        <v>8250760</v>
      </c>
      <c r="N20" s="131">
        <f>IFERROR(INDEX(#REF!,(MATCH('Old Calc Tab'!$C:$C,#REF!,0))),0)</f>
        <v>0</v>
      </c>
      <c r="O20" s="131">
        <f t="shared" si="0"/>
        <v>0</v>
      </c>
      <c r="P20" s="131">
        <f t="shared" si="1"/>
        <v>8250760</v>
      </c>
      <c r="Q20" s="131"/>
      <c r="R20" s="131"/>
      <c r="S20" s="131"/>
      <c r="T20" s="131"/>
      <c r="U20" s="131"/>
      <c r="V20" s="131">
        <v>0</v>
      </c>
      <c r="W20" s="180">
        <v>0</v>
      </c>
      <c r="X20" s="180">
        <f t="shared" si="2"/>
        <v>8250760</v>
      </c>
      <c r="Y20" s="181">
        <f>IF(D20="Physician Group Practice",(X20/$AE$369)*'1. UC Assumptions'!$C$15,IF(OR(E20="Rural Hospital",E20="Hosp - State"),X20,(X20/$X$369)*'1. UC Assumptions'!$C$9))</f>
        <v>4965827.3877888434</v>
      </c>
      <c r="Z20" s="181">
        <f t="shared" si="3"/>
        <v>0</v>
      </c>
      <c r="AA20" s="181">
        <f t="shared" si="4"/>
        <v>3284932.6122111566</v>
      </c>
      <c r="AB20" s="182">
        <f t="shared" si="5"/>
        <v>1764.1111192797061</v>
      </c>
      <c r="AC20" s="181">
        <f t="shared" si="6"/>
        <v>3286696.7233304363</v>
      </c>
      <c r="AD20" s="181">
        <f t="shared" si="7"/>
        <v>4967591.498908123</v>
      </c>
      <c r="AE20" s="131">
        <v>3290700.64</v>
      </c>
      <c r="AF20" s="131">
        <f>AE20*'1. UC Assumptions'!$C$23</f>
        <v>1085931.2112</v>
      </c>
      <c r="AG20" s="183">
        <f>IF((((X20-W20-AE20)*'1. UC Assumptions'!$C$23)+AF20)&gt;0,((X20-W20-AE20)*'1. UC Assumptions'!$C$23)+AF20,0)</f>
        <v>2722750.8</v>
      </c>
      <c r="AH20" s="183">
        <f>IF(((X20-W20-AE20)*'1. UC Assumptions'!$C$23)&gt;0,(X20-W20-AE20)*'1. UC Assumptions'!$C$23,0)</f>
        <v>1636819.5887999996</v>
      </c>
      <c r="AI20" s="183">
        <f t="shared" si="8"/>
        <v>2722750.8</v>
      </c>
      <c r="AJ20" s="183">
        <f>IF(H20="Bexar",(AD20/$AJ$1)*'1. UC Assumptions'!$E$42,0)</f>
        <v>0</v>
      </c>
      <c r="AK20" s="183">
        <f>IF(H20="Dallas",(AD20/$AK$1)*'1. UC Assumptions'!$F$42,0)</f>
        <v>0</v>
      </c>
      <c r="AL20" s="183">
        <f>IF(H20="El Paso",(AD20/$AL$1)*'1. UC Assumptions'!$G$42,0)</f>
        <v>0</v>
      </c>
      <c r="AM20" s="183">
        <f>IF(H20="Harris",(AD20/$AM$1)*'1. UC Assumptions'!$H$42,0)</f>
        <v>0</v>
      </c>
      <c r="AN20" s="183">
        <f>IF(H20="Hidalgo",(AD20/$AN$1)*'1. UC Assumptions'!$I$42,0)</f>
        <v>0</v>
      </c>
      <c r="AO20" s="183">
        <f>IF(H20="Jefferson",(AD20/$AO$1)*'1. UC Assumptions'!$J$42,0)</f>
        <v>0</v>
      </c>
      <c r="AP20" s="183">
        <f>IF(H20="Lubbock",(AD20/$AP$1)*'1. UC Assumptions'!$K$42,0)</f>
        <v>0</v>
      </c>
      <c r="AQ20" s="183">
        <f>IF(H20="MRSA Central",(AD20/$AQ$1)*'1. UC Assumptions'!$L$42,0)</f>
        <v>0</v>
      </c>
      <c r="AR20" s="183">
        <f>IF(H20="MRSA Northeast",(AD20/$AR$1)*'1. UC Assumptions'!$M$42,0)</f>
        <v>0</v>
      </c>
      <c r="AS20" s="183">
        <f>IF(H20="MRSA West",(AD20/$AS$1)*'1. UC Assumptions'!$N$42,0)</f>
        <v>0</v>
      </c>
      <c r="AT20" s="183">
        <f>IF(H20="Nueces",(AD20/$AT$1)*'1. UC Assumptions'!$O$42,0)</f>
        <v>0</v>
      </c>
      <c r="AU20" s="183">
        <f>IF(H20="Tarrant",(AD20/$AU$1)*'1. UC Assumptions'!$P$42,0)</f>
        <v>0</v>
      </c>
      <c r="AV20" s="183">
        <f>IF(H20="Travis",(AD20/$AV$1)*'1. UC Assumptions'!$Q$42,0)</f>
        <v>0</v>
      </c>
      <c r="AW20" s="183">
        <f>IF(H20="Bexar",(AC20/$AW$1)*'1. UC Assumptions'!$E$44,0)</f>
        <v>0</v>
      </c>
      <c r="AX20" s="183">
        <f>IF(H20="Dallas",(AC20/$AX$1)*'1. UC Assumptions'!$F$44,0)</f>
        <v>0</v>
      </c>
      <c r="AY20" s="183">
        <f>IF(H20="El Paso",(AC20/$AY$1)*'1. UC Assumptions'!$G$44,0)</f>
        <v>0</v>
      </c>
      <c r="AZ20" s="183">
        <f>IF(H20="Harris",(AC20/$AZ$1)*'1. UC Assumptions'!$H$44,0)</f>
        <v>0</v>
      </c>
      <c r="BA20" s="183">
        <f>IF(H20="Hidalgo",(AC20/$BA$1)*'1. UC Assumptions'!$I$44,0)</f>
        <v>0</v>
      </c>
      <c r="BB20" s="183">
        <f>IF(H20="Jefferson",(AC20/$BB$1)*'1. UC Assumptions'!$J$44,0)</f>
        <v>0</v>
      </c>
      <c r="BC20" s="183">
        <f>IF(H20="Lubbock",(AC20/$BC$1)*'1. UC Assumptions'!$K$44,0)</f>
        <v>0</v>
      </c>
      <c r="BD20" s="183">
        <f>IF(H20="MRSA Central",(AC20/$BD$1)*'1. UC Assumptions'!$L$44,0)</f>
        <v>0</v>
      </c>
      <c r="BE20" s="183">
        <f>IF(H20="MRSA Northeast",(AC20/$BE$1)*'1. UC Assumptions'!$M$44,0)</f>
        <v>0</v>
      </c>
      <c r="BF20" s="183">
        <f>IF(H20="MRSA West",(AC20/$BF$1)*'1. UC Assumptions'!$N$44,0)</f>
        <v>0</v>
      </c>
      <c r="BG20" s="183">
        <f>IF(H20="Nueces",(AC20/$BG$1)*'1. UC Assumptions'!$O$44,0)</f>
        <v>0</v>
      </c>
      <c r="BH20" s="183">
        <f>IF(H20="Tarrant",(AC20/$BH$1)*'1. UC Assumptions'!$P$44,0)</f>
        <v>0</v>
      </c>
      <c r="BI20" s="183">
        <f>IF(H20="Travis",(AC20/$BI$1)*'1. UC Assumptions'!$Q$44,0)</f>
        <v>0</v>
      </c>
      <c r="BJ20" s="183">
        <f t="shared" si="9"/>
        <v>0</v>
      </c>
      <c r="BK20" s="183">
        <f t="shared" si="10"/>
        <v>0</v>
      </c>
      <c r="BL20" s="183">
        <f t="shared" si="11"/>
        <v>4967591.498908123</v>
      </c>
      <c r="BM20" s="184">
        <f t="shared" si="12"/>
        <v>1676890.8589081229</v>
      </c>
      <c r="BN20" s="184">
        <f>ROUNDDOWN(BM20*'1. UC Assumptions'!$C$23,2)</f>
        <v>553373.98</v>
      </c>
      <c r="BO20" s="184"/>
      <c r="BP20" s="185"/>
      <c r="BQ20" s="32"/>
      <c r="BR20" s="32"/>
    </row>
    <row r="21" spans="1:70">
      <c r="A21" s="177" t="s">
        <v>1241</v>
      </c>
      <c r="B21" s="178" t="s">
        <v>1242</v>
      </c>
      <c r="C21" s="178" t="s">
        <v>1029</v>
      </c>
      <c r="D21" s="179" t="s">
        <v>214</v>
      </c>
      <c r="E21" s="179" t="s">
        <v>149</v>
      </c>
      <c r="F21" s="177"/>
      <c r="G21" s="177" t="s">
        <v>1243</v>
      </c>
      <c r="H21" s="178" t="s">
        <v>3</v>
      </c>
      <c r="I21" s="178" t="s">
        <v>1031</v>
      </c>
      <c r="J21" s="131">
        <f>IFERROR(INDEX(#REF!,(MATCH('Old Calc Tab'!C:C,#REF!,0))),0)</f>
        <v>0</v>
      </c>
      <c r="K21" s="131">
        <f>IFERROR(INDEX(#REF!,(MATCH('Old Calc Tab'!$C:$C,#REF!,0))),0)</f>
        <v>0</v>
      </c>
      <c r="L21" s="131"/>
      <c r="M21" s="131">
        <v>545358.1</v>
      </c>
      <c r="N21" s="131">
        <f>IFERROR(INDEX(#REF!,(MATCH('Old Calc Tab'!$C:$C,#REF!,0))),0)</f>
        <v>0</v>
      </c>
      <c r="O21" s="131">
        <f t="shared" si="0"/>
        <v>0</v>
      </c>
      <c r="P21" s="131">
        <f t="shared" si="1"/>
        <v>545358.1</v>
      </c>
      <c r="Q21" s="131"/>
      <c r="R21" s="131"/>
      <c r="S21" s="131"/>
      <c r="T21" s="131"/>
      <c r="U21" s="131"/>
      <c r="V21" s="131">
        <v>452417</v>
      </c>
      <c r="W21" s="180">
        <v>0</v>
      </c>
      <c r="X21" s="180">
        <f t="shared" si="2"/>
        <v>997775.1</v>
      </c>
      <c r="Y21" s="181">
        <f>IF(D21="Physician Group Practice",(X21/$AE$369)*'1. UC Assumptions'!$C$15,IF(OR(E21="Rural Hospital",E21="Hosp - State"),X21,(X21/$X$369)*'1. UC Assumptions'!$C$9))</f>
        <v>997775.1</v>
      </c>
      <c r="Z21" s="181">
        <f t="shared" si="3"/>
        <v>0</v>
      </c>
      <c r="AA21" s="181">
        <f t="shared" si="4"/>
        <v>0</v>
      </c>
      <c r="AB21" s="182">
        <f t="shared" si="5"/>
        <v>0</v>
      </c>
      <c r="AC21" s="181">
        <f t="shared" si="6"/>
        <v>0</v>
      </c>
      <c r="AD21" s="181">
        <f t="shared" si="7"/>
        <v>997775.1</v>
      </c>
      <c r="AE21" s="131">
        <v>1842221.4000000001</v>
      </c>
      <c r="AF21" s="131">
        <f>AE21*'1. UC Assumptions'!$C$23</f>
        <v>607933.06199999992</v>
      </c>
      <c r="AG21" s="183">
        <f>IF((((X21-W21-AE21)*'1. UC Assumptions'!$C$23)+AF21)&gt;0,((X21-W21-AE21)*'1. UC Assumptions'!$C$23)+AF21,0)</f>
        <v>329265.78299999988</v>
      </c>
      <c r="AH21" s="183">
        <f>IF(((X21-W21-AE21)*'1. UC Assumptions'!$C$23)&gt;0,(X21-W21-AE21)*'1. UC Assumptions'!$C$23,0)</f>
        <v>0</v>
      </c>
      <c r="AI21" s="183">
        <f t="shared" si="8"/>
        <v>607933.06199999992</v>
      </c>
      <c r="AJ21" s="183">
        <f>IF(H21="Bexar",(AD21/$AJ$1)*'1. UC Assumptions'!$E$42,0)</f>
        <v>0</v>
      </c>
      <c r="AK21" s="183">
        <f>IF(H21="Dallas",(AD21/$AK$1)*'1. UC Assumptions'!$F$42,0)</f>
        <v>0</v>
      </c>
      <c r="AL21" s="183">
        <f>IF(H21="El Paso",(AD21/$AL$1)*'1. UC Assumptions'!$G$42,0)</f>
        <v>0</v>
      </c>
      <c r="AM21" s="183">
        <f>IF(H21="Harris",(AD21/$AM$1)*'1. UC Assumptions'!$H$42,0)</f>
        <v>0</v>
      </c>
      <c r="AN21" s="183">
        <f>IF(H21="Hidalgo",(AD21/$AN$1)*'1. UC Assumptions'!$I$42,0)</f>
        <v>0</v>
      </c>
      <c r="AO21" s="183">
        <f>IF(H21="Jefferson",(AD21/$AO$1)*'1. UC Assumptions'!$J$42,0)</f>
        <v>0</v>
      </c>
      <c r="AP21" s="183">
        <f>IF(H21="Lubbock",(AD21/$AP$1)*'1. UC Assumptions'!$K$42,0)</f>
        <v>0</v>
      </c>
      <c r="AQ21" s="183">
        <f>IF(H21="MRSA Central",(AD21/$AQ$1)*'1. UC Assumptions'!$L$42,0)</f>
        <v>0</v>
      </c>
      <c r="AR21" s="183">
        <f>IF(H21="MRSA Northeast",(AD21/$AR$1)*'1. UC Assumptions'!$M$42,0)</f>
        <v>0</v>
      </c>
      <c r="AS21" s="183">
        <f>IF(H21="MRSA West",(AD21/$AS$1)*'1. UC Assumptions'!$N$42,0)</f>
        <v>0</v>
      </c>
      <c r="AT21" s="183">
        <f>IF(H21="Nueces",(AD21/$AT$1)*'1. UC Assumptions'!$O$42,0)</f>
        <v>0</v>
      </c>
      <c r="AU21" s="183">
        <f>IF(H21="Tarrant",(AD21/$AU$1)*'1. UC Assumptions'!$P$42,0)</f>
        <v>0</v>
      </c>
      <c r="AV21" s="183">
        <f>IF(H21="Travis",(AD21/$AV$1)*'1. UC Assumptions'!$Q$42,0)</f>
        <v>0</v>
      </c>
      <c r="AW21" s="183">
        <f>IF(H21="Bexar",(AC21/$AW$1)*'1. UC Assumptions'!$E$44,0)</f>
        <v>0</v>
      </c>
      <c r="AX21" s="183">
        <f>IF(H21="Dallas",(AC21/$AX$1)*'1. UC Assumptions'!$F$44,0)</f>
        <v>0</v>
      </c>
      <c r="AY21" s="183">
        <f>IF(H21="El Paso",(AC21/$AY$1)*'1. UC Assumptions'!$G$44,0)</f>
        <v>0</v>
      </c>
      <c r="AZ21" s="183">
        <f>IF(H21="Harris",(AC21/$AZ$1)*'1. UC Assumptions'!$H$44,0)</f>
        <v>0</v>
      </c>
      <c r="BA21" s="183">
        <f>IF(H21="Hidalgo",(AC21/$BA$1)*'1. UC Assumptions'!$I$44,0)</f>
        <v>0</v>
      </c>
      <c r="BB21" s="183">
        <f>IF(H21="Jefferson",(AC21/$BB$1)*'1. UC Assumptions'!$J$44,0)</f>
        <v>0</v>
      </c>
      <c r="BC21" s="183">
        <f>IF(H21="Lubbock",(AC21/$BC$1)*'1. UC Assumptions'!$K$44,0)</f>
        <v>0</v>
      </c>
      <c r="BD21" s="183">
        <f>IF(H21="MRSA Central",(AC21/$BD$1)*'1. UC Assumptions'!$L$44,0)</f>
        <v>0</v>
      </c>
      <c r="BE21" s="183">
        <f>IF(H21="MRSA Northeast",(AC21/$BE$1)*'1. UC Assumptions'!$M$44,0)</f>
        <v>0</v>
      </c>
      <c r="BF21" s="183">
        <f>IF(H21="MRSA West",(AC21/$BF$1)*'1. UC Assumptions'!$N$44,0)</f>
        <v>0</v>
      </c>
      <c r="BG21" s="183">
        <f>IF(H21="Nueces",(AC21/$BG$1)*'1. UC Assumptions'!$O$44,0)</f>
        <v>0</v>
      </c>
      <c r="BH21" s="183">
        <f>IF(H21="Tarrant",(AC21/$BH$1)*'1. UC Assumptions'!$P$44,0)</f>
        <v>0</v>
      </c>
      <c r="BI21" s="183">
        <f>IF(H21="Travis",(AC21/$BI$1)*'1. UC Assumptions'!$Q$44,0)</f>
        <v>0</v>
      </c>
      <c r="BJ21" s="183">
        <f t="shared" si="9"/>
        <v>0</v>
      </c>
      <c r="BK21" s="183">
        <f t="shared" si="10"/>
        <v>0</v>
      </c>
      <c r="BL21" s="183">
        <f t="shared" si="11"/>
        <v>997775.1</v>
      </c>
      <c r="BM21" s="184">
        <f t="shared" si="12"/>
        <v>-844446.30000000016</v>
      </c>
      <c r="BN21" s="184">
        <f>ROUNDDOWN(BM21*'1. UC Assumptions'!$C$23,2)</f>
        <v>-278667.27</v>
      </c>
      <c r="BO21" s="184"/>
      <c r="BP21" s="185"/>
      <c r="BQ21" s="32"/>
      <c r="BR21" s="32"/>
    </row>
    <row r="22" spans="1:70">
      <c r="A22" s="177" t="s">
        <v>1244</v>
      </c>
      <c r="B22" s="178" t="s">
        <v>229</v>
      </c>
      <c r="C22" s="178" t="s">
        <v>229</v>
      </c>
      <c r="D22" s="179" t="s">
        <v>214</v>
      </c>
      <c r="E22" s="179"/>
      <c r="F22" s="177"/>
      <c r="G22" s="177" t="s">
        <v>1245</v>
      </c>
      <c r="H22" s="178" t="s">
        <v>4</v>
      </c>
      <c r="I22" s="178" t="s">
        <v>4</v>
      </c>
      <c r="J22" s="131">
        <f>IFERROR(INDEX(#REF!,(MATCH('Old Calc Tab'!C:C,#REF!,0))),0)</f>
        <v>0</v>
      </c>
      <c r="K22" s="131">
        <f>IFERROR(INDEX(#REF!,(MATCH('Old Calc Tab'!$C:$C,#REF!,0))),0)</f>
        <v>0</v>
      </c>
      <c r="L22" s="131"/>
      <c r="M22" s="131">
        <v>34863174.126000002</v>
      </c>
      <c r="N22" s="131">
        <f>IFERROR(INDEX(#REF!,(MATCH('Old Calc Tab'!$C:$C,#REF!,0))),0)</f>
        <v>0</v>
      </c>
      <c r="O22" s="131">
        <f t="shared" si="0"/>
        <v>0</v>
      </c>
      <c r="P22" s="131">
        <f t="shared" si="1"/>
        <v>34863174.126000002</v>
      </c>
      <c r="Q22" s="131"/>
      <c r="R22" s="131"/>
      <c r="S22" s="131"/>
      <c r="T22" s="131"/>
      <c r="U22" s="131"/>
      <c r="V22" s="131">
        <v>0</v>
      </c>
      <c r="W22" s="180">
        <v>0</v>
      </c>
      <c r="X22" s="180">
        <f t="shared" si="2"/>
        <v>34863174.126000002</v>
      </c>
      <c r="Y22" s="181">
        <f>IF(D22="Physician Group Practice",(X22/$AE$369)*'1. UC Assumptions'!$C$15,IF(OR(E22="Rural Hospital",E22="Hosp - State"),X22,(X22/$X$369)*'1. UC Assumptions'!$C$9))</f>
        <v>20982855.506661467</v>
      </c>
      <c r="Z22" s="181">
        <f t="shared" si="3"/>
        <v>0</v>
      </c>
      <c r="AA22" s="181">
        <f t="shared" si="4"/>
        <v>13880318.619338535</v>
      </c>
      <c r="AB22" s="182">
        <f t="shared" si="5"/>
        <v>7454.1633896830308</v>
      </c>
      <c r="AC22" s="181">
        <f t="shared" si="6"/>
        <v>13887772.782728218</v>
      </c>
      <c r="AD22" s="181">
        <f t="shared" si="7"/>
        <v>20990309.67005115</v>
      </c>
      <c r="AE22" s="131">
        <v>15014687.060000001</v>
      </c>
      <c r="AF22" s="131">
        <f>AE22*'1. UC Assumptions'!$C$23</f>
        <v>4954846.7297999999</v>
      </c>
      <c r="AG22" s="183">
        <f>IF((((X22-W22-AE22)*'1. UC Assumptions'!$C$23)+AF22)&gt;0,((X22-W22-AE22)*'1. UC Assumptions'!$C$23)+AF22,0)</f>
        <v>11504847.461579999</v>
      </c>
      <c r="AH22" s="183">
        <f>IF(((X22-W22-AE22)*'1. UC Assumptions'!$C$23)&gt;0,(X22-W22-AE22)*'1. UC Assumptions'!$C$23,0)</f>
        <v>6550000.7317799991</v>
      </c>
      <c r="AI22" s="183">
        <f t="shared" si="8"/>
        <v>11504847.461579999</v>
      </c>
      <c r="AJ22" s="183">
        <f>IF(H22="Bexar",(AD22/$AJ$1)*'1. UC Assumptions'!$E$42,0)</f>
        <v>0</v>
      </c>
      <c r="AK22" s="183">
        <f>IF(H22="Dallas",(AD22/$AK$1)*'1. UC Assumptions'!$F$42,0)</f>
        <v>0</v>
      </c>
      <c r="AL22" s="183">
        <f>IF(H22="El Paso",(AD22/$AL$1)*'1. UC Assumptions'!$G$42,0)</f>
        <v>0</v>
      </c>
      <c r="AM22" s="183">
        <f>IF(H22="Harris",(AD22/$AM$1)*'1. UC Assumptions'!$H$42,0)</f>
        <v>0</v>
      </c>
      <c r="AN22" s="183">
        <f>IF(H22="Hidalgo",(AD22/$AN$1)*'1. UC Assumptions'!$I$42,0)</f>
        <v>0</v>
      </c>
      <c r="AO22" s="183">
        <f>IF(H22="Jefferson",(AD22/$AO$1)*'1. UC Assumptions'!$J$42,0)</f>
        <v>0</v>
      </c>
      <c r="AP22" s="183">
        <f>IF(H22="Lubbock",(AD22/$AP$1)*'1. UC Assumptions'!$K$42,0)</f>
        <v>0</v>
      </c>
      <c r="AQ22" s="183">
        <f>IF(H22="MRSA Central",(AD22/$AQ$1)*'1. UC Assumptions'!$L$42,0)</f>
        <v>0</v>
      </c>
      <c r="AR22" s="183">
        <f>IF(H22="MRSA Northeast",(AD22/$AR$1)*'1. UC Assumptions'!$M$42,0)</f>
        <v>0</v>
      </c>
      <c r="AS22" s="183">
        <f>IF(H22="MRSA West",(AD22/$AS$1)*'1. UC Assumptions'!$N$42,0)</f>
        <v>0</v>
      </c>
      <c r="AT22" s="183">
        <f>IF(H22="Nueces",(AD22/$AT$1)*'1. UC Assumptions'!$O$42,0)</f>
        <v>0</v>
      </c>
      <c r="AU22" s="183">
        <f>IF(H22="Tarrant",(AD22/$AU$1)*'1. UC Assumptions'!$P$42,0)</f>
        <v>0</v>
      </c>
      <c r="AV22" s="183">
        <f>IF(H22="Travis",(AD22/$AV$1)*'1. UC Assumptions'!$Q$42,0)</f>
        <v>0</v>
      </c>
      <c r="AW22" s="183">
        <f>IF(H22="Bexar",(AC22/$AW$1)*'1. UC Assumptions'!$E$44,0)</f>
        <v>0</v>
      </c>
      <c r="AX22" s="183">
        <f>IF(H22="Dallas",(AC22/$AX$1)*'1. UC Assumptions'!$F$44,0)</f>
        <v>0</v>
      </c>
      <c r="AY22" s="183">
        <f>IF(H22="El Paso",(AC22/$AY$1)*'1. UC Assumptions'!$G$44,0)</f>
        <v>0</v>
      </c>
      <c r="AZ22" s="183">
        <f>IF(H22="Harris",(AC22/$AZ$1)*'1. UC Assumptions'!$H$44,0)</f>
        <v>0</v>
      </c>
      <c r="BA22" s="183">
        <f>IF(H22="Hidalgo",(AC22/$BA$1)*'1. UC Assumptions'!$I$44,0)</f>
        <v>0</v>
      </c>
      <c r="BB22" s="183">
        <f>IF(H22="Jefferson",(AC22/$BB$1)*'1. UC Assumptions'!$J$44,0)</f>
        <v>0</v>
      </c>
      <c r="BC22" s="183">
        <f>IF(H22="Lubbock",(AC22/$BC$1)*'1. UC Assumptions'!$K$44,0)</f>
        <v>0</v>
      </c>
      <c r="BD22" s="183">
        <f>IF(H22="MRSA Central",(AC22/$BD$1)*'1. UC Assumptions'!$L$44,0)</f>
        <v>0</v>
      </c>
      <c r="BE22" s="183">
        <f>IF(H22="MRSA Northeast",(AC22/$BE$1)*'1. UC Assumptions'!$M$44,0)</f>
        <v>0</v>
      </c>
      <c r="BF22" s="183">
        <f>IF(H22="MRSA West",(AC22/$BF$1)*'1. UC Assumptions'!$N$44,0)</f>
        <v>0</v>
      </c>
      <c r="BG22" s="183">
        <f>IF(H22="Nueces",(AC22/$BG$1)*'1. UC Assumptions'!$O$44,0)</f>
        <v>0</v>
      </c>
      <c r="BH22" s="183">
        <f>IF(H22="Tarrant",(AC22/$BH$1)*'1. UC Assumptions'!$P$44,0)</f>
        <v>0</v>
      </c>
      <c r="BI22" s="183">
        <f>IF(H22="Travis",(AC22/$BI$1)*'1. UC Assumptions'!$Q$44,0)</f>
        <v>0</v>
      </c>
      <c r="BJ22" s="183">
        <f t="shared" si="9"/>
        <v>0</v>
      </c>
      <c r="BK22" s="183">
        <f t="shared" si="10"/>
        <v>0</v>
      </c>
      <c r="BL22" s="183">
        <f t="shared" si="11"/>
        <v>20990309.67005115</v>
      </c>
      <c r="BM22" s="184">
        <f t="shared" si="12"/>
        <v>5975622.6100511495</v>
      </c>
      <c r="BN22" s="184">
        <f>ROUNDDOWN(BM22*'1. UC Assumptions'!$C$23,2)</f>
        <v>1971955.46</v>
      </c>
      <c r="BO22" s="184"/>
      <c r="BP22" s="185"/>
      <c r="BQ22" s="32"/>
      <c r="BR22" s="32"/>
    </row>
    <row r="23" spans="1:70">
      <c r="A23" s="177" t="s">
        <v>1246</v>
      </c>
      <c r="B23" s="178" t="s">
        <v>233</v>
      </c>
      <c r="C23" s="178" t="s">
        <v>233</v>
      </c>
      <c r="D23" s="179" t="s">
        <v>214</v>
      </c>
      <c r="E23" s="179"/>
      <c r="F23" s="177"/>
      <c r="G23" s="177" t="s">
        <v>1247</v>
      </c>
      <c r="H23" s="178" t="s">
        <v>4</v>
      </c>
      <c r="I23" s="178" t="s">
        <v>4</v>
      </c>
      <c r="J23" s="131">
        <f>IFERROR(INDEX(#REF!,(MATCH('Old Calc Tab'!C:C,#REF!,0))),0)</f>
        <v>0</v>
      </c>
      <c r="K23" s="131">
        <f>IFERROR(INDEX(#REF!,(MATCH('Old Calc Tab'!$C:$C,#REF!,0))),0)</f>
        <v>0</v>
      </c>
      <c r="L23" s="131"/>
      <c r="M23" s="131">
        <v>23318944.038531374</v>
      </c>
      <c r="N23" s="131">
        <f>IFERROR(INDEX(#REF!,(MATCH('Old Calc Tab'!$C:$C,#REF!,0))),0)</f>
        <v>0</v>
      </c>
      <c r="O23" s="131">
        <f t="shared" si="0"/>
        <v>0</v>
      </c>
      <c r="P23" s="131">
        <f t="shared" si="1"/>
        <v>23318944.038531374</v>
      </c>
      <c r="Q23" s="131"/>
      <c r="R23" s="131"/>
      <c r="S23" s="131"/>
      <c r="T23" s="131"/>
      <c r="U23" s="131"/>
      <c r="V23" s="131">
        <v>39659</v>
      </c>
      <c r="W23" s="180">
        <v>0</v>
      </c>
      <c r="X23" s="180">
        <f t="shared" si="2"/>
        <v>23358603.038531374</v>
      </c>
      <c r="Y23" s="181">
        <f>IF(D23="Physician Group Practice",(X23/$AE$369)*'1. UC Assumptions'!$C$15,IF(OR(E23="Rural Hospital",E23="Hosp - State"),X23,(X23/$X$369)*'1. UC Assumptions'!$C$9))</f>
        <v>14058679.528822409</v>
      </c>
      <c r="Z23" s="181">
        <f t="shared" si="3"/>
        <v>0</v>
      </c>
      <c r="AA23" s="181">
        <f t="shared" si="4"/>
        <v>9299923.5097089652</v>
      </c>
      <c r="AB23" s="182">
        <f t="shared" si="5"/>
        <v>4994.3485631764752</v>
      </c>
      <c r="AC23" s="181">
        <f t="shared" si="6"/>
        <v>9304917.8582721408</v>
      </c>
      <c r="AD23" s="181">
        <f t="shared" si="7"/>
        <v>14063673.877385585</v>
      </c>
      <c r="AE23" s="131">
        <v>7036174.6100000003</v>
      </c>
      <c r="AF23" s="131">
        <f>AE23*'1. UC Assumptions'!$C$23</f>
        <v>2321937.6212999998</v>
      </c>
      <c r="AG23" s="183">
        <f>IF((((X23-W23-AE23)*'1. UC Assumptions'!$C$23)+AF23)&gt;0,((X23-W23-AE23)*'1. UC Assumptions'!$C$23)+AF23,0)</f>
        <v>7708339.0027153529</v>
      </c>
      <c r="AH23" s="183">
        <f>IF(((X23-W23-AE23)*'1. UC Assumptions'!$C$23)&gt;0,(X23-W23-AE23)*'1. UC Assumptions'!$C$23,0)</f>
        <v>5386401.3814153532</v>
      </c>
      <c r="AI23" s="183">
        <f t="shared" si="8"/>
        <v>7708339.0027153529</v>
      </c>
      <c r="AJ23" s="183">
        <f>IF(H23="Bexar",(AD23/$AJ$1)*'1. UC Assumptions'!$E$42,0)</f>
        <v>0</v>
      </c>
      <c r="AK23" s="183">
        <f>IF(H23="Dallas",(AD23/$AK$1)*'1. UC Assumptions'!$F$42,0)</f>
        <v>0</v>
      </c>
      <c r="AL23" s="183">
        <f>IF(H23="El Paso",(AD23/$AL$1)*'1. UC Assumptions'!$G$42,0)</f>
        <v>0</v>
      </c>
      <c r="AM23" s="183">
        <f>IF(H23="Harris",(AD23/$AM$1)*'1. UC Assumptions'!$H$42,0)</f>
        <v>0</v>
      </c>
      <c r="AN23" s="183">
        <f>IF(H23="Hidalgo",(AD23/$AN$1)*'1. UC Assumptions'!$I$42,0)</f>
        <v>0</v>
      </c>
      <c r="AO23" s="183">
        <f>IF(H23="Jefferson",(AD23/$AO$1)*'1. UC Assumptions'!$J$42,0)</f>
        <v>0</v>
      </c>
      <c r="AP23" s="183">
        <f>IF(H23="Lubbock",(AD23/$AP$1)*'1. UC Assumptions'!$K$42,0)</f>
        <v>0</v>
      </c>
      <c r="AQ23" s="183">
        <f>IF(H23="MRSA Central",(AD23/$AQ$1)*'1. UC Assumptions'!$L$42,0)</f>
        <v>0</v>
      </c>
      <c r="AR23" s="183">
        <f>IF(H23="MRSA Northeast",(AD23/$AR$1)*'1. UC Assumptions'!$M$42,0)</f>
        <v>0</v>
      </c>
      <c r="AS23" s="183">
        <f>IF(H23="MRSA West",(AD23/$AS$1)*'1. UC Assumptions'!$N$42,0)</f>
        <v>0</v>
      </c>
      <c r="AT23" s="183">
        <f>IF(H23="Nueces",(AD23/$AT$1)*'1. UC Assumptions'!$O$42,0)</f>
        <v>0</v>
      </c>
      <c r="AU23" s="183">
        <f>IF(H23="Tarrant",(AD23/$AU$1)*'1. UC Assumptions'!$P$42,0)</f>
        <v>0</v>
      </c>
      <c r="AV23" s="183">
        <f>IF(H23="Travis",(AD23/$AV$1)*'1. UC Assumptions'!$Q$42,0)</f>
        <v>0</v>
      </c>
      <c r="AW23" s="183">
        <f>IF(H23="Bexar",(AC23/$AW$1)*'1. UC Assumptions'!$E$44,0)</f>
        <v>0</v>
      </c>
      <c r="AX23" s="183">
        <f>IF(H23="Dallas",(AC23/$AX$1)*'1. UC Assumptions'!$F$44,0)</f>
        <v>0</v>
      </c>
      <c r="AY23" s="183">
        <f>IF(H23="El Paso",(AC23/$AY$1)*'1. UC Assumptions'!$G$44,0)</f>
        <v>0</v>
      </c>
      <c r="AZ23" s="183">
        <f>IF(H23="Harris",(AC23/$AZ$1)*'1. UC Assumptions'!$H$44,0)</f>
        <v>0</v>
      </c>
      <c r="BA23" s="183">
        <f>IF(H23="Hidalgo",(AC23/$BA$1)*'1. UC Assumptions'!$I$44,0)</f>
        <v>0</v>
      </c>
      <c r="BB23" s="183">
        <f>IF(H23="Jefferson",(AC23/$BB$1)*'1. UC Assumptions'!$J$44,0)</f>
        <v>0</v>
      </c>
      <c r="BC23" s="183">
        <f>IF(H23="Lubbock",(AC23/$BC$1)*'1. UC Assumptions'!$K$44,0)</f>
        <v>0</v>
      </c>
      <c r="BD23" s="183">
        <f>IF(H23="MRSA Central",(AC23/$BD$1)*'1. UC Assumptions'!$L$44,0)</f>
        <v>0</v>
      </c>
      <c r="BE23" s="183">
        <f>IF(H23="MRSA Northeast",(AC23/$BE$1)*'1. UC Assumptions'!$M$44,0)</f>
        <v>0</v>
      </c>
      <c r="BF23" s="183">
        <f>IF(H23="MRSA West",(AC23/$BF$1)*'1. UC Assumptions'!$N$44,0)</f>
        <v>0</v>
      </c>
      <c r="BG23" s="183">
        <f>IF(H23="Nueces",(AC23/$BG$1)*'1. UC Assumptions'!$O$44,0)</f>
        <v>0</v>
      </c>
      <c r="BH23" s="183">
        <f>IF(H23="Tarrant",(AC23/$BH$1)*'1. UC Assumptions'!$P$44,0)</f>
        <v>0</v>
      </c>
      <c r="BI23" s="183">
        <f>IF(H23="Travis",(AC23/$BI$1)*'1. UC Assumptions'!$Q$44,0)</f>
        <v>0</v>
      </c>
      <c r="BJ23" s="183">
        <f t="shared" si="9"/>
        <v>0</v>
      </c>
      <c r="BK23" s="183">
        <f t="shared" si="10"/>
        <v>0</v>
      </c>
      <c r="BL23" s="183">
        <f t="shared" si="11"/>
        <v>14063673.877385585</v>
      </c>
      <c r="BM23" s="184">
        <f t="shared" si="12"/>
        <v>7027499.2673855843</v>
      </c>
      <c r="BN23" s="184">
        <f>ROUNDDOWN(BM23*'1. UC Assumptions'!$C$23,2)</f>
        <v>2319074.75</v>
      </c>
      <c r="BO23" s="184"/>
      <c r="BP23" s="185"/>
      <c r="BQ23" s="32"/>
      <c r="BR23" s="32"/>
    </row>
    <row r="24" spans="1:70">
      <c r="A24" s="177" t="s">
        <v>1248</v>
      </c>
      <c r="B24" s="178" t="s">
        <v>243</v>
      </c>
      <c r="C24" s="178" t="s">
        <v>243</v>
      </c>
      <c r="D24" s="179" t="s">
        <v>214</v>
      </c>
      <c r="E24" s="179"/>
      <c r="F24" s="177"/>
      <c r="G24" s="177" t="s">
        <v>1249</v>
      </c>
      <c r="H24" s="178" t="s">
        <v>4</v>
      </c>
      <c r="I24" s="178" t="s">
        <v>245</v>
      </c>
      <c r="J24" s="131">
        <f>IFERROR(INDEX(#REF!,(MATCH('Old Calc Tab'!C:C,#REF!,0))),0)</f>
        <v>0</v>
      </c>
      <c r="K24" s="131">
        <f>IFERROR(INDEX(#REF!,(MATCH('Old Calc Tab'!$C:$C,#REF!,0))),0)</f>
        <v>0</v>
      </c>
      <c r="L24" s="131"/>
      <c r="M24" s="131">
        <v>7467073</v>
      </c>
      <c r="N24" s="131">
        <f>IFERROR(INDEX(#REF!,(MATCH('Old Calc Tab'!$C:$C,#REF!,0))),0)</f>
        <v>0</v>
      </c>
      <c r="O24" s="131">
        <f t="shared" si="0"/>
        <v>0</v>
      </c>
      <c r="P24" s="131">
        <f t="shared" si="1"/>
        <v>7467073</v>
      </c>
      <c r="Q24" s="131"/>
      <c r="R24" s="131"/>
      <c r="S24" s="131"/>
      <c r="T24" s="131"/>
      <c r="U24" s="131"/>
      <c r="V24" s="131">
        <v>0</v>
      </c>
      <c r="W24" s="180">
        <v>0</v>
      </c>
      <c r="X24" s="180">
        <f t="shared" si="2"/>
        <v>7467073</v>
      </c>
      <c r="Y24" s="181">
        <f>IF(D24="Physician Group Practice",(X24/$AE$369)*'1. UC Assumptions'!$C$15,IF(OR(E24="Rural Hospital",E24="Hosp - State"),X24,(X24/$X$369)*'1. UC Assumptions'!$C$9))</f>
        <v>4494155.1578301396</v>
      </c>
      <c r="Z24" s="181">
        <f t="shared" si="3"/>
        <v>0</v>
      </c>
      <c r="AA24" s="181">
        <f t="shared" si="4"/>
        <v>2972917.8421698604</v>
      </c>
      <c r="AB24" s="182">
        <f t="shared" si="5"/>
        <v>1596.5494703243426</v>
      </c>
      <c r="AC24" s="181">
        <f t="shared" si="6"/>
        <v>2974514.3916401849</v>
      </c>
      <c r="AD24" s="181">
        <f t="shared" si="7"/>
        <v>4495751.7073004637</v>
      </c>
      <c r="AE24" s="131">
        <v>0</v>
      </c>
      <c r="AF24" s="131">
        <f>AE24*'1. UC Assumptions'!$C$23</f>
        <v>0</v>
      </c>
      <c r="AG24" s="183">
        <f>IF((((X24-W24-AE24)*'1. UC Assumptions'!$C$23)+AF24)&gt;0,((X24-W24-AE24)*'1. UC Assumptions'!$C$23)+AF24,0)</f>
        <v>2464134.09</v>
      </c>
      <c r="AH24" s="183">
        <f>IF(((X24-W24-AE24)*'1. UC Assumptions'!$C$23)&gt;0,(X24-W24-AE24)*'1. UC Assumptions'!$C$23,0)</f>
        <v>2464134.09</v>
      </c>
      <c r="AI24" s="183">
        <f t="shared" si="8"/>
        <v>2464134.09</v>
      </c>
      <c r="AJ24" s="183">
        <f>IF(H24="Bexar",(AD24/$AJ$1)*'1. UC Assumptions'!$E$42,0)</f>
        <v>0</v>
      </c>
      <c r="AK24" s="183">
        <f>IF(H24="Dallas",(AD24/$AK$1)*'1. UC Assumptions'!$F$42,0)</f>
        <v>0</v>
      </c>
      <c r="AL24" s="183">
        <f>IF(H24="El Paso",(AD24/$AL$1)*'1. UC Assumptions'!$G$42,0)</f>
        <v>0</v>
      </c>
      <c r="AM24" s="183">
        <f>IF(H24="Harris",(AD24/$AM$1)*'1. UC Assumptions'!$H$42,0)</f>
        <v>0</v>
      </c>
      <c r="AN24" s="183">
        <f>IF(H24="Hidalgo",(AD24/$AN$1)*'1. UC Assumptions'!$I$42,0)</f>
        <v>0</v>
      </c>
      <c r="AO24" s="183">
        <f>IF(H24="Jefferson",(AD24/$AO$1)*'1. UC Assumptions'!$J$42,0)</f>
        <v>0</v>
      </c>
      <c r="AP24" s="183">
        <f>IF(H24="Lubbock",(AD24/$AP$1)*'1. UC Assumptions'!$K$42,0)</f>
        <v>0</v>
      </c>
      <c r="AQ24" s="183">
        <f>IF(H24="MRSA Central",(AD24/$AQ$1)*'1. UC Assumptions'!$L$42,0)</f>
        <v>0</v>
      </c>
      <c r="AR24" s="183">
        <f>IF(H24="MRSA Northeast",(AD24/$AR$1)*'1. UC Assumptions'!$M$42,0)</f>
        <v>0</v>
      </c>
      <c r="AS24" s="183">
        <f>IF(H24="MRSA West",(AD24/$AS$1)*'1. UC Assumptions'!$N$42,0)</f>
        <v>0</v>
      </c>
      <c r="AT24" s="183">
        <f>IF(H24="Nueces",(AD24/$AT$1)*'1. UC Assumptions'!$O$42,0)</f>
        <v>0</v>
      </c>
      <c r="AU24" s="183">
        <f>IF(H24="Tarrant",(AD24/$AU$1)*'1. UC Assumptions'!$P$42,0)</f>
        <v>0</v>
      </c>
      <c r="AV24" s="183">
        <f>IF(H24="Travis",(AD24/$AV$1)*'1. UC Assumptions'!$Q$42,0)</f>
        <v>0</v>
      </c>
      <c r="AW24" s="183">
        <f>IF(H24="Bexar",(AC24/$AW$1)*'1. UC Assumptions'!$E$44,0)</f>
        <v>0</v>
      </c>
      <c r="AX24" s="183">
        <f>IF(H24="Dallas",(AC24/$AX$1)*'1. UC Assumptions'!$F$44,0)</f>
        <v>0</v>
      </c>
      <c r="AY24" s="183">
        <f>IF(H24="El Paso",(AC24/$AY$1)*'1. UC Assumptions'!$G$44,0)</f>
        <v>0</v>
      </c>
      <c r="AZ24" s="183">
        <f>IF(H24="Harris",(AC24/$AZ$1)*'1. UC Assumptions'!$H$44,0)</f>
        <v>0</v>
      </c>
      <c r="BA24" s="183">
        <f>IF(H24="Hidalgo",(AC24/$BA$1)*'1. UC Assumptions'!$I$44,0)</f>
        <v>0</v>
      </c>
      <c r="BB24" s="183">
        <f>IF(H24="Jefferson",(AC24/$BB$1)*'1. UC Assumptions'!$J$44,0)</f>
        <v>0</v>
      </c>
      <c r="BC24" s="183">
        <f>IF(H24="Lubbock",(AC24/$BC$1)*'1. UC Assumptions'!$K$44,0)</f>
        <v>0</v>
      </c>
      <c r="BD24" s="183">
        <f>IF(H24="MRSA Central",(AC24/$BD$1)*'1. UC Assumptions'!$L$44,0)</f>
        <v>0</v>
      </c>
      <c r="BE24" s="183">
        <f>IF(H24="MRSA Northeast",(AC24/$BE$1)*'1. UC Assumptions'!$M$44,0)</f>
        <v>0</v>
      </c>
      <c r="BF24" s="183">
        <f>IF(H24="MRSA West",(AC24/$BF$1)*'1. UC Assumptions'!$N$44,0)</f>
        <v>0</v>
      </c>
      <c r="BG24" s="183">
        <f>IF(H24="Nueces",(AC24/$BG$1)*'1. UC Assumptions'!$O$44,0)</f>
        <v>0</v>
      </c>
      <c r="BH24" s="183">
        <f>IF(H24="Tarrant",(AC24/$BH$1)*'1. UC Assumptions'!$P$44,0)</f>
        <v>0</v>
      </c>
      <c r="BI24" s="183">
        <f>IF(H24="Travis",(AC24/$BI$1)*'1. UC Assumptions'!$Q$44,0)</f>
        <v>0</v>
      </c>
      <c r="BJ24" s="183">
        <f t="shared" si="9"/>
        <v>0</v>
      </c>
      <c r="BK24" s="183">
        <f t="shared" si="10"/>
        <v>0</v>
      </c>
      <c r="BL24" s="183">
        <f t="shared" si="11"/>
        <v>4495751.7073004637</v>
      </c>
      <c r="BM24" s="184">
        <f t="shared" si="12"/>
        <v>4495751.7073004637</v>
      </c>
      <c r="BN24" s="184">
        <f>ROUNDDOWN(BM24*'1. UC Assumptions'!$C$23,2)</f>
        <v>1483598.06</v>
      </c>
      <c r="BO24" s="184"/>
      <c r="BP24" s="185"/>
      <c r="BQ24" s="32"/>
      <c r="BR24" s="32"/>
    </row>
    <row r="25" spans="1:70">
      <c r="A25" s="177" t="s">
        <v>1250</v>
      </c>
      <c r="B25" s="177" t="s">
        <v>256</v>
      </c>
      <c r="C25" s="178" t="s">
        <v>256</v>
      </c>
      <c r="D25" s="179" t="s">
        <v>214</v>
      </c>
      <c r="E25" s="179"/>
      <c r="F25" s="177"/>
      <c r="G25" s="177" t="s">
        <v>1251</v>
      </c>
      <c r="H25" s="178" t="s">
        <v>4</v>
      </c>
      <c r="I25" s="178" t="s">
        <v>1252</v>
      </c>
      <c r="J25" s="131">
        <f>IFERROR(INDEX(#REF!,(MATCH('Old Calc Tab'!C:C,#REF!,0))),0)</f>
        <v>0</v>
      </c>
      <c r="K25" s="131">
        <f>IFERROR(INDEX(#REF!,(MATCH('Old Calc Tab'!$C:$C,#REF!,0))),0)</f>
        <v>0</v>
      </c>
      <c r="L25" s="131"/>
      <c r="M25" s="131">
        <v>4802710.4939898113</v>
      </c>
      <c r="N25" s="131">
        <f>IFERROR(INDEX(#REF!,(MATCH('Old Calc Tab'!$C:$C,#REF!,0))),0)</f>
        <v>0</v>
      </c>
      <c r="O25" s="131">
        <f t="shared" si="0"/>
        <v>0</v>
      </c>
      <c r="P25" s="131">
        <f t="shared" si="1"/>
        <v>4802710.4939898113</v>
      </c>
      <c r="Q25" s="131"/>
      <c r="R25" s="131"/>
      <c r="S25" s="131"/>
      <c r="T25" s="131"/>
      <c r="U25" s="131"/>
      <c r="V25" s="131">
        <v>0</v>
      </c>
      <c r="W25" s="180">
        <v>0</v>
      </c>
      <c r="X25" s="180">
        <f t="shared" si="2"/>
        <v>4802710.4939898113</v>
      </c>
      <c r="Y25" s="181">
        <f>IF(D25="Physician Group Practice",(X25/$AE$369)*'1. UC Assumptions'!$C$15,IF(OR(E25="Rural Hospital",E25="Hosp - State"),X25,(X25/$X$369)*'1. UC Assumptions'!$C$9))</f>
        <v>2890573.8752157968</v>
      </c>
      <c r="Z25" s="181">
        <f t="shared" si="3"/>
        <v>0</v>
      </c>
      <c r="AA25" s="181">
        <f t="shared" si="4"/>
        <v>1912136.6187740145</v>
      </c>
      <c r="AB25" s="182">
        <f t="shared" si="5"/>
        <v>1026.8769162027204</v>
      </c>
      <c r="AC25" s="181">
        <f t="shared" si="6"/>
        <v>1913163.4956902172</v>
      </c>
      <c r="AD25" s="181">
        <f t="shared" si="7"/>
        <v>2891600.7521319995</v>
      </c>
      <c r="AE25" s="131">
        <v>2115687.35</v>
      </c>
      <c r="AF25" s="131">
        <f>AE25*'1. UC Assumptions'!$C$23</f>
        <v>698176.82549999992</v>
      </c>
      <c r="AG25" s="183">
        <f>IF((((X25-W25-AE25)*'1. UC Assumptions'!$C$23)+AF25)&gt;0,((X25-W25-AE25)*'1. UC Assumptions'!$C$23)+AF25,0)</f>
        <v>1584894.4630166376</v>
      </c>
      <c r="AH25" s="183">
        <f>IF(((X25-W25-AE25)*'1. UC Assumptions'!$C$23)&gt;0,(X25-W25-AE25)*'1. UC Assumptions'!$C$23,0)</f>
        <v>886717.63751663757</v>
      </c>
      <c r="AI25" s="183">
        <f t="shared" si="8"/>
        <v>1584894.4630166376</v>
      </c>
      <c r="AJ25" s="183">
        <f>IF(H25="Bexar",(AD25/$AJ$1)*'1. UC Assumptions'!$E$42,0)</f>
        <v>0</v>
      </c>
      <c r="AK25" s="183">
        <f>IF(H25="Dallas",(AD25/$AK$1)*'1. UC Assumptions'!$F$42,0)</f>
        <v>0</v>
      </c>
      <c r="AL25" s="183">
        <f>IF(H25="El Paso",(AD25/$AL$1)*'1. UC Assumptions'!$G$42,0)</f>
        <v>0</v>
      </c>
      <c r="AM25" s="183">
        <f>IF(H25="Harris",(AD25/$AM$1)*'1. UC Assumptions'!$H$42,0)</f>
        <v>0</v>
      </c>
      <c r="AN25" s="183">
        <f>IF(H25="Hidalgo",(AD25/$AN$1)*'1. UC Assumptions'!$I$42,0)</f>
        <v>0</v>
      </c>
      <c r="AO25" s="183">
        <f>IF(H25="Jefferson",(AD25/$AO$1)*'1. UC Assumptions'!$J$42,0)</f>
        <v>0</v>
      </c>
      <c r="AP25" s="183">
        <f>IF(H25="Lubbock",(AD25/$AP$1)*'1. UC Assumptions'!$K$42,0)</f>
        <v>0</v>
      </c>
      <c r="AQ25" s="183">
        <f>IF(H25="MRSA Central",(AD25/$AQ$1)*'1. UC Assumptions'!$L$42,0)</f>
        <v>0</v>
      </c>
      <c r="AR25" s="183">
        <f>IF(H25="MRSA Northeast",(AD25/$AR$1)*'1. UC Assumptions'!$M$42,0)</f>
        <v>0</v>
      </c>
      <c r="AS25" s="183">
        <f>IF(H25="MRSA West",(AD25/$AS$1)*'1. UC Assumptions'!$N$42,0)</f>
        <v>0</v>
      </c>
      <c r="AT25" s="183">
        <f>IF(H25="Nueces",(AD25/$AT$1)*'1. UC Assumptions'!$O$42,0)</f>
        <v>0</v>
      </c>
      <c r="AU25" s="183">
        <f>IF(H25="Tarrant",(AD25/$AU$1)*'1. UC Assumptions'!$P$42,0)</f>
        <v>0</v>
      </c>
      <c r="AV25" s="183">
        <f>IF(H25="Travis",(AD25/$AV$1)*'1. UC Assumptions'!$Q$42,0)</f>
        <v>0</v>
      </c>
      <c r="AW25" s="183">
        <f>IF(H25="Bexar",(AC25/$AW$1)*'1. UC Assumptions'!$E$44,0)</f>
        <v>0</v>
      </c>
      <c r="AX25" s="183">
        <f>IF(H25="Dallas",(AC25/$AX$1)*'1. UC Assumptions'!$F$44,0)</f>
        <v>0</v>
      </c>
      <c r="AY25" s="183">
        <f>IF(H25="El Paso",(AC25/$AY$1)*'1. UC Assumptions'!$G$44,0)</f>
        <v>0</v>
      </c>
      <c r="AZ25" s="183">
        <f>IF(H25="Harris",(AC25/$AZ$1)*'1. UC Assumptions'!$H$44,0)</f>
        <v>0</v>
      </c>
      <c r="BA25" s="183">
        <f>IF(H25="Hidalgo",(AC25/$BA$1)*'1. UC Assumptions'!$I$44,0)</f>
        <v>0</v>
      </c>
      <c r="BB25" s="183">
        <f>IF(H25="Jefferson",(AC25/$BB$1)*'1. UC Assumptions'!$J$44,0)</f>
        <v>0</v>
      </c>
      <c r="BC25" s="183">
        <f>IF(H25="Lubbock",(AC25/$BC$1)*'1. UC Assumptions'!$K$44,0)</f>
        <v>0</v>
      </c>
      <c r="BD25" s="183">
        <f>IF(H25="MRSA Central",(AC25/$BD$1)*'1. UC Assumptions'!$L$44,0)</f>
        <v>0</v>
      </c>
      <c r="BE25" s="183">
        <f>IF(H25="MRSA Northeast",(AC25/$BE$1)*'1. UC Assumptions'!$M$44,0)</f>
        <v>0</v>
      </c>
      <c r="BF25" s="183">
        <f>IF(H25="MRSA West",(AC25/$BF$1)*'1. UC Assumptions'!$N$44,0)</f>
        <v>0</v>
      </c>
      <c r="BG25" s="183">
        <f>IF(H25="Nueces",(AC25/$BG$1)*'1. UC Assumptions'!$O$44,0)</f>
        <v>0</v>
      </c>
      <c r="BH25" s="183">
        <f>IF(H25="Tarrant",(AC25/$BH$1)*'1. UC Assumptions'!$P$44,0)</f>
        <v>0</v>
      </c>
      <c r="BI25" s="183">
        <f>IF(H25="Travis",(AC25/$BI$1)*'1. UC Assumptions'!$Q$44,0)</f>
        <v>0</v>
      </c>
      <c r="BJ25" s="183">
        <f t="shared" si="9"/>
        <v>0</v>
      </c>
      <c r="BK25" s="183">
        <f t="shared" si="10"/>
        <v>0</v>
      </c>
      <c r="BL25" s="183">
        <f t="shared" si="11"/>
        <v>2891600.7521319995</v>
      </c>
      <c r="BM25" s="184">
        <f t="shared" si="12"/>
        <v>775913.40213199938</v>
      </c>
      <c r="BN25" s="184">
        <f>ROUNDDOWN(BM25*'1. UC Assumptions'!$C$23,2)</f>
        <v>256051.42</v>
      </c>
      <c r="BO25" s="184"/>
      <c r="BP25" s="185"/>
      <c r="BQ25" s="32"/>
      <c r="BR25" s="32"/>
    </row>
    <row r="26" spans="1:70">
      <c r="A26" s="177" t="s">
        <v>1253</v>
      </c>
      <c r="B26" s="178" t="s">
        <v>258</v>
      </c>
      <c r="C26" s="178" t="s">
        <v>258</v>
      </c>
      <c r="D26" s="179" t="s">
        <v>214</v>
      </c>
      <c r="E26" s="179"/>
      <c r="F26" s="177"/>
      <c r="G26" s="177" t="s">
        <v>1254</v>
      </c>
      <c r="H26" s="178" t="s">
        <v>4</v>
      </c>
      <c r="I26" s="178" t="s">
        <v>260</v>
      </c>
      <c r="J26" s="131">
        <f>IFERROR(INDEX(#REF!,(MATCH('Old Calc Tab'!C:C,#REF!,0))),0)</f>
        <v>0</v>
      </c>
      <c r="K26" s="131">
        <f>IFERROR(INDEX(#REF!,(MATCH('Old Calc Tab'!$C:$C,#REF!,0))),0)</f>
        <v>0</v>
      </c>
      <c r="L26" s="131"/>
      <c r="M26" s="131">
        <v>6351898.5089999996</v>
      </c>
      <c r="N26" s="131">
        <f>IFERROR(INDEX(#REF!,(MATCH('Old Calc Tab'!$C:$C,#REF!,0))),0)</f>
        <v>0</v>
      </c>
      <c r="O26" s="131">
        <f t="shared" si="0"/>
        <v>0</v>
      </c>
      <c r="P26" s="131">
        <f t="shared" si="1"/>
        <v>6351898.5089999996</v>
      </c>
      <c r="Q26" s="131"/>
      <c r="R26" s="131"/>
      <c r="S26" s="131"/>
      <c r="T26" s="131"/>
      <c r="U26" s="131"/>
      <c r="V26" s="131">
        <v>0</v>
      </c>
      <c r="W26" s="180">
        <v>0</v>
      </c>
      <c r="X26" s="180">
        <f t="shared" si="2"/>
        <v>6351898.5089999996</v>
      </c>
      <c r="Y26" s="181">
        <f>IF(D26="Physician Group Practice",(X26/$AE$369)*'1. UC Assumptions'!$C$15,IF(OR(E26="Rural Hospital",E26="Hosp - State"),X26,(X26/$X$369)*'1. UC Assumptions'!$C$9))</f>
        <v>3822972.8631601594</v>
      </c>
      <c r="Z26" s="181">
        <f t="shared" si="3"/>
        <v>0</v>
      </c>
      <c r="AA26" s="181">
        <f t="shared" si="4"/>
        <v>2528925.6458398402</v>
      </c>
      <c r="AB26" s="182">
        <f t="shared" si="5"/>
        <v>1358.1118331236257</v>
      </c>
      <c r="AC26" s="181">
        <f t="shared" si="6"/>
        <v>2530283.7576729637</v>
      </c>
      <c r="AD26" s="181">
        <f t="shared" si="7"/>
        <v>3824330.9749932829</v>
      </c>
      <c r="AE26" s="131">
        <v>0</v>
      </c>
      <c r="AF26" s="131">
        <f>AE26*'1. UC Assumptions'!$C$23</f>
        <v>0</v>
      </c>
      <c r="AG26" s="183">
        <f>IF((((X26-W26-AE26)*'1. UC Assumptions'!$C$23)+AF26)&gt;0,((X26-W26-AE26)*'1. UC Assumptions'!$C$23)+AF26,0)</f>
        <v>2096126.5079699997</v>
      </c>
      <c r="AH26" s="183">
        <f>IF(((X26-W26-AE26)*'1. UC Assumptions'!$C$23)&gt;0,(X26-W26-AE26)*'1. UC Assumptions'!$C$23,0)</f>
        <v>2096126.5079699997</v>
      </c>
      <c r="AI26" s="183">
        <f t="shared" si="8"/>
        <v>2096126.5079699997</v>
      </c>
      <c r="AJ26" s="183">
        <f>IF(H26="Bexar",(AD26/$AJ$1)*'1. UC Assumptions'!$E$42,0)</f>
        <v>0</v>
      </c>
      <c r="AK26" s="183">
        <f>IF(H26="Dallas",(AD26/$AK$1)*'1. UC Assumptions'!$F$42,0)</f>
        <v>0</v>
      </c>
      <c r="AL26" s="183">
        <f>IF(H26="El Paso",(AD26/$AL$1)*'1. UC Assumptions'!$G$42,0)</f>
        <v>0</v>
      </c>
      <c r="AM26" s="183">
        <f>IF(H26="Harris",(AD26/$AM$1)*'1. UC Assumptions'!$H$42,0)</f>
        <v>0</v>
      </c>
      <c r="AN26" s="183">
        <f>IF(H26="Hidalgo",(AD26/$AN$1)*'1. UC Assumptions'!$I$42,0)</f>
        <v>0</v>
      </c>
      <c r="AO26" s="183">
        <f>IF(H26="Jefferson",(AD26/$AO$1)*'1. UC Assumptions'!$J$42,0)</f>
        <v>0</v>
      </c>
      <c r="AP26" s="183">
        <f>IF(H26="Lubbock",(AD26/$AP$1)*'1. UC Assumptions'!$K$42,0)</f>
        <v>0</v>
      </c>
      <c r="AQ26" s="183">
        <f>IF(H26="MRSA Central",(AD26/$AQ$1)*'1. UC Assumptions'!$L$42,0)</f>
        <v>0</v>
      </c>
      <c r="AR26" s="183">
        <f>IF(H26="MRSA Northeast",(AD26/$AR$1)*'1. UC Assumptions'!$M$42,0)</f>
        <v>0</v>
      </c>
      <c r="AS26" s="183">
        <f>IF(H26="MRSA West",(AD26/$AS$1)*'1. UC Assumptions'!$N$42,0)</f>
        <v>0</v>
      </c>
      <c r="AT26" s="183">
        <f>IF(H26="Nueces",(AD26/$AT$1)*'1. UC Assumptions'!$O$42,0)</f>
        <v>0</v>
      </c>
      <c r="AU26" s="183">
        <f>IF(H26="Tarrant",(AD26/$AU$1)*'1. UC Assumptions'!$P$42,0)</f>
        <v>0</v>
      </c>
      <c r="AV26" s="183">
        <f>IF(H26="Travis",(AD26/$AV$1)*'1. UC Assumptions'!$Q$42,0)</f>
        <v>0</v>
      </c>
      <c r="AW26" s="183">
        <f>IF(H26="Bexar",(AC26/$AW$1)*'1. UC Assumptions'!$E$44,0)</f>
        <v>0</v>
      </c>
      <c r="AX26" s="183">
        <f>IF(H26="Dallas",(AC26/$AX$1)*'1. UC Assumptions'!$F$44,0)</f>
        <v>0</v>
      </c>
      <c r="AY26" s="183">
        <f>IF(H26="El Paso",(AC26/$AY$1)*'1. UC Assumptions'!$G$44,0)</f>
        <v>0</v>
      </c>
      <c r="AZ26" s="183">
        <f>IF(H26="Harris",(AC26/$AZ$1)*'1. UC Assumptions'!$H$44,0)</f>
        <v>0</v>
      </c>
      <c r="BA26" s="183">
        <f>IF(H26="Hidalgo",(AC26/$BA$1)*'1. UC Assumptions'!$I$44,0)</f>
        <v>0</v>
      </c>
      <c r="BB26" s="183">
        <f>IF(H26="Jefferson",(AC26/$BB$1)*'1. UC Assumptions'!$J$44,0)</f>
        <v>0</v>
      </c>
      <c r="BC26" s="183">
        <f>IF(H26="Lubbock",(AC26/$BC$1)*'1. UC Assumptions'!$K$44,0)</f>
        <v>0</v>
      </c>
      <c r="BD26" s="183">
        <f>IF(H26="MRSA Central",(AC26/$BD$1)*'1. UC Assumptions'!$L$44,0)</f>
        <v>0</v>
      </c>
      <c r="BE26" s="183">
        <f>IF(H26="MRSA Northeast",(AC26/$BE$1)*'1. UC Assumptions'!$M$44,0)</f>
        <v>0</v>
      </c>
      <c r="BF26" s="183">
        <f>IF(H26="MRSA West",(AC26/$BF$1)*'1. UC Assumptions'!$N$44,0)</f>
        <v>0</v>
      </c>
      <c r="BG26" s="183">
        <f>IF(H26="Nueces",(AC26/$BG$1)*'1. UC Assumptions'!$O$44,0)</f>
        <v>0</v>
      </c>
      <c r="BH26" s="183">
        <f>IF(H26="Tarrant",(AC26/$BH$1)*'1. UC Assumptions'!$P$44,0)</f>
        <v>0</v>
      </c>
      <c r="BI26" s="183">
        <f>IF(H26="Travis",(AC26/$BI$1)*'1. UC Assumptions'!$Q$44,0)</f>
        <v>0</v>
      </c>
      <c r="BJ26" s="183">
        <f t="shared" si="9"/>
        <v>0</v>
      </c>
      <c r="BK26" s="183">
        <f t="shared" si="10"/>
        <v>0</v>
      </c>
      <c r="BL26" s="183">
        <f t="shared" si="11"/>
        <v>3824330.9749932829</v>
      </c>
      <c r="BM26" s="184">
        <f t="shared" si="12"/>
        <v>3824330.9749932829</v>
      </c>
      <c r="BN26" s="184">
        <f>ROUNDDOWN(BM26*'1. UC Assumptions'!$C$23,2)</f>
        <v>1262029.22</v>
      </c>
      <c r="BO26" s="184"/>
      <c r="BP26" s="185"/>
      <c r="BQ26" s="32"/>
      <c r="BR26" s="32"/>
    </row>
    <row r="27" spans="1:70" ht="18.75" customHeight="1">
      <c r="A27" s="177" t="s">
        <v>1255</v>
      </c>
      <c r="B27" s="178" t="s">
        <v>337</v>
      </c>
      <c r="C27" s="178" t="s">
        <v>337</v>
      </c>
      <c r="D27" s="179" t="s">
        <v>214</v>
      </c>
      <c r="E27" s="179"/>
      <c r="F27" s="177"/>
      <c r="G27" s="177" t="s">
        <v>1256</v>
      </c>
      <c r="H27" s="178" t="s">
        <v>4</v>
      </c>
      <c r="I27" s="178" t="s">
        <v>339</v>
      </c>
      <c r="J27" s="131">
        <f>IFERROR(INDEX(#REF!,(MATCH('Old Calc Tab'!C:C,#REF!,0))),0)</f>
        <v>0</v>
      </c>
      <c r="K27" s="131">
        <f>IFERROR(INDEX(#REF!,(MATCH('Old Calc Tab'!$C:$C,#REF!,0))),0)</f>
        <v>0</v>
      </c>
      <c r="L27" s="131"/>
      <c r="M27" s="131">
        <v>4591777.2120000003</v>
      </c>
      <c r="N27" s="131">
        <f>IFERROR(INDEX(#REF!,(MATCH('Old Calc Tab'!$C:$C,#REF!,0))),0)</f>
        <v>0</v>
      </c>
      <c r="O27" s="131">
        <f t="shared" si="0"/>
        <v>0</v>
      </c>
      <c r="P27" s="131">
        <f t="shared" si="1"/>
        <v>4591777.2120000003</v>
      </c>
      <c r="Q27" s="131"/>
      <c r="R27" s="131"/>
      <c r="S27" s="131"/>
      <c r="T27" s="131"/>
      <c r="U27" s="131"/>
      <c r="V27" s="131">
        <v>0</v>
      </c>
      <c r="W27" s="180">
        <v>0</v>
      </c>
      <c r="X27" s="180">
        <f t="shared" si="2"/>
        <v>4591777.2120000003</v>
      </c>
      <c r="Y27" s="181">
        <f>IF(D27="Physician Group Practice",(X27/$AE$369)*'1. UC Assumptions'!$C$15,IF(OR(E27="Rural Hospital",E27="Hosp - State"),X27,(X27/$X$369)*'1. UC Assumptions'!$C$9))</f>
        <v>2763620.9316443936</v>
      </c>
      <c r="Z27" s="181">
        <f t="shared" si="3"/>
        <v>0</v>
      </c>
      <c r="AA27" s="181">
        <f t="shared" si="4"/>
        <v>1828156.2803556067</v>
      </c>
      <c r="AB27" s="182">
        <f t="shared" si="5"/>
        <v>981.77685897352114</v>
      </c>
      <c r="AC27" s="181">
        <f t="shared" si="6"/>
        <v>1829138.0572145802</v>
      </c>
      <c r="AD27" s="181">
        <f t="shared" si="7"/>
        <v>2764602.7085033669</v>
      </c>
      <c r="AE27" s="131">
        <v>1508470.75</v>
      </c>
      <c r="AF27" s="131">
        <f>AE27*'1. UC Assumptions'!$C$23</f>
        <v>497795.34749999992</v>
      </c>
      <c r="AG27" s="183">
        <f>IF((((X27-W27-AE27)*'1. UC Assumptions'!$C$23)+AF27)&gt;0,((X27-W27-AE27)*'1. UC Assumptions'!$C$23)+AF27,0)</f>
        <v>1515286.4799599999</v>
      </c>
      <c r="AH27" s="183">
        <f>IF(((X27-W27-AE27)*'1. UC Assumptions'!$C$23)&gt;0,(X27-W27-AE27)*'1. UC Assumptions'!$C$23,0)</f>
        <v>1017491.13246</v>
      </c>
      <c r="AI27" s="183">
        <f t="shared" si="8"/>
        <v>1515286.4799599999</v>
      </c>
      <c r="AJ27" s="183">
        <f>IF(H27="Bexar",(AD27/$AJ$1)*'1. UC Assumptions'!$E$42,0)</f>
        <v>0</v>
      </c>
      <c r="AK27" s="183">
        <f>IF(H27="Dallas",(AD27/$AK$1)*'1. UC Assumptions'!$F$42,0)</f>
        <v>0</v>
      </c>
      <c r="AL27" s="183">
        <f>IF(H27="El Paso",(AD27/$AL$1)*'1. UC Assumptions'!$G$42,0)</f>
        <v>0</v>
      </c>
      <c r="AM27" s="183">
        <f>IF(H27="Harris",(AD27/$AM$1)*'1. UC Assumptions'!$H$42,0)</f>
        <v>0</v>
      </c>
      <c r="AN27" s="183">
        <f>IF(H27="Hidalgo",(AD27/$AN$1)*'1. UC Assumptions'!$I$42,0)</f>
        <v>0</v>
      </c>
      <c r="AO27" s="183">
        <f>IF(H27="Jefferson",(AD27/$AO$1)*'1. UC Assumptions'!$J$42,0)</f>
        <v>0</v>
      </c>
      <c r="AP27" s="183">
        <f>IF(H27="Lubbock",(AD27/$AP$1)*'1. UC Assumptions'!$K$42,0)</f>
        <v>0</v>
      </c>
      <c r="AQ27" s="183">
        <f>IF(H27="MRSA Central",(AD27/$AQ$1)*'1. UC Assumptions'!$L$42,0)</f>
        <v>0</v>
      </c>
      <c r="AR27" s="183">
        <f>IF(H27="MRSA Northeast",(AD27/$AR$1)*'1. UC Assumptions'!$M$42,0)</f>
        <v>0</v>
      </c>
      <c r="AS27" s="183">
        <f>IF(H27="MRSA West",(AD27/$AS$1)*'1. UC Assumptions'!$N$42,0)</f>
        <v>0</v>
      </c>
      <c r="AT27" s="183">
        <f>IF(H27="Nueces",(AD27/$AT$1)*'1. UC Assumptions'!$O$42,0)</f>
        <v>0</v>
      </c>
      <c r="AU27" s="183">
        <f>IF(H27="Tarrant",(AD27/$AU$1)*'1. UC Assumptions'!$P$42,0)</f>
        <v>0</v>
      </c>
      <c r="AV27" s="183">
        <f>IF(H27="Travis",(AD27/$AV$1)*'1. UC Assumptions'!$Q$42,0)</f>
        <v>0</v>
      </c>
      <c r="AW27" s="183">
        <f>IF(H27="Bexar",(AC27/$AW$1)*'1. UC Assumptions'!$E$44,0)</f>
        <v>0</v>
      </c>
      <c r="AX27" s="183">
        <f>IF(H27="Dallas",(AC27/$AX$1)*'1. UC Assumptions'!$F$44,0)</f>
        <v>0</v>
      </c>
      <c r="AY27" s="183">
        <f>IF(H27="El Paso",(AC27/$AY$1)*'1. UC Assumptions'!$G$44,0)</f>
        <v>0</v>
      </c>
      <c r="AZ27" s="183">
        <f>IF(H27="Harris",(AC27/$AZ$1)*'1. UC Assumptions'!$H$44,0)</f>
        <v>0</v>
      </c>
      <c r="BA27" s="183">
        <f>IF(H27="Hidalgo",(AC27/$BA$1)*'1. UC Assumptions'!$I$44,0)</f>
        <v>0</v>
      </c>
      <c r="BB27" s="183">
        <f>IF(H27="Jefferson",(AC27/$BB$1)*'1. UC Assumptions'!$J$44,0)</f>
        <v>0</v>
      </c>
      <c r="BC27" s="183">
        <f>IF(H27="Lubbock",(AC27/$BC$1)*'1. UC Assumptions'!$K$44,0)</f>
        <v>0</v>
      </c>
      <c r="BD27" s="183">
        <f>IF(H27="MRSA Central",(AC27/$BD$1)*'1. UC Assumptions'!$L$44,0)</f>
        <v>0</v>
      </c>
      <c r="BE27" s="183">
        <f>IF(H27="MRSA Northeast",(AC27/$BE$1)*'1. UC Assumptions'!$M$44,0)</f>
        <v>0</v>
      </c>
      <c r="BF27" s="183">
        <f>IF(H27="MRSA West",(AC27/$BF$1)*'1. UC Assumptions'!$N$44,0)</f>
        <v>0</v>
      </c>
      <c r="BG27" s="183">
        <f>IF(H27="Nueces",(AC27/$BG$1)*'1. UC Assumptions'!$O$44,0)</f>
        <v>0</v>
      </c>
      <c r="BH27" s="183">
        <f>IF(H27="Tarrant",(AC27/$BH$1)*'1. UC Assumptions'!$P$44,0)</f>
        <v>0</v>
      </c>
      <c r="BI27" s="183">
        <f>IF(H27="Travis",(AC27/$BI$1)*'1. UC Assumptions'!$Q$44,0)</f>
        <v>0</v>
      </c>
      <c r="BJ27" s="183">
        <f t="shared" si="9"/>
        <v>0</v>
      </c>
      <c r="BK27" s="183">
        <f t="shared" si="10"/>
        <v>0</v>
      </c>
      <c r="BL27" s="183">
        <f t="shared" si="11"/>
        <v>2764602.7085033669</v>
      </c>
      <c r="BM27" s="184">
        <f t="shared" si="12"/>
        <v>1256131.9585033669</v>
      </c>
      <c r="BN27" s="184">
        <f>ROUNDDOWN(BM27*'1. UC Assumptions'!$C$23,2)</f>
        <v>414523.54</v>
      </c>
      <c r="BO27" s="184"/>
      <c r="BP27" s="185"/>
      <c r="BQ27" s="32"/>
      <c r="BR27" s="32"/>
    </row>
    <row r="28" spans="1:70">
      <c r="A28" s="177" t="s">
        <v>1257</v>
      </c>
      <c r="B28" s="178" t="s">
        <v>378</v>
      </c>
      <c r="C28" s="178" t="s">
        <v>378</v>
      </c>
      <c r="D28" s="179" t="s">
        <v>214</v>
      </c>
      <c r="E28" s="179"/>
      <c r="F28" s="177"/>
      <c r="G28" s="177" t="s">
        <v>1258</v>
      </c>
      <c r="H28" s="178" t="s">
        <v>4</v>
      </c>
      <c r="I28" s="178" t="s">
        <v>260</v>
      </c>
      <c r="J28" s="131">
        <f>IFERROR(INDEX(#REF!,(MATCH('Old Calc Tab'!C:C,#REF!,0))),0)</f>
        <v>0</v>
      </c>
      <c r="K28" s="131">
        <f>IFERROR(INDEX(#REF!,(MATCH('Old Calc Tab'!$C:$C,#REF!,0))),0)</f>
        <v>0</v>
      </c>
      <c r="L28" s="131"/>
      <c r="M28" s="131">
        <v>0</v>
      </c>
      <c r="N28" s="131">
        <f>IFERROR(INDEX(#REF!,(MATCH('Old Calc Tab'!$C:$C,#REF!,0))),0)</f>
        <v>0</v>
      </c>
      <c r="O28" s="131">
        <f t="shared" si="0"/>
        <v>0</v>
      </c>
      <c r="P28" s="131">
        <f t="shared" si="1"/>
        <v>0</v>
      </c>
      <c r="Q28" s="131"/>
      <c r="R28" s="131"/>
      <c r="S28" s="131"/>
      <c r="T28" s="131"/>
      <c r="U28" s="131"/>
      <c r="V28" s="131">
        <v>0</v>
      </c>
      <c r="W28" s="180">
        <v>0</v>
      </c>
      <c r="X28" s="180">
        <f t="shared" si="2"/>
        <v>0</v>
      </c>
      <c r="Y28" s="181">
        <f>IF(D28="Physician Group Practice",(X28/$AE$369)*'1. UC Assumptions'!$C$15,IF(OR(E28="Rural Hospital",E28="Hosp - State"),X28,(X28/$X$369)*'1. UC Assumptions'!$C$9))</f>
        <v>0</v>
      </c>
      <c r="Z28" s="181">
        <f t="shared" si="3"/>
        <v>0</v>
      </c>
      <c r="AA28" s="181">
        <f t="shared" si="4"/>
        <v>0</v>
      </c>
      <c r="AB28" s="182">
        <f t="shared" si="5"/>
        <v>0</v>
      </c>
      <c r="AC28" s="181">
        <f t="shared" si="6"/>
        <v>0</v>
      </c>
      <c r="AD28" s="181">
        <f t="shared" si="7"/>
        <v>0</v>
      </c>
      <c r="AE28" s="131">
        <v>79313.100000000006</v>
      </c>
      <c r="AF28" s="131">
        <f>AE28*'1. UC Assumptions'!$C$23</f>
        <v>26173.323</v>
      </c>
      <c r="AG28" s="183">
        <f>IF((((X28-W28-AE28)*'1. UC Assumptions'!$C$23)+AF28)&gt;0,((X28-W28-AE28)*'1. UC Assumptions'!$C$23)+AF28,0)</f>
        <v>0</v>
      </c>
      <c r="AH28" s="183">
        <f>IF(((X28-W28-AE28)*'1. UC Assumptions'!$C$23)&gt;0,(X28-W28-AE28)*'1. UC Assumptions'!$C$23,0)</f>
        <v>0</v>
      </c>
      <c r="AI28" s="183">
        <f t="shared" si="8"/>
        <v>26173.323</v>
      </c>
      <c r="AJ28" s="183">
        <f>IF(H28="Bexar",(AD28/$AJ$1)*'1. UC Assumptions'!$E$42,0)</f>
        <v>0</v>
      </c>
      <c r="AK28" s="183">
        <f>IF(H28="Dallas",(AD28/$AK$1)*'1. UC Assumptions'!$F$42,0)</f>
        <v>0</v>
      </c>
      <c r="AL28" s="183">
        <f>IF(H28="El Paso",(AD28/$AL$1)*'1. UC Assumptions'!$G$42,0)</f>
        <v>0</v>
      </c>
      <c r="AM28" s="183">
        <f>IF(H28="Harris",(AD28/$AM$1)*'1. UC Assumptions'!$H$42,0)</f>
        <v>0</v>
      </c>
      <c r="AN28" s="183">
        <f>IF(H28="Hidalgo",(AD28/$AN$1)*'1. UC Assumptions'!$I$42,0)</f>
        <v>0</v>
      </c>
      <c r="AO28" s="183">
        <f>IF(H28="Jefferson",(AD28/$AO$1)*'1. UC Assumptions'!$J$42,0)</f>
        <v>0</v>
      </c>
      <c r="AP28" s="183">
        <f>IF(H28="Lubbock",(AD28/$AP$1)*'1. UC Assumptions'!$K$42,0)</f>
        <v>0</v>
      </c>
      <c r="AQ28" s="183">
        <f>IF(H28="MRSA Central",(AD28/$AQ$1)*'1. UC Assumptions'!$L$42,0)</f>
        <v>0</v>
      </c>
      <c r="AR28" s="183">
        <f>IF(H28="MRSA Northeast",(AD28/$AR$1)*'1. UC Assumptions'!$M$42,0)</f>
        <v>0</v>
      </c>
      <c r="AS28" s="183">
        <f>IF(H28="MRSA West",(AD28/$AS$1)*'1. UC Assumptions'!$N$42,0)</f>
        <v>0</v>
      </c>
      <c r="AT28" s="183">
        <f>IF(H28="Nueces",(AD28/$AT$1)*'1. UC Assumptions'!$O$42,0)</f>
        <v>0</v>
      </c>
      <c r="AU28" s="183">
        <f>IF(H28="Tarrant",(AD28/$AU$1)*'1. UC Assumptions'!$P$42,0)</f>
        <v>0</v>
      </c>
      <c r="AV28" s="183">
        <f>IF(H28="Travis",(AD28/$AV$1)*'1. UC Assumptions'!$Q$42,0)</f>
        <v>0</v>
      </c>
      <c r="AW28" s="183">
        <f>IF(H28="Bexar",(AC28/$AW$1)*'1. UC Assumptions'!$E$44,0)</f>
        <v>0</v>
      </c>
      <c r="AX28" s="183">
        <f>IF(H28="Dallas",(AC28/$AX$1)*'1. UC Assumptions'!$F$44,0)</f>
        <v>0</v>
      </c>
      <c r="AY28" s="183">
        <f>IF(H28="El Paso",(AC28/$AY$1)*'1. UC Assumptions'!$G$44,0)</f>
        <v>0</v>
      </c>
      <c r="AZ28" s="183">
        <f>IF(H28="Harris",(AC28/$AZ$1)*'1. UC Assumptions'!$H$44,0)</f>
        <v>0</v>
      </c>
      <c r="BA28" s="183">
        <f>IF(H28="Hidalgo",(AC28/$BA$1)*'1. UC Assumptions'!$I$44,0)</f>
        <v>0</v>
      </c>
      <c r="BB28" s="183">
        <f>IF(H28="Jefferson",(AC28/$BB$1)*'1. UC Assumptions'!$J$44,0)</f>
        <v>0</v>
      </c>
      <c r="BC28" s="183">
        <f>IF(H28="Lubbock",(AC28/$BC$1)*'1. UC Assumptions'!$K$44,0)</f>
        <v>0</v>
      </c>
      <c r="BD28" s="183">
        <f>IF(H28="MRSA Central",(AC28/$BD$1)*'1. UC Assumptions'!$L$44,0)</f>
        <v>0</v>
      </c>
      <c r="BE28" s="183">
        <f>IF(H28="MRSA Northeast",(AC28/$BE$1)*'1. UC Assumptions'!$M$44,0)</f>
        <v>0</v>
      </c>
      <c r="BF28" s="183">
        <f>IF(H28="MRSA West",(AC28/$BF$1)*'1. UC Assumptions'!$N$44,0)</f>
        <v>0</v>
      </c>
      <c r="BG28" s="183">
        <f>IF(H28="Nueces",(AC28/$BG$1)*'1. UC Assumptions'!$O$44,0)</f>
        <v>0</v>
      </c>
      <c r="BH28" s="183">
        <f>IF(H28="Tarrant",(AC28/$BH$1)*'1. UC Assumptions'!$P$44,0)</f>
        <v>0</v>
      </c>
      <c r="BI28" s="183">
        <f>IF(H28="Travis",(AC28/$BI$1)*'1. UC Assumptions'!$Q$44,0)</f>
        <v>0</v>
      </c>
      <c r="BJ28" s="183">
        <f t="shared" si="9"/>
        <v>0</v>
      </c>
      <c r="BK28" s="183">
        <f t="shared" si="10"/>
        <v>0</v>
      </c>
      <c r="BL28" s="183">
        <f t="shared" si="11"/>
        <v>0</v>
      </c>
      <c r="BM28" s="184">
        <f t="shared" si="12"/>
        <v>-79313.100000000006</v>
      </c>
      <c r="BN28" s="184">
        <f>ROUNDDOWN(BM28*'1. UC Assumptions'!$C$23,2)</f>
        <v>-26173.32</v>
      </c>
      <c r="BO28" s="184"/>
      <c r="BP28" s="185"/>
      <c r="BQ28" s="32"/>
      <c r="BR28" s="32"/>
    </row>
    <row r="29" spans="1:70">
      <c r="A29" s="177" t="s">
        <v>1259</v>
      </c>
      <c r="B29" s="178" t="s">
        <v>439</v>
      </c>
      <c r="C29" s="178" t="s">
        <v>439</v>
      </c>
      <c r="D29" s="179" t="s">
        <v>214</v>
      </c>
      <c r="E29" s="179"/>
      <c r="F29" s="177"/>
      <c r="G29" s="177" t="s">
        <v>440</v>
      </c>
      <c r="H29" s="178" t="s">
        <v>4</v>
      </c>
      <c r="I29" s="178" t="s">
        <v>260</v>
      </c>
      <c r="J29" s="131">
        <f>IFERROR(INDEX(#REF!,(MATCH('Old Calc Tab'!C:C,#REF!,0))),0)</f>
        <v>0</v>
      </c>
      <c r="K29" s="131">
        <f>IFERROR(INDEX(#REF!,(MATCH('Old Calc Tab'!$C:$C,#REF!,0))),0)</f>
        <v>0</v>
      </c>
      <c r="L29" s="131"/>
      <c r="M29" s="131">
        <v>12292491.919944489</v>
      </c>
      <c r="N29" s="131">
        <f>IFERROR(INDEX(#REF!,(MATCH('Old Calc Tab'!$C:$C,#REF!,0))),0)</f>
        <v>0</v>
      </c>
      <c r="O29" s="131">
        <f t="shared" si="0"/>
        <v>0</v>
      </c>
      <c r="P29" s="131">
        <f t="shared" si="1"/>
        <v>12292491.919944489</v>
      </c>
      <c r="Q29" s="131"/>
      <c r="R29" s="131"/>
      <c r="S29" s="131"/>
      <c r="T29" s="131"/>
      <c r="U29" s="131"/>
      <c r="V29" s="131">
        <v>0</v>
      </c>
      <c r="W29" s="180">
        <v>0</v>
      </c>
      <c r="X29" s="180">
        <f t="shared" si="2"/>
        <v>12292491.919944489</v>
      </c>
      <c r="Y29" s="181">
        <f>IF(D29="Physician Group Practice",(X29/$AE$369)*'1. UC Assumptions'!$C$15,IF(OR(E29="Rural Hospital",E29="Hosp - State"),X29,(X29/$X$369)*'1. UC Assumptions'!$C$9))</f>
        <v>7398396.3950270526</v>
      </c>
      <c r="Z29" s="181">
        <f t="shared" si="3"/>
        <v>0</v>
      </c>
      <c r="AA29" s="181">
        <f t="shared" si="4"/>
        <v>4894095.5249174368</v>
      </c>
      <c r="AB29" s="182">
        <f t="shared" si="5"/>
        <v>2628.2817194573613</v>
      </c>
      <c r="AC29" s="181">
        <f t="shared" si="6"/>
        <v>4896723.8066368941</v>
      </c>
      <c r="AD29" s="181">
        <f t="shared" si="7"/>
        <v>7401024.67674651</v>
      </c>
      <c r="AE29" s="131">
        <v>4006645.07</v>
      </c>
      <c r="AF29" s="131">
        <f>AE29*'1. UC Assumptions'!$C$23</f>
        <v>1322192.8730999997</v>
      </c>
      <c r="AG29" s="183">
        <f>IF((((X29-W29-AE29)*'1. UC Assumptions'!$C$23)+AF29)&gt;0,((X29-W29-AE29)*'1. UC Assumptions'!$C$23)+AF29,0)</f>
        <v>4056522.3335816804</v>
      </c>
      <c r="AH29" s="183">
        <f>IF(((X29-W29-AE29)*'1. UC Assumptions'!$C$23)&gt;0,(X29-W29-AE29)*'1. UC Assumptions'!$C$23,0)</f>
        <v>2734329.4604816809</v>
      </c>
      <c r="AI29" s="183">
        <f t="shared" si="8"/>
        <v>4056522.3335816804</v>
      </c>
      <c r="AJ29" s="183">
        <f>IF(H29="Bexar",(AD29/$AJ$1)*'1. UC Assumptions'!$E$42,0)</f>
        <v>0</v>
      </c>
      <c r="AK29" s="183">
        <f>IF(H29="Dallas",(AD29/$AK$1)*'1. UC Assumptions'!$F$42,0)</f>
        <v>0</v>
      </c>
      <c r="AL29" s="183">
        <f>IF(H29="El Paso",(AD29/$AL$1)*'1. UC Assumptions'!$G$42,0)</f>
        <v>0</v>
      </c>
      <c r="AM29" s="183">
        <f>IF(H29="Harris",(AD29/$AM$1)*'1. UC Assumptions'!$H$42,0)</f>
        <v>0</v>
      </c>
      <c r="AN29" s="183">
        <f>IF(H29="Hidalgo",(AD29/$AN$1)*'1. UC Assumptions'!$I$42,0)</f>
        <v>0</v>
      </c>
      <c r="AO29" s="183">
        <f>IF(H29="Jefferson",(AD29/$AO$1)*'1. UC Assumptions'!$J$42,0)</f>
        <v>0</v>
      </c>
      <c r="AP29" s="183">
        <f>IF(H29="Lubbock",(AD29/$AP$1)*'1. UC Assumptions'!$K$42,0)</f>
        <v>0</v>
      </c>
      <c r="AQ29" s="183">
        <f>IF(H29="MRSA Central",(AD29/$AQ$1)*'1. UC Assumptions'!$L$42,0)</f>
        <v>0</v>
      </c>
      <c r="AR29" s="183">
        <f>IF(H29="MRSA Northeast",(AD29/$AR$1)*'1. UC Assumptions'!$M$42,0)</f>
        <v>0</v>
      </c>
      <c r="AS29" s="183">
        <f>IF(H29="MRSA West",(AD29/$AS$1)*'1. UC Assumptions'!$N$42,0)</f>
        <v>0</v>
      </c>
      <c r="AT29" s="183">
        <f>IF(H29="Nueces",(AD29/$AT$1)*'1. UC Assumptions'!$O$42,0)</f>
        <v>0</v>
      </c>
      <c r="AU29" s="183">
        <f>IF(H29="Tarrant",(AD29/$AU$1)*'1. UC Assumptions'!$P$42,0)</f>
        <v>0</v>
      </c>
      <c r="AV29" s="183">
        <f>IF(H29="Travis",(AD29/$AV$1)*'1. UC Assumptions'!$Q$42,0)</f>
        <v>0</v>
      </c>
      <c r="AW29" s="183">
        <f>IF(H29="Bexar",(AC29/$AW$1)*'1. UC Assumptions'!$E$44,0)</f>
        <v>0</v>
      </c>
      <c r="AX29" s="183">
        <f>IF(H29="Dallas",(AC29/$AX$1)*'1. UC Assumptions'!$F$44,0)</f>
        <v>0</v>
      </c>
      <c r="AY29" s="183">
        <f>IF(H29="El Paso",(AC29/$AY$1)*'1. UC Assumptions'!$G$44,0)</f>
        <v>0</v>
      </c>
      <c r="AZ29" s="183">
        <f>IF(H29="Harris",(AC29/$AZ$1)*'1. UC Assumptions'!$H$44,0)</f>
        <v>0</v>
      </c>
      <c r="BA29" s="183">
        <f>IF(H29="Hidalgo",(AC29/$BA$1)*'1. UC Assumptions'!$I$44,0)</f>
        <v>0</v>
      </c>
      <c r="BB29" s="183">
        <f>IF(H29="Jefferson",(AC29/$BB$1)*'1. UC Assumptions'!$J$44,0)</f>
        <v>0</v>
      </c>
      <c r="BC29" s="183">
        <f>IF(H29="Lubbock",(AC29/$BC$1)*'1. UC Assumptions'!$K$44,0)</f>
        <v>0</v>
      </c>
      <c r="BD29" s="183">
        <f>IF(H29="MRSA Central",(AC29/$BD$1)*'1. UC Assumptions'!$L$44,0)</f>
        <v>0</v>
      </c>
      <c r="BE29" s="183">
        <f>IF(H29="MRSA Northeast",(AC29/$BE$1)*'1. UC Assumptions'!$M$44,0)</f>
        <v>0</v>
      </c>
      <c r="BF29" s="183">
        <f>IF(H29="MRSA West",(AC29/$BF$1)*'1. UC Assumptions'!$N$44,0)</f>
        <v>0</v>
      </c>
      <c r="BG29" s="183">
        <f>IF(H29="Nueces",(AC29/$BG$1)*'1. UC Assumptions'!$O$44,0)</f>
        <v>0</v>
      </c>
      <c r="BH29" s="183">
        <f>IF(H29="Tarrant",(AC29/$BH$1)*'1. UC Assumptions'!$P$44,0)</f>
        <v>0</v>
      </c>
      <c r="BI29" s="183">
        <f>IF(H29="Travis",(AC29/$BI$1)*'1. UC Assumptions'!$Q$44,0)</f>
        <v>0</v>
      </c>
      <c r="BJ29" s="183">
        <f t="shared" si="9"/>
        <v>0</v>
      </c>
      <c r="BK29" s="183">
        <f t="shared" si="10"/>
        <v>0</v>
      </c>
      <c r="BL29" s="183">
        <f t="shared" si="11"/>
        <v>7401024.67674651</v>
      </c>
      <c r="BM29" s="184">
        <f t="shared" si="12"/>
        <v>3394379.6067465101</v>
      </c>
      <c r="BN29" s="184">
        <f>ROUNDDOWN(BM29*'1. UC Assumptions'!$C$23,2)</f>
        <v>1120145.27</v>
      </c>
      <c r="BO29" s="184"/>
      <c r="BP29" s="185"/>
      <c r="BQ29" s="32"/>
      <c r="BR29" s="32"/>
    </row>
    <row r="30" spans="1:70">
      <c r="A30" s="177" t="s">
        <v>1260</v>
      </c>
      <c r="B30" s="178" t="s">
        <v>441</v>
      </c>
      <c r="C30" s="178" t="s">
        <v>441</v>
      </c>
      <c r="D30" s="179" t="s">
        <v>214</v>
      </c>
      <c r="E30" s="179" t="s">
        <v>149</v>
      </c>
      <c r="F30" s="177"/>
      <c r="G30" s="177" t="s">
        <v>442</v>
      </c>
      <c r="H30" s="178" t="s">
        <v>4</v>
      </c>
      <c r="I30" s="178" t="s">
        <v>443</v>
      </c>
      <c r="J30" s="131">
        <f>IFERROR(INDEX(#REF!,(MATCH('Old Calc Tab'!C:C,#REF!,0))),0)</f>
        <v>0</v>
      </c>
      <c r="K30" s="131">
        <f>IFERROR(INDEX(#REF!,(MATCH('Old Calc Tab'!$C:$C,#REF!,0))),0)</f>
        <v>0</v>
      </c>
      <c r="L30" s="131"/>
      <c r="M30" s="131">
        <v>430391.05</v>
      </c>
      <c r="N30" s="131">
        <f>IFERROR(INDEX(#REF!,(MATCH('Old Calc Tab'!$C:$C,#REF!,0))),0)</f>
        <v>0</v>
      </c>
      <c r="O30" s="131">
        <f t="shared" si="0"/>
        <v>0</v>
      </c>
      <c r="P30" s="131">
        <f t="shared" si="1"/>
        <v>430391.05</v>
      </c>
      <c r="Q30" s="131"/>
      <c r="R30" s="131"/>
      <c r="S30" s="131"/>
      <c r="T30" s="131"/>
      <c r="U30" s="131"/>
      <c r="V30" s="131">
        <v>305965</v>
      </c>
      <c r="W30" s="180">
        <v>0</v>
      </c>
      <c r="X30" s="180">
        <f t="shared" si="2"/>
        <v>736356.05</v>
      </c>
      <c r="Y30" s="181">
        <f>IF(D30="Physician Group Practice",(X30/$AE$369)*'1. UC Assumptions'!$C$15,IF(OR(E30="Rural Hospital",E30="Hosp - State"),X30,(X30/$X$369)*'1. UC Assumptions'!$C$9))</f>
        <v>736356.05</v>
      </c>
      <c r="Z30" s="181">
        <f t="shared" si="3"/>
        <v>0</v>
      </c>
      <c r="AA30" s="181">
        <f t="shared" si="4"/>
        <v>0</v>
      </c>
      <c r="AB30" s="182">
        <f t="shared" si="5"/>
        <v>0</v>
      </c>
      <c r="AC30" s="181">
        <f t="shared" si="6"/>
        <v>0</v>
      </c>
      <c r="AD30" s="181">
        <f t="shared" si="7"/>
        <v>736356.05</v>
      </c>
      <c r="AE30" s="131">
        <v>1222210.3599999999</v>
      </c>
      <c r="AF30" s="131">
        <f>AE30*'1. UC Assumptions'!$C$23</f>
        <v>403329.41879999993</v>
      </c>
      <c r="AG30" s="183">
        <f>IF((((X30-W30-AE30)*'1. UC Assumptions'!$C$23)+AF30)&gt;0,((X30-W30-AE30)*'1. UC Assumptions'!$C$23)+AF30,0)</f>
        <v>242997.49650000001</v>
      </c>
      <c r="AH30" s="183">
        <f>IF(((X30-W30-AE30)*'1. UC Assumptions'!$C$23)&gt;0,(X30-W30-AE30)*'1. UC Assumptions'!$C$23,0)</f>
        <v>0</v>
      </c>
      <c r="AI30" s="183">
        <f t="shared" si="8"/>
        <v>403329.41879999993</v>
      </c>
      <c r="AJ30" s="183">
        <f>IF(H30="Bexar",(AD30/$AJ$1)*'1. UC Assumptions'!$E$42,0)</f>
        <v>0</v>
      </c>
      <c r="AK30" s="183">
        <f>IF(H30="Dallas",(AD30/$AK$1)*'1. UC Assumptions'!$F$42,0)</f>
        <v>0</v>
      </c>
      <c r="AL30" s="183">
        <f>IF(H30="El Paso",(AD30/$AL$1)*'1. UC Assumptions'!$G$42,0)</f>
        <v>0</v>
      </c>
      <c r="AM30" s="183">
        <f>IF(H30="Harris",(AD30/$AM$1)*'1. UC Assumptions'!$H$42,0)</f>
        <v>0</v>
      </c>
      <c r="AN30" s="183">
        <f>IF(H30="Hidalgo",(AD30/$AN$1)*'1. UC Assumptions'!$I$42,0)</f>
        <v>0</v>
      </c>
      <c r="AO30" s="183">
        <f>IF(H30="Jefferson",(AD30/$AO$1)*'1. UC Assumptions'!$J$42,0)</f>
        <v>0</v>
      </c>
      <c r="AP30" s="183">
        <f>IF(H30="Lubbock",(AD30/$AP$1)*'1. UC Assumptions'!$K$42,0)</f>
        <v>0</v>
      </c>
      <c r="AQ30" s="183">
        <f>IF(H30="MRSA Central",(AD30/$AQ$1)*'1. UC Assumptions'!$L$42,0)</f>
        <v>0</v>
      </c>
      <c r="AR30" s="183">
        <f>IF(H30="MRSA Northeast",(AD30/$AR$1)*'1. UC Assumptions'!$M$42,0)</f>
        <v>0</v>
      </c>
      <c r="AS30" s="183">
        <f>IF(H30="MRSA West",(AD30/$AS$1)*'1. UC Assumptions'!$N$42,0)</f>
        <v>0</v>
      </c>
      <c r="AT30" s="183">
        <f>IF(H30="Nueces",(AD30/$AT$1)*'1. UC Assumptions'!$O$42,0)</f>
        <v>0</v>
      </c>
      <c r="AU30" s="183">
        <f>IF(H30="Tarrant",(AD30/$AU$1)*'1. UC Assumptions'!$P$42,0)</f>
        <v>0</v>
      </c>
      <c r="AV30" s="183">
        <f>IF(H30="Travis",(AD30/$AV$1)*'1. UC Assumptions'!$Q$42,0)</f>
        <v>0</v>
      </c>
      <c r="AW30" s="183">
        <f>IF(H30="Bexar",(AC30/$AW$1)*'1. UC Assumptions'!$E$44,0)</f>
        <v>0</v>
      </c>
      <c r="AX30" s="183">
        <f>IF(H30="Dallas",(AC30/$AX$1)*'1. UC Assumptions'!$F$44,0)</f>
        <v>0</v>
      </c>
      <c r="AY30" s="183">
        <f>IF(H30="El Paso",(AC30/$AY$1)*'1. UC Assumptions'!$G$44,0)</f>
        <v>0</v>
      </c>
      <c r="AZ30" s="183">
        <f>IF(H30="Harris",(AC30/$AZ$1)*'1. UC Assumptions'!$H$44,0)</f>
        <v>0</v>
      </c>
      <c r="BA30" s="183">
        <f>IF(H30="Hidalgo",(AC30/$BA$1)*'1. UC Assumptions'!$I$44,0)</f>
        <v>0</v>
      </c>
      <c r="BB30" s="183">
        <f>IF(H30="Jefferson",(AC30/$BB$1)*'1. UC Assumptions'!$J$44,0)</f>
        <v>0</v>
      </c>
      <c r="BC30" s="183">
        <f>IF(H30="Lubbock",(AC30/$BC$1)*'1. UC Assumptions'!$K$44,0)</f>
        <v>0</v>
      </c>
      <c r="BD30" s="183">
        <f>IF(H30="MRSA Central",(AC30/$BD$1)*'1. UC Assumptions'!$L$44,0)</f>
        <v>0</v>
      </c>
      <c r="BE30" s="183">
        <f>IF(H30="MRSA Northeast",(AC30/$BE$1)*'1. UC Assumptions'!$M$44,0)</f>
        <v>0</v>
      </c>
      <c r="BF30" s="183">
        <f>IF(H30="MRSA West",(AC30/$BF$1)*'1. UC Assumptions'!$N$44,0)</f>
        <v>0</v>
      </c>
      <c r="BG30" s="183">
        <f>IF(H30="Nueces",(AC30/$BG$1)*'1. UC Assumptions'!$O$44,0)</f>
        <v>0</v>
      </c>
      <c r="BH30" s="183">
        <f>IF(H30="Tarrant",(AC30/$BH$1)*'1. UC Assumptions'!$P$44,0)</f>
        <v>0</v>
      </c>
      <c r="BI30" s="183">
        <f>IF(H30="Travis",(AC30/$BI$1)*'1. UC Assumptions'!$Q$44,0)</f>
        <v>0</v>
      </c>
      <c r="BJ30" s="183">
        <f t="shared" si="9"/>
        <v>0</v>
      </c>
      <c r="BK30" s="183">
        <f t="shared" si="10"/>
        <v>0</v>
      </c>
      <c r="BL30" s="183">
        <f t="shared" si="11"/>
        <v>736356.05</v>
      </c>
      <c r="BM30" s="184">
        <f t="shared" si="12"/>
        <v>-485854.30999999982</v>
      </c>
      <c r="BN30" s="184">
        <f>ROUNDDOWN(BM30*'1. UC Assumptions'!$C$23,2)</f>
        <v>-160331.92000000001</v>
      </c>
      <c r="BO30" s="184"/>
      <c r="BP30" s="185"/>
      <c r="BQ30" s="32"/>
      <c r="BR30" s="32"/>
    </row>
    <row r="31" spans="1:70">
      <c r="A31" s="177" t="s">
        <v>1261</v>
      </c>
      <c r="B31" s="177" t="s">
        <v>500</v>
      </c>
      <c r="C31" s="178" t="s">
        <v>500</v>
      </c>
      <c r="D31" s="179" t="s">
        <v>214</v>
      </c>
      <c r="E31" s="179"/>
      <c r="F31" s="177"/>
      <c r="G31" s="177" t="s">
        <v>501</v>
      </c>
      <c r="H31" s="178" t="s">
        <v>4</v>
      </c>
      <c r="I31" s="178" t="s">
        <v>4</v>
      </c>
      <c r="J31" s="131">
        <f>IFERROR(INDEX(#REF!,(MATCH('Old Calc Tab'!C:C,#REF!,0))),0)</f>
        <v>0</v>
      </c>
      <c r="K31" s="131">
        <f>IFERROR(INDEX(#REF!,(MATCH('Old Calc Tab'!$C:$C,#REF!,0))),0)</f>
        <v>0</v>
      </c>
      <c r="L31" s="131"/>
      <c r="M31" s="131">
        <v>21333215.640000001</v>
      </c>
      <c r="N31" s="131">
        <f>IFERROR(INDEX(#REF!,(MATCH('Old Calc Tab'!$C:$C,#REF!,0))),0)</f>
        <v>0</v>
      </c>
      <c r="O31" s="131">
        <f t="shared" si="0"/>
        <v>0</v>
      </c>
      <c r="P31" s="131">
        <f t="shared" si="1"/>
        <v>21333215.640000001</v>
      </c>
      <c r="Q31" s="131"/>
      <c r="R31" s="131"/>
      <c r="S31" s="131"/>
      <c r="T31" s="131"/>
      <c r="U31" s="131"/>
      <c r="V31" s="131">
        <v>0</v>
      </c>
      <c r="W31" s="180">
        <v>0</v>
      </c>
      <c r="X31" s="180">
        <f t="shared" si="2"/>
        <v>21333215.640000001</v>
      </c>
      <c r="Y31" s="181">
        <f>IF(D31="Physician Group Practice",(X31/$AE$369)*'1. UC Assumptions'!$C$15,IF(OR(E31="Rural Hospital",E31="Hosp - State"),X31,(X31/$X$369)*'1. UC Assumptions'!$C$9))</f>
        <v>12839673.738506183</v>
      </c>
      <c r="Z31" s="181">
        <f t="shared" si="3"/>
        <v>0</v>
      </c>
      <c r="AA31" s="181">
        <f t="shared" si="4"/>
        <v>8493541.9014938176</v>
      </c>
      <c r="AB31" s="182">
        <f t="shared" si="5"/>
        <v>4561.2965254735009</v>
      </c>
      <c r="AC31" s="181">
        <f t="shared" si="6"/>
        <v>8498103.1980192903</v>
      </c>
      <c r="AD31" s="181">
        <f t="shared" si="7"/>
        <v>12844235.035031656</v>
      </c>
      <c r="AE31" s="131">
        <v>9745143.1699999999</v>
      </c>
      <c r="AF31" s="131">
        <f>AE31*'1. UC Assumptions'!$C$23</f>
        <v>3215897.2460999996</v>
      </c>
      <c r="AG31" s="183">
        <f>IF((((X31-W31-AE31)*'1. UC Assumptions'!$C$23)+AF31)&gt;0,((X31-W31-AE31)*'1. UC Assumptions'!$C$23)+AF31,0)</f>
        <v>7039961.1612</v>
      </c>
      <c r="AH31" s="183">
        <f>IF(((X31-W31-AE31)*'1. UC Assumptions'!$C$23)&gt;0,(X31-W31-AE31)*'1. UC Assumptions'!$C$23,0)</f>
        <v>3824063.9150999999</v>
      </c>
      <c r="AI31" s="183">
        <f t="shared" si="8"/>
        <v>7039961.1612</v>
      </c>
      <c r="AJ31" s="183">
        <f>IF(H31="Bexar",(AD31/$AJ$1)*'1. UC Assumptions'!$E$42,0)</f>
        <v>0</v>
      </c>
      <c r="AK31" s="183">
        <f>IF(H31="Dallas",(AD31/$AK$1)*'1. UC Assumptions'!$F$42,0)</f>
        <v>0</v>
      </c>
      <c r="AL31" s="183">
        <f>IF(H31="El Paso",(AD31/$AL$1)*'1. UC Assumptions'!$G$42,0)</f>
        <v>0</v>
      </c>
      <c r="AM31" s="183">
        <f>IF(H31="Harris",(AD31/$AM$1)*'1. UC Assumptions'!$H$42,0)</f>
        <v>0</v>
      </c>
      <c r="AN31" s="183">
        <f>IF(H31="Hidalgo",(AD31/$AN$1)*'1. UC Assumptions'!$I$42,0)</f>
        <v>0</v>
      </c>
      <c r="AO31" s="183">
        <f>IF(H31="Jefferson",(AD31/$AO$1)*'1. UC Assumptions'!$J$42,0)</f>
        <v>0</v>
      </c>
      <c r="AP31" s="183">
        <f>IF(H31="Lubbock",(AD31/$AP$1)*'1. UC Assumptions'!$K$42,0)</f>
        <v>0</v>
      </c>
      <c r="AQ31" s="183">
        <f>IF(H31="MRSA Central",(AD31/$AQ$1)*'1. UC Assumptions'!$L$42,0)</f>
        <v>0</v>
      </c>
      <c r="AR31" s="183">
        <f>IF(H31="MRSA Northeast",(AD31/$AR$1)*'1. UC Assumptions'!$M$42,0)</f>
        <v>0</v>
      </c>
      <c r="AS31" s="183">
        <f>IF(H31="MRSA West",(AD31/$AS$1)*'1. UC Assumptions'!$N$42,0)</f>
        <v>0</v>
      </c>
      <c r="AT31" s="183">
        <f>IF(H31="Nueces",(AD31/$AT$1)*'1. UC Assumptions'!$O$42,0)</f>
        <v>0</v>
      </c>
      <c r="AU31" s="183">
        <f>IF(H31="Tarrant",(AD31/$AU$1)*'1. UC Assumptions'!$P$42,0)</f>
        <v>0</v>
      </c>
      <c r="AV31" s="183">
        <f>IF(H31="Travis",(AD31/$AV$1)*'1. UC Assumptions'!$Q$42,0)</f>
        <v>0</v>
      </c>
      <c r="AW31" s="183">
        <f>IF(H31="Bexar",(AC31/$AW$1)*'1. UC Assumptions'!$E$44,0)</f>
        <v>0</v>
      </c>
      <c r="AX31" s="183">
        <f>IF(H31="Dallas",(AC31/$AX$1)*'1. UC Assumptions'!$F$44,0)</f>
        <v>0</v>
      </c>
      <c r="AY31" s="183">
        <f>IF(H31="El Paso",(AC31/$AY$1)*'1. UC Assumptions'!$G$44,0)</f>
        <v>0</v>
      </c>
      <c r="AZ31" s="183">
        <f>IF(H31="Harris",(AC31/$AZ$1)*'1. UC Assumptions'!$H$44,0)</f>
        <v>0</v>
      </c>
      <c r="BA31" s="183">
        <f>IF(H31="Hidalgo",(AC31/$BA$1)*'1. UC Assumptions'!$I$44,0)</f>
        <v>0</v>
      </c>
      <c r="BB31" s="183">
        <f>IF(H31="Jefferson",(AC31/$BB$1)*'1. UC Assumptions'!$J$44,0)</f>
        <v>0</v>
      </c>
      <c r="BC31" s="183">
        <f>IF(H31="Lubbock",(AC31/$BC$1)*'1. UC Assumptions'!$K$44,0)</f>
        <v>0</v>
      </c>
      <c r="BD31" s="183">
        <f>IF(H31="MRSA Central",(AC31/$BD$1)*'1. UC Assumptions'!$L$44,0)</f>
        <v>0</v>
      </c>
      <c r="BE31" s="183">
        <f>IF(H31="MRSA Northeast",(AC31/$BE$1)*'1. UC Assumptions'!$M$44,0)</f>
        <v>0</v>
      </c>
      <c r="BF31" s="183">
        <f>IF(H31="MRSA West",(AC31/$BF$1)*'1. UC Assumptions'!$N$44,0)</f>
        <v>0</v>
      </c>
      <c r="BG31" s="183">
        <f>IF(H31="Nueces",(AC31/$BG$1)*'1. UC Assumptions'!$O$44,0)</f>
        <v>0</v>
      </c>
      <c r="BH31" s="183">
        <f>IF(H31="Tarrant",(AC31/$BH$1)*'1. UC Assumptions'!$P$44,0)</f>
        <v>0</v>
      </c>
      <c r="BI31" s="183">
        <f>IF(H31="Travis",(AC31/$BI$1)*'1. UC Assumptions'!$Q$44,0)</f>
        <v>0</v>
      </c>
      <c r="BJ31" s="183">
        <f t="shared" si="9"/>
        <v>0</v>
      </c>
      <c r="BK31" s="183">
        <f t="shared" si="10"/>
        <v>0</v>
      </c>
      <c r="BL31" s="183">
        <f t="shared" si="11"/>
        <v>12844235.035031656</v>
      </c>
      <c r="BM31" s="184">
        <f t="shared" si="12"/>
        <v>3099091.8650316559</v>
      </c>
      <c r="BN31" s="184">
        <f>ROUNDDOWN(BM31*'1. UC Assumptions'!$C$23,2)</f>
        <v>1022700.31</v>
      </c>
      <c r="BO31" s="184"/>
      <c r="BP31" s="185"/>
      <c r="BQ31" s="32"/>
      <c r="BR31" s="32"/>
    </row>
    <row r="32" spans="1:70">
      <c r="A32" s="177" t="s">
        <v>1262</v>
      </c>
      <c r="B32" s="178" t="s">
        <v>530</v>
      </c>
      <c r="C32" s="178" t="s">
        <v>530</v>
      </c>
      <c r="D32" s="179" t="s">
        <v>214</v>
      </c>
      <c r="E32" s="179"/>
      <c r="F32" s="177"/>
      <c r="G32" s="177" t="s">
        <v>1263</v>
      </c>
      <c r="H32" s="178" t="s">
        <v>4</v>
      </c>
      <c r="I32" s="178" t="s">
        <v>532</v>
      </c>
      <c r="J32" s="131">
        <f>IFERROR(INDEX(#REF!,(MATCH('Old Calc Tab'!C:C,#REF!,0))),0)</f>
        <v>0</v>
      </c>
      <c r="K32" s="131">
        <f>IFERROR(INDEX(#REF!,(MATCH('Old Calc Tab'!$C:$C,#REF!,0))),0)</f>
        <v>0</v>
      </c>
      <c r="L32" s="131"/>
      <c r="M32" s="131">
        <v>25004.399999999998</v>
      </c>
      <c r="N32" s="131">
        <f>IFERROR(INDEX(#REF!,(MATCH('Old Calc Tab'!$C:$C,#REF!,0))),0)</f>
        <v>0</v>
      </c>
      <c r="O32" s="131">
        <f t="shared" si="0"/>
        <v>0</v>
      </c>
      <c r="P32" s="131">
        <f t="shared" si="1"/>
        <v>25004.399999999998</v>
      </c>
      <c r="Q32" s="131"/>
      <c r="R32" s="131"/>
      <c r="S32" s="131"/>
      <c r="T32" s="131"/>
      <c r="U32" s="131"/>
      <c r="V32" s="131">
        <v>0</v>
      </c>
      <c r="W32" s="180">
        <v>0</v>
      </c>
      <c r="X32" s="180">
        <f t="shared" si="2"/>
        <v>25004.399999999998</v>
      </c>
      <c r="Y32" s="181">
        <f>IF(D32="Physician Group Practice",(X32/$AE$369)*'1. UC Assumptions'!$C$15,IF(OR(E32="Rural Hospital",E32="Hosp - State"),X32,(X32/$X$369)*'1. UC Assumptions'!$C$9))</f>
        <v>15049.223869707439</v>
      </c>
      <c r="Z32" s="181">
        <f t="shared" si="3"/>
        <v>0</v>
      </c>
      <c r="AA32" s="181">
        <f t="shared" si="4"/>
        <v>9955.1761302925588</v>
      </c>
      <c r="AB32" s="182">
        <f t="shared" si="5"/>
        <v>5.3462396277333815</v>
      </c>
      <c r="AC32" s="181">
        <f t="shared" si="6"/>
        <v>9960.5223699202925</v>
      </c>
      <c r="AD32" s="181">
        <f t="shared" si="7"/>
        <v>15054.570109335173</v>
      </c>
      <c r="AE32" s="131">
        <v>251549.11</v>
      </c>
      <c r="AF32" s="131">
        <f>AE32*'1. UC Assumptions'!$C$23</f>
        <v>83011.206299999991</v>
      </c>
      <c r="AG32" s="183">
        <f>IF((((X32-W32-AE32)*'1. UC Assumptions'!$C$23)+AF32)&gt;0,((X32-W32-AE32)*'1. UC Assumptions'!$C$23)+AF32,0)</f>
        <v>8251.4520000000048</v>
      </c>
      <c r="AH32" s="183">
        <f>IF(((X32-W32-AE32)*'1. UC Assumptions'!$C$23)&gt;0,(X32-W32-AE32)*'1. UC Assumptions'!$C$23,0)</f>
        <v>0</v>
      </c>
      <c r="AI32" s="183">
        <f t="shared" si="8"/>
        <v>83011.206299999991</v>
      </c>
      <c r="AJ32" s="183">
        <f>IF(H32="Bexar",(AD32/$AJ$1)*'1. UC Assumptions'!$E$42,0)</f>
        <v>0</v>
      </c>
      <c r="AK32" s="183">
        <f>IF(H32="Dallas",(AD32/$AK$1)*'1. UC Assumptions'!$F$42,0)</f>
        <v>0</v>
      </c>
      <c r="AL32" s="183">
        <f>IF(H32="El Paso",(AD32/$AL$1)*'1. UC Assumptions'!$G$42,0)</f>
        <v>0</v>
      </c>
      <c r="AM32" s="183">
        <f>IF(H32="Harris",(AD32/$AM$1)*'1. UC Assumptions'!$H$42,0)</f>
        <v>0</v>
      </c>
      <c r="AN32" s="183">
        <f>IF(H32="Hidalgo",(AD32/$AN$1)*'1. UC Assumptions'!$I$42,0)</f>
        <v>0</v>
      </c>
      <c r="AO32" s="183">
        <f>IF(H32="Jefferson",(AD32/$AO$1)*'1. UC Assumptions'!$J$42,0)</f>
        <v>0</v>
      </c>
      <c r="AP32" s="183">
        <f>IF(H32="Lubbock",(AD32/$AP$1)*'1. UC Assumptions'!$K$42,0)</f>
        <v>0</v>
      </c>
      <c r="AQ32" s="183">
        <f>IF(H32="MRSA Central",(AD32/$AQ$1)*'1. UC Assumptions'!$L$42,0)</f>
        <v>0</v>
      </c>
      <c r="AR32" s="183">
        <f>IF(H32="MRSA Northeast",(AD32/$AR$1)*'1. UC Assumptions'!$M$42,0)</f>
        <v>0</v>
      </c>
      <c r="AS32" s="183">
        <f>IF(H32="MRSA West",(AD32/$AS$1)*'1. UC Assumptions'!$N$42,0)</f>
        <v>0</v>
      </c>
      <c r="AT32" s="183">
        <f>IF(H32="Nueces",(AD32/$AT$1)*'1. UC Assumptions'!$O$42,0)</f>
        <v>0</v>
      </c>
      <c r="AU32" s="183">
        <f>IF(H32="Tarrant",(AD32/$AU$1)*'1. UC Assumptions'!$P$42,0)</f>
        <v>0</v>
      </c>
      <c r="AV32" s="183">
        <f>IF(H32="Travis",(AD32/$AV$1)*'1. UC Assumptions'!$Q$42,0)</f>
        <v>0</v>
      </c>
      <c r="AW32" s="183">
        <f>IF(H32="Bexar",(AC32/$AW$1)*'1. UC Assumptions'!$E$44,0)</f>
        <v>0</v>
      </c>
      <c r="AX32" s="183">
        <f>IF(H32="Dallas",(AC32/$AX$1)*'1. UC Assumptions'!$F$44,0)</f>
        <v>0</v>
      </c>
      <c r="AY32" s="183">
        <f>IF(H32="El Paso",(AC32/$AY$1)*'1. UC Assumptions'!$G$44,0)</f>
        <v>0</v>
      </c>
      <c r="AZ32" s="183">
        <f>IF(H32="Harris",(AC32/$AZ$1)*'1. UC Assumptions'!$H$44,0)</f>
        <v>0</v>
      </c>
      <c r="BA32" s="183">
        <f>IF(H32="Hidalgo",(AC32/$BA$1)*'1. UC Assumptions'!$I$44,0)</f>
        <v>0</v>
      </c>
      <c r="BB32" s="183">
        <f>IF(H32="Jefferson",(AC32/$BB$1)*'1. UC Assumptions'!$J$44,0)</f>
        <v>0</v>
      </c>
      <c r="BC32" s="183">
        <f>IF(H32="Lubbock",(AC32/$BC$1)*'1. UC Assumptions'!$K$44,0)</f>
        <v>0</v>
      </c>
      <c r="BD32" s="183">
        <f>IF(H32="MRSA Central",(AC32/$BD$1)*'1. UC Assumptions'!$L$44,0)</f>
        <v>0</v>
      </c>
      <c r="BE32" s="183">
        <f>IF(H32="MRSA Northeast",(AC32/$BE$1)*'1. UC Assumptions'!$M$44,0)</f>
        <v>0</v>
      </c>
      <c r="BF32" s="183">
        <f>IF(H32="MRSA West",(AC32/$BF$1)*'1. UC Assumptions'!$N$44,0)</f>
        <v>0</v>
      </c>
      <c r="BG32" s="183">
        <f>IF(H32="Nueces",(AC32/$BG$1)*'1. UC Assumptions'!$O$44,0)</f>
        <v>0</v>
      </c>
      <c r="BH32" s="183">
        <f>IF(H32="Tarrant",(AC32/$BH$1)*'1. UC Assumptions'!$P$44,0)</f>
        <v>0</v>
      </c>
      <c r="BI32" s="183">
        <f>IF(H32="Travis",(AC32/$BI$1)*'1. UC Assumptions'!$Q$44,0)</f>
        <v>0</v>
      </c>
      <c r="BJ32" s="183">
        <f t="shared" si="9"/>
        <v>0</v>
      </c>
      <c r="BK32" s="183">
        <f t="shared" si="10"/>
        <v>0</v>
      </c>
      <c r="BL32" s="183">
        <f t="shared" si="11"/>
        <v>15054.570109335173</v>
      </c>
      <c r="BM32" s="184">
        <f t="shared" si="12"/>
        <v>-236494.5398906648</v>
      </c>
      <c r="BN32" s="184">
        <f>ROUNDDOWN(BM32*'1. UC Assumptions'!$C$23,2)</f>
        <v>-78043.19</v>
      </c>
      <c r="BO32" s="184"/>
      <c r="BP32" s="185"/>
      <c r="BQ32" s="32"/>
      <c r="BR32" s="32"/>
    </row>
    <row r="33" spans="1:70">
      <c r="A33" s="177" t="s">
        <v>1264</v>
      </c>
      <c r="B33" s="177" t="s">
        <v>541</v>
      </c>
      <c r="C33" s="178" t="s">
        <v>541</v>
      </c>
      <c r="D33" s="179" t="s">
        <v>214</v>
      </c>
      <c r="E33" s="179"/>
      <c r="F33" s="177"/>
      <c r="G33" s="177" t="s">
        <v>1265</v>
      </c>
      <c r="H33" s="178" t="s">
        <v>4</v>
      </c>
      <c r="I33" s="178" t="s">
        <v>4</v>
      </c>
      <c r="J33" s="131">
        <f>IFERROR(INDEX(#REF!,(MATCH('Old Calc Tab'!C:C,#REF!,0))),0)</f>
        <v>0</v>
      </c>
      <c r="K33" s="131">
        <f>IFERROR(INDEX(#REF!,(MATCH('Old Calc Tab'!$C:$C,#REF!,0))),0)</f>
        <v>0</v>
      </c>
      <c r="L33" s="131"/>
      <c r="M33" s="131">
        <v>29036451.601799998</v>
      </c>
      <c r="N33" s="131">
        <f>IFERROR(INDEX(#REF!,(MATCH('Old Calc Tab'!$C:$C,#REF!,0))),0)</f>
        <v>0</v>
      </c>
      <c r="O33" s="131">
        <f t="shared" si="0"/>
        <v>0</v>
      </c>
      <c r="P33" s="131">
        <f t="shared" si="1"/>
        <v>29036451.601799998</v>
      </c>
      <c r="Q33" s="131"/>
      <c r="R33" s="131"/>
      <c r="S33" s="131"/>
      <c r="T33" s="131"/>
      <c r="U33" s="131"/>
      <c r="V33" s="131">
        <v>205894</v>
      </c>
      <c r="W33" s="180">
        <v>0</v>
      </c>
      <c r="X33" s="180">
        <f t="shared" si="2"/>
        <v>29242345.601799998</v>
      </c>
      <c r="Y33" s="181">
        <f>IF(D33="Physician Group Practice",(X33/$AE$369)*'1. UC Assumptions'!$C$15,IF(OR(E33="Rural Hospital",E33="Hosp - State"),X33,(X33/$X$369)*'1. UC Assumptions'!$C$9))</f>
        <v>17599886.637425527</v>
      </c>
      <c r="Z33" s="181">
        <f t="shared" si="3"/>
        <v>0</v>
      </c>
      <c r="AA33" s="181">
        <f t="shared" si="4"/>
        <v>11642458.964374471</v>
      </c>
      <c r="AB33" s="182">
        <f t="shared" si="5"/>
        <v>6252.3630586704012</v>
      </c>
      <c r="AC33" s="181">
        <f t="shared" si="6"/>
        <v>11648711.327433141</v>
      </c>
      <c r="AD33" s="181">
        <f t="shared" si="7"/>
        <v>17606139.000484198</v>
      </c>
      <c r="AE33" s="131">
        <v>9035991.1899999995</v>
      </c>
      <c r="AF33" s="131">
        <f>AE33*'1. UC Assumptions'!$C$23</f>
        <v>2981877.0926999995</v>
      </c>
      <c r="AG33" s="183">
        <f>IF((((X33-W33-AE33)*'1. UC Assumptions'!$C$23)+AF33)&gt;0,((X33-W33-AE33)*'1. UC Assumptions'!$C$23)+AF33,0)</f>
        <v>9649974.048593998</v>
      </c>
      <c r="AH33" s="183">
        <f>IF(((X33-W33-AE33)*'1. UC Assumptions'!$C$23)&gt;0,(X33-W33-AE33)*'1. UC Assumptions'!$C$23,0)</f>
        <v>6668096.955893998</v>
      </c>
      <c r="AI33" s="183">
        <f t="shared" si="8"/>
        <v>9649974.048593998</v>
      </c>
      <c r="AJ33" s="183">
        <f>IF(H33="Bexar",(AD33/$AJ$1)*'1. UC Assumptions'!$E$42,0)</f>
        <v>0</v>
      </c>
      <c r="AK33" s="183">
        <f>IF(H33="Dallas",(AD33/$AK$1)*'1. UC Assumptions'!$F$42,0)</f>
        <v>0</v>
      </c>
      <c r="AL33" s="183">
        <f>IF(H33="El Paso",(AD33/$AL$1)*'1. UC Assumptions'!$G$42,0)</f>
        <v>0</v>
      </c>
      <c r="AM33" s="183">
        <f>IF(H33="Harris",(AD33/$AM$1)*'1. UC Assumptions'!$H$42,0)</f>
        <v>0</v>
      </c>
      <c r="AN33" s="183">
        <f>IF(H33="Hidalgo",(AD33/$AN$1)*'1. UC Assumptions'!$I$42,0)</f>
        <v>0</v>
      </c>
      <c r="AO33" s="183">
        <f>IF(H33="Jefferson",(AD33/$AO$1)*'1. UC Assumptions'!$J$42,0)</f>
        <v>0</v>
      </c>
      <c r="AP33" s="183">
        <f>IF(H33="Lubbock",(AD33/$AP$1)*'1. UC Assumptions'!$K$42,0)</f>
        <v>0</v>
      </c>
      <c r="AQ33" s="183">
        <f>IF(H33="MRSA Central",(AD33/$AQ$1)*'1. UC Assumptions'!$L$42,0)</f>
        <v>0</v>
      </c>
      <c r="AR33" s="183">
        <f>IF(H33="MRSA Northeast",(AD33/$AR$1)*'1. UC Assumptions'!$M$42,0)</f>
        <v>0</v>
      </c>
      <c r="AS33" s="183">
        <f>IF(H33="MRSA West",(AD33/$AS$1)*'1. UC Assumptions'!$N$42,0)</f>
        <v>0</v>
      </c>
      <c r="AT33" s="183">
        <f>IF(H33="Nueces",(AD33/$AT$1)*'1. UC Assumptions'!$O$42,0)</f>
        <v>0</v>
      </c>
      <c r="AU33" s="183">
        <f>IF(H33="Tarrant",(AD33/$AU$1)*'1. UC Assumptions'!$P$42,0)</f>
        <v>0</v>
      </c>
      <c r="AV33" s="183">
        <f>IF(H33="Travis",(AD33/$AV$1)*'1. UC Assumptions'!$Q$42,0)</f>
        <v>0</v>
      </c>
      <c r="AW33" s="183">
        <f>IF(H33="Bexar",(AC33/$AW$1)*'1. UC Assumptions'!$E$44,0)</f>
        <v>0</v>
      </c>
      <c r="AX33" s="183">
        <f>IF(H33="Dallas",(AC33/$AX$1)*'1. UC Assumptions'!$F$44,0)</f>
        <v>0</v>
      </c>
      <c r="AY33" s="183">
        <f>IF(H33="El Paso",(AC33/$AY$1)*'1. UC Assumptions'!$G$44,0)</f>
        <v>0</v>
      </c>
      <c r="AZ33" s="183">
        <f>IF(H33="Harris",(AC33/$AZ$1)*'1. UC Assumptions'!$H$44,0)</f>
        <v>0</v>
      </c>
      <c r="BA33" s="183">
        <f>IF(H33="Hidalgo",(AC33/$BA$1)*'1. UC Assumptions'!$I$44,0)</f>
        <v>0</v>
      </c>
      <c r="BB33" s="183">
        <f>IF(H33="Jefferson",(AC33/$BB$1)*'1. UC Assumptions'!$J$44,0)</f>
        <v>0</v>
      </c>
      <c r="BC33" s="183">
        <f>IF(H33="Lubbock",(AC33/$BC$1)*'1. UC Assumptions'!$K$44,0)</f>
        <v>0</v>
      </c>
      <c r="BD33" s="183">
        <f>IF(H33="MRSA Central",(AC33/$BD$1)*'1. UC Assumptions'!$L$44,0)</f>
        <v>0</v>
      </c>
      <c r="BE33" s="183">
        <f>IF(H33="MRSA Northeast",(AC33/$BE$1)*'1. UC Assumptions'!$M$44,0)</f>
        <v>0</v>
      </c>
      <c r="BF33" s="183">
        <f>IF(H33="MRSA West",(AC33/$BF$1)*'1. UC Assumptions'!$N$44,0)</f>
        <v>0</v>
      </c>
      <c r="BG33" s="183">
        <f>IF(H33="Nueces",(AC33/$BG$1)*'1. UC Assumptions'!$O$44,0)</f>
        <v>0</v>
      </c>
      <c r="BH33" s="183">
        <f>IF(H33="Tarrant",(AC33/$BH$1)*'1. UC Assumptions'!$P$44,0)</f>
        <v>0</v>
      </c>
      <c r="BI33" s="183">
        <f>IF(H33="Travis",(AC33/$BI$1)*'1. UC Assumptions'!$Q$44,0)</f>
        <v>0</v>
      </c>
      <c r="BJ33" s="183">
        <f t="shared" si="9"/>
        <v>0</v>
      </c>
      <c r="BK33" s="183">
        <f t="shared" si="10"/>
        <v>0</v>
      </c>
      <c r="BL33" s="183">
        <f t="shared" si="11"/>
        <v>17606139.000484198</v>
      </c>
      <c r="BM33" s="184">
        <f t="shared" si="12"/>
        <v>8570147.8104841989</v>
      </c>
      <c r="BN33" s="184">
        <f>ROUNDDOWN(BM33*'1. UC Assumptions'!$C$23,2)</f>
        <v>2828148.77</v>
      </c>
      <c r="BO33" s="184"/>
      <c r="BP33" s="185"/>
      <c r="BQ33" s="32"/>
      <c r="BR33" s="32"/>
    </row>
    <row r="34" spans="1:70">
      <c r="A34" s="177"/>
      <c r="B34" s="177" t="s">
        <v>1113</v>
      </c>
      <c r="C34" s="177" t="s">
        <v>1113</v>
      </c>
      <c r="D34" s="179" t="s">
        <v>36</v>
      </c>
      <c r="E34" s="179" t="s">
        <v>36</v>
      </c>
      <c r="F34" s="177"/>
      <c r="G34" s="177" t="s">
        <v>1266</v>
      </c>
      <c r="H34" s="178" t="s">
        <v>4</v>
      </c>
      <c r="I34" s="178" t="s">
        <v>4</v>
      </c>
      <c r="J34" s="131">
        <f>IFERROR(INDEX(#REF!,(MATCH('Old Calc Tab'!C:C,#REF!,0))),0)</f>
        <v>0</v>
      </c>
      <c r="K34" s="131">
        <f>IFERROR(INDEX(#REF!,(MATCH('Old Calc Tab'!$C:$C,#REF!,0))),0)</f>
        <v>0</v>
      </c>
      <c r="L34" s="131"/>
      <c r="M34" s="131">
        <v>41403644.273344837</v>
      </c>
      <c r="N34" s="131">
        <f>IFERROR(INDEX(#REF!,(MATCH('Old Calc Tab'!$C:$C,#REF!,0))),0)</f>
        <v>0</v>
      </c>
      <c r="O34" s="131">
        <f t="shared" si="0"/>
        <v>0</v>
      </c>
      <c r="P34" s="131">
        <f t="shared" si="1"/>
        <v>41403644.273344837</v>
      </c>
      <c r="Q34" s="131"/>
      <c r="R34" s="131"/>
      <c r="S34" s="131"/>
      <c r="T34" s="131"/>
      <c r="U34" s="131"/>
      <c r="V34" s="180">
        <f>Q34+R34+S34+T34+U34</f>
        <v>0</v>
      </c>
      <c r="W34" s="180">
        <v>0</v>
      </c>
      <c r="X34" s="180">
        <f t="shared" si="2"/>
        <v>41403644.273344837</v>
      </c>
      <c r="Y34" s="181">
        <f>IF(D34="Physician Group Practice",(X34/$AE$369)*'1. UC Assumptions'!$C$15,IF(OR(E34="Rural Hospital",E34="Hosp - State"),X34,(X34/$X$369)*'1. UC Assumptions'!$C$9))</f>
        <v>6376041.9013042524</v>
      </c>
      <c r="Z34" s="181">
        <f t="shared" si="3"/>
        <v>0</v>
      </c>
      <c r="AA34" s="181">
        <f t="shared" si="4"/>
        <v>35027602.372040585</v>
      </c>
      <c r="AB34" s="182">
        <f t="shared" si="5"/>
        <v>18810.913379629765</v>
      </c>
      <c r="AC34" s="181">
        <f t="shared" si="6"/>
        <v>35046413.285420217</v>
      </c>
      <c r="AD34" s="181">
        <f t="shared" si="7"/>
        <v>6394852.8146838825</v>
      </c>
      <c r="AE34" s="131">
        <v>10143835.460000001</v>
      </c>
      <c r="AF34" s="131">
        <f>AE34*'1. UC Assumptions'!$C$23</f>
        <v>3347465.7017999999</v>
      </c>
      <c r="AG34" s="183">
        <f>IF((((X34-W34-AE34)*'1. UC Assumptions'!$C$23)+AF34)&gt;0,((X34-W34-AE34)*'1. UC Assumptions'!$C$23)+AF34,0)</f>
        <v>13663202.610203795</v>
      </c>
      <c r="AH34" s="183">
        <f>IF(((X34-W34-AE34)*'1. UC Assumptions'!$C$23)&gt;0,(X34-W34-AE34)*'1. UC Assumptions'!$C$23,0)</f>
        <v>10315736.908403795</v>
      </c>
      <c r="AI34" s="183">
        <f t="shared" si="8"/>
        <v>13663202.610203795</v>
      </c>
      <c r="AJ34" s="183">
        <f>IF(H34="Bexar",(AD34/$AJ$1)*'1. UC Assumptions'!$E$42,0)</f>
        <v>0</v>
      </c>
      <c r="AK34" s="183">
        <f>IF(H34="Dallas",(AD34/$AK$1)*'1. UC Assumptions'!$F$42,0)</f>
        <v>0</v>
      </c>
      <c r="AL34" s="183">
        <f>IF(H34="El Paso",(AD34/$AL$1)*'1. UC Assumptions'!$G$42,0)</f>
        <v>0</v>
      </c>
      <c r="AM34" s="183">
        <f>IF(H34="Harris",(AD34/$AM$1)*'1. UC Assumptions'!$H$42,0)</f>
        <v>0</v>
      </c>
      <c r="AN34" s="183">
        <f>IF(H34="Hidalgo",(AD34/$AN$1)*'1. UC Assumptions'!$I$42,0)</f>
        <v>0</v>
      </c>
      <c r="AO34" s="183">
        <f>IF(H34="Jefferson",(AD34/$AO$1)*'1. UC Assumptions'!$J$42,0)</f>
        <v>0</v>
      </c>
      <c r="AP34" s="183">
        <f>IF(H34="Lubbock",(AD34/$AP$1)*'1. UC Assumptions'!$K$42,0)</f>
        <v>0</v>
      </c>
      <c r="AQ34" s="183">
        <f>IF(H34="MRSA Central",(AD34/$AQ$1)*'1. UC Assumptions'!$L$42,0)</f>
        <v>0</v>
      </c>
      <c r="AR34" s="183">
        <f>IF(H34="MRSA Northeast",(AD34/$AR$1)*'1. UC Assumptions'!$M$42,0)</f>
        <v>0</v>
      </c>
      <c r="AS34" s="183">
        <f>IF(H34="MRSA West",(AD34/$AS$1)*'1. UC Assumptions'!$N$42,0)</f>
        <v>0</v>
      </c>
      <c r="AT34" s="183">
        <f>IF(H34="Nueces",(AD34/$AT$1)*'1. UC Assumptions'!$O$42,0)</f>
        <v>0</v>
      </c>
      <c r="AU34" s="183">
        <f>IF(H34="Tarrant",(AD34/$AU$1)*'1. UC Assumptions'!$P$42,0)</f>
        <v>0</v>
      </c>
      <c r="AV34" s="183">
        <f>IF(H34="Travis",(AD34/$AV$1)*'1. UC Assumptions'!$Q$42,0)</f>
        <v>0</v>
      </c>
      <c r="AW34" s="183">
        <f>IF(H34="Bexar",(AC34/$AW$1)*'1. UC Assumptions'!$E$44,0)</f>
        <v>0</v>
      </c>
      <c r="AX34" s="183">
        <f>IF(H34="Dallas",(AC34/$AX$1)*'1. UC Assumptions'!$F$44,0)</f>
        <v>0</v>
      </c>
      <c r="AY34" s="183">
        <f>IF(H34="El Paso",(AC34/$AY$1)*'1. UC Assumptions'!$G$44,0)</f>
        <v>0</v>
      </c>
      <c r="AZ34" s="183">
        <f>IF(H34="Harris",(AC34/$AZ$1)*'1. UC Assumptions'!$H$44,0)</f>
        <v>0</v>
      </c>
      <c r="BA34" s="183">
        <f>IF(H34="Hidalgo",(AC34/$BA$1)*'1. UC Assumptions'!$I$44,0)</f>
        <v>0</v>
      </c>
      <c r="BB34" s="183">
        <f>IF(H34="Jefferson",(AC34/$BB$1)*'1. UC Assumptions'!$J$44,0)</f>
        <v>0</v>
      </c>
      <c r="BC34" s="183">
        <f>IF(H34="Lubbock",(AC34/$BC$1)*'1. UC Assumptions'!$K$44,0)</f>
        <v>0</v>
      </c>
      <c r="BD34" s="183">
        <f>IF(H34="MRSA Central",(AC34/$BD$1)*'1. UC Assumptions'!$L$44,0)</f>
        <v>0</v>
      </c>
      <c r="BE34" s="183">
        <f>IF(H34="MRSA Northeast",(AC34/$BE$1)*'1. UC Assumptions'!$M$44,0)</f>
        <v>0</v>
      </c>
      <c r="BF34" s="183">
        <f>IF(H34="MRSA West",(AC34/$BF$1)*'1. UC Assumptions'!$N$44,0)</f>
        <v>0</v>
      </c>
      <c r="BG34" s="183">
        <f>IF(H34="Nueces",(AC34/$BG$1)*'1. UC Assumptions'!$O$44,0)</f>
        <v>0</v>
      </c>
      <c r="BH34" s="183">
        <f>IF(H34="Tarrant",(AC34/$BH$1)*'1. UC Assumptions'!$P$44,0)</f>
        <v>0</v>
      </c>
      <c r="BI34" s="183">
        <f>IF(H34="Travis",(AC34/$BI$1)*'1. UC Assumptions'!$Q$44,0)</f>
        <v>0</v>
      </c>
      <c r="BJ34" s="183">
        <f t="shared" si="9"/>
        <v>0</v>
      </c>
      <c r="BK34" s="183">
        <f t="shared" si="10"/>
        <v>0</v>
      </c>
      <c r="BL34" s="183">
        <f t="shared" si="11"/>
        <v>6394852.8146838825</v>
      </c>
      <c r="BM34" s="184">
        <f t="shared" si="12"/>
        <v>-3748982.6453161184</v>
      </c>
      <c r="BN34" s="184">
        <f>ROUNDDOWN(BM34*'1. UC Assumptions'!$C$23,2)</f>
        <v>-1237164.27</v>
      </c>
      <c r="BO34" s="184"/>
      <c r="BP34" s="185"/>
      <c r="BQ34" s="32"/>
      <c r="BR34" s="32"/>
    </row>
    <row r="35" spans="1:70">
      <c r="A35" s="177" t="s">
        <v>1267</v>
      </c>
      <c r="B35" s="178" t="s">
        <v>558</v>
      </c>
      <c r="C35" s="178" t="s">
        <v>558</v>
      </c>
      <c r="D35" s="179" t="s">
        <v>539</v>
      </c>
      <c r="E35" s="179"/>
      <c r="F35" s="177"/>
      <c r="G35" s="177" t="s">
        <v>559</v>
      </c>
      <c r="H35" s="178" t="s">
        <v>4</v>
      </c>
      <c r="I35" s="178" t="s">
        <v>4</v>
      </c>
      <c r="J35" s="131">
        <f>IFERROR(INDEX(#REF!,(MATCH('Old Calc Tab'!C:C,#REF!,0))),0)</f>
        <v>0</v>
      </c>
      <c r="K35" s="131">
        <f>IFERROR(INDEX(#REF!,(MATCH('Old Calc Tab'!$C:$C,#REF!,0))),0)</f>
        <v>0</v>
      </c>
      <c r="L35" s="131"/>
      <c r="M35" s="131">
        <v>574416178</v>
      </c>
      <c r="N35" s="131">
        <f>IFERROR(INDEX(#REF!,(MATCH('Old Calc Tab'!$C:$C,#REF!,0))),0)</f>
        <v>0</v>
      </c>
      <c r="O35" s="131">
        <f t="shared" si="0"/>
        <v>0</v>
      </c>
      <c r="P35" s="131">
        <f t="shared" si="1"/>
        <v>574416178</v>
      </c>
      <c r="Q35" s="131"/>
      <c r="R35" s="131"/>
      <c r="S35" s="131"/>
      <c r="T35" s="131"/>
      <c r="U35" s="131"/>
      <c r="V35" s="131">
        <v>177882739</v>
      </c>
      <c r="W35" s="180">
        <v>168132591.88999999</v>
      </c>
      <c r="X35" s="180">
        <f t="shared" si="2"/>
        <v>920431508.88999999</v>
      </c>
      <c r="Y35" s="181">
        <f>IF(D35="Physician Group Practice",(X35/$AE$369)*'1. UC Assumptions'!$C$15,IF(OR(E35="Rural Hospital",E35="Hosp - State"),X35,(X35/$X$369)*'1. UC Assumptions'!$C$9))</f>
        <v>553973693.99058652</v>
      </c>
      <c r="Z35" s="181">
        <f t="shared" si="3"/>
        <v>0</v>
      </c>
      <c r="AA35" s="181">
        <f t="shared" si="4"/>
        <v>198325223.00941348</v>
      </c>
      <c r="AB35" s="182">
        <f t="shared" si="5"/>
        <v>106506.82143188029</v>
      </c>
      <c r="AC35" s="181">
        <f t="shared" si="6"/>
        <v>198431729.83084536</v>
      </c>
      <c r="AD35" s="181">
        <f t="shared" si="7"/>
        <v>554080200.81201839</v>
      </c>
      <c r="AE35" s="131">
        <v>137176277.02000001</v>
      </c>
      <c r="AF35" s="131">
        <f>AE35*'1. UC Assumptions'!$C$23</f>
        <v>45268171.416599996</v>
      </c>
      <c r="AG35" s="183">
        <f>IF((((X35-W35-AE35)*'1. UC Assumptions'!$C$23)+AF35)&gt;0,((X35-W35-AE35)*'1. UC Assumptions'!$C$23)+AF35,0)</f>
        <v>248258642.60999998</v>
      </c>
      <c r="AH35" s="183">
        <f>IF(((X35-W35-AE35)*'1. UC Assumptions'!$C$23)&gt;0,(X35-W35-AE35)*'1. UC Assumptions'!$C$23,0)</f>
        <v>202990471.1934</v>
      </c>
      <c r="AI35" s="183">
        <f t="shared" si="8"/>
        <v>248258642.60999998</v>
      </c>
      <c r="AJ35" s="183">
        <f>IF(H35="Bexar",(AD35/$AJ$1)*'1. UC Assumptions'!$E$42,0)</f>
        <v>0</v>
      </c>
      <c r="AK35" s="183">
        <f>IF(H35="Dallas",(AD35/$AK$1)*'1. UC Assumptions'!$F$42,0)</f>
        <v>0</v>
      </c>
      <c r="AL35" s="183">
        <f>IF(H35="El Paso",(AD35/$AL$1)*'1. UC Assumptions'!$G$42,0)</f>
        <v>0</v>
      </c>
      <c r="AM35" s="183">
        <f>IF(H35="Harris",(AD35/$AM$1)*'1. UC Assumptions'!$H$42,0)</f>
        <v>0</v>
      </c>
      <c r="AN35" s="183">
        <f>IF(H35="Hidalgo",(AD35/$AN$1)*'1. UC Assumptions'!$I$42,0)</f>
        <v>0</v>
      </c>
      <c r="AO35" s="183">
        <f>IF(H35="Jefferson",(AD35/$AO$1)*'1. UC Assumptions'!$J$42,0)</f>
        <v>0</v>
      </c>
      <c r="AP35" s="183">
        <f>IF(H35="Lubbock",(AD35/$AP$1)*'1. UC Assumptions'!$K$42,0)</f>
        <v>0</v>
      </c>
      <c r="AQ35" s="183">
        <f>IF(H35="MRSA Central",(AD35/$AQ$1)*'1. UC Assumptions'!$L$42,0)</f>
        <v>0</v>
      </c>
      <c r="AR35" s="183">
        <f>IF(H35="MRSA Northeast",(AD35/$AR$1)*'1. UC Assumptions'!$M$42,0)</f>
        <v>0</v>
      </c>
      <c r="AS35" s="183">
        <f>IF(H35="MRSA West",(AD35/$AS$1)*'1. UC Assumptions'!$N$42,0)</f>
        <v>0</v>
      </c>
      <c r="AT35" s="183">
        <f>IF(H35="Nueces",(AD35/$AT$1)*'1. UC Assumptions'!$O$42,0)</f>
        <v>0</v>
      </c>
      <c r="AU35" s="183">
        <f>IF(H35="Tarrant",(AD35/$AU$1)*'1. UC Assumptions'!$P$42,0)</f>
        <v>0</v>
      </c>
      <c r="AV35" s="183">
        <f>IF(H35="Travis",(AD35/$AV$1)*'1. UC Assumptions'!$Q$42,0)</f>
        <v>0</v>
      </c>
      <c r="AW35" s="183">
        <f>IF(H35="Bexar",(AC35/$AW$1)*'1. UC Assumptions'!$E$44,0)</f>
        <v>0</v>
      </c>
      <c r="AX35" s="183">
        <f>IF(H35="Dallas",(AC35/$AX$1)*'1. UC Assumptions'!$F$44,0)</f>
        <v>0</v>
      </c>
      <c r="AY35" s="183">
        <f>IF(H35="El Paso",(AC35/$AY$1)*'1. UC Assumptions'!$G$44,0)</f>
        <v>0</v>
      </c>
      <c r="AZ35" s="183">
        <f>IF(H35="Harris",(AC35/$AZ$1)*'1. UC Assumptions'!$H$44,0)</f>
        <v>0</v>
      </c>
      <c r="BA35" s="183">
        <f>IF(H35="Hidalgo",(AC35/$BA$1)*'1. UC Assumptions'!$I$44,0)</f>
        <v>0</v>
      </c>
      <c r="BB35" s="183">
        <f>IF(H35="Jefferson",(AC35/$BB$1)*'1. UC Assumptions'!$J$44,0)</f>
        <v>0</v>
      </c>
      <c r="BC35" s="183">
        <f>IF(H35="Lubbock",(AC35/$BC$1)*'1. UC Assumptions'!$K$44,0)</f>
        <v>0</v>
      </c>
      <c r="BD35" s="183">
        <f>IF(H35="MRSA Central",(AC35/$BD$1)*'1. UC Assumptions'!$L$44,0)</f>
        <v>0</v>
      </c>
      <c r="BE35" s="183">
        <f>IF(H35="MRSA Northeast",(AC35/$BE$1)*'1. UC Assumptions'!$M$44,0)</f>
        <v>0</v>
      </c>
      <c r="BF35" s="183">
        <f>IF(H35="MRSA West",(AC35/$BF$1)*'1. UC Assumptions'!$N$44,0)</f>
        <v>0</v>
      </c>
      <c r="BG35" s="183">
        <f>IF(H35="Nueces",(AC35/$BG$1)*'1. UC Assumptions'!$O$44,0)</f>
        <v>0</v>
      </c>
      <c r="BH35" s="183">
        <f>IF(H35="Tarrant",(AC35/$BH$1)*'1. UC Assumptions'!$P$44,0)</f>
        <v>0</v>
      </c>
      <c r="BI35" s="183">
        <f>IF(H35="Travis",(AC35/$BI$1)*'1. UC Assumptions'!$Q$44,0)</f>
        <v>0</v>
      </c>
      <c r="BJ35" s="183">
        <f t="shared" si="9"/>
        <v>0</v>
      </c>
      <c r="BK35" s="183">
        <f t="shared" si="10"/>
        <v>0</v>
      </c>
      <c r="BL35" s="183">
        <f t="shared" si="11"/>
        <v>554080200.81201839</v>
      </c>
      <c r="BM35" s="184">
        <f t="shared" si="12"/>
        <v>416903923.79201841</v>
      </c>
      <c r="BN35" s="184">
        <f>ROUNDDOWN(BM35*'1. UC Assumptions'!$C$23,2)</f>
        <v>137578294.84999999</v>
      </c>
      <c r="BO35" s="184"/>
      <c r="BP35" s="186"/>
      <c r="BQ35" s="32"/>
      <c r="BR35" s="32"/>
    </row>
    <row r="36" spans="1:70">
      <c r="A36" s="177" t="s">
        <v>1268</v>
      </c>
      <c r="B36" s="178" t="s">
        <v>575</v>
      </c>
      <c r="C36" s="178" t="s">
        <v>575</v>
      </c>
      <c r="D36" s="179" t="s">
        <v>214</v>
      </c>
      <c r="E36" s="179"/>
      <c r="F36" s="177"/>
      <c r="G36" s="177" t="s">
        <v>576</v>
      </c>
      <c r="H36" s="178" t="s">
        <v>4</v>
      </c>
      <c r="I36" s="178" t="s">
        <v>260</v>
      </c>
      <c r="J36" s="131">
        <f>IFERROR(INDEX(#REF!,(MATCH('Old Calc Tab'!C:C,#REF!,0))),0)</f>
        <v>0</v>
      </c>
      <c r="K36" s="131">
        <f>IFERROR(INDEX(#REF!,(MATCH('Old Calc Tab'!$C:$C,#REF!,0))),0)</f>
        <v>0</v>
      </c>
      <c r="L36" s="131"/>
      <c r="M36" s="131">
        <v>26543720.426417686</v>
      </c>
      <c r="N36" s="131">
        <f>IFERROR(INDEX(#REF!,(MATCH('Old Calc Tab'!$C:$C,#REF!,0))),0)</f>
        <v>0</v>
      </c>
      <c r="O36" s="131">
        <f t="shared" si="0"/>
        <v>0</v>
      </c>
      <c r="P36" s="131">
        <f t="shared" si="1"/>
        <v>26543720.426417686</v>
      </c>
      <c r="Q36" s="131"/>
      <c r="R36" s="131"/>
      <c r="S36" s="131"/>
      <c r="T36" s="131"/>
      <c r="U36" s="131"/>
      <c r="V36" s="131">
        <v>0</v>
      </c>
      <c r="W36" s="180">
        <v>0</v>
      </c>
      <c r="X36" s="180">
        <f t="shared" si="2"/>
        <v>26543720.426417686</v>
      </c>
      <c r="Y36" s="181">
        <f>IF(D36="Physician Group Practice",(X36/$AE$369)*'1. UC Assumptions'!$C$15,IF(OR(E36="Rural Hospital",E36="Hosp - State"),X36,(X36/$X$369)*'1. UC Assumptions'!$C$9))</f>
        <v>15975683.920913357</v>
      </c>
      <c r="Z36" s="181">
        <f t="shared" si="3"/>
        <v>0</v>
      </c>
      <c r="AA36" s="181">
        <f t="shared" si="4"/>
        <v>10568036.505504329</v>
      </c>
      <c r="AB36" s="182">
        <f t="shared" si="5"/>
        <v>5675.3647362540314</v>
      </c>
      <c r="AC36" s="181">
        <f t="shared" si="6"/>
        <v>10573711.870240582</v>
      </c>
      <c r="AD36" s="181">
        <f t="shared" si="7"/>
        <v>15981359.285649611</v>
      </c>
      <c r="AE36" s="131">
        <v>7069362.8899999997</v>
      </c>
      <c r="AF36" s="131">
        <f>AE36*'1. UC Assumptions'!$C$23</f>
        <v>2332889.7536999998</v>
      </c>
      <c r="AG36" s="183">
        <f>IF((((X36-W36-AE36)*'1. UC Assumptions'!$C$23)+AF36)&gt;0,((X36-W36-AE36)*'1. UC Assumptions'!$C$23)+AF36,0)</f>
        <v>8759427.7407178357</v>
      </c>
      <c r="AH36" s="183">
        <f>IF(((X36-W36-AE36)*'1. UC Assumptions'!$C$23)&gt;0,(X36-W36-AE36)*'1. UC Assumptions'!$C$23,0)</f>
        <v>6426537.9870178355</v>
      </c>
      <c r="AI36" s="183">
        <f t="shared" si="8"/>
        <v>8759427.7407178357</v>
      </c>
      <c r="AJ36" s="183">
        <f>IF(H36="Bexar",(AD36/$AJ$1)*'1. UC Assumptions'!$E$42,0)</f>
        <v>0</v>
      </c>
      <c r="AK36" s="183">
        <f>IF(H36="Dallas",(AD36/$AK$1)*'1. UC Assumptions'!$F$42,0)</f>
        <v>0</v>
      </c>
      <c r="AL36" s="183">
        <f>IF(H36="El Paso",(AD36/$AL$1)*'1. UC Assumptions'!$G$42,0)</f>
        <v>0</v>
      </c>
      <c r="AM36" s="183">
        <f>IF(H36="Harris",(AD36/$AM$1)*'1. UC Assumptions'!$H$42,0)</f>
        <v>0</v>
      </c>
      <c r="AN36" s="183">
        <f>IF(H36="Hidalgo",(AD36/$AN$1)*'1. UC Assumptions'!$I$42,0)</f>
        <v>0</v>
      </c>
      <c r="AO36" s="183">
        <f>IF(H36="Jefferson",(AD36/$AO$1)*'1. UC Assumptions'!$J$42,0)</f>
        <v>0</v>
      </c>
      <c r="AP36" s="183">
        <f>IF(H36="Lubbock",(AD36/$AP$1)*'1. UC Assumptions'!$K$42,0)</f>
        <v>0</v>
      </c>
      <c r="AQ36" s="183">
        <f>IF(H36="MRSA Central",(AD36/$AQ$1)*'1. UC Assumptions'!$L$42,0)</f>
        <v>0</v>
      </c>
      <c r="AR36" s="183">
        <f>IF(H36="MRSA Northeast",(AD36/$AR$1)*'1. UC Assumptions'!$M$42,0)</f>
        <v>0</v>
      </c>
      <c r="AS36" s="183">
        <f>IF(H36="MRSA West",(AD36/$AS$1)*'1. UC Assumptions'!$N$42,0)</f>
        <v>0</v>
      </c>
      <c r="AT36" s="183">
        <f>IF(H36="Nueces",(AD36/$AT$1)*'1. UC Assumptions'!$O$42,0)</f>
        <v>0</v>
      </c>
      <c r="AU36" s="183">
        <f>IF(H36="Tarrant",(AD36/$AU$1)*'1. UC Assumptions'!$P$42,0)</f>
        <v>0</v>
      </c>
      <c r="AV36" s="183">
        <f>IF(H36="Travis",(AD36/$AV$1)*'1. UC Assumptions'!$Q$42,0)</f>
        <v>0</v>
      </c>
      <c r="AW36" s="183">
        <f>IF(H36="Bexar",(AC36/$AW$1)*'1. UC Assumptions'!$E$44,0)</f>
        <v>0</v>
      </c>
      <c r="AX36" s="183">
        <f>IF(H36="Dallas",(AC36/$AX$1)*'1. UC Assumptions'!$F$44,0)</f>
        <v>0</v>
      </c>
      <c r="AY36" s="183">
        <f>IF(H36="El Paso",(AC36/$AY$1)*'1. UC Assumptions'!$G$44,0)</f>
        <v>0</v>
      </c>
      <c r="AZ36" s="183">
        <f>IF(H36="Harris",(AC36/$AZ$1)*'1. UC Assumptions'!$H$44,0)</f>
        <v>0</v>
      </c>
      <c r="BA36" s="183">
        <f>IF(H36="Hidalgo",(AC36/$BA$1)*'1. UC Assumptions'!$I$44,0)</f>
        <v>0</v>
      </c>
      <c r="BB36" s="183">
        <f>IF(H36="Jefferson",(AC36/$BB$1)*'1. UC Assumptions'!$J$44,0)</f>
        <v>0</v>
      </c>
      <c r="BC36" s="183">
        <f>IF(H36="Lubbock",(AC36/$BC$1)*'1. UC Assumptions'!$K$44,0)</f>
        <v>0</v>
      </c>
      <c r="BD36" s="183">
        <f>IF(H36="MRSA Central",(AC36/$BD$1)*'1. UC Assumptions'!$L$44,0)</f>
        <v>0</v>
      </c>
      <c r="BE36" s="183">
        <f>IF(H36="MRSA Northeast",(AC36/$BE$1)*'1. UC Assumptions'!$M$44,0)</f>
        <v>0</v>
      </c>
      <c r="BF36" s="183">
        <f>IF(H36="MRSA West",(AC36/$BF$1)*'1. UC Assumptions'!$N$44,0)</f>
        <v>0</v>
      </c>
      <c r="BG36" s="183">
        <f>IF(H36="Nueces",(AC36/$BG$1)*'1. UC Assumptions'!$O$44,0)</f>
        <v>0</v>
      </c>
      <c r="BH36" s="183">
        <f>IF(H36="Tarrant",(AC36/$BH$1)*'1. UC Assumptions'!$P$44,0)</f>
        <v>0</v>
      </c>
      <c r="BI36" s="183">
        <f>IF(H36="Travis",(AC36/$BI$1)*'1. UC Assumptions'!$Q$44,0)</f>
        <v>0</v>
      </c>
      <c r="BJ36" s="183">
        <f t="shared" si="9"/>
        <v>0</v>
      </c>
      <c r="BK36" s="183">
        <f t="shared" si="10"/>
        <v>0</v>
      </c>
      <c r="BL36" s="183">
        <f t="shared" si="11"/>
        <v>15981359.285649611</v>
      </c>
      <c r="BM36" s="184">
        <f t="shared" si="12"/>
        <v>8911996.3956496119</v>
      </c>
      <c r="BN36" s="184">
        <f>ROUNDDOWN(BM36*'1. UC Assumptions'!$C$23,2)</f>
        <v>2940958.81</v>
      </c>
      <c r="BO36" s="184"/>
      <c r="BP36" s="185"/>
      <c r="BQ36" s="32"/>
      <c r="BR36" s="32"/>
    </row>
    <row r="37" spans="1:70">
      <c r="A37" s="177" t="s">
        <v>1269</v>
      </c>
      <c r="B37" s="178" t="s">
        <v>614</v>
      </c>
      <c r="C37" s="178" t="s">
        <v>614</v>
      </c>
      <c r="D37" s="179" t="s">
        <v>208</v>
      </c>
      <c r="E37" s="179"/>
      <c r="F37" s="177"/>
      <c r="G37" s="177" t="s">
        <v>1270</v>
      </c>
      <c r="H37" s="178" t="s">
        <v>4</v>
      </c>
      <c r="I37" s="178" t="s">
        <v>479</v>
      </c>
      <c r="J37" s="131">
        <f>IFERROR(INDEX(#REF!,(MATCH('Old Calc Tab'!C:C,#REF!,0))),0)</f>
        <v>0</v>
      </c>
      <c r="K37" s="131">
        <f>IFERROR(INDEX(#REF!,(MATCH('Old Calc Tab'!$C:$C,#REF!,0))),0)</f>
        <v>0</v>
      </c>
      <c r="L37" s="131"/>
      <c r="M37" s="131">
        <v>3309387</v>
      </c>
      <c r="N37" s="131">
        <f>IFERROR(INDEX(#REF!,(MATCH('Old Calc Tab'!$C:$C,#REF!,0))),0)</f>
        <v>0</v>
      </c>
      <c r="O37" s="131">
        <f t="shared" si="0"/>
        <v>0</v>
      </c>
      <c r="P37" s="131">
        <f t="shared" si="1"/>
        <v>3309387</v>
      </c>
      <c r="Q37" s="131"/>
      <c r="R37" s="131"/>
      <c r="S37" s="131"/>
      <c r="T37" s="131"/>
      <c r="U37" s="131"/>
      <c r="V37" s="131">
        <v>417516</v>
      </c>
      <c r="W37" s="180">
        <v>0</v>
      </c>
      <c r="X37" s="180">
        <f t="shared" si="2"/>
        <v>3726903</v>
      </c>
      <c r="Y37" s="181">
        <f>IF(D37="Physician Group Practice",(X37/$AE$369)*'1. UC Assumptions'!$C$15,IF(OR(E37="Rural Hospital",E37="Hosp - State"),X37,(X37/$X$369)*'1. UC Assumptions'!$C$9))</f>
        <v>2243085.1205261578</v>
      </c>
      <c r="Z37" s="181">
        <f t="shared" si="3"/>
        <v>0</v>
      </c>
      <c r="AA37" s="181">
        <f t="shared" si="4"/>
        <v>1483817.8794738422</v>
      </c>
      <c r="AB37" s="182">
        <f t="shared" si="5"/>
        <v>796.8564135639499</v>
      </c>
      <c r="AC37" s="181">
        <f t="shared" si="6"/>
        <v>1484614.7358874062</v>
      </c>
      <c r="AD37" s="181">
        <f t="shared" si="7"/>
        <v>2243881.976939722</v>
      </c>
      <c r="AE37" s="131">
        <v>2154300.98</v>
      </c>
      <c r="AF37" s="131">
        <f>AE37*'1. UC Assumptions'!$C$23</f>
        <v>710919.32339999988</v>
      </c>
      <c r="AG37" s="183">
        <f>IF((((X37-W37-AE37)*'1. UC Assumptions'!$C$23)+AF37)&gt;0,((X37-W37-AE37)*'1. UC Assumptions'!$C$23)+AF37,0)</f>
        <v>1229877.9899999998</v>
      </c>
      <c r="AH37" s="183">
        <f>IF(((X37-W37-AE37)*'1. UC Assumptions'!$C$23)&gt;0,(X37-W37-AE37)*'1. UC Assumptions'!$C$23,0)</f>
        <v>518958.66659999994</v>
      </c>
      <c r="AI37" s="183">
        <f t="shared" si="8"/>
        <v>1229877.9899999998</v>
      </c>
      <c r="AJ37" s="183">
        <f>IF(H37="Bexar",(AD37/$AJ$1)*'1. UC Assumptions'!$E$42,0)</f>
        <v>0</v>
      </c>
      <c r="AK37" s="183">
        <f>IF(H37="Dallas",(AD37/$AK$1)*'1. UC Assumptions'!$F$42,0)</f>
        <v>0</v>
      </c>
      <c r="AL37" s="183">
        <f>IF(H37="El Paso",(AD37/$AL$1)*'1. UC Assumptions'!$G$42,0)</f>
        <v>0</v>
      </c>
      <c r="AM37" s="183">
        <f>IF(H37="Harris",(AD37/$AM$1)*'1. UC Assumptions'!$H$42,0)</f>
        <v>0</v>
      </c>
      <c r="AN37" s="183">
        <f>IF(H37="Hidalgo",(AD37/$AN$1)*'1. UC Assumptions'!$I$42,0)</f>
        <v>0</v>
      </c>
      <c r="AO37" s="183">
        <f>IF(H37="Jefferson",(AD37/$AO$1)*'1. UC Assumptions'!$J$42,0)</f>
        <v>0</v>
      </c>
      <c r="AP37" s="183">
        <f>IF(H37="Lubbock",(AD37/$AP$1)*'1. UC Assumptions'!$K$42,0)</f>
        <v>0</v>
      </c>
      <c r="AQ37" s="183">
        <f>IF(H37="MRSA Central",(AD37/$AQ$1)*'1. UC Assumptions'!$L$42,0)</f>
        <v>0</v>
      </c>
      <c r="AR37" s="183">
        <f>IF(H37="MRSA Northeast",(AD37/$AR$1)*'1. UC Assumptions'!$M$42,0)</f>
        <v>0</v>
      </c>
      <c r="AS37" s="183">
        <f>IF(H37="MRSA West",(AD37/$AS$1)*'1. UC Assumptions'!$N$42,0)</f>
        <v>0</v>
      </c>
      <c r="AT37" s="183">
        <f>IF(H37="Nueces",(AD37/$AT$1)*'1. UC Assumptions'!$O$42,0)</f>
        <v>0</v>
      </c>
      <c r="AU37" s="183">
        <f>IF(H37="Tarrant",(AD37/$AU$1)*'1. UC Assumptions'!$P$42,0)</f>
        <v>0</v>
      </c>
      <c r="AV37" s="183">
        <f>IF(H37="Travis",(AD37/$AV$1)*'1. UC Assumptions'!$Q$42,0)</f>
        <v>0</v>
      </c>
      <c r="AW37" s="183">
        <f>IF(H37="Bexar",(AC37/$AW$1)*'1. UC Assumptions'!$E$44,0)</f>
        <v>0</v>
      </c>
      <c r="AX37" s="183">
        <f>IF(H37="Dallas",(AC37/$AX$1)*'1. UC Assumptions'!$F$44,0)</f>
        <v>0</v>
      </c>
      <c r="AY37" s="183">
        <f>IF(H37="El Paso",(AC37/$AY$1)*'1. UC Assumptions'!$G$44,0)</f>
        <v>0</v>
      </c>
      <c r="AZ37" s="183">
        <f>IF(H37="Harris",(AC37/$AZ$1)*'1. UC Assumptions'!$H$44,0)</f>
        <v>0</v>
      </c>
      <c r="BA37" s="183">
        <f>IF(H37="Hidalgo",(AC37/$BA$1)*'1. UC Assumptions'!$I$44,0)</f>
        <v>0</v>
      </c>
      <c r="BB37" s="183">
        <f>IF(H37="Jefferson",(AC37/$BB$1)*'1. UC Assumptions'!$J$44,0)</f>
        <v>0</v>
      </c>
      <c r="BC37" s="183">
        <f>IF(H37="Lubbock",(AC37/$BC$1)*'1. UC Assumptions'!$K$44,0)</f>
        <v>0</v>
      </c>
      <c r="BD37" s="183">
        <f>IF(H37="MRSA Central",(AC37/$BD$1)*'1. UC Assumptions'!$L$44,0)</f>
        <v>0</v>
      </c>
      <c r="BE37" s="183">
        <f>IF(H37="MRSA Northeast",(AC37/$BE$1)*'1. UC Assumptions'!$M$44,0)</f>
        <v>0</v>
      </c>
      <c r="BF37" s="183">
        <f>IF(H37="MRSA West",(AC37/$BF$1)*'1. UC Assumptions'!$N$44,0)</f>
        <v>0</v>
      </c>
      <c r="BG37" s="183">
        <f>IF(H37="Nueces",(AC37/$BG$1)*'1. UC Assumptions'!$O$44,0)</f>
        <v>0</v>
      </c>
      <c r="BH37" s="183">
        <f>IF(H37="Tarrant",(AC37/$BH$1)*'1. UC Assumptions'!$P$44,0)</f>
        <v>0</v>
      </c>
      <c r="BI37" s="183">
        <f>IF(H37="Travis",(AC37/$BI$1)*'1. UC Assumptions'!$Q$44,0)</f>
        <v>0</v>
      </c>
      <c r="BJ37" s="183">
        <f t="shared" si="9"/>
        <v>0</v>
      </c>
      <c r="BK37" s="183">
        <f t="shared" si="10"/>
        <v>0</v>
      </c>
      <c r="BL37" s="183">
        <f t="shared" si="11"/>
        <v>2243881.976939722</v>
      </c>
      <c r="BM37" s="184">
        <f t="shared" si="12"/>
        <v>89580.996939721983</v>
      </c>
      <c r="BN37" s="184">
        <f>ROUNDDOWN(BM37*'1. UC Assumptions'!$C$23,2)</f>
        <v>29561.72</v>
      </c>
      <c r="BO37" s="184"/>
      <c r="BP37" s="185"/>
      <c r="BQ37" s="32"/>
      <c r="BR37" s="32"/>
    </row>
    <row r="38" spans="1:70">
      <c r="A38" s="177" t="s">
        <v>1271</v>
      </c>
      <c r="B38" s="177" t="s">
        <v>646</v>
      </c>
      <c r="C38" s="178" t="s">
        <v>646</v>
      </c>
      <c r="D38" s="179" t="s">
        <v>214</v>
      </c>
      <c r="E38" s="179"/>
      <c r="F38" s="177"/>
      <c r="G38" s="177" t="s">
        <v>1272</v>
      </c>
      <c r="H38" s="178" t="s">
        <v>4</v>
      </c>
      <c r="I38" s="178" t="s">
        <v>4</v>
      </c>
      <c r="J38" s="131">
        <f>IFERROR(INDEX(#REF!,(MATCH('Old Calc Tab'!C:C,#REF!,0))),0)</f>
        <v>0</v>
      </c>
      <c r="K38" s="131">
        <f>IFERROR(INDEX(#REF!,(MATCH('Old Calc Tab'!$C:$C,#REF!,0))),0)</f>
        <v>0</v>
      </c>
      <c r="L38" s="131"/>
      <c r="M38" s="131">
        <v>37639497</v>
      </c>
      <c r="N38" s="131">
        <f>IFERROR(INDEX(#REF!,(MATCH('Old Calc Tab'!$C:$C,#REF!,0))),0)</f>
        <v>0</v>
      </c>
      <c r="O38" s="131">
        <f t="shared" si="0"/>
        <v>0</v>
      </c>
      <c r="P38" s="131">
        <f t="shared" si="1"/>
        <v>37639497</v>
      </c>
      <c r="Q38" s="131"/>
      <c r="R38" s="131"/>
      <c r="S38" s="131"/>
      <c r="T38" s="131"/>
      <c r="U38" s="131"/>
      <c r="V38" s="131">
        <v>266620</v>
      </c>
      <c r="W38" s="180">
        <v>0</v>
      </c>
      <c r="X38" s="180">
        <f t="shared" si="2"/>
        <v>37906117</v>
      </c>
      <c r="Y38" s="181">
        <f>IF(D38="Physician Group Practice",(X38/$AE$369)*'1. UC Assumptions'!$C$15,IF(OR(E38="Rural Hospital",E38="Hosp - State"),X38,(X38/$X$369)*'1. UC Assumptions'!$C$9))</f>
        <v>22814290.315477394</v>
      </c>
      <c r="Z38" s="181">
        <f t="shared" si="3"/>
        <v>0</v>
      </c>
      <c r="AA38" s="181">
        <f t="shared" si="4"/>
        <v>15091826.684522606</v>
      </c>
      <c r="AB38" s="182">
        <f t="shared" si="5"/>
        <v>8104.7809521083509</v>
      </c>
      <c r="AC38" s="181">
        <f t="shared" si="6"/>
        <v>15099931.465474715</v>
      </c>
      <c r="AD38" s="181">
        <f t="shared" si="7"/>
        <v>22822395.096429501</v>
      </c>
      <c r="AE38" s="131">
        <v>11832111.43</v>
      </c>
      <c r="AF38" s="131">
        <f>AE38*'1. UC Assumptions'!$C$23</f>
        <v>3904596.7718999996</v>
      </c>
      <c r="AG38" s="183">
        <f>IF((((X38-W38-AE38)*'1. UC Assumptions'!$C$23)+AF38)&gt;0,((X38-W38-AE38)*'1. UC Assumptions'!$C$23)+AF38,0)</f>
        <v>12509018.609999999</v>
      </c>
      <c r="AH38" s="183">
        <f>IF(((X38-W38-AE38)*'1. UC Assumptions'!$C$23)&gt;0,(X38-W38-AE38)*'1. UC Assumptions'!$C$23,0)</f>
        <v>8604421.8380999994</v>
      </c>
      <c r="AI38" s="183">
        <f t="shared" si="8"/>
        <v>12509018.609999999</v>
      </c>
      <c r="AJ38" s="183">
        <f>IF(H38="Bexar",(AD38/$AJ$1)*'1. UC Assumptions'!$E$42,0)</f>
        <v>0</v>
      </c>
      <c r="AK38" s="183">
        <f>IF(H38="Dallas",(AD38/$AK$1)*'1. UC Assumptions'!$F$42,0)</f>
        <v>0</v>
      </c>
      <c r="AL38" s="183">
        <f>IF(H38="El Paso",(AD38/$AL$1)*'1. UC Assumptions'!$G$42,0)</f>
        <v>0</v>
      </c>
      <c r="AM38" s="183">
        <f>IF(H38="Harris",(AD38/$AM$1)*'1. UC Assumptions'!$H$42,0)</f>
        <v>0</v>
      </c>
      <c r="AN38" s="183">
        <f>IF(H38="Hidalgo",(AD38/$AN$1)*'1. UC Assumptions'!$I$42,0)</f>
        <v>0</v>
      </c>
      <c r="AO38" s="183">
        <f>IF(H38="Jefferson",(AD38/$AO$1)*'1. UC Assumptions'!$J$42,0)</f>
        <v>0</v>
      </c>
      <c r="AP38" s="183">
        <f>IF(H38="Lubbock",(AD38/$AP$1)*'1. UC Assumptions'!$K$42,0)</f>
        <v>0</v>
      </c>
      <c r="AQ38" s="183">
        <f>IF(H38="MRSA Central",(AD38/$AQ$1)*'1. UC Assumptions'!$L$42,0)</f>
        <v>0</v>
      </c>
      <c r="AR38" s="183">
        <f>IF(H38="MRSA Northeast",(AD38/$AR$1)*'1. UC Assumptions'!$M$42,0)</f>
        <v>0</v>
      </c>
      <c r="AS38" s="183">
        <f>IF(H38="MRSA West",(AD38/$AS$1)*'1. UC Assumptions'!$N$42,0)</f>
        <v>0</v>
      </c>
      <c r="AT38" s="183">
        <f>IF(H38="Nueces",(AD38/$AT$1)*'1. UC Assumptions'!$O$42,0)</f>
        <v>0</v>
      </c>
      <c r="AU38" s="183">
        <f>IF(H38="Tarrant",(AD38/$AU$1)*'1. UC Assumptions'!$P$42,0)</f>
        <v>0</v>
      </c>
      <c r="AV38" s="183">
        <f>IF(H38="Travis",(AD38/$AV$1)*'1. UC Assumptions'!$Q$42,0)</f>
        <v>0</v>
      </c>
      <c r="AW38" s="183">
        <f>IF(H38="Bexar",(AC38/$AW$1)*'1. UC Assumptions'!$E$44,0)</f>
        <v>0</v>
      </c>
      <c r="AX38" s="183">
        <f>IF(H38="Dallas",(AC38/$AX$1)*'1. UC Assumptions'!$F$44,0)</f>
        <v>0</v>
      </c>
      <c r="AY38" s="183">
        <f>IF(H38="El Paso",(AC38/$AY$1)*'1. UC Assumptions'!$G$44,0)</f>
        <v>0</v>
      </c>
      <c r="AZ38" s="183">
        <f>IF(H38="Harris",(AC38/$AZ$1)*'1. UC Assumptions'!$H$44,0)</f>
        <v>0</v>
      </c>
      <c r="BA38" s="183">
        <f>IF(H38="Hidalgo",(AC38/$BA$1)*'1. UC Assumptions'!$I$44,0)</f>
        <v>0</v>
      </c>
      <c r="BB38" s="183">
        <f>IF(H38="Jefferson",(AC38/$BB$1)*'1. UC Assumptions'!$J$44,0)</f>
        <v>0</v>
      </c>
      <c r="BC38" s="183">
        <f>IF(H38="Lubbock",(AC38/$BC$1)*'1. UC Assumptions'!$K$44,0)</f>
        <v>0</v>
      </c>
      <c r="BD38" s="183">
        <f>IF(H38="MRSA Central",(AC38/$BD$1)*'1. UC Assumptions'!$L$44,0)</f>
        <v>0</v>
      </c>
      <c r="BE38" s="183">
        <f>IF(H38="MRSA Northeast",(AC38/$BE$1)*'1. UC Assumptions'!$M$44,0)</f>
        <v>0</v>
      </c>
      <c r="BF38" s="183">
        <f>IF(H38="MRSA West",(AC38/$BF$1)*'1. UC Assumptions'!$N$44,0)</f>
        <v>0</v>
      </c>
      <c r="BG38" s="183">
        <f>IF(H38="Nueces",(AC38/$BG$1)*'1. UC Assumptions'!$O$44,0)</f>
        <v>0</v>
      </c>
      <c r="BH38" s="183">
        <f>IF(H38="Tarrant",(AC38/$BH$1)*'1. UC Assumptions'!$P$44,0)</f>
        <v>0</v>
      </c>
      <c r="BI38" s="183">
        <f>IF(H38="Travis",(AC38/$BI$1)*'1. UC Assumptions'!$Q$44,0)</f>
        <v>0</v>
      </c>
      <c r="BJ38" s="183">
        <f t="shared" si="9"/>
        <v>0</v>
      </c>
      <c r="BK38" s="183">
        <f t="shared" si="10"/>
        <v>0</v>
      </c>
      <c r="BL38" s="183">
        <f t="shared" si="11"/>
        <v>22822395.096429501</v>
      </c>
      <c r="BM38" s="184">
        <f t="shared" si="12"/>
        <v>10990283.666429501</v>
      </c>
      <c r="BN38" s="184">
        <f>ROUNDDOWN(BM38*'1. UC Assumptions'!$C$23,2)</f>
        <v>3626793.6</v>
      </c>
      <c r="BO38" s="184"/>
      <c r="BP38" s="185"/>
      <c r="BQ38" s="32"/>
      <c r="BR38" s="32"/>
    </row>
    <row r="39" spans="1:70">
      <c r="A39" s="177" t="s">
        <v>1273</v>
      </c>
      <c r="B39" s="177" t="s">
        <v>660</v>
      </c>
      <c r="C39" s="178" t="s">
        <v>660</v>
      </c>
      <c r="D39" s="179" t="s">
        <v>214</v>
      </c>
      <c r="E39" s="179"/>
      <c r="F39" s="177"/>
      <c r="G39" s="177" t="s">
        <v>661</v>
      </c>
      <c r="H39" s="178" t="s">
        <v>4</v>
      </c>
      <c r="I39" s="178" t="s">
        <v>532</v>
      </c>
      <c r="J39" s="131">
        <f>IFERROR(INDEX(#REF!,(MATCH('Old Calc Tab'!C:C,#REF!,0))),0)</f>
        <v>0</v>
      </c>
      <c r="K39" s="131">
        <f>IFERROR(INDEX(#REF!,(MATCH('Old Calc Tab'!$C:$C,#REF!,0))),0)</f>
        <v>0</v>
      </c>
      <c r="L39" s="131"/>
      <c r="M39" s="131">
        <v>10432423.32</v>
      </c>
      <c r="N39" s="131">
        <f>IFERROR(INDEX(#REF!,(MATCH('Old Calc Tab'!$C:$C,#REF!,0))),0)</f>
        <v>0</v>
      </c>
      <c r="O39" s="131">
        <f t="shared" si="0"/>
        <v>0</v>
      </c>
      <c r="P39" s="131">
        <f t="shared" si="1"/>
        <v>10432423.32</v>
      </c>
      <c r="Q39" s="131"/>
      <c r="R39" s="131"/>
      <c r="S39" s="131"/>
      <c r="T39" s="131"/>
      <c r="U39" s="131"/>
      <c r="V39" s="131">
        <v>0</v>
      </c>
      <c r="W39" s="180">
        <v>0</v>
      </c>
      <c r="X39" s="180">
        <f t="shared" si="2"/>
        <v>10432423.32</v>
      </c>
      <c r="Y39" s="181">
        <f>IF(D39="Physician Group Practice",(X39/$AE$369)*'1. UC Assumptions'!$C$15,IF(OR(E39="Rural Hospital",E39="Hosp - State"),X39,(X39/$X$369)*'1. UC Assumptions'!$C$9))</f>
        <v>6278889.8772310689</v>
      </c>
      <c r="Z39" s="181">
        <f t="shared" si="3"/>
        <v>0</v>
      </c>
      <c r="AA39" s="181">
        <f t="shared" si="4"/>
        <v>4153533.4427689314</v>
      </c>
      <c r="AB39" s="182">
        <f t="shared" si="5"/>
        <v>2230.5768171471364</v>
      </c>
      <c r="AC39" s="181">
        <f t="shared" si="6"/>
        <v>4155764.0195860784</v>
      </c>
      <c r="AD39" s="181">
        <f t="shared" si="7"/>
        <v>6281120.4540482163</v>
      </c>
      <c r="AE39" s="131">
        <v>2438142.4500000002</v>
      </c>
      <c r="AF39" s="131">
        <f>AE39*'1. UC Assumptions'!$C$23</f>
        <v>804587.0085</v>
      </c>
      <c r="AG39" s="183">
        <f>IF((((X39-W39-AE39)*'1. UC Assumptions'!$C$23)+AF39)&gt;0,((X39-W39-AE39)*'1. UC Assumptions'!$C$23)+AF39,0)</f>
        <v>3442699.6955999997</v>
      </c>
      <c r="AH39" s="183">
        <f>IF(((X39-W39-AE39)*'1. UC Assumptions'!$C$23)&gt;0,(X39-W39-AE39)*'1. UC Assumptions'!$C$23,0)</f>
        <v>2638112.6870999997</v>
      </c>
      <c r="AI39" s="183">
        <f t="shared" si="8"/>
        <v>3442699.6955999997</v>
      </c>
      <c r="AJ39" s="183">
        <f>IF(H39="Bexar",(AD39/$AJ$1)*'1. UC Assumptions'!$E$42,0)</f>
        <v>0</v>
      </c>
      <c r="AK39" s="183">
        <f>IF(H39="Dallas",(AD39/$AK$1)*'1. UC Assumptions'!$F$42,0)</f>
        <v>0</v>
      </c>
      <c r="AL39" s="183">
        <f>IF(H39="El Paso",(AD39/$AL$1)*'1. UC Assumptions'!$G$42,0)</f>
        <v>0</v>
      </c>
      <c r="AM39" s="183">
        <f>IF(H39="Harris",(AD39/$AM$1)*'1. UC Assumptions'!$H$42,0)</f>
        <v>0</v>
      </c>
      <c r="AN39" s="183">
        <f>IF(H39="Hidalgo",(AD39/$AN$1)*'1. UC Assumptions'!$I$42,0)</f>
        <v>0</v>
      </c>
      <c r="AO39" s="183">
        <f>IF(H39="Jefferson",(AD39/$AO$1)*'1. UC Assumptions'!$J$42,0)</f>
        <v>0</v>
      </c>
      <c r="AP39" s="183">
        <f>IF(H39="Lubbock",(AD39/$AP$1)*'1. UC Assumptions'!$K$42,0)</f>
        <v>0</v>
      </c>
      <c r="AQ39" s="183">
        <f>IF(H39="MRSA Central",(AD39/$AQ$1)*'1. UC Assumptions'!$L$42,0)</f>
        <v>0</v>
      </c>
      <c r="AR39" s="183">
        <f>IF(H39="MRSA Northeast",(AD39/$AR$1)*'1. UC Assumptions'!$M$42,0)</f>
        <v>0</v>
      </c>
      <c r="AS39" s="183">
        <f>IF(H39="MRSA West",(AD39/$AS$1)*'1. UC Assumptions'!$N$42,0)</f>
        <v>0</v>
      </c>
      <c r="AT39" s="183">
        <f>IF(H39="Nueces",(AD39/$AT$1)*'1. UC Assumptions'!$O$42,0)</f>
        <v>0</v>
      </c>
      <c r="AU39" s="183">
        <f>IF(H39="Tarrant",(AD39/$AU$1)*'1. UC Assumptions'!$P$42,0)</f>
        <v>0</v>
      </c>
      <c r="AV39" s="183">
        <f>IF(H39="Travis",(AD39/$AV$1)*'1. UC Assumptions'!$Q$42,0)</f>
        <v>0</v>
      </c>
      <c r="AW39" s="183">
        <f>IF(H39="Bexar",(AC39/$AW$1)*'1. UC Assumptions'!$E$44,0)</f>
        <v>0</v>
      </c>
      <c r="AX39" s="183">
        <f>IF(H39="Dallas",(AC39/$AX$1)*'1. UC Assumptions'!$F$44,0)</f>
        <v>0</v>
      </c>
      <c r="AY39" s="183">
        <f>IF(H39="El Paso",(AC39/$AY$1)*'1. UC Assumptions'!$G$44,0)</f>
        <v>0</v>
      </c>
      <c r="AZ39" s="183">
        <f>IF(H39="Harris",(AC39/$AZ$1)*'1. UC Assumptions'!$H$44,0)</f>
        <v>0</v>
      </c>
      <c r="BA39" s="183">
        <f>IF(H39="Hidalgo",(AC39/$BA$1)*'1. UC Assumptions'!$I$44,0)</f>
        <v>0</v>
      </c>
      <c r="BB39" s="183">
        <f>IF(H39="Jefferson",(AC39/$BB$1)*'1. UC Assumptions'!$J$44,0)</f>
        <v>0</v>
      </c>
      <c r="BC39" s="183">
        <f>IF(H39="Lubbock",(AC39/$BC$1)*'1. UC Assumptions'!$K$44,0)</f>
        <v>0</v>
      </c>
      <c r="BD39" s="183">
        <f>IF(H39="MRSA Central",(AC39/$BD$1)*'1. UC Assumptions'!$L$44,0)</f>
        <v>0</v>
      </c>
      <c r="BE39" s="183">
        <f>IF(H39="MRSA Northeast",(AC39/$BE$1)*'1. UC Assumptions'!$M$44,0)</f>
        <v>0</v>
      </c>
      <c r="BF39" s="183">
        <f>IF(H39="MRSA West",(AC39/$BF$1)*'1. UC Assumptions'!$N$44,0)</f>
        <v>0</v>
      </c>
      <c r="BG39" s="183">
        <f>IF(H39="Nueces",(AC39/$BG$1)*'1. UC Assumptions'!$O$44,0)</f>
        <v>0</v>
      </c>
      <c r="BH39" s="183">
        <f>IF(H39="Tarrant",(AC39/$BH$1)*'1. UC Assumptions'!$P$44,0)</f>
        <v>0</v>
      </c>
      <c r="BI39" s="183">
        <f>IF(H39="Travis",(AC39/$BI$1)*'1. UC Assumptions'!$Q$44,0)</f>
        <v>0</v>
      </c>
      <c r="BJ39" s="183">
        <f t="shared" si="9"/>
        <v>0</v>
      </c>
      <c r="BK39" s="183">
        <f t="shared" si="10"/>
        <v>0</v>
      </c>
      <c r="BL39" s="183">
        <f t="shared" si="11"/>
        <v>6281120.4540482163</v>
      </c>
      <c r="BM39" s="184">
        <f t="shared" si="12"/>
        <v>3842978.0040482162</v>
      </c>
      <c r="BN39" s="184">
        <f>ROUNDDOWN(BM39*'1. UC Assumptions'!$C$23,2)</f>
        <v>1268182.74</v>
      </c>
      <c r="BO39" s="184"/>
      <c r="BP39" s="185"/>
      <c r="BQ39" s="32"/>
      <c r="BR39" s="32"/>
    </row>
    <row r="40" spans="1:70">
      <c r="A40" s="177" t="s">
        <v>1274</v>
      </c>
      <c r="B40" s="178" t="s">
        <v>116</v>
      </c>
      <c r="C40" s="178" t="s">
        <v>116</v>
      </c>
      <c r="D40" s="179" t="s">
        <v>281</v>
      </c>
      <c r="E40" s="179"/>
      <c r="F40" s="177" t="s">
        <v>282</v>
      </c>
      <c r="G40" s="177" t="s">
        <v>1275</v>
      </c>
      <c r="H40" s="178" t="s">
        <v>4</v>
      </c>
      <c r="I40" s="178" t="s">
        <v>339</v>
      </c>
      <c r="J40" s="131">
        <f>IFERROR(INDEX(#REF!,(MATCH('Old Calc Tab'!C:C,#REF!,0))),0)</f>
        <v>0</v>
      </c>
      <c r="K40" s="131">
        <f>IFERROR(INDEX(#REF!,(MATCH('Old Calc Tab'!$C:$C,#REF!,0))),0)</f>
        <v>0</v>
      </c>
      <c r="L40" s="131"/>
      <c r="M40" s="131">
        <v>32670101</v>
      </c>
      <c r="N40" s="131">
        <f>IFERROR(INDEX(#REF!,(MATCH('Old Calc Tab'!$C:$C,#REF!,0))),0)</f>
        <v>0</v>
      </c>
      <c r="O40" s="131">
        <f t="shared" si="0"/>
        <v>0</v>
      </c>
      <c r="P40" s="131">
        <f t="shared" si="1"/>
        <v>32670101</v>
      </c>
      <c r="Q40" s="131"/>
      <c r="R40" s="131"/>
      <c r="S40" s="131"/>
      <c r="T40" s="131"/>
      <c r="U40" s="131"/>
      <c r="V40" s="131">
        <v>231656</v>
      </c>
      <c r="W40" s="180">
        <v>0</v>
      </c>
      <c r="X40" s="180">
        <f t="shared" si="2"/>
        <v>32901757</v>
      </c>
      <c r="Y40" s="181">
        <f>IF(D40="Physician Group Practice",(X40/$AE$369)*'1. UC Assumptions'!$C$15,IF(OR(E40="Rural Hospital",E40="Hosp - State"),X40,(X40/$X$369)*'1. UC Assumptions'!$C$9))</f>
        <v>19802351.058202308</v>
      </c>
      <c r="Z40" s="181">
        <f t="shared" si="3"/>
        <v>0</v>
      </c>
      <c r="AA40" s="181">
        <f t="shared" si="4"/>
        <v>13099405.941797692</v>
      </c>
      <c r="AB40" s="182">
        <f t="shared" si="5"/>
        <v>7034.7889609610402</v>
      </c>
      <c r="AC40" s="181">
        <f t="shared" si="6"/>
        <v>13106440.730758654</v>
      </c>
      <c r="AD40" s="181">
        <f t="shared" si="7"/>
        <v>19809385.847163267</v>
      </c>
      <c r="AE40" s="131">
        <v>83110.16</v>
      </c>
      <c r="AF40" s="131">
        <f>AE40*'1. UC Assumptions'!$C$23</f>
        <v>27426.352799999997</v>
      </c>
      <c r="AG40" s="183">
        <f>IF((((X40-W40-AE40)*'1. UC Assumptions'!$C$23)+AF40)&gt;0,((X40-W40-AE40)*'1. UC Assumptions'!$C$23)+AF40,0)</f>
        <v>10857579.809999999</v>
      </c>
      <c r="AH40" s="183">
        <f>IF(((X40-W40-AE40)*'1. UC Assumptions'!$C$23)&gt;0,(X40-W40-AE40)*'1. UC Assumptions'!$C$23,0)</f>
        <v>10830153.457199998</v>
      </c>
      <c r="AI40" s="183">
        <f t="shared" si="8"/>
        <v>10857579.809999999</v>
      </c>
      <c r="AJ40" s="183">
        <f>IF(H40="Bexar",(AD40/$AJ$1)*'1. UC Assumptions'!$E$42,0)</f>
        <v>0</v>
      </c>
      <c r="AK40" s="183">
        <f>IF(H40="Dallas",(AD40/$AK$1)*'1. UC Assumptions'!$F$42,0)</f>
        <v>0</v>
      </c>
      <c r="AL40" s="183">
        <f>IF(H40="El Paso",(AD40/$AL$1)*'1. UC Assumptions'!$G$42,0)</f>
        <v>0</v>
      </c>
      <c r="AM40" s="183">
        <f>IF(H40="Harris",(AD40/$AM$1)*'1. UC Assumptions'!$H$42,0)</f>
        <v>0</v>
      </c>
      <c r="AN40" s="183">
        <f>IF(H40="Hidalgo",(AD40/$AN$1)*'1. UC Assumptions'!$I$42,0)</f>
        <v>0</v>
      </c>
      <c r="AO40" s="183">
        <f>IF(H40="Jefferson",(AD40/$AO$1)*'1. UC Assumptions'!$J$42,0)</f>
        <v>0</v>
      </c>
      <c r="AP40" s="183">
        <f>IF(H40="Lubbock",(AD40/$AP$1)*'1. UC Assumptions'!$K$42,0)</f>
        <v>0</v>
      </c>
      <c r="AQ40" s="183">
        <f>IF(H40="MRSA Central",(AD40/$AQ$1)*'1. UC Assumptions'!$L$42,0)</f>
        <v>0</v>
      </c>
      <c r="AR40" s="183">
        <f>IF(H40="MRSA Northeast",(AD40/$AR$1)*'1. UC Assumptions'!$M$42,0)</f>
        <v>0</v>
      </c>
      <c r="AS40" s="183">
        <f>IF(H40="MRSA West",(AD40/$AS$1)*'1. UC Assumptions'!$N$42,0)</f>
        <v>0</v>
      </c>
      <c r="AT40" s="183">
        <f>IF(H40="Nueces",(AD40/$AT$1)*'1. UC Assumptions'!$O$42,0)</f>
        <v>0</v>
      </c>
      <c r="AU40" s="183">
        <f>IF(H40="Tarrant",(AD40/$AU$1)*'1. UC Assumptions'!$P$42,0)</f>
        <v>0</v>
      </c>
      <c r="AV40" s="183">
        <f>IF(H40="Travis",(AD40/$AV$1)*'1. UC Assumptions'!$Q$42,0)</f>
        <v>0</v>
      </c>
      <c r="AW40" s="183">
        <f>IF(H40="Bexar",(AC40/$AW$1)*'1. UC Assumptions'!$E$44,0)</f>
        <v>0</v>
      </c>
      <c r="AX40" s="183">
        <f>IF(H40="Dallas",(AC40/$AX$1)*'1. UC Assumptions'!$F$44,0)</f>
        <v>0</v>
      </c>
      <c r="AY40" s="183">
        <f>IF(H40="El Paso",(AC40/$AY$1)*'1. UC Assumptions'!$G$44,0)</f>
        <v>0</v>
      </c>
      <c r="AZ40" s="183">
        <f>IF(H40="Harris",(AC40/$AZ$1)*'1. UC Assumptions'!$H$44,0)</f>
        <v>0</v>
      </c>
      <c r="BA40" s="183">
        <f>IF(H40="Hidalgo",(AC40/$BA$1)*'1. UC Assumptions'!$I$44,0)</f>
        <v>0</v>
      </c>
      <c r="BB40" s="183">
        <f>IF(H40="Jefferson",(AC40/$BB$1)*'1. UC Assumptions'!$J$44,0)</f>
        <v>0</v>
      </c>
      <c r="BC40" s="183">
        <f>IF(H40="Lubbock",(AC40/$BC$1)*'1. UC Assumptions'!$K$44,0)</f>
        <v>0</v>
      </c>
      <c r="BD40" s="183">
        <f>IF(H40="MRSA Central",(AC40/$BD$1)*'1. UC Assumptions'!$L$44,0)</f>
        <v>0</v>
      </c>
      <c r="BE40" s="183">
        <f>IF(H40="MRSA Northeast",(AC40/$BE$1)*'1. UC Assumptions'!$M$44,0)</f>
        <v>0</v>
      </c>
      <c r="BF40" s="183">
        <f>IF(H40="MRSA West",(AC40/$BF$1)*'1. UC Assumptions'!$N$44,0)</f>
        <v>0</v>
      </c>
      <c r="BG40" s="183">
        <f>IF(H40="Nueces",(AC40/$BG$1)*'1. UC Assumptions'!$O$44,0)</f>
        <v>0</v>
      </c>
      <c r="BH40" s="183">
        <f>IF(H40="Tarrant",(AC40/$BH$1)*'1. UC Assumptions'!$P$44,0)</f>
        <v>0</v>
      </c>
      <c r="BI40" s="183">
        <f>IF(H40="Travis",(AC40/$BI$1)*'1. UC Assumptions'!$Q$44,0)</f>
        <v>0</v>
      </c>
      <c r="BJ40" s="183">
        <f t="shared" si="9"/>
        <v>0</v>
      </c>
      <c r="BK40" s="183">
        <f t="shared" si="10"/>
        <v>0</v>
      </c>
      <c r="BL40" s="183">
        <f t="shared" si="11"/>
        <v>19809385.847163267</v>
      </c>
      <c r="BM40" s="184">
        <f t="shared" si="12"/>
        <v>19726275.687163267</v>
      </c>
      <c r="BN40" s="184">
        <f>ROUNDDOWN(BM40*'1. UC Assumptions'!$C$23,2)</f>
        <v>6509670.9699999997</v>
      </c>
      <c r="BO40" s="184"/>
      <c r="BP40" s="185"/>
      <c r="BQ40" s="32"/>
      <c r="BR40" s="32"/>
    </row>
    <row r="41" spans="1:70">
      <c r="A41" s="177" t="s">
        <v>1276</v>
      </c>
      <c r="B41" s="178" t="s">
        <v>760</v>
      </c>
      <c r="C41" s="178" t="s">
        <v>760</v>
      </c>
      <c r="D41" s="179" t="s">
        <v>214</v>
      </c>
      <c r="E41" s="179"/>
      <c r="F41" s="177"/>
      <c r="G41" s="177" t="s">
        <v>1277</v>
      </c>
      <c r="H41" s="178" t="s">
        <v>4</v>
      </c>
      <c r="I41" s="178" t="s">
        <v>4</v>
      </c>
      <c r="J41" s="131">
        <f>IFERROR(INDEX(#REF!,(MATCH('Old Calc Tab'!C:C,#REF!,0))),0)</f>
        <v>0</v>
      </c>
      <c r="K41" s="131">
        <f>IFERROR(INDEX(#REF!,(MATCH('Old Calc Tab'!$C:$C,#REF!,0))),0)</f>
        <v>0</v>
      </c>
      <c r="L41" s="131"/>
      <c r="M41" s="131">
        <v>7667485</v>
      </c>
      <c r="N41" s="131">
        <f>IFERROR(INDEX(#REF!,(MATCH('Old Calc Tab'!$C:$C,#REF!,0))),0)</f>
        <v>0</v>
      </c>
      <c r="O41" s="131">
        <f t="shared" si="0"/>
        <v>0</v>
      </c>
      <c r="P41" s="131">
        <f t="shared" si="1"/>
        <v>7667485</v>
      </c>
      <c r="Q41" s="131"/>
      <c r="R41" s="131"/>
      <c r="S41" s="131"/>
      <c r="T41" s="131"/>
      <c r="U41" s="131"/>
      <c r="V41" s="131">
        <v>1521690</v>
      </c>
      <c r="W41" s="180">
        <v>0</v>
      </c>
      <c r="X41" s="180">
        <f t="shared" si="2"/>
        <v>9189175</v>
      </c>
      <c r="Y41" s="181">
        <f>IF(D41="Physician Group Practice",(X41/$AE$369)*'1. UC Assumptions'!$C$15,IF(OR(E41="Rural Hospital",E41="Hosp - State"),X41,(X41/$X$369)*'1. UC Assumptions'!$C$9))</f>
        <v>5530624.6801730432</v>
      </c>
      <c r="Z41" s="181">
        <f t="shared" si="3"/>
        <v>0</v>
      </c>
      <c r="AA41" s="181">
        <f t="shared" si="4"/>
        <v>3658550.3198269568</v>
      </c>
      <c r="AB41" s="182">
        <f t="shared" si="5"/>
        <v>1964.7554642853622</v>
      </c>
      <c r="AC41" s="181">
        <f t="shared" si="6"/>
        <v>3660515.075291242</v>
      </c>
      <c r="AD41" s="181">
        <f t="shared" si="7"/>
        <v>5532589.4356373288</v>
      </c>
      <c r="AE41" s="131">
        <v>14627058.02</v>
      </c>
      <c r="AF41" s="131">
        <f>AE41*'1. UC Assumptions'!$C$23</f>
        <v>4826929.1465999996</v>
      </c>
      <c r="AG41" s="183">
        <f>IF((((X41-W41-AE41)*'1. UC Assumptions'!$C$23)+AF41)&gt;0,((X41-W41-AE41)*'1. UC Assumptions'!$C$23)+AF41,0)</f>
        <v>3032427.75</v>
      </c>
      <c r="AH41" s="183">
        <f>IF(((X41-W41-AE41)*'1. UC Assumptions'!$C$23)&gt;0,(X41-W41-AE41)*'1. UC Assumptions'!$C$23,0)</f>
        <v>0</v>
      </c>
      <c r="AI41" s="183">
        <f t="shared" si="8"/>
        <v>4826929.1465999996</v>
      </c>
      <c r="AJ41" s="183">
        <f>IF(H41="Bexar",(AD41/$AJ$1)*'1. UC Assumptions'!$E$42,0)</f>
        <v>0</v>
      </c>
      <c r="AK41" s="183">
        <f>IF(H41="Dallas",(AD41/$AK$1)*'1. UC Assumptions'!$F$42,0)</f>
        <v>0</v>
      </c>
      <c r="AL41" s="183">
        <f>IF(H41="El Paso",(AD41/$AL$1)*'1. UC Assumptions'!$G$42,0)</f>
        <v>0</v>
      </c>
      <c r="AM41" s="183">
        <f>IF(H41="Harris",(AD41/$AM$1)*'1. UC Assumptions'!$H$42,0)</f>
        <v>0</v>
      </c>
      <c r="AN41" s="183">
        <f>IF(H41="Hidalgo",(AD41/$AN$1)*'1. UC Assumptions'!$I$42,0)</f>
        <v>0</v>
      </c>
      <c r="AO41" s="183">
        <f>IF(H41="Jefferson",(AD41/$AO$1)*'1. UC Assumptions'!$J$42,0)</f>
        <v>0</v>
      </c>
      <c r="AP41" s="183">
        <f>IF(H41="Lubbock",(AD41/$AP$1)*'1. UC Assumptions'!$K$42,0)</f>
        <v>0</v>
      </c>
      <c r="AQ41" s="183">
        <f>IF(H41="MRSA Central",(AD41/$AQ$1)*'1. UC Assumptions'!$L$42,0)</f>
        <v>0</v>
      </c>
      <c r="AR41" s="183">
        <f>IF(H41="MRSA Northeast",(AD41/$AR$1)*'1. UC Assumptions'!$M$42,0)</f>
        <v>0</v>
      </c>
      <c r="AS41" s="183">
        <f>IF(H41="MRSA West",(AD41/$AS$1)*'1. UC Assumptions'!$N$42,0)</f>
        <v>0</v>
      </c>
      <c r="AT41" s="183">
        <f>IF(H41="Nueces",(AD41/$AT$1)*'1. UC Assumptions'!$O$42,0)</f>
        <v>0</v>
      </c>
      <c r="AU41" s="183">
        <f>IF(H41="Tarrant",(AD41/$AU$1)*'1. UC Assumptions'!$P$42,0)</f>
        <v>0</v>
      </c>
      <c r="AV41" s="183">
        <f>IF(H41="Travis",(AD41/$AV$1)*'1. UC Assumptions'!$Q$42,0)</f>
        <v>0</v>
      </c>
      <c r="AW41" s="183">
        <f>IF(H41="Bexar",(AC41/$AW$1)*'1. UC Assumptions'!$E$44,0)</f>
        <v>0</v>
      </c>
      <c r="AX41" s="183">
        <f>IF(H41="Dallas",(AC41/$AX$1)*'1. UC Assumptions'!$F$44,0)</f>
        <v>0</v>
      </c>
      <c r="AY41" s="183">
        <f>IF(H41="El Paso",(AC41/$AY$1)*'1. UC Assumptions'!$G$44,0)</f>
        <v>0</v>
      </c>
      <c r="AZ41" s="183">
        <f>IF(H41="Harris",(AC41/$AZ$1)*'1. UC Assumptions'!$H$44,0)</f>
        <v>0</v>
      </c>
      <c r="BA41" s="183">
        <f>IF(H41="Hidalgo",(AC41/$BA$1)*'1. UC Assumptions'!$I$44,0)</f>
        <v>0</v>
      </c>
      <c r="BB41" s="183">
        <f>IF(H41="Jefferson",(AC41/$BB$1)*'1. UC Assumptions'!$J$44,0)</f>
        <v>0</v>
      </c>
      <c r="BC41" s="183">
        <f>IF(H41="Lubbock",(AC41/$BC$1)*'1. UC Assumptions'!$K$44,0)</f>
        <v>0</v>
      </c>
      <c r="BD41" s="183">
        <f>IF(H41="MRSA Central",(AC41/$BD$1)*'1. UC Assumptions'!$L$44,0)</f>
        <v>0</v>
      </c>
      <c r="BE41" s="183">
        <f>IF(H41="MRSA Northeast",(AC41/$BE$1)*'1. UC Assumptions'!$M$44,0)</f>
        <v>0</v>
      </c>
      <c r="BF41" s="183">
        <f>IF(H41="MRSA West",(AC41/$BF$1)*'1. UC Assumptions'!$N$44,0)</f>
        <v>0</v>
      </c>
      <c r="BG41" s="183">
        <f>IF(H41="Nueces",(AC41/$BG$1)*'1. UC Assumptions'!$O$44,0)</f>
        <v>0</v>
      </c>
      <c r="BH41" s="183">
        <f>IF(H41="Tarrant",(AC41/$BH$1)*'1. UC Assumptions'!$P$44,0)</f>
        <v>0</v>
      </c>
      <c r="BI41" s="183">
        <f>IF(H41="Travis",(AC41/$BI$1)*'1. UC Assumptions'!$Q$44,0)</f>
        <v>0</v>
      </c>
      <c r="BJ41" s="183">
        <f t="shared" si="9"/>
        <v>0</v>
      </c>
      <c r="BK41" s="183">
        <f t="shared" si="10"/>
        <v>0</v>
      </c>
      <c r="BL41" s="183">
        <f t="shared" si="11"/>
        <v>5532589.4356373288</v>
      </c>
      <c r="BM41" s="184">
        <f t="shared" si="12"/>
        <v>-9094468.5843626708</v>
      </c>
      <c r="BN41" s="184">
        <f>ROUNDDOWN(BM41*'1. UC Assumptions'!$C$23,2)</f>
        <v>-3001174.63</v>
      </c>
      <c r="BO41" s="184"/>
      <c r="BP41" s="185"/>
      <c r="BQ41" s="32"/>
      <c r="BR41" s="32"/>
    </row>
    <row r="42" spans="1:70">
      <c r="A42" s="177" t="s">
        <v>1278</v>
      </c>
      <c r="B42" s="177" t="s">
        <v>779</v>
      </c>
      <c r="C42" s="178" t="s">
        <v>779</v>
      </c>
      <c r="D42" s="179" t="s">
        <v>214</v>
      </c>
      <c r="E42" s="179"/>
      <c r="F42" s="177"/>
      <c r="G42" s="177" t="s">
        <v>780</v>
      </c>
      <c r="H42" s="178" t="s">
        <v>4</v>
      </c>
      <c r="I42" s="178" t="s">
        <v>4</v>
      </c>
      <c r="J42" s="131">
        <f>IFERROR(INDEX(#REF!,(MATCH('Old Calc Tab'!C:C,#REF!,0))),0)</f>
        <v>0</v>
      </c>
      <c r="K42" s="131">
        <f>IFERROR(INDEX(#REF!,(MATCH('Old Calc Tab'!$C:$C,#REF!,0))),0)</f>
        <v>0</v>
      </c>
      <c r="L42" s="131"/>
      <c r="M42" s="131">
        <v>73136426.88000001</v>
      </c>
      <c r="N42" s="131">
        <f>IFERROR(INDEX(#REF!,(MATCH('Old Calc Tab'!$C:$C,#REF!,0))),0)</f>
        <v>0</v>
      </c>
      <c r="O42" s="131">
        <f t="shared" si="0"/>
        <v>0</v>
      </c>
      <c r="P42" s="131">
        <f t="shared" si="1"/>
        <v>73136426.88000001</v>
      </c>
      <c r="Q42" s="131"/>
      <c r="R42" s="131"/>
      <c r="S42" s="131"/>
      <c r="T42" s="131"/>
      <c r="U42" s="131"/>
      <c r="V42" s="131">
        <v>0</v>
      </c>
      <c r="W42" s="180">
        <v>0</v>
      </c>
      <c r="X42" s="180">
        <f t="shared" si="2"/>
        <v>73136426.88000001</v>
      </c>
      <c r="Y42" s="181">
        <f>IF(D42="Physician Group Practice",(X42/$AE$369)*'1. UC Assumptions'!$C$15,IF(OR(E42="Rural Hospital",E42="Hosp - State"),X42,(X42/$X$369)*'1. UC Assumptions'!$C$9))</f>
        <v>44018111.258322887</v>
      </c>
      <c r="Z42" s="181">
        <f t="shared" si="3"/>
        <v>0</v>
      </c>
      <c r="AA42" s="181">
        <f t="shared" si="4"/>
        <v>29118315.621677123</v>
      </c>
      <c r="AB42" s="182">
        <f t="shared" si="5"/>
        <v>15637.442354812794</v>
      </c>
      <c r="AC42" s="181">
        <f t="shared" si="6"/>
        <v>29133953.064031936</v>
      </c>
      <c r="AD42" s="181">
        <f t="shared" si="7"/>
        <v>44033748.7006777</v>
      </c>
      <c r="AE42" s="131">
        <v>26643012.82</v>
      </c>
      <c r="AF42" s="131">
        <f>AE42*'1. UC Assumptions'!$C$23</f>
        <v>8792194.2305999994</v>
      </c>
      <c r="AG42" s="183">
        <f>IF((((X42-W42-AE42)*'1. UC Assumptions'!$C$23)+AF42)&gt;0,((X42-W42-AE42)*'1. UC Assumptions'!$C$23)+AF42,0)</f>
        <v>24135020.8704</v>
      </c>
      <c r="AH42" s="183">
        <f>IF(((X42-W42-AE42)*'1. UC Assumptions'!$C$23)&gt;0,(X42-W42-AE42)*'1. UC Assumptions'!$C$23,0)</f>
        <v>15342826.639800001</v>
      </c>
      <c r="AI42" s="183">
        <f t="shared" si="8"/>
        <v>24135020.8704</v>
      </c>
      <c r="AJ42" s="183">
        <f>IF(H42="Bexar",(AD42/$AJ$1)*'1. UC Assumptions'!$E$42,0)</f>
        <v>0</v>
      </c>
      <c r="AK42" s="183">
        <f>IF(H42="Dallas",(AD42/$AK$1)*'1. UC Assumptions'!$F$42,0)</f>
        <v>0</v>
      </c>
      <c r="AL42" s="183">
        <f>IF(H42="El Paso",(AD42/$AL$1)*'1. UC Assumptions'!$G$42,0)</f>
        <v>0</v>
      </c>
      <c r="AM42" s="183">
        <f>IF(H42="Harris",(AD42/$AM$1)*'1. UC Assumptions'!$H$42,0)</f>
        <v>0</v>
      </c>
      <c r="AN42" s="183">
        <f>IF(H42="Hidalgo",(AD42/$AN$1)*'1. UC Assumptions'!$I$42,0)</f>
        <v>0</v>
      </c>
      <c r="AO42" s="183">
        <f>IF(H42="Jefferson",(AD42/$AO$1)*'1. UC Assumptions'!$J$42,0)</f>
        <v>0</v>
      </c>
      <c r="AP42" s="183">
        <f>IF(H42="Lubbock",(AD42/$AP$1)*'1. UC Assumptions'!$K$42,0)</f>
        <v>0</v>
      </c>
      <c r="AQ42" s="183">
        <f>IF(H42="MRSA Central",(AD42/$AQ$1)*'1. UC Assumptions'!$L$42,0)</f>
        <v>0</v>
      </c>
      <c r="AR42" s="183">
        <f>IF(H42="MRSA Northeast",(AD42/$AR$1)*'1. UC Assumptions'!$M$42,0)</f>
        <v>0</v>
      </c>
      <c r="AS42" s="183">
        <f>IF(H42="MRSA West",(AD42/$AS$1)*'1. UC Assumptions'!$N$42,0)</f>
        <v>0</v>
      </c>
      <c r="AT42" s="183">
        <f>IF(H42="Nueces",(AD42/$AT$1)*'1. UC Assumptions'!$O$42,0)</f>
        <v>0</v>
      </c>
      <c r="AU42" s="183">
        <f>IF(H42="Tarrant",(AD42/$AU$1)*'1. UC Assumptions'!$P$42,0)</f>
        <v>0</v>
      </c>
      <c r="AV42" s="183">
        <f>IF(H42="Travis",(AD42/$AV$1)*'1. UC Assumptions'!$Q$42,0)</f>
        <v>0</v>
      </c>
      <c r="AW42" s="183">
        <f>IF(H42="Bexar",(AC42/$AW$1)*'1. UC Assumptions'!$E$44,0)</f>
        <v>0</v>
      </c>
      <c r="AX42" s="183">
        <f>IF(H42="Dallas",(AC42/$AX$1)*'1. UC Assumptions'!$F$44,0)</f>
        <v>0</v>
      </c>
      <c r="AY42" s="183">
        <f>IF(H42="El Paso",(AC42/$AY$1)*'1. UC Assumptions'!$G$44,0)</f>
        <v>0</v>
      </c>
      <c r="AZ42" s="183">
        <f>IF(H42="Harris",(AC42/$AZ$1)*'1. UC Assumptions'!$H$44,0)</f>
        <v>0</v>
      </c>
      <c r="BA42" s="183">
        <f>IF(H42="Hidalgo",(AC42/$BA$1)*'1. UC Assumptions'!$I$44,0)</f>
        <v>0</v>
      </c>
      <c r="BB42" s="183">
        <f>IF(H42="Jefferson",(AC42/$BB$1)*'1. UC Assumptions'!$J$44,0)</f>
        <v>0</v>
      </c>
      <c r="BC42" s="183">
        <f>IF(H42="Lubbock",(AC42/$BC$1)*'1. UC Assumptions'!$K$44,0)</f>
        <v>0</v>
      </c>
      <c r="BD42" s="183">
        <f>IF(H42="MRSA Central",(AC42/$BD$1)*'1. UC Assumptions'!$L$44,0)</f>
        <v>0</v>
      </c>
      <c r="BE42" s="183">
        <f>IF(H42="MRSA Northeast",(AC42/$BE$1)*'1. UC Assumptions'!$M$44,0)</f>
        <v>0</v>
      </c>
      <c r="BF42" s="183">
        <f>IF(H42="MRSA West",(AC42/$BF$1)*'1. UC Assumptions'!$N$44,0)</f>
        <v>0</v>
      </c>
      <c r="BG42" s="183">
        <f>IF(H42="Nueces",(AC42/$BG$1)*'1. UC Assumptions'!$O$44,0)</f>
        <v>0</v>
      </c>
      <c r="BH42" s="183">
        <f>IF(H42="Tarrant",(AC42/$BH$1)*'1. UC Assumptions'!$P$44,0)</f>
        <v>0</v>
      </c>
      <c r="BI42" s="183">
        <f>IF(H42="Travis",(AC42/$BI$1)*'1. UC Assumptions'!$Q$44,0)</f>
        <v>0</v>
      </c>
      <c r="BJ42" s="183">
        <f t="shared" si="9"/>
        <v>0</v>
      </c>
      <c r="BK42" s="183">
        <f t="shared" si="10"/>
        <v>0</v>
      </c>
      <c r="BL42" s="183">
        <f t="shared" si="11"/>
        <v>44033748.7006777</v>
      </c>
      <c r="BM42" s="184">
        <f t="shared" si="12"/>
        <v>17390735.8806777</v>
      </c>
      <c r="BN42" s="184">
        <f>ROUNDDOWN(BM42*'1. UC Assumptions'!$C$23,2)</f>
        <v>5738942.8399999999</v>
      </c>
      <c r="BO42" s="184"/>
      <c r="BP42" s="185"/>
      <c r="BQ42" s="32"/>
      <c r="BR42" s="32"/>
    </row>
    <row r="43" spans="1:70">
      <c r="A43" s="177" t="s">
        <v>1279</v>
      </c>
      <c r="B43" s="177" t="s">
        <v>798</v>
      </c>
      <c r="C43" s="178" t="s">
        <v>798</v>
      </c>
      <c r="D43" s="179" t="s">
        <v>214</v>
      </c>
      <c r="E43" s="179"/>
      <c r="F43" s="177"/>
      <c r="G43" s="177" t="s">
        <v>1280</v>
      </c>
      <c r="H43" s="178" t="s">
        <v>4</v>
      </c>
      <c r="I43" s="178" t="s">
        <v>4</v>
      </c>
      <c r="J43" s="131">
        <f>IFERROR(INDEX(#REF!,(MATCH('Old Calc Tab'!C:C,#REF!,0))),0)</f>
        <v>0</v>
      </c>
      <c r="K43" s="131">
        <f>IFERROR(INDEX(#REF!,(MATCH('Old Calc Tab'!$C:$C,#REF!,0))),0)</f>
        <v>0</v>
      </c>
      <c r="L43" s="131"/>
      <c r="M43" s="131">
        <v>2827933.68</v>
      </c>
      <c r="N43" s="131">
        <f>IFERROR(INDEX(#REF!,(MATCH('Old Calc Tab'!$C:$C,#REF!,0))),0)</f>
        <v>0</v>
      </c>
      <c r="O43" s="131">
        <f t="shared" si="0"/>
        <v>0</v>
      </c>
      <c r="P43" s="131">
        <f t="shared" si="1"/>
        <v>2827933.68</v>
      </c>
      <c r="Q43" s="131"/>
      <c r="R43" s="131"/>
      <c r="S43" s="131"/>
      <c r="T43" s="131"/>
      <c r="U43" s="131"/>
      <c r="V43" s="131">
        <v>0</v>
      </c>
      <c r="W43" s="180">
        <v>0</v>
      </c>
      <c r="X43" s="180">
        <f t="shared" si="2"/>
        <v>2827933.68</v>
      </c>
      <c r="Y43" s="181">
        <f>IF(D43="Physician Group Practice",(X43/$AE$369)*'1. UC Assumptions'!$C$15,IF(OR(E43="Rural Hospital",E43="Hosp - State"),X43,(X43/$X$369)*'1. UC Assumptions'!$C$9))</f>
        <v>1702028.7245047113</v>
      </c>
      <c r="Z43" s="181">
        <f t="shared" si="3"/>
        <v>0</v>
      </c>
      <c r="AA43" s="181">
        <f t="shared" si="4"/>
        <v>1125904.9554952888</v>
      </c>
      <c r="AB43" s="182">
        <f t="shared" si="5"/>
        <v>604.64602648405457</v>
      </c>
      <c r="AC43" s="181">
        <f t="shared" si="6"/>
        <v>1126509.6015217728</v>
      </c>
      <c r="AD43" s="181">
        <f t="shared" si="7"/>
        <v>1702633.3705311953</v>
      </c>
      <c r="AE43" s="131">
        <v>905229.81</v>
      </c>
      <c r="AF43" s="131">
        <f>AE43*'1. UC Assumptions'!$C$23</f>
        <v>298725.83729999996</v>
      </c>
      <c r="AG43" s="183">
        <f>IF((((X43-W43-AE43)*'1. UC Assumptions'!$C$23)+AF43)&gt;0,((X43-W43-AE43)*'1. UC Assumptions'!$C$23)+AF43,0)</f>
        <v>933218.11439999985</v>
      </c>
      <c r="AH43" s="183">
        <f>IF(((X43-W43-AE43)*'1. UC Assumptions'!$C$23)&gt;0,(X43-W43-AE43)*'1. UC Assumptions'!$C$23,0)</f>
        <v>634492.27709999995</v>
      </c>
      <c r="AI43" s="183">
        <f t="shared" si="8"/>
        <v>933218.11439999985</v>
      </c>
      <c r="AJ43" s="183">
        <f>IF(H43="Bexar",(AD43/$AJ$1)*'1. UC Assumptions'!$E$42,0)</f>
        <v>0</v>
      </c>
      <c r="AK43" s="183">
        <f>IF(H43="Dallas",(AD43/$AK$1)*'1. UC Assumptions'!$F$42,0)</f>
        <v>0</v>
      </c>
      <c r="AL43" s="183">
        <f>IF(H43="El Paso",(AD43/$AL$1)*'1. UC Assumptions'!$G$42,0)</f>
        <v>0</v>
      </c>
      <c r="AM43" s="183">
        <f>IF(H43="Harris",(AD43/$AM$1)*'1. UC Assumptions'!$H$42,0)</f>
        <v>0</v>
      </c>
      <c r="AN43" s="183">
        <f>IF(H43="Hidalgo",(AD43/$AN$1)*'1. UC Assumptions'!$I$42,0)</f>
        <v>0</v>
      </c>
      <c r="AO43" s="183">
        <f>IF(H43="Jefferson",(AD43/$AO$1)*'1. UC Assumptions'!$J$42,0)</f>
        <v>0</v>
      </c>
      <c r="AP43" s="183">
        <f>IF(H43="Lubbock",(AD43/$AP$1)*'1. UC Assumptions'!$K$42,0)</f>
        <v>0</v>
      </c>
      <c r="AQ43" s="183">
        <f>IF(H43="MRSA Central",(AD43/$AQ$1)*'1. UC Assumptions'!$L$42,0)</f>
        <v>0</v>
      </c>
      <c r="AR43" s="183">
        <f>IF(H43="MRSA Northeast",(AD43/$AR$1)*'1. UC Assumptions'!$M$42,0)</f>
        <v>0</v>
      </c>
      <c r="AS43" s="183">
        <f>IF(H43="MRSA West",(AD43/$AS$1)*'1. UC Assumptions'!$N$42,0)</f>
        <v>0</v>
      </c>
      <c r="AT43" s="183">
        <f>IF(H43="Nueces",(AD43/$AT$1)*'1. UC Assumptions'!$O$42,0)</f>
        <v>0</v>
      </c>
      <c r="AU43" s="183">
        <f>IF(H43="Tarrant",(AD43/$AU$1)*'1. UC Assumptions'!$P$42,0)</f>
        <v>0</v>
      </c>
      <c r="AV43" s="183">
        <f>IF(H43="Travis",(AD43/$AV$1)*'1. UC Assumptions'!$Q$42,0)</f>
        <v>0</v>
      </c>
      <c r="AW43" s="183">
        <f>IF(H43="Bexar",(AC43/$AW$1)*'1. UC Assumptions'!$E$44,0)</f>
        <v>0</v>
      </c>
      <c r="AX43" s="183">
        <f>IF(H43="Dallas",(AC43/$AX$1)*'1. UC Assumptions'!$F$44,0)</f>
        <v>0</v>
      </c>
      <c r="AY43" s="183">
        <f>IF(H43="El Paso",(AC43/$AY$1)*'1. UC Assumptions'!$G$44,0)</f>
        <v>0</v>
      </c>
      <c r="AZ43" s="183">
        <f>IF(H43="Harris",(AC43/$AZ$1)*'1. UC Assumptions'!$H$44,0)</f>
        <v>0</v>
      </c>
      <c r="BA43" s="183">
        <f>IF(H43="Hidalgo",(AC43/$BA$1)*'1. UC Assumptions'!$I$44,0)</f>
        <v>0</v>
      </c>
      <c r="BB43" s="183">
        <f>IF(H43="Jefferson",(AC43/$BB$1)*'1. UC Assumptions'!$J$44,0)</f>
        <v>0</v>
      </c>
      <c r="BC43" s="183">
        <f>IF(H43="Lubbock",(AC43/$BC$1)*'1. UC Assumptions'!$K$44,0)</f>
        <v>0</v>
      </c>
      <c r="BD43" s="183">
        <f>IF(H43="MRSA Central",(AC43/$BD$1)*'1. UC Assumptions'!$L$44,0)</f>
        <v>0</v>
      </c>
      <c r="BE43" s="183">
        <f>IF(H43="MRSA Northeast",(AC43/$BE$1)*'1. UC Assumptions'!$M$44,0)</f>
        <v>0</v>
      </c>
      <c r="BF43" s="183">
        <f>IF(H43="MRSA West",(AC43/$BF$1)*'1. UC Assumptions'!$N$44,0)</f>
        <v>0</v>
      </c>
      <c r="BG43" s="183">
        <f>IF(H43="Nueces",(AC43/$BG$1)*'1. UC Assumptions'!$O$44,0)</f>
        <v>0</v>
      </c>
      <c r="BH43" s="183">
        <f>IF(H43="Tarrant",(AC43/$BH$1)*'1. UC Assumptions'!$P$44,0)</f>
        <v>0</v>
      </c>
      <c r="BI43" s="183">
        <f>IF(H43="Travis",(AC43/$BI$1)*'1. UC Assumptions'!$Q$44,0)</f>
        <v>0</v>
      </c>
      <c r="BJ43" s="183">
        <f t="shared" si="9"/>
        <v>0</v>
      </c>
      <c r="BK43" s="183">
        <f t="shared" si="10"/>
        <v>0</v>
      </c>
      <c r="BL43" s="183">
        <f t="shared" si="11"/>
        <v>1702633.3705311953</v>
      </c>
      <c r="BM43" s="184">
        <f t="shared" si="12"/>
        <v>797403.56053119525</v>
      </c>
      <c r="BN43" s="184">
        <f>ROUNDDOWN(BM43*'1. UC Assumptions'!$C$23,2)</f>
        <v>263143.17</v>
      </c>
      <c r="BO43" s="184"/>
      <c r="BP43" s="185"/>
      <c r="BQ43" s="32"/>
      <c r="BR43" s="32"/>
    </row>
    <row r="44" spans="1:70">
      <c r="A44" s="177" t="s">
        <v>1281</v>
      </c>
      <c r="B44" s="178" t="s">
        <v>1282</v>
      </c>
      <c r="C44" s="178" t="s">
        <v>1282</v>
      </c>
      <c r="D44" s="179" t="s">
        <v>214</v>
      </c>
      <c r="E44" s="179"/>
      <c r="F44" s="177"/>
      <c r="G44" s="177" t="s">
        <v>1283</v>
      </c>
      <c r="H44" s="178" t="s">
        <v>4</v>
      </c>
      <c r="I44" s="178" t="s">
        <v>260</v>
      </c>
      <c r="J44" s="131">
        <f>IFERROR(INDEX(#REF!,(MATCH('Old Calc Tab'!C:C,#REF!,0))),0)</f>
        <v>0</v>
      </c>
      <c r="K44" s="131">
        <f>IFERROR(INDEX(#REF!,(MATCH('Old Calc Tab'!$C:$C,#REF!,0))),0)</f>
        <v>0</v>
      </c>
      <c r="L44" s="131"/>
      <c r="M44" s="131">
        <v>5250788.0879999995</v>
      </c>
      <c r="N44" s="131">
        <f>IFERROR(INDEX(#REF!,(MATCH('Old Calc Tab'!$C:$C,#REF!,0))),0)</f>
        <v>0</v>
      </c>
      <c r="O44" s="131">
        <f t="shared" si="0"/>
        <v>0</v>
      </c>
      <c r="P44" s="131">
        <f t="shared" si="1"/>
        <v>5250788.0879999995</v>
      </c>
      <c r="Q44" s="131"/>
      <c r="R44" s="131"/>
      <c r="S44" s="131"/>
      <c r="T44" s="131"/>
      <c r="U44" s="131"/>
      <c r="V44" s="131">
        <v>0</v>
      </c>
      <c r="W44" s="180">
        <v>0</v>
      </c>
      <c r="X44" s="180">
        <f t="shared" si="2"/>
        <v>5250788.0879999995</v>
      </c>
      <c r="Y44" s="181">
        <f>IF(D44="Physician Group Practice",(X44/$AE$369)*'1. UC Assumptions'!$C$15,IF(OR(E44="Rural Hospital",E44="Hosp - State"),X44,(X44/$X$369)*'1. UC Assumptions'!$C$9))</f>
        <v>3160255.2122308505</v>
      </c>
      <c r="Z44" s="181">
        <f t="shared" si="3"/>
        <v>0</v>
      </c>
      <c r="AA44" s="181">
        <f t="shared" si="4"/>
        <v>2090532.875769149</v>
      </c>
      <c r="AB44" s="182">
        <f t="shared" si="5"/>
        <v>1122.6812622136904</v>
      </c>
      <c r="AC44" s="181">
        <f t="shared" si="6"/>
        <v>2091655.5570313628</v>
      </c>
      <c r="AD44" s="181">
        <f t="shared" si="7"/>
        <v>3161377.8934930642</v>
      </c>
      <c r="AE44" s="131">
        <v>377681.42</v>
      </c>
      <c r="AF44" s="131">
        <f>AE44*'1. UC Assumptions'!$C$23</f>
        <v>124634.86859999997</v>
      </c>
      <c r="AG44" s="183">
        <f>IF((((X44-W44-AE44)*'1. UC Assumptions'!$C$23)+AF44)&gt;0,((X44-W44-AE44)*'1. UC Assumptions'!$C$23)+AF44,0)</f>
        <v>1732760.0690399995</v>
      </c>
      <c r="AH44" s="183">
        <f>IF(((X44-W44-AE44)*'1. UC Assumptions'!$C$23)&gt;0,(X44-W44-AE44)*'1. UC Assumptions'!$C$23,0)</f>
        <v>1608125.2004399996</v>
      </c>
      <c r="AI44" s="183">
        <f t="shared" si="8"/>
        <v>1732760.0690399995</v>
      </c>
      <c r="AJ44" s="183">
        <f>IF(H44="Bexar",(AD44/$AJ$1)*'1. UC Assumptions'!$E$42,0)</f>
        <v>0</v>
      </c>
      <c r="AK44" s="183">
        <f>IF(H44="Dallas",(AD44/$AK$1)*'1. UC Assumptions'!$F$42,0)</f>
        <v>0</v>
      </c>
      <c r="AL44" s="183">
        <f>IF(H44="El Paso",(AD44/$AL$1)*'1. UC Assumptions'!$G$42,0)</f>
        <v>0</v>
      </c>
      <c r="AM44" s="183">
        <f>IF(H44="Harris",(AD44/$AM$1)*'1. UC Assumptions'!$H$42,0)</f>
        <v>0</v>
      </c>
      <c r="AN44" s="183">
        <f>IF(H44="Hidalgo",(AD44/$AN$1)*'1. UC Assumptions'!$I$42,0)</f>
        <v>0</v>
      </c>
      <c r="AO44" s="183">
        <f>IF(H44="Jefferson",(AD44/$AO$1)*'1. UC Assumptions'!$J$42,0)</f>
        <v>0</v>
      </c>
      <c r="AP44" s="183">
        <f>IF(H44="Lubbock",(AD44/$AP$1)*'1. UC Assumptions'!$K$42,0)</f>
        <v>0</v>
      </c>
      <c r="AQ44" s="183">
        <f>IF(H44="MRSA Central",(AD44/$AQ$1)*'1. UC Assumptions'!$L$42,0)</f>
        <v>0</v>
      </c>
      <c r="AR44" s="183">
        <f>IF(H44="MRSA Northeast",(AD44/$AR$1)*'1. UC Assumptions'!$M$42,0)</f>
        <v>0</v>
      </c>
      <c r="AS44" s="183">
        <f>IF(H44="MRSA West",(AD44/$AS$1)*'1. UC Assumptions'!$N$42,0)</f>
        <v>0</v>
      </c>
      <c r="AT44" s="183">
        <f>IF(H44="Nueces",(AD44/$AT$1)*'1. UC Assumptions'!$O$42,0)</f>
        <v>0</v>
      </c>
      <c r="AU44" s="183">
        <f>IF(H44="Tarrant",(AD44/$AU$1)*'1. UC Assumptions'!$P$42,0)</f>
        <v>0</v>
      </c>
      <c r="AV44" s="183">
        <f>IF(H44="Travis",(AD44/$AV$1)*'1. UC Assumptions'!$Q$42,0)</f>
        <v>0</v>
      </c>
      <c r="AW44" s="183">
        <f>IF(H44="Bexar",(AC44/$AW$1)*'1. UC Assumptions'!$E$44,0)</f>
        <v>0</v>
      </c>
      <c r="AX44" s="183">
        <f>IF(H44="Dallas",(AC44/$AX$1)*'1. UC Assumptions'!$F$44,0)</f>
        <v>0</v>
      </c>
      <c r="AY44" s="183">
        <f>IF(H44="El Paso",(AC44/$AY$1)*'1. UC Assumptions'!$G$44,0)</f>
        <v>0</v>
      </c>
      <c r="AZ44" s="183">
        <f>IF(H44="Harris",(AC44/$AZ$1)*'1. UC Assumptions'!$H$44,0)</f>
        <v>0</v>
      </c>
      <c r="BA44" s="183">
        <f>IF(H44="Hidalgo",(AC44/$BA$1)*'1. UC Assumptions'!$I$44,0)</f>
        <v>0</v>
      </c>
      <c r="BB44" s="183">
        <f>IF(H44="Jefferson",(AC44/$BB$1)*'1. UC Assumptions'!$J$44,0)</f>
        <v>0</v>
      </c>
      <c r="BC44" s="183">
        <f>IF(H44="Lubbock",(AC44/$BC$1)*'1. UC Assumptions'!$K$44,0)</f>
        <v>0</v>
      </c>
      <c r="BD44" s="183">
        <f>IF(H44="MRSA Central",(AC44/$BD$1)*'1. UC Assumptions'!$L$44,0)</f>
        <v>0</v>
      </c>
      <c r="BE44" s="183">
        <f>IF(H44="MRSA Northeast",(AC44/$BE$1)*'1. UC Assumptions'!$M$44,0)</f>
        <v>0</v>
      </c>
      <c r="BF44" s="183">
        <f>IF(H44="MRSA West",(AC44/$BF$1)*'1. UC Assumptions'!$N$44,0)</f>
        <v>0</v>
      </c>
      <c r="BG44" s="183">
        <f>IF(H44="Nueces",(AC44/$BG$1)*'1. UC Assumptions'!$O$44,0)</f>
        <v>0</v>
      </c>
      <c r="BH44" s="183">
        <f>IF(H44="Tarrant",(AC44/$BH$1)*'1. UC Assumptions'!$P$44,0)</f>
        <v>0</v>
      </c>
      <c r="BI44" s="183">
        <f>IF(H44="Travis",(AC44/$BI$1)*'1. UC Assumptions'!$Q$44,0)</f>
        <v>0</v>
      </c>
      <c r="BJ44" s="183">
        <f t="shared" si="9"/>
        <v>0</v>
      </c>
      <c r="BK44" s="183">
        <f t="shared" si="10"/>
        <v>0</v>
      </c>
      <c r="BL44" s="183">
        <f t="shared" si="11"/>
        <v>3161377.8934930642</v>
      </c>
      <c r="BM44" s="184">
        <f t="shared" si="12"/>
        <v>2783696.4734930643</v>
      </c>
      <c r="BN44" s="184">
        <f>ROUNDDOWN(BM44*'1. UC Assumptions'!$C$23,2)</f>
        <v>918619.83</v>
      </c>
      <c r="BO44" s="184"/>
      <c r="BP44" s="185"/>
      <c r="BQ44" s="32"/>
      <c r="BR44" s="32"/>
    </row>
    <row r="45" spans="1:70">
      <c r="A45" s="177" t="s">
        <v>1284</v>
      </c>
      <c r="B45" s="177" t="s">
        <v>821</v>
      </c>
      <c r="C45" s="178" t="s">
        <v>821</v>
      </c>
      <c r="D45" s="179" t="s">
        <v>214</v>
      </c>
      <c r="E45" s="179"/>
      <c r="F45" s="177"/>
      <c r="G45" s="177" t="s">
        <v>822</v>
      </c>
      <c r="H45" s="178" t="s">
        <v>4</v>
      </c>
      <c r="I45" s="178" t="s">
        <v>260</v>
      </c>
      <c r="J45" s="131">
        <f>IFERROR(INDEX(#REF!,(MATCH('Old Calc Tab'!C:C,#REF!,0))),0)</f>
        <v>0</v>
      </c>
      <c r="K45" s="131">
        <f>IFERROR(INDEX(#REF!,(MATCH('Old Calc Tab'!$C:$C,#REF!,0))),0)</f>
        <v>0</v>
      </c>
      <c r="L45" s="131"/>
      <c r="M45" s="131">
        <v>0</v>
      </c>
      <c r="N45" s="131">
        <f>IFERROR(INDEX(#REF!,(MATCH('Old Calc Tab'!$C:$C,#REF!,0))),0)</f>
        <v>0</v>
      </c>
      <c r="O45" s="131">
        <f t="shared" si="0"/>
        <v>0</v>
      </c>
      <c r="P45" s="131">
        <f t="shared" si="1"/>
        <v>0</v>
      </c>
      <c r="Q45" s="131"/>
      <c r="R45" s="131"/>
      <c r="S45" s="131"/>
      <c r="T45" s="131"/>
      <c r="U45" s="131"/>
      <c r="V45" s="131">
        <v>0</v>
      </c>
      <c r="W45" s="180">
        <v>0</v>
      </c>
      <c r="X45" s="180">
        <f t="shared" si="2"/>
        <v>0</v>
      </c>
      <c r="Y45" s="181">
        <f>IF(D45="Physician Group Practice",(X45/$AE$369)*'1. UC Assumptions'!$C$15,IF(OR(E45="Rural Hospital",E45="Hosp - State"),X45,(X45/$X$369)*'1. UC Assumptions'!$C$9))</f>
        <v>0</v>
      </c>
      <c r="Z45" s="181">
        <f t="shared" si="3"/>
        <v>0</v>
      </c>
      <c r="AA45" s="181">
        <f t="shared" si="4"/>
        <v>0</v>
      </c>
      <c r="AB45" s="182">
        <f t="shared" si="5"/>
        <v>0</v>
      </c>
      <c r="AC45" s="181">
        <f t="shared" si="6"/>
        <v>0</v>
      </c>
      <c r="AD45" s="181">
        <f t="shared" si="7"/>
        <v>0</v>
      </c>
      <c r="AE45" s="131">
        <v>0</v>
      </c>
      <c r="AF45" s="131">
        <f>AE45*'1. UC Assumptions'!$C$23</f>
        <v>0</v>
      </c>
      <c r="AG45" s="183">
        <f>IF((((X45-W45-AE45)*'1. UC Assumptions'!$C$23)+AF45)&gt;0,((X45-W45-AE45)*'1. UC Assumptions'!$C$23)+AF45,0)</f>
        <v>0</v>
      </c>
      <c r="AH45" s="183">
        <f>IF(((X45-W45-AE45)*'1. UC Assumptions'!$C$23)&gt;0,(X45-W45-AE45)*'1. UC Assumptions'!$C$23,0)</f>
        <v>0</v>
      </c>
      <c r="AI45" s="183">
        <f t="shared" si="8"/>
        <v>0</v>
      </c>
      <c r="AJ45" s="183">
        <f>IF(H45="Bexar",(AD45/$AJ$1)*'1. UC Assumptions'!$E$42,0)</f>
        <v>0</v>
      </c>
      <c r="AK45" s="183">
        <f>IF(H45="Dallas",(AD45/$AK$1)*'1. UC Assumptions'!$F$42,0)</f>
        <v>0</v>
      </c>
      <c r="AL45" s="183">
        <f>IF(H45="El Paso",(AD45/$AL$1)*'1. UC Assumptions'!$G$42,0)</f>
        <v>0</v>
      </c>
      <c r="AM45" s="183">
        <f>IF(H45="Harris",(AD45/$AM$1)*'1. UC Assumptions'!$H$42,0)</f>
        <v>0</v>
      </c>
      <c r="AN45" s="183">
        <f>IF(H45="Hidalgo",(AD45/$AN$1)*'1. UC Assumptions'!$I$42,0)</f>
        <v>0</v>
      </c>
      <c r="AO45" s="183">
        <f>IF(H45="Jefferson",(AD45/$AO$1)*'1. UC Assumptions'!$J$42,0)</f>
        <v>0</v>
      </c>
      <c r="AP45" s="183">
        <f>IF(H45="Lubbock",(AD45/$AP$1)*'1. UC Assumptions'!$K$42,0)</f>
        <v>0</v>
      </c>
      <c r="AQ45" s="183">
        <f>IF(H45="MRSA Central",(AD45/$AQ$1)*'1. UC Assumptions'!$L$42,0)</f>
        <v>0</v>
      </c>
      <c r="AR45" s="183">
        <f>IF(H45="MRSA Northeast",(AD45/$AR$1)*'1. UC Assumptions'!$M$42,0)</f>
        <v>0</v>
      </c>
      <c r="AS45" s="183">
        <f>IF(H45="MRSA West",(AD45/$AS$1)*'1. UC Assumptions'!$N$42,0)</f>
        <v>0</v>
      </c>
      <c r="AT45" s="183">
        <f>IF(H45="Nueces",(AD45/$AT$1)*'1. UC Assumptions'!$O$42,0)</f>
        <v>0</v>
      </c>
      <c r="AU45" s="183">
        <f>IF(H45="Tarrant",(AD45/$AU$1)*'1. UC Assumptions'!$P$42,0)</f>
        <v>0</v>
      </c>
      <c r="AV45" s="183">
        <f>IF(H45="Travis",(AD45/$AV$1)*'1. UC Assumptions'!$Q$42,0)</f>
        <v>0</v>
      </c>
      <c r="AW45" s="183">
        <f>IF(H45="Bexar",(AC45/$AW$1)*'1. UC Assumptions'!$E$44,0)</f>
        <v>0</v>
      </c>
      <c r="AX45" s="183">
        <f>IF(H45="Dallas",(AC45/$AX$1)*'1. UC Assumptions'!$F$44,0)</f>
        <v>0</v>
      </c>
      <c r="AY45" s="183">
        <f>IF(H45="El Paso",(AC45/$AY$1)*'1. UC Assumptions'!$G$44,0)</f>
        <v>0</v>
      </c>
      <c r="AZ45" s="183">
        <f>IF(H45="Harris",(AC45/$AZ$1)*'1. UC Assumptions'!$H$44,0)</f>
        <v>0</v>
      </c>
      <c r="BA45" s="183">
        <f>IF(H45="Hidalgo",(AC45/$BA$1)*'1. UC Assumptions'!$I$44,0)</f>
        <v>0</v>
      </c>
      <c r="BB45" s="183">
        <f>IF(H45="Jefferson",(AC45/$BB$1)*'1. UC Assumptions'!$J$44,0)</f>
        <v>0</v>
      </c>
      <c r="BC45" s="183">
        <f>IF(H45="Lubbock",(AC45/$BC$1)*'1. UC Assumptions'!$K$44,0)</f>
        <v>0</v>
      </c>
      <c r="BD45" s="183">
        <f>IF(H45="MRSA Central",(AC45/$BD$1)*'1. UC Assumptions'!$L$44,0)</f>
        <v>0</v>
      </c>
      <c r="BE45" s="183">
        <f>IF(H45="MRSA Northeast",(AC45/$BE$1)*'1. UC Assumptions'!$M$44,0)</f>
        <v>0</v>
      </c>
      <c r="BF45" s="183">
        <f>IF(H45="MRSA West",(AC45/$BF$1)*'1. UC Assumptions'!$N$44,0)</f>
        <v>0</v>
      </c>
      <c r="BG45" s="183">
        <f>IF(H45="Nueces",(AC45/$BG$1)*'1. UC Assumptions'!$O$44,0)</f>
        <v>0</v>
      </c>
      <c r="BH45" s="183">
        <f>IF(H45="Tarrant",(AC45/$BH$1)*'1. UC Assumptions'!$P$44,0)</f>
        <v>0</v>
      </c>
      <c r="BI45" s="183">
        <f>IF(H45="Travis",(AC45/$BI$1)*'1. UC Assumptions'!$Q$44,0)</f>
        <v>0</v>
      </c>
      <c r="BJ45" s="183">
        <f t="shared" si="9"/>
        <v>0</v>
      </c>
      <c r="BK45" s="183">
        <f t="shared" si="10"/>
        <v>0</v>
      </c>
      <c r="BL45" s="183">
        <f t="shared" si="11"/>
        <v>0</v>
      </c>
      <c r="BM45" s="184">
        <f t="shared" si="12"/>
        <v>0</v>
      </c>
      <c r="BN45" s="184">
        <f>ROUNDDOWN(BM45*'1. UC Assumptions'!$C$23,2)</f>
        <v>0</v>
      </c>
      <c r="BO45" s="184"/>
      <c r="BP45" s="185"/>
      <c r="BQ45" s="32"/>
      <c r="BR45" s="32"/>
    </row>
    <row r="46" spans="1:70">
      <c r="A46" s="177" t="s">
        <v>1285</v>
      </c>
      <c r="B46" s="187" t="s">
        <v>118</v>
      </c>
      <c r="C46" s="178" t="s">
        <v>118</v>
      </c>
      <c r="D46" s="179" t="s">
        <v>281</v>
      </c>
      <c r="E46" s="179"/>
      <c r="F46" s="177"/>
      <c r="G46" s="177" t="s">
        <v>1286</v>
      </c>
      <c r="H46" s="178" t="s">
        <v>4</v>
      </c>
      <c r="I46" s="178" t="s">
        <v>4</v>
      </c>
      <c r="J46" s="131">
        <f>IFERROR(INDEX(#REF!,(MATCH('Old Calc Tab'!C:C,#REF!,0))),0)</f>
        <v>0</v>
      </c>
      <c r="K46" s="131">
        <f>IFERROR(INDEX(#REF!,(MATCH('Old Calc Tab'!$C:$C,#REF!,0))),0)</f>
        <v>0</v>
      </c>
      <c r="L46" s="131"/>
      <c r="M46" s="131">
        <v>6807522.1500000004</v>
      </c>
      <c r="N46" s="131">
        <f>IFERROR(INDEX(#REF!,(MATCH('Old Calc Tab'!$C:$C,#REF!,0))),0)</f>
        <v>0</v>
      </c>
      <c r="O46" s="131">
        <f t="shared" si="0"/>
        <v>0</v>
      </c>
      <c r="P46" s="131">
        <f t="shared" si="1"/>
        <v>6807522.1500000004</v>
      </c>
      <c r="Q46" s="131"/>
      <c r="R46" s="131"/>
      <c r="S46" s="131"/>
      <c r="T46" s="131"/>
      <c r="U46" s="131"/>
      <c r="V46" s="131">
        <v>639742</v>
      </c>
      <c r="W46" s="180">
        <v>0</v>
      </c>
      <c r="X46" s="180">
        <f t="shared" si="2"/>
        <v>7447264.1500000004</v>
      </c>
      <c r="Y46" s="181">
        <f>IF(D46="Physician Group Practice",(X46/$AE$369)*'1. UC Assumptions'!$C$15,IF(OR(E46="Rural Hospital",E46="Hosp - State"),X46,(X46/$X$369)*'1. UC Assumptions'!$C$9))</f>
        <v>4482232.9434098192</v>
      </c>
      <c r="Z46" s="181">
        <f t="shared" si="3"/>
        <v>0</v>
      </c>
      <c r="AA46" s="181">
        <f t="shared" si="4"/>
        <v>2965031.2065901812</v>
      </c>
      <c r="AB46" s="182">
        <f t="shared" si="5"/>
        <v>1592.3141013952813</v>
      </c>
      <c r="AC46" s="181">
        <f t="shared" si="6"/>
        <v>2966623.5206915764</v>
      </c>
      <c r="AD46" s="181">
        <f t="shared" si="7"/>
        <v>4483825.2575112144</v>
      </c>
      <c r="AE46" s="131">
        <v>11207166.09</v>
      </c>
      <c r="AF46" s="131">
        <f>AE46*'1. UC Assumptions'!$C$23</f>
        <v>3698364.8096999996</v>
      </c>
      <c r="AG46" s="183">
        <f>IF((((X46-W46-AE46)*'1. UC Assumptions'!$C$23)+AF46)&gt;0,((X46-W46-AE46)*'1. UC Assumptions'!$C$23)+AF46,0)</f>
        <v>2457597.1694999998</v>
      </c>
      <c r="AH46" s="183">
        <f>IF(((X46-W46-AE46)*'1. UC Assumptions'!$C$23)&gt;0,(X46-W46-AE46)*'1. UC Assumptions'!$C$23,0)</f>
        <v>0</v>
      </c>
      <c r="AI46" s="183">
        <f t="shared" si="8"/>
        <v>3698364.8096999996</v>
      </c>
      <c r="AJ46" s="183">
        <f>IF(H46="Bexar",(AD46/$AJ$1)*'1. UC Assumptions'!$E$42,0)</f>
        <v>0</v>
      </c>
      <c r="AK46" s="183">
        <f>IF(H46="Dallas",(AD46/$AK$1)*'1. UC Assumptions'!$F$42,0)</f>
        <v>0</v>
      </c>
      <c r="AL46" s="183">
        <f>IF(H46="El Paso",(AD46/$AL$1)*'1. UC Assumptions'!$G$42,0)</f>
        <v>0</v>
      </c>
      <c r="AM46" s="183">
        <f>IF(H46="Harris",(AD46/$AM$1)*'1. UC Assumptions'!$H$42,0)</f>
        <v>0</v>
      </c>
      <c r="AN46" s="183">
        <f>IF(H46="Hidalgo",(AD46/$AN$1)*'1. UC Assumptions'!$I$42,0)</f>
        <v>0</v>
      </c>
      <c r="AO46" s="183">
        <f>IF(H46="Jefferson",(AD46/$AO$1)*'1. UC Assumptions'!$J$42,0)</f>
        <v>0</v>
      </c>
      <c r="AP46" s="183">
        <f>IF(H46="Lubbock",(AD46/$AP$1)*'1. UC Assumptions'!$K$42,0)</f>
        <v>0</v>
      </c>
      <c r="AQ46" s="183">
        <f>IF(H46="MRSA Central",(AD46/$AQ$1)*'1. UC Assumptions'!$L$42,0)</f>
        <v>0</v>
      </c>
      <c r="AR46" s="183">
        <f>IF(H46="MRSA Northeast",(AD46/$AR$1)*'1. UC Assumptions'!$M$42,0)</f>
        <v>0</v>
      </c>
      <c r="AS46" s="183">
        <f>IF(H46="MRSA West",(AD46/$AS$1)*'1. UC Assumptions'!$N$42,0)</f>
        <v>0</v>
      </c>
      <c r="AT46" s="183">
        <f>IF(H46="Nueces",(AD46/$AT$1)*'1. UC Assumptions'!$O$42,0)</f>
        <v>0</v>
      </c>
      <c r="AU46" s="183">
        <f>IF(H46="Tarrant",(AD46/$AU$1)*'1. UC Assumptions'!$P$42,0)</f>
        <v>0</v>
      </c>
      <c r="AV46" s="183">
        <f>IF(H46="Travis",(AD46/$AV$1)*'1. UC Assumptions'!$Q$42,0)</f>
        <v>0</v>
      </c>
      <c r="AW46" s="183">
        <f>IF(H46="Bexar",(AC46/$AW$1)*'1. UC Assumptions'!$E$44,0)</f>
        <v>0</v>
      </c>
      <c r="AX46" s="183">
        <f>IF(H46="Dallas",(AC46/$AX$1)*'1. UC Assumptions'!$F$44,0)</f>
        <v>0</v>
      </c>
      <c r="AY46" s="183">
        <f>IF(H46="El Paso",(AC46/$AY$1)*'1. UC Assumptions'!$G$44,0)</f>
        <v>0</v>
      </c>
      <c r="AZ46" s="183">
        <f>IF(H46="Harris",(AC46/$AZ$1)*'1. UC Assumptions'!$H$44,0)</f>
        <v>0</v>
      </c>
      <c r="BA46" s="183">
        <f>IF(H46="Hidalgo",(AC46/$BA$1)*'1. UC Assumptions'!$I$44,0)</f>
        <v>0</v>
      </c>
      <c r="BB46" s="183">
        <f>IF(H46="Jefferson",(AC46/$BB$1)*'1. UC Assumptions'!$J$44,0)</f>
        <v>0</v>
      </c>
      <c r="BC46" s="183">
        <f>IF(H46="Lubbock",(AC46/$BC$1)*'1. UC Assumptions'!$K$44,0)</f>
        <v>0</v>
      </c>
      <c r="BD46" s="183">
        <f>IF(H46="MRSA Central",(AC46/$BD$1)*'1. UC Assumptions'!$L$44,0)</f>
        <v>0</v>
      </c>
      <c r="BE46" s="183">
        <f>IF(H46="MRSA Northeast",(AC46/$BE$1)*'1. UC Assumptions'!$M$44,0)</f>
        <v>0</v>
      </c>
      <c r="BF46" s="183">
        <f>IF(H46="MRSA West",(AC46/$BF$1)*'1. UC Assumptions'!$N$44,0)</f>
        <v>0</v>
      </c>
      <c r="BG46" s="183">
        <f>IF(H46="Nueces",(AC46/$BG$1)*'1. UC Assumptions'!$O$44,0)</f>
        <v>0</v>
      </c>
      <c r="BH46" s="183">
        <f>IF(H46="Tarrant",(AC46/$BH$1)*'1. UC Assumptions'!$P$44,0)</f>
        <v>0</v>
      </c>
      <c r="BI46" s="183">
        <f>IF(H46="Travis",(AC46/$BI$1)*'1. UC Assumptions'!$Q$44,0)</f>
        <v>0</v>
      </c>
      <c r="BJ46" s="183">
        <f t="shared" si="9"/>
        <v>0</v>
      </c>
      <c r="BK46" s="183">
        <f t="shared" si="10"/>
        <v>0</v>
      </c>
      <c r="BL46" s="183">
        <f t="shared" si="11"/>
        <v>4483825.2575112144</v>
      </c>
      <c r="BM46" s="184">
        <f t="shared" si="12"/>
        <v>-6723340.8324887855</v>
      </c>
      <c r="BN46" s="184">
        <f>ROUNDDOWN(BM46*'1. UC Assumptions'!$C$23,2)</f>
        <v>-2218702.4700000002</v>
      </c>
      <c r="BO46" s="184"/>
      <c r="BP46" s="185"/>
      <c r="BQ46" s="32"/>
      <c r="BR46" s="32"/>
    </row>
    <row r="47" spans="1:70">
      <c r="A47" s="177" t="s">
        <v>1287</v>
      </c>
      <c r="B47" s="177" t="s">
        <v>1288</v>
      </c>
      <c r="C47" s="178" t="s">
        <v>1288</v>
      </c>
      <c r="D47" s="179" t="s">
        <v>281</v>
      </c>
      <c r="E47" s="179"/>
      <c r="F47" s="177"/>
      <c r="G47" s="177" t="s">
        <v>1289</v>
      </c>
      <c r="H47" s="178" t="s">
        <v>4</v>
      </c>
      <c r="I47" s="178" t="s">
        <v>4</v>
      </c>
      <c r="J47" s="131">
        <f>IFERROR(INDEX(#REF!,(MATCH('Old Calc Tab'!C:C,#REF!,0))),0)</f>
        <v>0</v>
      </c>
      <c r="K47" s="131">
        <f>IFERROR(INDEX(#REF!,(MATCH('Old Calc Tab'!$C:$C,#REF!,0))),0)</f>
        <v>0</v>
      </c>
      <c r="L47" s="131"/>
      <c r="M47" s="131">
        <v>463172</v>
      </c>
      <c r="N47" s="131">
        <f>IFERROR(INDEX(#REF!,(MATCH('Old Calc Tab'!$C:$C,#REF!,0))),0)</f>
        <v>0</v>
      </c>
      <c r="O47" s="131">
        <f t="shared" si="0"/>
        <v>0</v>
      </c>
      <c r="P47" s="131">
        <f t="shared" si="1"/>
        <v>463172</v>
      </c>
      <c r="Q47" s="131"/>
      <c r="R47" s="131"/>
      <c r="S47" s="131"/>
      <c r="T47" s="131"/>
      <c r="U47" s="131"/>
      <c r="V47" s="131">
        <v>26371</v>
      </c>
      <c r="W47" s="180">
        <v>0</v>
      </c>
      <c r="X47" s="180">
        <f t="shared" si="2"/>
        <v>489543</v>
      </c>
      <c r="Y47" s="181">
        <f>IF(D47="Physician Group Practice",(X47/$AE$369)*'1. UC Assumptions'!$C$15,IF(OR(E47="Rural Hospital",E47="Hosp - State"),X47,(X47/$X$369)*'1. UC Assumptions'!$C$9))</f>
        <v>294637.83177553501</v>
      </c>
      <c r="Z47" s="181">
        <f t="shared" si="3"/>
        <v>0</v>
      </c>
      <c r="AA47" s="181">
        <f t="shared" si="4"/>
        <v>194905.16822446499</v>
      </c>
      <c r="AB47" s="182">
        <f t="shared" si="5"/>
        <v>104.6701454975718</v>
      </c>
      <c r="AC47" s="181">
        <f t="shared" si="6"/>
        <v>195009.83836996256</v>
      </c>
      <c r="AD47" s="181">
        <f t="shared" si="7"/>
        <v>294742.50192103261</v>
      </c>
      <c r="AE47" s="131">
        <v>1784799.73</v>
      </c>
      <c r="AF47" s="131">
        <f>AE47*'1. UC Assumptions'!$C$23</f>
        <v>588983.9108999999</v>
      </c>
      <c r="AG47" s="183">
        <f>IF((((X47-W47-AE47)*'1. UC Assumptions'!$C$23)+AF47)&gt;0,((X47-W47-AE47)*'1. UC Assumptions'!$C$23)+AF47,0)</f>
        <v>161549.18999999994</v>
      </c>
      <c r="AH47" s="183">
        <f>IF(((X47-W47-AE47)*'1. UC Assumptions'!$C$23)&gt;0,(X47-W47-AE47)*'1. UC Assumptions'!$C$23,0)</f>
        <v>0</v>
      </c>
      <c r="AI47" s="183">
        <f t="shared" si="8"/>
        <v>588983.9108999999</v>
      </c>
      <c r="AJ47" s="183">
        <f>IF(H47="Bexar",(AD47/$AJ$1)*'1. UC Assumptions'!$E$42,0)</f>
        <v>0</v>
      </c>
      <c r="AK47" s="183">
        <f>IF(H47="Dallas",(AD47/$AK$1)*'1. UC Assumptions'!$F$42,0)</f>
        <v>0</v>
      </c>
      <c r="AL47" s="183">
        <f>IF(H47="El Paso",(AD47/$AL$1)*'1. UC Assumptions'!$G$42,0)</f>
        <v>0</v>
      </c>
      <c r="AM47" s="183">
        <f>IF(H47="Harris",(AD47/$AM$1)*'1. UC Assumptions'!$H$42,0)</f>
        <v>0</v>
      </c>
      <c r="AN47" s="183">
        <f>IF(H47="Hidalgo",(AD47/$AN$1)*'1. UC Assumptions'!$I$42,0)</f>
        <v>0</v>
      </c>
      <c r="AO47" s="183">
        <f>IF(H47="Jefferson",(AD47/$AO$1)*'1. UC Assumptions'!$J$42,0)</f>
        <v>0</v>
      </c>
      <c r="AP47" s="183">
        <f>IF(H47="Lubbock",(AD47/$AP$1)*'1. UC Assumptions'!$K$42,0)</f>
        <v>0</v>
      </c>
      <c r="AQ47" s="183">
        <f>IF(H47="MRSA Central",(AD47/$AQ$1)*'1. UC Assumptions'!$L$42,0)</f>
        <v>0</v>
      </c>
      <c r="AR47" s="183">
        <f>IF(H47="MRSA Northeast",(AD47/$AR$1)*'1. UC Assumptions'!$M$42,0)</f>
        <v>0</v>
      </c>
      <c r="AS47" s="183">
        <f>IF(H47="MRSA West",(AD47/$AS$1)*'1. UC Assumptions'!$N$42,0)</f>
        <v>0</v>
      </c>
      <c r="AT47" s="183">
        <f>IF(H47="Nueces",(AD47/$AT$1)*'1. UC Assumptions'!$O$42,0)</f>
        <v>0</v>
      </c>
      <c r="AU47" s="183">
        <f>IF(H47="Tarrant",(AD47/$AU$1)*'1. UC Assumptions'!$P$42,0)</f>
        <v>0</v>
      </c>
      <c r="AV47" s="183">
        <f>IF(H47="Travis",(AD47/$AV$1)*'1. UC Assumptions'!$Q$42,0)</f>
        <v>0</v>
      </c>
      <c r="AW47" s="183">
        <f>IF(H47="Bexar",(AC47/$AW$1)*'1. UC Assumptions'!$E$44,0)</f>
        <v>0</v>
      </c>
      <c r="AX47" s="183">
        <f>IF(H47="Dallas",(AC47/$AX$1)*'1. UC Assumptions'!$F$44,0)</f>
        <v>0</v>
      </c>
      <c r="AY47" s="183">
        <f>IF(H47="El Paso",(AC47/$AY$1)*'1. UC Assumptions'!$G$44,0)</f>
        <v>0</v>
      </c>
      <c r="AZ47" s="183">
        <f>IF(H47="Harris",(AC47/$AZ$1)*'1. UC Assumptions'!$H$44,0)</f>
        <v>0</v>
      </c>
      <c r="BA47" s="183">
        <f>IF(H47="Hidalgo",(AC47/$BA$1)*'1. UC Assumptions'!$I$44,0)</f>
        <v>0</v>
      </c>
      <c r="BB47" s="183">
        <f>IF(H47="Jefferson",(AC47/$BB$1)*'1. UC Assumptions'!$J$44,0)</f>
        <v>0</v>
      </c>
      <c r="BC47" s="183">
        <f>IF(H47="Lubbock",(AC47/$BC$1)*'1. UC Assumptions'!$K$44,0)</f>
        <v>0</v>
      </c>
      <c r="BD47" s="183">
        <f>IF(H47="MRSA Central",(AC47/$BD$1)*'1. UC Assumptions'!$L$44,0)</f>
        <v>0</v>
      </c>
      <c r="BE47" s="183">
        <f>IF(H47="MRSA Northeast",(AC47/$BE$1)*'1. UC Assumptions'!$M$44,0)</f>
        <v>0</v>
      </c>
      <c r="BF47" s="183">
        <f>IF(H47="MRSA West",(AC47/$BF$1)*'1. UC Assumptions'!$N$44,0)</f>
        <v>0</v>
      </c>
      <c r="BG47" s="183">
        <f>IF(H47="Nueces",(AC47/$BG$1)*'1. UC Assumptions'!$O$44,0)</f>
        <v>0</v>
      </c>
      <c r="BH47" s="183">
        <f>IF(H47="Tarrant",(AC47/$BH$1)*'1. UC Assumptions'!$P$44,0)</f>
        <v>0</v>
      </c>
      <c r="BI47" s="183">
        <f>IF(H47="Travis",(AC47/$BI$1)*'1. UC Assumptions'!$Q$44,0)</f>
        <v>0</v>
      </c>
      <c r="BJ47" s="183">
        <f t="shared" si="9"/>
        <v>0</v>
      </c>
      <c r="BK47" s="183">
        <f t="shared" si="10"/>
        <v>0</v>
      </c>
      <c r="BL47" s="183">
        <f t="shared" si="11"/>
        <v>294742.50192103261</v>
      </c>
      <c r="BM47" s="184">
        <f t="shared" si="12"/>
        <v>-1490057.2280789674</v>
      </c>
      <c r="BN47" s="184">
        <f>ROUNDDOWN(BM47*'1. UC Assumptions'!$C$23,2)</f>
        <v>-491718.88</v>
      </c>
      <c r="BO47" s="184"/>
      <c r="BP47" s="185"/>
      <c r="BQ47" s="32"/>
      <c r="BR47" s="32"/>
    </row>
    <row r="48" spans="1:70">
      <c r="A48" s="177" t="s">
        <v>1290</v>
      </c>
      <c r="B48" s="177" t="s">
        <v>841</v>
      </c>
      <c r="C48" s="178" t="s">
        <v>841</v>
      </c>
      <c r="D48" s="179" t="s">
        <v>214</v>
      </c>
      <c r="E48" s="179"/>
      <c r="F48" s="177"/>
      <c r="G48" s="177" t="s">
        <v>1291</v>
      </c>
      <c r="H48" s="178" t="s">
        <v>4</v>
      </c>
      <c r="I48" s="178" t="s">
        <v>260</v>
      </c>
      <c r="J48" s="131">
        <f>IFERROR(INDEX(#REF!,(MATCH('Old Calc Tab'!C:C,#REF!,0))),0)</f>
        <v>0</v>
      </c>
      <c r="K48" s="131">
        <f>IFERROR(INDEX(#REF!,(MATCH('Old Calc Tab'!$C:$C,#REF!,0))),0)</f>
        <v>0</v>
      </c>
      <c r="L48" s="131"/>
      <c r="M48" s="131">
        <v>5945920.2000000002</v>
      </c>
      <c r="N48" s="131">
        <f>IFERROR(INDEX(#REF!,(MATCH('Old Calc Tab'!$C:$C,#REF!,0))),0)</f>
        <v>0</v>
      </c>
      <c r="O48" s="131">
        <f t="shared" si="0"/>
        <v>0</v>
      </c>
      <c r="P48" s="131">
        <f t="shared" si="1"/>
        <v>5945920.2000000002</v>
      </c>
      <c r="Q48" s="131"/>
      <c r="R48" s="131"/>
      <c r="S48" s="131"/>
      <c r="T48" s="131"/>
      <c r="U48" s="131"/>
      <c r="V48" s="131">
        <v>0</v>
      </c>
      <c r="W48" s="180">
        <v>0</v>
      </c>
      <c r="X48" s="180">
        <f t="shared" si="2"/>
        <v>5945920.2000000002</v>
      </c>
      <c r="Y48" s="181">
        <f>IF(D48="Physician Group Practice",(X48/$AE$369)*'1. UC Assumptions'!$C$15,IF(OR(E48="Rural Hospital",E48="Hosp - State"),X48,(X48/$X$369)*'1. UC Assumptions'!$C$9))</f>
        <v>3578629.5292514767</v>
      </c>
      <c r="Z48" s="181">
        <f t="shared" si="3"/>
        <v>0</v>
      </c>
      <c r="AA48" s="181">
        <f t="shared" si="4"/>
        <v>2367290.6707485234</v>
      </c>
      <c r="AB48" s="182">
        <f t="shared" si="5"/>
        <v>1271.3088175113342</v>
      </c>
      <c r="AC48" s="181">
        <f t="shared" si="6"/>
        <v>2368561.9795660349</v>
      </c>
      <c r="AD48" s="181">
        <f t="shared" si="7"/>
        <v>3579900.8380689882</v>
      </c>
      <c r="AE48" s="131">
        <v>0</v>
      </c>
      <c r="AF48" s="131">
        <f>AE48*'1. UC Assumptions'!$C$23</f>
        <v>0</v>
      </c>
      <c r="AG48" s="183">
        <f>IF((((X48-W48-AE48)*'1. UC Assumptions'!$C$23)+AF48)&gt;0,((X48-W48-AE48)*'1. UC Assumptions'!$C$23)+AF48,0)</f>
        <v>1962153.6659999997</v>
      </c>
      <c r="AH48" s="183">
        <f>IF(((X48-W48-AE48)*'1. UC Assumptions'!$C$23)&gt;0,(X48-W48-AE48)*'1. UC Assumptions'!$C$23,0)</f>
        <v>1962153.6659999997</v>
      </c>
      <c r="AI48" s="183">
        <f t="shared" si="8"/>
        <v>1962153.6659999997</v>
      </c>
      <c r="AJ48" s="183">
        <f>IF(H48="Bexar",(AD48/$AJ$1)*'1. UC Assumptions'!$E$42,0)</f>
        <v>0</v>
      </c>
      <c r="AK48" s="183">
        <f>IF(H48="Dallas",(AD48/$AK$1)*'1. UC Assumptions'!$F$42,0)</f>
        <v>0</v>
      </c>
      <c r="AL48" s="183">
        <f>IF(H48="El Paso",(AD48/$AL$1)*'1. UC Assumptions'!$G$42,0)</f>
        <v>0</v>
      </c>
      <c r="AM48" s="183">
        <f>IF(H48="Harris",(AD48/$AM$1)*'1. UC Assumptions'!$H$42,0)</f>
        <v>0</v>
      </c>
      <c r="AN48" s="183">
        <f>IF(H48="Hidalgo",(AD48/$AN$1)*'1. UC Assumptions'!$I$42,0)</f>
        <v>0</v>
      </c>
      <c r="AO48" s="183">
        <f>IF(H48="Jefferson",(AD48/$AO$1)*'1. UC Assumptions'!$J$42,0)</f>
        <v>0</v>
      </c>
      <c r="AP48" s="183">
        <f>IF(H48="Lubbock",(AD48/$AP$1)*'1. UC Assumptions'!$K$42,0)</f>
        <v>0</v>
      </c>
      <c r="AQ48" s="183">
        <f>IF(H48="MRSA Central",(AD48/$AQ$1)*'1. UC Assumptions'!$L$42,0)</f>
        <v>0</v>
      </c>
      <c r="AR48" s="183">
        <f>IF(H48="MRSA Northeast",(AD48/$AR$1)*'1. UC Assumptions'!$M$42,0)</f>
        <v>0</v>
      </c>
      <c r="AS48" s="183">
        <f>IF(H48="MRSA West",(AD48/$AS$1)*'1. UC Assumptions'!$N$42,0)</f>
        <v>0</v>
      </c>
      <c r="AT48" s="183">
        <f>IF(H48="Nueces",(AD48/$AT$1)*'1. UC Assumptions'!$O$42,0)</f>
        <v>0</v>
      </c>
      <c r="AU48" s="183">
        <f>IF(H48="Tarrant",(AD48/$AU$1)*'1. UC Assumptions'!$P$42,0)</f>
        <v>0</v>
      </c>
      <c r="AV48" s="183">
        <f>IF(H48="Travis",(AD48/$AV$1)*'1. UC Assumptions'!$Q$42,0)</f>
        <v>0</v>
      </c>
      <c r="AW48" s="183">
        <f>IF(H48="Bexar",(AC48/$AW$1)*'1. UC Assumptions'!$E$44,0)</f>
        <v>0</v>
      </c>
      <c r="AX48" s="183">
        <f>IF(H48="Dallas",(AC48/$AX$1)*'1. UC Assumptions'!$F$44,0)</f>
        <v>0</v>
      </c>
      <c r="AY48" s="183">
        <f>IF(H48="El Paso",(AC48/$AY$1)*'1. UC Assumptions'!$G$44,0)</f>
        <v>0</v>
      </c>
      <c r="AZ48" s="183">
        <f>IF(H48="Harris",(AC48/$AZ$1)*'1. UC Assumptions'!$H$44,0)</f>
        <v>0</v>
      </c>
      <c r="BA48" s="183">
        <f>IF(H48="Hidalgo",(AC48/$BA$1)*'1. UC Assumptions'!$I$44,0)</f>
        <v>0</v>
      </c>
      <c r="BB48" s="183">
        <f>IF(H48="Jefferson",(AC48/$BB$1)*'1. UC Assumptions'!$J$44,0)</f>
        <v>0</v>
      </c>
      <c r="BC48" s="183">
        <f>IF(H48="Lubbock",(AC48/$BC$1)*'1. UC Assumptions'!$K$44,0)</f>
        <v>0</v>
      </c>
      <c r="BD48" s="183">
        <f>IF(H48="MRSA Central",(AC48/$BD$1)*'1. UC Assumptions'!$L$44,0)</f>
        <v>0</v>
      </c>
      <c r="BE48" s="183">
        <f>IF(H48="MRSA Northeast",(AC48/$BE$1)*'1. UC Assumptions'!$M$44,0)</f>
        <v>0</v>
      </c>
      <c r="BF48" s="183">
        <f>IF(H48="MRSA West",(AC48/$BF$1)*'1. UC Assumptions'!$N$44,0)</f>
        <v>0</v>
      </c>
      <c r="BG48" s="183">
        <f>IF(H48="Nueces",(AC48/$BG$1)*'1. UC Assumptions'!$O$44,0)</f>
        <v>0</v>
      </c>
      <c r="BH48" s="183">
        <f>IF(H48="Tarrant",(AC48/$BH$1)*'1. UC Assumptions'!$P$44,0)</f>
        <v>0</v>
      </c>
      <c r="BI48" s="183">
        <f>IF(H48="Travis",(AC48/$BI$1)*'1. UC Assumptions'!$Q$44,0)</f>
        <v>0</v>
      </c>
      <c r="BJ48" s="183">
        <f t="shared" si="9"/>
        <v>0</v>
      </c>
      <c r="BK48" s="183">
        <f t="shared" si="10"/>
        <v>0</v>
      </c>
      <c r="BL48" s="183">
        <f t="shared" si="11"/>
        <v>3579900.8380689882</v>
      </c>
      <c r="BM48" s="184">
        <f t="shared" si="12"/>
        <v>3579900.8380689882</v>
      </c>
      <c r="BN48" s="184">
        <f>ROUNDDOWN(BM48*'1. UC Assumptions'!$C$23,2)</f>
        <v>1181367.27</v>
      </c>
      <c r="BO48" s="184"/>
      <c r="BP48" s="185"/>
      <c r="BQ48" s="32"/>
      <c r="BR48" s="32"/>
    </row>
    <row r="49" spans="1:70">
      <c r="A49" s="177" t="s">
        <v>1292</v>
      </c>
      <c r="B49" s="177" t="s">
        <v>886</v>
      </c>
      <c r="C49" s="178" t="s">
        <v>886</v>
      </c>
      <c r="D49" s="179" t="s">
        <v>214</v>
      </c>
      <c r="E49" s="179"/>
      <c r="F49" s="177"/>
      <c r="G49" s="177" t="s">
        <v>1293</v>
      </c>
      <c r="H49" s="178" t="s">
        <v>4</v>
      </c>
      <c r="I49" s="178" t="s">
        <v>4</v>
      </c>
      <c r="J49" s="131">
        <f>IFERROR(INDEX(#REF!,(MATCH('Old Calc Tab'!C:C,#REF!,0))),0)</f>
        <v>0</v>
      </c>
      <c r="K49" s="131">
        <f>IFERROR(INDEX(#REF!,(MATCH('Old Calc Tab'!$C:$C,#REF!,0))),0)</f>
        <v>0</v>
      </c>
      <c r="L49" s="131"/>
      <c r="M49" s="131">
        <v>13953116.980599999</v>
      </c>
      <c r="N49" s="131">
        <f>IFERROR(INDEX(#REF!,(MATCH('Old Calc Tab'!$C:$C,#REF!,0))),0)</f>
        <v>0</v>
      </c>
      <c r="O49" s="131">
        <f t="shared" si="0"/>
        <v>0</v>
      </c>
      <c r="P49" s="131">
        <f t="shared" si="1"/>
        <v>13953116.980599999</v>
      </c>
      <c r="Q49" s="131"/>
      <c r="R49" s="131"/>
      <c r="S49" s="131"/>
      <c r="T49" s="131"/>
      <c r="U49" s="131"/>
      <c r="V49" s="131">
        <v>0</v>
      </c>
      <c r="W49" s="180">
        <v>0</v>
      </c>
      <c r="X49" s="180">
        <f t="shared" si="2"/>
        <v>13953116.980599999</v>
      </c>
      <c r="Y49" s="181">
        <f>IF(D49="Physician Group Practice",(X49/$AE$369)*'1. UC Assumptions'!$C$15,IF(OR(E49="Rural Hospital",E49="Hosp - State"),X49,(X49/$X$369)*'1. UC Assumptions'!$C$9))</f>
        <v>8397865.2205718067</v>
      </c>
      <c r="Z49" s="181">
        <f t="shared" si="3"/>
        <v>0</v>
      </c>
      <c r="AA49" s="181">
        <f t="shared" si="4"/>
        <v>5555251.7600281928</v>
      </c>
      <c r="AB49" s="182">
        <f t="shared" si="5"/>
        <v>2983.3432088785689</v>
      </c>
      <c r="AC49" s="181">
        <f t="shared" si="6"/>
        <v>5558235.1032370711</v>
      </c>
      <c r="AD49" s="181">
        <f t="shared" si="7"/>
        <v>8400848.5637806859</v>
      </c>
      <c r="AE49" s="131">
        <v>4042312.21</v>
      </c>
      <c r="AF49" s="131">
        <f>AE49*'1. UC Assumptions'!$C$23</f>
        <v>1333963.0292999998</v>
      </c>
      <c r="AG49" s="183">
        <f>IF((((X49-W49-AE49)*'1. UC Assumptions'!$C$23)+AF49)&gt;0,((X49-W49-AE49)*'1. UC Assumptions'!$C$23)+AF49,0)</f>
        <v>4604528.6035979986</v>
      </c>
      <c r="AH49" s="183">
        <f>IF(((X49-W49-AE49)*'1. UC Assumptions'!$C$23)&gt;0,(X49-W49-AE49)*'1. UC Assumptions'!$C$23,0)</f>
        <v>3270565.574297999</v>
      </c>
      <c r="AI49" s="183">
        <f t="shared" si="8"/>
        <v>4604528.6035979986</v>
      </c>
      <c r="AJ49" s="183">
        <f>IF(H49="Bexar",(AD49/$AJ$1)*'1. UC Assumptions'!$E$42,0)</f>
        <v>0</v>
      </c>
      <c r="AK49" s="183">
        <f>IF(H49="Dallas",(AD49/$AK$1)*'1. UC Assumptions'!$F$42,0)</f>
        <v>0</v>
      </c>
      <c r="AL49" s="183">
        <f>IF(H49="El Paso",(AD49/$AL$1)*'1. UC Assumptions'!$G$42,0)</f>
        <v>0</v>
      </c>
      <c r="AM49" s="183">
        <f>IF(H49="Harris",(AD49/$AM$1)*'1. UC Assumptions'!$H$42,0)</f>
        <v>0</v>
      </c>
      <c r="AN49" s="183">
        <f>IF(H49="Hidalgo",(AD49/$AN$1)*'1. UC Assumptions'!$I$42,0)</f>
        <v>0</v>
      </c>
      <c r="AO49" s="183">
        <f>IF(H49="Jefferson",(AD49/$AO$1)*'1. UC Assumptions'!$J$42,0)</f>
        <v>0</v>
      </c>
      <c r="AP49" s="183">
        <f>IF(H49="Lubbock",(AD49/$AP$1)*'1. UC Assumptions'!$K$42,0)</f>
        <v>0</v>
      </c>
      <c r="AQ49" s="183">
        <f>IF(H49="MRSA Central",(AD49/$AQ$1)*'1. UC Assumptions'!$L$42,0)</f>
        <v>0</v>
      </c>
      <c r="AR49" s="183">
        <f>IF(H49="MRSA Northeast",(AD49/$AR$1)*'1. UC Assumptions'!$M$42,0)</f>
        <v>0</v>
      </c>
      <c r="AS49" s="183">
        <f>IF(H49="MRSA West",(AD49/$AS$1)*'1. UC Assumptions'!$N$42,0)</f>
        <v>0</v>
      </c>
      <c r="AT49" s="183">
        <f>IF(H49="Nueces",(AD49/$AT$1)*'1. UC Assumptions'!$O$42,0)</f>
        <v>0</v>
      </c>
      <c r="AU49" s="183">
        <f>IF(H49="Tarrant",(AD49/$AU$1)*'1. UC Assumptions'!$P$42,0)</f>
        <v>0</v>
      </c>
      <c r="AV49" s="183">
        <f>IF(H49="Travis",(AD49/$AV$1)*'1. UC Assumptions'!$Q$42,0)</f>
        <v>0</v>
      </c>
      <c r="AW49" s="183">
        <f>IF(H49="Bexar",(AC49/$AW$1)*'1. UC Assumptions'!$E$44,0)</f>
        <v>0</v>
      </c>
      <c r="AX49" s="183">
        <f>IF(H49="Dallas",(AC49/$AX$1)*'1. UC Assumptions'!$F$44,0)</f>
        <v>0</v>
      </c>
      <c r="AY49" s="183">
        <f>IF(H49="El Paso",(AC49/$AY$1)*'1. UC Assumptions'!$G$44,0)</f>
        <v>0</v>
      </c>
      <c r="AZ49" s="183">
        <f>IF(H49="Harris",(AC49/$AZ$1)*'1. UC Assumptions'!$H$44,0)</f>
        <v>0</v>
      </c>
      <c r="BA49" s="183">
        <f>IF(H49="Hidalgo",(AC49/$BA$1)*'1. UC Assumptions'!$I$44,0)</f>
        <v>0</v>
      </c>
      <c r="BB49" s="183">
        <f>IF(H49="Jefferson",(AC49/$BB$1)*'1. UC Assumptions'!$J$44,0)</f>
        <v>0</v>
      </c>
      <c r="BC49" s="183">
        <f>IF(H49="Lubbock",(AC49/$BC$1)*'1. UC Assumptions'!$K$44,0)</f>
        <v>0</v>
      </c>
      <c r="BD49" s="183">
        <f>IF(H49="MRSA Central",(AC49/$BD$1)*'1. UC Assumptions'!$L$44,0)</f>
        <v>0</v>
      </c>
      <c r="BE49" s="183">
        <f>IF(H49="MRSA Northeast",(AC49/$BE$1)*'1. UC Assumptions'!$M$44,0)</f>
        <v>0</v>
      </c>
      <c r="BF49" s="183">
        <f>IF(H49="MRSA West",(AC49/$BF$1)*'1. UC Assumptions'!$N$44,0)</f>
        <v>0</v>
      </c>
      <c r="BG49" s="183">
        <f>IF(H49="Nueces",(AC49/$BG$1)*'1. UC Assumptions'!$O$44,0)</f>
        <v>0</v>
      </c>
      <c r="BH49" s="183">
        <f>IF(H49="Tarrant",(AC49/$BH$1)*'1. UC Assumptions'!$P$44,0)</f>
        <v>0</v>
      </c>
      <c r="BI49" s="183">
        <f>IF(H49="Travis",(AC49/$BI$1)*'1. UC Assumptions'!$Q$44,0)</f>
        <v>0</v>
      </c>
      <c r="BJ49" s="183">
        <f t="shared" si="9"/>
        <v>0</v>
      </c>
      <c r="BK49" s="183">
        <f t="shared" si="10"/>
        <v>0</v>
      </c>
      <c r="BL49" s="183">
        <f t="shared" si="11"/>
        <v>8400848.5637806859</v>
      </c>
      <c r="BM49" s="184">
        <f t="shared" si="12"/>
        <v>4358536.3537806859</v>
      </c>
      <c r="BN49" s="184">
        <f>ROUNDDOWN(BM49*'1. UC Assumptions'!$C$23,2)</f>
        <v>1438316.99</v>
      </c>
      <c r="BO49" s="184"/>
      <c r="BP49" s="185"/>
      <c r="BQ49" s="32"/>
      <c r="BR49" s="32"/>
    </row>
    <row r="50" spans="1:70">
      <c r="A50" s="177" t="s">
        <v>1294</v>
      </c>
      <c r="B50" s="177" t="s">
        <v>887</v>
      </c>
      <c r="C50" s="178" t="s">
        <v>887</v>
      </c>
      <c r="D50" s="179" t="s">
        <v>214</v>
      </c>
      <c r="E50" s="179"/>
      <c r="F50" s="177"/>
      <c r="G50" s="177" t="s">
        <v>1295</v>
      </c>
      <c r="H50" s="178" t="s">
        <v>4</v>
      </c>
      <c r="I50" s="178" t="s">
        <v>4</v>
      </c>
      <c r="J50" s="131">
        <f>IFERROR(INDEX(#REF!,(MATCH('Old Calc Tab'!C:C,#REF!,0))),0)</f>
        <v>0</v>
      </c>
      <c r="K50" s="131">
        <f>IFERROR(INDEX(#REF!,(MATCH('Old Calc Tab'!$C:$C,#REF!,0))),0)</f>
        <v>0</v>
      </c>
      <c r="L50" s="131"/>
      <c r="M50" s="131">
        <v>12519552</v>
      </c>
      <c r="N50" s="131">
        <f>IFERROR(INDEX(#REF!,(MATCH('Old Calc Tab'!$C:$C,#REF!,0))),0)</f>
        <v>0</v>
      </c>
      <c r="O50" s="131">
        <f t="shared" si="0"/>
        <v>0</v>
      </c>
      <c r="P50" s="131">
        <f t="shared" si="1"/>
        <v>12519552</v>
      </c>
      <c r="Q50" s="131"/>
      <c r="R50" s="131"/>
      <c r="S50" s="131"/>
      <c r="T50" s="131"/>
      <c r="U50" s="131"/>
      <c r="V50" s="131">
        <v>0</v>
      </c>
      <c r="W50" s="180">
        <v>0</v>
      </c>
      <c r="X50" s="180">
        <f t="shared" si="2"/>
        <v>12519552</v>
      </c>
      <c r="Y50" s="181">
        <f>IF(D50="Physician Group Practice",(X50/$AE$369)*'1. UC Assumptions'!$C$15,IF(OR(E50="Rural Hospital",E50="Hosp - State"),X50,(X50/$X$369)*'1. UC Assumptions'!$C$9))</f>
        <v>7535055.4620964108</v>
      </c>
      <c r="Z50" s="181">
        <f t="shared" si="3"/>
        <v>0</v>
      </c>
      <c r="AA50" s="181">
        <f t="shared" si="4"/>
        <v>4984496.5379035892</v>
      </c>
      <c r="AB50" s="182">
        <f t="shared" si="5"/>
        <v>2676.8298788960637</v>
      </c>
      <c r="AC50" s="181">
        <f t="shared" si="6"/>
        <v>4987173.3677824857</v>
      </c>
      <c r="AD50" s="181">
        <f t="shared" si="7"/>
        <v>7537732.2919753073</v>
      </c>
      <c r="AE50" s="131">
        <v>3488525.81</v>
      </c>
      <c r="AF50" s="131">
        <f>AE50*'1. UC Assumptions'!$C$23</f>
        <v>1151213.5172999999</v>
      </c>
      <c r="AG50" s="183">
        <f>IF((((X50-W50-AE50)*'1. UC Assumptions'!$C$23)+AF50)&gt;0,((X50-W50-AE50)*'1. UC Assumptions'!$C$23)+AF50,0)</f>
        <v>4131452.1599999992</v>
      </c>
      <c r="AH50" s="183">
        <f>IF(((X50-W50-AE50)*'1. UC Assumptions'!$C$23)&gt;0,(X50-W50-AE50)*'1. UC Assumptions'!$C$23,0)</f>
        <v>2980238.6426999993</v>
      </c>
      <c r="AI50" s="183">
        <f t="shared" si="8"/>
        <v>4131452.1599999992</v>
      </c>
      <c r="AJ50" s="183">
        <f>IF(H50="Bexar",(AD50/$AJ$1)*'1. UC Assumptions'!$E$42,0)</f>
        <v>0</v>
      </c>
      <c r="AK50" s="183">
        <f>IF(H50="Dallas",(AD50/$AK$1)*'1. UC Assumptions'!$F$42,0)</f>
        <v>0</v>
      </c>
      <c r="AL50" s="183">
        <f>IF(H50="El Paso",(AD50/$AL$1)*'1. UC Assumptions'!$G$42,0)</f>
        <v>0</v>
      </c>
      <c r="AM50" s="183">
        <f>IF(H50="Harris",(AD50/$AM$1)*'1. UC Assumptions'!$H$42,0)</f>
        <v>0</v>
      </c>
      <c r="AN50" s="183">
        <f>IF(H50="Hidalgo",(AD50/$AN$1)*'1. UC Assumptions'!$I$42,0)</f>
        <v>0</v>
      </c>
      <c r="AO50" s="183">
        <f>IF(H50="Jefferson",(AD50/$AO$1)*'1. UC Assumptions'!$J$42,0)</f>
        <v>0</v>
      </c>
      <c r="AP50" s="183">
        <f>IF(H50="Lubbock",(AD50/$AP$1)*'1. UC Assumptions'!$K$42,0)</f>
        <v>0</v>
      </c>
      <c r="AQ50" s="183">
        <f>IF(H50="MRSA Central",(AD50/$AQ$1)*'1. UC Assumptions'!$L$42,0)</f>
        <v>0</v>
      </c>
      <c r="AR50" s="183">
        <f>IF(H50="MRSA Northeast",(AD50/$AR$1)*'1. UC Assumptions'!$M$42,0)</f>
        <v>0</v>
      </c>
      <c r="AS50" s="183">
        <f>IF(H50="MRSA West",(AD50/$AS$1)*'1. UC Assumptions'!$N$42,0)</f>
        <v>0</v>
      </c>
      <c r="AT50" s="183">
        <f>IF(H50="Nueces",(AD50/$AT$1)*'1. UC Assumptions'!$O$42,0)</f>
        <v>0</v>
      </c>
      <c r="AU50" s="183">
        <f>IF(H50="Tarrant",(AD50/$AU$1)*'1. UC Assumptions'!$P$42,0)</f>
        <v>0</v>
      </c>
      <c r="AV50" s="183">
        <f>IF(H50="Travis",(AD50/$AV$1)*'1. UC Assumptions'!$Q$42,0)</f>
        <v>0</v>
      </c>
      <c r="AW50" s="183">
        <f>IF(H50="Bexar",(AC50/$AW$1)*'1. UC Assumptions'!$E$44,0)</f>
        <v>0</v>
      </c>
      <c r="AX50" s="183">
        <f>IF(H50="Dallas",(AC50/$AX$1)*'1. UC Assumptions'!$F$44,0)</f>
        <v>0</v>
      </c>
      <c r="AY50" s="183">
        <f>IF(H50="El Paso",(AC50/$AY$1)*'1. UC Assumptions'!$G$44,0)</f>
        <v>0</v>
      </c>
      <c r="AZ50" s="183">
        <f>IF(H50="Harris",(AC50/$AZ$1)*'1. UC Assumptions'!$H$44,0)</f>
        <v>0</v>
      </c>
      <c r="BA50" s="183">
        <f>IF(H50="Hidalgo",(AC50/$BA$1)*'1. UC Assumptions'!$I$44,0)</f>
        <v>0</v>
      </c>
      <c r="BB50" s="183">
        <f>IF(H50="Jefferson",(AC50/$BB$1)*'1. UC Assumptions'!$J$44,0)</f>
        <v>0</v>
      </c>
      <c r="BC50" s="183">
        <f>IF(H50="Lubbock",(AC50/$BC$1)*'1. UC Assumptions'!$K$44,0)</f>
        <v>0</v>
      </c>
      <c r="BD50" s="183">
        <f>IF(H50="MRSA Central",(AC50/$BD$1)*'1. UC Assumptions'!$L$44,0)</f>
        <v>0</v>
      </c>
      <c r="BE50" s="183">
        <f>IF(H50="MRSA Northeast",(AC50/$BE$1)*'1. UC Assumptions'!$M$44,0)</f>
        <v>0</v>
      </c>
      <c r="BF50" s="183">
        <f>IF(H50="MRSA West",(AC50/$BF$1)*'1. UC Assumptions'!$N$44,0)</f>
        <v>0</v>
      </c>
      <c r="BG50" s="183">
        <f>IF(H50="Nueces",(AC50/$BG$1)*'1. UC Assumptions'!$O$44,0)</f>
        <v>0</v>
      </c>
      <c r="BH50" s="183">
        <f>IF(H50="Tarrant",(AC50/$BH$1)*'1. UC Assumptions'!$P$44,0)</f>
        <v>0</v>
      </c>
      <c r="BI50" s="183">
        <f>IF(H50="Travis",(AC50/$BI$1)*'1. UC Assumptions'!$Q$44,0)</f>
        <v>0</v>
      </c>
      <c r="BJ50" s="183">
        <f t="shared" si="9"/>
        <v>0</v>
      </c>
      <c r="BK50" s="183">
        <f t="shared" si="10"/>
        <v>0</v>
      </c>
      <c r="BL50" s="183">
        <f t="shared" si="11"/>
        <v>7537732.2919753073</v>
      </c>
      <c r="BM50" s="184">
        <f t="shared" si="12"/>
        <v>4049206.4819753072</v>
      </c>
      <c r="BN50" s="184">
        <f>ROUNDDOWN(BM50*'1. UC Assumptions'!$C$23,2)</f>
        <v>1336238.1299999999</v>
      </c>
      <c r="BO50" s="184"/>
      <c r="BP50" s="185"/>
      <c r="BQ50" s="32"/>
      <c r="BR50" s="32"/>
    </row>
    <row r="51" spans="1:70">
      <c r="A51" s="177" t="s">
        <v>1296</v>
      </c>
      <c r="B51" s="177" t="s">
        <v>906</v>
      </c>
      <c r="C51" s="178" t="s">
        <v>906</v>
      </c>
      <c r="D51" s="179" t="s">
        <v>214</v>
      </c>
      <c r="E51" s="179"/>
      <c r="F51" s="177"/>
      <c r="G51" s="177" t="s">
        <v>1297</v>
      </c>
      <c r="H51" s="178" t="s">
        <v>4</v>
      </c>
      <c r="I51" s="178" t="s">
        <v>4</v>
      </c>
      <c r="J51" s="131">
        <f>IFERROR(INDEX(#REF!,(MATCH('Old Calc Tab'!C:C,#REF!,0))),0)</f>
        <v>0</v>
      </c>
      <c r="K51" s="131">
        <f>IFERROR(INDEX(#REF!,(MATCH('Old Calc Tab'!$C:$C,#REF!,0))),0)</f>
        <v>0</v>
      </c>
      <c r="L51" s="131"/>
      <c r="M51" s="131">
        <v>6945</v>
      </c>
      <c r="N51" s="131">
        <f>IFERROR(INDEX(#REF!,(MATCH('Old Calc Tab'!$C:$C,#REF!,0))),0)</f>
        <v>0</v>
      </c>
      <c r="O51" s="131">
        <f t="shared" si="0"/>
        <v>0</v>
      </c>
      <c r="P51" s="131">
        <f t="shared" si="1"/>
        <v>6945</v>
      </c>
      <c r="Q51" s="131"/>
      <c r="R51" s="131"/>
      <c r="S51" s="131"/>
      <c r="T51" s="131"/>
      <c r="U51" s="131"/>
      <c r="V51" s="131">
        <v>6945</v>
      </c>
      <c r="W51" s="180">
        <v>0</v>
      </c>
      <c r="X51" s="180">
        <f t="shared" si="2"/>
        <v>13890</v>
      </c>
      <c r="Y51" s="181">
        <f>IF(D51="Physician Group Practice",(X51/$AE$369)*'1. UC Assumptions'!$C$15,IF(OR(E51="Rural Hospital",E51="Hosp - State"),X51,(X51/$X$369)*'1. UC Assumptions'!$C$9))</f>
        <v>8359.8774435793821</v>
      </c>
      <c r="Z51" s="181">
        <f t="shared" si="3"/>
        <v>0</v>
      </c>
      <c r="AA51" s="181">
        <f t="shared" si="4"/>
        <v>5530.1225564206179</v>
      </c>
      <c r="AB51" s="182">
        <f t="shared" si="5"/>
        <v>2.9698480439129393</v>
      </c>
      <c r="AC51" s="181">
        <f t="shared" si="6"/>
        <v>5533.0924044645308</v>
      </c>
      <c r="AD51" s="181">
        <f t="shared" si="7"/>
        <v>8362.847291623295</v>
      </c>
      <c r="AE51" s="131">
        <v>0</v>
      </c>
      <c r="AF51" s="131">
        <f>AE51*'1. UC Assumptions'!$C$23</f>
        <v>0</v>
      </c>
      <c r="AG51" s="183">
        <f>IF((((X51-W51-AE51)*'1. UC Assumptions'!$C$23)+AF51)&gt;0,((X51-W51-AE51)*'1. UC Assumptions'!$C$23)+AF51,0)</f>
        <v>4583.7</v>
      </c>
      <c r="AH51" s="183">
        <f>IF(((X51-W51-AE51)*'1. UC Assumptions'!$C$23)&gt;0,(X51-W51-AE51)*'1. UC Assumptions'!$C$23,0)</f>
        <v>4583.7</v>
      </c>
      <c r="AI51" s="183">
        <f t="shared" si="8"/>
        <v>4583.7</v>
      </c>
      <c r="AJ51" s="183">
        <f>IF(H51="Bexar",(AD51/$AJ$1)*'1. UC Assumptions'!$E$42,0)</f>
        <v>0</v>
      </c>
      <c r="AK51" s="183">
        <f>IF(H51="Dallas",(AD51/$AK$1)*'1. UC Assumptions'!$F$42,0)</f>
        <v>0</v>
      </c>
      <c r="AL51" s="183">
        <f>IF(H51="El Paso",(AD51/$AL$1)*'1. UC Assumptions'!$G$42,0)</f>
        <v>0</v>
      </c>
      <c r="AM51" s="183">
        <f>IF(H51="Harris",(AD51/$AM$1)*'1. UC Assumptions'!$H$42,0)</f>
        <v>0</v>
      </c>
      <c r="AN51" s="183">
        <f>IF(H51="Hidalgo",(AD51/$AN$1)*'1. UC Assumptions'!$I$42,0)</f>
        <v>0</v>
      </c>
      <c r="AO51" s="183">
        <f>IF(H51="Jefferson",(AD51/$AO$1)*'1. UC Assumptions'!$J$42,0)</f>
        <v>0</v>
      </c>
      <c r="AP51" s="183">
        <f>IF(H51="Lubbock",(AD51/$AP$1)*'1. UC Assumptions'!$K$42,0)</f>
        <v>0</v>
      </c>
      <c r="AQ51" s="183">
        <f>IF(H51="MRSA Central",(AD51/$AQ$1)*'1. UC Assumptions'!$L$42,0)</f>
        <v>0</v>
      </c>
      <c r="AR51" s="183">
        <f>IF(H51="MRSA Northeast",(AD51/$AR$1)*'1. UC Assumptions'!$M$42,0)</f>
        <v>0</v>
      </c>
      <c r="AS51" s="183">
        <f>IF(H51="MRSA West",(AD51/$AS$1)*'1. UC Assumptions'!$N$42,0)</f>
        <v>0</v>
      </c>
      <c r="AT51" s="183">
        <f>IF(H51="Nueces",(AD51/$AT$1)*'1. UC Assumptions'!$O$42,0)</f>
        <v>0</v>
      </c>
      <c r="AU51" s="183">
        <f>IF(H51="Tarrant",(AD51/$AU$1)*'1. UC Assumptions'!$P$42,0)</f>
        <v>0</v>
      </c>
      <c r="AV51" s="183">
        <f>IF(H51="Travis",(AD51/$AV$1)*'1. UC Assumptions'!$Q$42,0)</f>
        <v>0</v>
      </c>
      <c r="AW51" s="183">
        <f>IF(H51="Bexar",(AC51/$AW$1)*'1. UC Assumptions'!$E$44,0)</f>
        <v>0</v>
      </c>
      <c r="AX51" s="183">
        <f>IF(H51="Dallas",(AC51/$AX$1)*'1. UC Assumptions'!$F$44,0)</f>
        <v>0</v>
      </c>
      <c r="AY51" s="183">
        <f>IF(H51="El Paso",(AC51/$AY$1)*'1. UC Assumptions'!$G$44,0)</f>
        <v>0</v>
      </c>
      <c r="AZ51" s="183">
        <f>IF(H51="Harris",(AC51/$AZ$1)*'1. UC Assumptions'!$H$44,0)</f>
        <v>0</v>
      </c>
      <c r="BA51" s="183">
        <f>IF(H51="Hidalgo",(AC51/$BA$1)*'1. UC Assumptions'!$I$44,0)</f>
        <v>0</v>
      </c>
      <c r="BB51" s="183">
        <f>IF(H51="Jefferson",(AC51/$BB$1)*'1. UC Assumptions'!$J$44,0)</f>
        <v>0</v>
      </c>
      <c r="BC51" s="183">
        <f>IF(H51="Lubbock",(AC51/$BC$1)*'1. UC Assumptions'!$K$44,0)</f>
        <v>0</v>
      </c>
      <c r="BD51" s="183">
        <f>IF(H51="MRSA Central",(AC51/$BD$1)*'1. UC Assumptions'!$L$44,0)</f>
        <v>0</v>
      </c>
      <c r="BE51" s="183">
        <f>IF(H51="MRSA Northeast",(AC51/$BE$1)*'1. UC Assumptions'!$M$44,0)</f>
        <v>0</v>
      </c>
      <c r="BF51" s="183">
        <f>IF(H51="MRSA West",(AC51/$BF$1)*'1. UC Assumptions'!$N$44,0)</f>
        <v>0</v>
      </c>
      <c r="BG51" s="183">
        <f>IF(H51="Nueces",(AC51/$BG$1)*'1. UC Assumptions'!$O$44,0)</f>
        <v>0</v>
      </c>
      <c r="BH51" s="183">
        <f>IF(H51="Tarrant",(AC51/$BH$1)*'1. UC Assumptions'!$P$44,0)</f>
        <v>0</v>
      </c>
      <c r="BI51" s="183">
        <f>IF(H51="Travis",(AC51/$BI$1)*'1. UC Assumptions'!$Q$44,0)</f>
        <v>0</v>
      </c>
      <c r="BJ51" s="183">
        <f t="shared" si="9"/>
        <v>0</v>
      </c>
      <c r="BK51" s="183">
        <f t="shared" si="10"/>
        <v>0</v>
      </c>
      <c r="BL51" s="183">
        <f t="shared" si="11"/>
        <v>8362.847291623295</v>
      </c>
      <c r="BM51" s="184">
        <f t="shared" si="12"/>
        <v>8362.847291623295</v>
      </c>
      <c r="BN51" s="184">
        <f>ROUNDDOWN(BM51*'1. UC Assumptions'!$C$23,2)</f>
        <v>2759.73</v>
      </c>
      <c r="BO51" s="184"/>
      <c r="BP51" s="185"/>
      <c r="BQ51" s="32"/>
      <c r="BR51" s="32"/>
    </row>
    <row r="52" spans="1:70">
      <c r="A52" s="177"/>
      <c r="B52" s="177" t="s">
        <v>1298</v>
      </c>
      <c r="C52" s="177" t="s">
        <v>1298</v>
      </c>
      <c r="D52" s="179" t="s">
        <v>36</v>
      </c>
      <c r="E52" s="179" t="s">
        <v>36</v>
      </c>
      <c r="F52" s="177"/>
      <c r="G52" s="177" t="s">
        <v>1299</v>
      </c>
      <c r="H52" s="178" t="s">
        <v>4</v>
      </c>
      <c r="I52" s="178" t="s">
        <v>4</v>
      </c>
      <c r="J52" s="131">
        <f>IFERROR(INDEX(#REF!,(MATCH('Old Calc Tab'!C:C,#REF!,0))),0)</f>
        <v>0</v>
      </c>
      <c r="K52" s="131">
        <f>IFERROR(INDEX(#REF!,(MATCH('Old Calc Tab'!$C:$C,#REF!,0))),0)</f>
        <v>0</v>
      </c>
      <c r="L52" s="131"/>
      <c r="M52" s="131">
        <v>886205.66677875025</v>
      </c>
      <c r="N52" s="131">
        <f>IFERROR(INDEX(#REF!,(MATCH('Old Calc Tab'!$C:$C,#REF!,0))),0)</f>
        <v>0</v>
      </c>
      <c r="O52" s="131">
        <f t="shared" si="0"/>
        <v>0</v>
      </c>
      <c r="P52" s="131">
        <f t="shared" si="1"/>
        <v>886205.66677875025</v>
      </c>
      <c r="Q52" s="131"/>
      <c r="R52" s="131"/>
      <c r="S52" s="131"/>
      <c r="T52" s="131"/>
      <c r="U52" s="131"/>
      <c r="V52" s="180">
        <f>Q52+R52+S52+T52+U52</f>
        <v>0</v>
      </c>
      <c r="W52" s="180">
        <v>0</v>
      </c>
      <c r="X52" s="180">
        <f t="shared" si="2"/>
        <v>886205.66677875025</v>
      </c>
      <c r="Y52" s="181">
        <f>IF(D52="Physician Group Practice",(X52/$AE$369)*'1. UC Assumptions'!$C$15,IF(OR(E52="Rural Hospital",E52="Hosp - State"),X52,(X52/$X$369)*'1. UC Assumptions'!$C$9))</f>
        <v>136473.11882138596</v>
      </c>
      <c r="Z52" s="181">
        <f t="shared" si="3"/>
        <v>0</v>
      </c>
      <c r="AA52" s="181">
        <f t="shared" si="4"/>
        <v>749732.54795736424</v>
      </c>
      <c r="AB52" s="182">
        <f t="shared" si="5"/>
        <v>402.6297280561912</v>
      </c>
      <c r="AC52" s="181">
        <f t="shared" si="6"/>
        <v>750135.17768542038</v>
      </c>
      <c r="AD52" s="181">
        <f t="shared" si="7"/>
        <v>136875.74854944216</v>
      </c>
      <c r="AE52" s="131">
        <v>0</v>
      </c>
      <c r="AF52" s="131">
        <f>AE52*'1. UC Assumptions'!$C$23</f>
        <v>0</v>
      </c>
      <c r="AG52" s="183">
        <f>IF((((X52-W52-AE52)*'1. UC Assumptions'!$C$23)+AF52)&gt;0,((X52-W52-AE52)*'1. UC Assumptions'!$C$23)+AF52,0)</f>
        <v>292447.87003698753</v>
      </c>
      <c r="AH52" s="183">
        <f>IF(((X52-W52-AE52)*'1. UC Assumptions'!$C$23)&gt;0,(X52-W52-AE52)*'1. UC Assumptions'!$C$23,0)</f>
        <v>292447.87003698753</v>
      </c>
      <c r="AI52" s="183">
        <f t="shared" si="8"/>
        <v>292447.87003698753</v>
      </c>
      <c r="AJ52" s="183">
        <f>IF(H52="Bexar",(AD52/$AJ$1)*'1. UC Assumptions'!$E$42,0)</f>
        <v>0</v>
      </c>
      <c r="AK52" s="183">
        <f>IF(H52="Dallas",(AD52/$AK$1)*'1. UC Assumptions'!$F$42,0)</f>
        <v>0</v>
      </c>
      <c r="AL52" s="183">
        <f>IF(H52="El Paso",(AD52/$AL$1)*'1. UC Assumptions'!$G$42,0)</f>
        <v>0</v>
      </c>
      <c r="AM52" s="183">
        <f>IF(H52="Harris",(AD52/$AM$1)*'1. UC Assumptions'!$H$42,0)</f>
        <v>0</v>
      </c>
      <c r="AN52" s="183">
        <f>IF(H52="Hidalgo",(AD52/$AN$1)*'1. UC Assumptions'!$I$42,0)</f>
        <v>0</v>
      </c>
      <c r="AO52" s="183">
        <f>IF(H52="Jefferson",(AD52/$AO$1)*'1. UC Assumptions'!$J$42,0)</f>
        <v>0</v>
      </c>
      <c r="AP52" s="183">
        <f>IF(H52="Lubbock",(AD52/$AP$1)*'1. UC Assumptions'!$K$42,0)</f>
        <v>0</v>
      </c>
      <c r="AQ52" s="183">
        <f>IF(H52="MRSA Central",(AD52/$AQ$1)*'1. UC Assumptions'!$L$42,0)</f>
        <v>0</v>
      </c>
      <c r="AR52" s="183">
        <f>IF(H52="MRSA Northeast",(AD52/$AR$1)*'1. UC Assumptions'!$M$42,0)</f>
        <v>0</v>
      </c>
      <c r="AS52" s="183">
        <f>IF(H52="MRSA West",(AD52/$AS$1)*'1. UC Assumptions'!$N$42,0)</f>
        <v>0</v>
      </c>
      <c r="AT52" s="183">
        <f>IF(H52="Nueces",(AD52/$AT$1)*'1. UC Assumptions'!$O$42,0)</f>
        <v>0</v>
      </c>
      <c r="AU52" s="183">
        <f>IF(H52="Tarrant",(AD52/$AU$1)*'1. UC Assumptions'!$P$42,0)</f>
        <v>0</v>
      </c>
      <c r="AV52" s="183">
        <f>IF(H52="Travis",(AD52/$AV$1)*'1. UC Assumptions'!$Q$42,0)</f>
        <v>0</v>
      </c>
      <c r="AW52" s="183">
        <f>IF(H52="Bexar",(AC52/$AW$1)*'1. UC Assumptions'!$E$44,0)</f>
        <v>0</v>
      </c>
      <c r="AX52" s="183">
        <f>IF(H52="Dallas",(AC52/$AX$1)*'1. UC Assumptions'!$F$44,0)</f>
        <v>0</v>
      </c>
      <c r="AY52" s="183">
        <f>IF(H52="El Paso",(AC52/$AY$1)*'1. UC Assumptions'!$G$44,0)</f>
        <v>0</v>
      </c>
      <c r="AZ52" s="183">
        <f>IF(H52="Harris",(AC52/$AZ$1)*'1. UC Assumptions'!$H$44,0)</f>
        <v>0</v>
      </c>
      <c r="BA52" s="183">
        <f>IF(H52="Hidalgo",(AC52/$BA$1)*'1. UC Assumptions'!$I$44,0)</f>
        <v>0</v>
      </c>
      <c r="BB52" s="183">
        <f>IF(H52="Jefferson",(AC52/$BB$1)*'1. UC Assumptions'!$J$44,0)</f>
        <v>0</v>
      </c>
      <c r="BC52" s="183">
        <f>IF(H52="Lubbock",(AC52/$BC$1)*'1. UC Assumptions'!$K$44,0)</f>
        <v>0</v>
      </c>
      <c r="BD52" s="183">
        <f>IF(H52="MRSA Central",(AC52/$BD$1)*'1. UC Assumptions'!$L$44,0)</f>
        <v>0</v>
      </c>
      <c r="BE52" s="183">
        <f>IF(H52="MRSA Northeast",(AC52/$BE$1)*'1. UC Assumptions'!$M$44,0)</f>
        <v>0</v>
      </c>
      <c r="BF52" s="183">
        <f>IF(H52="MRSA West",(AC52/$BF$1)*'1. UC Assumptions'!$N$44,0)</f>
        <v>0</v>
      </c>
      <c r="BG52" s="183">
        <f>IF(H52="Nueces",(AC52/$BG$1)*'1. UC Assumptions'!$O$44,0)</f>
        <v>0</v>
      </c>
      <c r="BH52" s="183">
        <f>IF(H52="Tarrant",(AC52/$BH$1)*'1. UC Assumptions'!$P$44,0)</f>
        <v>0</v>
      </c>
      <c r="BI52" s="183">
        <f>IF(H52="Travis",(AC52/$BI$1)*'1. UC Assumptions'!$Q$44,0)</f>
        <v>0</v>
      </c>
      <c r="BJ52" s="183">
        <f t="shared" si="9"/>
        <v>0</v>
      </c>
      <c r="BK52" s="183">
        <f t="shared" si="10"/>
        <v>0</v>
      </c>
      <c r="BL52" s="183">
        <f t="shared" si="11"/>
        <v>136875.74854944216</v>
      </c>
      <c r="BM52" s="184">
        <f t="shared" si="12"/>
        <v>136875.74854944216</v>
      </c>
      <c r="BN52" s="184">
        <f>ROUNDDOWN(BM52*'1. UC Assumptions'!$C$23,2)</f>
        <v>45168.99</v>
      </c>
      <c r="BO52" s="184"/>
      <c r="BP52" s="185"/>
      <c r="BQ52" s="32"/>
      <c r="BR52" s="32"/>
    </row>
    <row r="53" spans="1:70">
      <c r="A53" s="177" t="s">
        <v>1300</v>
      </c>
      <c r="B53" s="177" t="s">
        <v>947</v>
      </c>
      <c r="C53" s="178" t="s">
        <v>947</v>
      </c>
      <c r="D53" s="179" t="s">
        <v>214</v>
      </c>
      <c r="E53" s="179"/>
      <c r="F53" s="177"/>
      <c r="G53" s="177" t="s">
        <v>1301</v>
      </c>
      <c r="H53" s="178" t="s">
        <v>4</v>
      </c>
      <c r="I53" s="178" t="s">
        <v>260</v>
      </c>
      <c r="J53" s="131">
        <f>IFERROR(INDEX(#REF!,(MATCH('Old Calc Tab'!C:C,#REF!,0))),0)</f>
        <v>0</v>
      </c>
      <c r="K53" s="131">
        <f>IFERROR(INDEX(#REF!,(MATCH('Old Calc Tab'!$C:$C,#REF!,0))),0)</f>
        <v>0</v>
      </c>
      <c r="L53" s="131"/>
      <c r="M53" s="131">
        <v>8625513.5999999996</v>
      </c>
      <c r="N53" s="131">
        <f>IFERROR(INDEX(#REF!,(MATCH('Old Calc Tab'!$C:$C,#REF!,0))),0)</f>
        <v>0</v>
      </c>
      <c r="O53" s="131">
        <f t="shared" si="0"/>
        <v>0</v>
      </c>
      <c r="P53" s="131">
        <f t="shared" si="1"/>
        <v>8625513.5999999996</v>
      </c>
      <c r="Q53" s="131"/>
      <c r="R53" s="131"/>
      <c r="S53" s="131"/>
      <c r="T53" s="131"/>
      <c r="U53" s="131"/>
      <c r="V53" s="131">
        <v>0</v>
      </c>
      <c r="W53" s="180">
        <v>0</v>
      </c>
      <c r="X53" s="180">
        <f t="shared" si="2"/>
        <v>8625513.5999999996</v>
      </c>
      <c r="Y53" s="181">
        <f>IF(D53="Physician Group Practice",(X53/$AE$369)*'1. UC Assumptions'!$C$15,IF(OR(E53="Rural Hospital",E53="Hosp - State"),X53,(X53/$X$369)*'1. UC Assumptions'!$C$9))</f>
        <v>5191377.7238248521</v>
      </c>
      <c r="Z53" s="181">
        <f t="shared" si="3"/>
        <v>0</v>
      </c>
      <c r="AA53" s="181">
        <f t="shared" si="4"/>
        <v>3434135.8761751475</v>
      </c>
      <c r="AB53" s="182">
        <f t="shared" si="5"/>
        <v>1844.2379188412131</v>
      </c>
      <c r="AC53" s="181">
        <f t="shared" si="6"/>
        <v>3435980.1140939887</v>
      </c>
      <c r="AD53" s="181">
        <f t="shared" si="7"/>
        <v>5193221.9617436938</v>
      </c>
      <c r="AE53" s="131">
        <v>0</v>
      </c>
      <c r="AF53" s="131">
        <f>AE53*'1. UC Assumptions'!$C$23</f>
        <v>0</v>
      </c>
      <c r="AG53" s="183">
        <f>IF((((X53-W53-AE53)*'1. UC Assumptions'!$C$23)+AF53)&gt;0,((X53-W53-AE53)*'1. UC Assumptions'!$C$23)+AF53,0)</f>
        <v>2846419.4879999994</v>
      </c>
      <c r="AH53" s="183">
        <f>IF(((X53-W53-AE53)*'1. UC Assumptions'!$C$23)&gt;0,(X53-W53-AE53)*'1. UC Assumptions'!$C$23,0)</f>
        <v>2846419.4879999994</v>
      </c>
      <c r="AI53" s="183">
        <f t="shared" si="8"/>
        <v>2846419.4879999994</v>
      </c>
      <c r="AJ53" s="183">
        <f>IF(H53="Bexar",(AD53/$AJ$1)*'1. UC Assumptions'!$E$42,0)</f>
        <v>0</v>
      </c>
      <c r="AK53" s="183">
        <f>IF(H53="Dallas",(AD53/$AK$1)*'1. UC Assumptions'!$F$42,0)</f>
        <v>0</v>
      </c>
      <c r="AL53" s="183">
        <f>IF(H53="El Paso",(AD53/$AL$1)*'1. UC Assumptions'!$G$42,0)</f>
        <v>0</v>
      </c>
      <c r="AM53" s="183">
        <f>IF(H53="Harris",(AD53/$AM$1)*'1. UC Assumptions'!$H$42,0)</f>
        <v>0</v>
      </c>
      <c r="AN53" s="183">
        <f>IF(H53="Hidalgo",(AD53/$AN$1)*'1. UC Assumptions'!$I$42,0)</f>
        <v>0</v>
      </c>
      <c r="AO53" s="183">
        <f>IF(H53="Jefferson",(AD53/$AO$1)*'1. UC Assumptions'!$J$42,0)</f>
        <v>0</v>
      </c>
      <c r="AP53" s="183">
        <f>IF(H53="Lubbock",(AD53/$AP$1)*'1. UC Assumptions'!$K$42,0)</f>
        <v>0</v>
      </c>
      <c r="AQ53" s="183">
        <f>IF(H53="MRSA Central",(AD53/$AQ$1)*'1. UC Assumptions'!$L$42,0)</f>
        <v>0</v>
      </c>
      <c r="AR53" s="183">
        <f>IF(H53="MRSA Northeast",(AD53/$AR$1)*'1. UC Assumptions'!$M$42,0)</f>
        <v>0</v>
      </c>
      <c r="AS53" s="183">
        <f>IF(H53="MRSA West",(AD53/$AS$1)*'1. UC Assumptions'!$N$42,0)</f>
        <v>0</v>
      </c>
      <c r="AT53" s="183">
        <f>IF(H53="Nueces",(AD53/$AT$1)*'1. UC Assumptions'!$O$42,0)</f>
        <v>0</v>
      </c>
      <c r="AU53" s="183">
        <f>IF(H53="Tarrant",(AD53/$AU$1)*'1. UC Assumptions'!$P$42,0)</f>
        <v>0</v>
      </c>
      <c r="AV53" s="183">
        <f>IF(H53="Travis",(AD53/$AV$1)*'1. UC Assumptions'!$Q$42,0)</f>
        <v>0</v>
      </c>
      <c r="AW53" s="183">
        <f>IF(H53="Bexar",(AC53/$AW$1)*'1. UC Assumptions'!$E$44,0)</f>
        <v>0</v>
      </c>
      <c r="AX53" s="183">
        <f>IF(H53="Dallas",(AC53/$AX$1)*'1. UC Assumptions'!$F$44,0)</f>
        <v>0</v>
      </c>
      <c r="AY53" s="183">
        <f>IF(H53="El Paso",(AC53/$AY$1)*'1. UC Assumptions'!$G$44,0)</f>
        <v>0</v>
      </c>
      <c r="AZ53" s="183">
        <f>IF(H53="Harris",(AC53/$AZ$1)*'1. UC Assumptions'!$H$44,0)</f>
        <v>0</v>
      </c>
      <c r="BA53" s="183">
        <f>IF(H53="Hidalgo",(AC53/$BA$1)*'1. UC Assumptions'!$I$44,0)</f>
        <v>0</v>
      </c>
      <c r="BB53" s="183">
        <f>IF(H53="Jefferson",(AC53/$BB$1)*'1. UC Assumptions'!$J$44,0)</f>
        <v>0</v>
      </c>
      <c r="BC53" s="183">
        <f>IF(H53="Lubbock",(AC53/$BC$1)*'1. UC Assumptions'!$K$44,0)</f>
        <v>0</v>
      </c>
      <c r="BD53" s="183">
        <f>IF(H53="MRSA Central",(AC53/$BD$1)*'1. UC Assumptions'!$L$44,0)</f>
        <v>0</v>
      </c>
      <c r="BE53" s="183">
        <f>IF(H53="MRSA Northeast",(AC53/$BE$1)*'1. UC Assumptions'!$M$44,0)</f>
        <v>0</v>
      </c>
      <c r="BF53" s="183">
        <f>IF(H53="MRSA West",(AC53/$BF$1)*'1. UC Assumptions'!$N$44,0)</f>
        <v>0</v>
      </c>
      <c r="BG53" s="183">
        <f>IF(H53="Nueces",(AC53/$BG$1)*'1. UC Assumptions'!$O$44,0)</f>
        <v>0</v>
      </c>
      <c r="BH53" s="183">
        <f>IF(H53="Tarrant",(AC53/$BH$1)*'1. UC Assumptions'!$P$44,0)</f>
        <v>0</v>
      </c>
      <c r="BI53" s="183">
        <f>IF(H53="Travis",(AC53/$BI$1)*'1. UC Assumptions'!$Q$44,0)</f>
        <v>0</v>
      </c>
      <c r="BJ53" s="183">
        <f t="shared" si="9"/>
        <v>0</v>
      </c>
      <c r="BK53" s="183">
        <f t="shared" si="10"/>
        <v>0</v>
      </c>
      <c r="BL53" s="183">
        <f t="shared" si="11"/>
        <v>5193221.9617436938</v>
      </c>
      <c r="BM53" s="184">
        <f t="shared" si="12"/>
        <v>5193221.9617436938</v>
      </c>
      <c r="BN53" s="184">
        <f>ROUNDDOWN(BM53*'1. UC Assumptions'!$C$23,2)</f>
        <v>1713763.24</v>
      </c>
      <c r="BO53" s="184"/>
      <c r="BP53" s="185"/>
      <c r="BQ53" s="32"/>
      <c r="BR53" s="32"/>
    </row>
    <row r="54" spans="1:70">
      <c r="A54" s="177" t="s">
        <v>1302</v>
      </c>
      <c r="B54" s="178" t="s">
        <v>949</v>
      </c>
      <c r="C54" s="178" t="s">
        <v>949</v>
      </c>
      <c r="D54" s="179" t="s">
        <v>214</v>
      </c>
      <c r="E54" s="179"/>
      <c r="F54" s="177"/>
      <c r="G54" s="177" t="s">
        <v>950</v>
      </c>
      <c r="H54" s="178" t="s">
        <v>4</v>
      </c>
      <c r="I54" s="178" t="s">
        <v>4</v>
      </c>
      <c r="J54" s="131">
        <f>IFERROR(INDEX(#REF!,(MATCH('Old Calc Tab'!C:C,#REF!,0))),0)</f>
        <v>0</v>
      </c>
      <c r="K54" s="131">
        <f>IFERROR(INDEX(#REF!,(MATCH('Old Calc Tab'!$C:$C,#REF!,0))),0)</f>
        <v>0</v>
      </c>
      <c r="L54" s="131"/>
      <c r="M54" s="131">
        <v>0</v>
      </c>
      <c r="N54" s="131">
        <f>IFERROR(INDEX(#REF!,(MATCH('Old Calc Tab'!$C:$C,#REF!,0))),0)</f>
        <v>0</v>
      </c>
      <c r="O54" s="131">
        <f t="shared" si="0"/>
        <v>0</v>
      </c>
      <c r="P54" s="131">
        <f t="shared" si="1"/>
        <v>0</v>
      </c>
      <c r="Q54" s="131"/>
      <c r="R54" s="131"/>
      <c r="S54" s="131"/>
      <c r="T54" s="131"/>
      <c r="U54" s="131"/>
      <c r="V54" s="131">
        <v>0</v>
      </c>
      <c r="W54" s="180">
        <v>0</v>
      </c>
      <c r="X54" s="180">
        <f t="shared" si="2"/>
        <v>0</v>
      </c>
      <c r="Y54" s="181">
        <f>IF(D54="Physician Group Practice",(X54/$AE$369)*'1. UC Assumptions'!$C$15,IF(OR(E54="Rural Hospital",E54="Hosp - State"),X54,(X54/$X$369)*'1. UC Assumptions'!$C$9))</f>
        <v>0</v>
      </c>
      <c r="Z54" s="181">
        <f t="shared" si="3"/>
        <v>0</v>
      </c>
      <c r="AA54" s="181">
        <f t="shared" si="4"/>
        <v>0</v>
      </c>
      <c r="AB54" s="182">
        <f t="shared" si="5"/>
        <v>0</v>
      </c>
      <c r="AC54" s="181">
        <f t="shared" si="6"/>
        <v>0</v>
      </c>
      <c r="AD54" s="181">
        <f t="shared" si="7"/>
        <v>0</v>
      </c>
      <c r="AE54" s="131">
        <v>3031248.22</v>
      </c>
      <c r="AF54" s="131">
        <f>AE54*'1. UC Assumptions'!$C$23</f>
        <v>1000311.9125999999</v>
      </c>
      <c r="AG54" s="183">
        <f>IF((((X54-W54-AE54)*'1. UC Assumptions'!$C$23)+AF54)&gt;0,((X54-W54-AE54)*'1. UC Assumptions'!$C$23)+AF54,0)</f>
        <v>0</v>
      </c>
      <c r="AH54" s="183">
        <f>IF(((X54-W54-AE54)*'1. UC Assumptions'!$C$23)&gt;0,(X54-W54-AE54)*'1. UC Assumptions'!$C$23,0)</f>
        <v>0</v>
      </c>
      <c r="AI54" s="183">
        <f t="shared" si="8"/>
        <v>1000311.9125999999</v>
      </c>
      <c r="AJ54" s="183">
        <f>IF(H54="Bexar",(AD54/$AJ$1)*'1. UC Assumptions'!$E$42,0)</f>
        <v>0</v>
      </c>
      <c r="AK54" s="183">
        <f>IF(H54="Dallas",(AD54/$AK$1)*'1. UC Assumptions'!$F$42,0)</f>
        <v>0</v>
      </c>
      <c r="AL54" s="183">
        <f>IF(H54="El Paso",(AD54/$AL$1)*'1. UC Assumptions'!$G$42,0)</f>
        <v>0</v>
      </c>
      <c r="AM54" s="183">
        <f>IF(H54="Harris",(AD54/$AM$1)*'1. UC Assumptions'!$H$42,0)</f>
        <v>0</v>
      </c>
      <c r="AN54" s="183">
        <f>IF(H54="Hidalgo",(AD54/$AN$1)*'1. UC Assumptions'!$I$42,0)</f>
        <v>0</v>
      </c>
      <c r="AO54" s="183">
        <f>IF(H54="Jefferson",(AD54/$AO$1)*'1. UC Assumptions'!$J$42,0)</f>
        <v>0</v>
      </c>
      <c r="AP54" s="183">
        <f>IF(H54="Lubbock",(AD54/$AP$1)*'1. UC Assumptions'!$K$42,0)</f>
        <v>0</v>
      </c>
      <c r="AQ54" s="183">
        <f>IF(H54="MRSA Central",(AD54/$AQ$1)*'1. UC Assumptions'!$L$42,0)</f>
        <v>0</v>
      </c>
      <c r="AR54" s="183">
        <f>IF(H54="MRSA Northeast",(AD54/$AR$1)*'1. UC Assumptions'!$M$42,0)</f>
        <v>0</v>
      </c>
      <c r="AS54" s="183">
        <f>IF(H54="MRSA West",(AD54/$AS$1)*'1. UC Assumptions'!$N$42,0)</f>
        <v>0</v>
      </c>
      <c r="AT54" s="183">
        <f>IF(H54="Nueces",(AD54/$AT$1)*'1. UC Assumptions'!$O$42,0)</f>
        <v>0</v>
      </c>
      <c r="AU54" s="183">
        <f>IF(H54="Tarrant",(AD54/$AU$1)*'1. UC Assumptions'!$P$42,0)</f>
        <v>0</v>
      </c>
      <c r="AV54" s="183">
        <f>IF(H54="Travis",(AD54/$AV$1)*'1. UC Assumptions'!$Q$42,0)</f>
        <v>0</v>
      </c>
      <c r="AW54" s="183">
        <f>IF(H54="Bexar",(AC54/$AW$1)*'1. UC Assumptions'!$E$44,0)</f>
        <v>0</v>
      </c>
      <c r="AX54" s="183">
        <f>IF(H54="Dallas",(AC54/$AX$1)*'1. UC Assumptions'!$F$44,0)</f>
        <v>0</v>
      </c>
      <c r="AY54" s="183">
        <f>IF(H54="El Paso",(AC54/$AY$1)*'1. UC Assumptions'!$G$44,0)</f>
        <v>0</v>
      </c>
      <c r="AZ54" s="183">
        <f>IF(H54="Harris",(AC54/$AZ$1)*'1. UC Assumptions'!$H$44,0)</f>
        <v>0</v>
      </c>
      <c r="BA54" s="183">
        <f>IF(H54="Hidalgo",(AC54/$BA$1)*'1. UC Assumptions'!$I$44,0)</f>
        <v>0</v>
      </c>
      <c r="BB54" s="183">
        <f>IF(H54="Jefferson",(AC54/$BB$1)*'1. UC Assumptions'!$J$44,0)</f>
        <v>0</v>
      </c>
      <c r="BC54" s="183">
        <f>IF(H54="Lubbock",(AC54/$BC$1)*'1. UC Assumptions'!$K$44,0)</f>
        <v>0</v>
      </c>
      <c r="BD54" s="183">
        <f>IF(H54="MRSA Central",(AC54/$BD$1)*'1. UC Assumptions'!$L$44,0)</f>
        <v>0</v>
      </c>
      <c r="BE54" s="183">
        <f>IF(H54="MRSA Northeast",(AC54/$BE$1)*'1. UC Assumptions'!$M$44,0)</f>
        <v>0</v>
      </c>
      <c r="BF54" s="183">
        <f>IF(H54="MRSA West",(AC54/$BF$1)*'1. UC Assumptions'!$N$44,0)</f>
        <v>0</v>
      </c>
      <c r="BG54" s="183">
        <f>IF(H54="Nueces",(AC54/$BG$1)*'1. UC Assumptions'!$O$44,0)</f>
        <v>0</v>
      </c>
      <c r="BH54" s="183">
        <f>IF(H54="Tarrant",(AC54/$BH$1)*'1. UC Assumptions'!$P$44,0)</f>
        <v>0</v>
      </c>
      <c r="BI54" s="183">
        <f>IF(H54="Travis",(AC54/$BI$1)*'1. UC Assumptions'!$Q$44,0)</f>
        <v>0</v>
      </c>
      <c r="BJ54" s="183">
        <f t="shared" si="9"/>
        <v>0</v>
      </c>
      <c r="BK54" s="183">
        <f t="shared" si="10"/>
        <v>0</v>
      </c>
      <c r="BL54" s="183">
        <f t="shared" si="11"/>
        <v>0</v>
      </c>
      <c r="BM54" s="184">
        <f t="shared" si="12"/>
        <v>-3031248.22</v>
      </c>
      <c r="BN54" s="184">
        <f>ROUNDDOWN(BM54*'1. UC Assumptions'!$C$23,2)</f>
        <v>-1000311.91</v>
      </c>
      <c r="BO54" s="184"/>
      <c r="BP54" s="185"/>
      <c r="BQ54" s="32"/>
      <c r="BR54" s="32"/>
    </row>
    <row r="55" spans="1:70">
      <c r="A55" s="177">
        <v>450688</v>
      </c>
      <c r="B55" s="177" t="s">
        <v>1004</v>
      </c>
      <c r="C55" s="178" t="s">
        <v>1004</v>
      </c>
      <c r="D55" s="179" t="s">
        <v>214</v>
      </c>
      <c r="E55" s="179"/>
      <c r="F55" s="177"/>
      <c r="G55" s="177" t="s">
        <v>1303</v>
      </c>
      <c r="H55" s="178" t="s">
        <v>4</v>
      </c>
      <c r="I55" s="178" t="s">
        <v>4</v>
      </c>
      <c r="J55" s="131">
        <f>IFERROR(INDEX(#REF!,(MATCH('Old Calc Tab'!C:C,#REF!,0))),0)</f>
        <v>0</v>
      </c>
      <c r="K55" s="131">
        <f>IFERROR(INDEX(#REF!,(MATCH('Old Calc Tab'!$C:$C,#REF!,0))),0)</f>
        <v>0</v>
      </c>
      <c r="L55" s="131"/>
      <c r="M55" s="131">
        <v>299089</v>
      </c>
      <c r="N55" s="131">
        <f>IFERROR(INDEX(#REF!,(MATCH('Old Calc Tab'!$C:$C,#REF!,0))),0)</f>
        <v>0</v>
      </c>
      <c r="O55" s="131">
        <f t="shared" si="0"/>
        <v>0</v>
      </c>
      <c r="P55" s="131">
        <f t="shared" si="1"/>
        <v>299089</v>
      </c>
      <c r="Q55" s="131"/>
      <c r="R55" s="131"/>
      <c r="S55" s="131"/>
      <c r="T55" s="131"/>
      <c r="U55" s="131"/>
      <c r="V55" s="131">
        <v>299089</v>
      </c>
      <c r="W55" s="180">
        <v>0</v>
      </c>
      <c r="X55" s="180">
        <f t="shared" si="2"/>
        <v>598178</v>
      </c>
      <c r="Y55" s="181">
        <f>IF(D55="Physician Group Practice",(X55/$AE$369)*'1. UC Assumptions'!$C$15,IF(OR(E55="Rural Hospital",E55="Hosp - State"),X55,(X55/$X$369)*'1. UC Assumptions'!$C$9))</f>
        <v>360021.22170233465</v>
      </c>
      <c r="Z55" s="181">
        <f t="shared" si="3"/>
        <v>0</v>
      </c>
      <c r="AA55" s="181">
        <f t="shared" si="4"/>
        <v>238156.77829766535</v>
      </c>
      <c r="AB55" s="182">
        <f t="shared" si="5"/>
        <v>127.89760714267487</v>
      </c>
      <c r="AC55" s="181">
        <f t="shared" si="6"/>
        <v>238284.67590480804</v>
      </c>
      <c r="AD55" s="181">
        <f t="shared" si="7"/>
        <v>360149.11930947733</v>
      </c>
      <c r="AE55" s="131">
        <v>0</v>
      </c>
      <c r="AF55" s="131">
        <f>AE55*'1. UC Assumptions'!$C$23</f>
        <v>0</v>
      </c>
      <c r="AG55" s="183">
        <f>IF((((X55-W55-AE55)*'1. UC Assumptions'!$C$23)+AF55)&gt;0,((X55-W55-AE55)*'1. UC Assumptions'!$C$23)+AF55,0)</f>
        <v>197398.73999999996</v>
      </c>
      <c r="AH55" s="183">
        <f>IF(((X55-W55-AE55)*'1. UC Assumptions'!$C$23)&gt;0,(X55-W55-AE55)*'1. UC Assumptions'!$C$23,0)</f>
        <v>197398.73999999996</v>
      </c>
      <c r="AI55" s="183">
        <f t="shared" si="8"/>
        <v>197398.73999999996</v>
      </c>
      <c r="AJ55" s="183">
        <f>IF(H55="Bexar",(AD55/$AJ$1)*'1. UC Assumptions'!$E$42,0)</f>
        <v>0</v>
      </c>
      <c r="AK55" s="183">
        <f>IF(H55="Dallas",(AD55/$AK$1)*'1. UC Assumptions'!$F$42,0)</f>
        <v>0</v>
      </c>
      <c r="AL55" s="183">
        <f>IF(H55="El Paso",(AD55/$AL$1)*'1. UC Assumptions'!$G$42,0)</f>
        <v>0</v>
      </c>
      <c r="AM55" s="183">
        <f>IF(H55="Harris",(AD55/$AM$1)*'1. UC Assumptions'!$H$42,0)</f>
        <v>0</v>
      </c>
      <c r="AN55" s="183">
        <f>IF(H55="Hidalgo",(AD55/$AN$1)*'1. UC Assumptions'!$I$42,0)</f>
        <v>0</v>
      </c>
      <c r="AO55" s="183">
        <f>IF(H55="Jefferson",(AD55/$AO$1)*'1. UC Assumptions'!$J$42,0)</f>
        <v>0</v>
      </c>
      <c r="AP55" s="183">
        <f>IF(H55="Lubbock",(AD55/$AP$1)*'1. UC Assumptions'!$K$42,0)</f>
        <v>0</v>
      </c>
      <c r="AQ55" s="183">
        <f>IF(H55="MRSA Central",(AD55/$AQ$1)*'1. UC Assumptions'!$L$42,0)</f>
        <v>0</v>
      </c>
      <c r="AR55" s="183">
        <f>IF(H55="MRSA Northeast",(AD55/$AR$1)*'1. UC Assumptions'!$M$42,0)</f>
        <v>0</v>
      </c>
      <c r="AS55" s="183">
        <f>IF(H55="MRSA West",(AD55/$AS$1)*'1. UC Assumptions'!$N$42,0)</f>
        <v>0</v>
      </c>
      <c r="AT55" s="183">
        <f>IF(H55="Nueces",(AD55/$AT$1)*'1. UC Assumptions'!$O$42,0)</f>
        <v>0</v>
      </c>
      <c r="AU55" s="183">
        <f>IF(H55="Tarrant",(AD55/$AU$1)*'1. UC Assumptions'!$P$42,0)</f>
        <v>0</v>
      </c>
      <c r="AV55" s="183">
        <f>IF(H55="Travis",(AD55/$AV$1)*'1. UC Assumptions'!$Q$42,0)</f>
        <v>0</v>
      </c>
      <c r="AW55" s="183">
        <f>IF(H55="Bexar",(AC55/$AW$1)*'1. UC Assumptions'!$E$44,0)</f>
        <v>0</v>
      </c>
      <c r="AX55" s="183">
        <f>IF(H55="Dallas",(AC55/$AX$1)*'1. UC Assumptions'!$F$44,0)</f>
        <v>0</v>
      </c>
      <c r="AY55" s="183">
        <f>IF(H55="El Paso",(AC55/$AY$1)*'1. UC Assumptions'!$G$44,0)</f>
        <v>0</v>
      </c>
      <c r="AZ55" s="183">
        <f>IF(H55="Harris",(AC55/$AZ$1)*'1. UC Assumptions'!$H$44,0)</f>
        <v>0</v>
      </c>
      <c r="BA55" s="183">
        <f>IF(H55="Hidalgo",(AC55/$BA$1)*'1. UC Assumptions'!$I$44,0)</f>
        <v>0</v>
      </c>
      <c r="BB55" s="183">
        <f>IF(H55="Jefferson",(AC55/$BB$1)*'1. UC Assumptions'!$J$44,0)</f>
        <v>0</v>
      </c>
      <c r="BC55" s="183">
        <f>IF(H55="Lubbock",(AC55/$BC$1)*'1. UC Assumptions'!$K$44,0)</f>
        <v>0</v>
      </c>
      <c r="BD55" s="183">
        <f>IF(H55="MRSA Central",(AC55/$BD$1)*'1. UC Assumptions'!$L$44,0)</f>
        <v>0</v>
      </c>
      <c r="BE55" s="183">
        <f>IF(H55="MRSA Northeast",(AC55/$BE$1)*'1. UC Assumptions'!$M$44,0)</f>
        <v>0</v>
      </c>
      <c r="BF55" s="183">
        <f>IF(H55="MRSA West",(AC55/$BF$1)*'1. UC Assumptions'!$N$44,0)</f>
        <v>0</v>
      </c>
      <c r="BG55" s="183">
        <f>IF(H55="Nueces",(AC55/$BG$1)*'1. UC Assumptions'!$O$44,0)</f>
        <v>0</v>
      </c>
      <c r="BH55" s="183">
        <f>IF(H55="Tarrant",(AC55/$BH$1)*'1. UC Assumptions'!$P$44,0)</f>
        <v>0</v>
      </c>
      <c r="BI55" s="183">
        <f>IF(H55="Travis",(AC55/$BI$1)*'1. UC Assumptions'!$Q$44,0)</f>
        <v>0</v>
      </c>
      <c r="BJ55" s="183">
        <f t="shared" si="9"/>
        <v>0</v>
      </c>
      <c r="BK55" s="183">
        <f t="shared" si="10"/>
        <v>0</v>
      </c>
      <c r="BL55" s="183">
        <f t="shared" si="11"/>
        <v>360149.11930947733</v>
      </c>
      <c r="BM55" s="184">
        <f t="shared" si="12"/>
        <v>360149.11930947733</v>
      </c>
      <c r="BN55" s="184">
        <f>ROUNDDOWN(BM55*'1. UC Assumptions'!$C$23,2)</f>
        <v>118849.2</v>
      </c>
      <c r="BO55" s="184"/>
      <c r="BP55" s="185"/>
      <c r="BQ55" s="32"/>
      <c r="BR55" s="32"/>
    </row>
    <row r="56" spans="1:70">
      <c r="A56" s="177" t="s">
        <v>1304</v>
      </c>
      <c r="B56" s="178" t="s">
        <v>1006</v>
      </c>
      <c r="C56" s="178" t="s">
        <v>1006</v>
      </c>
      <c r="D56" s="179" t="s">
        <v>214</v>
      </c>
      <c r="E56" s="179"/>
      <c r="F56" s="177"/>
      <c r="G56" s="177" t="s">
        <v>1305</v>
      </c>
      <c r="H56" s="178" t="s">
        <v>4</v>
      </c>
      <c r="I56" s="178" t="s">
        <v>260</v>
      </c>
      <c r="J56" s="131">
        <f>IFERROR(INDEX(#REF!,(MATCH('Old Calc Tab'!C:C,#REF!,0))),0)</f>
        <v>0</v>
      </c>
      <c r="K56" s="131">
        <f>IFERROR(INDEX(#REF!,(MATCH('Old Calc Tab'!$C:$C,#REF!,0))),0)</f>
        <v>0</v>
      </c>
      <c r="L56" s="131"/>
      <c r="M56" s="131">
        <v>1055047</v>
      </c>
      <c r="N56" s="131">
        <f>IFERROR(INDEX(#REF!,(MATCH('Old Calc Tab'!$C:$C,#REF!,0))),0)</f>
        <v>0</v>
      </c>
      <c r="O56" s="131">
        <f t="shared" si="0"/>
        <v>0</v>
      </c>
      <c r="P56" s="131">
        <f t="shared" si="1"/>
        <v>1055047</v>
      </c>
      <c r="Q56" s="131"/>
      <c r="R56" s="131"/>
      <c r="S56" s="131"/>
      <c r="T56" s="131"/>
      <c r="U56" s="131"/>
      <c r="V56" s="131">
        <v>25955</v>
      </c>
      <c r="W56" s="180">
        <v>0</v>
      </c>
      <c r="X56" s="180">
        <f t="shared" si="2"/>
        <v>1081002</v>
      </c>
      <c r="Y56" s="181">
        <f>IF(D56="Physician Group Practice",(X56/$AE$369)*'1. UC Assumptions'!$C$15,IF(OR(E56="Rural Hospital",E56="Hosp - State"),X56,(X56/$X$369)*'1. UC Assumptions'!$C$9))</f>
        <v>650615.13580015837</v>
      </c>
      <c r="Z56" s="181">
        <f t="shared" si="3"/>
        <v>0</v>
      </c>
      <c r="AA56" s="181">
        <f t="shared" si="4"/>
        <v>430386.86419984163</v>
      </c>
      <c r="AB56" s="182">
        <f t="shared" si="5"/>
        <v>231.1311501199406</v>
      </c>
      <c r="AC56" s="181">
        <f t="shared" si="6"/>
        <v>430617.99534996157</v>
      </c>
      <c r="AD56" s="181">
        <f t="shared" si="7"/>
        <v>650846.26695027831</v>
      </c>
      <c r="AE56" s="131">
        <v>0</v>
      </c>
      <c r="AF56" s="131">
        <f>AE56*'1. UC Assumptions'!$C$23</f>
        <v>0</v>
      </c>
      <c r="AG56" s="183">
        <f>IF((((X56-W56-AE56)*'1. UC Assumptions'!$C$23)+AF56)&gt;0,((X56-W56-AE56)*'1. UC Assumptions'!$C$23)+AF56,0)</f>
        <v>356730.66</v>
      </c>
      <c r="AH56" s="183">
        <f>IF(((X56-W56-AE56)*'1. UC Assumptions'!$C$23)&gt;0,(X56-W56-AE56)*'1. UC Assumptions'!$C$23,0)</f>
        <v>356730.66</v>
      </c>
      <c r="AI56" s="183">
        <f t="shared" si="8"/>
        <v>356730.66</v>
      </c>
      <c r="AJ56" s="183">
        <f>IF(H56="Bexar",(AD56/$AJ$1)*'1. UC Assumptions'!$E$42,0)</f>
        <v>0</v>
      </c>
      <c r="AK56" s="183">
        <f>IF(H56="Dallas",(AD56/$AK$1)*'1. UC Assumptions'!$F$42,0)</f>
        <v>0</v>
      </c>
      <c r="AL56" s="183">
        <f>IF(H56="El Paso",(AD56/$AL$1)*'1. UC Assumptions'!$G$42,0)</f>
        <v>0</v>
      </c>
      <c r="AM56" s="183">
        <f>IF(H56="Harris",(AD56/$AM$1)*'1. UC Assumptions'!$H$42,0)</f>
        <v>0</v>
      </c>
      <c r="AN56" s="183">
        <f>IF(H56="Hidalgo",(AD56/$AN$1)*'1. UC Assumptions'!$I$42,0)</f>
        <v>0</v>
      </c>
      <c r="AO56" s="183">
        <f>IF(H56="Jefferson",(AD56/$AO$1)*'1. UC Assumptions'!$J$42,0)</f>
        <v>0</v>
      </c>
      <c r="AP56" s="183">
        <f>IF(H56="Lubbock",(AD56/$AP$1)*'1. UC Assumptions'!$K$42,0)</f>
        <v>0</v>
      </c>
      <c r="AQ56" s="183">
        <f>IF(H56="MRSA Central",(AD56/$AQ$1)*'1. UC Assumptions'!$L$42,0)</f>
        <v>0</v>
      </c>
      <c r="AR56" s="183">
        <f>IF(H56="MRSA Northeast",(AD56/$AR$1)*'1. UC Assumptions'!$M$42,0)</f>
        <v>0</v>
      </c>
      <c r="AS56" s="183">
        <f>IF(H56="MRSA West",(AD56/$AS$1)*'1. UC Assumptions'!$N$42,0)</f>
        <v>0</v>
      </c>
      <c r="AT56" s="183">
        <f>IF(H56="Nueces",(AD56/$AT$1)*'1. UC Assumptions'!$O$42,0)</f>
        <v>0</v>
      </c>
      <c r="AU56" s="183">
        <f>IF(H56="Tarrant",(AD56/$AU$1)*'1. UC Assumptions'!$P$42,0)</f>
        <v>0</v>
      </c>
      <c r="AV56" s="183">
        <f>IF(H56="Travis",(AD56/$AV$1)*'1. UC Assumptions'!$Q$42,0)</f>
        <v>0</v>
      </c>
      <c r="AW56" s="183">
        <f>IF(H56="Bexar",(AC56/$AW$1)*'1. UC Assumptions'!$E$44,0)</f>
        <v>0</v>
      </c>
      <c r="AX56" s="183">
        <f>IF(H56="Dallas",(AC56/$AX$1)*'1. UC Assumptions'!$F$44,0)</f>
        <v>0</v>
      </c>
      <c r="AY56" s="183">
        <f>IF(H56="El Paso",(AC56/$AY$1)*'1. UC Assumptions'!$G$44,0)</f>
        <v>0</v>
      </c>
      <c r="AZ56" s="183">
        <f>IF(H56="Harris",(AC56/$AZ$1)*'1. UC Assumptions'!$H$44,0)</f>
        <v>0</v>
      </c>
      <c r="BA56" s="183">
        <f>IF(H56="Hidalgo",(AC56/$BA$1)*'1. UC Assumptions'!$I$44,0)</f>
        <v>0</v>
      </c>
      <c r="BB56" s="183">
        <f>IF(H56="Jefferson",(AC56/$BB$1)*'1. UC Assumptions'!$J$44,0)</f>
        <v>0</v>
      </c>
      <c r="BC56" s="183">
        <f>IF(H56="Lubbock",(AC56/$BC$1)*'1. UC Assumptions'!$K$44,0)</f>
        <v>0</v>
      </c>
      <c r="BD56" s="183">
        <f>IF(H56="MRSA Central",(AC56/$BD$1)*'1. UC Assumptions'!$L$44,0)</f>
        <v>0</v>
      </c>
      <c r="BE56" s="183">
        <f>IF(H56="MRSA Northeast",(AC56/$BE$1)*'1. UC Assumptions'!$M$44,0)</f>
        <v>0</v>
      </c>
      <c r="BF56" s="183">
        <f>IF(H56="MRSA West",(AC56/$BF$1)*'1. UC Assumptions'!$N$44,0)</f>
        <v>0</v>
      </c>
      <c r="BG56" s="183">
        <f>IF(H56="Nueces",(AC56/$BG$1)*'1. UC Assumptions'!$O$44,0)</f>
        <v>0</v>
      </c>
      <c r="BH56" s="183">
        <f>IF(H56="Tarrant",(AC56/$BH$1)*'1. UC Assumptions'!$P$44,0)</f>
        <v>0</v>
      </c>
      <c r="BI56" s="183">
        <f>IF(H56="Travis",(AC56/$BI$1)*'1. UC Assumptions'!$Q$44,0)</f>
        <v>0</v>
      </c>
      <c r="BJ56" s="183">
        <f t="shared" si="9"/>
        <v>0</v>
      </c>
      <c r="BK56" s="183">
        <f t="shared" si="10"/>
        <v>0</v>
      </c>
      <c r="BL56" s="183">
        <f t="shared" si="11"/>
        <v>650846.26695027831</v>
      </c>
      <c r="BM56" s="184">
        <f t="shared" si="12"/>
        <v>650846.26695027831</v>
      </c>
      <c r="BN56" s="184">
        <f>ROUNDDOWN(BM56*'1. UC Assumptions'!$C$23,2)</f>
        <v>214779.26</v>
      </c>
      <c r="BO56" s="184"/>
      <c r="BP56" s="185"/>
      <c r="BQ56" s="32"/>
      <c r="BR56" s="32"/>
    </row>
    <row r="57" spans="1:70">
      <c r="A57" s="177" t="s">
        <v>1306</v>
      </c>
      <c r="B57" s="178" t="s">
        <v>1307</v>
      </c>
      <c r="C57" s="178" t="s">
        <v>1307</v>
      </c>
      <c r="D57" s="179" t="s">
        <v>214</v>
      </c>
      <c r="E57" s="179"/>
      <c r="F57" s="177"/>
      <c r="G57" s="177" t="s">
        <v>1308</v>
      </c>
      <c r="H57" s="178" t="s">
        <v>4</v>
      </c>
      <c r="I57" s="178" t="s">
        <v>4</v>
      </c>
      <c r="J57" s="131">
        <f>IFERROR(INDEX(#REF!,(MATCH('Old Calc Tab'!C:C,#REF!,0))),0)</f>
        <v>0</v>
      </c>
      <c r="K57" s="131">
        <f>IFERROR(INDEX(#REF!,(MATCH('Old Calc Tab'!$C:$C,#REF!,0))),0)</f>
        <v>0</v>
      </c>
      <c r="L57" s="131"/>
      <c r="M57" s="131">
        <v>0</v>
      </c>
      <c r="N57" s="131">
        <f>IFERROR(INDEX(#REF!,(MATCH('Old Calc Tab'!$C:$C,#REF!,0))),0)</f>
        <v>0</v>
      </c>
      <c r="O57" s="131">
        <f t="shared" si="0"/>
        <v>0</v>
      </c>
      <c r="P57" s="131">
        <f t="shared" si="1"/>
        <v>0</v>
      </c>
      <c r="Q57" s="131"/>
      <c r="R57" s="131"/>
      <c r="S57" s="131"/>
      <c r="T57" s="131"/>
      <c r="U57" s="131"/>
      <c r="V57" s="131">
        <v>0</v>
      </c>
      <c r="W57" s="180">
        <v>0</v>
      </c>
      <c r="X57" s="180">
        <f t="shared" si="2"/>
        <v>0</v>
      </c>
      <c r="Y57" s="181">
        <f>IF(D57="Physician Group Practice",(X57/$AE$369)*'1. UC Assumptions'!$C$15,IF(OR(E57="Rural Hospital",E57="Hosp - State"),X57,(X57/$X$369)*'1. UC Assumptions'!$C$9))</f>
        <v>0</v>
      </c>
      <c r="Z57" s="181">
        <f t="shared" si="3"/>
        <v>0</v>
      </c>
      <c r="AA57" s="181">
        <f t="shared" si="4"/>
        <v>0</v>
      </c>
      <c r="AB57" s="182">
        <f t="shared" si="5"/>
        <v>0</v>
      </c>
      <c r="AC57" s="181">
        <f t="shared" si="6"/>
        <v>0</v>
      </c>
      <c r="AD57" s="181">
        <f t="shared" si="7"/>
        <v>0</v>
      </c>
      <c r="AE57" s="131">
        <v>946311.23</v>
      </c>
      <c r="AF57" s="131">
        <f>AE57*'1. UC Assumptions'!$C$23</f>
        <v>312282.70589999994</v>
      </c>
      <c r="AG57" s="183">
        <f>IF((((X57-W57-AE57)*'1. UC Assumptions'!$C$23)+AF57)&gt;0,((X57-W57-AE57)*'1. UC Assumptions'!$C$23)+AF57,0)</f>
        <v>0</v>
      </c>
      <c r="AH57" s="183">
        <f>IF(((X57-W57-AE57)*'1. UC Assumptions'!$C$23)&gt;0,(X57-W57-AE57)*'1. UC Assumptions'!$C$23,0)</f>
        <v>0</v>
      </c>
      <c r="AI57" s="183">
        <f t="shared" si="8"/>
        <v>312282.70589999994</v>
      </c>
      <c r="AJ57" s="183">
        <f>IF(H57="Bexar",(AD57/$AJ$1)*'1. UC Assumptions'!$E$42,0)</f>
        <v>0</v>
      </c>
      <c r="AK57" s="183">
        <f>IF(H57="Dallas",(AD57/$AK$1)*'1. UC Assumptions'!$F$42,0)</f>
        <v>0</v>
      </c>
      <c r="AL57" s="183">
        <f>IF(H57="El Paso",(AD57/$AL$1)*'1. UC Assumptions'!$G$42,0)</f>
        <v>0</v>
      </c>
      <c r="AM57" s="183">
        <f>IF(H57="Harris",(AD57/$AM$1)*'1. UC Assumptions'!$H$42,0)</f>
        <v>0</v>
      </c>
      <c r="AN57" s="183">
        <f>IF(H57="Hidalgo",(AD57/$AN$1)*'1. UC Assumptions'!$I$42,0)</f>
        <v>0</v>
      </c>
      <c r="AO57" s="183">
        <f>IF(H57="Jefferson",(AD57/$AO$1)*'1. UC Assumptions'!$J$42,0)</f>
        <v>0</v>
      </c>
      <c r="AP57" s="183">
        <f>IF(H57="Lubbock",(AD57/$AP$1)*'1. UC Assumptions'!$K$42,0)</f>
        <v>0</v>
      </c>
      <c r="AQ57" s="183">
        <f>IF(H57="MRSA Central",(AD57/$AQ$1)*'1. UC Assumptions'!$L$42,0)</f>
        <v>0</v>
      </c>
      <c r="AR57" s="183">
        <f>IF(H57="MRSA Northeast",(AD57/$AR$1)*'1. UC Assumptions'!$M$42,0)</f>
        <v>0</v>
      </c>
      <c r="AS57" s="183">
        <f>IF(H57="MRSA West",(AD57/$AS$1)*'1. UC Assumptions'!$N$42,0)</f>
        <v>0</v>
      </c>
      <c r="AT57" s="183">
        <f>IF(H57="Nueces",(AD57/$AT$1)*'1. UC Assumptions'!$O$42,0)</f>
        <v>0</v>
      </c>
      <c r="AU57" s="183">
        <f>IF(H57="Tarrant",(AD57/$AU$1)*'1. UC Assumptions'!$P$42,0)</f>
        <v>0</v>
      </c>
      <c r="AV57" s="183">
        <f>IF(H57="Travis",(AD57/$AV$1)*'1. UC Assumptions'!$Q$42,0)</f>
        <v>0</v>
      </c>
      <c r="AW57" s="183">
        <f>IF(H57="Bexar",(AC57/$AW$1)*'1. UC Assumptions'!$E$44,0)</f>
        <v>0</v>
      </c>
      <c r="AX57" s="183">
        <f>IF(H57="Dallas",(AC57/$AX$1)*'1. UC Assumptions'!$F$44,0)</f>
        <v>0</v>
      </c>
      <c r="AY57" s="183">
        <f>IF(H57="El Paso",(AC57/$AY$1)*'1. UC Assumptions'!$G$44,0)</f>
        <v>0</v>
      </c>
      <c r="AZ57" s="183">
        <f>IF(H57="Harris",(AC57/$AZ$1)*'1. UC Assumptions'!$H$44,0)</f>
        <v>0</v>
      </c>
      <c r="BA57" s="183">
        <f>IF(H57="Hidalgo",(AC57/$BA$1)*'1. UC Assumptions'!$I$44,0)</f>
        <v>0</v>
      </c>
      <c r="BB57" s="183">
        <f>IF(H57="Jefferson",(AC57/$BB$1)*'1. UC Assumptions'!$J$44,0)</f>
        <v>0</v>
      </c>
      <c r="BC57" s="183">
        <f>IF(H57="Lubbock",(AC57/$BC$1)*'1. UC Assumptions'!$K$44,0)</f>
        <v>0</v>
      </c>
      <c r="BD57" s="183">
        <f>IF(H57="MRSA Central",(AC57/$BD$1)*'1. UC Assumptions'!$L$44,0)</f>
        <v>0</v>
      </c>
      <c r="BE57" s="183">
        <f>IF(H57="MRSA Northeast",(AC57/$BE$1)*'1. UC Assumptions'!$M$44,0)</f>
        <v>0</v>
      </c>
      <c r="BF57" s="183">
        <f>IF(H57="MRSA West",(AC57/$BF$1)*'1. UC Assumptions'!$N$44,0)</f>
        <v>0</v>
      </c>
      <c r="BG57" s="183">
        <f>IF(H57="Nueces",(AC57/$BG$1)*'1. UC Assumptions'!$O$44,0)</f>
        <v>0</v>
      </c>
      <c r="BH57" s="183">
        <f>IF(H57="Tarrant",(AC57/$BH$1)*'1. UC Assumptions'!$P$44,0)</f>
        <v>0</v>
      </c>
      <c r="BI57" s="183">
        <f>IF(H57="Travis",(AC57/$BI$1)*'1. UC Assumptions'!$Q$44,0)</f>
        <v>0</v>
      </c>
      <c r="BJ57" s="183">
        <f t="shared" si="9"/>
        <v>0</v>
      </c>
      <c r="BK57" s="183">
        <f t="shared" si="10"/>
        <v>0</v>
      </c>
      <c r="BL57" s="183">
        <f t="shared" si="11"/>
        <v>0</v>
      </c>
      <c r="BM57" s="184">
        <f t="shared" si="12"/>
        <v>-946311.23</v>
      </c>
      <c r="BN57" s="184">
        <f>ROUNDDOWN(BM57*'1. UC Assumptions'!$C$23,2)</f>
        <v>-312282.7</v>
      </c>
      <c r="BO57" s="184"/>
      <c r="BP57" s="185"/>
      <c r="BQ57" s="32"/>
      <c r="BR57" s="32"/>
    </row>
    <row r="58" spans="1:70">
      <c r="A58" s="177" t="s">
        <v>1309</v>
      </c>
      <c r="B58" s="177" t="s">
        <v>1310</v>
      </c>
      <c r="C58" s="178" t="s">
        <v>1310</v>
      </c>
      <c r="D58" s="179" t="s">
        <v>214</v>
      </c>
      <c r="E58" s="179"/>
      <c r="F58" s="177"/>
      <c r="G58" s="177" t="s">
        <v>1311</v>
      </c>
      <c r="H58" s="178" t="s">
        <v>4</v>
      </c>
      <c r="I58" s="178" t="s">
        <v>4</v>
      </c>
      <c r="J58" s="131">
        <f>IFERROR(INDEX(#REF!,(MATCH('Old Calc Tab'!C:C,#REF!,0))),0)</f>
        <v>0</v>
      </c>
      <c r="K58" s="131">
        <f>IFERROR(INDEX(#REF!,(MATCH('Old Calc Tab'!$C:$C,#REF!,0))),0)</f>
        <v>0</v>
      </c>
      <c r="L58" s="131"/>
      <c r="M58" s="131">
        <v>14836009.32</v>
      </c>
      <c r="N58" s="131">
        <f>IFERROR(INDEX(#REF!,(MATCH('Old Calc Tab'!$C:$C,#REF!,0))),0)</f>
        <v>0</v>
      </c>
      <c r="O58" s="131">
        <f t="shared" si="0"/>
        <v>0</v>
      </c>
      <c r="P58" s="131">
        <f t="shared" si="1"/>
        <v>14836009.32</v>
      </c>
      <c r="Q58" s="131"/>
      <c r="R58" s="131"/>
      <c r="S58" s="131"/>
      <c r="T58" s="131"/>
      <c r="U58" s="131"/>
      <c r="V58" s="131">
        <v>0</v>
      </c>
      <c r="W58" s="180">
        <v>0</v>
      </c>
      <c r="X58" s="180">
        <f t="shared" si="2"/>
        <v>14836009.32</v>
      </c>
      <c r="Y58" s="181">
        <f>IF(D58="Physician Group Practice",(X58/$AE$369)*'1. UC Assumptions'!$C$15,IF(OR(E58="Rural Hospital",E58="Hosp - State"),X58,(X58/$X$369)*'1. UC Assumptions'!$C$9))</f>
        <v>8929245.4763859976</v>
      </c>
      <c r="Z58" s="181">
        <f t="shared" si="3"/>
        <v>0</v>
      </c>
      <c r="AA58" s="181">
        <f t="shared" si="4"/>
        <v>5906763.8436140027</v>
      </c>
      <c r="AB58" s="182">
        <f t="shared" si="5"/>
        <v>3172.1161453186555</v>
      </c>
      <c r="AC58" s="181">
        <f t="shared" si="6"/>
        <v>5909935.9597593211</v>
      </c>
      <c r="AD58" s="181">
        <f t="shared" si="7"/>
        <v>8932417.592531316</v>
      </c>
      <c r="AE58" s="131">
        <v>7022817.5499999998</v>
      </c>
      <c r="AF58" s="131">
        <f>AE58*'1. UC Assumptions'!$C$23</f>
        <v>2317529.7914999998</v>
      </c>
      <c r="AG58" s="183">
        <f>IF((((X58-W58-AE58)*'1. UC Assumptions'!$C$23)+AF58)&gt;0,((X58-W58-AE58)*'1. UC Assumptions'!$C$23)+AF58,0)</f>
        <v>4895883.0756000001</v>
      </c>
      <c r="AH58" s="183">
        <f>IF(((X58-W58-AE58)*'1. UC Assumptions'!$C$23)&gt;0,(X58-W58-AE58)*'1. UC Assumptions'!$C$23,0)</f>
        <v>2578353.2840999998</v>
      </c>
      <c r="AI58" s="183">
        <f t="shared" si="8"/>
        <v>4895883.0756000001</v>
      </c>
      <c r="AJ58" s="183">
        <f>IF(H58="Bexar",(AD58/$AJ$1)*'1. UC Assumptions'!$E$42,0)</f>
        <v>0</v>
      </c>
      <c r="AK58" s="183">
        <f>IF(H58="Dallas",(AD58/$AK$1)*'1. UC Assumptions'!$F$42,0)</f>
        <v>0</v>
      </c>
      <c r="AL58" s="183">
        <f>IF(H58="El Paso",(AD58/$AL$1)*'1. UC Assumptions'!$G$42,0)</f>
        <v>0</v>
      </c>
      <c r="AM58" s="183">
        <f>IF(H58="Harris",(AD58/$AM$1)*'1. UC Assumptions'!$H$42,0)</f>
        <v>0</v>
      </c>
      <c r="AN58" s="183">
        <f>IF(H58="Hidalgo",(AD58/$AN$1)*'1. UC Assumptions'!$I$42,0)</f>
        <v>0</v>
      </c>
      <c r="AO58" s="183">
        <f>IF(H58="Jefferson",(AD58/$AO$1)*'1. UC Assumptions'!$J$42,0)</f>
        <v>0</v>
      </c>
      <c r="AP58" s="183">
        <f>IF(H58="Lubbock",(AD58/$AP$1)*'1. UC Assumptions'!$K$42,0)</f>
        <v>0</v>
      </c>
      <c r="AQ58" s="183">
        <f>IF(H58="MRSA Central",(AD58/$AQ$1)*'1. UC Assumptions'!$L$42,0)</f>
        <v>0</v>
      </c>
      <c r="AR58" s="183">
        <f>IF(H58="MRSA Northeast",(AD58/$AR$1)*'1. UC Assumptions'!$M$42,0)</f>
        <v>0</v>
      </c>
      <c r="AS58" s="183">
        <f>IF(H58="MRSA West",(AD58/$AS$1)*'1. UC Assumptions'!$N$42,0)</f>
        <v>0</v>
      </c>
      <c r="AT58" s="183">
        <f>IF(H58="Nueces",(AD58/$AT$1)*'1. UC Assumptions'!$O$42,0)</f>
        <v>0</v>
      </c>
      <c r="AU58" s="183">
        <f>IF(H58="Tarrant",(AD58/$AU$1)*'1. UC Assumptions'!$P$42,0)</f>
        <v>0</v>
      </c>
      <c r="AV58" s="183">
        <f>IF(H58="Travis",(AD58/$AV$1)*'1. UC Assumptions'!$Q$42,0)</f>
        <v>0</v>
      </c>
      <c r="AW58" s="183">
        <f>IF(H58="Bexar",(AC58/$AW$1)*'1. UC Assumptions'!$E$44,0)</f>
        <v>0</v>
      </c>
      <c r="AX58" s="183">
        <f>IF(H58="Dallas",(AC58/$AX$1)*'1. UC Assumptions'!$F$44,0)</f>
        <v>0</v>
      </c>
      <c r="AY58" s="183">
        <f>IF(H58="El Paso",(AC58/$AY$1)*'1. UC Assumptions'!$G$44,0)</f>
        <v>0</v>
      </c>
      <c r="AZ58" s="183">
        <f>IF(H58="Harris",(AC58/$AZ$1)*'1. UC Assumptions'!$H$44,0)</f>
        <v>0</v>
      </c>
      <c r="BA58" s="183">
        <f>IF(H58="Hidalgo",(AC58/$BA$1)*'1. UC Assumptions'!$I$44,0)</f>
        <v>0</v>
      </c>
      <c r="BB58" s="183">
        <f>IF(H58="Jefferson",(AC58/$BB$1)*'1. UC Assumptions'!$J$44,0)</f>
        <v>0</v>
      </c>
      <c r="BC58" s="183">
        <f>IF(H58="Lubbock",(AC58/$BC$1)*'1. UC Assumptions'!$K$44,0)</f>
        <v>0</v>
      </c>
      <c r="BD58" s="183">
        <f>IF(H58="MRSA Central",(AC58/$BD$1)*'1. UC Assumptions'!$L$44,0)</f>
        <v>0</v>
      </c>
      <c r="BE58" s="183">
        <f>IF(H58="MRSA Northeast",(AC58/$BE$1)*'1. UC Assumptions'!$M$44,0)</f>
        <v>0</v>
      </c>
      <c r="BF58" s="183">
        <f>IF(H58="MRSA West",(AC58/$BF$1)*'1. UC Assumptions'!$N$44,0)</f>
        <v>0</v>
      </c>
      <c r="BG58" s="183">
        <f>IF(H58="Nueces",(AC58/$BG$1)*'1. UC Assumptions'!$O$44,0)</f>
        <v>0</v>
      </c>
      <c r="BH58" s="183">
        <f>IF(H58="Tarrant",(AC58/$BH$1)*'1. UC Assumptions'!$P$44,0)</f>
        <v>0</v>
      </c>
      <c r="BI58" s="183">
        <f>IF(H58="Travis",(AC58/$BI$1)*'1. UC Assumptions'!$Q$44,0)</f>
        <v>0</v>
      </c>
      <c r="BJ58" s="183">
        <f t="shared" si="9"/>
        <v>0</v>
      </c>
      <c r="BK58" s="183">
        <f t="shared" si="10"/>
        <v>0</v>
      </c>
      <c r="BL58" s="183">
        <f t="shared" si="11"/>
        <v>8932417.592531316</v>
      </c>
      <c r="BM58" s="184">
        <f t="shared" si="12"/>
        <v>1909600.0425313162</v>
      </c>
      <c r="BN58" s="184">
        <f>ROUNDDOWN(BM58*'1. UC Assumptions'!$C$23,2)</f>
        <v>630168.01</v>
      </c>
      <c r="BO58" s="184"/>
      <c r="BP58" s="185"/>
      <c r="BQ58" s="32"/>
      <c r="BR58" s="32"/>
    </row>
    <row r="59" spans="1:70">
      <c r="A59" s="177" t="s">
        <v>1312</v>
      </c>
      <c r="B59" s="177" t="s">
        <v>1313</v>
      </c>
      <c r="C59" s="178" t="s">
        <v>1313</v>
      </c>
      <c r="D59" s="179" t="s">
        <v>214</v>
      </c>
      <c r="E59" s="179"/>
      <c r="F59" s="177"/>
      <c r="G59" s="177" t="s">
        <v>1314</v>
      </c>
      <c r="H59" s="178" t="s">
        <v>4</v>
      </c>
      <c r="I59" s="178" t="s">
        <v>4</v>
      </c>
      <c r="J59" s="131">
        <f>IFERROR(INDEX(#REF!,(MATCH('Old Calc Tab'!C:C,#REF!,0))),0)</f>
        <v>0</v>
      </c>
      <c r="K59" s="131">
        <f>IFERROR(INDEX(#REF!,(MATCH('Old Calc Tab'!$C:$C,#REF!,0))),0)</f>
        <v>0</v>
      </c>
      <c r="L59" s="131"/>
      <c r="M59" s="131">
        <v>11644802</v>
      </c>
      <c r="N59" s="131">
        <f>IFERROR(INDEX(#REF!,(MATCH('Old Calc Tab'!$C:$C,#REF!,0))),0)</f>
        <v>0</v>
      </c>
      <c r="O59" s="131">
        <f t="shared" si="0"/>
        <v>0</v>
      </c>
      <c r="P59" s="131">
        <f t="shared" si="1"/>
        <v>11644802</v>
      </c>
      <c r="Q59" s="131"/>
      <c r="R59" s="131"/>
      <c r="S59" s="131"/>
      <c r="T59" s="131"/>
      <c r="U59" s="131"/>
      <c r="V59" s="131">
        <v>0</v>
      </c>
      <c r="W59" s="180">
        <v>0</v>
      </c>
      <c r="X59" s="180">
        <f t="shared" si="2"/>
        <v>11644802</v>
      </c>
      <c r="Y59" s="181">
        <f>IF(D59="Physician Group Practice",(X59/$AE$369)*'1. UC Assumptions'!$C$15,IF(OR(E59="Rural Hospital",E59="Hosp - State"),X59,(X59/$X$369)*'1. UC Assumptions'!$C$9))</f>
        <v>7008575.7793195164</v>
      </c>
      <c r="Z59" s="181">
        <f t="shared" si="3"/>
        <v>0</v>
      </c>
      <c r="AA59" s="181">
        <f t="shared" si="4"/>
        <v>4636226.2206804836</v>
      </c>
      <c r="AB59" s="182">
        <f t="shared" si="5"/>
        <v>2489.7978719548942</v>
      </c>
      <c r="AC59" s="181">
        <f t="shared" si="6"/>
        <v>4638716.0185524384</v>
      </c>
      <c r="AD59" s="181">
        <f t="shared" si="7"/>
        <v>7011065.5771914711</v>
      </c>
      <c r="AE59" s="131">
        <v>4607304.83</v>
      </c>
      <c r="AF59" s="131">
        <f>AE59*'1. UC Assumptions'!$C$23</f>
        <v>1520410.5938999997</v>
      </c>
      <c r="AG59" s="183">
        <f>IF((((X59-W59-AE59)*'1. UC Assumptions'!$C$23)+AF59)&gt;0,((X59-W59-AE59)*'1. UC Assumptions'!$C$23)+AF59,0)</f>
        <v>3842784.6599999992</v>
      </c>
      <c r="AH59" s="183">
        <f>IF(((X59-W59-AE59)*'1. UC Assumptions'!$C$23)&gt;0,(X59-W59-AE59)*'1. UC Assumptions'!$C$23,0)</f>
        <v>2322374.0660999995</v>
      </c>
      <c r="AI59" s="183">
        <f t="shared" si="8"/>
        <v>3842784.6599999992</v>
      </c>
      <c r="AJ59" s="183">
        <f>IF(H59="Bexar",(AD59/$AJ$1)*'1. UC Assumptions'!$E$42,0)</f>
        <v>0</v>
      </c>
      <c r="AK59" s="183">
        <f>IF(H59="Dallas",(AD59/$AK$1)*'1. UC Assumptions'!$F$42,0)</f>
        <v>0</v>
      </c>
      <c r="AL59" s="183">
        <f>IF(H59="El Paso",(AD59/$AL$1)*'1. UC Assumptions'!$G$42,0)</f>
        <v>0</v>
      </c>
      <c r="AM59" s="183">
        <f>IF(H59="Harris",(AD59/$AM$1)*'1. UC Assumptions'!$H$42,0)</f>
        <v>0</v>
      </c>
      <c r="AN59" s="183">
        <f>IF(H59="Hidalgo",(AD59/$AN$1)*'1. UC Assumptions'!$I$42,0)</f>
        <v>0</v>
      </c>
      <c r="AO59" s="183">
        <f>IF(H59="Jefferson",(AD59/$AO$1)*'1. UC Assumptions'!$J$42,0)</f>
        <v>0</v>
      </c>
      <c r="AP59" s="183">
        <f>IF(H59="Lubbock",(AD59/$AP$1)*'1. UC Assumptions'!$K$42,0)</f>
        <v>0</v>
      </c>
      <c r="AQ59" s="183">
        <f>IF(H59="MRSA Central",(AD59/$AQ$1)*'1. UC Assumptions'!$L$42,0)</f>
        <v>0</v>
      </c>
      <c r="AR59" s="183">
        <f>IF(H59="MRSA Northeast",(AD59/$AR$1)*'1. UC Assumptions'!$M$42,0)</f>
        <v>0</v>
      </c>
      <c r="AS59" s="183">
        <f>IF(H59="MRSA West",(AD59/$AS$1)*'1. UC Assumptions'!$N$42,0)</f>
        <v>0</v>
      </c>
      <c r="AT59" s="183">
        <f>IF(H59="Nueces",(AD59/$AT$1)*'1. UC Assumptions'!$O$42,0)</f>
        <v>0</v>
      </c>
      <c r="AU59" s="183">
        <f>IF(H59="Tarrant",(AD59/$AU$1)*'1. UC Assumptions'!$P$42,0)</f>
        <v>0</v>
      </c>
      <c r="AV59" s="183">
        <f>IF(H59="Travis",(AD59/$AV$1)*'1. UC Assumptions'!$Q$42,0)</f>
        <v>0</v>
      </c>
      <c r="AW59" s="183">
        <f>IF(H59="Bexar",(AC59/$AW$1)*'1. UC Assumptions'!$E$44,0)</f>
        <v>0</v>
      </c>
      <c r="AX59" s="183">
        <f>IF(H59="Dallas",(AC59/$AX$1)*'1. UC Assumptions'!$F$44,0)</f>
        <v>0</v>
      </c>
      <c r="AY59" s="183">
        <f>IF(H59="El Paso",(AC59/$AY$1)*'1. UC Assumptions'!$G$44,0)</f>
        <v>0</v>
      </c>
      <c r="AZ59" s="183">
        <f>IF(H59="Harris",(AC59/$AZ$1)*'1. UC Assumptions'!$H$44,0)</f>
        <v>0</v>
      </c>
      <c r="BA59" s="183">
        <f>IF(H59="Hidalgo",(AC59/$BA$1)*'1. UC Assumptions'!$I$44,0)</f>
        <v>0</v>
      </c>
      <c r="BB59" s="183">
        <f>IF(H59="Jefferson",(AC59/$BB$1)*'1. UC Assumptions'!$J$44,0)</f>
        <v>0</v>
      </c>
      <c r="BC59" s="183">
        <f>IF(H59="Lubbock",(AC59/$BC$1)*'1. UC Assumptions'!$K$44,0)</f>
        <v>0</v>
      </c>
      <c r="BD59" s="183">
        <f>IF(H59="MRSA Central",(AC59/$BD$1)*'1. UC Assumptions'!$L$44,0)</f>
        <v>0</v>
      </c>
      <c r="BE59" s="183">
        <f>IF(H59="MRSA Northeast",(AC59/$BE$1)*'1. UC Assumptions'!$M$44,0)</f>
        <v>0</v>
      </c>
      <c r="BF59" s="183">
        <f>IF(H59="MRSA West",(AC59/$BF$1)*'1. UC Assumptions'!$N$44,0)</f>
        <v>0</v>
      </c>
      <c r="BG59" s="183">
        <f>IF(H59="Nueces",(AC59/$BG$1)*'1. UC Assumptions'!$O$44,0)</f>
        <v>0</v>
      </c>
      <c r="BH59" s="183">
        <f>IF(H59="Tarrant",(AC59/$BH$1)*'1. UC Assumptions'!$P$44,0)</f>
        <v>0</v>
      </c>
      <c r="BI59" s="183">
        <f>IF(H59="Travis",(AC59/$BI$1)*'1. UC Assumptions'!$Q$44,0)</f>
        <v>0</v>
      </c>
      <c r="BJ59" s="183">
        <f t="shared" si="9"/>
        <v>0</v>
      </c>
      <c r="BK59" s="183">
        <f t="shared" si="10"/>
        <v>0</v>
      </c>
      <c r="BL59" s="183">
        <f t="shared" si="11"/>
        <v>7011065.5771914711</v>
      </c>
      <c r="BM59" s="184">
        <f t="shared" si="12"/>
        <v>2403760.747191471</v>
      </c>
      <c r="BN59" s="184">
        <f>ROUNDDOWN(BM59*'1. UC Assumptions'!$C$23,2)</f>
        <v>793241.04</v>
      </c>
      <c r="BO59" s="184"/>
      <c r="BP59" s="185"/>
      <c r="BQ59" s="32"/>
      <c r="BR59" s="32"/>
    </row>
    <row r="60" spans="1:70">
      <c r="A60" s="177"/>
      <c r="B60" s="177" t="s">
        <v>1099</v>
      </c>
      <c r="C60" s="177" t="s">
        <v>1099</v>
      </c>
      <c r="D60" s="179" t="s">
        <v>36</v>
      </c>
      <c r="E60" s="179" t="s">
        <v>36</v>
      </c>
      <c r="F60" s="177"/>
      <c r="G60" s="177" t="s">
        <v>1315</v>
      </c>
      <c r="H60" s="178" t="s">
        <v>5</v>
      </c>
      <c r="I60" s="178" t="s">
        <v>5</v>
      </c>
      <c r="J60" s="131">
        <f>IFERROR(INDEX(#REF!,(MATCH('Old Calc Tab'!C:C,#REF!,0))),0)</f>
        <v>0</v>
      </c>
      <c r="K60" s="131">
        <f>IFERROR(INDEX(#REF!,(MATCH('Old Calc Tab'!$C:$C,#REF!,0))),0)</f>
        <v>0</v>
      </c>
      <c r="L60" s="131"/>
      <c r="M60" s="131">
        <v>15565232.705687413</v>
      </c>
      <c r="N60" s="131">
        <f>IFERROR(INDEX(#REF!,(MATCH('Old Calc Tab'!$C:$C,#REF!,0))),0)</f>
        <v>0</v>
      </c>
      <c r="O60" s="131">
        <f t="shared" si="0"/>
        <v>0</v>
      </c>
      <c r="P60" s="131">
        <f t="shared" si="1"/>
        <v>15565232.705687413</v>
      </c>
      <c r="Q60" s="131"/>
      <c r="R60" s="131"/>
      <c r="S60" s="131"/>
      <c r="T60" s="131"/>
      <c r="U60" s="131"/>
      <c r="V60" s="131">
        <v>0</v>
      </c>
      <c r="W60" s="180">
        <v>0</v>
      </c>
      <c r="X60" s="180">
        <f t="shared" si="2"/>
        <v>15565232.705687413</v>
      </c>
      <c r="Y60" s="181">
        <f>IF(D60="Physician Group Practice",(X60/$AE$369)*'1. UC Assumptions'!$C$15,IF(OR(E60="Rural Hospital",E60="Hosp - State"),X60,(X60/$X$369)*'1. UC Assumptions'!$C$9))</f>
        <v>2397000.9808751731</v>
      </c>
      <c r="Z60" s="181">
        <f t="shared" si="3"/>
        <v>0</v>
      </c>
      <c r="AA60" s="181">
        <f t="shared" si="4"/>
        <v>13168231.724812239</v>
      </c>
      <c r="AB60" s="182">
        <f t="shared" si="5"/>
        <v>7071.750549962213</v>
      </c>
      <c r="AC60" s="181">
        <f t="shared" si="6"/>
        <v>13175303.475362202</v>
      </c>
      <c r="AD60" s="181">
        <f t="shared" si="7"/>
        <v>2404072.7314251354</v>
      </c>
      <c r="AE60" s="131">
        <v>4249804.97</v>
      </c>
      <c r="AF60" s="131">
        <f>AE60*'1. UC Assumptions'!$C$23</f>
        <v>1402435.6400999997</v>
      </c>
      <c r="AG60" s="183">
        <f>IF((((X60-W60-AE60)*'1. UC Assumptions'!$C$23)+AF60)&gt;0,((X60-W60-AE60)*'1. UC Assumptions'!$C$23)+AF60,0)</f>
        <v>5136526.7928768452</v>
      </c>
      <c r="AH60" s="183">
        <f>IF(((X60-W60-AE60)*'1. UC Assumptions'!$C$23)&gt;0,(X60-W60-AE60)*'1. UC Assumptions'!$C$23,0)</f>
        <v>3734091.1527768457</v>
      </c>
      <c r="AI60" s="183">
        <f t="shared" si="8"/>
        <v>5136526.7928768452</v>
      </c>
      <c r="AJ60" s="183">
        <f>IF(H60="Bexar",(AD60/$AJ$1)*'1. UC Assumptions'!$E$42,0)</f>
        <v>0</v>
      </c>
      <c r="AK60" s="183">
        <f>IF(H60="Dallas",(AD60/$AK$1)*'1. UC Assumptions'!$F$42,0)</f>
        <v>0</v>
      </c>
      <c r="AL60" s="183">
        <f>IF(H60="El Paso",(AD60/$AL$1)*'1. UC Assumptions'!$G$42,0)</f>
        <v>0</v>
      </c>
      <c r="AM60" s="183">
        <f>IF(H60="Harris",(AD60/$AM$1)*'1. UC Assumptions'!$H$42,0)</f>
        <v>0</v>
      </c>
      <c r="AN60" s="183">
        <f>IF(H60="Hidalgo",(AD60/$AN$1)*'1. UC Assumptions'!$I$42,0)</f>
        <v>0</v>
      </c>
      <c r="AO60" s="183">
        <f>IF(H60="Jefferson",(AD60/$AO$1)*'1. UC Assumptions'!$J$42,0)</f>
        <v>0</v>
      </c>
      <c r="AP60" s="183">
        <f>IF(H60="Lubbock",(AD60/$AP$1)*'1. UC Assumptions'!$K$42,0)</f>
        <v>0</v>
      </c>
      <c r="AQ60" s="183">
        <f>IF(H60="MRSA Central",(AD60/$AQ$1)*'1. UC Assumptions'!$L$42,0)</f>
        <v>0</v>
      </c>
      <c r="AR60" s="183">
        <f>IF(H60="MRSA Northeast",(AD60/$AR$1)*'1. UC Assumptions'!$M$42,0)</f>
        <v>0</v>
      </c>
      <c r="AS60" s="183">
        <f>IF(H60="MRSA West",(AD60/$AS$1)*'1. UC Assumptions'!$N$42,0)</f>
        <v>0</v>
      </c>
      <c r="AT60" s="183">
        <f>IF(H60="Nueces",(AD60/$AT$1)*'1. UC Assumptions'!$O$42,0)</f>
        <v>0</v>
      </c>
      <c r="AU60" s="183">
        <f>IF(H60="Tarrant",(AD60/$AU$1)*'1. UC Assumptions'!$P$42,0)</f>
        <v>0</v>
      </c>
      <c r="AV60" s="183">
        <f>IF(H60="Travis",(AD60/$AV$1)*'1. UC Assumptions'!$Q$42,0)</f>
        <v>0</v>
      </c>
      <c r="AW60" s="183">
        <f>IF(H60="Bexar",(AC60/$AW$1)*'1. UC Assumptions'!$E$44,0)</f>
        <v>0</v>
      </c>
      <c r="AX60" s="183">
        <f>IF(H60="Dallas",(AC60/$AX$1)*'1. UC Assumptions'!$F$44,0)</f>
        <v>0</v>
      </c>
      <c r="AY60" s="183">
        <f>IF(H60="El Paso",(AC60/$AY$1)*'1. UC Assumptions'!$G$44,0)</f>
        <v>0</v>
      </c>
      <c r="AZ60" s="183">
        <f>IF(H60="Harris",(AC60/$AZ$1)*'1. UC Assumptions'!$H$44,0)</f>
        <v>0</v>
      </c>
      <c r="BA60" s="183">
        <f>IF(H60="Hidalgo",(AC60/$BA$1)*'1. UC Assumptions'!$I$44,0)</f>
        <v>0</v>
      </c>
      <c r="BB60" s="183">
        <f>IF(H60="Jefferson",(AC60/$BB$1)*'1. UC Assumptions'!$J$44,0)</f>
        <v>0</v>
      </c>
      <c r="BC60" s="183">
        <f>IF(H60="Lubbock",(AC60/$BC$1)*'1. UC Assumptions'!$K$44,0)</f>
        <v>0</v>
      </c>
      <c r="BD60" s="183">
        <f>IF(H60="MRSA Central",(AC60/$BD$1)*'1. UC Assumptions'!$L$44,0)</f>
        <v>0</v>
      </c>
      <c r="BE60" s="183">
        <f>IF(H60="MRSA Northeast",(AC60/$BE$1)*'1. UC Assumptions'!$M$44,0)</f>
        <v>0</v>
      </c>
      <c r="BF60" s="183">
        <f>IF(H60="MRSA West",(AC60/$BF$1)*'1. UC Assumptions'!$N$44,0)</f>
        <v>0</v>
      </c>
      <c r="BG60" s="183">
        <f>IF(H60="Nueces",(AC60/$BG$1)*'1. UC Assumptions'!$O$44,0)</f>
        <v>0</v>
      </c>
      <c r="BH60" s="183">
        <f>IF(H60="Tarrant",(AC60/$BH$1)*'1. UC Assumptions'!$P$44,0)</f>
        <v>0</v>
      </c>
      <c r="BI60" s="183">
        <f>IF(H60="Travis",(AC60/$BI$1)*'1. UC Assumptions'!$Q$44,0)</f>
        <v>0</v>
      </c>
      <c r="BJ60" s="183">
        <f t="shared" si="9"/>
        <v>0</v>
      </c>
      <c r="BK60" s="183">
        <f t="shared" si="10"/>
        <v>0</v>
      </c>
      <c r="BL60" s="183">
        <f t="shared" si="11"/>
        <v>2404072.7314251354</v>
      </c>
      <c r="BM60" s="184">
        <f t="shared" si="12"/>
        <v>-1845732.2385748643</v>
      </c>
      <c r="BN60" s="184">
        <f>ROUNDDOWN(BM60*'1. UC Assumptions'!$C$23,2)</f>
        <v>-609091.63</v>
      </c>
      <c r="BO60" s="184"/>
      <c r="BP60" s="185"/>
      <c r="BQ60" s="32"/>
      <c r="BR60" s="32"/>
    </row>
    <row r="61" spans="1:70">
      <c r="A61" s="177" t="s">
        <v>1316</v>
      </c>
      <c r="B61" s="178" t="s">
        <v>315</v>
      </c>
      <c r="C61" s="178" t="s">
        <v>315</v>
      </c>
      <c r="D61" s="179" t="s">
        <v>214</v>
      </c>
      <c r="E61" s="179"/>
      <c r="F61" s="177"/>
      <c r="G61" s="177" t="s">
        <v>316</v>
      </c>
      <c r="H61" s="178" t="s">
        <v>5</v>
      </c>
      <c r="I61" s="178" t="s">
        <v>5</v>
      </c>
      <c r="J61" s="131">
        <f>IFERROR(INDEX(#REF!,(MATCH('Old Calc Tab'!C:C,#REF!,0))),0)</f>
        <v>0</v>
      </c>
      <c r="K61" s="131">
        <f>IFERROR(INDEX(#REF!,(MATCH('Old Calc Tab'!$C:$C,#REF!,0))),0)</f>
        <v>0</v>
      </c>
      <c r="L61" s="131"/>
      <c r="M61" s="131">
        <v>32286669.337433457</v>
      </c>
      <c r="N61" s="131">
        <f>IFERROR(INDEX(#REF!,(MATCH('Old Calc Tab'!$C:$C,#REF!,0))),0)</f>
        <v>0</v>
      </c>
      <c r="O61" s="131">
        <f t="shared" si="0"/>
        <v>0</v>
      </c>
      <c r="P61" s="131">
        <f t="shared" si="1"/>
        <v>32286669.337433457</v>
      </c>
      <c r="Q61" s="131"/>
      <c r="R61" s="131"/>
      <c r="S61" s="131"/>
      <c r="T61" s="131"/>
      <c r="U61" s="131"/>
      <c r="V61" s="131">
        <v>0</v>
      </c>
      <c r="W61" s="180">
        <v>0</v>
      </c>
      <c r="X61" s="180">
        <f t="shared" si="2"/>
        <v>32286669.337433457</v>
      </c>
      <c r="Y61" s="181">
        <f>IF(D61="Physician Group Practice",(X61/$AE$369)*'1. UC Assumptions'!$C$15,IF(OR(E61="Rural Hospital",E61="Hosp - State"),X61,(X61/$X$369)*'1. UC Assumptions'!$C$9))</f>
        <v>19432152.535803892</v>
      </c>
      <c r="Z61" s="181">
        <f t="shared" si="3"/>
        <v>0</v>
      </c>
      <c r="AA61" s="181">
        <f t="shared" si="4"/>
        <v>12854516.801629566</v>
      </c>
      <c r="AB61" s="182">
        <f t="shared" si="5"/>
        <v>6903.2758658200582</v>
      </c>
      <c r="AC61" s="181">
        <f t="shared" si="6"/>
        <v>12861420.077495385</v>
      </c>
      <c r="AD61" s="181">
        <f t="shared" si="7"/>
        <v>19439055.811669711</v>
      </c>
      <c r="AE61" s="131">
        <v>5065663.0199999996</v>
      </c>
      <c r="AF61" s="131">
        <f>AE61*'1. UC Assumptions'!$C$23</f>
        <v>1671668.7965999995</v>
      </c>
      <c r="AG61" s="183">
        <f>IF((((X61-W61-AE61)*'1. UC Assumptions'!$C$23)+AF61)&gt;0,((X61-W61-AE61)*'1. UC Assumptions'!$C$23)+AF61,0)</f>
        <v>10654600.881353039</v>
      </c>
      <c r="AH61" s="183">
        <f>IF(((X61-W61-AE61)*'1. UC Assumptions'!$C$23)&gt;0,(X61-W61-AE61)*'1. UC Assumptions'!$C$23,0)</f>
        <v>8982932.0847530402</v>
      </c>
      <c r="AI61" s="183">
        <f t="shared" si="8"/>
        <v>10654600.881353039</v>
      </c>
      <c r="AJ61" s="183">
        <f>IF(H61="Bexar",(AD61/$AJ$1)*'1. UC Assumptions'!$E$42,0)</f>
        <v>0</v>
      </c>
      <c r="AK61" s="183">
        <f>IF(H61="Dallas",(AD61/$AK$1)*'1. UC Assumptions'!$F$42,0)</f>
        <v>0</v>
      </c>
      <c r="AL61" s="183">
        <f>IF(H61="El Paso",(AD61/$AL$1)*'1. UC Assumptions'!$G$42,0)</f>
        <v>0</v>
      </c>
      <c r="AM61" s="183">
        <f>IF(H61="Harris",(AD61/$AM$1)*'1. UC Assumptions'!$H$42,0)</f>
        <v>0</v>
      </c>
      <c r="AN61" s="183">
        <f>IF(H61="Hidalgo",(AD61/$AN$1)*'1. UC Assumptions'!$I$42,0)</f>
        <v>0</v>
      </c>
      <c r="AO61" s="183">
        <f>IF(H61="Jefferson",(AD61/$AO$1)*'1. UC Assumptions'!$J$42,0)</f>
        <v>0</v>
      </c>
      <c r="AP61" s="183">
        <f>IF(H61="Lubbock",(AD61/$AP$1)*'1. UC Assumptions'!$K$42,0)</f>
        <v>0</v>
      </c>
      <c r="AQ61" s="183">
        <f>IF(H61="MRSA Central",(AD61/$AQ$1)*'1. UC Assumptions'!$L$42,0)</f>
        <v>0</v>
      </c>
      <c r="AR61" s="183">
        <f>IF(H61="MRSA Northeast",(AD61/$AR$1)*'1. UC Assumptions'!$M$42,0)</f>
        <v>0</v>
      </c>
      <c r="AS61" s="183">
        <f>IF(H61="MRSA West",(AD61/$AS$1)*'1. UC Assumptions'!$N$42,0)</f>
        <v>0</v>
      </c>
      <c r="AT61" s="183">
        <f>IF(H61="Nueces",(AD61/$AT$1)*'1. UC Assumptions'!$O$42,0)</f>
        <v>0</v>
      </c>
      <c r="AU61" s="183">
        <f>IF(H61="Tarrant",(AD61/$AU$1)*'1. UC Assumptions'!$P$42,0)</f>
        <v>0</v>
      </c>
      <c r="AV61" s="183">
        <f>IF(H61="Travis",(AD61/$AV$1)*'1. UC Assumptions'!$Q$42,0)</f>
        <v>0</v>
      </c>
      <c r="AW61" s="183">
        <f>IF(H61="Bexar",(AC61/$AW$1)*'1. UC Assumptions'!$E$44,0)</f>
        <v>0</v>
      </c>
      <c r="AX61" s="183">
        <f>IF(H61="Dallas",(AC61/$AX$1)*'1. UC Assumptions'!$F$44,0)</f>
        <v>0</v>
      </c>
      <c r="AY61" s="183">
        <f>IF(H61="El Paso",(AC61/$AY$1)*'1. UC Assumptions'!$G$44,0)</f>
        <v>0</v>
      </c>
      <c r="AZ61" s="183">
        <f>IF(H61="Harris",(AC61/$AZ$1)*'1. UC Assumptions'!$H$44,0)</f>
        <v>0</v>
      </c>
      <c r="BA61" s="183">
        <f>IF(H61="Hidalgo",(AC61/$BA$1)*'1. UC Assumptions'!$I$44,0)</f>
        <v>0</v>
      </c>
      <c r="BB61" s="183">
        <f>IF(H61="Jefferson",(AC61/$BB$1)*'1. UC Assumptions'!$J$44,0)</f>
        <v>0</v>
      </c>
      <c r="BC61" s="183">
        <f>IF(H61="Lubbock",(AC61/$BC$1)*'1. UC Assumptions'!$K$44,0)</f>
        <v>0</v>
      </c>
      <c r="BD61" s="183">
        <f>IF(H61="MRSA Central",(AC61/$BD$1)*'1. UC Assumptions'!$L$44,0)</f>
        <v>0</v>
      </c>
      <c r="BE61" s="183">
        <f>IF(H61="MRSA Northeast",(AC61/$BE$1)*'1. UC Assumptions'!$M$44,0)</f>
        <v>0</v>
      </c>
      <c r="BF61" s="183">
        <f>IF(H61="MRSA West",(AC61/$BF$1)*'1. UC Assumptions'!$N$44,0)</f>
        <v>0</v>
      </c>
      <c r="BG61" s="183">
        <f>IF(H61="Nueces",(AC61/$BG$1)*'1. UC Assumptions'!$O$44,0)</f>
        <v>0</v>
      </c>
      <c r="BH61" s="183">
        <f>IF(H61="Tarrant",(AC61/$BH$1)*'1. UC Assumptions'!$P$44,0)</f>
        <v>0</v>
      </c>
      <c r="BI61" s="183">
        <f>IF(H61="Travis",(AC61/$BI$1)*'1. UC Assumptions'!$Q$44,0)</f>
        <v>0</v>
      </c>
      <c r="BJ61" s="183">
        <f t="shared" si="9"/>
        <v>0</v>
      </c>
      <c r="BK61" s="183">
        <f t="shared" si="10"/>
        <v>0</v>
      </c>
      <c r="BL61" s="183">
        <f t="shared" si="11"/>
        <v>19439055.811669711</v>
      </c>
      <c r="BM61" s="184">
        <f t="shared" si="12"/>
        <v>14373392.791669711</v>
      </c>
      <c r="BN61" s="184">
        <f>ROUNDDOWN(BM61*'1. UC Assumptions'!$C$23,2)</f>
        <v>4743219.62</v>
      </c>
      <c r="BO61" s="184"/>
      <c r="BP61" s="185"/>
      <c r="BQ61" s="32"/>
      <c r="BR61" s="32"/>
    </row>
    <row r="62" spans="1:70">
      <c r="A62" s="177" t="s">
        <v>1317</v>
      </c>
      <c r="B62" s="177" t="s">
        <v>110</v>
      </c>
      <c r="C62" s="178" t="s">
        <v>110</v>
      </c>
      <c r="D62" s="179" t="s">
        <v>281</v>
      </c>
      <c r="E62" s="179"/>
      <c r="F62" s="177" t="s">
        <v>282</v>
      </c>
      <c r="G62" s="177" t="s">
        <v>1318</v>
      </c>
      <c r="H62" s="178" t="s">
        <v>5</v>
      </c>
      <c r="I62" s="178" t="s">
        <v>5</v>
      </c>
      <c r="J62" s="131">
        <f>IFERROR(INDEX(#REF!,(MATCH('Old Calc Tab'!C:C,#REF!,0))),0)</f>
        <v>0</v>
      </c>
      <c r="K62" s="131">
        <f>IFERROR(INDEX(#REF!,(MATCH('Old Calc Tab'!$C:$C,#REF!,0))),0)</f>
        <v>0</v>
      </c>
      <c r="L62" s="131"/>
      <c r="M62" s="131">
        <v>10470732</v>
      </c>
      <c r="N62" s="131">
        <f>IFERROR(INDEX(#REF!,(MATCH('Old Calc Tab'!$C:$C,#REF!,0))),0)</f>
        <v>0</v>
      </c>
      <c r="O62" s="131">
        <f t="shared" si="0"/>
        <v>0</v>
      </c>
      <c r="P62" s="131">
        <f t="shared" si="1"/>
        <v>10470732</v>
      </c>
      <c r="Q62" s="131"/>
      <c r="R62" s="131"/>
      <c r="S62" s="131"/>
      <c r="T62" s="131"/>
      <c r="U62" s="131"/>
      <c r="V62" s="131">
        <v>62916</v>
      </c>
      <c r="W62" s="180">
        <v>0</v>
      </c>
      <c r="X62" s="180">
        <f t="shared" si="2"/>
        <v>10533648</v>
      </c>
      <c r="Y62" s="181">
        <f>IF(D62="Physician Group Practice",(X62/$AE$369)*'1. UC Assumptions'!$C$15,IF(OR(E62="Rural Hospital",E62="Hosp - State"),X62,(X62/$X$369)*'1. UC Assumptions'!$C$9))</f>
        <v>6339813.269532403</v>
      </c>
      <c r="Z62" s="181">
        <f t="shared" si="3"/>
        <v>0</v>
      </c>
      <c r="AA62" s="181">
        <f t="shared" si="4"/>
        <v>4193834.730467597</v>
      </c>
      <c r="AB62" s="182">
        <f t="shared" si="5"/>
        <v>2252.2198637917527</v>
      </c>
      <c r="AC62" s="181">
        <f t="shared" si="6"/>
        <v>4196086.950331389</v>
      </c>
      <c r="AD62" s="181">
        <f t="shared" si="7"/>
        <v>6342065.4893961949</v>
      </c>
      <c r="AE62" s="131">
        <v>18820.990000000002</v>
      </c>
      <c r="AF62" s="131">
        <f>AE62*'1. UC Assumptions'!$C$23</f>
        <v>6210.9267</v>
      </c>
      <c r="AG62" s="183">
        <f>IF((((X62-W62-AE62)*'1. UC Assumptions'!$C$23)+AF62)&gt;0,((X62-W62-AE62)*'1. UC Assumptions'!$C$23)+AF62,0)</f>
        <v>3476103.84</v>
      </c>
      <c r="AH62" s="183">
        <f>IF(((X62-W62-AE62)*'1. UC Assumptions'!$C$23)&gt;0,(X62-W62-AE62)*'1. UC Assumptions'!$C$23,0)</f>
        <v>3469892.9132999997</v>
      </c>
      <c r="AI62" s="183">
        <f t="shared" si="8"/>
        <v>3476103.84</v>
      </c>
      <c r="AJ62" s="183">
        <f>IF(H62="Bexar",(AD62/$AJ$1)*'1. UC Assumptions'!$E$42,0)</f>
        <v>0</v>
      </c>
      <c r="AK62" s="183">
        <f>IF(H62="Dallas",(AD62/$AK$1)*'1. UC Assumptions'!$F$42,0)</f>
        <v>0</v>
      </c>
      <c r="AL62" s="183">
        <f>IF(H62="El Paso",(AD62/$AL$1)*'1. UC Assumptions'!$G$42,0)</f>
        <v>0</v>
      </c>
      <c r="AM62" s="183">
        <f>IF(H62="Harris",(AD62/$AM$1)*'1. UC Assumptions'!$H$42,0)</f>
        <v>0</v>
      </c>
      <c r="AN62" s="183">
        <f>IF(H62="Hidalgo",(AD62/$AN$1)*'1. UC Assumptions'!$I$42,0)</f>
        <v>0</v>
      </c>
      <c r="AO62" s="183">
        <f>IF(H62="Jefferson",(AD62/$AO$1)*'1. UC Assumptions'!$J$42,0)</f>
        <v>0</v>
      </c>
      <c r="AP62" s="183">
        <f>IF(H62="Lubbock",(AD62/$AP$1)*'1. UC Assumptions'!$K$42,0)</f>
        <v>0</v>
      </c>
      <c r="AQ62" s="183">
        <f>IF(H62="MRSA Central",(AD62/$AQ$1)*'1. UC Assumptions'!$L$42,0)</f>
        <v>0</v>
      </c>
      <c r="AR62" s="183">
        <f>IF(H62="MRSA Northeast",(AD62/$AR$1)*'1. UC Assumptions'!$M$42,0)</f>
        <v>0</v>
      </c>
      <c r="AS62" s="183">
        <f>IF(H62="MRSA West",(AD62/$AS$1)*'1. UC Assumptions'!$N$42,0)</f>
        <v>0</v>
      </c>
      <c r="AT62" s="183">
        <f>IF(H62="Nueces",(AD62/$AT$1)*'1. UC Assumptions'!$O$42,0)</f>
        <v>0</v>
      </c>
      <c r="AU62" s="183">
        <f>IF(H62="Tarrant",(AD62/$AU$1)*'1. UC Assumptions'!$P$42,0)</f>
        <v>0</v>
      </c>
      <c r="AV62" s="183">
        <f>IF(H62="Travis",(AD62/$AV$1)*'1. UC Assumptions'!$Q$42,0)</f>
        <v>0</v>
      </c>
      <c r="AW62" s="183">
        <f>IF(H62="Bexar",(AC62/$AW$1)*'1. UC Assumptions'!$E$44,0)</f>
        <v>0</v>
      </c>
      <c r="AX62" s="183">
        <f>IF(H62="Dallas",(AC62/$AX$1)*'1. UC Assumptions'!$F$44,0)</f>
        <v>0</v>
      </c>
      <c r="AY62" s="183">
        <f>IF(H62="El Paso",(AC62/$AY$1)*'1. UC Assumptions'!$G$44,0)</f>
        <v>0</v>
      </c>
      <c r="AZ62" s="183">
        <f>IF(H62="Harris",(AC62/$AZ$1)*'1. UC Assumptions'!$H$44,0)</f>
        <v>0</v>
      </c>
      <c r="BA62" s="183">
        <f>IF(H62="Hidalgo",(AC62/$BA$1)*'1. UC Assumptions'!$I$44,0)</f>
        <v>0</v>
      </c>
      <c r="BB62" s="183">
        <f>IF(H62="Jefferson",(AC62/$BB$1)*'1. UC Assumptions'!$J$44,0)</f>
        <v>0</v>
      </c>
      <c r="BC62" s="183">
        <f>IF(H62="Lubbock",(AC62/$BC$1)*'1. UC Assumptions'!$K$44,0)</f>
        <v>0</v>
      </c>
      <c r="BD62" s="183">
        <f>IF(H62="MRSA Central",(AC62/$BD$1)*'1. UC Assumptions'!$L$44,0)</f>
        <v>0</v>
      </c>
      <c r="BE62" s="183">
        <f>IF(H62="MRSA Northeast",(AC62/$BE$1)*'1. UC Assumptions'!$M$44,0)</f>
        <v>0</v>
      </c>
      <c r="BF62" s="183">
        <f>IF(H62="MRSA West",(AC62/$BF$1)*'1. UC Assumptions'!$N$44,0)</f>
        <v>0</v>
      </c>
      <c r="BG62" s="183">
        <f>IF(H62="Nueces",(AC62/$BG$1)*'1. UC Assumptions'!$O$44,0)</f>
        <v>0</v>
      </c>
      <c r="BH62" s="183">
        <f>IF(H62="Tarrant",(AC62/$BH$1)*'1. UC Assumptions'!$P$44,0)</f>
        <v>0</v>
      </c>
      <c r="BI62" s="183">
        <f>IF(H62="Travis",(AC62/$BI$1)*'1. UC Assumptions'!$Q$44,0)</f>
        <v>0</v>
      </c>
      <c r="BJ62" s="183">
        <f t="shared" si="9"/>
        <v>0</v>
      </c>
      <c r="BK62" s="183">
        <f t="shared" si="10"/>
        <v>0</v>
      </c>
      <c r="BL62" s="183">
        <f t="shared" si="11"/>
        <v>6342065.4893961949</v>
      </c>
      <c r="BM62" s="184">
        <f t="shared" si="12"/>
        <v>6323244.4993961947</v>
      </c>
      <c r="BN62" s="184">
        <f>ROUNDDOWN(BM62*'1. UC Assumptions'!$C$23,2)</f>
        <v>2086670.68</v>
      </c>
      <c r="BO62" s="184"/>
      <c r="BP62" s="185"/>
      <c r="BQ62" s="32"/>
      <c r="BR62" s="32"/>
    </row>
    <row r="63" spans="1:70">
      <c r="A63" s="177" t="s">
        <v>1319</v>
      </c>
      <c r="B63" s="178" t="s">
        <v>585</v>
      </c>
      <c r="C63" s="178" t="s">
        <v>585</v>
      </c>
      <c r="D63" s="179" t="s">
        <v>214</v>
      </c>
      <c r="E63" s="179"/>
      <c r="F63" s="177"/>
      <c r="G63" s="177" t="s">
        <v>1320</v>
      </c>
      <c r="H63" s="178" t="s">
        <v>5</v>
      </c>
      <c r="I63" s="178" t="s">
        <v>5</v>
      </c>
      <c r="J63" s="131">
        <f>IFERROR(INDEX(#REF!,(MATCH('Old Calc Tab'!C:C,#REF!,0))),0)</f>
        <v>0</v>
      </c>
      <c r="K63" s="131">
        <f>IFERROR(INDEX(#REF!,(MATCH('Old Calc Tab'!$C:$C,#REF!,0))),0)</f>
        <v>0</v>
      </c>
      <c r="L63" s="131"/>
      <c r="M63" s="131">
        <v>6388089</v>
      </c>
      <c r="N63" s="131">
        <f>IFERROR(INDEX(#REF!,(MATCH('Old Calc Tab'!$C:$C,#REF!,0))),0)</f>
        <v>0</v>
      </c>
      <c r="O63" s="131">
        <f t="shared" si="0"/>
        <v>0</v>
      </c>
      <c r="P63" s="131">
        <f t="shared" si="1"/>
        <v>6388089</v>
      </c>
      <c r="Q63" s="131"/>
      <c r="R63" s="131"/>
      <c r="S63" s="131"/>
      <c r="T63" s="131"/>
      <c r="U63" s="131"/>
      <c r="V63" s="131">
        <v>0</v>
      </c>
      <c r="W63" s="180">
        <v>0</v>
      </c>
      <c r="X63" s="180">
        <f t="shared" si="2"/>
        <v>6388089</v>
      </c>
      <c r="Y63" s="181">
        <f>IF(D63="Physician Group Practice",(X63/$AE$369)*'1. UC Assumptions'!$C$15,IF(OR(E63="Rural Hospital",E63="Hosp - State"),X63,(X63/$X$369)*'1. UC Assumptions'!$C$9))</f>
        <v>3844754.5816182564</v>
      </c>
      <c r="Z63" s="181">
        <f t="shared" si="3"/>
        <v>0</v>
      </c>
      <c r="AA63" s="181">
        <f t="shared" si="4"/>
        <v>2543334.4183817436</v>
      </c>
      <c r="AB63" s="182">
        <f t="shared" si="5"/>
        <v>1365.8497927279884</v>
      </c>
      <c r="AC63" s="181">
        <f t="shared" si="6"/>
        <v>2544700.2681744718</v>
      </c>
      <c r="AD63" s="181">
        <f t="shared" si="7"/>
        <v>3846120.4314109846</v>
      </c>
      <c r="AE63" s="131">
        <v>3007315.78</v>
      </c>
      <c r="AF63" s="131">
        <f>AE63*'1. UC Assumptions'!$C$23</f>
        <v>992414.20739999984</v>
      </c>
      <c r="AG63" s="183">
        <f>IF((((X63-W63-AE63)*'1. UC Assumptions'!$C$23)+AF63)&gt;0,((X63-W63-AE63)*'1. UC Assumptions'!$C$23)+AF63,0)</f>
        <v>2108069.3699999996</v>
      </c>
      <c r="AH63" s="183">
        <f>IF(((X63-W63-AE63)*'1. UC Assumptions'!$C$23)&gt;0,(X63-W63-AE63)*'1. UC Assumptions'!$C$23,0)</f>
        <v>1115655.1625999999</v>
      </c>
      <c r="AI63" s="183">
        <f t="shared" si="8"/>
        <v>2108069.3699999996</v>
      </c>
      <c r="AJ63" s="183">
        <f>IF(H63="Bexar",(AD63/$AJ$1)*'1. UC Assumptions'!$E$42,0)</f>
        <v>0</v>
      </c>
      <c r="AK63" s="183">
        <f>IF(H63="Dallas",(AD63/$AK$1)*'1. UC Assumptions'!$F$42,0)</f>
        <v>0</v>
      </c>
      <c r="AL63" s="183">
        <f>IF(H63="El Paso",(AD63/$AL$1)*'1. UC Assumptions'!$G$42,0)</f>
        <v>0</v>
      </c>
      <c r="AM63" s="183">
        <f>IF(H63="Harris",(AD63/$AM$1)*'1. UC Assumptions'!$H$42,0)</f>
        <v>0</v>
      </c>
      <c r="AN63" s="183">
        <f>IF(H63="Hidalgo",(AD63/$AN$1)*'1. UC Assumptions'!$I$42,0)</f>
        <v>0</v>
      </c>
      <c r="AO63" s="183">
        <f>IF(H63="Jefferson",(AD63/$AO$1)*'1. UC Assumptions'!$J$42,0)</f>
        <v>0</v>
      </c>
      <c r="AP63" s="183">
        <f>IF(H63="Lubbock",(AD63/$AP$1)*'1. UC Assumptions'!$K$42,0)</f>
        <v>0</v>
      </c>
      <c r="AQ63" s="183">
        <f>IF(H63="MRSA Central",(AD63/$AQ$1)*'1. UC Assumptions'!$L$42,0)</f>
        <v>0</v>
      </c>
      <c r="AR63" s="183">
        <f>IF(H63="MRSA Northeast",(AD63/$AR$1)*'1. UC Assumptions'!$M$42,0)</f>
        <v>0</v>
      </c>
      <c r="AS63" s="183">
        <f>IF(H63="MRSA West",(AD63/$AS$1)*'1. UC Assumptions'!$N$42,0)</f>
        <v>0</v>
      </c>
      <c r="AT63" s="183">
        <f>IF(H63="Nueces",(AD63/$AT$1)*'1. UC Assumptions'!$O$42,0)</f>
        <v>0</v>
      </c>
      <c r="AU63" s="183">
        <f>IF(H63="Tarrant",(AD63/$AU$1)*'1. UC Assumptions'!$P$42,0)</f>
        <v>0</v>
      </c>
      <c r="AV63" s="183">
        <f>IF(H63="Travis",(AD63/$AV$1)*'1. UC Assumptions'!$Q$42,0)</f>
        <v>0</v>
      </c>
      <c r="AW63" s="183">
        <f>IF(H63="Bexar",(AC63/$AW$1)*'1. UC Assumptions'!$E$44,0)</f>
        <v>0</v>
      </c>
      <c r="AX63" s="183">
        <f>IF(H63="Dallas",(AC63/$AX$1)*'1. UC Assumptions'!$F$44,0)</f>
        <v>0</v>
      </c>
      <c r="AY63" s="183">
        <f>IF(H63="El Paso",(AC63/$AY$1)*'1. UC Assumptions'!$G$44,0)</f>
        <v>0</v>
      </c>
      <c r="AZ63" s="183">
        <f>IF(H63="Harris",(AC63/$AZ$1)*'1. UC Assumptions'!$H$44,0)</f>
        <v>0</v>
      </c>
      <c r="BA63" s="183">
        <f>IF(H63="Hidalgo",(AC63/$BA$1)*'1. UC Assumptions'!$I$44,0)</f>
        <v>0</v>
      </c>
      <c r="BB63" s="183">
        <f>IF(H63="Jefferson",(AC63/$BB$1)*'1. UC Assumptions'!$J$44,0)</f>
        <v>0</v>
      </c>
      <c r="BC63" s="183">
        <f>IF(H63="Lubbock",(AC63/$BC$1)*'1. UC Assumptions'!$K$44,0)</f>
        <v>0</v>
      </c>
      <c r="BD63" s="183">
        <f>IF(H63="MRSA Central",(AC63/$BD$1)*'1. UC Assumptions'!$L$44,0)</f>
        <v>0</v>
      </c>
      <c r="BE63" s="183">
        <f>IF(H63="MRSA Northeast",(AC63/$BE$1)*'1. UC Assumptions'!$M$44,0)</f>
        <v>0</v>
      </c>
      <c r="BF63" s="183">
        <f>IF(H63="MRSA West",(AC63/$BF$1)*'1. UC Assumptions'!$N$44,0)</f>
        <v>0</v>
      </c>
      <c r="BG63" s="183">
        <f>IF(H63="Nueces",(AC63/$BG$1)*'1. UC Assumptions'!$O$44,0)</f>
        <v>0</v>
      </c>
      <c r="BH63" s="183">
        <f>IF(H63="Tarrant",(AC63/$BH$1)*'1. UC Assumptions'!$P$44,0)</f>
        <v>0</v>
      </c>
      <c r="BI63" s="183">
        <f>IF(H63="Travis",(AC63/$BI$1)*'1. UC Assumptions'!$Q$44,0)</f>
        <v>0</v>
      </c>
      <c r="BJ63" s="183">
        <f t="shared" si="9"/>
        <v>0</v>
      </c>
      <c r="BK63" s="183">
        <f t="shared" si="10"/>
        <v>0</v>
      </c>
      <c r="BL63" s="183">
        <f t="shared" si="11"/>
        <v>3846120.4314109846</v>
      </c>
      <c r="BM63" s="184">
        <f t="shared" si="12"/>
        <v>838804.65141098481</v>
      </c>
      <c r="BN63" s="184">
        <f>ROUNDDOWN(BM63*'1. UC Assumptions'!$C$23,2)</f>
        <v>276805.53000000003</v>
      </c>
      <c r="BO63" s="184"/>
      <c r="BP63" s="185"/>
      <c r="BQ63" s="32"/>
      <c r="BR63" s="32"/>
    </row>
    <row r="64" spans="1:70">
      <c r="A64" s="177" t="s">
        <v>1321</v>
      </c>
      <c r="B64" s="178" t="s">
        <v>621</v>
      </c>
      <c r="C64" s="178" t="s">
        <v>621</v>
      </c>
      <c r="D64" s="179" t="s">
        <v>214</v>
      </c>
      <c r="E64" s="179"/>
      <c r="F64" s="177"/>
      <c r="G64" s="177" t="s">
        <v>1322</v>
      </c>
      <c r="H64" s="178" t="s">
        <v>5</v>
      </c>
      <c r="I64" s="178" t="s">
        <v>5</v>
      </c>
      <c r="J64" s="131">
        <f>IFERROR(INDEX(#REF!,(MATCH('Old Calc Tab'!C:C,#REF!,0))),0)</f>
        <v>0</v>
      </c>
      <c r="K64" s="131">
        <f>IFERROR(INDEX(#REF!,(MATCH('Old Calc Tab'!$C:$C,#REF!,0))),0)</f>
        <v>0</v>
      </c>
      <c r="L64" s="131"/>
      <c r="M64" s="131">
        <v>6217809</v>
      </c>
      <c r="N64" s="131">
        <f>IFERROR(INDEX(#REF!,(MATCH('Old Calc Tab'!$C:$C,#REF!,0))),0)</f>
        <v>0</v>
      </c>
      <c r="O64" s="131">
        <f t="shared" si="0"/>
        <v>0</v>
      </c>
      <c r="P64" s="131">
        <f t="shared" si="1"/>
        <v>6217809</v>
      </c>
      <c r="Q64" s="131"/>
      <c r="R64" s="131"/>
      <c r="S64" s="131"/>
      <c r="T64" s="131"/>
      <c r="U64" s="131"/>
      <c r="V64" s="131">
        <v>0</v>
      </c>
      <c r="W64" s="180">
        <v>0</v>
      </c>
      <c r="X64" s="180">
        <f t="shared" si="2"/>
        <v>6217809</v>
      </c>
      <c r="Y64" s="181">
        <f>IF(D64="Physician Group Practice",(X64/$AE$369)*'1. UC Assumptions'!$C$15,IF(OR(E64="Rural Hospital",E64="Hosp - State"),X64,(X64/$X$369)*'1. UC Assumptions'!$C$9))</f>
        <v>3742269.3453984791</v>
      </c>
      <c r="Z64" s="181">
        <f t="shared" si="3"/>
        <v>0</v>
      </c>
      <c r="AA64" s="181">
        <f t="shared" si="4"/>
        <v>2475539.6546015209</v>
      </c>
      <c r="AB64" s="182">
        <f t="shared" si="5"/>
        <v>1329.441893165894</v>
      </c>
      <c r="AC64" s="181">
        <f t="shared" si="6"/>
        <v>2476869.0964946868</v>
      </c>
      <c r="AD64" s="181">
        <f t="shared" si="7"/>
        <v>3743598.7872916451</v>
      </c>
      <c r="AE64" s="131">
        <v>3642069.64</v>
      </c>
      <c r="AF64" s="131">
        <f>AE64*'1. UC Assumptions'!$C$23</f>
        <v>1201882.9811999998</v>
      </c>
      <c r="AG64" s="183">
        <f>IF((((X64-W64-AE64)*'1. UC Assumptions'!$C$23)+AF64)&gt;0,((X64-W64-AE64)*'1. UC Assumptions'!$C$23)+AF64,0)</f>
        <v>2051876.9699999997</v>
      </c>
      <c r="AH64" s="183">
        <f>IF(((X64-W64-AE64)*'1. UC Assumptions'!$C$23)&gt;0,(X64-W64-AE64)*'1. UC Assumptions'!$C$23,0)</f>
        <v>849993.98879999982</v>
      </c>
      <c r="AI64" s="183">
        <f t="shared" si="8"/>
        <v>2051876.9699999997</v>
      </c>
      <c r="AJ64" s="183">
        <f>IF(H64="Bexar",(AD64/$AJ$1)*'1. UC Assumptions'!$E$42,0)</f>
        <v>0</v>
      </c>
      <c r="AK64" s="183">
        <f>IF(H64="Dallas",(AD64/$AK$1)*'1. UC Assumptions'!$F$42,0)</f>
        <v>0</v>
      </c>
      <c r="AL64" s="183">
        <f>IF(H64="El Paso",(AD64/$AL$1)*'1. UC Assumptions'!$G$42,0)</f>
        <v>0</v>
      </c>
      <c r="AM64" s="183">
        <f>IF(H64="Harris",(AD64/$AM$1)*'1. UC Assumptions'!$H$42,0)</f>
        <v>0</v>
      </c>
      <c r="AN64" s="183">
        <f>IF(H64="Hidalgo",(AD64/$AN$1)*'1. UC Assumptions'!$I$42,0)</f>
        <v>0</v>
      </c>
      <c r="AO64" s="183">
        <f>IF(H64="Jefferson",(AD64/$AO$1)*'1. UC Assumptions'!$J$42,0)</f>
        <v>0</v>
      </c>
      <c r="AP64" s="183">
        <f>IF(H64="Lubbock",(AD64/$AP$1)*'1. UC Assumptions'!$K$42,0)</f>
        <v>0</v>
      </c>
      <c r="AQ64" s="183">
        <f>IF(H64="MRSA Central",(AD64/$AQ$1)*'1. UC Assumptions'!$L$42,0)</f>
        <v>0</v>
      </c>
      <c r="AR64" s="183">
        <f>IF(H64="MRSA Northeast",(AD64/$AR$1)*'1. UC Assumptions'!$M$42,0)</f>
        <v>0</v>
      </c>
      <c r="AS64" s="183">
        <f>IF(H64="MRSA West",(AD64/$AS$1)*'1. UC Assumptions'!$N$42,0)</f>
        <v>0</v>
      </c>
      <c r="AT64" s="183">
        <f>IF(H64="Nueces",(AD64/$AT$1)*'1. UC Assumptions'!$O$42,0)</f>
        <v>0</v>
      </c>
      <c r="AU64" s="183">
        <f>IF(H64="Tarrant",(AD64/$AU$1)*'1. UC Assumptions'!$P$42,0)</f>
        <v>0</v>
      </c>
      <c r="AV64" s="183">
        <f>IF(H64="Travis",(AD64/$AV$1)*'1. UC Assumptions'!$Q$42,0)</f>
        <v>0</v>
      </c>
      <c r="AW64" s="183">
        <f>IF(H64="Bexar",(AC64/$AW$1)*'1. UC Assumptions'!$E$44,0)</f>
        <v>0</v>
      </c>
      <c r="AX64" s="183">
        <f>IF(H64="Dallas",(AC64/$AX$1)*'1. UC Assumptions'!$F$44,0)</f>
        <v>0</v>
      </c>
      <c r="AY64" s="183">
        <f>IF(H64="El Paso",(AC64/$AY$1)*'1. UC Assumptions'!$G$44,0)</f>
        <v>0</v>
      </c>
      <c r="AZ64" s="183">
        <f>IF(H64="Harris",(AC64/$AZ$1)*'1. UC Assumptions'!$H$44,0)</f>
        <v>0</v>
      </c>
      <c r="BA64" s="183">
        <f>IF(H64="Hidalgo",(AC64/$BA$1)*'1. UC Assumptions'!$I$44,0)</f>
        <v>0</v>
      </c>
      <c r="BB64" s="183">
        <f>IF(H64="Jefferson",(AC64/$BB$1)*'1. UC Assumptions'!$J$44,0)</f>
        <v>0</v>
      </c>
      <c r="BC64" s="183">
        <f>IF(H64="Lubbock",(AC64/$BC$1)*'1. UC Assumptions'!$K$44,0)</f>
        <v>0</v>
      </c>
      <c r="BD64" s="183">
        <f>IF(H64="MRSA Central",(AC64/$BD$1)*'1. UC Assumptions'!$L$44,0)</f>
        <v>0</v>
      </c>
      <c r="BE64" s="183">
        <f>IF(H64="MRSA Northeast",(AC64/$BE$1)*'1. UC Assumptions'!$M$44,0)</f>
        <v>0</v>
      </c>
      <c r="BF64" s="183">
        <f>IF(H64="MRSA West",(AC64/$BF$1)*'1. UC Assumptions'!$N$44,0)</f>
        <v>0</v>
      </c>
      <c r="BG64" s="183">
        <f>IF(H64="Nueces",(AC64/$BG$1)*'1. UC Assumptions'!$O$44,0)</f>
        <v>0</v>
      </c>
      <c r="BH64" s="183">
        <f>IF(H64="Tarrant",(AC64/$BH$1)*'1. UC Assumptions'!$P$44,0)</f>
        <v>0</v>
      </c>
      <c r="BI64" s="183">
        <f>IF(H64="Travis",(AC64/$BI$1)*'1. UC Assumptions'!$Q$44,0)</f>
        <v>0</v>
      </c>
      <c r="BJ64" s="183">
        <f t="shared" si="9"/>
        <v>0</v>
      </c>
      <c r="BK64" s="183">
        <f t="shared" si="10"/>
        <v>0</v>
      </c>
      <c r="BL64" s="183">
        <f t="shared" si="11"/>
        <v>3743598.7872916451</v>
      </c>
      <c r="BM64" s="184">
        <f t="shared" si="12"/>
        <v>101529.14729164494</v>
      </c>
      <c r="BN64" s="184">
        <f>ROUNDDOWN(BM64*'1. UC Assumptions'!$C$23,2)</f>
        <v>33504.61</v>
      </c>
      <c r="BO64" s="184"/>
      <c r="BP64" s="185"/>
      <c r="BQ64" s="32"/>
      <c r="BR64" s="32"/>
    </row>
    <row r="65" spans="1:70">
      <c r="A65" s="177" t="s">
        <v>1323</v>
      </c>
      <c r="B65" s="178" t="s">
        <v>771</v>
      </c>
      <c r="C65" s="178" t="s">
        <v>771</v>
      </c>
      <c r="D65" s="179" t="s">
        <v>539</v>
      </c>
      <c r="E65" s="179"/>
      <c r="F65" s="177"/>
      <c r="G65" s="177" t="s">
        <v>1324</v>
      </c>
      <c r="H65" s="178" t="s">
        <v>5</v>
      </c>
      <c r="I65" s="178" t="s">
        <v>5</v>
      </c>
      <c r="J65" s="131">
        <f>IFERROR(INDEX(#REF!,(MATCH('Old Calc Tab'!C:C,#REF!,0))),0)</f>
        <v>0</v>
      </c>
      <c r="K65" s="131">
        <f>IFERROR(INDEX(#REF!,(MATCH('Old Calc Tab'!$C:$C,#REF!,0))),0)</f>
        <v>0</v>
      </c>
      <c r="L65" s="131"/>
      <c r="M65" s="131">
        <v>60568196</v>
      </c>
      <c r="N65" s="131">
        <f>IFERROR(INDEX(#REF!,(MATCH('Old Calc Tab'!$C:$C,#REF!,0))),0)</f>
        <v>0</v>
      </c>
      <c r="O65" s="131">
        <f t="shared" si="0"/>
        <v>0</v>
      </c>
      <c r="P65" s="131">
        <f t="shared" si="1"/>
        <v>60568196</v>
      </c>
      <c r="Q65" s="131"/>
      <c r="R65" s="131"/>
      <c r="S65" s="131"/>
      <c r="T65" s="131"/>
      <c r="U65" s="131"/>
      <c r="V65" s="131">
        <v>701206</v>
      </c>
      <c r="W65" s="180">
        <v>31964724.330000002</v>
      </c>
      <c r="X65" s="180">
        <f t="shared" si="2"/>
        <v>93234126.329999998</v>
      </c>
      <c r="Y65" s="181">
        <f>IF(D65="Physician Group Practice",(X65/$AE$369)*'1. UC Assumptions'!$C$15,IF(OR(E65="Rural Hospital",E65="Hosp - State"),X65,(X65/$X$369)*'1. UC Assumptions'!$C$9))</f>
        <v>56114173.482937202</v>
      </c>
      <c r="Z65" s="181">
        <f t="shared" si="3"/>
        <v>0</v>
      </c>
      <c r="AA65" s="181">
        <f t="shared" si="4"/>
        <v>5155228.5170627981</v>
      </c>
      <c r="AB65" s="182">
        <f t="shared" si="5"/>
        <v>2768.5182690115171</v>
      </c>
      <c r="AC65" s="181">
        <f t="shared" si="6"/>
        <v>5157997.0353318099</v>
      </c>
      <c r="AD65" s="181">
        <f t="shared" si="7"/>
        <v>56116942.001206212</v>
      </c>
      <c r="AE65" s="131">
        <v>18143538.5</v>
      </c>
      <c r="AF65" s="131">
        <f>AE65*'1. UC Assumptions'!$C$23</f>
        <v>5987367.7049999991</v>
      </c>
      <c r="AG65" s="183">
        <f>IF((((X65-W65-AE65)*'1. UC Assumptions'!$C$23)+AF65)&gt;0,((X65-W65-AE65)*'1. UC Assumptions'!$C$23)+AF65,0)</f>
        <v>20218902.659999996</v>
      </c>
      <c r="AH65" s="183">
        <f>IF(((X65-W65-AE65)*'1. UC Assumptions'!$C$23)&gt;0,(X65-W65-AE65)*'1. UC Assumptions'!$C$23,0)</f>
        <v>14231534.954999998</v>
      </c>
      <c r="AI65" s="183">
        <f t="shared" si="8"/>
        <v>20218902.659999996</v>
      </c>
      <c r="AJ65" s="183">
        <f>IF(H65="Bexar",(AD65/$AJ$1)*'1. UC Assumptions'!$E$42,0)</f>
        <v>0</v>
      </c>
      <c r="AK65" s="183">
        <f>IF(H65="Dallas",(AD65/$AK$1)*'1. UC Assumptions'!$F$42,0)</f>
        <v>0</v>
      </c>
      <c r="AL65" s="183">
        <f>IF(H65="El Paso",(AD65/$AL$1)*'1. UC Assumptions'!$G$42,0)</f>
        <v>0</v>
      </c>
      <c r="AM65" s="183">
        <f>IF(H65="Harris",(AD65/$AM$1)*'1. UC Assumptions'!$H$42,0)</f>
        <v>0</v>
      </c>
      <c r="AN65" s="183">
        <f>IF(H65="Hidalgo",(AD65/$AN$1)*'1. UC Assumptions'!$I$42,0)</f>
        <v>0</v>
      </c>
      <c r="AO65" s="183">
        <f>IF(H65="Jefferson",(AD65/$AO$1)*'1. UC Assumptions'!$J$42,0)</f>
        <v>0</v>
      </c>
      <c r="AP65" s="183">
        <f>IF(H65="Lubbock",(AD65/$AP$1)*'1. UC Assumptions'!$K$42,0)</f>
        <v>0</v>
      </c>
      <c r="AQ65" s="183">
        <f>IF(H65="MRSA Central",(AD65/$AQ$1)*'1. UC Assumptions'!$L$42,0)</f>
        <v>0</v>
      </c>
      <c r="AR65" s="183">
        <f>IF(H65="MRSA Northeast",(AD65/$AR$1)*'1. UC Assumptions'!$M$42,0)</f>
        <v>0</v>
      </c>
      <c r="AS65" s="183">
        <f>IF(H65="MRSA West",(AD65/$AS$1)*'1. UC Assumptions'!$N$42,0)</f>
        <v>0</v>
      </c>
      <c r="AT65" s="183">
        <f>IF(H65="Nueces",(AD65/$AT$1)*'1. UC Assumptions'!$O$42,0)</f>
        <v>0</v>
      </c>
      <c r="AU65" s="183">
        <f>IF(H65="Tarrant",(AD65/$AU$1)*'1. UC Assumptions'!$P$42,0)</f>
        <v>0</v>
      </c>
      <c r="AV65" s="183">
        <f>IF(H65="Travis",(AD65/$AV$1)*'1. UC Assumptions'!$Q$42,0)</f>
        <v>0</v>
      </c>
      <c r="AW65" s="183">
        <f>IF(H65="Bexar",(AC65/$AW$1)*'1. UC Assumptions'!$E$44,0)</f>
        <v>0</v>
      </c>
      <c r="AX65" s="183">
        <f>IF(H65="Dallas",(AC65/$AX$1)*'1. UC Assumptions'!$F$44,0)</f>
        <v>0</v>
      </c>
      <c r="AY65" s="183">
        <f>IF(H65="El Paso",(AC65/$AY$1)*'1. UC Assumptions'!$G$44,0)</f>
        <v>0</v>
      </c>
      <c r="AZ65" s="183">
        <f>IF(H65="Harris",(AC65/$AZ$1)*'1. UC Assumptions'!$H$44,0)</f>
        <v>0</v>
      </c>
      <c r="BA65" s="183">
        <f>IF(H65="Hidalgo",(AC65/$BA$1)*'1. UC Assumptions'!$I$44,0)</f>
        <v>0</v>
      </c>
      <c r="BB65" s="183">
        <f>IF(H65="Jefferson",(AC65/$BB$1)*'1. UC Assumptions'!$J$44,0)</f>
        <v>0</v>
      </c>
      <c r="BC65" s="183">
        <f>IF(H65="Lubbock",(AC65/$BC$1)*'1. UC Assumptions'!$K$44,0)</f>
        <v>0</v>
      </c>
      <c r="BD65" s="183">
        <f>IF(H65="MRSA Central",(AC65/$BD$1)*'1. UC Assumptions'!$L$44,0)</f>
        <v>0</v>
      </c>
      <c r="BE65" s="183">
        <f>IF(H65="MRSA Northeast",(AC65/$BE$1)*'1. UC Assumptions'!$M$44,0)</f>
        <v>0</v>
      </c>
      <c r="BF65" s="183">
        <f>IF(H65="MRSA West",(AC65/$BF$1)*'1. UC Assumptions'!$N$44,0)</f>
        <v>0</v>
      </c>
      <c r="BG65" s="183">
        <f>IF(H65="Nueces",(AC65/$BG$1)*'1. UC Assumptions'!$O$44,0)</f>
        <v>0</v>
      </c>
      <c r="BH65" s="183">
        <f>IF(H65="Tarrant",(AC65/$BH$1)*'1. UC Assumptions'!$P$44,0)</f>
        <v>0</v>
      </c>
      <c r="BI65" s="183">
        <f>IF(H65="Travis",(AC65/$BI$1)*'1. UC Assumptions'!$Q$44,0)</f>
        <v>0</v>
      </c>
      <c r="BJ65" s="183">
        <f t="shared" si="9"/>
        <v>0</v>
      </c>
      <c r="BK65" s="183">
        <f t="shared" si="10"/>
        <v>0</v>
      </c>
      <c r="BL65" s="183">
        <f t="shared" si="11"/>
        <v>56116942.001206212</v>
      </c>
      <c r="BM65" s="184">
        <f t="shared" si="12"/>
        <v>37973403.501206212</v>
      </c>
      <c r="BN65" s="184">
        <f>ROUNDDOWN(BM65*'1. UC Assumptions'!$C$23,2)</f>
        <v>12531223.15</v>
      </c>
      <c r="BO65" s="184"/>
      <c r="BP65" s="186"/>
      <c r="BQ65" s="32"/>
      <c r="BR65" s="32"/>
    </row>
    <row r="66" spans="1:70">
      <c r="A66" s="177" t="s">
        <v>1325</v>
      </c>
      <c r="B66" s="177" t="s">
        <v>866</v>
      </c>
      <c r="C66" s="178" t="s">
        <v>866</v>
      </c>
      <c r="D66" s="179" t="s">
        <v>214</v>
      </c>
      <c r="E66" s="179"/>
      <c r="F66" s="177"/>
      <c r="G66" s="177" t="s">
        <v>1326</v>
      </c>
      <c r="H66" s="178" t="s">
        <v>5</v>
      </c>
      <c r="I66" s="178" t="s">
        <v>5</v>
      </c>
      <c r="J66" s="131">
        <f>IFERROR(INDEX(#REF!,(MATCH('Old Calc Tab'!C:C,#REF!,0))),0)</f>
        <v>0</v>
      </c>
      <c r="K66" s="131">
        <f>IFERROR(INDEX(#REF!,(MATCH('Old Calc Tab'!$C:$C,#REF!,0))),0)</f>
        <v>0</v>
      </c>
      <c r="L66" s="131"/>
      <c r="M66" s="131">
        <v>9429663.4119999986</v>
      </c>
      <c r="N66" s="131">
        <f>IFERROR(INDEX(#REF!,(MATCH('Old Calc Tab'!$C:$C,#REF!,0))),0)</f>
        <v>0</v>
      </c>
      <c r="O66" s="131">
        <f t="shared" si="0"/>
        <v>0</v>
      </c>
      <c r="P66" s="131">
        <f t="shared" si="1"/>
        <v>9429663.4119999986</v>
      </c>
      <c r="Q66" s="131"/>
      <c r="R66" s="131"/>
      <c r="S66" s="131"/>
      <c r="T66" s="131"/>
      <c r="U66" s="131"/>
      <c r="V66" s="131">
        <v>0</v>
      </c>
      <c r="W66" s="180">
        <v>0</v>
      </c>
      <c r="X66" s="180">
        <f t="shared" si="2"/>
        <v>9429663.4119999986</v>
      </c>
      <c r="Y66" s="181">
        <f>IF(D66="Physician Group Practice",(X66/$AE$369)*'1. UC Assumptions'!$C$15,IF(OR(E66="Rural Hospital",E66="Hosp - State"),X66,(X66/$X$369)*'1. UC Assumptions'!$C$9))</f>
        <v>5675365.76375267</v>
      </c>
      <c r="Z66" s="181">
        <f t="shared" si="3"/>
        <v>0</v>
      </c>
      <c r="AA66" s="181">
        <f t="shared" si="4"/>
        <v>3754297.6482473286</v>
      </c>
      <c r="AB66" s="182">
        <f t="shared" si="5"/>
        <v>2016.1747616188341</v>
      </c>
      <c r="AC66" s="181">
        <f t="shared" si="6"/>
        <v>3756313.8230089475</v>
      </c>
      <c r="AD66" s="181">
        <f t="shared" si="7"/>
        <v>5677381.9385142885</v>
      </c>
      <c r="AE66" s="131">
        <v>3251347.33</v>
      </c>
      <c r="AF66" s="131">
        <f>AE66*'1. UC Assumptions'!$C$23</f>
        <v>1072944.6188999999</v>
      </c>
      <c r="AG66" s="183">
        <f>IF((((X66-W66-AE66)*'1. UC Assumptions'!$C$23)+AF66)&gt;0,((X66-W66-AE66)*'1. UC Assumptions'!$C$23)+AF66,0)</f>
        <v>3111788.9259599992</v>
      </c>
      <c r="AH66" s="183">
        <f>IF(((X66-W66-AE66)*'1. UC Assumptions'!$C$23)&gt;0,(X66-W66-AE66)*'1. UC Assumptions'!$C$23,0)</f>
        <v>2038844.3070599993</v>
      </c>
      <c r="AI66" s="183">
        <f t="shared" si="8"/>
        <v>3111788.9259599992</v>
      </c>
      <c r="AJ66" s="183">
        <f>IF(H66="Bexar",(AD66/$AJ$1)*'1. UC Assumptions'!$E$42,0)</f>
        <v>0</v>
      </c>
      <c r="AK66" s="183">
        <f>IF(H66="Dallas",(AD66/$AK$1)*'1. UC Assumptions'!$F$42,0)</f>
        <v>0</v>
      </c>
      <c r="AL66" s="183">
        <f>IF(H66="El Paso",(AD66/$AL$1)*'1. UC Assumptions'!$G$42,0)</f>
        <v>0</v>
      </c>
      <c r="AM66" s="183">
        <f>IF(H66="Harris",(AD66/$AM$1)*'1. UC Assumptions'!$H$42,0)</f>
        <v>0</v>
      </c>
      <c r="AN66" s="183">
        <f>IF(H66="Hidalgo",(AD66/$AN$1)*'1. UC Assumptions'!$I$42,0)</f>
        <v>0</v>
      </c>
      <c r="AO66" s="183">
        <f>IF(H66="Jefferson",(AD66/$AO$1)*'1. UC Assumptions'!$J$42,0)</f>
        <v>0</v>
      </c>
      <c r="AP66" s="183">
        <f>IF(H66="Lubbock",(AD66/$AP$1)*'1. UC Assumptions'!$K$42,0)</f>
        <v>0</v>
      </c>
      <c r="AQ66" s="183">
        <f>IF(H66="MRSA Central",(AD66/$AQ$1)*'1. UC Assumptions'!$L$42,0)</f>
        <v>0</v>
      </c>
      <c r="AR66" s="183">
        <f>IF(H66="MRSA Northeast",(AD66/$AR$1)*'1. UC Assumptions'!$M$42,0)</f>
        <v>0</v>
      </c>
      <c r="AS66" s="183">
        <f>IF(H66="MRSA West",(AD66/$AS$1)*'1. UC Assumptions'!$N$42,0)</f>
        <v>0</v>
      </c>
      <c r="AT66" s="183">
        <f>IF(H66="Nueces",(AD66/$AT$1)*'1. UC Assumptions'!$O$42,0)</f>
        <v>0</v>
      </c>
      <c r="AU66" s="183">
        <f>IF(H66="Tarrant",(AD66/$AU$1)*'1. UC Assumptions'!$P$42,0)</f>
        <v>0</v>
      </c>
      <c r="AV66" s="183">
        <f>IF(H66="Travis",(AD66/$AV$1)*'1. UC Assumptions'!$Q$42,0)</f>
        <v>0</v>
      </c>
      <c r="AW66" s="183">
        <f>IF(H66="Bexar",(AC66/$AW$1)*'1. UC Assumptions'!$E$44,0)</f>
        <v>0</v>
      </c>
      <c r="AX66" s="183">
        <f>IF(H66="Dallas",(AC66/$AX$1)*'1. UC Assumptions'!$F$44,0)</f>
        <v>0</v>
      </c>
      <c r="AY66" s="183">
        <f>IF(H66="El Paso",(AC66/$AY$1)*'1. UC Assumptions'!$G$44,0)</f>
        <v>0</v>
      </c>
      <c r="AZ66" s="183">
        <f>IF(H66="Harris",(AC66/$AZ$1)*'1. UC Assumptions'!$H$44,0)</f>
        <v>0</v>
      </c>
      <c r="BA66" s="183">
        <f>IF(H66="Hidalgo",(AC66/$BA$1)*'1. UC Assumptions'!$I$44,0)</f>
        <v>0</v>
      </c>
      <c r="BB66" s="183">
        <f>IF(H66="Jefferson",(AC66/$BB$1)*'1. UC Assumptions'!$J$44,0)</f>
        <v>0</v>
      </c>
      <c r="BC66" s="183">
        <f>IF(H66="Lubbock",(AC66/$BC$1)*'1. UC Assumptions'!$K$44,0)</f>
        <v>0</v>
      </c>
      <c r="BD66" s="183">
        <f>IF(H66="MRSA Central",(AC66/$BD$1)*'1. UC Assumptions'!$L$44,0)</f>
        <v>0</v>
      </c>
      <c r="BE66" s="183">
        <f>IF(H66="MRSA Northeast",(AC66/$BE$1)*'1. UC Assumptions'!$M$44,0)</f>
        <v>0</v>
      </c>
      <c r="BF66" s="183">
        <f>IF(H66="MRSA West",(AC66/$BF$1)*'1. UC Assumptions'!$N$44,0)</f>
        <v>0</v>
      </c>
      <c r="BG66" s="183">
        <f>IF(H66="Nueces",(AC66/$BG$1)*'1. UC Assumptions'!$O$44,0)</f>
        <v>0</v>
      </c>
      <c r="BH66" s="183">
        <f>IF(H66="Tarrant",(AC66/$BH$1)*'1. UC Assumptions'!$P$44,0)</f>
        <v>0</v>
      </c>
      <c r="BI66" s="183">
        <f>IF(H66="Travis",(AC66/$BI$1)*'1. UC Assumptions'!$Q$44,0)</f>
        <v>0</v>
      </c>
      <c r="BJ66" s="183">
        <f t="shared" si="9"/>
        <v>0</v>
      </c>
      <c r="BK66" s="183">
        <f t="shared" si="10"/>
        <v>0</v>
      </c>
      <c r="BL66" s="183">
        <f t="shared" si="11"/>
        <v>5677381.9385142885</v>
      </c>
      <c r="BM66" s="184">
        <f t="shared" si="12"/>
        <v>2426034.6085142884</v>
      </c>
      <c r="BN66" s="184">
        <f>ROUNDDOWN(BM66*'1. UC Assumptions'!$C$23,2)</f>
        <v>800591.42</v>
      </c>
      <c r="BO66" s="184"/>
      <c r="BP66" s="185"/>
      <c r="BQ66" s="32"/>
      <c r="BR66" s="32"/>
    </row>
    <row r="67" spans="1:70">
      <c r="A67" s="177" t="s">
        <v>1327</v>
      </c>
      <c r="B67" s="177" t="s">
        <v>929</v>
      </c>
      <c r="C67" s="178" t="s">
        <v>929</v>
      </c>
      <c r="D67" s="179" t="s">
        <v>214</v>
      </c>
      <c r="E67" s="179"/>
      <c r="F67" s="177"/>
      <c r="G67" s="177" t="s">
        <v>1328</v>
      </c>
      <c r="H67" s="178" t="s">
        <v>5</v>
      </c>
      <c r="I67" s="178" t="s">
        <v>5</v>
      </c>
      <c r="J67" s="131">
        <f>IFERROR(INDEX(#REF!,(MATCH('Old Calc Tab'!C:C,#REF!,0))),0)</f>
        <v>0</v>
      </c>
      <c r="K67" s="131">
        <f>IFERROR(INDEX(#REF!,(MATCH('Old Calc Tab'!$C:$C,#REF!,0))),0)</f>
        <v>0</v>
      </c>
      <c r="L67" s="131"/>
      <c r="M67" s="131">
        <v>241633</v>
      </c>
      <c r="N67" s="131">
        <f>IFERROR(INDEX(#REF!,(MATCH('Old Calc Tab'!$C:$C,#REF!,0))),0)</f>
        <v>0</v>
      </c>
      <c r="O67" s="131">
        <f t="shared" ref="O67:O130" si="13">IF(N67-J67+L67&gt;0,N67-J67+L67,0)</f>
        <v>0</v>
      </c>
      <c r="P67" s="131">
        <f t="shared" ref="P67:P130" si="14">IF(AND(D67="Hosp - State",N67&gt;0),0,IF(M67-O67&gt;0,M67-O67,0))</f>
        <v>241633</v>
      </c>
      <c r="Q67" s="131"/>
      <c r="R67" s="131"/>
      <c r="S67" s="131"/>
      <c r="T67" s="131"/>
      <c r="U67" s="131"/>
      <c r="V67" s="131">
        <v>42257</v>
      </c>
      <c r="W67" s="180">
        <v>0</v>
      </c>
      <c r="X67" s="180">
        <f t="shared" ref="X67:X130" si="15">P67+V67+W67</f>
        <v>283890</v>
      </c>
      <c r="Y67" s="181">
        <f>IF(D67="Physician Group Practice",(X67/$AE$369)*'1. UC Assumptions'!$C$15,IF(OR(E67="Rural Hospital",E67="Hosp - State"),X67,(X67/$X$369)*'1. UC Assumptions'!$C$9))</f>
        <v>170862.89470538162</v>
      </c>
      <c r="Z67" s="181">
        <f t="shared" ref="Z67:Z130" si="16">IF(Y67&gt;X67-W67,Y67-(X67-W67),0)</f>
        <v>0</v>
      </c>
      <c r="AA67" s="181">
        <f t="shared" ref="AA67:AA130" si="17">X67-W67-Y67+Z67</f>
        <v>113027.10529461838</v>
      </c>
      <c r="AB67" s="182">
        <f t="shared" ref="AB67:AB130" si="18">(AA67/$AA$367)*$Z$367</f>
        <v>60.699075679369649</v>
      </c>
      <c r="AC67" s="181">
        <f t="shared" ref="AC67:AC130" si="19">AA67+AB67</f>
        <v>113087.80437029774</v>
      </c>
      <c r="AD67" s="181">
        <f t="shared" ref="AD67:AD130" si="20">Y67-Z67+AB67</f>
        <v>170923.593781061</v>
      </c>
      <c r="AE67" s="131">
        <v>4536757.04</v>
      </c>
      <c r="AF67" s="131">
        <f>AE67*'1. UC Assumptions'!$C$23</f>
        <v>1497129.8231999998</v>
      </c>
      <c r="AG67" s="183">
        <f>IF((((X67-W67-AE67)*'1. UC Assumptions'!$C$23)+AF67)&gt;0,((X67-W67-AE67)*'1. UC Assumptions'!$C$23)+AF67,0)</f>
        <v>93683.699999999953</v>
      </c>
      <c r="AH67" s="183">
        <f>IF(((X67-W67-AE67)*'1. UC Assumptions'!$C$23)&gt;0,(X67-W67-AE67)*'1. UC Assumptions'!$C$23,0)</f>
        <v>0</v>
      </c>
      <c r="AI67" s="183">
        <f t="shared" ref="AI67:AI130" si="21">AH67+AF67</f>
        <v>1497129.8231999998</v>
      </c>
      <c r="AJ67" s="183">
        <f>IF(H67="Bexar",(AD67/$AJ$1)*'1. UC Assumptions'!$E$42,0)</f>
        <v>0</v>
      </c>
      <c r="AK67" s="183">
        <f>IF(H67="Dallas",(AD67/$AK$1)*'1. UC Assumptions'!$F$42,0)</f>
        <v>0</v>
      </c>
      <c r="AL67" s="183">
        <f>IF(H67="El Paso",(AD67/$AL$1)*'1. UC Assumptions'!$G$42,0)</f>
        <v>0</v>
      </c>
      <c r="AM67" s="183">
        <f>IF(H67="Harris",(AD67/$AM$1)*'1. UC Assumptions'!$H$42,0)</f>
        <v>0</v>
      </c>
      <c r="AN67" s="183">
        <f>IF(H67="Hidalgo",(AD67/$AN$1)*'1. UC Assumptions'!$I$42,0)</f>
        <v>0</v>
      </c>
      <c r="AO67" s="183">
        <f>IF(H67="Jefferson",(AD67/$AO$1)*'1. UC Assumptions'!$J$42,0)</f>
        <v>0</v>
      </c>
      <c r="AP67" s="183">
        <f>IF(H67="Lubbock",(AD67/$AP$1)*'1. UC Assumptions'!$K$42,0)</f>
        <v>0</v>
      </c>
      <c r="AQ67" s="183">
        <f>IF(H67="MRSA Central",(AD67/$AQ$1)*'1. UC Assumptions'!$L$42,0)</f>
        <v>0</v>
      </c>
      <c r="AR67" s="183">
        <f>IF(H67="MRSA Northeast",(AD67/$AR$1)*'1. UC Assumptions'!$M$42,0)</f>
        <v>0</v>
      </c>
      <c r="AS67" s="183">
        <f>IF(H67="MRSA West",(AD67/$AS$1)*'1. UC Assumptions'!$N$42,0)</f>
        <v>0</v>
      </c>
      <c r="AT67" s="183">
        <f>IF(H67="Nueces",(AD67/$AT$1)*'1. UC Assumptions'!$O$42,0)</f>
        <v>0</v>
      </c>
      <c r="AU67" s="183">
        <f>IF(H67="Tarrant",(AD67/$AU$1)*'1. UC Assumptions'!$P$42,0)</f>
        <v>0</v>
      </c>
      <c r="AV67" s="183">
        <f>IF(H67="Travis",(AD67/$AV$1)*'1. UC Assumptions'!$Q$42,0)</f>
        <v>0</v>
      </c>
      <c r="AW67" s="183">
        <f>IF(H67="Bexar",(AC67/$AW$1)*'1. UC Assumptions'!$E$44,0)</f>
        <v>0</v>
      </c>
      <c r="AX67" s="183">
        <f>IF(H67="Dallas",(AC67/$AX$1)*'1. UC Assumptions'!$F$44,0)</f>
        <v>0</v>
      </c>
      <c r="AY67" s="183">
        <f>IF(H67="El Paso",(AC67/$AY$1)*'1. UC Assumptions'!$G$44,0)</f>
        <v>0</v>
      </c>
      <c r="AZ67" s="183">
        <f>IF(H67="Harris",(AC67/$AZ$1)*'1. UC Assumptions'!$H$44,0)</f>
        <v>0</v>
      </c>
      <c r="BA67" s="183">
        <f>IF(H67="Hidalgo",(AC67/$BA$1)*'1. UC Assumptions'!$I$44,0)</f>
        <v>0</v>
      </c>
      <c r="BB67" s="183">
        <f>IF(H67="Jefferson",(AC67/$BB$1)*'1. UC Assumptions'!$J$44,0)</f>
        <v>0</v>
      </c>
      <c r="BC67" s="183">
        <f>IF(H67="Lubbock",(AC67/$BC$1)*'1. UC Assumptions'!$K$44,0)</f>
        <v>0</v>
      </c>
      <c r="BD67" s="183">
        <f>IF(H67="MRSA Central",(AC67/$BD$1)*'1. UC Assumptions'!$L$44,0)</f>
        <v>0</v>
      </c>
      <c r="BE67" s="183">
        <f>IF(H67="MRSA Northeast",(AC67/$BE$1)*'1. UC Assumptions'!$M$44,0)</f>
        <v>0</v>
      </c>
      <c r="BF67" s="183">
        <f>IF(H67="MRSA West",(AC67/$BF$1)*'1. UC Assumptions'!$N$44,0)</f>
        <v>0</v>
      </c>
      <c r="BG67" s="183">
        <f>IF(H67="Nueces",(AC67/$BG$1)*'1. UC Assumptions'!$O$44,0)</f>
        <v>0</v>
      </c>
      <c r="BH67" s="183">
        <f>IF(H67="Tarrant",(AC67/$BH$1)*'1. UC Assumptions'!$P$44,0)</f>
        <v>0</v>
      </c>
      <c r="BI67" s="183">
        <f>IF(H67="Travis",(AC67/$BI$1)*'1. UC Assumptions'!$Q$44,0)</f>
        <v>0</v>
      </c>
      <c r="BJ67" s="183">
        <f t="shared" ref="BJ67:BJ130" si="22">SUM(AJ67:AV67)</f>
        <v>0</v>
      </c>
      <c r="BK67" s="183">
        <f t="shared" ref="BK67:BK130" si="23">SUM(AW67:BI67)</f>
        <v>0</v>
      </c>
      <c r="BL67" s="183">
        <f t="shared" ref="BL67:BL130" si="24">AD67+BK67-BJ67</f>
        <v>170923.593781061</v>
      </c>
      <c r="BM67" s="184">
        <f t="shared" ref="BM67:BM130" si="25">BL67-AE67</f>
        <v>-4365833.4462189395</v>
      </c>
      <c r="BN67" s="184">
        <f>ROUNDDOWN(BM67*'1. UC Assumptions'!$C$23,2)</f>
        <v>-1440725.03</v>
      </c>
      <c r="BO67" s="184"/>
      <c r="BP67" s="185"/>
      <c r="BQ67" s="32"/>
      <c r="BR67" s="32"/>
    </row>
    <row r="68" spans="1:70">
      <c r="A68" s="177" t="s">
        <v>1329</v>
      </c>
      <c r="B68" s="177" t="s">
        <v>217</v>
      </c>
      <c r="C68" s="178" t="s">
        <v>217</v>
      </c>
      <c r="D68" s="179" t="s">
        <v>214</v>
      </c>
      <c r="E68" s="179"/>
      <c r="F68" s="177"/>
      <c r="G68" s="177" t="s">
        <v>1330</v>
      </c>
      <c r="H68" s="178" t="s">
        <v>6</v>
      </c>
      <c r="I68" s="178" t="s">
        <v>6</v>
      </c>
      <c r="J68" s="131">
        <f>IFERROR(INDEX(#REF!,(MATCH('Old Calc Tab'!C:C,#REF!,0))),0)</f>
        <v>0</v>
      </c>
      <c r="K68" s="131">
        <f>IFERROR(INDEX(#REF!,(MATCH('Old Calc Tab'!$C:$C,#REF!,0))),0)</f>
        <v>0</v>
      </c>
      <c r="L68" s="131"/>
      <c r="M68" s="131">
        <v>42054053.526991658</v>
      </c>
      <c r="N68" s="131">
        <f>IFERROR(INDEX(#REF!,(MATCH('Old Calc Tab'!$C:$C,#REF!,0))),0)</f>
        <v>0</v>
      </c>
      <c r="O68" s="131">
        <f t="shared" si="13"/>
        <v>0</v>
      </c>
      <c r="P68" s="131">
        <f t="shared" si="14"/>
        <v>42054053.526991658</v>
      </c>
      <c r="Q68" s="131"/>
      <c r="R68" s="131"/>
      <c r="S68" s="131"/>
      <c r="T68" s="131"/>
      <c r="U68" s="131"/>
      <c r="V68" s="131">
        <v>0</v>
      </c>
      <c r="W68" s="180">
        <v>0</v>
      </c>
      <c r="X68" s="180">
        <f t="shared" si="15"/>
        <v>42054053.526991658</v>
      </c>
      <c r="Y68" s="181">
        <f>IF(D68="Physician Group Practice",(X68/$AE$369)*'1. UC Assumptions'!$C$15,IF(OR(E68="Rural Hospital",E68="Hosp - State"),X68,(X68/$X$369)*'1. UC Assumptions'!$C$9))</f>
        <v>25310779.948983263</v>
      </c>
      <c r="Z68" s="181">
        <f t="shared" si="16"/>
        <v>0</v>
      </c>
      <c r="AA68" s="181">
        <f t="shared" si="17"/>
        <v>16743273.578008395</v>
      </c>
      <c r="AB68" s="182">
        <f t="shared" si="18"/>
        <v>8991.6593668643782</v>
      </c>
      <c r="AC68" s="181">
        <f t="shared" si="19"/>
        <v>16752265.237375259</v>
      </c>
      <c r="AD68" s="181">
        <f t="shared" si="20"/>
        <v>25319771.608350128</v>
      </c>
      <c r="AE68" s="131">
        <v>10021095.869999999</v>
      </c>
      <c r="AF68" s="131">
        <f>AE68*'1. UC Assumptions'!$C$23</f>
        <v>3306961.6370999995</v>
      </c>
      <c r="AG68" s="183">
        <f>IF((((X68-W68-AE68)*'1. UC Assumptions'!$C$23)+AF68)&gt;0,((X68-W68-AE68)*'1. UC Assumptions'!$C$23)+AF68,0)</f>
        <v>13877837.663907247</v>
      </c>
      <c r="AH68" s="183">
        <f>IF(((X68-W68-AE68)*'1. UC Assumptions'!$C$23)&gt;0,(X68-W68-AE68)*'1. UC Assumptions'!$C$23,0)</f>
        <v>10570876.026807247</v>
      </c>
      <c r="AI68" s="183">
        <f t="shared" si="21"/>
        <v>13877837.663907247</v>
      </c>
      <c r="AJ68" s="183">
        <f>IF(H68="Bexar",(AD68/$AJ$1)*'1. UC Assumptions'!$E$42,0)</f>
        <v>0</v>
      </c>
      <c r="AK68" s="183">
        <f>IF(H68="Dallas",(AD68/$AK$1)*'1. UC Assumptions'!$F$42,0)</f>
        <v>0</v>
      </c>
      <c r="AL68" s="183">
        <f>IF(H68="El Paso",(AD68/$AL$1)*'1. UC Assumptions'!$G$42,0)</f>
        <v>0</v>
      </c>
      <c r="AM68" s="183">
        <f>IF(H68="Harris",(AD68/$AM$1)*'1. UC Assumptions'!$H$42,0)</f>
        <v>0</v>
      </c>
      <c r="AN68" s="183">
        <f>IF(H68="Hidalgo",(AD68/$AN$1)*'1. UC Assumptions'!$I$42,0)</f>
        <v>0</v>
      </c>
      <c r="AO68" s="183">
        <f>IF(H68="Jefferson",(AD68/$AO$1)*'1. UC Assumptions'!$J$42,0)</f>
        <v>0</v>
      </c>
      <c r="AP68" s="183">
        <f>IF(H68="Lubbock",(AD68/$AP$1)*'1. UC Assumptions'!$K$42,0)</f>
        <v>0</v>
      </c>
      <c r="AQ68" s="183">
        <f>IF(H68="MRSA Central",(AD68/$AQ$1)*'1. UC Assumptions'!$L$42,0)</f>
        <v>0</v>
      </c>
      <c r="AR68" s="183">
        <f>IF(H68="MRSA Northeast",(AD68/$AR$1)*'1. UC Assumptions'!$M$42,0)</f>
        <v>0</v>
      </c>
      <c r="AS68" s="183">
        <f>IF(H68="MRSA West",(AD68/$AS$1)*'1. UC Assumptions'!$N$42,0)</f>
        <v>0</v>
      </c>
      <c r="AT68" s="183">
        <f>IF(H68="Nueces",(AD68/$AT$1)*'1. UC Assumptions'!$O$42,0)</f>
        <v>0</v>
      </c>
      <c r="AU68" s="183">
        <f>IF(H68="Tarrant",(AD68/$AU$1)*'1. UC Assumptions'!$P$42,0)</f>
        <v>0</v>
      </c>
      <c r="AV68" s="183">
        <f>IF(H68="Travis",(AD68/$AV$1)*'1. UC Assumptions'!$Q$42,0)</f>
        <v>0</v>
      </c>
      <c r="AW68" s="183">
        <f>IF(H68="Bexar",(AC68/$AW$1)*'1. UC Assumptions'!$E$44,0)</f>
        <v>0</v>
      </c>
      <c r="AX68" s="183">
        <f>IF(H68="Dallas",(AC68/$AX$1)*'1. UC Assumptions'!$F$44,0)</f>
        <v>0</v>
      </c>
      <c r="AY68" s="183">
        <f>IF(H68="El Paso",(AC68/$AY$1)*'1. UC Assumptions'!$G$44,0)</f>
        <v>0</v>
      </c>
      <c r="AZ68" s="183">
        <f>IF(H68="Harris",(AC68/$AZ$1)*'1. UC Assumptions'!$H$44,0)</f>
        <v>0</v>
      </c>
      <c r="BA68" s="183">
        <f>IF(H68="Hidalgo",(AC68/$BA$1)*'1. UC Assumptions'!$I$44,0)</f>
        <v>0</v>
      </c>
      <c r="BB68" s="183">
        <f>IF(H68="Jefferson",(AC68/$BB$1)*'1. UC Assumptions'!$J$44,0)</f>
        <v>0</v>
      </c>
      <c r="BC68" s="183">
        <f>IF(H68="Lubbock",(AC68/$BC$1)*'1. UC Assumptions'!$K$44,0)</f>
        <v>0</v>
      </c>
      <c r="BD68" s="183">
        <f>IF(H68="MRSA Central",(AC68/$BD$1)*'1. UC Assumptions'!$L$44,0)</f>
        <v>0</v>
      </c>
      <c r="BE68" s="183">
        <f>IF(H68="MRSA Northeast",(AC68/$BE$1)*'1. UC Assumptions'!$M$44,0)</f>
        <v>0</v>
      </c>
      <c r="BF68" s="183">
        <f>IF(H68="MRSA West",(AC68/$BF$1)*'1. UC Assumptions'!$N$44,0)</f>
        <v>0</v>
      </c>
      <c r="BG68" s="183">
        <f>IF(H68="Nueces",(AC68/$BG$1)*'1. UC Assumptions'!$O$44,0)</f>
        <v>0</v>
      </c>
      <c r="BH68" s="183">
        <f>IF(H68="Tarrant",(AC68/$BH$1)*'1. UC Assumptions'!$P$44,0)</f>
        <v>0</v>
      </c>
      <c r="BI68" s="183">
        <f>IF(H68="Travis",(AC68/$BI$1)*'1. UC Assumptions'!$Q$44,0)</f>
        <v>0</v>
      </c>
      <c r="BJ68" s="183">
        <f t="shared" si="22"/>
        <v>0</v>
      </c>
      <c r="BK68" s="183">
        <f t="shared" si="23"/>
        <v>0</v>
      </c>
      <c r="BL68" s="183">
        <f t="shared" si="24"/>
        <v>25319771.608350128</v>
      </c>
      <c r="BM68" s="184">
        <f t="shared" si="25"/>
        <v>15298675.738350129</v>
      </c>
      <c r="BN68" s="184">
        <f>ROUNDDOWN(BM68*'1. UC Assumptions'!$C$23,2)</f>
        <v>5048562.99</v>
      </c>
      <c r="BO68" s="184"/>
      <c r="BP68" s="185"/>
      <c r="BQ68" s="32"/>
      <c r="BR68" s="32"/>
    </row>
    <row r="69" spans="1:70">
      <c r="A69" s="177" t="s">
        <v>1331</v>
      </c>
      <c r="B69" s="178" t="s">
        <v>219</v>
      </c>
      <c r="C69" s="178" t="s">
        <v>219</v>
      </c>
      <c r="D69" s="179" t="s">
        <v>214</v>
      </c>
      <c r="E69" s="179"/>
      <c r="F69" s="177"/>
      <c r="G69" s="177" t="s">
        <v>220</v>
      </c>
      <c r="H69" s="178" t="s">
        <v>6</v>
      </c>
      <c r="I69" s="178" t="s">
        <v>6</v>
      </c>
      <c r="J69" s="131">
        <f>IFERROR(INDEX(#REF!,(MATCH('Old Calc Tab'!C:C,#REF!,0))),0)</f>
        <v>0</v>
      </c>
      <c r="K69" s="131">
        <f>IFERROR(INDEX(#REF!,(MATCH('Old Calc Tab'!$C:$C,#REF!,0))),0)</f>
        <v>0</v>
      </c>
      <c r="L69" s="131"/>
      <c r="M69" s="131">
        <v>83435985.799999997</v>
      </c>
      <c r="N69" s="131">
        <f>IFERROR(INDEX(#REF!,(MATCH('Old Calc Tab'!$C:$C,#REF!,0))),0)</f>
        <v>0</v>
      </c>
      <c r="O69" s="131">
        <f t="shared" si="13"/>
        <v>0</v>
      </c>
      <c r="P69" s="131">
        <f t="shared" si="14"/>
        <v>83435985.799999997</v>
      </c>
      <c r="Q69" s="131"/>
      <c r="R69" s="131"/>
      <c r="S69" s="131"/>
      <c r="T69" s="131"/>
      <c r="U69" s="131"/>
      <c r="V69" s="131">
        <v>768818</v>
      </c>
      <c r="W69" s="180">
        <v>0</v>
      </c>
      <c r="X69" s="180">
        <f t="shared" si="15"/>
        <v>84204803.799999997</v>
      </c>
      <c r="Y69" s="181">
        <f>IF(D69="Physician Group Practice",(X69/$AE$369)*'1. UC Assumptions'!$C$15,IF(OR(E69="Rural Hospital",E69="Hosp - State"),X69,(X69/$X$369)*'1. UC Assumptions'!$C$9))</f>
        <v>50679758.094215088</v>
      </c>
      <c r="Z69" s="181">
        <f t="shared" si="16"/>
        <v>0</v>
      </c>
      <c r="AA69" s="181">
        <f t="shared" si="17"/>
        <v>33525045.705784909</v>
      </c>
      <c r="AB69" s="182">
        <f t="shared" si="18"/>
        <v>18003.993653959878</v>
      </c>
      <c r="AC69" s="181">
        <f t="shared" si="19"/>
        <v>33543049.69943887</v>
      </c>
      <c r="AD69" s="181">
        <f t="shared" si="20"/>
        <v>50697762.087869048</v>
      </c>
      <c r="AE69" s="131">
        <v>37728364.700000003</v>
      </c>
      <c r="AF69" s="131">
        <f>AE69*'1. UC Assumptions'!$C$23</f>
        <v>12450360.351</v>
      </c>
      <c r="AG69" s="183">
        <f>IF((((X69-W69-AE69)*'1. UC Assumptions'!$C$23)+AF69)&gt;0,((X69-W69-AE69)*'1. UC Assumptions'!$C$23)+AF69,0)</f>
        <v>27787585.253999993</v>
      </c>
      <c r="AH69" s="183">
        <f>IF(((X69-W69-AE69)*'1. UC Assumptions'!$C$23)&gt;0,(X69-W69-AE69)*'1. UC Assumptions'!$C$23,0)</f>
        <v>15337224.902999995</v>
      </c>
      <c r="AI69" s="183">
        <f t="shared" si="21"/>
        <v>27787585.253999993</v>
      </c>
      <c r="AJ69" s="183">
        <f>IF(H69="Bexar",(AD69/$AJ$1)*'1. UC Assumptions'!$E$42,0)</f>
        <v>0</v>
      </c>
      <c r="AK69" s="183">
        <f>IF(H69="Dallas",(AD69/$AK$1)*'1. UC Assumptions'!$F$42,0)</f>
        <v>0</v>
      </c>
      <c r="AL69" s="183">
        <f>IF(H69="El Paso",(AD69/$AL$1)*'1. UC Assumptions'!$G$42,0)</f>
        <v>0</v>
      </c>
      <c r="AM69" s="183">
        <f>IF(H69="Harris",(AD69/$AM$1)*'1. UC Assumptions'!$H$42,0)</f>
        <v>0</v>
      </c>
      <c r="AN69" s="183">
        <f>IF(H69="Hidalgo",(AD69/$AN$1)*'1. UC Assumptions'!$I$42,0)</f>
        <v>0</v>
      </c>
      <c r="AO69" s="183">
        <f>IF(H69="Jefferson",(AD69/$AO$1)*'1. UC Assumptions'!$J$42,0)</f>
        <v>0</v>
      </c>
      <c r="AP69" s="183">
        <f>IF(H69="Lubbock",(AD69/$AP$1)*'1. UC Assumptions'!$K$42,0)</f>
        <v>0</v>
      </c>
      <c r="AQ69" s="183">
        <f>IF(H69="MRSA Central",(AD69/$AQ$1)*'1. UC Assumptions'!$L$42,0)</f>
        <v>0</v>
      </c>
      <c r="AR69" s="183">
        <f>IF(H69="MRSA Northeast",(AD69/$AR$1)*'1. UC Assumptions'!$M$42,0)</f>
        <v>0</v>
      </c>
      <c r="AS69" s="183">
        <f>IF(H69="MRSA West",(AD69/$AS$1)*'1. UC Assumptions'!$N$42,0)</f>
        <v>0</v>
      </c>
      <c r="AT69" s="183">
        <f>IF(H69="Nueces",(AD69/$AT$1)*'1. UC Assumptions'!$O$42,0)</f>
        <v>0</v>
      </c>
      <c r="AU69" s="183">
        <f>IF(H69="Tarrant",(AD69/$AU$1)*'1. UC Assumptions'!$P$42,0)</f>
        <v>0</v>
      </c>
      <c r="AV69" s="183">
        <f>IF(H69="Travis",(AD69/$AV$1)*'1. UC Assumptions'!$Q$42,0)</f>
        <v>0</v>
      </c>
      <c r="AW69" s="183">
        <f>IF(H69="Bexar",(AC69/$AW$1)*'1. UC Assumptions'!$E$44,0)</f>
        <v>0</v>
      </c>
      <c r="AX69" s="183">
        <f>IF(H69="Dallas",(AC69/$AX$1)*'1. UC Assumptions'!$F$44,0)</f>
        <v>0</v>
      </c>
      <c r="AY69" s="183">
        <f>IF(H69="El Paso",(AC69/$AY$1)*'1. UC Assumptions'!$G$44,0)</f>
        <v>0</v>
      </c>
      <c r="AZ69" s="183">
        <f>IF(H69="Harris",(AC69/$AZ$1)*'1. UC Assumptions'!$H$44,0)</f>
        <v>0</v>
      </c>
      <c r="BA69" s="183">
        <f>IF(H69="Hidalgo",(AC69/$BA$1)*'1. UC Assumptions'!$I$44,0)</f>
        <v>0</v>
      </c>
      <c r="BB69" s="183">
        <f>IF(H69="Jefferson",(AC69/$BB$1)*'1. UC Assumptions'!$J$44,0)</f>
        <v>0</v>
      </c>
      <c r="BC69" s="183">
        <f>IF(H69="Lubbock",(AC69/$BC$1)*'1. UC Assumptions'!$K$44,0)</f>
        <v>0</v>
      </c>
      <c r="BD69" s="183">
        <f>IF(H69="MRSA Central",(AC69/$BD$1)*'1. UC Assumptions'!$L$44,0)</f>
        <v>0</v>
      </c>
      <c r="BE69" s="183">
        <f>IF(H69="MRSA Northeast",(AC69/$BE$1)*'1. UC Assumptions'!$M$44,0)</f>
        <v>0</v>
      </c>
      <c r="BF69" s="183">
        <f>IF(H69="MRSA West",(AC69/$BF$1)*'1. UC Assumptions'!$N$44,0)</f>
        <v>0</v>
      </c>
      <c r="BG69" s="183">
        <f>IF(H69="Nueces",(AC69/$BG$1)*'1. UC Assumptions'!$O$44,0)</f>
        <v>0</v>
      </c>
      <c r="BH69" s="183">
        <f>IF(H69="Tarrant",(AC69/$BH$1)*'1. UC Assumptions'!$P$44,0)</f>
        <v>0</v>
      </c>
      <c r="BI69" s="183">
        <f>IF(H69="Travis",(AC69/$BI$1)*'1. UC Assumptions'!$Q$44,0)</f>
        <v>0</v>
      </c>
      <c r="BJ69" s="183">
        <f t="shared" si="22"/>
        <v>0</v>
      </c>
      <c r="BK69" s="183">
        <f t="shared" si="23"/>
        <v>0</v>
      </c>
      <c r="BL69" s="183">
        <f t="shared" si="24"/>
        <v>50697762.087869048</v>
      </c>
      <c r="BM69" s="184">
        <f t="shared" si="25"/>
        <v>12969397.387869045</v>
      </c>
      <c r="BN69" s="184">
        <f>ROUNDDOWN(BM69*'1. UC Assumptions'!$C$23,2)</f>
        <v>4279901.13</v>
      </c>
      <c r="BO69" s="184"/>
      <c r="BP69" s="185"/>
      <c r="BQ69" s="32"/>
      <c r="BR69" s="32"/>
    </row>
    <row r="70" spans="1:70">
      <c r="A70" s="177" t="s">
        <v>1332</v>
      </c>
      <c r="B70" s="177" t="s">
        <v>221</v>
      </c>
      <c r="C70" s="178" t="s">
        <v>221</v>
      </c>
      <c r="D70" s="179" t="s">
        <v>214</v>
      </c>
      <c r="E70" s="179"/>
      <c r="F70" s="177"/>
      <c r="G70" s="177" t="s">
        <v>1333</v>
      </c>
      <c r="H70" s="178" t="s">
        <v>6</v>
      </c>
      <c r="I70" s="178" t="s">
        <v>223</v>
      </c>
      <c r="J70" s="131">
        <f>IFERROR(INDEX(#REF!,(MATCH('Old Calc Tab'!C:C,#REF!,0))),0)</f>
        <v>0</v>
      </c>
      <c r="K70" s="131">
        <f>IFERROR(INDEX(#REF!,(MATCH('Old Calc Tab'!$C:$C,#REF!,0))),0)</f>
        <v>0</v>
      </c>
      <c r="L70" s="131"/>
      <c r="M70" s="131">
        <v>29729353.463691942</v>
      </c>
      <c r="N70" s="131">
        <f>IFERROR(INDEX(#REF!,(MATCH('Old Calc Tab'!$C:$C,#REF!,0))),0)</f>
        <v>0</v>
      </c>
      <c r="O70" s="131">
        <f t="shared" si="13"/>
        <v>0</v>
      </c>
      <c r="P70" s="131">
        <f t="shared" si="14"/>
        <v>29729353.463691942</v>
      </c>
      <c r="Q70" s="131"/>
      <c r="R70" s="131"/>
      <c r="S70" s="131"/>
      <c r="T70" s="131"/>
      <c r="U70" s="131"/>
      <c r="V70" s="131">
        <v>0</v>
      </c>
      <c r="W70" s="180">
        <v>0</v>
      </c>
      <c r="X70" s="180">
        <f t="shared" si="15"/>
        <v>29729353.463691942</v>
      </c>
      <c r="Y70" s="181">
        <f>IF(D70="Physician Group Practice",(X70/$AE$369)*'1. UC Assumptions'!$C$15,IF(OR(E70="Rural Hospital",E70="Hosp - State"),X70,(X70/$X$369)*'1. UC Assumptions'!$C$9))</f>
        <v>17892998.663305748</v>
      </c>
      <c r="Z70" s="181">
        <f t="shared" si="16"/>
        <v>0</v>
      </c>
      <c r="AA70" s="181">
        <f t="shared" si="17"/>
        <v>11836354.800386194</v>
      </c>
      <c r="AB70" s="182">
        <f t="shared" si="18"/>
        <v>6356.4911613349086</v>
      </c>
      <c r="AC70" s="181">
        <f t="shared" si="19"/>
        <v>11842711.291547529</v>
      </c>
      <c r="AD70" s="181">
        <f t="shared" si="20"/>
        <v>17899355.154467084</v>
      </c>
      <c r="AE70" s="131">
        <v>7300972.25</v>
      </c>
      <c r="AF70" s="131">
        <f>AE70*'1. UC Assumptions'!$C$23</f>
        <v>2409320.8424999998</v>
      </c>
      <c r="AG70" s="183">
        <f>IF((((X70-W70-AE70)*'1. UC Assumptions'!$C$23)+AF70)&gt;0,((X70-W70-AE70)*'1. UC Assumptions'!$C$23)+AF70,0)</f>
        <v>9810686.6430183407</v>
      </c>
      <c r="AH70" s="183">
        <f>IF(((X70-W70-AE70)*'1. UC Assumptions'!$C$23)&gt;0,(X70-W70-AE70)*'1. UC Assumptions'!$C$23,0)</f>
        <v>7401365.8005183404</v>
      </c>
      <c r="AI70" s="183">
        <f t="shared" si="21"/>
        <v>9810686.6430183407</v>
      </c>
      <c r="AJ70" s="183">
        <f>IF(H70="Bexar",(AD70/$AJ$1)*'1. UC Assumptions'!$E$42,0)</f>
        <v>0</v>
      </c>
      <c r="AK70" s="183">
        <f>IF(H70="Dallas",(AD70/$AK$1)*'1. UC Assumptions'!$F$42,0)</f>
        <v>0</v>
      </c>
      <c r="AL70" s="183">
        <f>IF(H70="El Paso",(AD70/$AL$1)*'1. UC Assumptions'!$G$42,0)</f>
        <v>0</v>
      </c>
      <c r="AM70" s="183">
        <f>IF(H70="Harris",(AD70/$AM$1)*'1. UC Assumptions'!$H$42,0)</f>
        <v>0</v>
      </c>
      <c r="AN70" s="183">
        <f>IF(H70="Hidalgo",(AD70/$AN$1)*'1. UC Assumptions'!$I$42,0)</f>
        <v>0</v>
      </c>
      <c r="AO70" s="183">
        <f>IF(H70="Jefferson",(AD70/$AO$1)*'1. UC Assumptions'!$J$42,0)</f>
        <v>0</v>
      </c>
      <c r="AP70" s="183">
        <f>IF(H70="Lubbock",(AD70/$AP$1)*'1. UC Assumptions'!$K$42,0)</f>
        <v>0</v>
      </c>
      <c r="AQ70" s="183">
        <f>IF(H70="MRSA Central",(AD70/$AQ$1)*'1. UC Assumptions'!$L$42,0)</f>
        <v>0</v>
      </c>
      <c r="AR70" s="183">
        <f>IF(H70="MRSA Northeast",(AD70/$AR$1)*'1. UC Assumptions'!$M$42,0)</f>
        <v>0</v>
      </c>
      <c r="AS70" s="183">
        <f>IF(H70="MRSA West",(AD70/$AS$1)*'1. UC Assumptions'!$N$42,0)</f>
        <v>0</v>
      </c>
      <c r="AT70" s="183">
        <f>IF(H70="Nueces",(AD70/$AT$1)*'1. UC Assumptions'!$O$42,0)</f>
        <v>0</v>
      </c>
      <c r="AU70" s="183">
        <f>IF(H70="Tarrant",(AD70/$AU$1)*'1. UC Assumptions'!$P$42,0)</f>
        <v>0</v>
      </c>
      <c r="AV70" s="183">
        <f>IF(H70="Travis",(AD70/$AV$1)*'1. UC Assumptions'!$Q$42,0)</f>
        <v>0</v>
      </c>
      <c r="AW70" s="183">
        <f>IF(H70="Bexar",(AC70/$AW$1)*'1. UC Assumptions'!$E$44,0)</f>
        <v>0</v>
      </c>
      <c r="AX70" s="183">
        <f>IF(H70="Dallas",(AC70/$AX$1)*'1. UC Assumptions'!$F$44,0)</f>
        <v>0</v>
      </c>
      <c r="AY70" s="183">
        <f>IF(H70="El Paso",(AC70/$AY$1)*'1. UC Assumptions'!$G$44,0)</f>
        <v>0</v>
      </c>
      <c r="AZ70" s="183">
        <f>IF(H70="Harris",(AC70/$AZ$1)*'1. UC Assumptions'!$H$44,0)</f>
        <v>0</v>
      </c>
      <c r="BA70" s="183">
        <f>IF(H70="Hidalgo",(AC70/$BA$1)*'1. UC Assumptions'!$I$44,0)</f>
        <v>0</v>
      </c>
      <c r="BB70" s="183">
        <f>IF(H70="Jefferson",(AC70/$BB$1)*'1. UC Assumptions'!$J$44,0)</f>
        <v>0</v>
      </c>
      <c r="BC70" s="183">
        <f>IF(H70="Lubbock",(AC70/$BC$1)*'1. UC Assumptions'!$K$44,0)</f>
        <v>0</v>
      </c>
      <c r="BD70" s="183">
        <f>IF(H70="MRSA Central",(AC70/$BD$1)*'1. UC Assumptions'!$L$44,0)</f>
        <v>0</v>
      </c>
      <c r="BE70" s="183">
        <f>IF(H70="MRSA Northeast",(AC70/$BE$1)*'1. UC Assumptions'!$M$44,0)</f>
        <v>0</v>
      </c>
      <c r="BF70" s="183">
        <f>IF(H70="MRSA West",(AC70/$BF$1)*'1. UC Assumptions'!$N$44,0)</f>
        <v>0</v>
      </c>
      <c r="BG70" s="183">
        <f>IF(H70="Nueces",(AC70/$BG$1)*'1. UC Assumptions'!$O$44,0)</f>
        <v>0</v>
      </c>
      <c r="BH70" s="183">
        <f>IF(H70="Tarrant",(AC70/$BH$1)*'1. UC Assumptions'!$P$44,0)</f>
        <v>0</v>
      </c>
      <c r="BI70" s="183">
        <f>IF(H70="Travis",(AC70/$BI$1)*'1. UC Assumptions'!$Q$44,0)</f>
        <v>0</v>
      </c>
      <c r="BJ70" s="183">
        <f t="shared" si="22"/>
        <v>0</v>
      </c>
      <c r="BK70" s="183">
        <f t="shared" si="23"/>
        <v>0</v>
      </c>
      <c r="BL70" s="183">
        <f t="shared" si="24"/>
        <v>17899355.154467084</v>
      </c>
      <c r="BM70" s="184">
        <f t="shared" si="25"/>
        <v>10598382.904467084</v>
      </c>
      <c r="BN70" s="184">
        <f>ROUNDDOWN(BM70*'1. UC Assumptions'!$C$23,2)</f>
        <v>3497466.35</v>
      </c>
      <c r="BO70" s="184"/>
      <c r="BP70" s="185"/>
      <c r="BQ70" s="32"/>
      <c r="BR70" s="32"/>
    </row>
    <row r="71" spans="1:70">
      <c r="A71" s="177" t="s">
        <v>1334</v>
      </c>
      <c r="B71" s="178" t="s">
        <v>231</v>
      </c>
      <c r="C71" s="178" t="s">
        <v>231</v>
      </c>
      <c r="D71" s="179" t="s">
        <v>214</v>
      </c>
      <c r="E71" s="179"/>
      <c r="F71" s="177"/>
      <c r="G71" s="177" t="s">
        <v>232</v>
      </c>
      <c r="H71" s="178" t="s">
        <v>6</v>
      </c>
      <c r="I71" s="178" t="s">
        <v>6</v>
      </c>
      <c r="J71" s="131">
        <f>IFERROR(INDEX(#REF!,(MATCH('Old Calc Tab'!C:C,#REF!,0))),0)</f>
        <v>0</v>
      </c>
      <c r="K71" s="131">
        <f>IFERROR(INDEX(#REF!,(MATCH('Old Calc Tab'!$C:$C,#REF!,0))),0)</f>
        <v>0</v>
      </c>
      <c r="L71" s="131"/>
      <c r="M71" s="131">
        <v>18156146.399999999</v>
      </c>
      <c r="N71" s="131">
        <f>IFERROR(INDEX(#REF!,(MATCH('Old Calc Tab'!$C:$C,#REF!,0))),0)</f>
        <v>0</v>
      </c>
      <c r="O71" s="131">
        <f t="shared" si="13"/>
        <v>0</v>
      </c>
      <c r="P71" s="131">
        <f t="shared" si="14"/>
        <v>18156146.399999999</v>
      </c>
      <c r="Q71" s="131"/>
      <c r="R71" s="131"/>
      <c r="S71" s="131"/>
      <c r="T71" s="131"/>
      <c r="U71" s="131"/>
      <c r="V71" s="131">
        <v>0</v>
      </c>
      <c r="W71" s="180">
        <v>0</v>
      </c>
      <c r="X71" s="180">
        <f t="shared" si="15"/>
        <v>18156146.399999999</v>
      </c>
      <c r="Y71" s="181">
        <f>IF(D71="Physician Group Practice",(X71/$AE$369)*'1. UC Assumptions'!$C$15,IF(OR(E71="Rural Hospital",E71="Hosp - State"),X71,(X71/$X$369)*'1. UC Assumptions'!$C$9))</f>
        <v>10927513.229062995</v>
      </c>
      <c r="Z71" s="181">
        <f t="shared" si="16"/>
        <v>0</v>
      </c>
      <c r="AA71" s="181">
        <f t="shared" si="17"/>
        <v>7228633.1709370036</v>
      </c>
      <c r="AB71" s="182">
        <f t="shared" si="18"/>
        <v>3882.0011426232504</v>
      </c>
      <c r="AC71" s="181">
        <f t="shared" si="19"/>
        <v>7232515.1720796265</v>
      </c>
      <c r="AD71" s="181">
        <f t="shared" si="20"/>
        <v>10931395.230205618</v>
      </c>
      <c r="AE71" s="131">
        <v>11218249.02</v>
      </c>
      <c r="AF71" s="131">
        <f>AE71*'1. UC Assumptions'!$C$23</f>
        <v>3702022.1765999994</v>
      </c>
      <c r="AG71" s="183">
        <f>IF((((X71-W71-AE71)*'1. UC Assumptions'!$C$23)+AF71)&gt;0,((X71-W71-AE71)*'1. UC Assumptions'!$C$23)+AF71,0)</f>
        <v>5991528.311999999</v>
      </c>
      <c r="AH71" s="183">
        <f>IF(((X71-W71-AE71)*'1. UC Assumptions'!$C$23)&gt;0,(X71-W71-AE71)*'1. UC Assumptions'!$C$23,0)</f>
        <v>2289506.1353999996</v>
      </c>
      <c r="AI71" s="183">
        <f t="shared" si="21"/>
        <v>5991528.311999999</v>
      </c>
      <c r="AJ71" s="183">
        <f>IF(H71="Bexar",(AD71/$AJ$1)*'1. UC Assumptions'!$E$42,0)</f>
        <v>0</v>
      </c>
      <c r="AK71" s="183">
        <f>IF(H71="Dallas",(AD71/$AK$1)*'1. UC Assumptions'!$F$42,0)</f>
        <v>0</v>
      </c>
      <c r="AL71" s="183">
        <f>IF(H71="El Paso",(AD71/$AL$1)*'1. UC Assumptions'!$G$42,0)</f>
        <v>0</v>
      </c>
      <c r="AM71" s="183">
        <f>IF(H71="Harris",(AD71/$AM$1)*'1. UC Assumptions'!$H$42,0)</f>
        <v>0</v>
      </c>
      <c r="AN71" s="183">
        <f>IF(H71="Hidalgo",(AD71/$AN$1)*'1. UC Assumptions'!$I$42,0)</f>
        <v>0</v>
      </c>
      <c r="AO71" s="183">
        <f>IF(H71="Jefferson",(AD71/$AO$1)*'1. UC Assumptions'!$J$42,0)</f>
        <v>0</v>
      </c>
      <c r="AP71" s="183">
        <f>IF(H71="Lubbock",(AD71/$AP$1)*'1. UC Assumptions'!$K$42,0)</f>
        <v>0</v>
      </c>
      <c r="AQ71" s="183">
        <f>IF(H71="MRSA Central",(AD71/$AQ$1)*'1. UC Assumptions'!$L$42,0)</f>
        <v>0</v>
      </c>
      <c r="AR71" s="183">
        <f>IF(H71="MRSA Northeast",(AD71/$AR$1)*'1. UC Assumptions'!$M$42,0)</f>
        <v>0</v>
      </c>
      <c r="AS71" s="183">
        <f>IF(H71="MRSA West",(AD71/$AS$1)*'1. UC Assumptions'!$N$42,0)</f>
        <v>0</v>
      </c>
      <c r="AT71" s="183">
        <f>IF(H71="Nueces",(AD71/$AT$1)*'1. UC Assumptions'!$O$42,0)</f>
        <v>0</v>
      </c>
      <c r="AU71" s="183">
        <f>IF(H71="Tarrant",(AD71/$AU$1)*'1. UC Assumptions'!$P$42,0)</f>
        <v>0</v>
      </c>
      <c r="AV71" s="183">
        <f>IF(H71="Travis",(AD71/$AV$1)*'1. UC Assumptions'!$Q$42,0)</f>
        <v>0</v>
      </c>
      <c r="AW71" s="183">
        <f>IF(H71="Bexar",(AC71/$AW$1)*'1. UC Assumptions'!$E$44,0)</f>
        <v>0</v>
      </c>
      <c r="AX71" s="183">
        <f>IF(H71="Dallas",(AC71/$AX$1)*'1. UC Assumptions'!$F$44,0)</f>
        <v>0</v>
      </c>
      <c r="AY71" s="183">
        <f>IF(H71="El Paso",(AC71/$AY$1)*'1. UC Assumptions'!$G$44,0)</f>
        <v>0</v>
      </c>
      <c r="AZ71" s="183">
        <f>IF(H71="Harris",(AC71/$AZ$1)*'1. UC Assumptions'!$H$44,0)</f>
        <v>0</v>
      </c>
      <c r="BA71" s="183">
        <f>IF(H71="Hidalgo",(AC71/$BA$1)*'1. UC Assumptions'!$I$44,0)</f>
        <v>0</v>
      </c>
      <c r="BB71" s="183">
        <f>IF(H71="Jefferson",(AC71/$BB$1)*'1. UC Assumptions'!$J$44,0)</f>
        <v>0</v>
      </c>
      <c r="BC71" s="183">
        <f>IF(H71="Lubbock",(AC71/$BC$1)*'1. UC Assumptions'!$K$44,0)</f>
        <v>0</v>
      </c>
      <c r="BD71" s="183">
        <f>IF(H71="MRSA Central",(AC71/$BD$1)*'1. UC Assumptions'!$L$44,0)</f>
        <v>0</v>
      </c>
      <c r="BE71" s="183">
        <f>IF(H71="MRSA Northeast",(AC71/$BE$1)*'1. UC Assumptions'!$M$44,0)</f>
        <v>0</v>
      </c>
      <c r="BF71" s="183">
        <f>IF(H71="MRSA West",(AC71/$BF$1)*'1. UC Assumptions'!$N$44,0)</f>
        <v>0</v>
      </c>
      <c r="BG71" s="183">
        <f>IF(H71="Nueces",(AC71/$BG$1)*'1. UC Assumptions'!$O$44,0)</f>
        <v>0</v>
      </c>
      <c r="BH71" s="183">
        <f>IF(H71="Tarrant",(AC71/$BH$1)*'1. UC Assumptions'!$P$44,0)</f>
        <v>0</v>
      </c>
      <c r="BI71" s="183">
        <f>IF(H71="Travis",(AC71/$BI$1)*'1. UC Assumptions'!$Q$44,0)</f>
        <v>0</v>
      </c>
      <c r="BJ71" s="183">
        <f t="shared" si="22"/>
        <v>0</v>
      </c>
      <c r="BK71" s="183">
        <f t="shared" si="23"/>
        <v>0</v>
      </c>
      <c r="BL71" s="183">
        <f t="shared" si="24"/>
        <v>10931395.230205618</v>
      </c>
      <c r="BM71" s="184">
        <f t="shared" si="25"/>
        <v>-286853.78979438171</v>
      </c>
      <c r="BN71" s="184">
        <f>ROUNDDOWN(BM71*'1. UC Assumptions'!$C$23,2)</f>
        <v>-94661.75</v>
      </c>
      <c r="BO71" s="184"/>
      <c r="BP71" s="185"/>
      <c r="BQ71" s="32"/>
      <c r="BR71" s="32"/>
    </row>
    <row r="72" spans="1:70">
      <c r="A72" s="177" t="s">
        <v>1335</v>
      </c>
      <c r="B72" s="177" t="s">
        <v>261</v>
      </c>
      <c r="C72" s="178" t="s">
        <v>261</v>
      </c>
      <c r="D72" s="179" t="s">
        <v>208</v>
      </c>
      <c r="E72" s="179" t="s">
        <v>149</v>
      </c>
      <c r="F72" s="177"/>
      <c r="G72" s="177" t="s">
        <v>1336</v>
      </c>
      <c r="H72" s="178" t="s">
        <v>6</v>
      </c>
      <c r="I72" s="178" t="s">
        <v>263</v>
      </c>
      <c r="J72" s="131">
        <f>IFERROR(INDEX(#REF!,(MATCH('Old Calc Tab'!C:C,#REF!,0))),0)</f>
        <v>0</v>
      </c>
      <c r="K72" s="131">
        <f>IFERROR(INDEX(#REF!,(MATCH('Old Calc Tab'!$C:$C,#REF!,0))),0)</f>
        <v>0</v>
      </c>
      <c r="L72" s="131"/>
      <c r="M72" s="131">
        <v>293377.8</v>
      </c>
      <c r="N72" s="131">
        <f>IFERROR(INDEX(#REF!,(MATCH('Old Calc Tab'!$C:$C,#REF!,0))),0)</f>
        <v>0</v>
      </c>
      <c r="O72" s="131">
        <f t="shared" si="13"/>
        <v>0</v>
      </c>
      <c r="P72" s="131">
        <f t="shared" si="14"/>
        <v>293377.8</v>
      </c>
      <c r="Q72" s="131"/>
      <c r="R72" s="131"/>
      <c r="S72" s="131"/>
      <c r="T72" s="131"/>
      <c r="U72" s="131"/>
      <c r="V72" s="131">
        <v>0</v>
      </c>
      <c r="W72" s="180">
        <v>0</v>
      </c>
      <c r="X72" s="180">
        <f t="shared" si="15"/>
        <v>293377.8</v>
      </c>
      <c r="Y72" s="181">
        <f>IF(D72="Physician Group Practice",(X72/$AE$369)*'1. UC Assumptions'!$C$15,IF(OR(E72="Rural Hospital",E72="Hosp - State"),X72,(X72/$X$369)*'1. UC Assumptions'!$C$9))</f>
        <v>293377.8</v>
      </c>
      <c r="Z72" s="181">
        <f t="shared" si="16"/>
        <v>0</v>
      </c>
      <c r="AA72" s="181">
        <f t="shared" si="17"/>
        <v>0</v>
      </c>
      <c r="AB72" s="182">
        <f t="shared" si="18"/>
        <v>0</v>
      </c>
      <c r="AC72" s="181">
        <f t="shared" si="19"/>
        <v>0</v>
      </c>
      <c r="AD72" s="181">
        <f t="shared" si="20"/>
        <v>293377.8</v>
      </c>
      <c r="AE72" s="131">
        <v>627016.5</v>
      </c>
      <c r="AF72" s="131">
        <f>AE72*'1. UC Assumptions'!$C$23</f>
        <v>206915.44499999998</v>
      </c>
      <c r="AG72" s="183">
        <f>IF((((X72-W72-AE72)*'1. UC Assumptions'!$C$23)+AF72)&gt;0,((X72-W72-AE72)*'1. UC Assumptions'!$C$23)+AF72,0)</f>
        <v>96814.673999999985</v>
      </c>
      <c r="AH72" s="183">
        <f>IF(((X72-W72-AE72)*'1. UC Assumptions'!$C$23)&gt;0,(X72-W72-AE72)*'1. UC Assumptions'!$C$23,0)</f>
        <v>0</v>
      </c>
      <c r="AI72" s="183">
        <f t="shared" si="21"/>
        <v>206915.44499999998</v>
      </c>
      <c r="AJ72" s="183">
        <f>IF(H72="Bexar",(AD72/$AJ$1)*'1. UC Assumptions'!$E$42,0)</f>
        <v>0</v>
      </c>
      <c r="AK72" s="183">
        <f>IF(H72="Dallas",(AD72/$AK$1)*'1. UC Assumptions'!$F$42,0)</f>
        <v>0</v>
      </c>
      <c r="AL72" s="183">
        <f>IF(H72="El Paso",(AD72/$AL$1)*'1. UC Assumptions'!$G$42,0)</f>
        <v>0</v>
      </c>
      <c r="AM72" s="183">
        <f>IF(H72="Harris",(AD72/$AM$1)*'1. UC Assumptions'!$H$42,0)</f>
        <v>0</v>
      </c>
      <c r="AN72" s="183">
        <f>IF(H72="Hidalgo",(AD72/$AN$1)*'1. UC Assumptions'!$I$42,0)</f>
        <v>0</v>
      </c>
      <c r="AO72" s="183">
        <f>IF(H72="Jefferson",(AD72/$AO$1)*'1. UC Assumptions'!$J$42,0)</f>
        <v>0</v>
      </c>
      <c r="AP72" s="183">
        <f>IF(H72="Lubbock",(AD72/$AP$1)*'1. UC Assumptions'!$K$42,0)</f>
        <v>0</v>
      </c>
      <c r="AQ72" s="183">
        <f>IF(H72="MRSA Central",(AD72/$AQ$1)*'1. UC Assumptions'!$L$42,0)</f>
        <v>0</v>
      </c>
      <c r="AR72" s="183">
        <f>IF(H72="MRSA Northeast",(AD72/$AR$1)*'1. UC Assumptions'!$M$42,0)</f>
        <v>0</v>
      </c>
      <c r="AS72" s="183">
        <f>IF(H72="MRSA West",(AD72/$AS$1)*'1. UC Assumptions'!$N$42,0)</f>
        <v>0</v>
      </c>
      <c r="AT72" s="183">
        <f>IF(H72="Nueces",(AD72/$AT$1)*'1. UC Assumptions'!$O$42,0)</f>
        <v>0</v>
      </c>
      <c r="AU72" s="183">
        <f>IF(H72="Tarrant",(AD72/$AU$1)*'1. UC Assumptions'!$P$42,0)</f>
        <v>0</v>
      </c>
      <c r="AV72" s="183">
        <f>IF(H72="Travis",(AD72/$AV$1)*'1. UC Assumptions'!$Q$42,0)</f>
        <v>0</v>
      </c>
      <c r="AW72" s="183">
        <f>IF(H72="Bexar",(AC72/$AW$1)*'1. UC Assumptions'!$E$44,0)</f>
        <v>0</v>
      </c>
      <c r="AX72" s="183">
        <f>IF(H72="Dallas",(AC72/$AX$1)*'1. UC Assumptions'!$F$44,0)</f>
        <v>0</v>
      </c>
      <c r="AY72" s="183">
        <f>IF(H72="El Paso",(AC72/$AY$1)*'1. UC Assumptions'!$G$44,0)</f>
        <v>0</v>
      </c>
      <c r="AZ72" s="183">
        <f>IF(H72="Harris",(AC72/$AZ$1)*'1. UC Assumptions'!$H$44,0)</f>
        <v>0</v>
      </c>
      <c r="BA72" s="183">
        <f>IF(H72="Hidalgo",(AC72/$BA$1)*'1. UC Assumptions'!$I$44,0)</f>
        <v>0</v>
      </c>
      <c r="BB72" s="183">
        <f>IF(H72="Jefferson",(AC72/$BB$1)*'1. UC Assumptions'!$J$44,0)</f>
        <v>0</v>
      </c>
      <c r="BC72" s="183">
        <f>IF(H72="Lubbock",(AC72/$BC$1)*'1. UC Assumptions'!$K$44,0)</f>
        <v>0</v>
      </c>
      <c r="BD72" s="183">
        <f>IF(H72="MRSA Central",(AC72/$BD$1)*'1. UC Assumptions'!$L$44,0)</f>
        <v>0</v>
      </c>
      <c r="BE72" s="183">
        <f>IF(H72="MRSA Northeast",(AC72/$BE$1)*'1. UC Assumptions'!$M$44,0)</f>
        <v>0</v>
      </c>
      <c r="BF72" s="183">
        <f>IF(H72="MRSA West",(AC72/$BF$1)*'1. UC Assumptions'!$N$44,0)</f>
        <v>0</v>
      </c>
      <c r="BG72" s="183">
        <f>IF(H72="Nueces",(AC72/$BG$1)*'1. UC Assumptions'!$O$44,0)</f>
        <v>0</v>
      </c>
      <c r="BH72" s="183">
        <f>IF(H72="Tarrant",(AC72/$BH$1)*'1. UC Assumptions'!$P$44,0)</f>
        <v>0</v>
      </c>
      <c r="BI72" s="183">
        <f>IF(H72="Travis",(AC72/$BI$1)*'1. UC Assumptions'!$Q$44,0)</f>
        <v>0</v>
      </c>
      <c r="BJ72" s="183">
        <f t="shared" si="22"/>
        <v>0</v>
      </c>
      <c r="BK72" s="183">
        <f t="shared" si="23"/>
        <v>0</v>
      </c>
      <c r="BL72" s="183">
        <f t="shared" si="24"/>
        <v>293377.8</v>
      </c>
      <c r="BM72" s="184">
        <f t="shared" si="25"/>
        <v>-333638.7</v>
      </c>
      <c r="BN72" s="184">
        <f>ROUNDDOWN(BM72*'1. UC Assumptions'!$C$23,2)</f>
        <v>-110100.77</v>
      </c>
      <c r="BO72" s="184"/>
      <c r="BP72" s="185"/>
      <c r="BQ72" s="32"/>
      <c r="BR72" s="32"/>
    </row>
    <row r="73" spans="1:70">
      <c r="A73" s="177" t="s">
        <v>1337</v>
      </c>
      <c r="B73" s="177" t="s">
        <v>102</v>
      </c>
      <c r="C73" s="178" t="s">
        <v>102</v>
      </c>
      <c r="D73" s="179" t="s">
        <v>281</v>
      </c>
      <c r="E73" s="179"/>
      <c r="F73" s="177" t="s">
        <v>282</v>
      </c>
      <c r="G73" s="177" t="s">
        <v>1338</v>
      </c>
      <c r="H73" s="178" t="s">
        <v>6</v>
      </c>
      <c r="I73" s="178" t="s">
        <v>6</v>
      </c>
      <c r="J73" s="131">
        <f>IFERROR(INDEX(#REF!,(MATCH('Old Calc Tab'!C:C,#REF!,0))),0)</f>
        <v>0</v>
      </c>
      <c r="K73" s="131">
        <f>IFERROR(INDEX(#REF!,(MATCH('Old Calc Tab'!$C:$C,#REF!,0))),0)</f>
        <v>0</v>
      </c>
      <c r="L73" s="131"/>
      <c r="M73" s="131">
        <v>26632844</v>
      </c>
      <c r="N73" s="131">
        <f>IFERROR(INDEX(#REF!,(MATCH('Old Calc Tab'!$C:$C,#REF!,0))),0)</f>
        <v>0</v>
      </c>
      <c r="O73" s="131">
        <f t="shared" si="13"/>
        <v>0</v>
      </c>
      <c r="P73" s="131">
        <f t="shared" si="14"/>
        <v>26632844</v>
      </c>
      <c r="Q73" s="131"/>
      <c r="R73" s="131"/>
      <c r="S73" s="131"/>
      <c r="T73" s="131"/>
      <c r="U73" s="131"/>
      <c r="V73" s="131">
        <v>1832129</v>
      </c>
      <c r="W73" s="180">
        <v>0</v>
      </c>
      <c r="X73" s="180">
        <f t="shared" si="15"/>
        <v>28464973</v>
      </c>
      <c r="Y73" s="181">
        <f>IF(D73="Physician Group Practice",(X73/$AE$369)*'1. UC Assumptions'!$C$15,IF(OR(E73="Rural Hospital",E73="Hosp - State"),X73,(X73/$X$369)*'1. UC Assumptions'!$C$9))</f>
        <v>17132014.810280502</v>
      </c>
      <c r="Z73" s="181">
        <f t="shared" si="16"/>
        <v>0</v>
      </c>
      <c r="AA73" s="181">
        <f t="shared" si="17"/>
        <v>11332958.189719498</v>
      </c>
      <c r="AB73" s="182">
        <f t="shared" si="18"/>
        <v>6086.1515035338098</v>
      </c>
      <c r="AC73" s="181">
        <f t="shared" si="19"/>
        <v>11339044.341223031</v>
      </c>
      <c r="AD73" s="181">
        <f t="shared" si="20"/>
        <v>17138100.961784035</v>
      </c>
      <c r="AE73" s="131">
        <v>358545.76</v>
      </c>
      <c r="AF73" s="131">
        <f>AE73*'1. UC Assumptions'!$C$23</f>
        <v>118320.10079999999</v>
      </c>
      <c r="AG73" s="183">
        <f>IF((((X73-W73-AE73)*'1. UC Assumptions'!$C$23)+AF73)&gt;0,((X73-W73-AE73)*'1. UC Assumptions'!$C$23)+AF73,0)</f>
        <v>9393441.089999998</v>
      </c>
      <c r="AH73" s="183">
        <f>IF(((X73-W73-AE73)*'1. UC Assumptions'!$C$23)&gt;0,(X73-W73-AE73)*'1. UC Assumptions'!$C$23,0)</f>
        <v>9275120.9891999979</v>
      </c>
      <c r="AI73" s="183">
        <f t="shared" si="21"/>
        <v>9393441.089999998</v>
      </c>
      <c r="AJ73" s="183">
        <f>IF(H73="Bexar",(AD73/$AJ$1)*'1. UC Assumptions'!$E$42,0)</f>
        <v>0</v>
      </c>
      <c r="AK73" s="183">
        <f>IF(H73="Dallas",(AD73/$AK$1)*'1. UC Assumptions'!$F$42,0)</f>
        <v>0</v>
      </c>
      <c r="AL73" s="183">
        <f>IF(H73="El Paso",(AD73/$AL$1)*'1. UC Assumptions'!$G$42,0)</f>
        <v>0</v>
      </c>
      <c r="AM73" s="183">
        <f>IF(H73="Harris",(AD73/$AM$1)*'1. UC Assumptions'!$H$42,0)</f>
        <v>0</v>
      </c>
      <c r="AN73" s="183">
        <f>IF(H73="Hidalgo",(AD73/$AN$1)*'1. UC Assumptions'!$I$42,0)</f>
        <v>0</v>
      </c>
      <c r="AO73" s="183">
        <f>IF(H73="Jefferson",(AD73/$AO$1)*'1. UC Assumptions'!$J$42,0)</f>
        <v>0</v>
      </c>
      <c r="AP73" s="183">
        <f>IF(H73="Lubbock",(AD73/$AP$1)*'1. UC Assumptions'!$K$42,0)</f>
        <v>0</v>
      </c>
      <c r="AQ73" s="183">
        <f>IF(H73="MRSA Central",(AD73/$AQ$1)*'1. UC Assumptions'!$L$42,0)</f>
        <v>0</v>
      </c>
      <c r="AR73" s="183">
        <f>IF(H73="MRSA Northeast",(AD73/$AR$1)*'1. UC Assumptions'!$M$42,0)</f>
        <v>0</v>
      </c>
      <c r="AS73" s="183">
        <f>IF(H73="MRSA West",(AD73/$AS$1)*'1. UC Assumptions'!$N$42,0)</f>
        <v>0</v>
      </c>
      <c r="AT73" s="183">
        <f>IF(H73="Nueces",(AD73/$AT$1)*'1. UC Assumptions'!$O$42,0)</f>
        <v>0</v>
      </c>
      <c r="AU73" s="183">
        <f>IF(H73="Tarrant",(AD73/$AU$1)*'1. UC Assumptions'!$P$42,0)</f>
        <v>0</v>
      </c>
      <c r="AV73" s="183">
        <f>IF(H73="Travis",(AD73/$AV$1)*'1. UC Assumptions'!$Q$42,0)</f>
        <v>0</v>
      </c>
      <c r="AW73" s="183">
        <f>IF(H73="Bexar",(AC73/$AW$1)*'1. UC Assumptions'!$E$44,0)</f>
        <v>0</v>
      </c>
      <c r="AX73" s="183">
        <f>IF(H73="Dallas",(AC73/$AX$1)*'1. UC Assumptions'!$F$44,0)</f>
        <v>0</v>
      </c>
      <c r="AY73" s="183">
        <f>IF(H73="El Paso",(AC73/$AY$1)*'1. UC Assumptions'!$G$44,0)</f>
        <v>0</v>
      </c>
      <c r="AZ73" s="183">
        <f>IF(H73="Harris",(AC73/$AZ$1)*'1. UC Assumptions'!$H$44,0)</f>
        <v>0</v>
      </c>
      <c r="BA73" s="183">
        <f>IF(H73="Hidalgo",(AC73/$BA$1)*'1. UC Assumptions'!$I$44,0)</f>
        <v>0</v>
      </c>
      <c r="BB73" s="183">
        <f>IF(H73="Jefferson",(AC73/$BB$1)*'1. UC Assumptions'!$J$44,0)</f>
        <v>0</v>
      </c>
      <c r="BC73" s="183">
        <f>IF(H73="Lubbock",(AC73/$BC$1)*'1. UC Assumptions'!$K$44,0)</f>
        <v>0</v>
      </c>
      <c r="BD73" s="183">
        <f>IF(H73="MRSA Central",(AC73/$BD$1)*'1. UC Assumptions'!$L$44,0)</f>
        <v>0</v>
      </c>
      <c r="BE73" s="183">
        <f>IF(H73="MRSA Northeast",(AC73/$BE$1)*'1. UC Assumptions'!$M$44,0)</f>
        <v>0</v>
      </c>
      <c r="BF73" s="183">
        <f>IF(H73="MRSA West",(AC73/$BF$1)*'1. UC Assumptions'!$N$44,0)</f>
        <v>0</v>
      </c>
      <c r="BG73" s="183">
        <f>IF(H73="Nueces",(AC73/$BG$1)*'1. UC Assumptions'!$O$44,0)</f>
        <v>0</v>
      </c>
      <c r="BH73" s="183">
        <f>IF(H73="Tarrant",(AC73/$BH$1)*'1. UC Assumptions'!$P$44,0)</f>
        <v>0</v>
      </c>
      <c r="BI73" s="183">
        <f>IF(H73="Travis",(AC73/$BI$1)*'1. UC Assumptions'!$Q$44,0)</f>
        <v>0</v>
      </c>
      <c r="BJ73" s="183">
        <f t="shared" si="22"/>
        <v>0</v>
      </c>
      <c r="BK73" s="183">
        <f t="shared" si="23"/>
        <v>0</v>
      </c>
      <c r="BL73" s="183">
        <f t="shared" si="24"/>
        <v>17138100.961784035</v>
      </c>
      <c r="BM73" s="184">
        <f t="shared" si="25"/>
        <v>16779555.201784033</v>
      </c>
      <c r="BN73" s="184">
        <f>ROUNDDOWN(BM73*'1. UC Assumptions'!$C$23,2)</f>
        <v>5537253.21</v>
      </c>
      <c r="BO73" s="184"/>
      <c r="BP73" s="185"/>
      <c r="BQ73" s="32"/>
      <c r="BR73" s="32"/>
    </row>
    <row r="74" spans="1:70">
      <c r="A74" s="177" t="s">
        <v>1339</v>
      </c>
      <c r="B74" s="177" t="s">
        <v>299</v>
      </c>
      <c r="C74" s="178" t="s">
        <v>299</v>
      </c>
      <c r="D74" s="179" t="s">
        <v>214</v>
      </c>
      <c r="E74" s="179" t="s">
        <v>149</v>
      </c>
      <c r="F74" s="177"/>
      <c r="G74" s="177" t="s">
        <v>1340</v>
      </c>
      <c r="H74" s="178" t="s">
        <v>6</v>
      </c>
      <c r="I74" s="178" t="s">
        <v>301</v>
      </c>
      <c r="J74" s="131">
        <f>IFERROR(INDEX(#REF!,(MATCH('Old Calc Tab'!C:C,#REF!,0))),0)</f>
        <v>0</v>
      </c>
      <c r="K74" s="131">
        <f>IFERROR(INDEX(#REF!,(MATCH('Old Calc Tab'!$C:$C,#REF!,0))),0)</f>
        <v>0</v>
      </c>
      <c r="L74" s="131"/>
      <c r="M74" s="131">
        <v>25623.05</v>
      </c>
      <c r="N74" s="131">
        <f>IFERROR(INDEX(#REF!,(MATCH('Old Calc Tab'!$C:$C,#REF!,0))),0)</f>
        <v>0</v>
      </c>
      <c r="O74" s="131">
        <f t="shared" si="13"/>
        <v>0</v>
      </c>
      <c r="P74" s="131">
        <f t="shared" si="14"/>
        <v>25623.05</v>
      </c>
      <c r="Q74" s="131"/>
      <c r="R74" s="131"/>
      <c r="S74" s="131"/>
      <c r="T74" s="131"/>
      <c r="U74" s="131"/>
      <c r="V74" s="131">
        <v>0</v>
      </c>
      <c r="W74" s="180">
        <v>0</v>
      </c>
      <c r="X74" s="180">
        <f t="shared" si="15"/>
        <v>25623.05</v>
      </c>
      <c r="Y74" s="181">
        <f>IF(D74="Physician Group Practice",(X74/$AE$369)*'1. UC Assumptions'!$C$15,IF(OR(E74="Rural Hospital",E74="Hosp - State"),X74,(X74/$X$369)*'1. UC Assumptions'!$C$9))</f>
        <v>25623.05</v>
      </c>
      <c r="Z74" s="181">
        <f t="shared" si="16"/>
        <v>0</v>
      </c>
      <c r="AA74" s="181">
        <f t="shared" si="17"/>
        <v>0</v>
      </c>
      <c r="AB74" s="182">
        <f t="shared" si="18"/>
        <v>0</v>
      </c>
      <c r="AC74" s="181">
        <f t="shared" si="19"/>
        <v>0</v>
      </c>
      <c r="AD74" s="181">
        <f t="shared" si="20"/>
        <v>25623.05</v>
      </c>
      <c r="AE74" s="131">
        <v>346119.83</v>
      </c>
      <c r="AF74" s="131">
        <f>AE74*'1. UC Assumptions'!$C$23</f>
        <v>114219.54389999999</v>
      </c>
      <c r="AG74" s="183">
        <f>IF((((X74-W74-AE74)*'1. UC Assumptions'!$C$23)+AF74)&gt;0,((X74-W74-AE74)*'1. UC Assumptions'!$C$23)+AF74,0)</f>
        <v>8455.6064999999944</v>
      </c>
      <c r="AH74" s="183">
        <f>IF(((X74-W74-AE74)*'1. UC Assumptions'!$C$23)&gt;0,(X74-W74-AE74)*'1. UC Assumptions'!$C$23,0)</f>
        <v>0</v>
      </c>
      <c r="AI74" s="183">
        <f t="shared" si="21"/>
        <v>114219.54389999999</v>
      </c>
      <c r="AJ74" s="183">
        <f>IF(H74="Bexar",(AD74/$AJ$1)*'1. UC Assumptions'!$E$42,0)</f>
        <v>0</v>
      </c>
      <c r="AK74" s="183">
        <f>IF(H74="Dallas",(AD74/$AK$1)*'1. UC Assumptions'!$F$42,0)</f>
        <v>0</v>
      </c>
      <c r="AL74" s="183">
        <f>IF(H74="El Paso",(AD74/$AL$1)*'1. UC Assumptions'!$G$42,0)</f>
        <v>0</v>
      </c>
      <c r="AM74" s="183">
        <f>IF(H74="Harris",(AD74/$AM$1)*'1. UC Assumptions'!$H$42,0)</f>
        <v>0</v>
      </c>
      <c r="AN74" s="183">
        <f>IF(H74="Hidalgo",(AD74/$AN$1)*'1. UC Assumptions'!$I$42,0)</f>
        <v>0</v>
      </c>
      <c r="AO74" s="183">
        <f>IF(H74="Jefferson",(AD74/$AO$1)*'1. UC Assumptions'!$J$42,0)</f>
        <v>0</v>
      </c>
      <c r="AP74" s="183">
        <f>IF(H74="Lubbock",(AD74/$AP$1)*'1. UC Assumptions'!$K$42,0)</f>
        <v>0</v>
      </c>
      <c r="AQ74" s="183">
        <f>IF(H74="MRSA Central",(AD74/$AQ$1)*'1. UC Assumptions'!$L$42,0)</f>
        <v>0</v>
      </c>
      <c r="AR74" s="183">
        <f>IF(H74="MRSA Northeast",(AD74/$AR$1)*'1. UC Assumptions'!$M$42,0)</f>
        <v>0</v>
      </c>
      <c r="AS74" s="183">
        <f>IF(H74="MRSA West",(AD74/$AS$1)*'1. UC Assumptions'!$N$42,0)</f>
        <v>0</v>
      </c>
      <c r="AT74" s="183">
        <f>IF(H74="Nueces",(AD74/$AT$1)*'1. UC Assumptions'!$O$42,0)</f>
        <v>0</v>
      </c>
      <c r="AU74" s="183">
        <f>IF(H74="Tarrant",(AD74/$AU$1)*'1. UC Assumptions'!$P$42,0)</f>
        <v>0</v>
      </c>
      <c r="AV74" s="183">
        <f>IF(H74="Travis",(AD74/$AV$1)*'1. UC Assumptions'!$Q$42,0)</f>
        <v>0</v>
      </c>
      <c r="AW74" s="183">
        <f>IF(H74="Bexar",(AC74/$AW$1)*'1. UC Assumptions'!$E$44,0)</f>
        <v>0</v>
      </c>
      <c r="AX74" s="183">
        <f>IF(H74="Dallas",(AC74/$AX$1)*'1. UC Assumptions'!$F$44,0)</f>
        <v>0</v>
      </c>
      <c r="AY74" s="183">
        <f>IF(H74="El Paso",(AC74/$AY$1)*'1. UC Assumptions'!$G$44,0)</f>
        <v>0</v>
      </c>
      <c r="AZ74" s="183">
        <f>IF(H74="Harris",(AC74/$AZ$1)*'1. UC Assumptions'!$H$44,0)</f>
        <v>0</v>
      </c>
      <c r="BA74" s="183">
        <f>IF(H74="Hidalgo",(AC74/$BA$1)*'1. UC Assumptions'!$I$44,0)</f>
        <v>0</v>
      </c>
      <c r="BB74" s="183">
        <f>IF(H74="Jefferson",(AC74/$BB$1)*'1. UC Assumptions'!$J$44,0)</f>
        <v>0</v>
      </c>
      <c r="BC74" s="183">
        <f>IF(H74="Lubbock",(AC74/$BC$1)*'1. UC Assumptions'!$K$44,0)</f>
        <v>0</v>
      </c>
      <c r="BD74" s="183">
        <f>IF(H74="MRSA Central",(AC74/$BD$1)*'1. UC Assumptions'!$L$44,0)</f>
        <v>0</v>
      </c>
      <c r="BE74" s="183">
        <f>IF(H74="MRSA Northeast",(AC74/$BE$1)*'1. UC Assumptions'!$M$44,0)</f>
        <v>0</v>
      </c>
      <c r="BF74" s="183">
        <f>IF(H74="MRSA West",(AC74/$BF$1)*'1. UC Assumptions'!$N$44,0)</f>
        <v>0</v>
      </c>
      <c r="BG74" s="183">
        <f>IF(H74="Nueces",(AC74/$BG$1)*'1. UC Assumptions'!$O$44,0)</f>
        <v>0</v>
      </c>
      <c r="BH74" s="183">
        <f>IF(H74="Tarrant",(AC74/$BH$1)*'1. UC Assumptions'!$P$44,0)</f>
        <v>0</v>
      </c>
      <c r="BI74" s="183">
        <f>IF(H74="Travis",(AC74/$BI$1)*'1. UC Assumptions'!$Q$44,0)</f>
        <v>0</v>
      </c>
      <c r="BJ74" s="183">
        <f t="shared" si="22"/>
        <v>0</v>
      </c>
      <c r="BK74" s="183">
        <f t="shared" si="23"/>
        <v>0</v>
      </c>
      <c r="BL74" s="183">
        <f t="shared" si="24"/>
        <v>25623.05</v>
      </c>
      <c r="BM74" s="184">
        <f t="shared" si="25"/>
        <v>-320496.78000000003</v>
      </c>
      <c r="BN74" s="184">
        <f>ROUNDDOWN(BM74*'1. UC Assumptions'!$C$23,2)</f>
        <v>-105763.93</v>
      </c>
      <c r="BO74" s="184"/>
      <c r="BP74" s="185"/>
      <c r="BQ74" s="32"/>
      <c r="BR74" s="32"/>
    </row>
    <row r="75" spans="1:70">
      <c r="A75" s="177" t="s">
        <v>1341</v>
      </c>
      <c r="B75" s="178" t="s">
        <v>372</v>
      </c>
      <c r="C75" s="178" t="s">
        <v>372</v>
      </c>
      <c r="D75" s="179" t="s">
        <v>214</v>
      </c>
      <c r="E75" s="179"/>
      <c r="F75" s="177"/>
      <c r="G75" s="177" t="s">
        <v>1342</v>
      </c>
      <c r="H75" s="178" t="s">
        <v>6</v>
      </c>
      <c r="I75" s="178" t="s">
        <v>6</v>
      </c>
      <c r="J75" s="131">
        <f>IFERROR(INDEX(#REF!,(MATCH('Old Calc Tab'!C:C,#REF!,0))),0)</f>
        <v>0</v>
      </c>
      <c r="K75" s="131">
        <f>IFERROR(INDEX(#REF!,(MATCH('Old Calc Tab'!$C:$C,#REF!,0))),0)</f>
        <v>0</v>
      </c>
      <c r="L75" s="131"/>
      <c r="M75" s="131">
        <v>28174279.80913398</v>
      </c>
      <c r="N75" s="131">
        <f>IFERROR(INDEX(#REF!,(MATCH('Old Calc Tab'!$C:$C,#REF!,0))),0)</f>
        <v>0</v>
      </c>
      <c r="O75" s="131">
        <f t="shared" si="13"/>
        <v>0</v>
      </c>
      <c r="P75" s="131">
        <f t="shared" si="14"/>
        <v>28174279.80913398</v>
      </c>
      <c r="Q75" s="131"/>
      <c r="R75" s="131"/>
      <c r="S75" s="131"/>
      <c r="T75" s="131"/>
      <c r="U75" s="131"/>
      <c r="V75" s="131">
        <v>0</v>
      </c>
      <c r="W75" s="180">
        <v>0</v>
      </c>
      <c r="X75" s="180">
        <f t="shared" si="15"/>
        <v>28174279.80913398</v>
      </c>
      <c r="Y75" s="181">
        <f>IF(D75="Physician Group Practice",(X75/$AE$369)*'1. UC Assumptions'!$C$15,IF(OR(E75="Rural Hospital",E75="Hosp - State"),X75,(X75/$X$369)*'1. UC Assumptions'!$C$9))</f>
        <v>16957057.326527949</v>
      </c>
      <c r="Z75" s="181">
        <f t="shared" si="16"/>
        <v>0</v>
      </c>
      <c r="AA75" s="181">
        <f t="shared" si="17"/>
        <v>11217222.482606031</v>
      </c>
      <c r="AB75" s="182">
        <f t="shared" si="18"/>
        <v>6023.9978243205433</v>
      </c>
      <c r="AC75" s="181">
        <f t="shared" si="19"/>
        <v>11223246.480430352</v>
      </c>
      <c r="AD75" s="181">
        <f t="shared" si="20"/>
        <v>16963081.324352268</v>
      </c>
      <c r="AE75" s="131">
        <v>6401434.6399999997</v>
      </c>
      <c r="AF75" s="131">
        <f>AE75*'1. UC Assumptions'!$C$23</f>
        <v>2112473.4311999995</v>
      </c>
      <c r="AG75" s="183">
        <f>IF((((X75-W75-AE75)*'1. UC Assumptions'!$C$23)+AF75)&gt;0,((X75-W75-AE75)*'1. UC Assumptions'!$C$23)+AF75,0)</f>
        <v>9297512.3370142132</v>
      </c>
      <c r="AH75" s="183">
        <f>IF(((X75-W75-AE75)*'1. UC Assumptions'!$C$23)&gt;0,(X75-W75-AE75)*'1. UC Assumptions'!$C$23,0)</f>
        <v>7185038.9058142127</v>
      </c>
      <c r="AI75" s="183">
        <f t="shared" si="21"/>
        <v>9297512.3370142132</v>
      </c>
      <c r="AJ75" s="183">
        <f>IF(H75="Bexar",(AD75/$AJ$1)*'1. UC Assumptions'!$E$42,0)</f>
        <v>0</v>
      </c>
      <c r="AK75" s="183">
        <f>IF(H75="Dallas",(AD75/$AK$1)*'1. UC Assumptions'!$F$42,0)</f>
        <v>0</v>
      </c>
      <c r="AL75" s="183">
        <f>IF(H75="El Paso",(AD75/$AL$1)*'1. UC Assumptions'!$G$42,0)</f>
        <v>0</v>
      </c>
      <c r="AM75" s="183">
        <f>IF(H75="Harris",(AD75/$AM$1)*'1. UC Assumptions'!$H$42,0)</f>
        <v>0</v>
      </c>
      <c r="AN75" s="183">
        <f>IF(H75="Hidalgo",(AD75/$AN$1)*'1. UC Assumptions'!$I$42,0)</f>
        <v>0</v>
      </c>
      <c r="AO75" s="183">
        <f>IF(H75="Jefferson",(AD75/$AO$1)*'1. UC Assumptions'!$J$42,0)</f>
        <v>0</v>
      </c>
      <c r="AP75" s="183">
        <f>IF(H75="Lubbock",(AD75/$AP$1)*'1. UC Assumptions'!$K$42,0)</f>
        <v>0</v>
      </c>
      <c r="AQ75" s="183">
        <f>IF(H75="MRSA Central",(AD75/$AQ$1)*'1. UC Assumptions'!$L$42,0)</f>
        <v>0</v>
      </c>
      <c r="AR75" s="183">
        <f>IF(H75="MRSA Northeast",(AD75/$AR$1)*'1. UC Assumptions'!$M$42,0)</f>
        <v>0</v>
      </c>
      <c r="AS75" s="183">
        <f>IF(H75="MRSA West",(AD75/$AS$1)*'1. UC Assumptions'!$N$42,0)</f>
        <v>0</v>
      </c>
      <c r="AT75" s="183">
        <f>IF(H75="Nueces",(AD75/$AT$1)*'1. UC Assumptions'!$O$42,0)</f>
        <v>0</v>
      </c>
      <c r="AU75" s="183">
        <f>IF(H75="Tarrant",(AD75/$AU$1)*'1. UC Assumptions'!$P$42,0)</f>
        <v>0</v>
      </c>
      <c r="AV75" s="183">
        <f>IF(H75="Travis",(AD75/$AV$1)*'1. UC Assumptions'!$Q$42,0)</f>
        <v>0</v>
      </c>
      <c r="AW75" s="183">
        <f>IF(H75="Bexar",(AC75/$AW$1)*'1. UC Assumptions'!$E$44,0)</f>
        <v>0</v>
      </c>
      <c r="AX75" s="183">
        <f>IF(H75="Dallas",(AC75/$AX$1)*'1. UC Assumptions'!$F$44,0)</f>
        <v>0</v>
      </c>
      <c r="AY75" s="183">
        <f>IF(H75="El Paso",(AC75/$AY$1)*'1. UC Assumptions'!$G$44,0)</f>
        <v>0</v>
      </c>
      <c r="AZ75" s="183">
        <f>IF(H75="Harris",(AC75/$AZ$1)*'1. UC Assumptions'!$H$44,0)</f>
        <v>0</v>
      </c>
      <c r="BA75" s="183">
        <f>IF(H75="Hidalgo",(AC75/$BA$1)*'1. UC Assumptions'!$I$44,0)</f>
        <v>0</v>
      </c>
      <c r="BB75" s="183">
        <f>IF(H75="Jefferson",(AC75/$BB$1)*'1. UC Assumptions'!$J$44,0)</f>
        <v>0</v>
      </c>
      <c r="BC75" s="183">
        <f>IF(H75="Lubbock",(AC75/$BC$1)*'1. UC Assumptions'!$K$44,0)</f>
        <v>0</v>
      </c>
      <c r="BD75" s="183">
        <f>IF(H75="MRSA Central",(AC75/$BD$1)*'1. UC Assumptions'!$L$44,0)</f>
        <v>0</v>
      </c>
      <c r="BE75" s="183">
        <f>IF(H75="MRSA Northeast",(AC75/$BE$1)*'1. UC Assumptions'!$M$44,0)</f>
        <v>0</v>
      </c>
      <c r="BF75" s="183">
        <f>IF(H75="MRSA West",(AC75/$BF$1)*'1. UC Assumptions'!$N$44,0)</f>
        <v>0</v>
      </c>
      <c r="BG75" s="183">
        <f>IF(H75="Nueces",(AC75/$BG$1)*'1. UC Assumptions'!$O$44,0)</f>
        <v>0</v>
      </c>
      <c r="BH75" s="183">
        <f>IF(H75="Tarrant",(AC75/$BH$1)*'1. UC Assumptions'!$P$44,0)</f>
        <v>0</v>
      </c>
      <c r="BI75" s="183">
        <f>IF(H75="Travis",(AC75/$BI$1)*'1. UC Assumptions'!$Q$44,0)</f>
        <v>0</v>
      </c>
      <c r="BJ75" s="183">
        <f t="shared" si="22"/>
        <v>0</v>
      </c>
      <c r="BK75" s="183">
        <f t="shared" si="23"/>
        <v>0</v>
      </c>
      <c r="BL75" s="183">
        <f t="shared" si="24"/>
        <v>16963081.324352268</v>
      </c>
      <c r="BM75" s="184">
        <f t="shared" si="25"/>
        <v>10561646.684352268</v>
      </c>
      <c r="BN75" s="184">
        <f>ROUNDDOWN(BM75*'1. UC Assumptions'!$C$23,2)</f>
        <v>3485343.4</v>
      </c>
      <c r="BO75" s="184"/>
      <c r="BP75" s="185"/>
      <c r="BQ75" s="32"/>
      <c r="BR75" s="32"/>
    </row>
    <row r="76" spans="1:70">
      <c r="A76" s="177" t="s">
        <v>1343</v>
      </c>
      <c r="B76" s="178" t="s">
        <v>382</v>
      </c>
      <c r="C76" s="178" t="s">
        <v>382</v>
      </c>
      <c r="D76" s="179" t="s">
        <v>214</v>
      </c>
      <c r="E76" s="179"/>
      <c r="F76" s="177"/>
      <c r="G76" s="177" t="s">
        <v>383</v>
      </c>
      <c r="H76" s="178" t="s">
        <v>6</v>
      </c>
      <c r="I76" s="178" t="s">
        <v>384</v>
      </c>
      <c r="J76" s="131">
        <f>IFERROR(INDEX(#REF!,(MATCH('Old Calc Tab'!C:C,#REF!,0))),0)</f>
        <v>0</v>
      </c>
      <c r="K76" s="131">
        <f>IFERROR(INDEX(#REF!,(MATCH('Old Calc Tab'!$C:$C,#REF!,0))),0)</f>
        <v>0</v>
      </c>
      <c r="L76" s="131"/>
      <c r="M76" s="131">
        <v>11308113.851399999</v>
      </c>
      <c r="N76" s="131">
        <f>IFERROR(INDEX(#REF!,(MATCH('Old Calc Tab'!$C:$C,#REF!,0))),0)</f>
        <v>0</v>
      </c>
      <c r="O76" s="131">
        <f t="shared" si="13"/>
        <v>0</v>
      </c>
      <c r="P76" s="131">
        <f t="shared" si="14"/>
        <v>11308113.851399999</v>
      </c>
      <c r="Q76" s="131"/>
      <c r="R76" s="131"/>
      <c r="S76" s="131"/>
      <c r="T76" s="131"/>
      <c r="U76" s="131"/>
      <c r="V76" s="131">
        <v>0</v>
      </c>
      <c r="W76" s="180">
        <v>0</v>
      </c>
      <c r="X76" s="180">
        <f t="shared" si="15"/>
        <v>11308113.851399999</v>
      </c>
      <c r="Y76" s="181">
        <f>IF(D76="Physician Group Practice",(X76/$AE$369)*'1. UC Assumptions'!$C$15,IF(OR(E76="Rural Hospital",E76="Hosp - State"),X76,(X76/$X$369)*'1. UC Assumptions'!$C$9))</f>
        <v>6805935.6310832556</v>
      </c>
      <c r="Z76" s="181">
        <f t="shared" si="16"/>
        <v>0</v>
      </c>
      <c r="AA76" s="181">
        <f t="shared" si="17"/>
        <v>4502178.2203167435</v>
      </c>
      <c r="AB76" s="182">
        <f t="shared" si="18"/>
        <v>2417.8099209449319</v>
      </c>
      <c r="AC76" s="181">
        <f t="shared" si="19"/>
        <v>4504596.0302376887</v>
      </c>
      <c r="AD76" s="181">
        <f t="shared" si="20"/>
        <v>6808353.4410042008</v>
      </c>
      <c r="AE76" s="131">
        <v>6095983.75</v>
      </c>
      <c r="AF76" s="131">
        <f>AE76*'1. UC Assumptions'!$C$23</f>
        <v>2011674.6374999997</v>
      </c>
      <c r="AG76" s="183">
        <f>IF((((X76-W76-AE76)*'1. UC Assumptions'!$C$23)+AF76)&gt;0,((X76-W76-AE76)*'1. UC Assumptions'!$C$23)+AF76,0)</f>
        <v>3731677.5709619992</v>
      </c>
      <c r="AH76" s="183">
        <f>IF(((X76-W76-AE76)*'1. UC Assumptions'!$C$23)&gt;0,(X76-W76-AE76)*'1. UC Assumptions'!$C$23,0)</f>
        <v>1720002.9334619995</v>
      </c>
      <c r="AI76" s="183">
        <f t="shared" si="21"/>
        <v>3731677.5709619992</v>
      </c>
      <c r="AJ76" s="183">
        <f>IF(H76="Bexar",(AD76/$AJ$1)*'1. UC Assumptions'!$E$42,0)</f>
        <v>0</v>
      </c>
      <c r="AK76" s="183">
        <f>IF(H76="Dallas",(AD76/$AK$1)*'1. UC Assumptions'!$F$42,0)</f>
        <v>0</v>
      </c>
      <c r="AL76" s="183">
        <f>IF(H76="El Paso",(AD76/$AL$1)*'1. UC Assumptions'!$G$42,0)</f>
        <v>0</v>
      </c>
      <c r="AM76" s="183">
        <f>IF(H76="Harris",(AD76/$AM$1)*'1. UC Assumptions'!$H$42,0)</f>
        <v>0</v>
      </c>
      <c r="AN76" s="183">
        <f>IF(H76="Hidalgo",(AD76/$AN$1)*'1. UC Assumptions'!$I$42,0)</f>
        <v>0</v>
      </c>
      <c r="AO76" s="183">
        <f>IF(H76="Jefferson",(AD76/$AO$1)*'1. UC Assumptions'!$J$42,0)</f>
        <v>0</v>
      </c>
      <c r="AP76" s="183">
        <f>IF(H76="Lubbock",(AD76/$AP$1)*'1. UC Assumptions'!$K$42,0)</f>
        <v>0</v>
      </c>
      <c r="AQ76" s="183">
        <f>IF(H76="MRSA Central",(AD76/$AQ$1)*'1. UC Assumptions'!$L$42,0)</f>
        <v>0</v>
      </c>
      <c r="AR76" s="183">
        <f>IF(H76="MRSA Northeast",(AD76/$AR$1)*'1. UC Assumptions'!$M$42,0)</f>
        <v>0</v>
      </c>
      <c r="AS76" s="183">
        <f>IF(H76="MRSA West",(AD76/$AS$1)*'1. UC Assumptions'!$N$42,0)</f>
        <v>0</v>
      </c>
      <c r="AT76" s="183">
        <f>IF(H76="Nueces",(AD76/$AT$1)*'1. UC Assumptions'!$O$42,0)</f>
        <v>0</v>
      </c>
      <c r="AU76" s="183">
        <f>IF(H76="Tarrant",(AD76/$AU$1)*'1. UC Assumptions'!$P$42,0)</f>
        <v>0</v>
      </c>
      <c r="AV76" s="183">
        <f>IF(H76="Travis",(AD76/$AV$1)*'1. UC Assumptions'!$Q$42,0)</f>
        <v>0</v>
      </c>
      <c r="AW76" s="183">
        <f>IF(H76="Bexar",(AC76/$AW$1)*'1. UC Assumptions'!$E$44,0)</f>
        <v>0</v>
      </c>
      <c r="AX76" s="183">
        <f>IF(H76="Dallas",(AC76/$AX$1)*'1. UC Assumptions'!$F$44,0)</f>
        <v>0</v>
      </c>
      <c r="AY76" s="183">
        <f>IF(H76="El Paso",(AC76/$AY$1)*'1. UC Assumptions'!$G$44,0)</f>
        <v>0</v>
      </c>
      <c r="AZ76" s="183">
        <f>IF(H76="Harris",(AC76/$AZ$1)*'1. UC Assumptions'!$H$44,0)</f>
        <v>0</v>
      </c>
      <c r="BA76" s="183">
        <f>IF(H76="Hidalgo",(AC76/$BA$1)*'1. UC Assumptions'!$I$44,0)</f>
        <v>0</v>
      </c>
      <c r="BB76" s="183">
        <f>IF(H76="Jefferson",(AC76/$BB$1)*'1. UC Assumptions'!$J$44,0)</f>
        <v>0</v>
      </c>
      <c r="BC76" s="183">
        <f>IF(H76="Lubbock",(AC76/$BC$1)*'1. UC Assumptions'!$K$44,0)</f>
        <v>0</v>
      </c>
      <c r="BD76" s="183">
        <f>IF(H76="MRSA Central",(AC76/$BD$1)*'1. UC Assumptions'!$L$44,0)</f>
        <v>0</v>
      </c>
      <c r="BE76" s="183">
        <f>IF(H76="MRSA Northeast",(AC76/$BE$1)*'1. UC Assumptions'!$M$44,0)</f>
        <v>0</v>
      </c>
      <c r="BF76" s="183">
        <f>IF(H76="MRSA West",(AC76/$BF$1)*'1. UC Assumptions'!$N$44,0)</f>
        <v>0</v>
      </c>
      <c r="BG76" s="183">
        <f>IF(H76="Nueces",(AC76/$BG$1)*'1. UC Assumptions'!$O$44,0)</f>
        <v>0</v>
      </c>
      <c r="BH76" s="183">
        <f>IF(H76="Tarrant",(AC76/$BH$1)*'1. UC Assumptions'!$P$44,0)</f>
        <v>0</v>
      </c>
      <c r="BI76" s="183">
        <f>IF(H76="Travis",(AC76/$BI$1)*'1. UC Assumptions'!$Q$44,0)</f>
        <v>0</v>
      </c>
      <c r="BJ76" s="183">
        <f t="shared" si="22"/>
        <v>0</v>
      </c>
      <c r="BK76" s="183">
        <f t="shared" si="23"/>
        <v>0</v>
      </c>
      <c r="BL76" s="183">
        <f t="shared" si="24"/>
        <v>6808353.4410042008</v>
      </c>
      <c r="BM76" s="184">
        <f t="shared" si="25"/>
        <v>712369.69100420084</v>
      </c>
      <c r="BN76" s="184">
        <f>ROUNDDOWN(BM76*'1. UC Assumptions'!$C$23,2)</f>
        <v>235081.99</v>
      </c>
      <c r="BO76" s="184"/>
      <c r="BP76" s="185"/>
      <c r="BQ76" s="32"/>
      <c r="BR76" s="32"/>
    </row>
    <row r="77" spans="1:70">
      <c r="A77" s="177"/>
      <c r="B77" s="177" t="s">
        <v>1108</v>
      </c>
      <c r="C77" s="177" t="s">
        <v>1108</v>
      </c>
      <c r="D77" s="179" t="s">
        <v>36</v>
      </c>
      <c r="E77" s="179" t="s">
        <v>36</v>
      </c>
      <c r="F77" s="177"/>
      <c r="G77" s="177" t="s">
        <v>1344</v>
      </c>
      <c r="H77" s="178" t="s">
        <v>6</v>
      </c>
      <c r="I77" s="178" t="s">
        <v>309</v>
      </c>
      <c r="J77" s="131">
        <f>IFERROR(INDEX(#REF!,(MATCH('Old Calc Tab'!C:C,#REF!,0))),0)</f>
        <v>0</v>
      </c>
      <c r="K77" s="131">
        <f>IFERROR(INDEX(#REF!,(MATCH('Old Calc Tab'!$C:$C,#REF!,0))),0)</f>
        <v>0</v>
      </c>
      <c r="L77" s="131"/>
      <c r="M77" s="131">
        <v>9005985.914620446</v>
      </c>
      <c r="N77" s="131">
        <f>IFERROR(INDEX(#REF!,(MATCH('Old Calc Tab'!$C:$C,#REF!,0))),0)</f>
        <v>0</v>
      </c>
      <c r="O77" s="131">
        <f t="shared" si="13"/>
        <v>0</v>
      </c>
      <c r="P77" s="131">
        <f t="shared" si="14"/>
        <v>9005985.914620446</v>
      </c>
      <c r="Q77" s="131"/>
      <c r="R77" s="131"/>
      <c r="S77" s="131"/>
      <c r="T77" s="131"/>
      <c r="U77" s="131"/>
      <c r="V77" s="131">
        <v>0</v>
      </c>
      <c r="W77" s="180">
        <v>0</v>
      </c>
      <c r="X77" s="180">
        <f t="shared" si="15"/>
        <v>9005985.914620446</v>
      </c>
      <c r="Y77" s="181">
        <f>IF(D77="Physician Group Practice",(X77/$AE$369)*'1. UC Assumptions'!$C$15,IF(OR(E77="Rural Hospital",E77="Hosp - State"),X77,(X77/$X$369)*'1. UC Assumptions'!$C$9))</f>
        <v>1386895.8774516331</v>
      </c>
      <c r="Z77" s="181">
        <f t="shared" si="16"/>
        <v>0</v>
      </c>
      <c r="AA77" s="181">
        <f t="shared" si="17"/>
        <v>7619090.0371688129</v>
      </c>
      <c r="AB77" s="182">
        <f t="shared" si="18"/>
        <v>4091.6886402474379</v>
      </c>
      <c r="AC77" s="181">
        <f t="shared" si="19"/>
        <v>7623181.72580906</v>
      </c>
      <c r="AD77" s="181">
        <f t="shared" si="20"/>
        <v>1390987.5660918804</v>
      </c>
      <c r="AE77" s="131">
        <v>1375468.19</v>
      </c>
      <c r="AF77" s="131">
        <f>AE77*'1. UC Assumptions'!$C$23</f>
        <v>453904.50269999995</v>
      </c>
      <c r="AG77" s="183">
        <f>IF((((X77-W77-AE77)*'1. UC Assumptions'!$C$23)+AF77)&gt;0,((X77-W77-AE77)*'1. UC Assumptions'!$C$23)+AF77,0)</f>
        <v>2971975.3518247469</v>
      </c>
      <c r="AH77" s="183">
        <f>IF(((X77-W77-AE77)*'1. UC Assumptions'!$C$23)&gt;0,(X77-W77-AE77)*'1. UC Assumptions'!$C$23,0)</f>
        <v>2518070.8491247469</v>
      </c>
      <c r="AI77" s="183">
        <f t="shared" si="21"/>
        <v>2971975.3518247469</v>
      </c>
      <c r="AJ77" s="183">
        <f>IF(H77="Bexar",(AD77/$AJ$1)*'1. UC Assumptions'!$E$42,0)</f>
        <v>0</v>
      </c>
      <c r="AK77" s="183">
        <f>IF(H77="Dallas",(AD77/$AK$1)*'1. UC Assumptions'!$F$42,0)</f>
        <v>0</v>
      </c>
      <c r="AL77" s="183">
        <f>IF(H77="El Paso",(AD77/$AL$1)*'1. UC Assumptions'!$G$42,0)</f>
        <v>0</v>
      </c>
      <c r="AM77" s="183">
        <f>IF(H77="Harris",(AD77/$AM$1)*'1. UC Assumptions'!$H$42,0)</f>
        <v>0</v>
      </c>
      <c r="AN77" s="183">
        <f>IF(H77="Hidalgo",(AD77/$AN$1)*'1. UC Assumptions'!$I$42,0)</f>
        <v>0</v>
      </c>
      <c r="AO77" s="183">
        <f>IF(H77="Jefferson",(AD77/$AO$1)*'1. UC Assumptions'!$J$42,0)</f>
        <v>0</v>
      </c>
      <c r="AP77" s="183">
        <f>IF(H77="Lubbock",(AD77/$AP$1)*'1. UC Assumptions'!$K$42,0)</f>
        <v>0</v>
      </c>
      <c r="AQ77" s="183">
        <f>IF(H77="MRSA Central",(AD77/$AQ$1)*'1. UC Assumptions'!$L$42,0)</f>
        <v>0</v>
      </c>
      <c r="AR77" s="183">
        <f>IF(H77="MRSA Northeast",(AD77/$AR$1)*'1. UC Assumptions'!$M$42,0)</f>
        <v>0</v>
      </c>
      <c r="AS77" s="183">
        <f>IF(H77="MRSA West",(AD77/$AS$1)*'1. UC Assumptions'!$N$42,0)</f>
        <v>0</v>
      </c>
      <c r="AT77" s="183">
        <f>IF(H77="Nueces",(AD77/$AT$1)*'1. UC Assumptions'!$O$42,0)</f>
        <v>0</v>
      </c>
      <c r="AU77" s="183">
        <f>IF(H77="Tarrant",(AD77/$AU$1)*'1. UC Assumptions'!$P$42,0)</f>
        <v>0</v>
      </c>
      <c r="AV77" s="183">
        <f>IF(H77="Travis",(AD77/$AV$1)*'1. UC Assumptions'!$Q$42,0)</f>
        <v>0</v>
      </c>
      <c r="AW77" s="183">
        <f>IF(H77="Bexar",(AC77/$AW$1)*'1. UC Assumptions'!$E$44,0)</f>
        <v>0</v>
      </c>
      <c r="AX77" s="183">
        <f>IF(H77="Dallas",(AC77/$AX$1)*'1. UC Assumptions'!$F$44,0)</f>
        <v>0</v>
      </c>
      <c r="AY77" s="183">
        <f>IF(H77="El Paso",(AC77/$AY$1)*'1. UC Assumptions'!$G$44,0)</f>
        <v>0</v>
      </c>
      <c r="AZ77" s="183">
        <f>IF(H77="Harris",(AC77/$AZ$1)*'1. UC Assumptions'!$H$44,0)</f>
        <v>0</v>
      </c>
      <c r="BA77" s="183">
        <f>IF(H77="Hidalgo",(AC77/$BA$1)*'1. UC Assumptions'!$I$44,0)</f>
        <v>0</v>
      </c>
      <c r="BB77" s="183">
        <f>IF(H77="Jefferson",(AC77/$BB$1)*'1. UC Assumptions'!$J$44,0)</f>
        <v>0</v>
      </c>
      <c r="BC77" s="183">
        <f>IF(H77="Lubbock",(AC77/$BC$1)*'1. UC Assumptions'!$K$44,0)</f>
        <v>0</v>
      </c>
      <c r="BD77" s="183">
        <f>IF(H77="MRSA Central",(AC77/$BD$1)*'1. UC Assumptions'!$L$44,0)</f>
        <v>0</v>
      </c>
      <c r="BE77" s="183">
        <f>IF(H77="MRSA Northeast",(AC77/$BE$1)*'1. UC Assumptions'!$M$44,0)</f>
        <v>0</v>
      </c>
      <c r="BF77" s="183">
        <f>IF(H77="MRSA West",(AC77/$BF$1)*'1. UC Assumptions'!$N$44,0)</f>
        <v>0</v>
      </c>
      <c r="BG77" s="183">
        <f>IF(H77="Nueces",(AC77/$BG$1)*'1. UC Assumptions'!$O$44,0)</f>
        <v>0</v>
      </c>
      <c r="BH77" s="183">
        <f>IF(H77="Tarrant",(AC77/$BH$1)*'1. UC Assumptions'!$P$44,0)</f>
        <v>0</v>
      </c>
      <c r="BI77" s="183">
        <f>IF(H77="Travis",(AC77/$BI$1)*'1. UC Assumptions'!$Q$44,0)</f>
        <v>0</v>
      </c>
      <c r="BJ77" s="183">
        <f t="shared" si="22"/>
        <v>0</v>
      </c>
      <c r="BK77" s="183">
        <f t="shared" si="23"/>
        <v>0</v>
      </c>
      <c r="BL77" s="183">
        <f t="shared" si="24"/>
        <v>1390987.5660918804</v>
      </c>
      <c r="BM77" s="184">
        <f t="shared" si="25"/>
        <v>15519.376091880491</v>
      </c>
      <c r="BN77" s="184">
        <f>ROUNDDOWN(BM77*'1. UC Assumptions'!$C$23,2)</f>
        <v>5121.3900000000003</v>
      </c>
      <c r="BO77" s="184"/>
      <c r="BP77" s="185"/>
      <c r="BQ77" s="32"/>
      <c r="BR77" s="32"/>
    </row>
    <row r="78" spans="1:70">
      <c r="A78" s="177"/>
      <c r="B78" s="177" t="s">
        <v>1345</v>
      </c>
      <c r="C78" s="177" t="s">
        <v>1345</v>
      </c>
      <c r="D78" s="179" t="s">
        <v>36</v>
      </c>
      <c r="E78" s="179" t="s">
        <v>36</v>
      </c>
      <c r="F78" s="177"/>
      <c r="G78" s="177" t="s">
        <v>1110</v>
      </c>
      <c r="H78" s="178" t="s">
        <v>6</v>
      </c>
      <c r="I78" s="178" t="s">
        <v>6</v>
      </c>
      <c r="J78" s="131">
        <f>IFERROR(INDEX(#REF!,(MATCH('Old Calc Tab'!C:C,#REF!,0))),0)</f>
        <v>0</v>
      </c>
      <c r="K78" s="131">
        <f>IFERROR(INDEX(#REF!,(MATCH('Old Calc Tab'!$C:$C,#REF!,0))),0)</f>
        <v>0</v>
      </c>
      <c r="L78" s="131"/>
      <c r="M78" s="131">
        <v>51730735.078675635</v>
      </c>
      <c r="N78" s="131">
        <f>IFERROR(INDEX(#REF!,(MATCH('Old Calc Tab'!$C:$C,#REF!,0))),0)</f>
        <v>0</v>
      </c>
      <c r="O78" s="131">
        <f t="shared" si="13"/>
        <v>0</v>
      </c>
      <c r="P78" s="131">
        <f t="shared" si="14"/>
        <v>51730735.078675635</v>
      </c>
      <c r="Q78" s="131"/>
      <c r="R78" s="131"/>
      <c r="S78" s="131"/>
      <c r="T78" s="131"/>
      <c r="U78" s="131"/>
      <c r="V78" s="131">
        <v>0</v>
      </c>
      <c r="W78" s="180">
        <v>0</v>
      </c>
      <c r="X78" s="180">
        <f t="shared" si="15"/>
        <v>51730735.078675635</v>
      </c>
      <c r="Y78" s="181">
        <f>IF(D78="Physician Group Practice",(X78/$AE$369)*'1. UC Assumptions'!$C$15,IF(OR(E78="Rural Hospital",E78="Hosp - State"),X78,(X78/$X$369)*'1. UC Assumptions'!$C$9))</f>
        <v>7966384.1247725831</v>
      </c>
      <c r="Z78" s="181">
        <f t="shared" si="16"/>
        <v>0</v>
      </c>
      <c r="AA78" s="181">
        <f t="shared" si="17"/>
        <v>43764350.953903049</v>
      </c>
      <c r="AB78" s="182">
        <f t="shared" si="18"/>
        <v>23502.819466933102</v>
      </c>
      <c r="AC78" s="181">
        <f t="shared" si="19"/>
        <v>43787853.773369983</v>
      </c>
      <c r="AD78" s="181">
        <f t="shared" si="20"/>
        <v>7989886.9442395158</v>
      </c>
      <c r="AE78" s="131">
        <v>12582358.029999999</v>
      </c>
      <c r="AF78" s="131">
        <f>AE78*'1. UC Assumptions'!$C$23</f>
        <v>4152178.1498999991</v>
      </c>
      <c r="AG78" s="183">
        <f>IF((((X78-W78-AE78)*'1. UC Assumptions'!$C$23)+AF78)&gt;0,((X78-W78-AE78)*'1. UC Assumptions'!$C$23)+AF78,0)</f>
        <v>17071142.575962957</v>
      </c>
      <c r="AH78" s="183">
        <f>IF(((X78-W78-AE78)*'1. UC Assumptions'!$C$23)&gt;0,(X78-W78-AE78)*'1. UC Assumptions'!$C$23,0)</f>
        <v>12918964.426062958</v>
      </c>
      <c r="AI78" s="183">
        <f t="shared" si="21"/>
        <v>17071142.575962957</v>
      </c>
      <c r="AJ78" s="183">
        <f>IF(H78="Bexar",(AD78/$AJ$1)*'1. UC Assumptions'!$E$42,0)</f>
        <v>0</v>
      </c>
      <c r="AK78" s="183">
        <f>IF(H78="Dallas",(AD78/$AK$1)*'1. UC Assumptions'!$F$42,0)</f>
        <v>0</v>
      </c>
      <c r="AL78" s="183">
        <f>IF(H78="El Paso",(AD78/$AL$1)*'1. UC Assumptions'!$G$42,0)</f>
        <v>0</v>
      </c>
      <c r="AM78" s="183">
        <f>IF(H78="Harris",(AD78/$AM$1)*'1. UC Assumptions'!$H$42,0)</f>
        <v>0</v>
      </c>
      <c r="AN78" s="183">
        <f>IF(H78="Hidalgo",(AD78/$AN$1)*'1. UC Assumptions'!$I$42,0)</f>
        <v>0</v>
      </c>
      <c r="AO78" s="183">
        <f>IF(H78="Jefferson",(AD78/$AO$1)*'1. UC Assumptions'!$J$42,0)</f>
        <v>0</v>
      </c>
      <c r="AP78" s="183">
        <f>IF(H78="Lubbock",(AD78/$AP$1)*'1. UC Assumptions'!$K$42,0)</f>
        <v>0</v>
      </c>
      <c r="AQ78" s="183">
        <f>IF(H78="MRSA Central",(AD78/$AQ$1)*'1. UC Assumptions'!$L$42,0)</f>
        <v>0</v>
      </c>
      <c r="AR78" s="183">
        <f>IF(H78="MRSA Northeast",(AD78/$AR$1)*'1. UC Assumptions'!$M$42,0)</f>
        <v>0</v>
      </c>
      <c r="AS78" s="183">
        <f>IF(H78="MRSA West",(AD78/$AS$1)*'1. UC Assumptions'!$N$42,0)</f>
        <v>0</v>
      </c>
      <c r="AT78" s="183">
        <f>IF(H78="Nueces",(AD78/$AT$1)*'1. UC Assumptions'!$O$42,0)</f>
        <v>0</v>
      </c>
      <c r="AU78" s="183">
        <f>IF(H78="Tarrant",(AD78/$AU$1)*'1. UC Assumptions'!$P$42,0)</f>
        <v>0</v>
      </c>
      <c r="AV78" s="183">
        <f>IF(H78="Travis",(AD78/$AV$1)*'1. UC Assumptions'!$Q$42,0)</f>
        <v>0</v>
      </c>
      <c r="AW78" s="183">
        <f>IF(H78="Bexar",(AC78/$AW$1)*'1. UC Assumptions'!$E$44,0)</f>
        <v>0</v>
      </c>
      <c r="AX78" s="183">
        <f>IF(H78="Dallas",(AC78/$AX$1)*'1. UC Assumptions'!$F$44,0)</f>
        <v>0</v>
      </c>
      <c r="AY78" s="183">
        <f>IF(H78="El Paso",(AC78/$AY$1)*'1. UC Assumptions'!$G$44,0)</f>
        <v>0</v>
      </c>
      <c r="AZ78" s="183">
        <f>IF(H78="Harris",(AC78/$AZ$1)*'1. UC Assumptions'!$H$44,0)</f>
        <v>0</v>
      </c>
      <c r="BA78" s="183">
        <f>IF(H78="Hidalgo",(AC78/$BA$1)*'1. UC Assumptions'!$I$44,0)</f>
        <v>0</v>
      </c>
      <c r="BB78" s="183">
        <f>IF(H78="Jefferson",(AC78/$BB$1)*'1. UC Assumptions'!$J$44,0)</f>
        <v>0</v>
      </c>
      <c r="BC78" s="183">
        <f>IF(H78="Lubbock",(AC78/$BC$1)*'1. UC Assumptions'!$K$44,0)</f>
        <v>0</v>
      </c>
      <c r="BD78" s="183">
        <f>IF(H78="MRSA Central",(AC78/$BD$1)*'1. UC Assumptions'!$L$44,0)</f>
        <v>0</v>
      </c>
      <c r="BE78" s="183">
        <f>IF(H78="MRSA Northeast",(AC78/$BE$1)*'1. UC Assumptions'!$M$44,0)</f>
        <v>0</v>
      </c>
      <c r="BF78" s="183">
        <f>IF(H78="MRSA West",(AC78/$BF$1)*'1. UC Assumptions'!$N$44,0)</f>
        <v>0</v>
      </c>
      <c r="BG78" s="183">
        <f>IF(H78="Nueces",(AC78/$BG$1)*'1. UC Assumptions'!$O$44,0)</f>
        <v>0</v>
      </c>
      <c r="BH78" s="183">
        <f>IF(H78="Tarrant",(AC78/$BH$1)*'1. UC Assumptions'!$P$44,0)</f>
        <v>0</v>
      </c>
      <c r="BI78" s="183">
        <f>IF(H78="Travis",(AC78/$BI$1)*'1. UC Assumptions'!$Q$44,0)</f>
        <v>0</v>
      </c>
      <c r="BJ78" s="183">
        <f t="shared" si="22"/>
        <v>0</v>
      </c>
      <c r="BK78" s="183">
        <f t="shared" si="23"/>
        <v>0</v>
      </c>
      <c r="BL78" s="183">
        <f t="shared" si="24"/>
        <v>7989886.9442395158</v>
      </c>
      <c r="BM78" s="184">
        <f t="shared" si="25"/>
        <v>-4592471.0857604835</v>
      </c>
      <c r="BN78" s="184">
        <f>ROUNDDOWN(BM78*'1. UC Assumptions'!$C$23,2)</f>
        <v>-1515515.45</v>
      </c>
      <c r="BO78" s="184"/>
      <c r="BP78" s="185"/>
      <c r="BQ78" s="32"/>
      <c r="BR78" s="32"/>
    </row>
    <row r="79" spans="1:70">
      <c r="A79" s="177" t="s">
        <v>1346</v>
      </c>
      <c r="B79" s="177" t="s">
        <v>417</v>
      </c>
      <c r="C79" s="178" t="s">
        <v>417</v>
      </c>
      <c r="D79" s="179" t="s">
        <v>214</v>
      </c>
      <c r="E79" s="179"/>
      <c r="F79" s="177"/>
      <c r="G79" s="177" t="s">
        <v>1347</v>
      </c>
      <c r="H79" s="178" t="s">
        <v>6</v>
      </c>
      <c r="I79" s="178" t="s">
        <v>263</v>
      </c>
      <c r="J79" s="131">
        <f>IFERROR(INDEX(#REF!,(MATCH('Old Calc Tab'!C:C,#REF!,0))),0)</f>
        <v>0</v>
      </c>
      <c r="K79" s="131">
        <f>IFERROR(INDEX(#REF!,(MATCH('Old Calc Tab'!$C:$C,#REF!,0))),0)</f>
        <v>0</v>
      </c>
      <c r="L79" s="131"/>
      <c r="M79" s="131">
        <v>3746074.9875999996</v>
      </c>
      <c r="N79" s="131">
        <f>IFERROR(INDEX(#REF!,(MATCH('Old Calc Tab'!$C:$C,#REF!,0))),0)</f>
        <v>0</v>
      </c>
      <c r="O79" s="131">
        <f t="shared" si="13"/>
        <v>0</v>
      </c>
      <c r="P79" s="131">
        <f t="shared" si="14"/>
        <v>3746074.9875999996</v>
      </c>
      <c r="Q79" s="131"/>
      <c r="R79" s="131"/>
      <c r="S79" s="131"/>
      <c r="T79" s="131"/>
      <c r="U79" s="131"/>
      <c r="V79" s="131">
        <v>1924982</v>
      </c>
      <c r="W79" s="180">
        <v>0</v>
      </c>
      <c r="X79" s="180">
        <f t="shared" si="15"/>
        <v>5671056.9875999996</v>
      </c>
      <c r="Y79" s="181">
        <f>IF(D79="Physician Group Practice",(X79/$AE$369)*'1. UC Assumptions'!$C$15,IF(OR(E79="Rural Hospital",E79="Hosp - State"),X79,(X79/$X$369)*'1. UC Assumptions'!$C$9))</f>
        <v>3413199.5242541744</v>
      </c>
      <c r="Z79" s="181">
        <f t="shared" si="16"/>
        <v>0</v>
      </c>
      <c r="AA79" s="181">
        <f t="shared" si="17"/>
        <v>2257857.4633458252</v>
      </c>
      <c r="AB79" s="182">
        <f t="shared" si="18"/>
        <v>1212.5397769289173</v>
      </c>
      <c r="AC79" s="181">
        <f t="shared" si="19"/>
        <v>2259070.0031227539</v>
      </c>
      <c r="AD79" s="181">
        <f t="shared" si="20"/>
        <v>3414412.0640311032</v>
      </c>
      <c r="AE79" s="131">
        <v>2317169.0099999998</v>
      </c>
      <c r="AF79" s="131">
        <f>AE79*'1. UC Assumptions'!$C$23</f>
        <v>764665.77329999988</v>
      </c>
      <c r="AG79" s="183">
        <f>IF((((X79-W79-AE79)*'1. UC Assumptions'!$C$23)+AF79)&gt;0,((X79-W79-AE79)*'1. UC Assumptions'!$C$23)+AF79,0)</f>
        <v>1871448.8059079996</v>
      </c>
      <c r="AH79" s="183">
        <f>IF(((X79-W79-AE79)*'1. UC Assumptions'!$C$23)&gt;0,(X79-W79-AE79)*'1. UC Assumptions'!$C$23,0)</f>
        <v>1106783.0326079999</v>
      </c>
      <c r="AI79" s="183">
        <f t="shared" si="21"/>
        <v>1871448.8059079996</v>
      </c>
      <c r="AJ79" s="183">
        <f>IF(H79="Bexar",(AD79/$AJ$1)*'1. UC Assumptions'!$E$42,0)</f>
        <v>0</v>
      </c>
      <c r="AK79" s="183">
        <f>IF(H79="Dallas",(AD79/$AK$1)*'1. UC Assumptions'!$F$42,0)</f>
        <v>0</v>
      </c>
      <c r="AL79" s="183">
        <f>IF(H79="El Paso",(AD79/$AL$1)*'1. UC Assumptions'!$G$42,0)</f>
        <v>0</v>
      </c>
      <c r="AM79" s="183">
        <f>IF(H79="Harris",(AD79/$AM$1)*'1. UC Assumptions'!$H$42,0)</f>
        <v>0</v>
      </c>
      <c r="AN79" s="183">
        <f>IF(H79="Hidalgo",(AD79/$AN$1)*'1. UC Assumptions'!$I$42,0)</f>
        <v>0</v>
      </c>
      <c r="AO79" s="183">
        <f>IF(H79="Jefferson",(AD79/$AO$1)*'1. UC Assumptions'!$J$42,0)</f>
        <v>0</v>
      </c>
      <c r="AP79" s="183">
        <f>IF(H79="Lubbock",(AD79/$AP$1)*'1. UC Assumptions'!$K$42,0)</f>
        <v>0</v>
      </c>
      <c r="AQ79" s="183">
        <f>IF(H79="MRSA Central",(AD79/$AQ$1)*'1. UC Assumptions'!$L$42,0)</f>
        <v>0</v>
      </c>
      <c r="AR79" s="183">
        <f>IF(H79="MRSA Northeast",(AD79/$AR$1)*'1. UC Assumptions'!$M$42,0)</f>
        <v>0</v>
      </c>
      <c r="AS79" s="183">
        <f>IF(H79="MRSA West",(AD79/$AS$1)*'1. UC Assumptions'!$N$42,0)</f>
        <v>0</v>
      </c>
      <c r="AT79" s="183">
        <f>IF(H79="Nueces",(AD79/$AT$1)*'1. UC Assumptions'!$O$42,0)</f>
        <v>0</v>
      </c>
      <c r="AU79" s="183">
        <f>IF(H79="Tarrant",(AD79/$AU$1)*'1. UC Assumptions'!$P$42,0)</f>
        <v>0</v>
      </c>
      <c r="AV79" s="183">
        <f>IF(H79="Travis",(AD79/$AV$1)*'1. UC Assumptions'!$Q$42,0)</f>
        <v>0</v>
      </c>
      <c r="AW79" s="183">
        <f>IF(H79="Bexar",(AC79/$AW$1)*'1. UC Assumptions'!$E$44,0)</f>
        <v>0</v>
      </c>
      <c r="AX79" s="183">
        <f>IF(H79="Dallas",(AC79/$AX$1)*'1. UC Assumptions'!$F$44,0)</f>
        <v>0</v>
      </c>
      <c r="AY79" s="183">
        <f>IF(H79="El Paso",(AC79/$AY$1)*'1. UC Assumptions'!$G$44,0)</f>
        <v>0</v>
      </c>
      <c r="AZ79" s="183">
        <f>IF(H79="Harris",(AC79/$AZ$1)*'1. UC Assumptions'!$H$44,0)</f>
        <v>0</v>
      </c>
      <c r="BA79" s="183">
        <f>IF(H79="Hidalgo",(AC79/$BA$1)*'1. UC Assumptions'!$I$44,0)</f>
        <v>0</v>
      </c>
      <c r="BB79" s="183">
        <f>IF(H79="Jefferson",(AC79/$BB$1)*'1. UC Assumptions'!$J$44,0)</f>
        <v>0</v>
      </c>
      <c r="BC79" s="183">
        <f>IF(H79="Lubbock",(AC79/$BC$1)*'1. UC Assumptions'!$K$44,0)</f>
        <v>0</v>
      </c>
      <c r="BD79" s="183">
        <f>IF(H79="MRSA Central",(AC79/$BD$1)*'1. UC Assumptions'!$L$44,0)</f>
        <v>0</v>
      </c>
      <c r="BE79" s="183">
        <f>IF(H79="MRSA Northeast",(AC79/$BE$1)*'1. UC Assumptions'!$M$44,0)</f>
        <v>0</v>
      </c>
      <c r="BF79" s="183">
        <f>IF(H79="MRSA West",(AC79/$BF$1)*'1. UC Assumptions'!$N$44,0)</f>
        <v>0</v>
      </c>
      <c r="BG79" s="183">
        <f>IF(H79="Nueces",(AC79/$BG$1)*'1. UC Assumptions'!$O$44,0)</f>
        <v>0</v>
      </c>
      <c r="BH79" s="183">
        <f>IF(H79="Tarrant",(AC79/$BH$1)*'1. UC Assumptions'!$P$44,0)</f>
        <v>0</v>
      </c>
      <c r="BI79" s="183">
        <f>IF(H79="Travis",(AC79/$BI$1)*'1. UC Assumptions'!$Q$44,0)</f>
        <v>0</v>
      </c>
      <c r="BJ79" s="183">
        <f t="shared" si="22"/>
        <v>0</v>
      </c>
      <c r="BK79" s="183">
        <f t="shared" si="23"/>
        <v>0</v>
      </c>
      <c r="BL79" s="183">
        <f t="shared" si="24"/>
        <v>3414412.0640311032</v>
      </c>
      <c r="BM79" s="184">
        <f t="shared" si="25"/>
        <v>1097243.0540311034</v>
      </c>
      <c r="BN79" s="184">
        <f>ROUNDDOWN(BM79*'1. UC Assumptions'!$C$23,2)</f>
        <v>362090.2</v>
      </c>
      <c r="BO79" s="184"/>
      <c r="BP79" s="185"/>
      <c r="BQ79" s="32"/>
      <c r="BR79" s="32"/>
    </row>
    <row r="80" spans="1:70">
      <c r="A80" s="177" t="s">
        <v>1348</v>
      </c>
      <c r="B80" s="178" t="s">
        <v>109</v>
      </c>
      <c r="C80" s="178" t="s">
        <v>109</v>
      </c>
      <c r="D80" s="179" t="s">
        <v>281</v>
      </c>
      <c r="E80" s="179"/>
      <c r="F80" s="177"/>
      <c r="G80" s="177" t="s">
        <v>1349</v>
      </c>
      <c r="H80" s="178" t="s">
        <v>6</v>
      </c>
      <c r="I80" s="178" t="s">
        <v>6</v>
      </c>
      <c r="J80" s="131">
        <f>IFERROR(INDEX(#REF!,(MATCH('Old Calc Tab'!C:C,#REF!,0))),0)</f>
        <v>0</v>
      </c>
      <c r="K80" s="131">
        <f>IFERROR(INDEX(#REF!,(MATCH('Old Calc Tab'!$C:$C,#REF!,0))),0)</f>
        <v>0</v>
      </c>
      <c r="L80" s="131"/>
      <c r="M80" s="131">
        <v>208182532</v>
      </c>
      <c r="N80" s="131">
        <f>IFERROR(INDEX(#REF!,(MATCH('Old Calc Tab'!$C:$C,#REF!,0))),0)</f>
        <v>0</v>
      </c>
      <c r="O80" s="131">
        <f t="shared" si="13"/>
        <v>0</v>
      </c>
      <c r="P80" s="131">
        <f t="shared" si="14"/>
        <v>208182532</v>
      </c>
      <c r="Q80" s="131"/>
      <c r="R80" s="131"/>
      <c r="S80" s="131"/>
      <c r="T80" s="131"/>
      <c r="U80" s="131"/>
      <c r="V80" s="131">
        <v>0</v>
      </c>
      <c r="W80" s="180">
        <v>0</v>
      </c>
      <c r="X80" s="180">
        <f t="shared" si="15"/>
        <v>208182532</v>
      </c>
      <c r="Y80" s="181">
        <f>IF(D80="Physician Group Practice",(X80/$AE$369)*'1. UC Assumptions'!$C$15,IF(OR(E80="Rural Hospital",E80="Hosp - State"),X80,(X80/$X$369)*'1. UC Assumptions'!$C$9))</f>
        <v>125297368.8563026</v>
      </c>
      <c r="Z80" s="181">
        <f t="shared" si="16"/>
        <v>0</v>
      </c>
      <c r="AA80" s="181">
        <f t="shared" si="17"/>
        <v>82885163.143697396</v>
      </c>
      <c r="AB80" s="182">
        <f t="shared" si="18"/>
        <v>44511.913998347212</v>
      </c>
      <c r="AC80" s="181">
        <f t="shared" si="19"/>
        <v>82929675.057695746</v>
      </c>
      <c r="AD80" s="181">
        <f t="shared" si="20"/>
        <v>125341880.77030095</v>
      </c>
      <c r="AE80" s="131">
        <v>2040154.61</v>
      </c>
      <c r="AF80" s="131">
        <f>AE80*'1. UC Assumptions'!$C$23</f>
        <v>673251.02129999991</v>
      </c>
      <c r="AG80" s="183">
        <f>IF((((X80-W80-AE80)*'1. UC Assumptions'!$C$23)+AF80)&gt;0,((X80-W80-AE80)*'1. UC Assumptions'!$C$23)+AF80,0)</f>
        <v>68700235.559999987</v>
      </c>
      <c r="AH80" s="183">
        <f>IF(((X80-W80-AE80)*'1. UC Assumptions'!$C$23)&gt;0,(X80-W80-AE80)*'1. UC Assumptions'!$C$23,0)</f>
        <v>68026984.538699985</v>
      </c>
      <c r="AI80" s="183">
        <f t="shared" si="21"/>
        <v>68700235.559999987</v>
      </c>
      <c r="AJ80" s="183">
        <f>IF(H80="Bexar",(AD80/$AJ$1)*'1. UC Assumptions'!$E$42,0)</f>
        <v>0</v>
      </c>
      <c r="AK80" s="183">
        <f>IF(H80="Dallas",(AD80/$AK$1)*'1. UC Assumptions'!$F$42,0)</f>
        <v>0</v>
      </c>
      <c r="AL80" s="183">
        <f>IF(H80="El Paso",(AD80/$AL$1)*'1. UC Assumptions'!$G$42,0)</f>
        <v>0</v>
      </c>
      <c r="AM80" s="183">
        <f>IF(H80="Harris",(AD80/$AM$1)*'1. UC Assumptions'!$H$42,0)</f>
        <v>0</v>
      </c>
      <c r="AN80" s="183">
        <f>IF(H80="Hidalgo",(AD80/$AN$1)*'1. UC Assumptions'!$I$42,0)</f>
        <v>0</v>
      </c>
      <c r="AO80" s="183">
        <f>IF(H80="Jefferson",(AD80/$AO$1)*'1. UC Assumptions'!$J$42,0)</f>
        <v>0</v>
      </c>
      <c r="AP80" s="183">
        <f>IF(H80="Lubbock",(AD80/$AP$1)*'1. UC Assumptions'!$K$42,0)</f>
        <v>0</v>
      </c>
      <c r="AQ80" s="183">
        <f>IF(H80="MRSA Central",(AD80/$AQ$1)*'1. UC Assumptions'!$L$42,0)</f>
        <v>0</v>
      </c>
      <c r="AR80" s="183">
        <f>IF(H80="MRSA Northeast",(AD80/$AR$1)*'1. UC Assumptions'!$M$42,0)</f>
        <v>0</v>
      </c>
      <c r="AS80" s="183">
        <f>IF(H80="MRSA West",(AD80/$AS$1)*'1. UC Assumptions'!$N$42,0)</f>
        <v>0</v>
      </c>
      <c r="AT80" s="183">
        <f>IF(H80="Nueces",(AD80/$AT$1)*'1. UC Assumptions'!$O$42,0)</f>
        <v>0</v>
      </c>
      <c r="AU80" s="183">
        <f>IF(H80="Tarrant",(AD80/$AU$1)*'1. UC Assumptions'!$P$42,0)</f>
        <v>0</v>
      </c>
      <c r="AV80" s="183">
        <f>IF(H80="Travis",(AD80/$AV$1)*'1. UC Assumptions'!$Q$42,0)</f>
        <v>0</v>
      </c>
      <c r="AW80" s="183">
        <f>IF(H80="Bexar",(AC80/$AW$1)*'1. UC Assumptions'!$E$44,0)</f>
        <v>0</v>
      </c>
      <c r="AX80" s="183">
        <f>IF(H80="Dallas",(AC80/$AX$1)*'1. UC Assumptions'!$F$44,0)</f>
        <v>0</v>
      </c>
      <c r="AY80" s="183">
        <f>IF(H80="El Paso",(AC80/$AY$1)*'1. UC Assumptions'!$G$44,0)</f>
        <v>0</v>
      </c>
      <c r="AZ80" s="183">
        <f>IF(H80="Harris",(AC80/$AZ$1)*'1. UC Assumptions'!$H$44,0)</f>
        <v>0</v>
      </c>
      <c r="BA80" s="183">
        <f>IF(H80="Hidalgo",(AC80/$BA$1)*'1. UC Assumptions'!$I$44,0)</f>
        <v>0</v>
      </c>
      <c r="BB80" s="183">
        <f>IF(H80="Jefferson",(AC80/$BB$1)*'1. UC Assumptions'!$J$44,0)</f>
        <v>0</v>
      </c>
      <c r="BC80" s="183">
        <f>IF(H80="Lubbock",(AC80/$BC$1)*'1. UC Assumptions'!$K$44,0)</f>
        <v>0</v>
      </c>
      <c r="BD80" s="183">
        <f>IF(H80="MRSA Central",(AC80/$BD$1)*'1. UC Assumptions'!$L$44,0)</f>
        <v>0</v>
      </c>
      <c r="BE80" s="183">
        <f>IF(H80="MRSA Northeast",(AC80/$BE$1)*'1. UC Assumptions'!$M$44,0)</f>
        <v>0</v>
      </c>
      <c r="BF80" s="183">
        <f>IF(H80="MRSA West",(AC80/$BF$1)*'1. UC Assumptions'!$N$44,0)</f>
        <v>0</v>
      </c>
      <c r="BG80" s="183">
        <f>IF(H80="Nueces",(AC80/$BG$1)*'1. UC Assumptions'!$O$44,0)</f>
        <v>0</v>
      </c>
      <c r="BH80" s="183">
        <f>IF(H80="Tarrant",(AC80/$BH$1)*'1. UC Assumptions'!$P$44,0)</f>
        <v>0</v>
      </c>
      <c r="BI80" s="183">
        <f>IF(H80="Travis",(AC80/$BI$1)*'1. UC Assumptions'!$Q$44,0)</f>
        <v>0</v>
      </c>
      <c r="BJ80" s="183">
        <f t="shared" si="22"/>
        <v>0</v>
      </c>
      <c r="BK80" s="183">
        <f t="shared" si="23"/>
        <v>0</v>
      </c>
      <c r="BL80" s="183">
        <f t="shared" si="24"/>
        <v>125341880.77030095</v>
      </c>
      <c r="BM80" s="184">
        <f t="shared" si="25"/>
        <v>123301726.16030096</v>
      </c>
      <c r="BN80" s="184">
        <f>ROUNDDOWN(BM80*'1. UC Assumptions'!$C$23,2)</f>
        <v>40689569.630000003</v>
      </c>
      <c r="BO80" s="184"/>
      <c r="BP80" s="185"/>
      <c r="BQ80" s="32"/>
      <c r="BR80" s="32"/>
    </row>
    <row r="81" spans="1:70">
      <c r="A81" s="177" t="s">
        <v>1350</v>
      </c>
      <c r="B81" s="178" t="s">
        <v>458</v>
      </c>
      <c r="C81" s="178" t="s">
        <v>458</v>
      </c>
      <c r="D81" s="179" t="s">
        <v>214</v>
      </c>
      <c r="E81" s="179"/>
      <c r="F81" s="177"/>
      <c r="G81" s="177" t="s">
        <v>459</v>
      </c>
      <c r="H81" s="178" t="s">
        <v>6</v>
      </c>
      <c r="I81" s="178" t="s">
        <v>6</v>
      </c>
      <c r="J81" s="131">
        <f>IFERROR(INDEX(#REF!,(MATCH('Old Calc Tab'!C:C,#REF!,0))),0)</f>
        <v>0</v>
      </c>
      <c r="K81" s="131">
        <f>IFERROR(INDEX(#REF!,(MATCH('Old Calc Tab'!$C:$C,#REF!,0))),0)</f>
        <v>0</v>
      </c>
      <c r="L81" s="131"/>
      <c r="M81" s="131">
        <v>2260886.6206127028</v>
      </c>
      <c r="N81" s="131">
        <f>IFERROR(INDEX(#REF!,(MATCH('Old Calc Tab'!$C:$C,#REF!,0))),0)</f>
        <v>0</v>
      </c>
      <c r="O81" s="131">
        <f t="shared" si="13"/>
        <v>0</v>
      </c>
      <c r="P81" s="131">
        <f t="shared" si="14"/>
        <v>2260886.6206127028</v>
      </c>
      <c r="Q81" s="131"/>
      <c r="R81" s="131"/>
      <c r="S81" s="131"/>
      <c r="T81" s="131"/>
      <c r="U81" s="131"/>
      <c r="V81" s="131">
        <v>0</v>
      </c>
      <c r="W81" s="180">
        <v>0</v>
      </c>
      <c r="X81" s="180">
        <f t="shared" si="15"/>
        <v>2260886.6206127028</v>
      </c>
      <c r="Y81" s="181">
        <f>IF(D81="Physician Group Practice",(X81/$AE$369)*'1. UC Assumptions'!$C$15,IF(OR(E81="Rural Hospital",E81="Hosp - State"),X81,(X81/$X$369)*'1. UC Assumptions'!$C$9))</f>
        <v>1360744.0649496438</v>
      </c>
      <c r="Z81" s="181">
        <f t="shared" si="16"/>
        <v>0</v>
      </c>
      <c r="AA81" s="181">
        <f t="shared" si="17"/>
        <v>900142.555663059</v>
      </c>
      <c r="AB81" s="182">
        <f t="shared" si="18"/>
        <v>483.40458659003377</v>
      </c>
      <c r="AC81" s="181">
        <f t="shared" si="19"/>
        <v>900625.96024964901</v>
      </c>
      <c r="AD81" s="181">
        <f t="shared" si="20"/>
        <v>1361227.4695362339</v>
      </c>
      <c r="AE81" s="131">
        <v>1211453.79</v>
      </c>
      <c r="AF81" s="131">
        <f>AE81*'1. UC Assumptions'!$C$23</f>
        <v>399779.75069999998</v>
      </c>
      <c r="AG81" s="183">
        <f>IF((((X81-W81-AE81)*'1. UC Assumptions'!$C$23)+AF81)&gt;0,((X81-W81-AE81)*'1. UC Assumptions'!$C$23)+AF81,0)</f>
        <v>746092.58480219182</v>
      </c>
      <c r="AH81" s="183">
        <f>IF(((X81-W81-AE81)*'1. UC Assumptions'!$C$23)&gt;0,(X81-W81-AE81)*'1. UC Assumptions'!$C$23,0)</f>
        <v>346312.83410219185</v>
      </c>
      <c r="AI81" s="183">
        <f t="shared" si="21"/>
        <v>746092.58480219182</v>
      </c>
      <c r="AJ81" s="183">
        <f>IF(H81="Bexar",(AD81/$AJ$1)*'1. UC Assumptions'!$E$42,0)</f>
        <v>0</v>
      </c>
      <c r="AK81" s="183">
        <f>IF(H81="Dallas",(AD81/$AK$1)*'1. UC Assumptions'!$F$42,0)</f>
        <v>0</v>
      </c>
      <c r="AL81" s="183">
        <f>IF(H81="El Paso",(AD81/$AL$1)*'1. UC Assumptions'!$G$42,0)</f>
        <v>0</v>
      </c>
      <c r="AM81" s="183">
        <f>IF(H81="Harris",(AD81/$AM$1)*'1. UC Assumptions'!$H$42,0)</f>
        <v>0</v>
      </c>
      <c r="AN81" s="183">
        <f>IF(H81="Hidalgo",(AD81/$AN$1)*'1. UC Assumptions'!$I$42,0)</f>
        <v>0</v>
      </c>
      <c r="AO81" s="183">
        <f>IF(H81="Jefferson",(AD81/$AO$1)*'1. UC Assumptions'!$J$42,0)</f>
        <v>0</v>
      </c>
      <c r="AP81" s="183">
        <f>IF(H81="Lubbock",(AD81/$AP$1)*'1. UC Assumptions'!$K$42,0)</f>
        <v>0</v>
      </c>
      <c r="AQ81" s="183">
        <f>IF(H81="MRSA Central",(AD81/$AQ$1)*'1. UC Assumptions'!$L$42,0)</f>
        <v>0</v>
      </c>
      <c r="AR81" s="183">
        <f>IF(H81="MRSA Northeast",(AD81/$AR$1)*'1. UC Assumptions'!$M$42,0)</f>
        <v>0</v>
      </c>
      <c r="AS81" s="183">
        <f>IF(H81="MRSA West",(AD81/$AS$1)*'1. UC Assumptions'!$N$42,0)</f>
        <v>0</v>
      </c>
      <c r="AT81" s="183">
        <f>IF(H81="Nueces",(AD81/$AT$1)*'1. UC Assumptions'!$O$42,0)</f>
        <v>0</v>
      </c>
      <c r="AU81" s="183">
        <f>IF(H81="Tarrant",(AD81/$AU$1)*'1. UC Assumptions'!$P$42,0)</f>
        <v>0</v>
      </c>
      <c r="AV81" s="183">
        <f>IF(H81="Travis",(AD81/$AV$1)*'1. UC Assumptions'!$Q$42,0)</f>
        <v>0</v>
      </c>
      <c r="AW81" s="183">
        <f>IF(H81="Bexar",(AC81/$AW$1)*'1. UC Assumptions'!$E$44,0)</f>
        <v>0</v>
      </c>
      <c r="AX81" s="183">
        <f>IF(H81="Dallas",(AC81/$AX$1)*'1. UC Assumptions'!$F$44,0)</f>
        <v>0</v>
      </c>
      <c r="AY81" s="183">
        <f>IF(H81="El Paso",(AC81/$AY$1)*'1. UC Assumptions'!$G$44,0)</f>
        <v>0</v>
      </c>
      <c r="AZ81" s="183">
        <f>IF(H81="Harris",(AC81/$AZ$1)*'1. UC Assumptions'!$H$44,0)</f>
        <v>0</v>
      </c>
      <c r="BA81" s="183">
        <f>IF(H81="Hidalgo",(AC81/$BA$1)*'1. UC Assumptions'!$I$44,0)</f>
        <v>0</v>
      </c>
      <c r="BB81" s="183">
        <f>IF(H81="Jefferson",(AC81/$BB$1)*'1. UC Assumptions'!$J$44,0)</f>
        <v>0</v>
      </c>
      <c r="BC81" s="183">
        <f>IF(H81="Lubbock",(AC81/$BC$1)*'1. UC Assumptions'!$K$44,0)</f>
        <v>0</v>
      </c>
      <c r="BD81" s="183">
        <f>IF(H81="MRSA Central",(AC81/$BD$1)*'1. UC Assumptions'!$L$44,0)</f>
        <v>0</v>
      </c>
      <c r="BE81" s="183">
        <f>IF(H81="MRSA Northeast",(AC81/$BE$1)*'1. UC Assumptions'!$M$44,0)</f>
        <v>0</v>
      </c>
      <c r="BF81" s="183">
        <f>IF(H81="MRSA West",(AC81/$BF$1)*'1. UC Assumptions'!$N$44,0)</f>
        <v>0</v>
      </c>
      <c r="BG81" s="183">
        <f>IF(H81="Nueces",(AC81/$BG$1)*'1. UC Assumptions'!$O$44,0)</f>
        <v>0</v>
      </c>
      <c r="BH81" s="183">
        <f>IF(H81="Tarrant",(AC81/$BH$1)*'1. UC Assumptions'!$P$44,0)</f>
        <v>0</v>
      </c>
      <c r="BI81" s="183">
        <f>IF(H81="Travis",(AC81/$BI$1)*'1. UC Assumptions'!$Q$44,0)</f>
        <v>0</v>
      </c>
      <c r="BJ81" s="183">
        <f t="shared" si="22"/>
        <v>0</v>
      </c>
      <c r="BK81" s="183">
        <f t="shared" si="23"/>
        <v>0</v>
      </c>
      <c r="BL81" s="183">
        <f t="shared" si="24"/>
        <v>1361227.4695362339</v>
      </c>
      <c r="BM81" s="184">
        <f t="shared" si="25"/>
        <v>149773.67953623389</v>
      </c>
      <c r="BN81" s="184">
        <f>ROUNDDOWN(BM81*'1. UC Assumptions'!$C$23,2)</f>
        <v>49425.31</v>
      </c>
      <c r="BO81" s="184"/>
      <c r="BP81" s="185"/>
      <c r="BQ81" s="32"/>
      <c r="BR81" s="32"/>
    </row>
    <row r="82" spans="1:70">
      <c r="A82" s="177" t="s">
        <v>1351</v>
      </c>
      <c r="B82" s="178" t="s">
        <v>1352</v>
      </c>
      <c r="C82" s="178" t="s">
        <v>1352</v>
      </c>
      <c r="D82" s="179" t="s">
        <v>214</v>
      </c>
      <c r="E82" s="179"/>
      <c r="F82" s="177"/>
      <c r="G82" s="177" t="s">
        <v>1353</v>
      </c>
      <c r="H82" s="178" t="s">
        <v>6</v>
      </c>
      <c r="I82" s="178" t="s">
        <v>6</v>
      </c>
      <c r="J82" s="131">
        <f>IFERROR(INDEX(#REF!,(MATCH('Old Calc Tab'!C:C,#REF!,0))),0)</f>
        <v>0</v>
      </c>
      <c r="K82" s="131">
        <f>IFERROR(INDEX(#REF!,(MATCH('Old Calc Tab'!$C:$C,#REF!,0))),0)</f>
        <v>0</v>
      </c>
      <c r="L82" s="131"/>
      <c r="M82" s="131">
        <v>12323005.863999998</v>
      </c>
      <c r="N82" s="131">
        <f>IFERROR(INDEX(#REF!,(MATCH('Old Calc Tab'!$C:$C,#REF!,0))),0)</f>
        <v>0</v>
      </c>
      <c r="O82" s="131">
        <f t="shared" si="13"/>
        <v>0</v>
      </c>
      <c r="P82" s="131">
        <f t="shared" si="14"/>
        <v>12323005.863999998</v>
      </c>
      <c r="Q82" s="131"/>
      <c r="R82" s="131"/>
      <c r="S82" s="131"/>
      <c r="T82" s="131"/>
      <c r="U82" s="131"/>
      <c r="V82" s="131">
        <v>0</v>
      </c>
      <c r="W82" s="180">
        <v>0</v>
      </c>
      <c r="X82" s="180">
        <f t="shared" si="15"/>
        <v>12323005.863999998</v>
      </c>
      <c r="Y82" s="181">
        <f>IF(D82="Physician Group Practice",(X82/$AE$369)*'1. UC Assumptions'!$C$15,IF(OR(E82="Rural Hospital",E82="Hosp - State"),X82,(X82/$X$369)*'1. UC Assumptions'!$C$9))</f>
        <v>7416761.6097588232</v>
      </c>
      <c r="Z82" s="181">
        <f t="shared" si="16"/>
        <v>0</v>
      </c>
      <c r="AA82" s="181">
        <f t="shared" si="17"/>
        <v>4906244.254241175</v>
      </c>
      <c r="AB82" s="182">
        <f t="shared" si="18"/>
        <v>2634.8059654663839</v>
      </c>
      <c r="AC82" s="181">
        <f t="shared" si="19"/>
        <v>4908879.0602066414</v>
      </c>
      <c r="AD82" s="181">
        <f t="shared" si="20"/>
        <v>7419396.4157242896</v>
      </c>
      <c r="AE82" s="131">
        <v>3506304.27</v>
      </c>
      <c r="AF82" s="131">
        <f>AE82*'1. UC Assumptions'!$C$23</f>
        <v>1157080.4090999998</v>
      </c>
      <c r="AG82" s="183">
        <f>IF((((X82-W82-AE82)*'1. UC Assumptions'!$C$23)+AF82)&gt;0,((X82-W82-AE82)*'1. UC Assumptions'!$C$23)+AF82,0)</f>
        <v>4066591.9351199991</v>
      </c>
      <c r="AH82" s="183">
        <f>IF(((X82-W82-AE82)*'1. UC Assumptions'!$C$23)&gt;0,(X82-W82-AE82)*'1. UC Assumptions'!$C$23,0)</f>
        <v>2909511.5260199993</v>
      </c>
      <c r="AI82" s="183">
        <f t="shared" si="21"/>
        <v>4066591.9351199991</v>
      </c>
      <c r="AJ82" s="183">
        <f>IF(H82="Bexar",(AD82/$AJ$1)*'1. UC Assumptions'!$E$42,0)</f>
        <v>0</v>
      </c>
      <c r="AK82" s="183">
        <f>IF(H82="Dallas",(AD82/$AK$1)*'1. UC Assumptions'!$F$42,0)</f>
        <v>0</v>
      </c>
      <c r="AL82" s="183">
        <f>IF(H82="El Paso",(AD82/$AL$1)*'1. UC Assumptions'!$G$42,0)</f>
        <v>0</v>
      </c>
      <c r="AM82" s="183">
        <f>IF(H82="Harris",(AD82/$AM$1)*'1. UC Assumptions'!$H$42,0)</f>
        <v>0</v>
      </c>
      <c r="AN82" s="183">
        <f>IF(H82="Hidalgo",(AD82/$AN$1)*'1. UC Assumptions'!$I$42,0)</f>
        <v>0</v>
      </c>
      <c r="AO82" s="183">
        <f>IF(H82="Jefferson",(AD82/$AO$1)*'1. UC Assumptions'!$J$42,0)</f>
        <v>0</v>
      </c>
      <c r="AP82" s="183">
        <f>IF(H82="Lubbock",(AD82/$AP$1)*'1. UC Assumptions'!$K$42,0)</f>
        <v>0</v>
      </c>
      <c r="AQ82" s="183">
        <f>IF(H82="MRSA Central",(AD82/$AQ$1)*'1. UC Assumptions'!$L$42,0)</f>
        <v>0</v>
      </c>
      <c r="AR82" s="183">
        <f>IF(H82="MRSA Northeast",(AD82/$AR$1)*'1. UC Assumptions'!$M$42,0)</f>
        <v>0</v>
      </c>
      <c r="AS82" s="183">
        <f>IF(H82="MRSA West",(AD82/$AS$1)*'1. UC Assumptions'!$N$42,0)</f>
        <v>0</v>
      </c>
      <c r="AT82" s="183">
        <f>IF(H82="Nueces",(AD82/$AT$1)*'1. UC Assumptions'!$O$42,0)</f>
        <v>0</v>
      </c>
      <c r="AU82" s="183">
        <f>IF(H82="Tarrant",(AD82/$AU$1)*'1. UC Assumptions'!$P$42,0)</f>
        <v>0</v>
      </c>
      <c r="AV82" s="183">
        <f>IF(H82="Travis",(AD82/$AV$1)*'1. UC Assumptions'!$Q$42,0)</f>
        <v>0</v>
      </c>
      <c r="AW82" s="183">
        <f>IF(H82="Bexar",(AC82/$AW$1)*'1. UC Assumptions'!$E$44,0)</f>
        <v>0</v>
      </c>
      <c r="AX82" s="183">
        <f>IF(H82="Dallas",(AC82/$AX$1)*'1. UC Assumptions'!$F$44,0)</f>
        <v>0</v>
      </c>
      <c r="AY82" s="183">
        <f>IF(H82="El Paso",(AC82/$AY$1)*'1. UC Assumptions'!$G$44,0)</f>
        <v>0</v>
      </c>
      <c r="AZ82" s="183">
        <f>IF(H82="Harris",(AC82/$AZ$1)*'1. UC Assumptions'!$H$44,0)</f>
        <v>0</v>
      </c>
      <c r="BA82" s="183">
        <f>IF(H82="Hidalgo",(AC82/$BA$1)*'1. UC Assumptions'!$I$44,0)</f>
        <v>0</v>
      </c>
      <c r="BB82" s="183">
        <f>IF(H82="Jefferson",(AC82/$BB$1)*'1. UC Assumptions'!$J$44,0)</f>
        <v>0</v>
      </c>
      <c r="BC82" s="183">
        <f>IF(H82="Lubbock",(AC82/$BC$1)*'1. UC Assumptions'!$K$44,0)</f>
        <v>0</v>
      </c>
      <c r="BD82" s="183">
        <f>IF(H82="MRSA Central",(AC82/$BD$1)*'1. UC Assumptions'!$L$44,0)</f>
        <v>0</v>
      </c>
      <c r="BE82" s="183">
        <f>IF(H82="MRSA Northeast",(AC82/$BE$1)*'1. UC Assumptions'!$M$44,0)</f>
        <v>0</v>
      </c>
      <c r="BF82" s="183">
        <f>IF(H82="MRSA West",(AC82/$BF$1)*'1. UC Assumptions'!$N$44,0)</f>
        <v>0</v>
      </c>
      <c r="BG82" s="183">
        <f>IF(H82="Nueces",(AC82/$BG$1)*'1. UC Assumptions'!$O$44,0)</f>
        <v>0</v>
      </c>
      <c r="BH82" s="183">
        <f>IF(H82="Tarrant",(AC82/$BH$1)*'1. UC Assumptions'!$P$44,0)</f>
        <v>0</v>
      </c>
      <c r="BI82" s="183">
        <f>IF(H82="Travis",(AC82/$BI$1)*'1. UC Assumptions'!$Q$44,0)</f>
        <v>0</v>
      </c>
      <c r="BJ82" s="183">
        <f t="shared" si="22"/>
        <v>0</v>
      </c>
      <c r="BK82" s="183">
        <f t="shared" si="23"/>
        <v>0</v>
      </c>
      <c r="BL82" s="183">
        <f t="shared" si="24"/>
        <v>7419396.4157242896</v>
      </c>
      <c r="BM82" s="184">
        <f t="shared" si="25"/>
        <v>3913092.1457242896</v>
      </c>
      <c r="BN82" s="184">
        <f>ROUNDDOWN(BM82*'1. UC Assumptions'!$C$23,2)</f>
        <v>1291320.3999999999</v>
      </c>
      <c r="BO82" s="184"/>
      <c r="BP82" s="185"/>
      <c r="BQ82" s="32"/>
      <c r="BR82" s="32"/>
    </row>
    <row r="83" spans="1:70">
      <c r="A83" s="177" t="s">
        <v>1354</v>
      </c>
      <c r="B83" s="178" t="s">
        <v>464</v>
      </c>
      <c r="C83" s="178" t="s">
        <v>464</v>
      </c>
      <c r="D83" s="179" t="s">
        <v>214</v>
      </c>
      <c r="E83" s="179"/>
      <c r="F83" s="177"/>
      <c r="G83" s="177" t="s">
        <v>1355</v>
      </c>
      <c r="H83" s="178" t="s">
        <v>6</v>
      </c>
      <c r="I83" s="178" t="s">
        <v>6</v>
      </c>
      <c r="J83" s="131">
        <f>IFERROR(INDEX(#REF!,(MATCH('Old Calc Tab'!C:C,#REF!,0))),0)</f>
        <v>0</v>
      </c>
      <c r="K83" s="131">
        <f>IFERROR(INDEX(#REF!,(MATCH('Old Calc Tab'!$C:$C,#REF!,0))),0)</f>
        <v>0</v>
      </c>
      <c r="L83" s="131"/>
      <c r="M83" s="131">
        <v>18049265.799359247</v>
      </c>
      <c r="N83" s="131">
        <f>IFERROR(INDEX(#REF!,(MATCH('Old Calc Tab'!$C:$C,#REF!,0))),0)</f>
        <v>0</v>
      </c>
      <c r="O83" s="131">
        <f t="shared" si="13"/>
        <v>0</v>
      </c>
      <c r="P83" s="131">
        <f t="shared" si="14"/>
        <v>18049265.799359247</v>
      </c>
      <c r="Q83" s="131"/>
      <c r="R83" s="131"/>
      <c r="S83" s="131"/>
      <c r="T83" s="131"/>
      <c r="U83" s="131"/>
      <c r="V83" s="131">
        <v>0</v>
      </c>
      <c r="W83" s="180">
        <v>0</v>
      </c>
      <c r="X83" s="180">
        <f t="shared" si="15"/>
        <v>18049265.799359247</v>
      </c>
      <c r="Y83" s="181">
        <f>IF(D83="Physician Group Practice",(X83/$AE$369)*'1. UC Assumptions'!$C$15,IF(OR(E83="Rural Hospital",E83="Hosp - State"),X83,(X83/$X$369)*'1. UC Assumptions'!$C$9))</f>
        <v>10863185.747244935</v>
      </c>
      <c r="Z83" s="181">
        <f t="shared" si="16"/>
        <v>0</v>
      </c>
      <c r="AA83" s="181">
        <f t="shared" si="17"/>
        <v>7186080.0521143116</v>
      </c>
      <c r="AB83" s="182">
        <f t="shared" si="18"/>
        <v>3859.148792533605</v>
      </c>
      <c r="AC83" s="181">
        <f t="shared" si="19"/>
        <v>7189939.2009068448</v>
      </c>
      <c r="AD83" s="181">
        <f t="shared" si="20"/>
        <v>10867044.896037469</v>
      </c>
      <c r="AE83" s="131">
        <v>6241692.1299999999</v>
      </c>
      <c r="AF83" s="131">
        <f>AE83*'1. UC Assumptions'!$C$23</f>
        <v>2059758.4028999996</v>
      </c>
      <c r="AG83" s="183">
        <f>IF((((X83-W83-AE83)*'1. UC Assumptions'!$C$23)+AF83)&gt;0,((X83-W83-AE83)*'1. UC Assumptions'!$C$23)+AF83,0)</f>
        <v>5956257.7137885513</v>
      </c>
      <c r="AH83" s="183">
        <f>IF(((X83-W83-AE83)*'1. UC Assumptions'!$C$23)&gt;0,(X83-W83-AE83)*'1. UC Assumptions'!$C$23,0)</f>
        <v>3896499.3108885516</v>
      </c>
      <c r="AI83" s="183">
        <f t="shared" si="21"/>
        <v>5956257.7137885513</v>
      </c>
      <c r="AJ83" s="183">
        <f>IF(H83="Bexar",(AD83/$AJ$1)*'1. UC Assumptions'!$E$42,0)</f>
        <v>0</v>
      </c>
      <c r="AK83" s="183">
        <f>IF(H83="Dallas",(AD83/$AK$1)*'1. UC Assumptions'!$F$42,0)</f>
        <v>0</v>
      </c>
      <c r="AL83" s="183">
        <f>IF(H83="El Paso",(AD83/$AL$1)*'1. UC Assumptions'!$G$42,0)</f>
        <v>0</v>
      </c>
      <c r="AM83" s="183">
        <f>IF(H83="Harris",(AD83/$AM$1)*'1. UC Assumptions'!$H$42,0)</f>
        <v>0</v>
      </c>
      <c r="AN83" s="183">
        <f>IF(H83="Hidalgo",(AD83/$AN$1)*'1. UC Assumptions'!$I$42,0)</f>
        <v>0</v>
      </c>
      <c r="AO83" s="183">
        <f>IF(H83="Jefferson",(AD83/$AO$1)*'1. UC Assumptions'!$J$42,0)</f>
        <v>0</v>
      </c>
      <c r="AP83" s="183">
        <f>IF(H83="Lubbock",(AD83/$AP$1)*'1. UC Assumptions'!$K$42,0)</f>
        <v>0</v>
      </c>
      <c r="AQ83" s="183">
        <f>IF(H83="MRSA Central",(AD83/$AQ$1)*'1. UC Assumptions'!$L$42,0)</f>
        <v>0</v>
      </c>
      <c r="AR83" s="183">
        <f>IF(H83="MRSA Northeast",(AD83/$AR$1)*'1. UC Assumptions'!$M$42,0)</f>
        <v>0</v>
      </c>
      <c r="AS83" s="183">
        <f>IF(H83="MRSA West",(AD83/$AS$1)*'1. UC Assumptions'!$N$42,0)</f>
        <v>0</v>
      </c>
      <c r="AT83" s="183">
        <f>IF(H83="Nueces",(AD83/$AT$1)*'1. UC Assumptions'!$O$42,0)</f>
        <v>0</v>
      </c>
      <c r="AU83" s="183">
        <f>IF(H83="Tarrant",(AD83/$AU$1)*'1. UC Assumptions'!$P$42,0)</f>
        <v>0</v>
      </c>
      <c r="AV83" s="183">
        <f>IF(H83="Travis",(AD83/$AV$1)*'1. UC Assumptions'!$Q$42,0)</f>
        <v>0</v>
      </c>
      <c r="AW83" s="183">
        <f>IF(H83="Bexar",(AC83/$AW$1)*'1. UC Assumptions'!$E$44,0)</f>
        <v>0</v>
      </c>
      <c r="AX83" s="183">
        <f>IF(H83="Dallas",(AC83/$AX$1)*'1. UC Assumptions'!$F$44,0)</f>
        <v>0</v>
      </c>
      <c r="AY83" s="183">
        <f>IF(H83="El Paso",(AC83/$AY$1)*'1. UC Assumptions'!$G$44,0)</f>
        <v>0</v>
      </c>
      <c r="AZ83" s="183">
        <f>IF(H83="Harris",(AC83/$AZ$1)*'1. UC Assumptions'!$H$44,0)</f>
        <v>0</v>
      </c>
      <c r="BA83" s="183">
        <f>IF(H83="Hidalgo",(AC83/$BA$1)*'1. UC Assumptions'!$I$44,0)</f>
        <v>0</v>
      </c>
      <c r="BB83" s="183">
        <f>IF(H83="Jefferson",(AC83/$BB$1)*'1. UC Assumptions'!$J$44,0)</f>
        <v>0</v>
      </c>
      <c r="BC83" s="183">
        <f>IF(H83="Lubbock",(AC83/$BC$1)*'1. UC Assumptions'!$K$44,0)</f>
        <v>0</v>
      </c>
      <c r="BD83" s="183">
        <f>IF(H83="MRSA Central",(AC83/$BD$1)*'1. UC Assumptions'!$L$44,0)</f>
        <v>0</v>
      </c>
      <c r="BE83" s="183">
        <f>IF(H83="MRSA Northeast",(AC83/$BE$1)*'1. UC Assumptions'!$M$44,0)</f>
        <v>0</v>
      </c>
      <c r="BF83" s="183">
        <f>IF(H83="MRSA West",(AC83/$BF$1)*'1. UC Assumptions'!$N$44,0)</f>
        <v>0</v>
      </c>
      <c r="BG83" s="183">
        <f>IF(H83="Nueces",(AC83/$BG$1)*'1. UC Assumptions'!$O$44,0)</f>
        <v>0</v>
      </c>
      <c r="BH83" s="183">
        <f>IF(H83="Tarrant",(AC83/$BH$1)*'1. UC Assumptions'!$P$44,0)</f>
        <v>0</v>
      </c>
      <c r="BI83" s="183">
        <f>IF(H83="Travis",(AC83/$BI$1)*'1. UC Assumptions'!$Q$44,0)</f>
        <v>0</v>
      </c>
      <c r="BJ83" s="183">
        <f t="shared" si="22"/>
        <v>0</v>
      </c>
      <c r="BK83" s="183">
        <f t="shared" si="23"/>
        <v>0</v>
      </c>
      <c r="BL83" s="183">
        <f t="shared" si="24"/>
        <v>10867044.896037469</v>
      </c>
      <c r="BM83" s="184">
        <f t="shared" si="25"/>
        <v>4625352.7660374688</v>
      </c>
      <c r="BN83" s="184">
        <f>ROUNDDOWN(BM83*'1. UC Assumptions'!$C$23,2)</f>
        <v>1526366.41</v>
      </c>
      <c r="BO83" s="184"/>
      <c r="BP83" s="185"/>
      <c r="BQ83" s="32"/>
      <c r="BR83" s="32"/>
    </row>
    <row r="84" spans="1:70">
      <c r="A84" s="177" t="s">
        <v>1356</v>
      </c>
      <c r="B84" s="178" t="s">
        <v>522</v>
      </c>
      <c r="C84" s="178" t="s">
        <v>522</v>
      </c>
      <c r="D84" s="179" t="s">
        <v>214</v>
      </c>
      <c r="E84" s="179"/>
      <c r="F84" s="177"/>
      <c r="G84" s="177" t="s">
        <v>1357</v>
      </c>
      <c r="H84" s="178" t="s">
        <v>6</v>
      </c>
      <c r="I84" s="178" t="s">
        <v>6</v>
      </c>
      <c r="J84" s="131">
        <f>IFERROR(INDEX(#REF!,(MATCH('Old Calc Tab'!C:C,#REF!,0))),0)</f>
        <v>0</v>
      </c>
      <c r="K84" s="131">
        <f>IFERROR(INDEX(#REF!,(MATCH('Old Calc Tab'!$C:$C,#REF!,0))),0)</f>
        <v>0</v>
      </c>
      <c r="L84" s="131"/>
      <c r="M84" s="131">
        <v>37093959.092407264</v>
      </c>
      <c r="N84" s="131">
        <f>IFERROR(INDEX(#REF!,(MATCH('Old Calc Tab'!$C:$C,#REF!,0))),0)</f>
        <v>0</v>
      </c>
      <c r="O84" s="131">
        <f t="shared" si="13"/>
        <v>0</v>
      </c>
      <c r="P84" s="131">
        <f t="shared" si="14"/>
        <v>37093959.092407264</v>
      </c>
      <c r="Q84" s="131"/>
      <c r="R84" s="131"/>
      <c r="S84" s="131"/>
      <c r="T84" s="131"/>
      <c r="U84" s="131"/>
      <c r="V84" s="131">
        <v>0</v>
      </c>
      <c r="W84" s="180">
        <v>0</v>
      </c>
      <c r="X84" s="180">
        <f t="shared" si="15"/>
        <v>37093959.092407264</v>
      </c>
      <c r="Y84" s="181">
        <f>IF(D84="Physician Group Practice",(X84/$AE$369)*'1. UC Assumptions'!$C$15,IF(OR(E84="Rural Hospital",E84="Hosp - State"),X84,(X84/$X$369)*'1. UC Assumptions'!$C$9))</f>
        <v>22325482.498896461</v>
      </c>
      <c r="Z84" s="181">
        <f t="shared" si="16"/>
        <v>0</v>
      </c>
      <c r="AA84" s="181">
        <f t="shared" si="17"/>
        <v>14768476.593510803</v>
      </c>
      <c r="AB84" s="182">
        <f t="shared" si="18"/>
        <v>7931.1318827625837</v>
      </c>
      <c r="AC84" s="181">
        <f t="shared" si="19"/>
        <v>14776407.725393565</v>
      </c>
      <c r="AD84" s="181">
        <f t="shared" si="20"/>
        <v>22333413.630779225</v>
      </c>
      <c r="AE84" s="131">
        <v>7636790.6200000001</v>
      </c>
      <c r="AF84" s="131">
        <f>AE84*'1. UC Assumptions'!$C$23</f>
        <v>2520140.9045999995</v>
      </c>
      <c r="AG84" s="183">
        <f>IF((((X84-W84-AE84)*'1. UC Assumptions'!$C$23)+AF84)&gt;0,((X84-W84-AE84)*'1. UC Assumptions'!$C$23)+AF84,0)</f>
        <v>12241006.500494396</v>
      </c>
      <c r="AH84" s="183">
        <f>IF(((X84-W84-AE84)*'1. UC Assumptions'!$C$23)&gt;0,(X84-W84-AE84)*'1. UC Assumptions'!$C$23,0)</f>
        <v>9720865.5958943963</v>
      </c>
      <c r="AI84" s="183">
        <f t="shared" si="21"/>
        <v>12241006.500494396</v>
      </c>
      <c r="AJ84" s="183">
        <f>IF(H84="Bexar",(AD84/$AJ$1)*'1. UC Assumptions'!$E$42,0)</f>
        <v>0</v>
      </c>
      <c r="AK84" s="183">
        <f>IF(H84="Dallas",(AD84/$AK$1)*'1. UC Assumptions'!$F$42,0)</f>
        <v>0</v>
      </c>
      <c r="AL84" s="183">
        <f>IF(H84="El Paso",(AD84/$AL$1)*'1. UC Assumptions'!$G$42,0)</f>
        <v>0</v>
      </c>
      <c r="AM84" s="183">
        <f>IF(H84="Harris",(AD84/$AM$1)*'1. UC Assumptions'!$H$42,0)</f>
        <v>0</v>
      </c>
      <c r="AN84" s="183">
        <f>IF(H84="Hidalgo",(AD84/$AN$1)*'1. UC Assumptions'!$I$42,0)</f>
        <v>0</v>
      </c>
      <c r="AO84" s="183">
        <f>IF(H84="Jefferson",(AD84/$AO$1)*'1. UC Assumptions'!$J$42,0)</f>
        <v>0</v>
      </c>
      <c r="AP84" s="183">
        <f>IF(H84="Lubbock",(AD84/$AP$1)*'1. UC Assumptions'!$K$42,0)</f>
        <v>0</v>
      </c>
      <c r="AQ84" s="183">
        <f>IF(H84="MRSA Central",(AD84/$AQ$1)*'1. UC Assumptions'!$L$42,0)</f>
        <v>0</v>
      </c>
      <c r="AR84" s="183">
        <f>IF(H84="MRSA Northeast",(AD84/$AR$1)*'1. UC Assumptions'!$M$42,0)</f>
        <v>0</v>
      </c>
      <c r="AS84" s="183">
        <f>IF(H84="MRSA West",(AD84/$AS$1)*'1. UC Assumptions'!$N$42,0)</f>
        <v>0</v>
      </c>
      <c r="AT84" s="183">
        <f>IF(H84="Nueces",(AD84/$AT$1)*'1. UC Assumptions'!$O$42,0)</f>
        <v>0</v>
      </c>
      <c r="AU84" s="183">
        <f>IF(H84="Tarrant",(AD84/$AU$1)*'1. UC Assumptions'!$P$42,0)</f>
        <v>0</v>
      </c>
      <c r="AV84" s="183">
        <f>IF(H84="Travis",(AD84/$AV$1)*'1. UC Assumptions'!$Q$42,0)</f>
        <v>0</v>
      </c>
      <c r="AW84" s="183">
        <f>IF(H84="Bexar",(AC84/$AW$1)*'1. UC Assumptions'!$E$44,0)</f>
        <v>0</v>
      </c>
      <c r="AX84" s="183">
        <f>IF(H84="Dallas",(AC84/$AX$1)*'1. UC Assumptions'!$F$44,0)</f>
        <v>0</v>
      </c>
      <c r="AY84" s="183">
        <f>IF(H84="El Paso",(AC84/$AY$1)*'1. UC Assumptions'!$G$44,0)</f>
        <v>0</v>
      </c>
      <c r="AZ84" s="183">
        <f>IF(H84="Harris",(AC84/$AZ$1)*'1. UC Assumptions'!$H$44,0)</f>
        <v>0</v>
      </c>
      <c r="BA84" s="183">
        <f>IF(H84="Hidalgo",(AC84/$BA$1)*'1. UC Assumptions'!$I$44,0)</f>
        <v>0</v>
      </c>
      <c r="BB84" s="183">
        <f>IF(H84="Jefferson",(AC84/$BB$1)*'1. UC Assumptions'!$J$44,0)</f>
        <v>0</v>
      </c>
      <c r="BC84" s="183">
        <f>IF(H84="Lubbock",(AC84/$BC$1)*'1. UC Assumptions'!$K$44,0)</f>
        <v>0</v>
      </c>
      <c r="BD84" s="183">
        <f>IF(H84="MRSA Central",(AC84/$BD$1)*'1. UC Assumptions'!$L$44,0)</f>
        <v>0</v>
      </c>
      <c r="BE84" s="183">
        <f>IF(H84="MRSA Northeast",(AC84/$BE$1)*'1. UC Assumptions'!$M$44,0)</f>
        <v>0</v>
      </c>
      <c r="BF84" s="183">
        <f>IF(H84="MRSA West",(AC84/$BF$1)*'1. UC Assumptions'!$N$44,0)</f>
        <v>0</v>
      </c>
      <c r="BG84" s="183">
        <f>IF(H84="Nueces",(AC84/$BG$1)*'1. UC Assumptions'!$O$44,0)</f>
        <v>0</v>
      </c>
      <c r="BH84" s="183">
        <f>IF(H84="Tarrant",(AC84/$BH$1)*'1. UC Assumptions'!$P$44,0)</f>
        <v>0</v>
      </c>
      <c r="BI84" s="183">
        <f>IF(H84="Travis",(AC84/$BI$1)*'1. UC Assumptions'!$Q$44,0)</f>
        <v>0</v>
      </c>
      <c r="BJ84" s="183">
        <f t="shared" si="22"/>
        <v>0</v>
      </c>
      <c r="BK84" s="183">
        <f t="shared" si="23"/>
        <v>0</v>
      </c>
      <c r="BL84" s="183">
        <f t="shared" si="24"/>
        <v>22333413.630779225</v>
      </c>
      <c r="BM84" s="184">
        <f t="shared" si="25"/>
        <v>14696623.010779224</v>
      </c>
      <c r="BN84" s="184">
        <f>ROUNDDOWN(BM84*'1. UC Assumptions'!$C$23,2)</f>
        <v>4849885.59</v>
      </c>
      <c r="BO84" s="184"/>
      <c r="BP84" s="185"/>
      <c r="BQ84" s="32"/>
      <c r="BR84" s="32"/>
    </row>
    <row r="85" spans="1:70">
      <c r="A85" s="177" t="s">
        <v>1358</v>
      </c>
      <c r="B85" s="178" t="s">
        <v>1359</v>
      </c>
      <c r="C85" s="178" t="s">
        <v>1359</v>
      </c>
      <c r="D85" s="179" t="s">
        <v>214</v>
      </c>
      <c r="E85" s="179"/>
      <c r="F85" s="177"/>
      <c r="G85" s="177" t="s">
        <v>1360</v>
      </c>
      <c r="H85" s="178" t="s">
        <v>6</v>
      </c>
      <c r="I85" s="178" t="s">
        <v>6</v>
      </c>
      <c r="J85" s="131">
        <f>IFERROR(INDEX(#REF!,(MATCH('Old Calc Tab'!C:C,#REF!,0))),0)</f>
        <v>0</v>
      </c>
      <c r="K85" s="131">
        <f>IFERROR(INDEX(#REF!,(MATCH('Old Calc Tab'!$C:$C,#REF!,0))),0)</f>
        <v>0</v>
      </c>
      <c r="L85" s="131"/>
      <c r="M85" s="131">
        <v>2076553.9469999999</v>
      </c>
      <c r="N85" s="131">
        <f>IFERROR(INDEX(#REF!,(MATCH('Old Calc Tab'!$C:$C,#REF!,0))),0)</f>
        <v>0</v>
      </c>
      <c r="O85" s="131">
        <f t="shared" si="13"/>
        <v>0</v>
      </c>
      <c r="P85" s="131">
        <f t="shared" si="14"/>
        <v>2076553.9469999999</v>
      </c>
      <c r="Q85" s="131"/>
      <c r="R85" s="131"/>
      <c r="S85" s="131"/>
      <c r="T85" s="131"/>
      <c r="U85" s="131"/>
      <c r="V85" s="131">
        <v>0</v>
      </c>
      <c r="W85" s="180">
        <v>0</v>
      </c>
      <c r="X85" s="180">
        <f t="shared" si="15"/>
        <v>2076553.9469999999</v>
      </c>
      <c r="Y85" s="181">
        <f>IF(D85="Physician Group Practice",(X85/$AE$369)*'1. UC Assumptions'!$C$15,IF(OR(E85="Rural Hospital",E85="Hosp - State"),X85,(X85/$X$369)*'1. UC Assumptions'!$C$9))</f>
        <v>1249801.0440533503</v>
      </c>
      <c r="Z85" s="181">
        <f t="shared" si="16"/>
        <v>0</v>
      </c>
      <c r="AA85" s="181">
        <f t="shared" si="17"/>
        <v>826752.90294664958</v>
      </c>
      <c r="AB85" s="182">
        <f t="shared" si="18"/>
        <v>443.99205742099662</v>
      </c>
      <c r="AC85" s="181">
        <f t="shared" si="19"/>
        <v>827196.8950040706</v>
      </c>
      <c r="AD85" s="181">
        <f t="shared" si="20"/>
        <v>1250245.0361107714</v>
      </c>
      <c r="AE85" s="131">
        <v>2583453.42</v>
      </c>
      <c r="AF85" s="131">
        <f>AE85*'1. UC Assumptions'!$C$23</f>
        <v>852539.62859999982</v>
      </c>
      <c r="AG85" s="183">
        <f>IF((((X85-W85-AE85)*'1. UC Assumptions'!$C$23)+AF85)&gt;0,((X85-W85-AE85)*'1. UC Assumptions'!$C$23)+AF85,0)</f>
        <v>685262.80250999983</v>
      </c>
      <c r="AH85" s="183">
        <f>IF(((X85-W85-AE85)*'1. UC Assumptions'!$C$23)&gt;0,(X85-W85-AE85)*'1. UC Assumptions'!$C$23,0)</f>
        <v>0</v>
      </c>
      <c r="AI85" s="183">
        <f t="shared" si="21"/>
        <v>852539.62859999982</v>
      </c>
      <c r="AJ85" s="183">
        <f>IF(H85="Bexar",(AD85/$AJ$1)*'1. UC Assumptions'!$E$42,0)</f>
        <v>0</v>
      </c>
      <c r="AK85" s="183">
        <f>IF(H85="Dallas",(AD85/$AK$1)*'1. UC Assumptions'!$F$42,0)</f>
        <v>0</v>
      </c>
      <c r="AL85" s="183">
        <f>IF(H85="El Paso",(AD85/$AL$1)*'1. UC Assumptions'!$G$42,0)</f>
        <v>0</v>
      </c>
      <c r="AM85" s="183">
        <f>IF(H85="Harris",(AD85/$AM$1)*'1. UC Assumptions'!$H$42,0)</f>
        <v>0</v>
      </c>
      <c r="AN85" s="183">
        <f>IF(H85="Hidalgo",(AD85/$AN$1)*'1. UC Assumptions'!$I$42,0)</f>
        <v>0</v>
      </c>
      <c r="AO85" s="183">
        <f>IF(H85="Jefferson",(AD85/$AO$1)*'1. UC Assumptions'!$J$42,0)</f>
        <v>0</v>
      </c>
      <c r="AP85" s="183">
        <f>IF(H85="Lubbock",(AD85/$AP$1)*'1. UC Assumptions'!$K$42,0)</f>
        <v>0</v>
      </c>
      <c r="AQ85" s="183">
        <f>IF(H85="MRSA Central",(AD85/$AQ$1)*'1. UC Assumptions'!$L$42,0)</f>
        <v>0</v>
      </c>
      <c r="AR85" s="183">
        <f>IF(H85="MRSA Northeast",(AD85/$AR$1)*'1. UC Assumptions'!$M$42,0)</f>
        <v>0</v>
      </c>
      <c r="AS85" s="183">
        <f>IF(H85="MRSA West",(AD85/$AS$1)*'1. UC Assumptions'!$N$42,0)</f>
        <v>0</v>
      </c>
      <c r="AT85" s="183">
        <f>IF(H85="Nueces",(AD85/$AT$1)*'1. UC Assumptions'!$O$42,0)</f>
        <v>0</v>
      </c>
      <c r="AU85" s="183">
        <f>IF(H85="Tarrant",(AD85/$AU$1)*'1. UC Assumptions'!$P$42,0)</f>
        <v>0</v>
      </c>
      <c r="AV85" s="183">
        <f>IF(H85="Travis",(AD85/$AV$1)*'1. UC Assumptions'!$Q$42,0)</f>
        <v>0</v>
      </c>
      <c r="AW85" s="183">
        <f>IF(H85="Bexar",(AC85/$AW$1)*'1. UC Assumptions'!$E$44,0)</f>
        <v>0</v>
      </c>
      <c r="AX85" s="183">
        <f>IF(H85="Dallas",(AC85/$AX$1)*'1. UC Assumptions'!$F$44,0)</f>
        <v>0</v>
      </c>
      <c r="AY85" s="183">
        <f>IF(H85="El Paso",(AC85/$AY$1)*'1. UC Assumptions'!$G$44,0)</f>
        <v>0</v>
      </c>
      <c r="AZ85" s="183">
        <f>IF(H85="Harris",(AC85/$AZ$1)*'1. UC Assumptions'!$H$44,0)</f>
        <v>0</v>
      </c>
      <c r="BA85" s="183">
        <f>IF(H85="Hidalgo",(AC85/$BA$1)*'1. UC Assumptions'!$I$44,0)</f>
        <v>0</v>
      </c>
      <c r="BB85" s="183">
        <f>IF(H85="Jefferson",(AC85/$BB$1)*'1. UC Assumptions'!$J$44,0)</f>
        <v>0</v>
      </c>
      <c r="BC85" s="183">
        <f>IF(H85="Lubbock",(AC85/$BC$1)*'1. UC Assumptions'!$K$44,0)</f>
        <v>0</v>
      </c>
      <c r="BD85" s="183">
        <f>IF(H85="MRSA Central",(AC85/$BD$1)*'1. UC Assumptions'!$L$44,0)</f>
        <v>0</v>
      </c>
      <c r="BE85" s="183">
        <f>IF(H85="MRSA Northeast",(AC85/$BE$1)*'1. UC Assumptions'!$M$44,0)</f>
        <v>0</v>
      </c>
      <c r="BF85" s="183">
        <f>IF(H85="MRSA West",(AC85/$BF$1)*'1. UC Assumptions'!$N$44,0)</f>
        <v>0</v>
      </c>
      <c r="BG85" s="183">
        <f>IF(H85="Nueces",(AC85/$BG$1)*'1. UC Assumptions'!$O$44,0)</f>
        <v>0</v>
      </c>
      <c r="BH85" s="183">
        <f>IF(H85="Tarrant",(AC85/$BH$1)*'1. UC Assumptions'!$P$44,0)</f>
        <v>0</v>
      </c>
      <c r="BI85" s="183">
        <f>IF(H85="Travis",(AC85/$BI$1)*'1. UC Assumptions'!$Q$44,0)</f>
        <v>0</v>
      </c>
      <c r="BJ85" s="183">
        <f t="shared" si="22"/>
        <v>0</v>
      </c>
      <c r="BK85" s="183">
        <f t="shared" si="23"/>
        <v>0</v>
      </c>
      <c r="BL85" s="183">
        <f t="shared" si="24"/>
        <v>1250245.0361107714</v>
      </c>
      <c r="BM85" s="184">
        <f t="shared" si="25"/>
        <v>-1333208.3838892286</v>
      </c>
      <c r="BN85" s="184">
        <f>ROUNDDOWN(BM85*'1. UC Assumptions'!$C$23,2)</f>
        <v>-439958.76</v>
      </c>
      <c r="BO85" s="184"/>
      <c r="BP85" s="185"/>
      <c r="BQ85" s="32"/>
      <c r="BR85" s="32"/>
    </row>
    <row r="86" spans="1:70">
      <c r="A86" s="177" t="s">
        <v>1361</v>
      </c>
      <c r="B86" s="178" t="s">
        <v>563</v>
      </c>
      <c r="C86" s="178" t="s">
        <v>563</v>
      </c>
      <c r="D86" s="179" t="s">
        <v>214</v>
      </c>
      <c r="E86" s="179"/>
      <c r="F86" s="177"/>
      <c r="G86" s="177" t="s">
        <v>1362</v>
      </c>
      <c r="H86" s="178" t="s">
        <v>6</v>
      </c>
      <c r="I86" s="178" t="s">
        <v>6</v>
      </c>
      <c r="J86" s="131">
        <f>IFERROR(INDEX(#REF!,(MATCH('Old Calc Tab'!C:C,#REF!,0))),0)</f>
        <v>0</v>
      </c>
      <c r="K86" s="131">
        <f>IFERROR(INDEX(#REF!,(MATCH('Old Calc Tab'!$C:$C,#REF!,0))),0)</f>
        <v>0</v>
      </c>
      <c r="L86" s="131"/>
      <c r="M86" s="131">
        <v>25157553.199999999</v>
      </c>
      <c r="N86" s="131">
        <f>IFERROR(INDEX(#REF!,(MATCH('Old Calc Tab'!$C:$C,#REF!,0))),0)</f>
        <v>0</v>
      </c>
      <c r="O86" s="131">
        <f t="shared" si="13"/>
        <v>0</v>
      </c>
      <c r="P86" s="131">
        <f t="shared" si="14"/>
        <v>25157553.199999999</v>
      </c>
      <c r="Q86" s="131"/>
      <c r="R86" s="131"/>
      <c r="S86" s="131"/>
      <c r="T86" s="131"/>
      <c r="U86" s="131"/>
      <c r="V86" s="131">
        <v>0</v>
      </c>
      <c r="W86" s="180">
        <v>0</v>
      </c>
      <c r="X86" s="180">
        <f t="shared" si="15"/>
        <v>25157553.199999999</v>
      </c>
      <c r="Y86" s="181">
        <f>IF(D86="Physician Group Practice",(X86/$AE$369)*'1. UC Assumptions'!$C$15,IF(OR(E86="Rural Hospital",E86="Hosp - State"),X86,(X86/$X$369)*'1. UC Assumptions'!$C$9))</f>
        <v>15141401.118238181</v>
      </c>
      <c r="Z86" s="181">
        <f t="shared" si="16"/>
        <v>0</v>
      </c>
      <c r="AA86" s="181">
        <f t="shared" si="17"/>
        <v>10016152.081761818</v>
      </c>
      <c r="AB86" s="182">
        <f t="shared" si="18"/>
        <v>5378.985612718192</v>
      </c>
      <c r="AC86" s="181">
        <f t="shared" si="19"/>
        <v>10021531.067374537</v>
      </c>
      <c r="AD86" s="181">
        <f t="shared" si="20"/>
        <v>15146780.103850899</v>
      </c>
      <c r="AE86" s="131">
        <v>18569719.829999998</v>
      </c>
      <c r="AF86" s="131">
        <f>AE86*'1. UC Assumptions'!$C$23</f>
        <v>6128007.543899999</v>
      </c>
      <c r="AG86" s="183">
        <f>IF((((X86-W86-AE86)*'1. UC Assumptions'!$C$23)+AF86)&gt;0,((X86-W86-AE86)*'1. UC Assumptions'!$C$23)+AF86,0)</f>
        <v>8301992.5559999989</v>
      </c>
      <c r="AH86" s="183">
        <f>IF(((X86-W86-AE86)*'1. UC Assumptions'!$C$23)&gt;0,(X86-W86-AE86)*'1. UC Assumptions'!$C$23,0)</f>
        <v>2173985.0120999999</v>
      </c>
      <c r="AI86" s="183">
        <f t="shared" si="21"/>
        <v>8301992.5559999989</v>
      </c>
      <c r="AJ86" s="183">
        <f>IF(H86="Bexar",(AD86/$AJ$1)*'1. UC Assumptions'!$E$42,0)</f>
        <v>0</v>
      </c>
      <c r="AK86" s="183">
        <f>IF(H86="Dallas",(AD86/$AK$1)*'1. UC Assumptions'!$F$42,0)</f>
        <v>0</v>
      </c>
      <c r="AL86" s="183">
        <f>IF(H86="El Paso",(AD86/$AL$1)*'1. UC Assumptions'!$G$42,0)</f>
        <v>0</v>
      </c>
      <c r="AM86" s="183">
        <f>IF(H86="Harris",(AD86/$AM$1)*'1. UC Assumptions'!$H$42,0)</f>
        <v>0</v>
      </c>
      <c r="AN86" s="183">
        <f>IF(H86="Hidalgo",(AD86/$AN$1)*'1. UC Assumptions'!$I$42,0)</f>
        <v>0</v>
      </c>
      <c r="AO86" s="183">
        <f>IF(H86="Jefferson",(AD86/$AO$1)*'1. UC Assumptions'!$J$42,0)</f>
        <v>0</v>
      </c>
      <c r="AP86" s="183">
        <f>IF(H86="Lubbock",(AD86/$AP$1)*'1. UC Assumptions'!$K$42,0)</f>
        <v>0</v>
      </c>
      <c r="AQ86" s="183">
        <f>IF(H86="MRSA Central",(AD86/$AQ$1)*'1. UC Assumptions'!$L$42,0)</f>
        <v>0</v>
      </c>
      <c r="AR86" s="183">
        <f>IF(H86="MRSA Northeast",(AD86/$AR$1)*'1. UC Assumptions'!$M$42,0)</f>
        <v>0</v>
      </c>
      <c r="AS86" s="183">
        <f>IF(H86="MRSA West",(AD86/$AS$1)*'1. UC Assumptions'!$N$42,0)</f>
        <v>0</v>
      </c>
      <c r="AT86" s="183">
        <f>IF(H86="Nueces",(AD86/$AT$1)*'1. UC Assumptions'!$O$42,0)</f>
        <v>0</v>
      </c>
      <c r="AU86" s="183">
        <f>IF(H86="Tarrant",(AD86/$AU$1)*'1. UC Assumptions'!$P$42,0)</f>
        <v>0</v>
      </c>
      <c r="AV86" s="183">
        <f>IF(H86="Travis",(AD86/$AV$1)*'1. UC Assumptions'!$Q$42,0)</f>
        <v>0</v>
      </c>
      <c r="AW86" s="183">
        <f>IF(H86="Bexar",(AC86/$AW$1)*'1. UC Assumptions'!$E$44,0)</f>
        <v>0</v>
      </c>
      <c r="AX86" s="183">
        <f>IF(H86="Dallas",(AC86/$AX$1)*'1. UC Assumptions'!$F$44,0)</f>
        <v>0</v>
      </c>
      <c r="AY86" s="183">
        <f>IF(H86="El Paso",(AC86/$AY$1)*'1. UC Assumptions'!$G$44,0)</f>
        <v>0</v>
      </c>
      <c r="AZ86" s="183">
        <f>IF(H86="Harris",(AC86/$AZ$1)*'1. UC Assumptions'!$H$44,0)</f>
        <v>0</v>
      </c>
      <c r="BA86" s="183">
        <f>IF(H86="Hidalgo",(AC86/$BA$1)*'1. UC Assumptions'!$I$44,0)</f>
        <v>0</v>
      </c>
      <c r="BB86" s="183">
        <f>IF(H86="Jefferson",(AC86/$BB$1)*'1. UC Assumptions'!$J$44,0)</f>
        <v>0</v>
      </c>
      <c r="BC86" s="183">
        <f>IF(H86="Lubbock",(AC86/$BC$1)*'1. UC Assumptions'!$K$44,0)</f>
        <v>0</v>
      </c>
      <c r="BD86" s="183">
        <f>IF(H86="MRSA Central",(AC86/$BD$1)*'1. UC Assumptions'!$L$44,0)</f>
        <v>0</v>
      </c>
      <c r="BE86" s="183">
        <f>IF(H86="MRSA Northeast",(AC86/$BE$1)*'1. UC Assumptions'!$M$44,0)</f>
        <v>0</v>
      </c>
      <c r="BF86" s="183">
        <f>IF(H86="MRSA West",(AC86/$BF$1)*'1. UC Assumptions'!$N$44,0)</f>
        <v>0</v>
      </c>
      <c r="BG86" s="183">
        <f>IF(H86="Nueces",(AC86/$BG$1)*'1. UC Assumptions'!$O$44,0)</f>
        <v>0</v>
      </c>
      <c r="BH86" s="183">
        <f>IF(H86="Tarrant",(AC86/$BH$1)*'1. UC Assumptions'!$P$44,0)</f>
        <v>0</v>
      </c>
      <c r="BI86" s="183">
        <f>IF(H86="Travis",(AC86/$BI$1)*'1. UC Assumptions'!$Q$44,0)</f>
        <v>0</v>
      </c>
      <c r="BJ86" s="183">
        <f t="shared" si="22"/>
        <v>0</v>
      </c>
      <c r="BK86" s="183">
        <f t="shared" si="23"/>
        <v>0</v>
      </c>
      <c r="BL86" s="183">
        <f t="shared" si="24"/>
        <v>15146780.103850899</v>
      </c>
      <c r="BM86" s="184">
        <f t="shared" si="25"/>
        <v>-3422939.7261490989</v>
      </c>
      <c r="BN86" s="184">
        <f>ROUNDDOWN(BM86*'1. UC Assumptions'!$C$23,2)</f>
        <v>-1129570.1000000001</v>
      </c>
      <c r="BO86" s="184"/>
      <c r="BP86" s="185"/>
      <c r="BQ86" s="32"/>
      <c r="BR86" s="32"/>
    </row>
    <row r="87" spans="1:70">
      <c r="A87" s="177" t="s">
        <v>1363</v>
      </c>
      <c r="B87" s="178" t="s">
        <v>568</v>
      </c>
      <c r="C87" s="178" t="s">
        <v>568</v>
      </c>
      <c r="D87" s="179" t="s">
        <v>208</v>
      </c>
      <c r="E87" s="179"/>
      <c r="F87" s="177"/>
      <c r="G87" s="177" t="s">
        <v>569</v>
      </c>
      <c r="H87" s="178" t="s">
        <v>6</v>
      </c>
      <c r="I87" s="178" t="s">
        <v>384</v>
      </c>
      <c r="J87" s="131">
        <f>IFERROR(INDEX(#REF!,(MATCH('Old Calc Tab'!C:C,#REF!,0))),0)</f>
        <v>0</v>
      </c>
      <c r="K87" s="131">
        <f>IFERROR(INDEX(#REF!,(MATCH('Old Calc Tab'!$C:$C,#REF!,0))),0)</f>
        <v>0</v>
      </c>
      <c r="L87" s="131"/>
      <c r="M87" s="131">
        <v>931075</v>
      </c>
      <c r="N87" s="131">
        <f>IFERROR(INDEX(#REF!,(MATCH('Old Calc Tab'!$C:$C,#REF!,0))),0)</f>
        <v>0</v>
      </c>
      <c r="O87" s="131">
        <f t="shared" si="13"/>
        <v>0</v>
      </c>
      <c r="P87" s="131">
        <f t="shared" si="14"/>
        <v>931075</v>
      </c>
      <c r="Q87" s="131"/>
      <c r="R87" s="131"/>
      <c r="S87" s="131"/>
      <c r="T87" s="131"/>
      <c r="U87" s="131"/>
      <c r="V87" s="131">
        <v>931075</v>
      </c>
      <c r="W87" s="180">
        <v>0</v>
      </c>
      <c r="X87" s="180">
        <f t="shared" si="15"/>
        <v>1862150</v>
      </c>
      <c r="Y87" s="181">
        <f>IF(D87="Physician Group Practice",(X87/$AE$369)*'1. UC Assumptions'!$C$15,IF(OR(E87="Rural Hospital",E87="Hosp - State"),X87,(X87/$X$369)*'1. UC Assumptions'!$C$9))</f>
        <v>1120759.2355335744</v>
      </c>
      <c r="Z87" s="181">
        <f t="shared" si="16"/>
        <v>0</v>
      </c>
      <c r="AA87" s="181">
        <f t="shared" si="17"/>
        <v>741390.76446642564</v>
      </c>
      <c r="AB87" s="182">
        <f t="shared" si="18"/>
        <v>398.14993052357659</v>
      </c>
      <c r="AC87" s="181">
        <f t="shared" si="19"/>
        <v>741788.91439694923</v>
      </c>
      <c r="AD87" s="181">
        <f t="shared" si="20"/>
        <v>1121157.3854640978</v>
      </c>
      <c r="AE87" s="131">
        <v>4483007.76</v>
      </c>
      <c r="AF87" s="131">
        <f>AE87*'1. UC Assumptions'!$C$23</f>
        <v>1479392.5607999999</v>
      </c>
      <c r="AG87" s="183">
        <f>IF((((X87-W87-AE87)*'1. UC Assumptions'!$C$23)+AF87)&gt;0,((X87-W87-AE87)*'1. UC Assumptions'!$C$23)+AF87,0)</f>
        <v>614509.5</v>
      </c>
      <c r="AH87" s="183">
        <f>IF(((X87-W87-AE87)*'1. UC Assumptions'!$C$23)&gt;0,(X87-W87-AE87)*'1. UC Assumptions'!$C$23,0)</f>
        <v>0</v>
      </c>
      <c r="AI87" s="183">
        <f t="shared" si="21"/>
        <v>1479392.5607999999</v>
      </c>
      <c r="AJ87" s="183">
        <f>IF(H87="Bexar",(AD87/$AJ$1)*'1. UC Assumptions'!$E$42,0)</f>
        <v>0</v>
      </c>
      <c r="AK87" s="183">
        <f>IF(H87="Dallas",(AD87/$AK$1)*'1. UC Assumptions'!$F$42,0)</f>
        <v>0</v>
      </c>
      <c r="AL87" s="183">
        <f>IF(H87="El Paso",(AD87/$AL$1)*'1. UC Assumptions'!$G$42,0)</f>
        <v>0</v>
      </c>
      <c r="AM87" s="183">
        <f>IF(H87="Harris",(AD87/$AM$1)*'1. UC Assumptions'!$H$42,0)</f>
        <v>0</v>
      </c>
      <c r="AN87" s="183">
        <f>IF(H87="Hidalgo",(AD87/$AN$1)*'1. UC Assumptions'!$I$42,0)</f>
        <v>0</v>
      </c>
      <c r="AO87" s="183">
        <f>IF(H87="Jefferson",(AD87/$AO$1)*'1. UC Assumptions'!$J$42,0)</f>
        <v>0</v>
      </c>
      <c r="AP87" s="183">
        <f>IF(H87="Lubbock",(AD87/$AP$1)*'1. UC Assumptions'!$K$42,0)</f>
        <v>0</v>
      </c>
      <c r="AQ87" s="183">
        <f>IF(H87="MRSA Central",(AD87/$AQ$1)*'1. UC Assumptions'!$L$42,0)</f>
        <v>0</v>
      </c>
      <c r="AR87" s="183">
        <f>IF(H87="MRSA Northeast",(AD87/$AR$1)*'1. UC Assumptions'!$M$42,0)</f>
        <v>0</v>
      </c>
      <c r="AS87" s="183">
        <f>IF(H87="MRSA West",(AD87/$AS$1)*'1. UC Assumptions'!$N$42,0)</f>
        <v>0</v>
      </c>
      <c r="AT87" s="183">
        <f>IF(H87="Nueces",(AD87/$AT$1)*'1. UC Assumptions'!$O$42,0)</f>
        <v>0</v>
      </c>
      <c r="AU87" s="183">
        <f>IF(H87="Tarrant",(AD87/$AU$1)*'1. UC Assumptions'!$P$42,0)</f>
        <v>0</v>
      </c>
      <c r="AV87" s="183">
        <f>IF(H87="Travis",(AD87/$AV$1)*'1. UC Assumptions'!$Q$42,0)</f>
        <v>0</v>
      </c>
      <c r="AW87" s="183">
        <f>IF(H87="Bexar",(AC87/$AW$1)*'1. UC Assumptions'!$E$44,0)</f>
        <v>0</v>
      </c>
      <c r="AX87" s="183">
        <f>IF(H87="Dallas",(AC87/$AX$1)*'1. UC Assumptions'!$F$44,0)</f>
        <v>0</v>
      </c>
      <c r="AY87" s="183">
        <f>IF(H87="El Paso",(AC87/$AY$1)*'1. UC Assumptions'!$G$44,0)</f>
        <v>0</v>
      </c>
      <c r="AZ87" s="183">
        <f>IF(H87="Harris",(AC87/$AZ$1)*'1. UC Assumptions'!$H$44,0)</f>
        <v>0</v>
      </c>
      <c r="BA87" s="183">
        <f>IF(H87="Hidalgo",(AC87/$BA$1)*'1. UC Assumptions'!$I$44,0)</f>
        <v>0</v>
      </c>
      <c r="BB87" s="183">
        <f>IF(H87="Jefferson",(AC87/$BB$1)*'1. UC Assumptions'!$J$44,0)</f>
        <v>0</v>
      </c>
      <c r="BC87" s="183">
        <f>IF(H87="Lubbock",(AC87/$BC$1)*'1. UC Assumptions'!$K$44,0)</f>
        <v>0</v>
      </c>
      <c r="BD87" s="183">
        <f>IF(H87="MRSA Central",(AC87/$BD$1)*'1. UC Assumptions'!$L$44,0)</f>
        <v>0</v>
      </c>
      <c r="BE87" s="183">
        <f>IF(H87="MRSA Northeast",(AC87/$BE$1)*'1. UC Assumptions'!$M$44,0)</f>
        <v>0</v>
      </c>
      <c r="BF87" s="183">
        <f>IF(H87="MRSA West",(AC87/$BF$1)*'1. UC Assumptions'!$N$44,0)</f>
        <v>0</v>
      </c>
      <c r="BG87" s="183">
        <f>IF(H87="Nueces",(AC87/$BG$1)*'1. UC Assumptions'!$O$44,0)</f>
        <v>0</v>
      </c>
      <c r="BH87" s="183">
        <f>IF(H87="Tarrant",(AC87/$BH$1)*'1. UC Assumptions'!$P$44,0)</f>
        <v>0</v>
      </c>
      <c r="BI87" s="183">
        <f>IF(H87="Travis",(AC87/$BI$1)*'1. UC Assumptions'!$Q$44,0)</f>
        <v>0</v>
      </c>
      <c r="BJ87" s="183">
        <f t="shared" si="22"/>
        <v>0</v>
      </c>
      <c r="BK87" s="183">
        <f t="shared" si="23"/>
        <v>0</v>
      </c>
      <c r="BL87" s="183">
        <f t="shared" si="24"/>
        <v>1121157.3854640978</v>
      </c>
      <c r="BM87" s="184">
        <f t="shared" si="25"/>
        <v>-3361850.3745359019</v>
      </c>
      <c r="BN87" s="184">
        <f>ROUNDDOWN(BM87*'1. UC Assumptions'!$C$23,2)</f>
        <v>-1109410.6200000001</v>
      </c>
      <c r="BO87" s="184"/>
      <c r="BP87" s="185"/>
      <c r="BQ87" s="32"/>
      <c r="BR87" s="32"/>
    </row>
    <row r="88" spans="1:70">
      <c r="A88" s="177" t="s">
        <v>1364</v>
      </c>
      <c r="B88" s="178" t="s">
        <v>606</v>
      </c>
      <c r="C88" s="178" t="s">
        <v>606</v>
      </c>
      <c r="D88" s="179" t="s">
        <v>208</v>
      </c>
      <c r="E88" s="179" t="s">
        <v>149</v>
      </c>
      <c r="F88" s="177"/>
      <c r="G88" s="177" t="s">
        <v>607</v>
      </c>
      <c r="H88" s="178" t="s">
        <v>6</v>
      </c>
      <c r="I88" s="178" t="s">
        <v>608</v>
      </c>
      <c r="J88" s="131">
        <f>IFERROR(INDEX(#REF!,(MATCH('Old Calc Tab'!C:C,#REF!,0))),0)</f>
        <v>0</v>
      </c>
      <c r="K88" s="131">
        <f>IFERROR(INDEX(#REF!,(MATCH('Old Calc Tab'!$C:$C,#REF!,0))),0)</f>
        <v>0</v>
      </c>
      <c r="L88" s="131"/>
      <c r="M88" s="131">
        <v>917191.8</v>
      </c>
      <c r="N88" s="131">
        <f>IFERROR(INDEX(#REF!,(MATCH('Old Calc Tab'!$C:$C,#REF!,0))),0)</f>
        <v>0</v>
      </c>
      <c r="O88" s="131">
        <f t="shared" si="13"/>
        <v>0</v>
      </c>
      <c r="P88" s="131">
        <f t="shared" si="14"/>
        <v>917191.8</v>
      </c>
      <c r="Q88" s="131"/>
      <c r="R88" s="131"/>
      <c r="S88" s="131"/>
      <c r="T88" s="131"/>
      <c r="U88" s="131"/>
      <c r="V88" s="131">
        <v>33605</v>
      </c>
      <c r="W88" s="180">
        <v>0</v>
      </c>
      <c r="X88" s="180">
        <f t="shared" si="15"/>
        <v>950796.80000000005</v>
      </c>
      <c r="Y88" s="181">
        <f>IF(D88="Physician Group Practice",(X88/$AE$369)*'1. UC Assumptions'!$C$15,IF(OR(E88="Rural Hospital",E88="Hosp - State"),X88,(X88/$X$369)*'1. UC Assumptions'!$C$9))</f>
        <v>950796.80000000005</v>
      </c>
      <c r="Z88" s="181">
        <f t="shared" si="16"/>
        <v>0</v>
      </c>
      <c r="AA88" s="181">
        <f t="shared" si="17"/>
        <v>0</v>
      </c>
      <c r="AB88" s="182">
        <f t="shared" si="18"/>
        <v>0</v>
      </c>
      <c r="AC88" s="181">
        <f t="shared" si="19"/>
        <v>0</v>
      </c>
      <c r="AD88" s="181">
        <f t="shared" si="20"/>
        <v>950796.80000000005</v>
      </c>
      <c r="AE88" s="131">
        <v>453596.33</v>
      </c>
      <c r="AF88" s="131">
        <f>AE88*'1. UC Assumptions'!$C$23</f>
        <v>149686.78889999999</v>
      </c>
      <c r="AG88" s="183">
        <f>IF((((X88-W88-AE88)*'1. UC Assumptions'!$C$23)+AF88)&gt;0,((X88-W88-AE88)*'1. UC Assumptions'!$C$23)+AF88,0)</f>
        <v>313762.94400000002</v>
      </c>
      <c r="AH88" s="183">
        <f>IF(((X88-W88-AE88)*'1. UC Assumptions'!$C$23)&gt;0,(X88-W88-AE88)*'1. UC Assumptions'!$C$23,0)</f>
        <v>164076.1551</v>
      </c>
      <c r="AI88" s="183">
        <f t="shared" si="21"/>
        <v>313762.94400000002</v>
      </c>
      <c r="AJ88" s="183">
        <f>IF(H88="Bexar",(AD88/$AJ$1)*'1. UC Assumptions'!$E$42,0)</f>
        <v>0</v>
      </c>
      <c r="AK88" s="183">
        <f>IF(H88="Dallas",(AD88/$AK$1)*'1. UC Assumptions'!$F$42,0)</f>
        <v>0</v>
      </c>
      <c r="AL88" s="183">
        <f>IF(H88="El Paso",(AD88/$AL$1)*'1. UC Assumptions'!$G$42,0)</f>
        <v>0</v>
      </c>
      <c r="AM88" s="183">
        <f>IF(H88="Harris",(AD88/$AM$1)*'1. UC Assumptions'!$H$42,0)</f>
        <v>0</v>
      </c>
      <c r="AN88" s="183">
        <f>IF(H88="Hidalgo",(AD88/$AN$1)*'1. UC Assumptions'!$I$42,0)</f>
        <v>0</v>
      </c>
      <c r="AO88" s="183">
        <f>IF(H88="Jefferson",(AD88/$AO$1)*'1. UC Assumptions'!$J$42,0)</f>
        <v>0</v>
      </c>
      <c r="AP88" s="183">
        <f>IF(H88="Lubbock",(AD88/$AP$1)*'1. UC Assumptions'!$K$42,0)</f>
        <v>0</v>
      </c>
      <c r="AQ88" s="183">
        <f>IF(H88="MRSA Central",(AD88/$AQ$1)*'1. UC Assumptions'!$L$42,0)</f>
        <v>0</v>
      </c>
      <c r="AR88" s="183">
        <f>IF(H88="MRSA Northeast",(AD88/$AR$1)*'1. UC Assumptions'!$M$42,0)</f>
        <v>0</v>
      </c>
      <c r="AS88" s="183">
        <f>IF(H88="MRSA West",(AD88/$AS$1)*'1. UC Assumptions'!$N$42,0)</f>
        <v>0</v>
      </c>
      <c r="AT88" s="183">
        <f>IF(H88="Nueces",(AD88/$AT$1)*'1. UC Assumptions'!$O$42,0)</f>
        <v>0</v>
      </c>
      <c r="AU88" s="183">
        <f>IF(H88="Tarrant",(AD88/$AU$1)*'1. UC Assumptions'!$P$42,0)</f>
        <v>0</v>
      </c>
      <c r="AV88" s="183">
        <f>IF(H88="Travis",(AD88/$AV$1)*'1. UC Assumptions'!$Q$42,0)</f>
        <v>0</v>
      </c>
      <c r="AW88" s="183">
        <f>IF(H88="Bexar",(AC88/$AW$1)*'1. UC Assumptions'!$E$44,0)</f>
        <v>0</v>
      </c>
      <c r="AX88" s="183">
        <f>IF(H88="Dallas",(AC88/$AX$1)*'1. UC Assumptions'!$F$44,0)</f>
        <v>0</v>
      </c>
      <c r="AY88" s="183">
        <f>IF(H88="El Paso",(AC88/$AY$1)*'1. UC Assumptions'!$G$44,0)</f>
        <v>0</v>
      </c>
      <c r="AZ88" s="183">
        <f>IF(H88="Harris",(AC88/$AZ$1)*'1. UC Assumptions'!$H$44,0)</f>
        <v>0</v>
      </c>
      <c r="BA88" s="183">
        <f>IF(H88="Hidalgo",(AC88/$BA$1)*'1. UC Assumptions'!$I$44,0)</f>
        <v>0</v>
      </c>
      <c r="BB88" s="183">
        <f>IF(H88="Jefferson",(AC88/$BB$1)*'1. UC Assumptions'!$J$44,0)</f>
        <v>0</v>
      </c>
      <c r="BC88" s="183">
        <f>IF(H88="Lubbock",(AC88/$BC$1)*'1. UC Assumptions'!$K$44,0)</f>
        <v>0</v>
      </c>
      <c r="BD88" s="183">
        <f>IF(H88="MRSA Central",(AC88/$BD$1)*'1. UC Assumptions'!$L$44,0)</f>
        <v>0</v>
      </c>
      <c r="BE88" s="183">
        <f>IF(H88="MRSA Northeast",(AC88/$BE$1)*'1. UC Assumptions'!$M$44,0)</f>
        <v>0</v>
      </c>
      <c r="BF88" s="183">
        <f>IF(H88="MRSA West",(AC88/$BF$1)*'1. UC Assumptions'!$N$44,0)</f>
        <v>0</v>
      </c>
      <c r="BG88" s="183">
        <f>IF(H88="Nueces",(AC88/$BG$1)*'1. UC Assumptions'!$O$44,0)</f>
        <v>0</v>
      </c>
      <c r="BH88" s="183">
        <f>IF(H88="Tarrant",(AC88/$BH$1)*'1. UC Assumptions'!$P$44,0)</f>
        <v>0</v>
      </c>
      <c r="BI88" s="183">
        <f>IF(H88="Travis",(AC88/$BI$1)*'1. UC Assumptions'!$Q$44,0)</f>
        <v>0</v>
      </c>
      <c r="BJ88" s="183">
        <f t="shared" si="22"/>
        <v>0</v>
      </c>
      <c r="BK88" s="183">
        <f t="shared" si="23"/>
        <v>0</v>
      </c>
      <c r="BL88" s="183">
        <f t="shared" si="24"/>
        <v>950796.80000000005</v>
      </c>
      <c r="BM88" s="184">
        <f t="shared" si="25"/>
        <v>497200.47000000003</v>
      </c>
      <c r="BN88" s="184">
        <f>ROUNDDOWN(BM88*'1. UC Assumptions'!$C$23,2)</f>
        <v>164076.15</v>
      </c>
      <c r="BO88" s="184"/>
      <c r="BP88" s="185"/>
      <c r="BQ88" s="32"/>
      <c r="BR88" s="32"/>
    </row>
    <row r="89" spans="1:70">
      <c r="A89" s="177" t="s">
        <v>1365</v>
      </c>
      <c r="B89" s="177" t="s">
        <v>635</v>
      </c>
      <c r="C89" s="178" t="s">
        <v>635</v>
      </c>
      <c r="D89" s="179" t="s">
        <v>539</v>
      </c>
      <c r="E89" s="179"/>
      <c r="F89" s="177"/>
      <c r="G89" s="177" t="s">
        <v>636</v>
      </c>
      <c r="H89" s="178" t="s">
        <v>6</v>
      </c>
      <c r="I89" s="178" t="s">
        <v>6</v>
      </c>
      <c r="J89" s="131">
        <f>IFERROR(INDEX(#REF!,(MATCH('Old Calc Tab'!C:C,#REF!,0))),0)</f>
        <v>0</v>
      </c>
      <c r="K89" s="131">
        <f>IFERROR(INDEX(#REF!,(MATCH('Old Calc Tab'!$C:$C,#REF!,0))),0)</f>
        <v>0</v>
      </c>
      <c r="L89" s="131"/>
      <c r="M89" s="131">
        <v>538147032.25100005</v>
      </c>
      <c r="N89" s="131">
        <f>IFERROR(INDEX(#REF!,(MATCH('Old Calc Tab'!$C:$C,#REF!,0))),0)</f>
        <v>0</v>
      </c>
      <c r="O89" s="131">
        <f t="shared" si="13"/>
        <v>0</v>
      </c>
      <c r="P89" s="131">
        <f t="shared" si="14"/>
        <v>538147032.25100005</v>
      </c>
      <c r="Q89" s="131"/>
      <c r="R89" s="131"/>
      <c r="S89" s="131"/>
      <c r="T89" s="131"/>
      <c r="U89" s="131"/>
      <c r="V89" s="131">
        <v>65566742.450000003</v>
      </c>
      <c r="W89" s="180">
        <v>165946073.96000004</v>
      </c>
      <c r="X89" s="180">
        <f t="shared" si="15"/>
        <v>769659848.66100013</v>
      </c>
      <c r="Y89" s="181">
        <f>IF(D89="Physician Group Practice",(X89/$AE$369)*'1. UC Assumptions'!$C$15,IF(OR(E89="Rural Hospital",E89="Hosp - State"),X89,(X89/$X$369)*'1. UC Assumptions'!$C$9))</f>
        <v>463229806.19509119</v>
      </c>
      <c r="Z89" s="181">
        <f t="shared" si="16"/>
        <v>0</v>
      </c>
      <c r="AA89" s="181">
        <f t="shared" si="17"/>
        <v>140483968.50590891</v>
      </c>
      <c r="AB89" s="182">
        <f t="shared" si="18"/>
        <v>75444.266345237091</v>
      </c>
      <c r="AC89" s="181">
        <f t="shared" si="19"/>
        <v>140559412.77225414</v>
      </c>
      <c r="AD89" s="181">
        <f t="shared" si="20"/>
        <v>463305250.46143645</v>
      </c>
      <c r="AE89" s="131">
        <v>101968468.20999999</v>
      </c>
      <c r="AF89" s="131">
        <f>AE89*'1. UC Assumptions'!$C$23</f>
        <v>33649594.509299994</v>
      </c>
      <c r="AG89" s="183">
        <f>IF((((X89-W89-AE89)*'1. UC Assumptions'!$C$23)+AF89)&gt;0,((X89-W89-AE89)*'1. UC Assumptions'!$C$23)+AF89,0)</f>
        <v>199225545.65133002</v>
      </c>
      <c r="AH89" s="183">
        <f>IF(((X89-W89-AE89)*'1. UC Assumptions'!$C$23)&gt;0,(X89-W89-AE89)*'1. UC Assumptions'!$C$23,0)</f>
        <v>165575951.14203003</v>
      </c>
      <c r="AI89" s="183">
        <f t="shared" si="21"/>
        <v>199225545.65133002</v>
      </c>
      <c r="AJ89" s="183">
        <f>IF(H89="Bexar",(AD89/$AJ$1)*'1. UC Assumptions'!$E$42,0)</f>
        <v>0</v>
      </c>
      <c r="AK89" s="183">
        <f>IF(H89="Dallas",(AD89/$AK$1)*'1. UC Assumptions'!$F$42,0)</f>
        <v>0</v>
      </c>
      <c r="AL89" s="183">
        <f>IF(H89="El Paso",(AD89/$AL$1)*'1. UC Assumptions'!$G$42,0)</f>
        <v>0</v>
      </c>
      <c r="AM89" s="183">
        <f>IF(H89="Harris",(AD89/$AM$1)*'1. UC Assumptions'!$H$42,0)</f>
        <v>0</v>
      </c>
      <c r="AN89" s="183">
        <f>IF(H89="Hidalgo",(AD89/$AN$1)*'1. UC Assumptions'!$I$42,0)</f>
        <v>0</v>
      </c>
      <c r="AO89" s="183">
        <f>IF(H89="Jefferson",(AD89/$AO$1)*'1. UC Assumptions'!$J$42,0)</f>
        <v>0</v>
      </c>
      <c r="AP89" s="183">
        <f>IF(H89="Lubbock",(AD89/$AP$1)*'1. UC Assumptions'!$K$42,0)</f>
        <v>0</v>
      </c>
      <c r="AQ89" s="183">
        <f>IF(H89="MRSA Central",(AD89/$AQ$1)*'1. UC Assumptions'!$L$42,0)</f>
        <v>0</v>
      </c>
      <c r="AR89" s="183">
        <f>IF(H89="MRSA Northeast",(AD89/$AR$1)*'1. UC Assumptions'!$M$42,0)</f>
        <v>0</v>
      </c>
      <c r="AS89" s="183">
        <f>IF(H89="MRSA West",(AD89/$AS$1)*'1. UC Assumptions'!$N$42,0)</f>
        <v>0</v>
      </c>
      <c r="AT89" s="183">
        <f>IF(H89="Nueces",(AD89/$AT$1)*'1. UC Assumptions'!$O$42,0)</f>
        <v>0</v>
      </c>
      <c r="AU89" s="183">
        <f>IF(H89="Tarrant",(AD89/$AU$1)*'1. UC Assumptions'!$P$42,0)</f>
        <v>0</v>
      </c>
      <c r="AV89" s="183">
        <f>IF(H89="Travis",(AD89/$AV$1)*'1. UC Assumptions'!$Q$42,0)</f>
        <v>0</v>
      </c>
      <c r="AW89" s="183">
        <f>IF(H89="Bexar",(AC89/$AW$1)*'1. UC Assumptions'!$E$44,0)</f>
        <v>0</v>
      </c>
      <c r="AX89" s="183">
        <f>IF(H89="Dallas",(AC89/$AX$1)*'1. UC Assumptions'!$F$44,0)</f>
        <v>0</v>
      </c>
      <c r="AY89" s="183">
        <f>IF(H89="El Paso",(AC89/$AY$1)*'1. UC Assumptions'!$G$44,0)</f>
        <v>0</v>
      </c>
      <c r="AZ89" s="183">
        <f>IF(H89="Harris",(AC89/$AZ$1)*'1. UC Assumptions'!$H$44,0)</f>
        <v>0</v>
      </c>
      <c r="BA89" s="183">
        <f>IF(H89="Hidalgo",(AC89/$BA$1)*'1. UC Assumptions'!$I$44,0)</f>
        <v>0</v>
      </c>
      <c r="BB89" s="183">
        <f>IF(H89="Jefferson",(AC89/$BB$1)*'1. UC Assumptions'!$J$44,0)</f>
        <v>0</v>
      </c>
      <c r="BC89" s="183">
        <f>IF(H89="Lubbock",(AC89/$BC$1)*'1. UC Assumptions'!$K$44,0)</f>
        <v>0</v>
      </c>
      <c r="BD89" s="183">
        <f>IF(H89="MRSA Central",(AC89/$BD$1)*'1. UC Assumptions'!$L$44,0)</f>
        <v>0</v>
      </c>
      <c r="BE89" s="183">
        <f>IF(H89="MRSA Northeast",(AC89/$BE$1)*'1. UC Assumptions'!$M$44,0)</f>
        <v>0</v>
      </c>
      <c r="BF89" s="183">
        <f>IF(H89="MRSA West",(AC89/$BF$1)*'1. UC Assumptions'!$N$44,0)</f>
        <v>0</v>
      </c>
      <c r="BG89" s="183">
        <f>IF(H89="Nueces",(AC89/$BG$1)*'1. UC Assumptions'!$O$44,0)</f>
        <v>0</v>
      </c>
      <c r="BH89" s="183">
        <f>IF(H89="Tarrant",(AC89/$BH$1)*'1. UC Assumptions'!$P$44,0)</f>
        <v>0</v>
      </c>
      <c r="BI89" s="183">
        <f>IF(H89="Travis",(AC89/$BI$1)*'1. UC Assumptions'!$Q$44,0)</f>
        <v>0</v>
      </c>
      <c r="BJ89" s="183">
        <f t="shared" si="22"/>
        <v>0</v>
      </c>
      <c r="BK89" s="183">
        <f t="shared" si="23"/>
        <v>0</v>
      </c>
      <c r="BL89" s="183">
        <f t="shared" si="24"/>
        <v>463305250.46143645</v>
      </c>
      <c r="BM89" s="184">
        <f t="shared" si="25"/>
        <v>361336782.25143647</v>
      </c>
      <c r="BN89" s="184">
        <f>ROUNDDOWN(BM89*'1. UC Assumptions'!$C$23,2)</f>
        <v>119241138.14</v>
      </c>
      <c r="BO89" s="184"/>
      <c r="BP89" s="186"/>
      <c r="BQ89" s="32"/>
      <c r="BR89" s="32"/>
    </row>
    <row r="90" spans="1:70">
      <c r="A90" s="177" t="s">
        <v>1366</v>
      </c>
      <c r="B90" s="178" t="s">
        <v>732</v>
      </c>
      <c r="C90" s="178" t="s">
        <v>732</v>
      </c>
      <c r="D90" s="179" t="s">
        <v>214</v>
      </c>
      <c r="E90" s="179"/>
      <c r="F90" s="177"/>
      <c r="G90" s="177" t="s">
        <v>733</v>
      </c>
      <c r="H90" s="178" t="s">
        <v>6</v>
      </c>
      <c r="I90" s="178" t="s">
        <v>6</v>
      </c>
      <c r="J90" s="131">
        <f>IFERROR(INDEX(#REF!,(MATCH('Old Calc Tab'!C:C,#REF!,0))),0)</f>
        <v>0</v>
      </c>
      <c r="K90" s="131">
        <f>IFERROR(INDEX(#REF!,(MATCH('Old Calc Tab'!$C:$C,#REF!,0))),0)</f>
        <v>0</v>
      </c>
      <c r="L90" s="131"/>
      <c r="M90" s="131">
        <v>73560153.200000003</v>
      </c>
      <c r="N90" s="131">
        <f>IFERROR(INDEX(#REF!,(MATCH('Old Calc Tab'!$C:$C,#REF!,0))),0)</f>
        <v>0</v>
      </c>
      <c r="O90" s="131">
        <f t="shared" si="13"/>
        <v>0</v>
      </c>
      <c r="P90" s="131">
        <f t="shared" si="14"/>
        <v>73560153.200000003</v>
      </c>
      <c r="Q90" s="131"/>
      <c r="R90" s="131"/>
      <c r="S90" s="131"/>
      <c r="T90" s="131"/>
      <c r="U90" s="131"/>
      <c r="V90" s="131">
        <v>6337406</v>
      </c>
      <c r="W90" s="180">
        <v>0</v>
      </c>
      <c r="X90" s="180">
        <f t="shared" si="15"/>
        <v>79897559.200000003</v>
      </c>
      <c r="Y90" s="181">
        <f>IF(D90="Physician Group Practice",(X90/$AE$369)*'1. UC Assumptions'!$C$15,IF(OR(E90="Rural Hospital",E90="Hosp - State"),X90,(X90/$X$369)*'1. UC Assumptions'!$C$9))</f>
        <v>48087386.82167951</v>
      </c>
      <c r="Z90" s="181">
        <f t="shared" si="16"/>
        <v>0</v>
      </c>
      <c r="AA90" s="181">
        <f t="shared" si="17"/>
        <v>31810172.378320493</v>
      </c>
      <c r="AB90" s="182">
        <f t="shared" si="18"/>
        <v>17083.05326879325</v>
      </c>
      <c r="AC90" s="181">
        <f t="shared" si="19"/>
        <v>31827255.431589287</v>
      </c>
      <c r="AD90" s="181">
        <f t="shared" si="20"/>
        <v>48104469.8749483</v>
      </c>
      <c r="AE90" s="131">
        <v>46447864.350000001</v>
      </c>
      <c r="AF90" s="131">
        <f>AE90*'1. UC Assumptions'!$C$23</f>
        <v>15327795.235499999</v>
      </c>
      <c r="AG90" s="183">
        <f>IF((((X90-W90-AE90)*'1. UC Assumptions'!$C$23)+AF90)&gt;0,((X90-W90-AE90)*'1. UC Assumptions'!$C$23)+AF90,0)</f>
        <v>26366194.535999998</v>
      </c>
      <c r="AH90" s="183">
        <f>IF(((X90-W90-AE90)*'1. UC Assumptions'!$C$23)&gt;0,(X90-W90-AE90)*'1. UC Assumptions'!$C$23,0)</f>
        <v>11038399.3005</v>
      </c>
      <c r="AI90" s="183">
        <f t="shared" si="21"/>
        <v>26366194.535999998</v>
      </c>
      <c r="AJ90" s="183">
        <f>IF(H90="Bexar",(AD90/$AJ$1)*'1. UC Assumptions'!$E$42,0)</f>
        <v>0</v>
      </c>
      <c r="AK90" s="183">
        <f>IF(H90="Dallas",(AD90/$AK$1)*'1. UC Assumptions'!$F$42,0)</f>
        <v>0</v>
      </c>
      <c r="AL90" s="183">
        <f>IF(H90="El Paso",(AD90/$AL$1)*'1. UC Assumptions'!$G$42,0)</f>
        <v>0</v>
      </c>
      <c r="AM90" s="183">
        <f>IF(H90="Harris",(AD90/$AM$1)*'1. UC Assumptions'!$H$42,0)</f>
        <v>0</v>
      </c>
      <c r="AN90" s="183">
        <f>IF(H90="Hidalgo",(AD90/$AN$1)*'1. UC Assumptions'!$I$42,0)</f>
        <v>0</v>
      </c>
      <c r="AO90" s="183">
        <f>IF(H90="Jefferson",(AD90/$AO$1)*'1. UC Assumptions'!$J$42,0)</f>
        <v>0</v>
      </c>
      <c r="AP90" s="183">
        <f>IF(H90="Lubbock",(AD90/$AP$1)*'1. UC Assumptions'!$K$42,0)</f>
        <v>0</v>
      </c>
      <c r="AQ90" s="183">
        <f>IF(H90="MRSA Central",(AD90/$AQ$1)*'1. UC Assumptions'!$L$42,0)</f>
        <v>0</v>
      </c>
      <c r="AR90" s="183">
        <f>IF(H90="MRSA Northeast",(AD90/$AR$1)*'1. UC Assumptions'!$M$42,0)</f>
        <v>0</v>
      </c>
      <c r="AS90" s="183">
        <f>IF(H90="MRSA West",(AD90/$AS$1)*'1. UC Assumptions'!$N$42,0)</f>
        <v>0</v>
      </c>
      <c r="AT90" s="183">
        <f>IF(H90="Nueces",(AD90/$AT$1)*'1. UC Assumptions'!$O$42,0)</f>
        <v>0</v>
      </c>
      <c r="AU90" s="183">
        <f>IF(H90="Tarrant",(AD90/$AU$1)*'1. UC Assumptions'!$P$42,0)</f>
        <v>0</v>
      </c>
      <c r="AV90" s="183">
        <f>IF(H90="Travis",(AD90/$AV$1)*'1. UC Assumptions'!$Q$42,0)</f>
        <v>0</v>
      </c>
      <c r="AW90" s="183">
        <f>IF(H90="Bexar",(AC90/$AW$1)*'1. UC Assumptions'!$E$44,0)</f>
        <v>0</v>
      </c>
      <c r="AX90" s="183">
        <f>IF(H90="Dallas",(AC90/$AX$1)*'1. UC Assumptions'!$F$44,0)</f>
        <v>0</v>
      </c>
      <c r="AY90" s="183">
        <f>IF(H90="El Paso",(AC90/$AY$1)*'1. UC Assumptions'!$G$44,0)</f>
        <v>0</v>
      </c>
      <c r="AZ90" s="183">
        <f>IF(H90="Harris",(AC90/$AZ$1)*'1. UC Assumptions'!$H$44,0)</f>
        <v>0</v>
      </c>
      <c r="BA90" s="183">
        <f>IF(H90="Hidalgo",(AC90/$BA$1)*'1. UC Assumptions'!$I$44,0)</f>
        <v>0</v>
      </c>
      <c r="BB90" s="183">
        <f>IF(H90="Jefferson",(AC90/$BB$1)*'1. UC Assumptions'!$J$44,0)</f>
        <v>0</v>
      </c>
      <c r="BC90" s="183">
        <f>IF(H90="Lubbock",(AC90/$BC$1)*'1. UC Assumptions'!$K$44,0)</f>
        <v>0</v>
      </c>
      <c r="BD90" s="183">
        <f>IF(H90="MRSA Central",(AC90/$BD$1)*'1. UC Assumptions'!$L$44,0)</f>
        <v>0</v>
      </c>
      <c r="BE90" s="183">
        <f>IF(H90="MRSA Northeast",(AC90/$BE$1)*'1. UC Assumptions'!$M$44,0)</f>
        <v>0</v>
      </c>
      <c r="BF90" s="183">
        <f>IF(H90="MRSA West",(AC90/$BF$1)*'1. UC Assumptions'!$N$44,0)</f>
        <v>0</v>
      </c>
      <c r="BG90" s="183">
        <f>IF(H90="Nueces",(AC90/$BG$1)*'1. UC Assumptions'!$O$44,0)</f>
        <v>0</v>
      </c>
      <c r="BH90" s="183">
        <f>IF(H90="Tarrant",(AC90/$BH$1)*'1. UC Assumptions'!$P$44,0)</f>
        <v>0</v>
      </c>
      <c r="BI90" s="183">
        <f>IF(H90="Travis",(AC90/$BI$1)*'1. UC Assumptions'!$Q$44,0)</f>
        <v>0</v>
      </c>
      <c r="BJ90" s="183">
        <f t="shared" si="22"/>
        <v>0</v>
      </c>
      <c r="BK90" s="183">
        <f t="shared" si="23"/>
        <v>0</v>
      </c>
      <c r="BL90" s="183">
        <f t="shared" si="24"/>
        <v>48104469.8749483</v>
      </c>
      <c r="BM90" s="184">
        <f t="shared" si="25"/>
        <v>1656605.5249482989</v>
      </c>
      <c r="BN90" s="184">
        <f>ROUNDDOWN(BM90*'1. UC Assumptions'!$C$23,2)</f>
        <v>546679.81999999995</v>
      </c>
      <c r="BO90" s="184"/>
      <c r="BP90" s="185"/>
      <c r="BQ90" s="32"/>
      <c r="BR90" s="32"/>
    </row>
    <row r="91" spans="1:70">
      <c r="A91" s="177" t="s">
        <v>1367</v>
      </c>
      <c r="B91" s="178" t="s">
        <v>742</v>
      </c>
      <c r="C91" s="178" t="s">
        <v>742</v>
      </c>
      <c r="D91" s="179" t="s">
        <v>214</v>
      </c>
      <c r="E91" s="179"/>
      <c r="F91" s="177"/>
      <c r="G91" s="177" t="s">
        <v>743</v>
      </c>
      <c r="H91" s="178" t="s">
        <v>6</v>
      </c>
      <c r="I91" s="178" t="s">
        <v>6</v>
      </c>
      <c r="J91" s="131">
        <f>IFERROR(INDEX(#REF!,(MATCH('Old Calc Tab'!C:C,#REF!,0))),0)</f>
        <v>0</v>
      </c>
      <c r="K91" s="131">
        <f>IFERROR(INDEX(#REF!,(MATCH('Old Calc Tab'!$C:$C,#REF!,0))),0)</f>
        <v>0</v>
      </c>
      <c r="L91" s="131"/>
      <c r="M91" s="131">
        <v>26346985.518599998</v>
      </c>
      <c r="N91" s="131">
        <f>IFERROR(INDEX(#REF!,(MATCH('Old Calc Tab'!$C:$C,#REF!,0))),0)</f>
        <v>0</v>
      </c>
      <c r="O91" s="131">
        <f t="shared" si="13"/>
        <v>0</v>
      </c>
      <c r="P91" s="131">
        <f t="shared" si="14"/>
        <v>26346985.518599998</v>
      </c>
      <c r="Q91" s="131"/>
      <c r="R91" s="131"/>
      <c r="S91" s="131"/>
      <c r="T91" s="131"/>
      <c r="U91" s="131"/>
      <c r="V91" s="131">
        <v>0</v>
      </c>
      <c r="W91" s="180">
        <v>0</v>
      </c>
      <c r="X91" s="180">
        <f t="shared" si="15"/>
        <v>26346985.518599998</v>
      </c>
      <c r="Y91" s="181">
        <f>IF(D91="Physician Group Practice",(X91/$AE$369)*'1. UC Assumptions'!$C$15,IF(OR(E91="Rural Hospital",E91="Hosp - State"),X91,(X91/$X$369)*'1. UC Assumptions'!$C$9))</f>
        <v>15857276.453798184</v>
      </c>
      <c r="Z91" s="181">
        <f t="shared" si="16"/>
        <v>0</v>
      </c>
      <c r="AA91" s="181">
        <f t="shared" si="17"/>
        <v>10489709.064801814</v>
      </c>
      <c r="AB91" s="182">
        <f t="shared" si="18"/>
        <v>5633.3004611531123</v>
      </c>
      <c r="AC91" s="181">
        <f t="shared" si="19"/>
        <v>10495342.365262967</v>
      </c>
      <c r="AD91" s="181">
        <f t="shared" si="20"/>
        <v>15862909.754259337</v>
      </c>
      <c r="AE91" s="131">
        <v>15641265.68</v>
      </c>
      <c r="AF91" s="131">
        <f>AE91*'1. UC Assumptions'!$C$23</f>
        <v>5161617.674399999</v>
      </c>
      <c r="AG91" s="183">
        <f>IF((((X91-W91-AE91)*'1. UC Assumptions'!$C$23)+AF91)&gt;0,((X91-W91-AE91)*'1. UC Assumptions'!$C$23)+AF91,0)</f>
        <v>8694505.2211379986</v>
      </c>
      <c r="AH91" s="183">
        <f>IF(((X91-W91-AE91)*'1. UC Assumptions'!$C$23)&gt;0,(X91-W91-AE91)*'1. UC Assumptions'!$C$23,0)</f>
        <v>3532887.5467379992</v>
      </c>
      <c r="AI91" s="183">
        <f t="shared" si="21"/>
        <v>8694505.2211379986</v>
      </c>
      <c r="AJ91" s="183">
        <f>IF(H91="Bexar",(AD91/$AJ$1)*'1. UC Assumptions'!$E$42,0)</f>
        <v>0</v>
      </c>
      <c r="AK91" s="183">
        <f>IF(H91="Dallas",(AD91/$AK$1)*'1. UC Assumptions'!$F$42,0)</f>
        <v>0</v>
      </c>
      <c r="AL91" s="183">
        <f>IF(H91="El Paso",(AD91/$AL$1)*'1. UC Assumptions'!$G$42,0)</f>
        <v>0</v>
      </c>
      <c r="AM91" s="183">
        <f>IF(H91="Harris",(AD91/$AM$1)*'1. UC Assumptions'!$H$42,0)</f>
        <v>0</v>
      </c>
      <c r="AN91" s="183">
        <f>IF(H91="Hidalgo",(AD91/$AN$1)*'1. UC Assumptions'!$I$42,0)</f>
        <v>0</v>
      </c>
      <c r="AO91" s="183">
        <f>IF(H91="Jefferson",(AD91/$AO$1)*'1. UC Assumptions'!$J$42,0)</f>
        <v>0</v>
      </c>
      <c r="AP91" s="183">
        <f>IF(H91="Lubbock",(AD91/$AP$1)*'1. UC Assumptions'!$K$42,0)</f>
        <v>0</v>
      </c>
      <c r="AQ91" s="183">
        <f>IF(H91="MRSA Central",(AD91/$AQ$1)*'1. UC Assumptions'!$L$42,0)</f>
        <v>0</v>
      </c>
      <c r="AR91" s="183">
        <f>IF(H91="MRSA Northeast",(AD91/$AR$1)*'1. UC Assumptions'!$M$42,0)</f>
        <v>0</v>
      </c>
      <c r="AS91" s="183">
        <f>IF(H91="MRSA West",(AD91/$AS$1)*'1. UC Assumptions'!$N$42,0)</f>
        <v>0</v>
      </c>
      <c r="AT91" s="183">
        <f>IF(H91="Nueces",(AD91/$AT$1)*'1. UC Assumptions'!$O$42,0)</f>
        <v>0</v>
      </c>
      <c r="AU91" s="183">
        <f>IF(H91="Tarrant",(AD91/$AU$1)*'1. UC Assumptions'!$P$42,0)</f>
        <v>0</v>
      </c>
      <c r="AV91" s="183">
        <f>IF(H91="Travis",(AD91/$AV$1)*'1. UC Assumptions'!$Q$42,0)</f>
        <v>0</v>
      </c>
      <c r="AW91" s="183">
        <f>IF(H91="Bexar",(AC91/$AW$1)*'1. UC Assumptions'!$E$44,0)</f>
        <v>0</v>
      </c>
      <c r="AX91" s="183">
        <f>IF(H91="Dallas",(AC91/$AX$1)*'1. UC Assumptions'!$F$44,0)</f>
        <v>0</v>
      </c>
      <c r="AY91" s="183">
        <f>IF(H91="El Paso",(AC91/$AY$1)*'1. UC Assumptions'!$G$44,0)</f>
        <v>0</v>
      </c>
      <c r="AZ91" s="183">
        <f>IF(H91="Harris",(AC91/$AZ$1)*'1. UC Assumptions'!$H$44,0)</f>
        <v>0</v>
      </c>
      <c r="BA91" s="183">
        <f>IF(H91="Hidalgo",(AC91/$BA$1)*'1. UC Assumptions'!$I$44,0)</f>
        <v>0</v>
      </c>
      <c r="BB91" s="183">
        <f>IF(H91="Jefferson",(AC91/$BB$1)*'1. UC Assumptions'!$J$44,0)</f>
        <v>0</v>
      </c>
      <c r="BC91" s="183">
        <f>IF(H91="Lubbock",(AC91/$BC$1)*'1. UC Assumptions'!$K$44,0)</f>
        <v>0</v>
      </c>
      <c r="BD91" s="183">
        <f>IF(H91="MRSA Central",(AC91/$BD$1)*'1. UC Assumptions'!$L$44,0)</f>
        <v>0</v>
      </c>
      <c r="BE91" s="183">
        <f>IF(H91="MRSA Northeast",(AC91/$BE$1)*'1. UC Assumptions'!$M$44,0)</f>
        <v>0</v>
      </c>
      <c r="BF91" s="183">
        <f>IF(H91="MRSA West",(AC91/$BF$1)*'1. UC Assumptions'!$N$44,0)</f>
        <v>0</v>
      </c>
      <c r="BG91" s="183">
        <f>IF(H91="Nueces",(AC91/$BG$1)*'1. UC Assumptions'!$O$44,0)</f>
        <v>0</v>
      </c>
      <c r="BH91" s="183">
        <f>IF(H91="Tarrant",(AC91/$BH$1)*'1. UC Assumptions'!$P$44,0)</f>
        <v>0</v>
      </c>
      <c r="BI91" s="183">
        <f>IF(H91="Travis",(AC91/$BI$1)*'1. UC Assumptions'!$Q$44,0)</f>
        <v>0</v>
      </c>
      <c r="BJ91" s="183">
        <f t="shared" si="22"/>
        <v>0</v>
      </c>
      <c r="BK91" s="183">
        <f t="shared" si="23"/>
        <v>0</v>
      </c>
      <c r="BL91" s="183">
        <f t="shared" si="24"/>
        <v>15862909.754259337</v>
      </c>
      <c r="BM91" s="184">
        <f t="shared" si="25"/>
        <v>221644.07425933704</v>
      </c>
      <c r="BN91" s="184">
        <f>ROUNDDOWN(BM91*'1. UC Assumptions'!$C$23,2)</f>
        <v>73142.539999999994</v>
      </c>
      <c r="BO91" s="184"/>
      <c r="BP91" s="185"/>
      <c r="BQ91" s="32"/>
      <c r="BR91" s="32"/>
    </row>
    <row r="92" spans="1:70">
      <c r="A92" s="177" t="s">
        <v>1368</v>
      </c>
      <c r="B92" s="178" t="s">
        <v>744</v>
      </c>
      <c r="C92" s="178" t="s">
        <v>744</v>
      </c>
      <c r="D92" s="179" t="s">
        <v>214</v>
      </c>
      <c r="E92" s="179"/>
      <c r="F92" s="177"/>
      <c r="G92" s="177" t="s">
        <v>1369</v>
      </c>
      <c r="H92" s="178" t="s">
        <v>6</v>
      </c>
      <c r="I92" s="178" t="s">
        <v>6</v>
      </c>
      <c r="J92" s="131">
        <f>IFERROR(INDEX(#REF!,(MATCH('Old Calc Tab'!C:C,#REF!,0))),0)</f>
        <v>0</v>
      </c>
      <c r="K92" s="131">
        <f>IFERROR(INDEX(#REF!,(MATCH('Old Calc Tab'!$C:$C,#REF!,0))),0)</f>
        <v>0</v>
      </c>
      <c r="L92" s="131"/>
      <c r="M92" s="131">
        <v>33669777.350000001</v>
      </c>
      <c r="N92" s="131">
        <f>IFERROR(INDEX(#REF!,(MATCH('Old Calc Tab'!$C:$C,#REF!,0))),0)</f>
        <v>0</v>
      </c>
      <c r="O92" s="131">
        <f t="shared" si="13"/>
        <v>0</v>
      </c>
      <c r="P92" s="131">
        <f t="shared" si="14"/>
        <v>33669777.350000001</v>
      </c>
      <c r="Q92" s="131"/>
      <c r="R92" s="131"/>
      <c r="S92" s="131"/>
      <c r="T92" s="131"/>
      <c r="U92" s="131"/>
      <c r="V92" s="131">
        <v>0</v>
      </c>
      <c r="W92" s="180">
        <v>0</v>
      </c>
      <c r="X92" s="180">
        <f t="shared" si="15"/>
        <v>33669777.350000001</v>
      </c>
      <c r="Y92" s="181">
        <f>IF(D92="Physician Group Practice",(X92/$AE$369)*'1. UC Assumptions'!$C$15,IF(OR(E92="Rural Hospital",E92="Hosp - State"),X92,(X92/$X$369)*'1. UC Assumptions'!$C$9))</f>
        <v>20264594.110770702</v>
      </c>
      <c r="Z92" s="181">
        <f t="shared" si="16"/>
        <v>0</v>
      </c>
      <c r="AA92" s="181">
        <f t="shared" si="17"/>
        <v>13405183.239229299</v>
      </c>
      <c r="AB92" s="182">
        <f t="shared" si="18"/>
        <v>7199.0008928640509</v>
      </c>
      <c r="AC92" s="181">
        <f t="shared" si="19"/>
        <v>13412382.240122164</v>
      </c>
      <c r="AD92" s="181">
        <f t="shared" si="20"/>
        <v>20271793.111663565</v>
      </c>
      <c r="AE92" s="131">
        <v>8182418.21</v>
      </c>
      <c r="AF92" s="131">
        <f>AE92*'1. UC Assumptions'!$C$23</f>
        <v>2700198.0092999996</v>
      </c>
      <c r="AG92" s="183">
        <f>IF((((X92-W92-AE92)*'1. UC Assumptions'!$C$23)+AF92)&gt;0,((X92-W92-AE92)*'1. UC Assumptions'!$C$23)+AF92,0)</f>
        <v>11111026.525499998</v>
      </c>
      <c r="AH92" s="183">
        <f>IF(((X92-W92-AE92)*'1. UC Assumptions'!$C$23)&gt;0,(X92-W92-AE92)*'1. UC Assumptions'!$C$23,0)</f>
        <v>8410828.5161999986</v>
      </c>
      <c r="AI92" s="183">
        <f t="shared" si="21"/>
        <v>11111026.525499998</v>
      </c>
      <c r="AJ92" s="183">
        <f>IF(H92="Bexar",(AD92/$AJ$1)*'1. UC Assumptions'!$E$42,0)</f>
        <v>0</v>
      </c>
      <c r="AK92" s="183">
        <f>IF(H92="Dallas",(AD92/$AK$1)*'1. UC Assumptions'!$F$42,0)</f>
        <v>0</v>
      </c>
      <c r="AL92" s="183">
        <f>IF(H92="El Paso",(AD92/$AL$1)*'1. UC Assumptions'!$G$42,0)</f>
        <v>0</v>
      </c>
      <c r="AM92" s="183">
        <f>IF(H92="Harris",(AD92/$AM$1)*'1. UC Assumptions'!$H$42,0)</f>
        <v>0</v>
      </c>
      <c r="AN92" s="183">
        <f>IF(H92="Hidalgo",(AD92/$AN$1)*'1. UC Assumptions'!$I$42,0)</f>
        <v>0</v>
      </c>
      <c r="AO92" s="183">
        <f>IF(H92="Jefferson",(AD92/$AO$1)*'1. UC Assumptions'!$J$42,0)</f>
        <v>0</v>
      </c>
      <c r="AP92" s="183">
        <f>IF(H92="Lubbock",(AD92/$AP$1)*'1. UC Assumptions'!$K$42,0)</f>
        <v>0</v>
      </c>
      <c r="AQ92" s="183">
        <f>IF(H92="MRSA Central",(AD92/$AQ$1)*'1. UC Assumptions'!$L$42,0)</f>
        <v>0</v>
      </c>
      <c r="AR92" s="183">
        <f>IF(H92="MRSA Northeast",(AD92/$AR$1)*'1. UC Assumptions'!$M$42,0)</f>
        <v>0</v>
      </c>
      <c r="AS92" s="183">
        <f>IF(H92="MRSA West",(AD92/$AS$1)*'1. UC Assumptions'!$N$42,0)</f>
        <v>0</v>
      </c>
      <c r="AT92" s="183">
        <f>IF(H92="Nueces",(AD92/$AT$1)*'1. UC Assumptions'!$O$42,0)</f>
        <v>0</v>
      </c>
      <c r="AU92" s="183">
        <f>IF(H92="Tarrant",(AD92/$AU$1)*'1. UC Assumptions'!$P$42,0)</f>
        <v>0</v>
      </c>
      <c r="AV92" s="183">
        <f>IF(H92="Travis",(AD92/$AV$1)*'1. UC Assumptions'!$Q$42,0)</f>
        <v>0</v>
      </c>
      <c r="AW92" s="183">
        <f>IF(H92="Bexar",(AC92/$AW$1)*'1. UC Assumptions'!$E$44,0)</f>
        <v>0</v>
      </c>
      <c r="AX92" s="183">
        <f>IF(H92="Dallas",(AC92/$AX$1)*'1. UC Assumptions'!$F$44,0)</f>
        <v>0</v>
      </c>
      <c r="AY92" s="183">
        <f>IF(H92="El Paso",(AC92/$AY$1)*'1. UC Assumptions'!$G$44,0)</f>
        <v>0</v>
      </c>
      <c r="AZ92" s="183">
        <f>IF(H92="Harris",(AC92/$AZ$1)*'1. UC Assumptions'!$H$44,0)</f>
        <v>0</v>
      </c>
      <c r="BA92" s="183">
        <f>IF(H92="Hidalgo",(AC92/$BA$1)*'1. UC Assumptions'!$I$44,0)</f>
        <v>0</v>
      </c>
      <c r="BB92" s="183">
        <f>IF(H92="Jefferson",(AC92/$BB$1)*'1. UC Assumptions'!$J$44,0)</f>
        <v>0</v>
      </c>
      <c r="BC92" s="183">
        <f>IF(H92="Lubbock",(AC92/$BC$1)*'1. UC Assumptions'!$K$44,0)</f>
        <v>0</v>
      </c>
      <c r="BD92" s="183">
        <f>IF(H92="MRSA Central",(AC92/$BD$1)*'1. UC Assumptions'!$L$44,0)</f>
        <v>0</v>
      </c>
      <c r="BE92" s="183">
        <f>IF(H92="MRSA Northeast",(AC92/$BE$1)*'1. UC Assumptions'!$M$44,0)</f>
        <v>0</v>
      </c>
      <c r="BF92" s="183">
        <f>IF(H92="MRSA West",(AC92/$BF$1)*'1. UC Assumptions'!$N$44,0)</f>
        <v>0</v>
      </c>
      <c r="BG92" s="183">
        <f>IF(H92="Nueces",(AC92/$BG$1)*'1. UC Assumptions'!$O$44,0)</f>
        <v>0</v>
      </c>
      <c r="BH92" s="183">
        <f>IF(H92="Tarrant",(AC92/$BH$1)*'1. UC Assumptions'!$P$44,0)</f>
        <v>0</v>
      </c>
      <c r="BI92" s="183">
        <f>IF(H92="Travis",(AC92/$BI$1)*'1. UC Assumptions'!$Q$44,0)</f>
        <v>0</v>
      </c>
      <c r="BJ92" s="183">
        <f t="shared" si="22"/>
        <v>0</v>
      </c>
      <c r="BK92" s="183">
        <f t="shared" si="23"/>
        <v>0</v>
      </c>
      <c r="BL92" s="183">
        <f t="shared" si="24"/>
        <v>20271793.111663565</v>
      </c>
      <c r="BM92" s="184">
        <f t="shared" si="25"/>
        <v>12089374.901663564</v>
      </c>
      <c r="BN92" s="184">
        <f>ROUNDDOWN(BM92*'1. UC Assumptions'!$C$23,2)</f>
        <v>3989493.71</v>
      </c>
      <c r="BO92" s="184"/>
      <c r="BP92" s="185"/>
      <c r="BQ92" s="32"/>
      <c r="BR92" s="32"/>
    </row>
    <row r="93" spans="1:70">
      <c r="A93" s="177" t="s">
        <v>1370</v>
      </c>
      <c r="B93" s="178" t="s">
        <v>775</v>
      </c>
      <c r="C93" s="178" t="s">
        <v>775</v>
      </c>
      <c r="D93" s="179" t="s">
        <v>214</v>
      </c>
      <c r="E93" s="179"/>
      <c r="F93" s="177"/>
      <c r="G93" s="177" t="s">
        <v>1371</v>
      </c>
      <c r="H93" s="178" t="s">
        <v>6</v>
      </c>
      <c r="I93" s="178" t="s">
        <v>6</v>
      </c>
      <c r="J93" s="131">
        <f>IFERROR(INDEX(#REF!,(MATCH('Old Calc Tab'!C:C,#REF!,0))),0)</f>
        <v>0</v>
      </c>
      <c r="K93" s="131">
        <f>IFERROR(INDEX(#REF!,(MATCH('Old Calc Tab'!$C:$C,#REF!,0))),0)</f>
        <v>0</v>
      </c>
      <c r="L93" s="131"/>
      <c r="M93" s="131">
        <v>21225069.455352586</v>
      </c>
      <c r="N93" s="131">
        <f>IFERROR(INDEX(#REF!,(MATCH('Old Calc Tab'!$C:$C,#REF!,0))),0)</f>
        <v>0</v>
      </c>
      <c r="O93" s="131">
        <f t="shared" si="13"/>
        <v>0</v>
      </c>
      <c r="P93" s="131">
        <f t="shared" si="14"/>
        <v>21225069.455352586</v>
      </c>
      <c r="Q93" s="131"/>
      <c r="R93" s="131"/>
      <c r="S93" s="131"/>
      <c r="T93" s="131"/>
      <c r="U93" s="131"/>
      <c r="V93" s="131">
        <v>5922846.3564675497</v>
      </c>
      <c r="W93" s="180">
        <v>0</v>
      </c>
      <c r="X93" s="180">
        <f t="shared" si="15"/>
        <v>27147915.811820135</v>
      </c>
      <c r="Y93" s="181">
        <f>IF(D93="Physician Group Practice",(X93/$AE$369)*'1. UC Assumptions'!$C$15,IF(OR(E93="Rural Hospital",E93="Hosp - State"),X93,(X93/$X$369)*'1. UC Assumptions'!$C$9))</f>
        <v>16339326.784408005</v>
      </c>
      <c r="Z93" s="181">
        <f t="shared" si="16"/>
        <v>0</v>
      </c>
      <c r="AA93" s="181">
        <f t="shared" si="17"/>
        <v>10808589.02741213</v>
      </c>
      <c r="AB93" s="182">
        <f t="shared" si="18"/>
        <v>5804.5489323288111</v>
      </c>
      <c r="AC93" s="181">
        <f t="shared" si="19"/>
        <v>10814393.576344458</v>
      </c>
      <c r="AD93" s="181">
        <f t="shared" si="20"/>
        <v>16345131.333340334</v>
      </c>
      <c r="AE93" s="131">
        <v>972196.12</v>
      </c>
      <c r="AF93" s="131">
        <f>AE93*'1. UC Assumptions'!$C$23</f>
        <v>320824.71959999995</v>
      </c>
      <c r="AG93" s="183">
        <f>IF((((X93-W93-AE93)*'1. UC Assumptions'!$C$23)+AF93)&gt;0,((X93-W93-AE93)*'1. UC Assumptions'!$C$23)+AF93,0)</f>
        <v>8958812.2179006431</v>
      </c>
      <c r="AH93" s="183">
        <f>IF(((X93-W93-AE93)*'1. UC Assumptions'!$C$23)&gt;0,(X93-W93-AE93)*'1. UC Assumptions'!$C$23,0)</f>
        <v>8637987.4983006436</v>
      </c>
      <c r="AI93" s="183">
        <f t="shared" si="21"/>
        <v>8958812.2179006431</v>
      </c>
      <c r="AJ93" s="183">
        <f>IF(H93="Bexar",(AD93/$AJ$1)*'1. UC Assumptions'!$E$42,0)</f>
        <v>0</v>
      </c>
      <c r="AK93" s="183">
        <f>IF(H93="Dallas",(AD93/$AK$1)*'1. UC Assumptions'!$F$42,0)</f>
        <v>0</v>
      </c>
      <c r="AL93" s="183">
        <f>IF(H93="El Paso",(AD93/$AL$1)*'1. UC Assumptions'!$G$42,0)</f>
        <v>0</v>
      </c>
      <c r="AM93" s="183">
        <f>IF(H93="Harris",(AD93/$AM$1)*'1. UC Assumptions'!$H$42,0)</f>
        <v>0</v>
      </c>
      <c r="AN93" s="183">
        <f>IF(H93="Hidalgo",(AD93/$AN$1)*'1. UC Assumptions'!$I$42,0)</f>
        <v>0</v>
      </c>
      <c r="AO93" s="183">
        <f>IF(H93="Jefferson",(AD93/$AO$1)*'1. UC Assumptions'!$J$42,0)</f>
        <v>0</v>
      </c>
      <c r="AP93" s="183">
        <f>IF(H93="Lubbock",(AD93/$AP$1)*'1. UC Assumptions'!$K$42,0)</f>
        <v>0</v>
      </c>
      <c r="AQ93" s="183">
        <f>IF(H93="MRSA Central",(AD93/$AQ$1)*'1. UC Assumptions'!$L$42,0)</f>
        <v>0</v>
      </c>
      <c r="AR93" s="183">
        <f>IF(H93="MRSA Northeast",(AD93/$AR$1)*'1. UC Assumptions'!$M$42,0)</f>
        <v>0</v>
      </c>
      <c r="AS93" s="183">
        <f>IF(H93="MRSA West",(AD93/$AS$1)*'1. UC Assumptions'!$N$42,0)</f>
        <v>0</v>
      </c>
      <c r="AT93" s="183">
        <f>IF(H93="Nueces",(AD93/$AT$1)*'1. UC Assumptions'!$O$42,0)</f>
        <v>0</v>
      </c>
      <c r="AU93" s="183">
        <f>IF(H93="Tarrant",(AD93/$AU$1)*'1. UC Assumptions'!$P$42,0)</f>
        <v>0</v>
      </c>
      <c r="AV93" s="183">
        <f>IF(H93="Travis",(AD93/$AV$1)*'1. UC Assumptions'!$Q$42,0)</f>
        <v>0</v>
      </c>
      <c r="AW93" s="183">
        <f>IF(H93="Bexar",(AC93/$AW$1)*'1. UC Assumptions'!$E$44,0)</f>
        <v>0</v>
      </c>
      <c r="AX93" s="183">
        <f>IF(H93="Dallas",(AC93/$AX$1)*'1. UC Assumptions'!$F$44,0)</f>
        <v>0</v>
      </c>
      <c r="AY93" s="183">
        <f>IF(H93="El Paso",(AC93/$AY$1)*'1. UC Assumptions'!$G$44,0)</f>
        <v>0</v>
      </c>
      <c r="AZ93" s="183">
        <f>IF(H93="Harris",(AC93/$AZ$1)*'1. UC Assumptions'!$H$44,0)</f>
        <v>0</v>
      </c>
      <c r="BA93" s="183">
        <f>IF(H93="Hidalgo",(AC93/$BA$1)*'1. UC Assumptions'!$I$44,0)</f>
        <v>0</v>
      </c>
      <c r="BB93" s="183">
        <f>IF(H93="Jefferson",(AC93/$BB$1)*'1. UC Assumptions'!$J$44,0)</f>
        <v>0</v>
      </c>
      <c r="BC93" s="183">
        <f>IF(H93="Lubbock",(AC93/$BC$1)*'1. UC Assumptions'!$K$44,0)</f>
        <v>0</v>
      </c>
      <c r="BD93" s="183">
        <f>IF(H93="MRSA Central",(AC93/$BD$1)*'1. UC Assumptions'!$L$44,0)</f>
        <v>0</v>
      </c>
      <c r="BE93" s="183">
        <f>IF(H93="MRSA Northeast",(AC93/$BE$1)*'1. UC Assumptions'!$M$44,0)</f>
        <v>0</v>
      </c>
      <c r="BF93" s="183">
        <f>IF(H93="MRSA West",(AC93/$BF$1)*'1. UC Assumptions'!$N$44,0)</f>
        <v>0</v>
      </c>
      <c r="BG93" s="183">
        <f>IF(H93="Nueces",(AC93/$BG$1)*'1. UC Assumptions'!$O$44,0)</f>
        <v>0</v>
      </c>
      <c r="BH93" s="183">
        <f>IF(H93="Tarrant",(AC93/$BH$1)*'1. UC Assumptions'!$P$44,0)</f>
        <v>0</v>
      </c>
      <c r="BI93" s="183">
        <f>IF(H93="Travis",(AC93/$BI$1)*'1. UC Assumptions'!$Q$44,0)</f>
        <v>0</v>
      </c>
      <c r="BJ93" s="183">
        <f t="shared" si="22"/>
        <v>0</v>
      </c>
      <c r="BK93" s="183">
        <f t="shared" si="23"/>
        <v>0</v>
      </c>
      <c r="BL93" s="183">
        <f t="shared" si="24"/>
        <v>16345131.333340334</v>
      </c>
      <c r="BM93" s="184">
        <f t="shared" si="25"/>
        <v>15372935.213340335</v>
      </c>
      <c r="BN93" s="184">
        <f>ROUNDDOWN(BM93*'1. UC Assumptions'!$C$23,2)</f>
        <v>5073068.62</v>
      </c>
      <c r="BO93" s="184"/>
      <c r="BP93" s="185"/>
      <c r="BQ93" s="32"/>
      <c r="BR93" s="32"/>
    </row>
    <row r="94" spans="1:70">
      <c r="A94" s="177" t="s">
        <v>1372</v>
      </c>
      <c r="B94" s="178" t="s">
        <v>781</v>
      </c>
      <c r="C94" s="178" t="s">
        <v>781</v>
      </c>
      <c r="D94" s="179" t="s">
        <v>214</v>
      </c>
      <c r="E94" s="179"/>
      <c r="F94" s="177"/>
      <c r="G94" s="177" t="s">
        <v>782</v>
      </c>
      <c r="H94" s="178" t="s">
        <v>6</v>
      </c>
      <c r="I94" s="178" t="s">
        <v>6</v>
      </c>
      <c r="J94" s="131">
        <f>IFERROR(INDEX(#REF!,(MATCH('Old Calc Tab'!C:C,#REF!,0))),0)</f>
        <v>0</v>
      </c>
      <c r="K94" s="131">
        <f>IFERROR(INDEX(#REF!,(MATCH('Old Calc Tab'!$C:$C,#REF!,0))),0)</f>
        <v>0</v>
      </c>
      <c r="L94" s="131"/>
      <c r="M94" s="131">
        <v>16523808.490799999</v>
      </c>
      <c r="N94" s="131">
        <f>IFERROR(INDEX(#REF!,(MATCH('Old Calc Tab'!$C:$C,#REF!,0))),0)</f>
        <v>0</v>
      </c>
      <c r="O94" s="131">
        <f t="shared" si="13"/>
        <v>0</v>
      </c>
      <c r="P94" s="131">
        <f t="shared" si="14"/>
        <v>16523808.490799999</v>
      </c>
      <c r="Q94" s="131"/>
      <c r="R94" s="131"/>
      <c r="S94" s="131"/>
      <c r="T94" s="131"/>
      <c r="U94" s="131"/>
      <c r="V94" s="131">
        <v>0</v>
      </c>
      <c r="W94" s="180">
        <v>0</v>
      </c>
      <c r="X94" s="180">
        <f t="shared" si="15"/>
        <v>16523808.490799999</v>
      </c>
      <c r="Y94" s="181">
        <f>IF(D94="Physician Group Practice",(X94/$AE$369)*'1. UC Assumptions'!$C$15,IF(OR(E94="Rural Hospital",E94="Hosp - State"),X94,(X94/$X$369)*'1. UC Assumptions'!$C$9))</f>
        <v>9945069.3941155076</v>
      </c>
      <c r="Z94" s="181">
        <f t="shared" si="16"/>
        <v>0</v>
      </c>
      <c r="AA94" s="181">
        <f t="shared" si="17"/>
        <v>6578739.0966844913</v>
      </c>
      <c r="AB94" s="182">
        <f t="shared" si="18"/>
        <v>3532.987784333649</v>
      </c>
      <c r="AC94" s="181">
        <f t="shared" si="19"/>
        <v>6582272.0844688248</v>
      </c>
      <c r="AD94" s="181">
        <f t="shared" si="20"/>
        <v>9948602.3818998411</v>
      </c>
      <c r="AE94" s="131">
        <v>6638157.5300000003</v>
      </c>
      <c r="AF94" s="131">
        <f>AE94*'1. UC Assumptions'!$C$23</f>
        <v>2190591.9849</v>
      </c>
      <c r="AG94" s="183">
        <f>IF((((X94-W94-AE94)*'1. UC Assumptions'!$C$23)+AF94)&gt;0,((X94-W94-AE94)*'1. UC Assumptions'!$C$23)+AF94,0)</f>
        <v>5452856.8019639999</v>
      </c>
      <c r="AH94" s="183">
        <f>IF(((X94-W94-AE94)*'1. UC Assumptions'!$C$23)&gt;0,(X94-W94-AE94)*'1. UC Assumptions'!$C$23,0)</f>
        <v>3262264.8170639994</v>
      </c>
      <c r="AI94" s="183">
        <f t="shared" si="21"/>
        <v>5452856.8019639999</v>
      </c>
      <c r="AJ94" s="183">
        <f>IF(H94="Bexar",(AD94/$AJ$1)*'1. UC Assumptions'!$E$42,0)</f>
        <v>0</v>
      </c>
      <c r="AK94" s="183">
        <f>IF(H94="Dallas",(AD94/$AK$1)*'1. UC Assumptions'!$F$42,0)</f>
        <v>0</v>
      </c>
      <c r="AL94" s="183">
        <f>IF(H94="El Paso",(AD94/$AL$1)*'1. UC Assumptions'!$G$42,0)</f>
        <v>0</v>
      </c>
      <c r="AM94" s="183">
        <f>IF(H94="Harris",(AD94/$AM$1)*'1. UC Assumptions'!$H$42,0)</f>
        <v>0</v>
      </c>
      <c r="AN94" s="183">
        <f>IF(H94="Hidalgo",(AD94/$AN$1)*'1. UC Assumptions'!$I$42,0)</f>
        <v>0</v>
      </c>
      <c r="AO94" s="183">
        <f>IF(H94="Jefferson",(AD94/$AO$1)*'1. UC Assumptions'!$J$42,0)</f>
        <v>0</v>
      </c>
      <c r="AP94" s="183">
        <f>IF(H94="Lubbock",(AD94/$AP$1)*'1. UC Assumptions'!$K$42,0)</f>
        <v>0</v>
      </c>
      <c r="AQ94" s="183">
        <f>IF(H94="MRSA Central",(AD94/$AQ$1)*'1. UC Assumptions'!$L$42,0)</f>
        <v>0</v>
      </c>
      <c r="AR94" s="183">
        <f>IF(H94="MRSA Northeast",(AD94/$AR$1)*'1. UC Assumptions'!$M$42,0)</f>
        <v>0</v>
      </c>
      <c r="AS94" s="183">
        <f>IF(H94="MRSA West",(AD94/$AS$1)*'1. UC Assumptions'!$N$42,0)</f>
        <v>0</v>
      </c>
      <c r="AT94" s="183">
        <f>IF(H94="Nueces",(AD94/$AT$1)*'1. UC Assumptions'!$O$42,0)</f>
        <v>0</v>
      </c>
      <c r="AU94" s="183">
        <f>IF(H94="Tarrant",(AD94/$AU$1)*'1. UC Assumptions'!$P$42,0)</f>
        <v>0</v>
      </c>
      <c r="AV94" s="183">
        <f>IF(H94="Travis",(AD94/$AV$1)*'1. UC Assumptions'!$Q$42,0)</f>
        <v>0</v>
      </c>
      <c r="AW94" s="183">
        <f>IF(H94="Bexar",(AC94/$AW$1)*'1. UC Assumptions'!$E$44,0)</f>
        <v>0</v>
      </c>
      <c r="AX94" s="183">
        <f>IF(H94="Dallas",(AC94/$AX$1)*'1. UC Assumptions'!$F$44,0)</f>
        <v>0</v>
      </c>
      <c r="AY94" s="183">
        <f>IF(H94="El Paso",(AC94/$AY$1)*'1. UC Assumptions'!$G$44,0)</f>
        <v>0</v>
      </c>
      <c r="AZ94" s="183">
        <f>IF(H94="Harris",(AC94/$AZ$1)*'1. UC Assumptions'!$H$44,0)</f>
        <v>0</v>
      </c>
      <c r="BA94" s="183">
        <f>IF(H94="Hidalgo",(AC94/$BA$1)*'1. UC Assumptions'!$I$44,0)</f>
        <v>0</v>
      </c>
      <c r="BB94" s="183">
        <f>IF(H94="Jefferson",(AC94/$BB$1)*'1. UC Assumptions'!$J$44,0)</f>
        <v>0</v>
      </c>
      <c r="BC94" s="183">
        <f>IF(H94="Lubbock",(AC94/$BC$1)*'1. UC Assumptions'!$K$44,0)</f>
        <v>0</v>
      </c>
      <c r="BD94" s="183">
        <f>IF(H94="MRSA Central",(AC94/$BD$1)*'1. UC Assumptions'!$L$44,0)</f>
        <v>0</v>
      </c>
      <c r="BE94" s="183">
        <f>IF(H94="MRSA Northeast",(AC94/$BE$1)*'1. UC Assumptions'!$M$44,0)</f>
        <v>0</v>
      </c>
      <c r="BF94" s="183">
        <f>IF(H94="MRSA West",(AC94/$BF$1)*'1. UC Assumptions'!$N$44,0)</f>
        <v>0</v>
      </c>
      <c r="BG94" s="183">
        <f>IF(H94="Nueces",(AC94/$BG$1)*'1. UC Assumptions'!$O$44,0)</f>
        <v>0</v>
      </c>
      <c r="BH94" s="183">
        <f>IF(H94="Tarrant",(AC94/$BH$1)*'1. UC Assumptions'!$P$44,0)</f>
        <v>0</v>
      </c>
      <c r="BI94" s="183">
        <f>IF(H94="Travis",(AC94/$BI$1)*'1. UC Assumptions'!$Q$44,0)</f>
        <v>0</v>
      </c>
      <c r="BJ94" s="183">
        <f t="shared" si="22"/>
        <v>0</v>
      </c>
      <c r="BK94" s="183">
        <f t="shared" si="23"/>
        <v>0</v>
      </c>
      <c r="BL94" s="183">
        <f t="shared" si="24"/>
        <v>9948602.3818998411</v>
      </c>
      <c r="BM94" s="184">
        <f t="shared" si="25"/>
        <v>3310444.8518998409</v>
      </c>
      <c r="BN94" s="184">
        <f>ROUNDDOWN(BM94*'1. UC Assumptions'!$C$23,2)</f>
        <v>1092446.8</v>
      </c>
      <c r="BO94" s="184"/>
      <c r="BP94" s="185"/>
      <c r="BQ94" s="32"/>
      <c r="BR94" s="32"/>
    </row>
    <row r="95" spans="1:70">
      <c r="A95" s="177" t="s">
        <v>1373</v>
      </c>
      <c r="B95" s="178" t="s">
        <v>787</v>
      </c>
      <c r="C95" s="178" t="s">
        <v>787</v>
      </c>
      <c r="D95" s="179" t="s">
        <v>214</v>
      </c>
      <c r="E95" s="179"/>
      <c r="F95" s="177"/>
      <c r="G95" s="177" t="s">
        <v>788</v>
      </c>
      <c r="H95" s="178" t="s">
        <v>6</v>
      </c>
      <c r="I95" s="178" t="s">
        <v>384</v>
      </c>
      <c r="J95" s="131">
        <f>IFERROR(INDEX(#REF!,(MATCH('Old Calc Tab'!C:C,#REF!,0))),0)</f>
        <v>0</v>
      </c>
      <c r="K95" s="131">
        <f>IFERROR(INDEX(#REF!,(MATCH('Old Calc Tab'!$C:$C,#REF!,0))),0)</f>
        <v>0</v>
      </c>
      <c r="L95" s="131"/>
      <c r="M95" s="131">
        <v>4221838.1999999993</v>
      </c>
      <c r="N95" s="131">
        <f>IFERROR(INDEX(#REF!,(MATCH('Old Calc Tab'!$C:$C,#REF!,0))),0)</f>
        <v>0</v>
      </c>
      <c r="O95" s="131">
        <f t="shared" si="13"/>
        <v>0</v>
      </c>
      <c r="P95" s="131">
        <f t="shared" si="14"/>
        <v>4221838.1999999993</v>
      </c>
      <c r="Q95" s="131"/>
      <c r="R95" s="131"/>
      <c r="S95" s="131"/>
      <c r="T95" s="131"/>
      <c r="U95" s="131"/>
      <c r="V95" s="131">
        <v>28211</v>
      </c>
      <c r="W95" s="180">
        <v>0</v>
      </c>
      <c r="X95" s="180">
        <f t="shared" si="15"/>
        <v>4250049.1999999993</v>
      </c>
      <c r="Y95" s="181">
        <f>IF(D95="Physician Group Practice",(X95/$AE$369)*'1. UC Assumptions'!$C$15,IF(OR(E95="Rural Hospital",E95="Hosp - State"),X95,(X95/$X$369)*'1. UC Assumptions'!$C$9))</f>
        <v>2557947.4759670696</v>
      </c>
      <c r="Z95" s="181">
        <f t="shared" si="16"/>
        <v>0</v>
      </c>
      <c r="AA95" s="181">
        <f t="shared" si="17"/>
        <v>1692101.7240329296</v>
      </c>
      <c r="AB95" s="182">
        <f t="shared" si="18"/>
        <v>908.7113249210762</v>
      </c>
      <c r="AC95" s="181">
        <f t="shared" si="19"/>
        <v>1693010.4353578507</v>
      </c>
      <c r="AD95" s="181">
        <f t="shared" si="20"/>
        <v>2558856.1872919905</v>
      </c>
      <c r="AE95" s="131">
        <v>3730315.65</v>
      </c>
      <c r="AF95" s="131">
        <f>AE95*'1. UC Assumptions'!$C$23</f>
        <v>1231004.1644999997</v>
      </c>
      <c r="AG95" s="183">
        <f>IF((((X95-W95-AE95)*'1. UC Assumptions'!$C$23)+AF95)&gt;0,((X95-W95-AE95)*'1. UC Assumptions'!$C$23)+AF95,0)</f>
        <v>1402516.2359999996</v>
      </c>
      <c r="AH95" s="183">
        <f>IF(((X95-W95-AE95)*'1. UC Assumptions'!$C$23)&gt;0,(X95-W95-AE95)*'1. UC Assumptions'!$C$23,0)</f>
        <v>171512.07149999976</v>
      </c>
      <c r="AI95" s="183">
        <f t="shared" si="21"/>
        <v>1402516.2359999996</v>
      </c>
      <c r="AJ95" s="183">
        <f>IF(H95="Bexar",(AD95/$AJ$1)*'1. UC Assumptions'!$E$42,0)</f>
        <v>0</v>
      </c>
      <c r="AK95" s="183">
        <f>IF(H95="Dallas",(AD95/$AK$1)*'1. UC Assumptions'!$F$42,0)</f>
        <v>0</v>
      </c>
      <c r="AL95" s="183">
        <f>IF(H95="El Paso",(AD95/$AL$1)*'1. UC Assumptions'!$G$42,0)</f>
        <v>0</v>
      </c>
      <c r="AM95" s="183">
        <f>IF(H95="Harris",(AD95/$AM$1)*'1. UC Assumptions'!$H$42,0)</f>
        <v>0</v>
      </c>
      <c r="AN95" s="183">
        <f>IF(H95="Hidalgo",(AD95/$AN$1)*'1. UC Assumptions'!$I$42,0)</f>
        <v>0</v>
      </c>
      <c r="AO95" s="183">
        <f>IF(H95="Jefferson",(AD95/$AO$1)*'1. UC Assumptions'!$J$42,0)</f>
        <v>0</v>
      </c>
      <c r="AP95" s="183">
        <f>IF(H95="Lubbock",(AD95/$AP$1)*'1. UC Assumptions'!$K$42,0)</f>
        <v>0</v>
      </c>
      <c r="AQ95" s="183">
        <f>IF(H95="MRSA Central",(AD95/$AQ$1)*'1. UC Assumptions'!$L$42,0)</f>
        <v>0</v>
      </c>
      <c r="AR95" s="183">
        <f>IF(H95="MRSA Northeast",(AD95/$AR$1)*'1. UC Assumptions'!$M$42,0)</f>
        <v>0</v>
      </c>
      <c r="AS95" s="183">
        <f>IF(H95="MRSA West",(AD95/$AS$1)*'1. UC Assumptions'!$N$42,0)</f>
        <v>0</v>
      </c>
      <c r="AT95" s="183">
        <f>IF(H95="Nueces",(AD95/$AT$1)*'1. UC Assumptions'!$O$42,0)</f>
        <v>0</v>
      </c>
      <c r="AU95" s="183">
        <f>IF(H95="Tarrant",(AD95/$AU$1)*'1. UC Assumptions'!$P$42,0)</f>
        <v>0</v>
      </c>
      <c r="AV95" s="183">
        <f>IF(H95="Travis",(AD95/$AV$1)*'1. UC Assumptions'!$Q$42,0)</f>
        <v>0</v>
      </c>
      <c r="AW95" s="183">
        <f>IF(H95="Bexar",(AC95/$AW$1)*'1. UC Assumptions'!$E$44,0)</f>
        <v>0</v>
      </c>
      <c r="AX95" s="183">
        <f>IF(H95="Dallas",(AC95/$AX$1)*'1. UC Assumptions'!$F$44,0)</f>
        <v>0</v>
      </c>
      <c r="AY95" s="183">
        <f>IF(H95="El Paso",(AC95/$AY$1)*'1. UC Assumptions'!$G$44,0)</f>
        <v>0</v>
      </c>
      <c r="AZ95" s="183">
        <f>IF(H95="Harris",(AC95/$AZ$1)*'1. UC Assumptions'!$H$44,0)</f>
        <v>0</v>
      </c>
      <c r="BA95" s="183">
        <f>IF(H95="Hidalgo",(AC95/$BA$1)*'1. UC Assumptions'!$I$44,0)</f>
        <v>0</v>
      </c>
      <c r="BB95" s="183">
        <f>IF(H95="Jefferson",(AC95/$BB$1)*'1. UC Assumptions'!$J$44,0)</f>
        <v>0</v>
      </c>
      <c r="BC95" s="183">
        <f>IF(H95="Lubbock",(AC95/$BC$1)*'1. UC Assumptions'!$K$44,0)</f>
        <v>0</v>
      </c>
      <c r="BD95" s="183">
        <f>IF(H95="MRSA Central",(AC95/$BD$1)*'1. UC Assumptions'!$L$44,0)</f>
        <v>0</v>
      </c>
      <c r="BE95" s="183">
        <f>IF(H95="MRSA Northeast",(AC95/$BE$1)*'1. UC Assumptions'!$M$44,0)</f>
        <v>0</v>
      </c>
      <c r="BF95" s="183">
        <f>IF(H95="MRSA West",(AC95/$BF$1)*'1. UC Assumptions'!$N$44,0)</f>
        <v>0</v>
      </c>
      <c r="BG95" s="183">
        <f>IF(H95="Nueces",(AC95/$BG$1)*'1. UC Assumptions'!$O$44,0)</f>
        <v>0</v>
      </c>
      <c r="BH95" s="183">
        <f>IF(H95="Tarrant",(AC95/$BH$1)*'1. UC Assumptions'!$P$44,0)</f>
        <v>0</v>
      </c>
      <c r="BI95" s="183">
        <f>IF(H95="Travis",(AC95/$BI$1)*'1. UC Assumptions'!$Q$44,0)</f>
        <v>0</v>
      </c>
      <c r="BJ95" s="183">
        <f t="shared" si="22"/>
        <v>0</v>
      </c>
      <c r="BK95" s="183">
        <f t="shared" si="23"/>
        <v>0</v>
      </c>
      <c r="BL95" s="183">
        <f t="shared" si="24"/>
        <v>2558856.1872919905</v>
      </c>
      <c r="BM95" s="184">
        <f t="shared" si="25"/>
        <v>-1171459.4627080094</v>
      </c>
      <c r="BN95" s="184">
        <f>ROUNDDOWN(BM95*'1. UC Assumptions'!$C$23,2)</f>
        <v>-386581.62</v>
      </c>
      <c r="BO95" s="184"/>
      <c r="BP95" s="185"/>
      <c r="BQ95" s="32"/>
      <c r="BR95" s="32"/>
    </row>
    <row r="96" spans="1:70">
      <c r="A96" s="177" t="s">
        <v>1374</v>
      </c>
      <c r="B96" s="178" t="s">
        <v>789</v>
      </c>
      <c r="C96" s="178" t="s">
        <v>789</v>
      </c>
      <c r="D96" s="179" t="s">
        <v>214</v>
      </c>
      <c r="E96" s="179"/>
      <c r="F96" s="177"/>
      <c r="G96" s="177" t="s">
        <v>790</v>
      </c>
      <c r="H96" s="178" t="s">
        <v>6</v>
      </c>
      <c r="I96" s="178" t="s">
        <v>384</v>
      </c>
      <c r="J96" s="131">
        <f>IFERROR(INDEX(#REF!,(MATCH('Old Calc Tab'!C:C,#REF!,0))),0)</f>
        <v>0</v>
      </c>
      <c r="K96" s="131">
        <f>IFERROR(INDEX(#REF!,(MATCH('Old Calc Tab'!$C:$C,#REF!,0))),0)</f>
        <v>0</v>
      </c>
      <c r="L96" s="131"/>
      <c r="M96" s="131">
        <v>7766637.1999999993</v>
      </c>
      <c r="N96" s="131">
        <f>IFERROR(INDEX(#REF!,(MATCH('Old Calc Tab'!$C:$C,#REF!,0))),0)</f>
        <v>0</v>
      </c>
      <c r="O96" s="131">
        <f t="shared" si="13"/>
        <v>0</v>
      </c>
      <c r="P96" s="131">
        <f t="shared" si="14"/>
        <v>7766637.1999999993</v>
      </c>
      <c r="Q96" s="131"/>
      <c r="R96" s="131"/>
      <c r="S96" s="131"/>
      <c r="T96" s="131"/>
      <c r="U96" s="131"/>
      <c r="V96" s="131">
        <v>0</v>
      </c>
      <c r="W96" s="180">
        <v>0</v>
      </c>
      <c r="X96" s="180">
        <f t="shared" si="15"/>
        <v>7766637.1999999993</v>
      </c>
      <c r="Y96" s="181">
        <f>IF(D96="Physician Group Practice",(X96/$AE$369)*'1. UC Assumptions'!$C$15,IF(OR(E96="Rural Hospital",E96="Hosp - State"),X96,(X96/$X$369)*'1. UC Assumptions'!$C$9))</f>
        <v>4674451.7739916863</v>
      </c>
      <c r="Z96" s="181">
        <f t="shared" si="16"/>
        <v>0</v>
      </c>
      <c r="AA96" s="181">
        <f t="shared" si="17"/>
        <v>3092185.426008313</v>
      </c>
      <c r="AB96" s="182">
        <f t="shared" si="18"/>
        <v>1660.5998773363187</v>
      </c>
      <c r="AC96" s="181">
        <f t="shared" si="19"/>
        <v>3093846.0258856495</v>
      </c>
      <c r="AD96" s="181">
        <f t="shared" si="20"/>
        <v>4676112.3738690224</v>
      </c>
      <c r="AE96" s="131">
        <v>3228957.87</v>
      </c>
      <c r="AF96" s="131">
        <f>AE96*'1. UC Assumptions'!$C$23</f>
        <v>1065556.0970999999</v>
      </c>
      <c r="AG96" s="183">
        <f>IF((((X96-W96-AE96)*'1. UC Assumptions'!$C$23)+AF96)&gt;0,((X96-W96-AE96)*'1. UC Assumptions'!$C$23)+AF96,0)</f>
        <v>2562990.2759999996</v>
      </c>
      <c r="AH96" s="183">
        <f>IF(((X96-W96-AE96)*'1. UC Assumptions'!$C$23)&gt;0,(X96-W96-AE96)*'1. UC Assumptions'!$C$23,0)</f>
        <v>1497434.1788999995</v>
      </c>
      <c r="AI96" s="183">
        <f t="shared" si="21"/>
        <v>2562990.2759999996</v>
      </c>
      <c r="AJ96" s="183">
        <f>IF(H96="Bexar",(AD96/$AJ$1)*'1. UC Assumptions'!$E$42,0)</f>
        <v>0</v>
      </c>
      <c r="AK96" s="183">
        <f>IF(H96="Dallas",(AD96/$AK$1)*'1. UC Assumptions'!$F$42,0)</f>
        <v>0</v>
      </c>
      <c r="AL96" s="183">
        <f>IF(H96="El Paso",(AD96/$AL$1)*'1. UC Assumptions'!$G$42,0)</f>
        <v>0</v>
      </c>
      <c r="AM96" s="183">
        <f>IF(H96="Harris",(AD96/$AM$1)*'1. UC Assumptions'!$H$42,0)</f>
        <v>0</v>
      </c>
      <c r="AN96" s="183">
        <f>IF(H96="Hidalgo",(AD96/$AN$1)*'1. UC Assumptions'!$I$42,0)</f>
        <v>0</v>
      </c>
      <c r="AO96" s="183">
        <f>IF(H96="Jefferson",(AD96/$AO$1)*'1. UC Assumptions'!$J$42,0)</f>
        <v>0</v>
      </c>
      <c r="AP96" s="183">
        <f>IF(H96="Lubbock",(AD96/$AP$1)*'1. UC Assumptions'!$K$42,0)</f>
        <v>0</v>
      </c>
      <c r="AQ96" s="183">
        <f>IF(H96="MRSA Central",(AD96/$AQ$1)*'1. UC Assumptions'!$L$42,0)</f>
        <v>0</v>
      </c>
      <c r="AR96" s="183">
        <f>IF(H96="MRSA Northeast",(AD96/$AR$1)*'1. UC Assumptions'!$M$42,0)</f>
        <v>0</v>
      </c>
      <c r="AS96" s="183">
        <f>IF(H96="MRSA West",(AD96/$AS$1)*'1. UC Assumptions'!$N$42,0)</f>
        <v>0</v>
      </c>
      <c r="AT96" s="183">
        <f>IF(H96="Nueces",(AD96/$AT$1)*'1. UC Assumptions'!$O$42,0)</f>
        <v>0</v>
      </c>
      <c r="AU96" s="183">
        <f>IF(H96="Tarrant",(AD96/$AU$1)*'1. UC Assumptions'!$P$42,0)</f>
        <v>0</v>
      </c>
      <c r="AV96" s="183">
        <f>IF(H96="Travis",(AD96/$AV$1)*'1. UC Assumptions'!$Q$42,0)</f>
        <v>0</v>
      </c>
      <c r="AW96" s="183">
        <f>IF(H96="Bexar",(AC96/$AW$1)*'1. UC Assumptions'!$E$44,0)</f>
        <v>0</v>
      </c>
      <c r="AX96" s="183">
        <f>IF(H96="Dallas",(AC96/$AX$1)*'1. UC Assumptions'!$F$44,0)</f>
        <v>0</v>
      </c>
      <c r="AY96" s="183">
        <f>IF(H96="El Paso",(AC96/$AY$1)*'1. UC Assumptions'!$G$44,0)</f>
        <v>0</v>
      </c>
      <c r="AZ96" s="183">
        <f>IF(H96="Harris",(AC96/$AZ$1)*'1. UC Assumptions'!$H$44,0)</f>
        <v>0</v>
      </c>
      <c r="BA96" s="183">
        <f>IF(H96="Hidalgo",(AC96/$BA$1)*'1. UC Assumptions'!$I$44,0)</f>
        <v>0</v>
      </c>
      <c r="BB96" s="183">
        <f>IF(H96="Jefferson",(AC96/$BB$1)*'1. UC Assumptions'!$J$44,0)</f>
        <v>0</v>
      </c>
      <c r="BC96" s="183">
        <f>IF(H96="Lubbock",(AC96/$BC$1)*'1. UC Assumptions'!$K$44,0)</f>
        <v>0</v>
      </c>
      <c r="BD96" s="183">
        <f>IF(H96="MRSA Central",(AC96/$BD$1)*'1. UC Assumptions'!$L$44,0)</f>
        <v>0</v>
      </c>
      <c r="BE96" s="183">
        <f>IF(H96="MRSA Northeast",(AC96/$BE$1)*'1. UC Assumptions'!$M$44,0)</f>
        <v>0</v>
      </c>
      <c r="BF96" s="183">
        <f>IF(H96="MRSA West",(AC96/$BF$1)*'1. UC Assumptions'!$N$44,0)</f>
        <v>0</v>
      </c>
      <c r="BG96" s="183">
        <f>IF(H96="Nueces",(AC96/$BG$1)*'1. UC Assumptions'!$O$44,0)</f>
        <v>0</v>
      </c>
      <c r="BH96" s="183">
        <f>IF(H96="Tarrant",(AC96/$BH$1)*'1. UC Assumptions'!$P$44,0)</f>
        <v>0</v>
      </c>
      <c r="BI96" s="183">
        <f>IF(H96="Travis",(AC96/$BI$1)*'1. UC Assumptions'!$Q$44,0)</f>
        <v>0</v>
      </c>
      <c r="BJ96" s="183">
        <f t="shared" si="22"/>
        <v>0</v>
      </c>
      <c r="BK96" s="183">
        <f t="shared" si="23"/>
        <v>0</v>
      </c>
      <c r="BL96" s="183">
        <f t="shared" si="24"/>
        <v>4676112.3738690224</v>
      </c>
      <c r="BM96" s="184">
        <f t="shared" si="25"/>
        <v>1447154.5038690222</v>
      </c>
      <c r="BN96" s="184">
        <f>ROUNDDOWN(BM96*'1. UC Assumptions'!$C$23,2)</f>
        <v>477560.98</v>
      </c>
      <c r="BO96" s="184"/>
      <c r="BP96" s="185"/>
      <c r="BQ96" s="32"/>
      <c r="BR96" s="32"/>
    </row>
    <row r="97" spans="1:70">
      <c r="A97" s="177" t="s">
        <v>1375</v>
      </c>
      <c r="B97" s="178" t="s">
        <v>800</v>
      </c>
      <c r="C97" s="178" t="s">
        <v>800</v>
      </c>
      <c r="D97" s="179" t="s">
        <v>214</v>
      </c>
      <c r="E97" s="179" t="s">
        <v>149</v>
      </c>
      <c r="F97" s="177"/>
      <c r="G97" s="177" t="s">
        <v>801</v>
      </c>
      <c r="H97" s="178" t="s">
        <v>6</v>
      </c>
      <c r="I97" s="178" t="s">
        <v>608</v>
      </c>
      <c r="J97" s="131">
        <f>IFERROR(INDEX(#REF!,(MATCH('Old Calc Tab'!C:C,#REF!,0))),0)</f>
        <v>0</v>
      </c>
      <c r="K97" s="131">
        <f>IFERROR(INDEX(#REF!,(MATCH('Old Calc Tab'!$C:$C,#REF!,0))),0)</f>
        <v>0</v>
      </c>
      <c r="L97" s="131"/>
      <c r="M97" s="131">
        <v>107797.85</v>
      </c>
      <c r="N97" s="131">
        <f>IFERROR(INDEX(#REF!,(MATCH('Old Calc Tab'!$C:$C,#REF!,0))),0)</f>
        <v>0</v>
      </c>
      <c r="O97" s="131">
        <f t="shared" si="13"/>
        <v>0</v>
      </c>
      <c r="P97" s="131">
        <f t="shared" si="14"/>
        <v>107797.85</v>
      </c>
      <c r="Q97" s="131"/>
      <c r="R97" s="131"/>
      <c r="S97" s="131"/>
      <c r="T97" s="131"/>
      <c r="U97" s="131"/>
      <c r="V97" s="131">
        <v>0</v>
      </c>
      <c r="W97" s="180">
        <v>0</v>
      </c>
      <c r="X97" s="180">
        <f t="shared" si="15"/>
        <v>107797.85</v>
      </c>
      <c r="Y97" s="181">
        <f>IF(D97="Physician Group Practice",(X97/$AE$369)*'1. UC Assumptions'!$C$15,IF(OR(E97="Rural Hospital",E97="Hosp - State"),X97,(X97/$X$369)*'1. UC Assumptions'!$C$9))</f>
        <v>107797.85</v>
      </c>
      <c r="Z97" s="181">
        <f t="shared" si="16"/>
        <v>0</v>
      </c>
      <c r="AA97" s="181">
        <f t="shared" si="17"/>
        <v>0</v>
      </c>
      <c r="AB97" s="182">
        <f t="shared" si="18"/>
        <v>0</v>
      </c>
      <c r="AC97" s="181">
        <f t="shared" si="19"/>
        <v>0</v>
      </c>
      <c r="AD97" s="181">
        <f t="shared" si="20"/>
        <v>107797.85</v>
      </c>
      <c r="AE97" s="131">
        <v>163272.29999999999</v>
      </c>
      <c r="AF97" s="131">
        <f>AE97*'1. UC Assumptions'!$C$23</f>
        <v>53879.858999999989</v>
      </c>
      <c r="AG97" s="183">
        <f>IF((((X97-W97-AE97)*'1. UC Assumptions'!$C$23)+AF97)&gt;0,((X97-W97-AE97)*'1. UC Assumptions'!$C$23)+AF97,0)</f>
        <v>35573.290500000003</v>
      </c>
      <c r="AH97" s="183">
        <f>IF(((X97-W97-AE97)*'1. UC Assumptions'!$C$23)&gt;0,(X97-W97-AE97)*'1. UC Assumptions'!$C$23,0)</f>
        <v>0</v>
      </c>
      <c r="AI97" s="183">
        <f t="shared" si="21"/>
        <v>53879.858999999989</v>
      </c>
      <c r="AJ97" s="183">
        <f>IF(H97="Bexar",(AD97/$AJ$1)*'1. UC Assumptions'!$E$42,0)</f>
        <v>0</v>
      </c>
      <c r="AK97" s="183">
        <f>IF(H97="Dallas",(AD97/$AK$1)*'1. UC Assumptions'!$F$42,0)</f>
        <v>0</v>
      </c>
      <c r="AL97" s="183">
        <f>IF(H97="El Paso",(AD97/$AL$1)*'1. UC Assumptions'!$G$42,0)</f>
        <v>0</v>
      </c>
      <c r="AM97" s="183">
        <f>IF(H97="Harris",(AD97/$AM$1)*'1. UC Assumptions'!$H$42,0)</f>
        <v>0</v>
      </c>
      <c r="AN97" s="183">
        <f>IF(H97="Hidalgo",(AD97/$AN$1)*'1. UC Assumptions'!$I$42,0)</f>
        <v>0</v>
      </c>
      <c r="AO97" s="183">
        <f>IF(H97="Jefferson",(AD97/$AO$1)*'1. UC Assumptions'!$J$42,0)</f>
        <v>0</v>
      </c>
      <c r="AP97" s="183">
        <f>IF(H97="Lubbock",(AD97/$AP$1)*'1. UC Assumptions'!$K$42,0)</f>
        <v>0</v>
      </c>
      <c r="AQ97" s="183">
        <f>IF(H97="MRSA Central",(AD97/$AQ$1)*'1. UC Assumptions'!$L$42,0)</f>
        <v>0</v>
      </c>
      <c r="AR97" s="183">
        <f>IF(H97="MRSA Northeast",(AD97/$AR$1)*'1. UC Assumptions'!$M$42,0)</f>
        <v>0</v>
      </c>
      <c r="AS97" s="183">
        <f>IF(H97="MRSA West",(AD97/$AS$1)*'1. UC Assumptions'!$N$42,0)</f>
        <v>0</v>
      </c>
      <c r="AT97" s="183">
        <f>IF(H97="Nueces",(AD97/$AT$1)*'1. UC Assumptions'!$O$42,0)</f>
        <v>0</v>
      </c>
      <c r="AU97" s="183">
        <f>IF(H97="Tarrant",(AD97/$AU$1)*'1. UC Assumptions'!$P$42,0)</f>
        <v>0</v>
      </c>
      <c r="AV97" s="183">
        <f>IF(H97="Travis",(AD97/$AV$1)*'1. UC Assumptions'!$Q$42,0)</f>
        <v>0</v>
      </c>
      <c r="AW97" s="183">
        <f>IF(H97="Bexar",(AC97/$AW$1)*'1. UC Assumptions'!$E$44,0)</f>
        <v>0</v>
      </c>
      <c r="AX97" s="183">
        <f>IF(H97="Dallas",(AC97/$AX$1)*'1. UC Assumptions'!$F$44,0)</f>
        <v>0</v>
      </c>
      <c r="AY97" s="183">
        <f>IF(H97="El Paso",(AC97/$AY$1)*'1. UC Assumptions'!$G$44,0)</f>
        <v>0</v>
      </c>
      <c r="AZ97" s="183">
        <f>IF(H97="Harris",(AC97/$AZ$1)*'1. UC Assumptions'!$H$44,0)</f>
        <v>0</v>
      </c>
      <c r="BA97" s="183">
        <f>IF(H97="Hidalgo",(AC97/$BA$1)*'1. UC Assumptions'!$I$44,0)</f>
        <v>0</v>
      </c>
      <c r="BB97" s="183">
        <f>IF(H97="Jefferson",(AC97/$BB$1)*'1. UC Assumptions'!$J$44,0)</f>
        <v>0</v>
      </c>
      <c r="BC97" s="183">
        <f>IF(H97="Lubbock",(AC97/$BC$1)*'1. UC Assumptions'!$K$44,0)</f>
        <v>0</v>
      </c>
      <c r="BD97" s="183">
        <f>IF(H97="MRSA Central",(AC97/$BD$1)*'1. UC Assumptions'!$L$44,0)</f>
        <v>0</v>
      </c>
      <c r="BE97" s="183">
        <f>IF(H97="MRSA Northeast",(AC97/$BE$1)*'1. UC Assumptions'!$M$44,0)</f>
        <v>0</v>
      </c>
      <c r="BF97" s="183">
        <f>IF(H97="MRSA West",(AC97/$BF$1)*'1. UC Assumptions'!$N$44,0)</f>
        <v>0</v>
      </c>
      <c r="BG97" s="183">
        <f>IF(H97="Nueces",(AC97/$BG$1)*'1. UC Assumptions'!$O$44,0)</f>
        <v>0</v>
      </c>
      <c r="BH97" s="183">
        <f>IF(H97="Tarrant",(AC97/$BH$1)*'1. UC Assumptions'!$P$44,0)</f>
        <v>0</v>
      </c>
      <c r="BI97" s="183">
        <f>IF(H97="Travis",(AC97/$BI$1)*'1. UC Assumptions'!$Q$44,0)</f>
        <v>0</v>
      </c>
      <c r="BJ97" s="183">
        <f t="shared" si="22"/>
        <v>0</v>
      </c>
      <c r="BK97" s="183">
        <f t="shared" si="23"/>
        <v>0</v>
      </c>
      <c r="BL97" s="183">
        <f t="shared" si="24"/>
        <v>107797.85</v>
      </c>
      <c r="BM97" s="184">
        <f t="shared" si="25"/>
        <v>-55474.449999999983</v>
      </c>
      <c r="BN97" s="184">
        <f>ROUNDDOWN(BM97*'1. UC Assumptions'!$C$23,2)</f>
        <v>-18306.560000000001</v>
      </c>
      <c r="BO97" s="184"/>
      <c r="BP97" s="185"/>
      <c r="BQ97" s="32"/>
      <c r="BR97" s="32"/>
    </row>
    <row r="98" spans="1:70">
      <c r="A98" s="177" t="s">
        <v>1376</v>
      </c>
      <c r="B98" s="178" t="s">
        <v>808</v>
      </c>
      <c r="C98" s="178" t="s">
        <v>808</v>
      </c>
      <c r="D98" s="179" t="s">
        <v>214</v>
      </c>
      <c r="E98" s="179"/>
      <c r="F98" s="177"/>
      <c r="G98" s="177" t="s">
        <v>809</v>
      </c>
      <c r="H98" s="178" t="s">
        <v>6</v>
      </c>
      <c r="I98" s="178" t="s">
        <v>223</v>
      </c>
      <c r="J98" s="131">
        <f>IFERROR(INDEX(#REF!,(MATCH('Old Calc Tab'!C:C,#REF!,0))),0)</f>
        <v>0</v>
      </c>
      <c r="K98" s="131">
        <f>IFERROR(INDEX(#REF!,(MATCH('Old Calc Tab'!$C:$C,#REF!,0))),0)</f>
        <v>0</v>
      </c>
      <c r="L98" s="131"/>
      <c r="M98" s="131">
        <v>7108962.9000000004</v>
      </c>
      <c r="N98" s="131">
        <f>IFERROR(INDEX(#REF!,(MATCH('Old Calc Tab'!$C:$C,#REF!,0))),0)</f>
        <v>0</v>
      </c>
      <c r="O98" s="131">
        <f t="shared" si="13"/>
        <v>0</v>
      </c>
      <c r="P98" s="131">
        <f t="shared" si="14"/>
        <v>7108962.9000000004</v>
      </c>
      <c r="Q98" s="131"/>
      <c r="R98" s="131"/>
      <c r="S98" s="131"/>
      <c r="T98" s="131"/>
      <c r="U98" s="131"/>
      <c r="V98" s="131">
        <v>0</v>
      </c>
      <c r="W98" s="180">
        <v>0</v>
      </c>
      <c r="X98" s="180">
        <f t="shared" si="15"/>
        <v>7108962.9000000004</v>
      </c>
      <c r="Y98" s="181">
        <f>IF(D98="Physician Group Practice",(X98/$AE$369)*'1. UC Assumptions'!$C$15,IF(OR(E98="Rural Hospital",E98="Hosp - State"),X98,(X98/$X$369)*'1. UC Assumptions'!$C$9))</f>
        <v>4278621.9290822661</v>
      </c>
      <c r="Z98" s="181">
        <f t="shared" si="16"/>
        <v>0</v>
      </c>
      <c r="AA98" s="181">
        <f t="shared" si="17"/>
        <v>2830340.9709177343</v>
      </c>
      <c r="AB98" s="182">
        <f t="shared" si="18"/>
        <v>1519.9812500226535</v>
      </c>
      <c r="AC98" s="181">
        <f t="shared" si="19"/>
        <v>2831860.9521677569</v>
      </c>
      <c r="AD98" s="181">
        <f t="shared" si="20"/>
        <v>4280141.9103322886</v>
      </c>
      <c r="AE98" s="131">
        <v>4344617.8499999996</v>
      </c>
      <c r="AF98" s="131">
        <f>AE98*'1. UC Assumptions'!$C$23</f>
        <v>1433723.8904999997</v>
      </c>
      <c r="AG98" s="183">
        <f>IF((((X98-W98-AE98)*'1. UC Assumptions'!$C$23)+AF98)&gt;0,((X98-W98-AE98)*'1. UC Assumptions'!$C$23)+AF98,0)</f>
        <v>2345957.7569999998</v>
      </c>
      <c r="AH98" s="183">
        <f>IF(((X98-W98-AE98)*'1. UC Assumptions'!$C$23)&gt;0,(X98-W98-AE98)*'1. UC Assumptions'!$C$23,0)</f>
        <v>912233.86650000012</v>
      </c>
      <c r="AI98" s="183">
        <f t="shared" si="21"/>
        <v>2345957.7569999998</v>
      </c>
      <c r="AJ98" s="183">
        <f>IF(H98="Bexar",(AD98/$AJ$1)*'1. UC Assumptions'!$E$42,0)</f>
        <v>0</v>
      </c>
      <c r="AK98" s="183">
        <f>IF(H98="Dallas",(AD98/$AK$1)*'1. UC Assumptions'!$F$42,0)</f>
        <v>0</v>
      </c>
      <c r="AL98" s="183">
        <f>IF(H98="El Paso",(AD98/$AL$1)*'1. UC Assumptions'!$G$42,0)</f>
        <v>0</v>
      </c>
      <c r="AM98" s="183">
        <f>IF(H98="Harris",(AD98/$AM$1)*'1. UC Assumptions'!$H$42,0)</f>
        <v>0</v>
      </c>
      <c r="AN98" s="183">
        <f>IF(H98="Hidalgo",(AD98/$AN$1)*'1. UC Assumptions'!$I$42,0)</f>
        <v>0</v>
      </c>
      <c r="AO98" s="183">
        <f>IF(H98="Jefferson",(AD98/$AO$1)*'1. UC Assumptions'!$J$42,0)</f>
        <v>0</v>
      </c>
      <c r="AP98" s="183">
        <f>IF(H98="Lubbock",(AD98/$AP$1)*'1. UC Assumptions'!$K$42,0)</f>
        <v>0</v>
      </c>
      <c r="AQ98" s="183">
        <f>IF(H98="MRSA Central",(AD98/$AQ$1)*'1. UC Assumptions'!$L$42,0)</f>
        <v>0</v>
      </c>
      <c r="AR98" s="183">
        <f>IF(H98="MRSA Northeast",(AD98/$AR$1)*'1. UC Assumptions'!$M$42,0)</f>
        <v>0</v>
      </c>
      <c r="AS98" s="183">
        <f>IF(H98="MRSA West",(AD98/$AS$1)*'1. UC Assumptions'!$N$42,0)</f>
        <v>0</v>
      </c>
      <c r="AT98" s="183">
        <f>IF(H98="Nueces",(AD98/$AT$1)*'1. UC Assumptions'!$O$42,0)</f>
        <v>0</v>
      </c>
      <c r="AU98" s="183">
        <f>IF(H98="Tarrant",(AD98/$AU$1)*'1. UC Assumptions'!$P$42,0)</f>
        <v>0</v>
      </c>
      <c r="AV98" s="183">
        <f>IF(H98="Travis",(AD98/$AV$1)*'1. UC Assumptions'!$Q$42,0)</f>
        <v>0</v>
      </c>
      <c r="AW98" s="183">
        <f>IF(H98="Bexar",(AC98/$AW$1)*'1. UC Assumptions'!$E$44,0)</f>
        <v>0</v>
      </c>
      <c r="AX98" s="183">
        <f>IF(H98="Dallas",(AC98/$AX$1)*'1. UC Assumptions'!$F$44,0)</f>
        <v>0</v>
      </c>
      <c r="AY98" s="183">
        <f>IF(H98="El Paso",(AC98/$AY$1)*'1. UC Assumptions'!$G$44,0)</f>
        <v>0</v>
      </c>
      <c r="AZ98" s="183">
        <f>IF(H98="Harris",(AC98/$AZ$1)*'1. UC Assumptions'!$H$44,0)</f>
        <v>0</v>
      </c>
      <c r="BA98" s="183">
        <f>IF(H98="Hidalgo",(AC98/$BA$1)*'1. UC Assumptions'!$I$44,0)</f>
        <v>0</v>
      </c>
      <c r="BB98" s="183">
        <f>IF(H98="Jefferson",(AC98/$BB$1)*'1. UC Assumptions'!$J$44,0)</f>
        <v>0</v>
      </c>
      <c r="BC98" s="183">
        <f>IF(H98="Lubbock",(AC98/$BC$1)*'1. UC Assumptions'!$K$44,0)</f>
        <v>0</v>
      </c>
      <c r="BD98" s="183">
        <f>IF(H98="MRSA Central",(AC98/$BD$1)*'1. UC Assumptions'!$L$44,0)</f>
        <v>0</v>
      </c>
      <c r="BE98" s="183">
        <f>IF(H98="MRSA Northeast",(AC98/$BE$1)*'1. UC Assumptions'!$M$44,0)</f>
        <v>0</v>
      </c>
      <c r="BF98" s="183">
        <f>IF(H98="MRSA West",(AC98/$BF$1)*'1. UC Assumptions'!$N$44,0)</f>
        <v>0</v>
      </c>
      <c r="BG98" s="183">
        <f>IF(H98="Nueces",(AC98/$BG$1)*'1. UC Assumptions'!$O$44,0)</f>
        <v>0</v>
      </c>
      <c r="BH98" s="183">
        <f>IF(H98="Tarrant",(AC98/$BH$1)*'1. UC Assumptions'!$P$44,0)</f>
        <v>0</v>
      </c>
      <c r="BI98" s="183">
        <f>IF(H98="Travis",(AC98/$BI$1)*'1. UC Assumptions'!$Q$44,0)</f>
        <v>0</v>
      </c>
      <c r="BJ98" s="183">
        <f t="shared" si="22"/>
        <v>0</v>
      </c>
      <c r="BK98" s="183">
        <f t="shared" si="23"/>
        <v>0</v>
      </c>
      <c r="BL98" s="183">
        <f t="shared" si="24"/>
        <v>4280141.9103322886</v>
      </c>
      <c r="BM98" s="184">
        <f t="shared" si="25"/>
        <v>-64475.939667711034</v>
      </c>
      <c r="BN98" s="184">
        <f>ROUNDDOWN(BM98*'1. UC Assumptions'!$C$23,2)</f>
        <v>-21277.06</v>
      </c>
      <c r="BO98" s="184"/>
      <c r="BP98" s="185"/>
      <c r="BQ98" s="32"/>
      <c r="BR98" s="32"/>
    </row>
    <row r="99" spans="1:70">
      <c r="A99" s="177" t="s">
        <v>1377</v>
      </c>
      <c r="B99" s="178" t="s">
        <v>837</v>
      </c>
      <c r="C99" s="178" t="s">
        <v>837</v>
      </c>
      <c r="D99" s="179" t="s">
        <v>214</v>
      </c>
      <c r="E99" s="179"/>
      <c r="F99" s="177"/>
      <c r="G99" s="177" t="s">
        <v>838</v>
      </c>
      <c r="H99" s="178" t="s">
        <v>6</v>
      </c>
      <c r="I99" s="178" t="s">
        <v>6</v>
      </c>
      <c r="J99" s="131">
        <f>IFERROR(INDEX(#REF!,(MATCH('Old Calc Tab'!C:C,#REF!,0))),0)</f>
        <v>0</v>
      </c>
      <c r="K99" s="131">
        <f>IFERROR(INDEX(#REF!,(MATCH('Old Calc Tab'!$C:$C,#REF!,0))),0)</f>
        <v>0</v>
      </c>
      <c r="L99" s="131"/>
      <c r="M99" s="131">
        <v>5035397.8899999997</v>
      </c>
      <c r="N99" s="131">
        <f>IFERROR(INDEX(#REF!,(MATCH('Old Calc Tab'!$C:$C,#REF!,0))),0)</f>
        <v>0</v>
      </c>
      <c r="O99" s="131">
        <f t="shared" si="13"/>
        <v>0</v>
      </c>
      <c r="P99" s="131">
        <f t="shared" si="14"/>
        <v>5035397.8899999997</v>
      </c>
      <c r="Q99" s="131"/>
      <c r="R99" s="131"/>
      <c r="S99" s="131"/>
      <c r="T99" s="131"/>
      <c r="U99" s="131"/>
      <c r="V99" s="131">
        <v>0</v>
      </c>
      <c r="W99" s="180">
        <v>0</v>
      </c>
      <c r="X99" s="180">
        <f t="shared" si="15"/>
        <v>5035397.8899999997</v>
      </c>
      <c r="Y99" s="181">
        <f>IF(D99="Physician Group Practice",(X99/$AE$369)*'1. UC Assumptions'!$C$15,IF(OR(E99="Rural Hospital",E99="Hosp - State"),X99,(X99/$X$369)*'1. UC Assumptions'!$C$9))</f>
        <v>3030619.8156989357</v>
      </c>
      <c r="Z99" s="181">
        <f t="shared" si="16"/>
        <v>0</v>
      </c>
      <c r="AA99" s="181">
        <f t="shared" si="17"/>
        <v>2004778.074301064</v>
      </c>
      <c r="AB99" s="182">
        <f t="shared" si="18"/>
        <v>1076.6282630626233</v>
      </c>
      <c r="AC99" s="181">
        <f t="shared" si="19"/>
        <v>2005854.7025641266</v>
      </c>
      <c r="AD99" s="181">
        <f t="shared" si="20"/>
        <v>3031696.4439619984</v>
      </c>
      <c r="AE99" s="131">
        <v>6850909.6100000003</v>
      </c>
      <c r="AF99" s="131">
        <f>AE99*'1. UC Assumptions'!$C$23</f>
        <v>2260800.1713</v>
      </c>
      <c r="AG99" s="183">
        <f>IF((((X99-W99-AE99)*'1. UC Assumptions'!$C$23)+AF99)&gt;0,((X99-W99-AE99)*'1. UC Assumptions'!$C$23)+AF99,0)</f>
        <v>1661681.3037</v>
      </c>
      <c r="AH99" s="183">
        <f>IF(((X99-W99-AE99)*'1. UC Assumptions'!$C$23)&gt;0,(X99-W99-AE99)*'1. UC Assumptions'!$C$23,0)</f>
        <v>0</v>
      </c>
      <c r="AI99" s="183">
        <f t="shared" si="21"/>
        <v>2260800.1713</v>
      </c>
      <c r="AJ99" s="183">
        <f>IF(H99="Bexar",(AD99/$AJ$1)*'1. UC Assumptions'!$E$42,0)</f>
        <v>0</v>
      </c>
      <c r="AK99" s="183">
        <f>IF(H99="Dallas",(AD99/$AK$1)*'1. UC Assumptions'!$F$42,0)</f>
        <v>0</v>
      </c>
      <c r="AL99" s="183">
        <f>IF(H99="El Paso",(AD99/$AL$1)*'1. UC Assumptions'!$G$42,0)</f>
        <v>0</v>
      </c>
      <c r="AM99" s="183">
        <f>IF(H99="Harris",(AD99/$AM$1)*'1. UC Assumptions'!$H$42,0)</f>
        <v>0</v>
      </c>
      <c r="AN99" s="183">
        <f>IF(H99="Hidalgo",(AD99/$AN$1)*'1. UC Assumptions'!$I$42,0)</f>
        <v>0</v>
      </c>
      <c r="AO99" s="183">
        <f>IF(H99="Jefferson",(AD99/$AO$1)*'1. UC Assumptions'!$J$42,0)</f>
        <v>0</v>
      </c>
      <c r="AP99" s="183">
        <f>IF(H99="Lubbock",(AD99/$AP$1)*'1. UC Assumptions'!$K$42,0)</f>
        <v>0</v>
      </c>
      <c r="AQ99" s="183">
        <f>IF(H99="MRSA Central",(AD99/$AQ$1)*'1. UC Assumptions'!$L$42,0)</f>
        <v>0</v>
      </c>
      <c r="AR99" s="183">
        <f>IF(H99="MRSA Northeast",(AD99/$AR$1)*'1. UC Assumptions'!$M$42,0)</f>
        <v>0</v>
      </c>
      <c r="AS99" s="183">
        <f>IF(H99="MRSA West",(AD99/$AS$1)*'1. UC Assumptions'!$N$42,0)</f>
        <v>0</v>
      </c>
      <c r="AT99" s="183">
        <f>IF(H99="Nueces",(AD99/$AT$1)*'1. UC Assumptions'!$O$42,0)</f>
        <v>0</v>
      </c>
      <c r="AU99" s="183">
        <f>IF(H99="Tarrant",(AD99/$AU$1)*'1. UC Assumptions'!$P$42,0)</f>
        <v>0</v>
      </c>
      <c r="AV99" s="183">
        <f>IF(H99="Travis",(AD99/$AV$1)*'1. UC Assumptions'!$Q$42,0)</f>
        <v>0</v>
      </c>
      <c r="AW99" s="183">
        <f>IF(H99="Bexar",(AC99/$AW$1)*'1. UC Assumptions'!$E$44,0)</f>
        <v>0</v>
      </c>
      <c r="AX99" s="183">
        <f>IF(H99="Dallas",(AC99/$AX$1)*'1. UC Assumptions'!$F$44,0)</f>
        <v>0</v>
      </c>
      <c r="AY99" s="183">
        <f>IF(H99="El Paso",(AC99/$AY$1)*'1. UC Assumptions'!$G$44,0)</f>
        <v>0</v>
      </c>
      <c r="AZ99" s="183">
        <f>IF(H99="Harris",(AC99/$AZ$1)*'1. UC Assumptions'!$H$44,0)</f>
        <v>0</v>
      </c>
      <c r="BA99" s="183">
        <f>IF(H99="Hidalgo",(AC99/$BA$1)*'1. UC Assumptions'!$I$44,0)</f>
        <v>0</v>
      </c>
      <c r="BB99" s="183">
        <f>IF(H99="Jefferson",(AC99/$BB$1)*'1. UC Assumptions'!$J$44,0)</f>
        <v>0</v>
      </c>
      <c r="BC99" s="183">
        <f>IF(H99="Lubbock",(AC99/$BC$1)*'1. UC Assumptions'!$K$44,0)</f>
        <v>0</v>
      </c>
      <c r="BD99" s="183">
        <f>IF(H99="MRSA Central",(AC99/$BD$1)*'1. UC Assumptions'!$L$44,0)</f>
        <v>0</v>
      </c>
      <c r="BE99" s="183">
        <f>IF(H99="MRSA Northeast",(AC99/$BE$1)*'1. UC Assumptions'!$M$44,0)</f>
        <v>0</v>
      </c>
      <c r="BF99" s="183">
        <f>IF(H99="MRSA West",(AC99/$BF$1)*'1. UC Assumptions'!$N$44,0)</f>
        <v>0</v>
      </c>
      <c r="BG99" s="183">
        <f>IF(H99="Nueces",(AC99/$BG$1)*'1. UC Assumptions'!$O$44,0)</f>
        <v>0</v>
      </c>
      <c r="BH99" s="183">
        <f>IF(H99="Tarrant",(AC99/$BH$1)*'1. UC Assumptions'!$P$44,0)</f>
        <v>0</v>
      </c>
      <c r="BI99" s="183">
        <f>IF(H99="Travis",(AC99/$BI$1)*'1. UC Assumptions'!$Q$44,0)</f>
        <v>0</v>
      </c>
      <c r="BJ99" s="183">
        <f t="shared" si="22"/>
        <v>0</v>
      </c>
      <c r="BK99" s="183">
        <f t="shared" si="23"/>
        <v>0</v>
      </c>
      <c r="BL99" s="183">
        <f t="shared" si="24"/>
        <v>3031696.4439619984</v>
      </c>
      <c r="BM99" s="184">
        <f t="shared" si="25"/>
        <v>-3819213.1660380019</v>
      </c>
      <c r="BN99" s="184">
        <f>ROUNDDOWN(BM99*'1. UC Assumptions'!$C$23,2)</f>
        <v>-1260340.3400000001</v>
      </c>
      <c r="BO99" s="184"/>
      <c r="BP99" s="185"/>
      <c r="BQ99" s="32"/>
      <c r="BR99" s="32"/>
    </row>
    <row r="100" spans="1:70">
      <c r="A100" s="177" t="s">
        <v>1378</v>
      </c>
      <c r="B100" s="178" t="s">
        <v>854</v>
      </c>
      <c r="C100" s="178" t="s">
        <v>854</v>
      </c>
      <c r="D100" s="179" t="s">
        <v>214</v>
      </c>
      <c r="E100" s="179"/>
      <c r="F100" s="177"/>
      <c r="G100" s="177" t="s">
        <v>855</v>
      </c>
      <c r="H100" s="178" t="s">
        <v>6</v>
      </c>
      <c r="I100" s="178" t="s">
        <v>6</v>
      </c>
      <c r="J100" s="131">
        <f>IFERROR(INDEX(#REF!,(MATCH('Old Calc Tab'!C:C,#REF!,0))),0)</f>
        <v>0</v>
      </c>
      <c r="K100" s="131">
        <f>IFERROR(INDEX(#REF!,(MATCH('Old Calc Tab'!$C:$C,#REF!,0))),0)</f>
        <v>0</v>
      </c>
      <c r="L100" s="131"/>
      <c r="M100" s="131">
        <v>18167330.799999997</v>
      </c>
      <c r="N100" s="131">
        <f>IFERROR(INDEX(#REF!,(MATCH('Old Calc Tab'!$C:$C,#REF!,0))),0)</f>
        <v>0</v>
      </c>
      <c r="O100" s="131">
        <f t="shared" si="13"/>
        <v>0</v>
      </c>
      <c r="P100" s="131">
        <f t="shared" si="14"/>
        <v>18167330.799999997</v>
      </c>
      <c r="Q100" s="131"/>
      <c r="R100" s="131"/>
      <c r="S100" s="131"/>
      <c r="T100" s="131"/>
      <c r="U100" s="131"/>
      <c r="V100" s="131">
        <v>462809</v>
      </c>
      <c r="W100" s="180">
        <v>0</v>
      </c>
      <c r="X100" s="180">
        <f t="shared" si="15"/>
        <v>18630139.799999997</v>
      </c>
      <c r="Y100" s="181">
        <f>IF(D100="Physician Group Practice",(X100/$AE$369)*'1. UC Assumptions'!$C$15,IF(OR(E100="Rural Hospital",E100="Hosp - State"),X100,(X100/$X$369)*'1. UC Assumptions'!$C$9))</f>
        <v>11212792.331515513</v>
      </c>
      <c r="Z100" s="181">
        <f t="shared" si="16"/>
        <v>0</v>
      </c>
      <c r="AA100" s="181">
        <f t="shared" si="17"/>
        <v>7417347.4684844837</v>
      </c>
      <c r="AB100" s="182">
        <f t="shared" si="18"/>
        <v>3983.3465977577098</v>
      </c>
      <c r="AC100" s="181">
        <f t="shared" si="19"/>
        <v>7421330.8150822418</v>
      </c>
      <c r="AD100" s="181">
        <f t="shared" si="20"/>
        <v>11216775.678113271</v>
      </c>
      <c r="AE100" s="131">
        <v>6914426.8799999999</v>
      </c>
      <c r="AF100" s="131">
        <f>AE100*'1. UC Assumptions'!$C$23</f>
        <v>2281760.8703999999</v>
      </c>
      <c r="AG100" s="183">
        <f>IF((((X100-W100-AE100)*'1. UC Assumptions'!$C$23)+AF100)&gt;0,((X100-W100-AE100)*'1. UC Assumptions'!$C$23)+AF100,0)</f>
        <v>6147946.1339999987</v>
      </c>
      <c r="AH100" s="183">
        <f>IF(((X100-W100-AE100)*'1. UC Assumptions'!$C$23)&gt;0,(X100-W100-AE100)*'1. UC Assumptions'!$C$23,0)</f>
        <v>3866185.2635999988</v>
      </c>
      <c r="AI100" s="183">
        <f t="shared" si="21"/>
        <v>6147946.1339999987</v>
      </c>
      <c r="AJ100" s="183">
        <f>IF(H100="Bexar",(AD100/$AJ$1)*'1. UC Assumptions'!$E$42,0)</f>
        <v>0</v>
      </c>
      <c r="AK100" s="183">
        <f>IF(H100="Dallas",(AD100/$AK$1)*'1. UC Assumptions'!$F$42,0)</f>
        <v>0</v>
      </c>
      <c r="AL100" s="183">
        <f>IF(H100="El Paso",(AD100/$AL$1)*'1. UC Assumptions'!$G$42,0)</f>
        <v>0</v>
      </c>
      <c r="AM100" s="183">
        <f>IF(H100="Harris",(AD100/$AM$1)*'1. UC Assumptions'!$H$42,0)</f>
        <v>0</v>
      </c>
      <c r="AN100" s="183">
        <f>IF(H100="Hidalgo",(AD100/$AN$1)*'1. UC Assumptions'!$I$42,0)</f>
        <v>0</v>
      </c>
      <c r="AO100" s="183">
        <f>IF(H100="Jefferson",(AD100/$AO$1)*'1. UC Assumptions'!$J$42,0)</f>
        <v>0</v>
      </c>
      <c r="AP100" s="183">
        <f>IF(H100="Lubbock",(AD100/$AP$1)*'1. UC Assumptions'!$K$42,0)</f>
        <v>0</v>
      </c>
      <c r="AQ100" s="183">
        <f>IF(H100="MRSA Central",(AD100/$AQ$1)*'1. UC Assumptions'!$L$42,0)</f>
        <v>0</v>
      </c>
      <c r="AR100" s="183">
        <f>IF(H100="MRSA Northeast",(AD100/$AR$1)*'1. UC Assumptions'!$M$42,0)</f>
        <v>0</v>
      </c>
      <c r="AS100" s="183">
        <f>IF(H100="MRSA West",(AD100/$AS$1)*'1. UC Assumptions'!$N$42,0)</f>
        <v>0</v>
      </c>
      <c r="AT100" s="183">
        <f>IF(H100="Nueces",(AD100/$AT$1)*'1. UC Assumptions'!$O$42,0)</f>
        <v>0</v>
      </c>
      <c r="AU100" s="183">
        <f>IF(H100="Tarrant",(AD100/$AU$1)*'1. UC Assumptions'!$P$42,0)</f>
        <v>0</v>
      </c>
      <c r="AV100" s="183">
        <f>IF(H100="Travis",(AD100/$AV$1)*'1. UC Assumptions'!$Q$42,0)</f>
        <v>0</v>
      </c>
      <c r="AW100" s="183">
        <f>IF(H100="Bexar",(AC100/$AW$1)*'1. UC Assumptions'!$E$44,0)</f>
        <v>0</v>
      </c>
      <c r="AX100" s="183">
        <f>IF(H100="Dallas",(AC100/$AX$1)*'1. UC Assumptions'!$F$44,0)</f>
        <v>0</v>
      </c>
      <c r="AY100" s="183">
        <f>IF(H100="El Paso",(AC100/$AY$1)*'1. UC Assumptions'!$G$44,0)</f>
        <v>0</v>
      </c>
      <c r="AZ100" s="183">
        <f>IF(H100="Harris",(AC100/$AZ$1)*'1. UC Assumptions'!$H$44,0)</f>
        <v>0</v>
      </c>
      <c r="BA100" s="183">
        <f>IF(H100="Hidalgo",(AC100/$BA$1)*'1. UC Assumptions'!$I$44,0)</f>
        <v>0</v>
      </c>
      <c r="BB100" s="183">
        <f>IF(H100="Jefferson",(AC100/$BB$1)*'1. UC Assumptions'!$J$44,0)</f>
        <v>0</v>
      </c>
      <c r="BC100" s="183">
        <f>IF(H100="Lubbock",(AC100/$BC$1)*'1. UC Assumptions'!$K$44,0)</f>
        <v>0</v>
      </c>
      <c r="BD100" s="183">
        <f>IF(H100="MRSA Central",(AC100/$BD$1)*'1. UC Assumptions'!$L$44,0)</f>
        <v>0</v>
      </c>
      <c r="BE100" s="183">
        <f>IF(H100="MRSA Northeast",(AC100/$BE$1)*'1. UC Assumptions'!$M$44,0)</f>
        <v>0</v>
      </c>
      <c r="BF100" s="183">
        <f>IF(H100="MRSA West",(AC100/$BF$1)*'1. UC Assumptions'!$N$44,0)</f>
        <v>0</v>
      </c>
      <c r="BG100" s="183">
        <f>IF(H100="Nueces",(AC100/$BG$1)*'1. UC Assumptions'!$O$44,0)</f>
        <v>0</v>
      </c>
      <c r="BH100" s="183">
        <f>IF(H100="Tarrant",(AC100/$BH$1)*'1. UC Assumptions'!$P$44,0)</f>
        <v>0</v>
      </c>
      <c r="BI100" s="183">
        <f>IF(H100="Travis",(AC100/$BI$1)*'1. UC Assumptions'!$Q$44,0)</f>
        <v>0</v>
      </c>
      <c r="BJ100" s="183">
        <f t="shared" si="22"/>
        <v>0</v>
      </c>
      <c r="BK100" s="183">
        <f t="shared" si="23"/>
        <v>0</v>
      </c>
      <c r="BL100" s="183">
        <f t="shared" si="24"/>
        <v>11216775.678113271</v>
      </c>
      <c r="BM100" s="184">
        <f t="shared" si="25"/>
        <v>4302348.7981132707</v>
      </c>
      <c r="BN100" s="184">
        <f>ROUNDDOWN(BM100*'1. UC Assumptions'!$C$23,2)</f>
        <v>1419775.1</v>
      </c>
      <c r="BO100" s="184"/>
      <c r="BP100" s="185"/>
      <c r="BQ100" s="32"/>
      <c r="BR100" s="32"/>
    </row>
    <row r="101" spans="1:70">
      <c r="A101" s="177" t="s">
        <v>1379</v>
      </c>
      <c r="B101" s="177" t="s">
        <v>860</v>
      </c>
      <c r="C101" s="178" t="s">
        <v>860</v>
      </c>
      <c r="D101" s="179" t="s">
        <v>214</v>
      </c>
      <c r="E101" s="179"/>
      <c r="F101" s="177"/>
      <c r="G101" s="177" t="s">
        <v>1380</v>
      </c>
      <c r="H101" s="178" t="s">
        <v>6</v>
      </c>
      <c r="I101" s="178" t="s">
        <v>6</v>
      </c>
      <c r="J101" s="131">
        <f>IFERROR(INDEX(#REF!,(MATCH('Old Calc Tab'!C:C,#REF!,0))),0)</f>
        <v>0</v>
      </c>
      <c r="K101" s="131">
        <f>IFERROR(INDEX(#REF!,(MATCH('Old Calc Tab'!$C:$C,#REF!,0))),0)</f>
        <v>0</v>
      </c>
      <c r="L101" s="131"/>
      <c r="M101" s="131">
        <v>27029475</v>
      </c>
      <c r="N101" s="131">
        <f>IFERROR(INDEX(#REF!,(MATCH('Old Calc Tab'!$C:$C,#REF!,0))),0)</f>
        <v>0</v>
      </c>
      <c r="O101" s="131">
        <f t="shared" si="13"/>
        <v>0</v>
      </c>
      <c r="P101" s="131">
        <f t="shared" si="14"/>
        <v>27029475</v>
      </c>
      <c r="Q101" s="131"/>
      <c r="R101" s="131"/>
      <c r="S101" s="131"/>
      <c r="T101" s="131"/>
      <c r="U101" s="131"/>
      <c r="V101" s="131">
        <v>0</v>
      </c>
      <c r="W101" s="180">
        <v>0</v>
      </c>
      <c r="X101" s="180">
        <f t="shared" si="15"/>
        <v>27029475</v>
      </c>
      <c r="Y101" s="181">
        <f>IF(D101="Physician Group Practice",(X101/$AE$369)*'1. UC Assumptions'!$C$15,IF(OR(E101="Rural Hospital",E101="Hosp - State"),X101,(X101/$X$369)*'1. UC Assumptions'!$C$9))</f>
        <v>16268041.638897974</v>
      </c>
      <c r="Z101" s="181">
        <f t="shared" si="16"/>
        <v>0</v>
      </c>
      <c r="AA101" s="181">
        <f t="shared" si="17"/>
        <v>10761433.361102026</v>
      </c>
      <c r="AB101" s="182">
        <f t="shared" si="18"/>
        <v>5779.2248708958732</v>
      </c>
      <c r="AC101" s="181">
        <f t="shared" si="19"/>
        <v>10767212.585972922</v>
      </c>
      <c r="AD101" s="181">
        <f t="shared" si="20"/>
        <v>16273820.86376887</v>
      </c>
      <c r="AE101" s="131">
        <v>9120536.7799999993</v>
      </c>
      <c r="AF101" s="131">
        <f>AE101*'1. UC Assumptions'!$C$23</f>
        <v>3009777.1373999994</v>
      </c>
      <c r="AG101" s="183">
        <f>IF((((X101-W101-AE101)*'1. UC Assumptions'!$C$23)+AF101)&gt;0,((X101-W101-AE101)*'1. UC Assumptions'!$C$23)+AF101,0)</f>
        <v>8919726.7499999981</v>
      </c>
      <c r="AH101" s="183">
        <f>IF(((X101-W101-AE101)*'1. UC Assumptions'!$C$23)&gt;0,(X101-W101-AE101)*'1. UC Assumptions'!$C$23,0)</f>
        <v>5909949.6125999987</v>
      </c>
      <c r="AI101" s="183">
        <f t="shared" si="21"/>
        <v>8919726.7499999981</v>
      </c>
      <c r="AJ101" s="183">
        <f>IF(H101="Bexar",(AD101/$AJ$1)*'1. UC Assumptions'!$E$42,0)</f>
        <v>0</v>
      </c>
      <c r="AK101" s="183">
        <f>IF(H101="Dallas",(AD101/$AK$1)*'1. UC Assumptions'!$F$42,0)</f>
        <v>0</v>
      </c>
      <c r="AL101" s="183">
        <f>IF(H101="El Paso",(AD101/$AL$1)*'1. UC Assumptions'!$G$42,0)</f>
        <v>0</v>
      </c>
      <c r="AM101" s="183">
        <f>IF(H101="Harris",(AD101/$AM$1)*'1. UC Assumptions'!$H$42,0)</f>
        <v>0</v>
      </c>
      <c r="AN101" s="183">
        <f>IF(H101="Hidalgo",(AD101/$AN$1)*'1. UC Assumptions'!$I$42,0)</f>
        <v>0</v>
      </c>
      <c r="AO101" s="183">
        <f>IF(H101="Jefferson",(AD101/$AO$1)*'1. UC Assumptions'!$J$42,0)</f>
        <v>0</v>
      </c>
      <c r="AP101" s="183">
        <f>IF(H101="Lubbock",(AD101/$AP$1)*'1. UC Assumptions'!$K$42,0)</f>
        <v>0</v>
      </c>
      <c r="AQ101" s="183">
        <f>IF(H101="MRSA Central",(AD101/$AQ$1)*'1. UC Assumptions'!$L$42,0)</f>
        <v>0</v>
      </c>
      <c r="AR101" s="183">
        <f>IF(H101="MRSA Northeast",(AD101/$AR$1)*'1. UC Assumptions'!$M$42,0)</f>
        <v>0</v>
      </c>
      <c r="AS101" s="183">
        <f>IF(H101="MRSA West",(AD101/$AS$1)*'1. UC Assumptions'!$N$42,0)</f>
        <v>0</v>
      </c>
      <c r="AT101" s="183">
        <f>IF(H101="Nueces",(AD101/$AT$1)*'1. UC Assumptions'!$O$42,0)</f>
        <v>0</v>
      </c>
      <c r="AU101" s="183">
        <f>IF(H101="Tarrant",(AD101/$AU$1)*'1. UC Assumptions'!$P$42,0)</f>
        <v>0</v>
      </c>
      <c r="AV101" s="183">
        <f>IF(H101="Travis",(AD101/$AV$1)*'1. UC Assumptions'!$Q$42,0)</f>
        <v>0</v>
      </c>
      <c r="AW101" s="183">
        <f>IF(H101="Bexar",(AC101/$AW$1)*'1. UC Assumptions'!$E$44,0)</f>
        <v>0</v>
      </c>
      <c r="AX101" s="183">
        <f>IF(H101="Dallas",(AC101/$AX$1)*'1. UC Assumptions'!$F$44,0)</f>
        <v>0</v>
      </c>
      <c r="AY101" s="183">
        <f>IF(H101="El Paso",(AC101/$AY$1)*'1. UC Assumptions'!$G$44,0)</f>
        <v>0</v>
      </c>
      <c r="AZ101" s="183">
        <f>IF(H101="Harris",(AC101/$AZ$1)*'1. UC Assumptions'!$H$44,0)</f>
        <v>0</v>
      </c>
      <c r="BA101" s="183">
        <f>IF(H101="Hidalgo",(AC101/$BA$1)*'1. UC Assumptions'!$I$44,0)</f>
        <v>0</v>
      </c>
      <c r="BB101" s="183">
        <f>IF(H101="Jefferson",(AC101/$BB$1)*'1. UC Assumptions'!$J$44,0)</f>
        <v>0</v>
      </c>
      <c r="BC101" s="183">
        <f>IF(H101="Lubbock",(AC101/$BC$1)*'1. UC Assumptions'!$K$44,0)</f>
        <v>0</v>
      </c>
      <c r="BD101" s="183">
        <f>IF(H101="MRSA Central",(AC101/$BD$1)*'1. UC Assumptions'!$L$44,0)</f>
        <v>0</v>
      </c>
      <c r="BE101" s="183">
        <f>IF(H101="MRSA Northeast",(AC101/$BE$1)*'1. UC Assumptions'!$M$44,0)</f>
        <v>0</v>
      </c>
      <c r="BF101" s="183">
        <f>IF(H101="MRSA West",(AC101/$BF$1)*'1. UC Assumptions'!$N$44,0)</f>
        <v>0</v>
      </c>
      <c r="BG101" s="183">
        <f>IF(H101="Nueces",(AC101/$BG$1)*'1. UC Assumptions'!$O$44,0)</f>
        <v>0</v>
      </c>
      <c r="BH101" s="183">
        <f>IF(H101="Tarrant",(AC101/$BH$1)*'1. UC Assumptions'!$P$44,0)</f>
        <v>0</v>
      </c>
      <c r="BI101" s="183">
        <f>IF(H101="Travis",(AC101/$BI$1)*'1. UC Assumptions'!$Q$44,0)</f>
        <v>0</v>
      </c>
      <c r="BJ101" s="183">
        <f t="shared" si="22"/>
        <v>0</v>
      </c>
      <c r="BK101" s="183">
        <f t="shared" si="23"/>
        <v>0</v>
      </c>
      <c r="BL101" s="183">
        <f t="shared" si="24"/>
        <v>16273820.86376887</v>
      </c>
      <c r="BM101" s="184">
        <f t="shared" si="25"/>
        <v>7153284.0837688707</v>
      </c>
      <c r="BN101" s="184">
        <f>ROUNDDOWN(BM101*'1. UC Assumptions'!$C$23,2)</f>
        <v>2360583.7400000002</v>
      </c>
      <c r="BO101" s="184"/>
      <c r="BP101" s="185"/>
      <c r="BQ101" s="32"/>
      <c r="BR101" s="32"/>
    </row>
    <row r="102" spans="1:70">
      <c r="A102" s="177" t="s">
        <v>1381</v>
      </c>
      <c r="B102" s="178" t="s">
        <v>889</v>
      </c>
      <c r="C102" s="178" t="s">
        <v>889</v>
      </c>
      <c r="D102" s="179" t="s">
        <v>214</v>
      </c>
      <c r="E102" s="179"/>
      <c r="F102" s="177"/>
      <c r="G102" s="177" t="s">
        <v>1382</v>
      </c>
      <c r="H102" s="178" t="s">
        <v>6</v>
      </c>
      <c r="I102" s="178" t="s">
        <v>223</v>
      </c>
      <c r="J102" s="131">
        <f>IFERROR(INDEX(#REF!,(MATCH('Old Calc Tab'!C:C,#REF!,0))),0)</f>
        <v>0</v>
      </c>
      <c r="K102" s="131">
        <f>IFERROR(INDEX(#REF!,(MATCH('Old Calc Tab'!$C:$C,#REF!,0))),0)</f>
        <v>0</v>
      </c>
      <c r="L102" s="131"/>
      <c r="M102" s="131">
        <v>258788.40000000002</v>
      </c>
      <c r="N102" s="131">
        <f>IFERROR(INDEX(#REF!,(MATCH('Old Calc Tab'!$C:$C,#REF!,0))),0)</f>
        <v>0</v>
      </c>
      <c r="O102" s="131">
        <f t="shared" si="13"/>
        <v>0</v>
      </c>
      <c r="P102" s="131">
        <f t="shared" si="14"/>
        <v>258788.40000000002</v>
      </c>
      <c r="Q102" s="131"/>
      <c r="R102" s="131"/>
      <c r="S102" s="131"/>
      <c r="T102" s="131"/>
      <c r="U102" s="131"/>
      <c r="V102" s="131">
        <v>0</v>
      </c>
      <c r="W102" s="180">
        <v>0</v>
      </c>
      <c r="X102" s="180">
        <f t="shared" si="15"/>
        <v>258788.40000000002</v>
      </c>
      <c r="Y102" s="181">
        <f>IF(D102="Physician Group Practice",(X102/$AE$369)*'1. UC Assumptions'!$C$15,IF(OR(E102="Rural Hospital",E102="Hosp - State"),X102,(X102/$X$369)*'1. UC Assumptions'!$C$9))</f>
        <v>155755.16974945998</v>
      </c>
      <c r="Z102" s="181">
        <f t="shared" si="16"/>
        <v>0</v>
      </c>
      <c r="AA102" s="181">
        <f t="shared" si="17"/>
        <v>103033.23025054004</v>
      </c>
      <c r="AB102" s="182">
        <f t="shared" si="18"/>
        <v>55.332053529687492</v>
      </c>
      <c r="AC102" s="181">
        <f t="shared" si="19"/>
        <v>103088.56230406972</v>
      </c>
      <c r="AD102" s="181">
        <f t="shared" si="20"/>
        <v>155810.50180298966</v>
      </c>
      <c r="AE102" s="131">
        <v>235993.86</v>
      </c>
      <c r="AF102" s="131">
        <f>AE102*'1. UC Assumptions'!$C$23</f>
        <v>77877.973799999992</v>
      </c>
      <c r="AG102" s="183">
        <f>IF((((X102-W102-AE102)*'1. UC Assumptions'!$C$23)+AF102)&gt;0,((X102-W102-AE102)*'1. UC Assumptions'!$C$23)+AF102,0)</f>
        <v>85400.172000000006</v>
      </c>
      <c r="AH102" s="183">
        <f>IF(((X102-W102-AE102)*'1. UC Assumptions'!$C$23)&gt;0,(X102-W102-AE102)*'1. UC Assumptions'!$C$23,0)</f>
        <v>7522.1982000000116</v>
      </c>
      <c r="AI102" s="183">
        <f t="shared" si="21"/>
        <v>85400.172000000006</v>
      </c>
      <c r="AJ102" s="183">
        <f>IF(H102="Bexar",(AD102/$AJ$1)*'1. UC Assumptions'!$E$42,0)</f>
        <v>0</v>
      </c>
      <c r="AK102" s="183">
        <f>IF(H102="Dallas",(AD102/$AK$1)*'1. UC Assumptions'!$F$42,0)</f>
        <v>0</v>
      </c>
      <c r="AL102" s="183">
        <f>IF(H102="El Paso",(AD102/$AL$1)*'1. UC Assumptions'!$G$42,0)</f>
        <v>0</v>
      </c>
      <c r="AM102" s="183">
        <f>IF(H102="Harris",(AD102/$AM$1)*'1. UC Assumptions'!$H$42,0)</f>
        <v>0</v>
      </c>
      <c r="AN102" s="183">
        <f>IF(H102="Hidalgo",(AD102/$AN$1)*'1. UC Assumptions'!$I$42,0)</f>
        <v>0</v>
      </c>
      <c r="AO102" s="183">
        <f>IF(H102="Jefferson",(AD102/$AO$1)*'1. UC Assumptions'!$J$42,0)</f>
        <v>0</v>
      </c>
      <c r="AP102" s="183">
        <f>IF(H102="Lubbock",(AD102/$AP$1)*'1. UC Assumptions'!$K$42,0)</f>
        <v>0</v>
      </c>
      <c r="AQ102" s="183">
        <f>IF(H102="MRSA Central",(AD102/$AQ$1)*'1. UC Assumptions'!$L$42,0)</f>
        <v>0</v>
      </c>
      <c r="AR102" s="183">
        <f>IF(H102="MRSA Northeast",(AD102/$AR$1)*'1. UC Assumptions'!$M$42,0)</f>
        <v>0</v>
      </c>
      <c r="AS102" s="183">
        <f>IF(H102="MRSA West",(AD102/$AS$1)*'1. UC Assumptions'!$N$42,0)</f>
        <v>0</v>
      </c>
      <c r="AT102" s="183">
        <f>IF(H102="Nueces",(AD102/$AT$1)*'1. UC Assumptions'!$O$42,0)</f>
        <v>0</v>
      </c>
      <c r="AU102" s="183">
        <f>IF(H102="Tarrant",(AD102/$AU$1)*'1. UC Assumptions'!$P$42,0)</f>
        <v>0</v>
      </c>
      <c r="AV102" s="183">
        <f>IF(H102="Travis",(AD102/$AV$1)*'1. UC Assumptions'!$Q$42,0)</f>
        <v>0</v>
      </c>
      <c r="AW102" s="183">
        <f>IF(H102="Bexar",(AC102/$AW$1)*'1. UC Assumptions'!$E$44,0)</f>
        <v>0</v>
      </c>
      <c r="AX102" s="183">
        <f>IF(H102="Dallas",(AC102/$AX$1)*'1. UC Assumptions'!$F$44,0)</f>
        <v>0</v>
      </c>
      <c r="AY102" s="183">
        <f>IF(H102="El Paso",(AC102/$AY$1)*'1. UC Assumptions'!$G$44,0)</f>
        <v>0</v>
      </c>
      <c r="AZ102" s="183">
        <f>IF(H102="Harris",(AC102/$AZ$1)*'1. UC Assumptions'!$H$44,0)</f>
        <v>0</v>
      </c>
      <c r="BA102" s="183">
        <f>IF(H102="Hidalgo",(AC102/$BA$1)*'1. UC Assumptions'!$I$44,0)</f>
        <v>0</v>
      </c>
      <c r="BB102" s="183">
        <f>IF(H102="Jefferson",(AC102/$BB$1)*'1. UC Assumptions'!$J$44,0)</f>
        <v>0</v>
      </c>
      <c r="BC102" s="183">
        <f>IF(H102="Lubbock",(AC102/$BC$1)*'1. UC Assumptions'!$K$44,0)</f>
        <v>0</v>
      </c>
      <c r="BD102" s="183">
        <f>IF(H102="MRSA Central",(AC102/$BD$1)*'1. UC Assumptions'!$L$44,0)</f>
        <v>0</v>
      </c>
      <c r="BE102" s="183">
        <f>IF(H102="MRSA Northeast",(AC102/$BE$1)*'1. UC Assumptions'!$M$44,0)</f>
        <v>0</v>
      </c>
      <c r="BF102" s="183">
        <f>IF(H102="MRSA West",(AC102/$BF$1)*'1. UC Assumptions'!$N$44,0)</f>
        <v>0</v>
      </c>
      <c r="BG102" s="183">
        <f>IF(H102="Nueces",(AC102/$BG$1)*'1. UC Assumptions'!$O$44,0)</f>
        <v>0</v>
      </c>
      <c r="BH102" s="183">
        <f>IF(H102="Tarrant",(AC102/$BH$1)*'1. UC Assumptions'!$P$44,0)</f>
        <v>0</v>
      </c>
      <c r="BI102" s="183">
        <f>IF(H102="Travis",(AC102/$BI$1)*'1. UC Assumptions'!$Q$44,0)</f>
        <v>0</v>
      </c>
      <c r="BJ102" s="183">
        <f t="shared" si="22"/>
        <v>0</v>
      </c>
      <c r="BK102" s="183">
        <f t="shared" si="23"/>
        <v>0</v>
      </c>
      <c r="BL102" s="183">
        <f t="shared" si="24"/>
        <v>155810.50180298966</v>
      </c>
      <c r="BM102" s="184">
        <f t="shared" si="25"/>
        <v>-80183.358197010326</v>
      </c>
      <c r="BN102" s="184">
        <f>ROUNDDOWN(BM102*'1. UC Assumptions'!$C$23,2)</f>
        <v>-26460.5</v>
      </c>
      <c r="BO102" s="184"/>
      <c r="BP102" s="185"/>
      <c r="BQ102" s="32"/>
      <c r="BR102" s="32"/>
    </row>
    <row r="103" spans="1:70">
      <c r="A103" s="177" t="s">
        <v>1383</v>
      </c>
      <c r="B103" s="178" t="s">
        <v>913</v>
      </c>
      <c r="C103" s="178" t="s">
        <v>913</v>
      </c>
      <c r="D103" s="179" t="s">
        <v>214</v>
      </c>
      <c r="E103" s="179"/>
      <c r="F103" s="177"/>
      <c r="G103" s="177" t="s">
        <v>914</v>
      </c>
      <c r="H103" s="178" t="s">
        <v>6</v>
      </c>
      <c r="I103" s="178" t="s">
        <v>6</v>
      </c>
      <c r="J103" s="131">
        <f>IFERROR(INDEX(#REF!,(MATCH('Old Calc Tab'!C:C,#REF!,0))),0)</f>
        <v>0</v>
      </c>
      <c r="K103" s="131">
        <f>IFERROR(INDEX(#REF!,(MATCH('Old Calc Tab'!$C:$C,#REF!,0))),0)</f>
        <v>0</v>
      </c>
      <c r="L103" s="131"/>
      <c r="M103" s="131">
        <v>11898572.0616</v>
      </c>
      <c r="N103" s="131">
        <f>IFERROR(INDEX(#REF!,(MATCH('Old Calc Tab'!$C:$C,#REF!,0))),0)</f>
        <v>0</v>
      </c>
      <c r="O103" s="131">
        <f t="shared" si="13"/>
        <v>0</v>
      </c>
      <c r="P103" s="131">
        <f t="shared" si="14"/>
        <v>11898572.0616</v>
      </c>
      <c r="Q103" s="131"/>
      <c r="R103" s="131"/>
      <c r="S103" s="131"/>
      <c r="T103" s="131"/>
      <c r="U103" s="131"/>
      <c r="V103" s="131">
        <v>0</v>
      </c>
      <c r="W103" s="180">
        <v>0</v>
      </c>
      <c r="X103" s="180">
        <f t="shared" si="15"/>
        <v>11898572.0616</v>
      </c>
      <c r="Y103" s="181">
        <f>IF(D103="Physician Group Practice",(X103/$AE$369)*'1. UC Assumptions'!$C$15,IF(OR(E103="Rural Hospital",E103="Hosp - State"),X103,(X103/$X$369)*'1. UC Assumptions'!$C$9))</f>
        <v>7161310.5967295663</v>
      </c>
      <c r="Z103" s="181">
        <f t="shared" si="16"/>
        <v>0</v>
      </c>
      <c r="AA103" s="181">
        <f t="shared" si="17"/>
        <v>4737261.4648704333</v>
      </c>
      <c r="AB103" s="182">
        <f t="shared" si="18"/>
        <v>2544.0569447444132</v>
      </c>
      <c r="AC103" s="181">
        <f t="shared" si="19"/>
        <v>4739805.521815178</v>
      </c>
      <c r="AD103" s="181">
        <f t="shared" si="20"/>
        <v>7163854.653674311</v>
      </c>
      <c r="AE103" s="131">
        <v>6088292.2400000002</v>
      </c>
      <c r="AF103" s="131">
        <f>AE103*'1. UC Assumptions'!$C$23</f>
        <v>2009136.4391999999</v>
      </c>
      <c r="AG103" s="183">
        <f>IF((((X103-W103-AE103)*'1. UC Assumptions'!$C$23)+AF103)&gt;0,((X103-W103-AE103)*'1. UC Assumptions'!$C$23)+AF103,0)</f>
        <v>3926528.7803279995</v>
      </c>
      <c r="AH103" s="183">
        <f>IF(((X103-W103-AE103)*'1. UC Assumptions'!$C$23)&gt;0,(X103-W103-AE103)*'1. UC Assumptions'!$C$23,0)</f>
        <v>1917392.3411279996</v>
      </c>
      <c r="AI103" s="183">
        <f t="shared" si="21"/>
        <v>3926528.7803279995</v>
      </c>
      <c r="AJ103" s="183">
        <f>IF(H103="Bexar",(AD103/$AJ$1)*'1. UC Assumptions'!$E$42,0)</f>
        <v>0</v>
      </c>
      <c r="AK103" s="183">
        <f>IF(H103="Dallas",(AD103/$AK$1)*'1. UC Assumptions'!$F$42,0)</f>
        <v>0</v>
      </c>
      <c r="AL103" s="183">
        <f>IF(H103="El Paso",(AD103/$AL$1)*'1. UC Assumptions'!$G$42,0)</f>
        <v>0</v>
      </c>
      <c r="AM103" s="183">
        <f>IF(H103="Harris",(AD103/$AM$1)*'1. UC Assumptions'!$H$42,0)</f>
        <v>0</v>
      </c>
      <c r="AN103" s="183">
        <f>IF(H103="Hidalgo",(AD103/$AN$1)*'1. UC Assumptions'!$I$42,0)</f>
        <v>0</v>
      </c>
      <c r="AO103" s="183">
        <f>IF(H103="Jefferson",(AD103/$AO$1)*'1. UC Assumptions'!$J$42,0)</f>
        <v>0</v>
      </c>
      <c r="AP103" s="183">
        <f>IF(H103="Lubbock",(AD103/$AP$1)*'1. UC Assumptions'!$K$42,0)</f>
        <v>0</v>
      </c>
      <c r="AQ103" s="183">
        <f>IF(H103="MRSA Central",(AD103/$AQ$1)*'1. UC Assumptions'!$L$42,0)</f>
        <v>0</v>
      </c>
      <c r="AR103" s="183">
        <f>IF(H103="MRSA Northeast",(AD103/$AR$1)*'1. UC Assumptions'!$M$42,0)</f>
        <v>0</v>
      </c>
      <c r="AS103" s="183">
        <f>IF(H103="MRSA West",(AD103/$AS$1)*'1. UC Assumptions'!$N$42,0)</f>
        <v>0</v>
      </c>
      <c r="AT103" s="183">
        <f>IF(H103="Nueces",(AD103/$AT$1)*'1. UC Assumptions'!$O$42,0)</f>
        <v>0</v>
      </c>
      <c r="AU103" s="183">
        <f>IF(H103="Tarrant",(AD103/$AU$1)*'1. UC Assumptions'!$P$42,0)</f>
        <v>0</v>
      </c>
      <c r="AV103" s="183">
        <f>IF(H103="Travis",(AD103/$AV$1)*'1. UC Assumptions'!$Q$42,0)</f>
        <v>0</v>
      </c>
      <c r="AW103" s="183">
        <f>IF(H103="Bexar",(AC103/$AW$1)*'1. UC Assumptions'!$E$44,0)</f>
        <v>0</v>
      </c>
      <c r="AX103" s="183">
        <f>IF(H103="Dallas",(AC103/$AX$1)*'1. UC Assumptions'!$F$44,0)</f>
        <v>0</v>
      </c>
      <c r="AY103" s="183">
        <f>IF(H103="El Paso",(AC103/$AY$1)*'1. UC Assumptions'!$G$44,0)</f>
        <v>0</v>
      </c>
      <c r="AZ103" s="183">
        <f>IF(H103="Harris",(AC103/$AZ$1)*'1. UC Assumptions'!$H$44,0)</f>
        <v>0</v>
      </c>
      <c r="BA103" s="183">
        <f>IF(H103="Hidalgo",(AC103/$BA$1)*'1. UC Assumptions'!$I$44,0)</f>
        <v>0</v>
      </c>
      <c r="BB103" s="183">
        <f>IF(H103="Jefferson",(AC103/$BB$1)*'1. UC Assumptions'!$J$44,0)</f>
        <v>0</v>
      </c>
      <c r="BC103" s="183">
        <f>IF(H103="Lubbock",(AC103/$BC$1)*'1. UC Assumptions'!$K$44,0)</f>
        <v>0</v>
      </c>
      <c r="BD103" s="183">
        <f>IF(H103="MRSA Central",(AC103/$BD$1)*'1. UC Assumptions'!$L$44,0)</f>
        <v>0</v>
      </c>
      <c r="BE103" s="183">
        <f>IF(H103="MRSA Northeast",(AC103/$BE$1)*'1. UC Assumptions'!$M$44,0)</f>
        <v>0</v>
      </c>
      <c r="BF103" s="183">
        <f>IF(H103="MRSA West",(AC103/$BF$1)*'1. UC Assumptions'!$N$44,0)</f>
        <v>0</v>
      </c>
      <c r="BG103" s="183">
        <f>IF(H103="Nueces",(AC103/$BG$1)*'1. UC Assumptions'!$O$44,0)</f>
        <v>0</v>
      </c>
      <c r="BH103" s="183">
        <f>IF(H103="Tarrant",(AC103/$BH$1)*'1. UC Assumptions'!$P$44,0)</f>
        <v>0</v>
      </c>
      <c r="BI103" s="183">
        <f>IF(H103="Travis",(AC103/$BI$1)*'1. UC Assumptions'!$Q$44,0)</f>
        <v>0</v>
      </c>
      <c r="BJ103" s="183">
        <f t="shared" si="22"/>
        <v>0</v>
      </c>
      <c r="BK103" s="183">
        <f t="shared" si="23"/>
        <v>0</v>
      </c>
      <c r="BL103" s="183">
        <f t="shared" si="24"/>
        <v>7163854.653674311</v>
      </c>
      <c r="BM103" s="184">
        <f t="shared" si="25"/>
        <v>1075562.4136743108</v>
      </c>
      <c r="BN103" s="184">
        <f>ROUNDDOWN(BM103*'1. UC Assumptions'!$C$23,2)</f>
        <v>354935.59</v>
      </c>
      <c r="BO103" s="184"/>
      <c r="BP103" s="185"/>
      <c r="BQ103" s="32"/>
      <c r="BR103" s="32"/>
    </row>
    <row r="104" spans="1:70">
      <c r="A104" s="177" t="s">
        <v>1384</v>
      </c>
      <c r="B104" s="178" t="s">
        <v>915</v>
      </c>
      <c r="C104" s="178" t="s">
        <v>915</v>
      </c>
      <c r="D104" s="179" t="s">
        <v>214</v>
      </c>
      <c r="E104" s="179"/>
      <c r="F104" s="177"/>
      <c r="G104" s="177" t="s">
        <v>1385</v>
      </c>
      <c r="H104" s="178" t="s">
        <v>6</v>
      </c>
      <c r="I104" s="178" t="s">
        <v>6</v>
      </c>
      <c r="J104" s="131">
        <f>IFERROR(INDEX(#REF!,(MATCH('Old Calc Tab'!C:C,#REF!,0))),0)</f>
        <v>0</v>
      </c>
      <c r="K104" s="131">
        <f>IFERROR(INDEX(#REF!,(MATCH('Old Calc Tab'!$C:$C,#REF!,0))),0)</f>
        <v>0</v>
      </c>
      <c r="L104" s="131"/>
      <c r="M104" s="131">
        <v>3025.1</v>
      </c>
      <c r="N104" s="131">
        <f>IFERROR(INDEX(#REF!,(MATCH('Old Calc Tab'!$C:$C,#REF!,0))),0)</f>
        <v>0</v>
      </c>
      <c r="O104" s="131">
        <f t="shared" si="13"/>
        <v>0</v>
      </c>
      <c r="P104" s="131">
        <f t="shared" si="14"/>
        <v>3025.1</v>
      </c>
      <c r="Q104" s="131"/>
      <c r="R104" s="131"/>
      <c r="S104" s="131"/>
      <c r="T104" s="131"/>
      <c r="U104" s="131"/>
      <c r="V104" s="131">
        <v>0</v>
      </c>
      <c r="W104" s="180">
        <v>0</v>
      </c>
      <c r="X104" s="180">
        <f t="shared" si="15"/>
        <v>3025.1</v>
      </c>
      <c r="Y104" s="181">
        <f>IF(D104="Physician Group Practice",(X104/$AE$369)*'1. UC Assumptions'!$C$15,IF(OR(E104="Rural Hospital",E104="Hosp - State"),X104,(X104/$X$369)*'1. UC Assumptions'!$C$9))</f>
        <v>1820.6958426617705</v>
      </c>
      <c r="Z104" s="181">
        <f t="shared" si="16"/>
        <v>0</v>
      </c>
      <c r="AA104" s="181">
        <f t="shared" si="17"/>
        <v>1204.4041573382294</v>
      </c>
      <c r="AB104" s="182">
        <f t="shared" si="18"/>
        <v>0.64680254266674087</v>
      </c>
      <c r="AC104" s="181">
        <f t="shared" si="19"/>
        <v>1205.0509598808962</v>
      </c>
      <c r="AD104" s="181">
        <f t="shared" si="20"/>
        <v>1821.3426452044373</v>
      </c>
      <c r="AE104" s="131">
        <v>1417357.49</v>
      </c>
      <c r="AF104" s="131">
        <f>AE104*'1. UC Assumptions'!$C$23</f>
        <v>467727.97169999994</v>
      </c>
      <c r="AG104" s="183">
        <f>IF((((X104-W104-AE104)*'1. UC Assumptions'!$C$23)+AF104)&gt;0,((X104-W104-AE104)*'1. UC Assumptions'!$C$23)+AF104,0)</f>
        <v>998.28300000005402</v>
      </c>
      <c r="AH104" s="183">
        <f>IF(((X104-W104-AE104)*'1. UC Assumptions'!$C$23)&gt;0,(X104-W104-AE104)*'1. UC Assumptions'!$C$23,0)</f>
        <v>0</v>
      </c>
      <c r="AI104" s="183">
        <f t="shared" si="21"/>
        <v>467727.97169999994</v>
      </c>
      <c r="AJ104" s="183">
        <f>IF(H104="Bexar",(AD104/$AJ$1)*'1. UC Assumptions'!$E$42,0)</f>
        <v>0</v>
      </c>
      <c r="AK104" s="183">
        <f>IF(H104="Dallas",(AD104/$AK$1)*'1. UC Assumptions'!$F$42,0)</f>
        <v>0</v>
      </c>
      <c r="AL104" s="183">
        <f>IF(H104="El Paso",(AD104/$AL$1)*'1. UC Assumptions'!$G$42,0)</f>
        <v>0</v>
      </c>
      <c r="AM104" s="183">
        <f>IF(H104="Harris",(AD104/$AM$1)*'1. UC Assumptions'!$H$42,0)</f>
        <v>0</v>
      </c>
      <c r="AN104" s="183">
        <f>IF(H104="Hidalgo",(AD104/$AN$1)*'1. UC Assumptions'!$I$42,0)</f>
        <v>0</v>
      </c>
      <c r="AO104" s="183">
        <f>IF(H104="Jefferson",(AD104/$AO$1)*'1. UC Assumptions'!$J$42,0)</f>
        <v>0</v>
      </c>
      <c r="AP104" s="183">
        <f>IF(H104="Lubbock",(AD104/$AP$1)*'1. UC Assumptions'!$K$42,0)</f>
        <v>0</v>
      </c>
      <c r="AQ104" s="183">
        <f>IF(H104="MRSA Central",(AD104/$AQ$1)*'1. UC Assumptions'!$L$42,0)</f>
        <v>0</v>
      </c>
      <c r="AR104" s="183">
        <f>IF(H104="MRSA Northeast",(AD104/$AR$1)*'1. UC Assumptions'!$M$42,0)</f>
        <v>0</v>
      </c>
      <c r="AS104" s="183">
        <f>IF(H104="MRSA West",(AD104/$AS$1)*'1. UC Assumptions'!$N$42,0)</f>
        <v>0</v>
      </c>
      <c r="AT104" s="183">
        <f>IF(H104="Nueces",(AD104/$AT$1)*'1. UC Assumptions'!$O$42,0)</f>
        <v>0</v>
      </c>
      <c r="AU104" s="183">
        <f>IF(H104="Tarrant",(AD104/$AU$1)*'1. UC Assumptions'!$P$42,0)</f>
        <v>0</v>
      </c>
      <c r="AV104" s="183">
        <f>IF(H104="Travis",(AD104/$AV$1)*'1. UC Assumptions'!$Q$42,0)</f>
        <v>0</v>
      </c>
      <c r="AW104" s="183">
        <f>IF(H104="Bexar",(AC104/$AW$1)*'1. UC Assumptions'!$E$44,0)</f>
        <v>0</v>
      </c>
      <c r="AX104" s="183">
        <f>IF(H104="Dallas",(AC104/$AX$1)*'1. UC Assumptions'!$F$44,0)</f>
        <v>0</v>
      </c>
      <c r="AY104" s="183">
        <f>IF(H104="El Paso",(AC104/$AY$1)*'1. UC Assumptions'!$G$44,0)</f>
        <v>0</v>
      </c>
      <c r="AZ104" s="183">
        <f>IF(H104="Harris",(AC104/$AZ$1)*'1. UC Assumptions'!$H$44,0)</f>
        <v>0</v>
      </c>
      <c r="BA104" s="183">
        <f>IF(H104="Hidalgo",(AC104/$BA$1)*'1. UC Assumptions'!$I$44,0)</f>
        <v>0</v>
      </c>
      <c r="BB104" s="183">
        <f>IF(H104="Jefferson",(AC104/$BB$1)*'1. UC Assumptions'!$J$44,0)</f>
        <v>0</v>
      </c>
      <c r="BC104" s="183">
        <f>IF(H104="Lubbock",(AC104/$BC$1)*'1. UC Assumptions'!$K$44,0)</f>
        <v>0</v>
      </c>
      <c r="BD104" s="183">
        <f>IF(H104="MRSA Central",(AC104/$BD$1)*'1. UC Assumptions'!$L$44,0)</f>
        <v>0</v>
      </c>
      <c r="BE104" s="183">
        <f>IF(H104="MRSA Northeast",(AC104/$BE$1)*'1. UC Assumptions'!$M$44,0)</f>
        <v>0</v>
      </c>
      <c r="BF104" s="183">
        <f>IF(H104="MRSA West",(AC104/$BF$1)*'1. UC Assumptions'!$N$44,0)</f>
        <v>0</v>
      </c>
      <c r="BG104" s="183">
        <f>IF(H104="Nueces",(AC104/$BG$1)*'1. UC Assumptions'!$O$44,0)</f>
        <v>0</v>
      </c>
      <c r="BH104" s="183">
        <f>IF(H104="Tarrant",(AC104/$BH$1)*'1. UC Assumptions'!$P$44,0)</f>
        <v>0</v>
      </c>
      <c r="BI104" s="183">
        <f>IF(H104="Travis",(AC104/$BI$1)*'1. UC Assumptions'!$Q$44,0)</f>
        <v>0</v>
      </c>
      <c r="BJ104" s="183">
        <f t="shared" si="22"/>
        <v>0</v>
      </c>
      <c r="BK104" s="183">
        <f t="shared" si="23"/>
        <v>0</v>
      </c>
      <c r="BL104" s="183">
        <f t="shared" si="24"/>
        <v>1821.3426452044373</v>
      </c>
      <c r="BM104" s="184">
        <f t="shared" si="25"/>
        <v>-1415536.1473547956</v>
      </c>
      <c r="BN104" s="184">
        <f>ROUNDDOWN(BM104*'1. UC Assumptions'!$C$23,2)</f>
        <v>-467126.92</v>
      </c>
      <c r="BO104" s="184"/>
      <c r="BP104" s="185"/>
      <c r="BQ104" s="32"/>
      <c r="BR104" s="32"/>
    </row>
    <row r="105" spans="1:70">
      <c r="A105" s="177" t="s">
        <v>1386</v>
      </c>
      <c r="B105" s="178" t="s">
        <v>1387</v>
      </c>
      <c r="C105" s="178" t="s">
        <v>1387</v>
      </c>
      <c r="D105" s="179" t="s">
        <v>214</v>
      </c>
      <c r="E105" s="179"/>
      <c r="F105" s="177"/>
      <c r="G105" s="177" t="s">
        <v>1388</v>
      </c>
      <c r="H105" s="178" t="s">
        <v>6</v>
      </c>
      <c r="I105" s="178" t="s">
        <v>6</v>
      </c>
      <c r="J105" s="131">
        <f>IFERROR(INDEX(#REF!,(MATCH('Old Calc Tab'!C:C,#REF!,0))),0)</f>
        <v>0</v>
      </c>
      <c r="K105" s="131">
        <f>IFERROR(INDEX(#REF!,(MATCH('Old Calc Tab'!$C:$C,#REF!,0))),0)</f>
        <v>0</v>
      </c>
      <c r="L105" s="131"/>
      <c r="M105" s="131">
        <v>376465.76</v>
      </c>
      <c r="N105" s="131">
        <f>IFERROR(INDEX(#REF!,(MATCH('Old Calc Tab'!$C:$C,#REF!,0))),0)</f>
        <v>0</v>
      </c>
      <c r="O105" s="131">
        <f t="shared" si="13"/>
        <v>0</v>
      </c>
      <c r="P105" s="131">
        <f t="shared" si="14"/>
        <v>376465.76</v>
      </c>
      <c r="Q105" s="131"/>
      <c r="R105" s="131"/>
      <c r="S105" s="131"/>
      <c r="T105" s="131"/>
      <c r="U105" s="131"/>
      <c r="V105" s="131">
        <v>281561</v>
      </c>
      <c r="W105" s="180">
        <v>0</v>
      </c>
      <c r="X105" s="180">
        <f t="shared" si="15"/>
        <v>658026.76</v>
      </c>
      <c r="Y105" s="181">
        <f>IF(D105="Physician Group Practice",(X105/$AE$369)*'1. UC Assumptions'!$C$15,IF(OR(E105="Rural Hospital",E105="Hosp - State"),X105,(X105/$X$369)*'1. UC Assumptions'!$C$9))</f>
        <v>396041.97755188076</v>
      </c>
      <c r="Z105" s="181">
        <f t="shared" si="16"/>
        <v>0</v>
      </c>
      <c r="AA105" s="181">
        <f t="shared" si="17"/>
        <v>261984.78244811925</v>
      </c>
      <c r="AB105" s="182">
        <f t="shared" si="18"/>
        <v>140.69398747504459</v>
      </c>
      <c r="AC105" s="181">
        <f t="shared" si="19"/>
        <v>262125.47643559429</v>
      </c>
      <c r="AD105" s="181">
        <f t="shared" si="20"/>
        <v>396182.67153935583</v>
      </c>
      <c r="AE105" s="131">
        <v>3948174.9699999997</v>
      </c>
      <c r="AF105" s="131">
        <f>AE105*'1. UC Assumptions'!$C$23</f>
        <v>1302897.7400999998</v>
      </c>
      <c r="AG105" s="183">
        <f>IF((((X105-W105-AE105)*'1. UC Assumptions'!$C$23)+AF105)&gt;0,((X105-W105-AE105)*'1. UC Assumptions'!$C$23)+AF105,0)</f>
        <v>217148.83079999988</v>
      </c>
      <c r="AH105" s="183">
        <f>IF(((X105-W105-AE105)*'1. UC Assumptions'!$C$23)&gt;0,(X105-W105-AE105)*'1. UC Assumptions'!$C$23,0)</f>
        <v>0</v>
      </c>
      <c r="AI105" s="183">
        <f t="shared" si="21"/>
        <v>1302897.7400999998</v>
      </c>
      <c r="AJ105" s="183">
        <f>IF(H105="Bexar",(AD105/$AJ$1)*'1. UC Assumptions'!$E$42,0)</f>
        <v>0</v>
      </c>
      <c r="AK105" s="183">
        <f>IF(H105="Dallas",(AD105/$AK$1)*'1. UC Assumptions'!$F$42,0)</f>
        <v>0</v>
      </c>
      <c r="AL105" s="183">
        <f>IF(H105="El Paso",(AD105/$AL$1)*'1. UC Assumptions'!$G$42,0)</f>
        <v>0</v>
      </c>
      <c r="AM105" s="183">
        <f>IF(H105="Harris",(AD105/$AM$1)*'1. UC Assumptions'!$H$42,0)</f>
        <v>0</v>
      </c>
      <c r="AN105" s="183">
        <f>IF(H105="Hidalgo",(AD105/$AN$1)*'1. UC Assumptions'!$I$42,0)</f>
        <v>0</v>
      </c>
      <c r="AO105" s="183">
        <f>IF(H105="Jefferson",(AD105/$AO$1)*'1. UC Assumptions'!$J$42,0)</f>
        <v>0</v>
      </c>
      <c r="AP105" s="183">
        <f>IF(H105="Lubbock",(AD105/$AP$1)*'1. UC Assumptions'!$K$42,0)</f>
        <v>0</v>
      </c>
      <c r="AQ105" s="183">
        <f>IF(H105="MRSA Central",(AD105/$AQ$1)*'1. UC Assumptions'!$L$42,0)</f>
        <v>0</v>
      </c>
      <c r="AR105" s="183">
        <f>IF(H105="MRSA Northeast",(AD105/$AR$1)*'1. UC Assumptions'!$M$42,0)</f>
        <v>0</v>
      </c>
      <c r="AS105" s="183">
        <f>IF(H105="MRSA West",(AD105/$AS$1)*'1. UC Assumptions'!$N$42,0)</f>
        <v>0</v>
      </c>
      <c r="AT105" s="183">
        <f>IF(H105="Nueces",(AD105/$AT$1)*'1. UC Assumptions'!$O$42,0)</f>
        <v>0</v>
      </c>
      <c r="AU105" s="183">
        <f>IF(H105="Tarrant",(AD105/$AU$1)*'1. UC Assumptions'!$P$42,0)</f>
        <v>0</v>
      </c>
      <c r="AV105" s="183">
        <f>IF(H105="Travis",(AD105/$AV$1)*'1. UC Assumptions'!$Q$42,0)</f>
        <v>0</v>
      </c>
      <c r="AW105" s="183">
        <f>IF(H105="Bexar",(AC105/$AW$1)*'1. UC Assumptions'!$E$44,0)</f>
        <v>0</v>
      </c>
      <c r="AX105" s="183">
        <f>IF(H105="Dallas",(AC105/$AX$1)*'1. UC Assumptions'!$F$44,0)</f>
        <v>0</v>
      </c>
      <c r="AY105" s="183">
        <f>IF(H105="El Paso",(AC105/$AY$1)*'1. UC Assumptions'!$G$44,0)</f>
        <v>0</v>
      </c>
      <c r="AZ105" s="183">
        <f>IF(H105="Harris",(AC105/$AZ$1)*'1. UC Assumptions'!$H$44,0)</f>
        <v>0</v>
      </c>
      <c r="BA105" s="183">
        <f>IF(H105="Hidalgo",(AC105/$BA$1)*'1. UC Assumptions'!$I$44,0)</f>
        <v>0</v>
      </c>
      <c r="BB105" s="183">
        <f>IF(H105="Jefferson",(AC105/$BB$1)*'1. UC Assumptions'!$J$44,0)</f>
        <v>0</v>
      </c>
      <c r="BC105" s="183">
        <f>IF(H105="Lubbock",(AC105/$BC$1)*'1. UC Assumptions'!$K$44,0)</f>
        <v>0</v>
      </c>
      <c r="BD105" s="183">
        <f>IF(H105="MRSA Central",(AC105/$BD$1)*'1. UC Assumptions'!$L$44,0)</f>
        <v>0</v>
      </c>
      <c r="BE105" s="183">
        <f>IF(H105="MRSA Northeast",(AC105/$BE$1)*'1. UC Assumptions'!$M$44,0)</f>
        <v>0</v>
      </c>
      <c r="BF105" s="183">
        <f>IF(H105="MRSA West",(AC105/$BF$1)*'1. UC Assumptions'!$N$44,0)</f>
        <v>0</v>
      </c>
      <c r="BG105" s="183">
        <f>IF(H105="Nueces",(AC105/$BG$1)*'1. UC Assumptions'!$O$44,0)</f>
        <v>0</v>
      </c>
      <c r="BH105" s="183">
        <f>IF(H105="Tarrant",(AC105/$BH$1)*'1. UC Assumptions'!$P$44,0)</f>
        <v>0</v>
      </c>
      <c r="BI105" s="183">
        <f>IF(H105="Travis",(AC105/$BI$1)*'1. UC Assumptions'!$Q$44,0)</f>
        <v>0</v>
      </c>
      <c r="BJ105" s="183">
        <f t="shared" si="22"/>
        <v>0</v>
      </c>
      <c r="BK105" s="183">
        <f t="shared" si="23"/>
        <v>0</v>
      </c>
      <c r="BL105" s="183">
        <f t="shared" si="24"/>
        <v>396182.67153935583</v>
      </c>
      <c r="BM105" s="184">
        <f t="shared" si="25"/>
        <v>-3551992.2984606437</v>
      </c>
      <c r="BN105" s="184">
        <f>ROUNDDOWN(BM105*'1. UC Assumptions'!$C$23,2)</f>
        <v>-1172157.45</v>
      </c>
      <c r="BO105" s="184"/>
      <c r="BP105" s="185"/>
      <c r="BQ105" s="32"/>
      <c r="BR105" s="32"/>
    </row>
    <row r="106" spans="1:70" ht="12.75" customHeight="1">
      <c r="A106" s="177" t="s">
        <v>1389</v>
      </c>
      <c r="B106" s="178" t="s">
        <v>935</v>
      </c>
      <c r="C106" s="178" t="s">
        <v>935</v>
      </c>
      <c r="D106" s="179" t="s">
        <v>214</v>
      </c>
      <c r="E106" s="179"/>
      <c r="F106" s="177"/>
      <c r="G106" s="177" t="s">
        <v>1390</v>
      </c>
      <c r="H106" s="178" t="s">
        <v>6</v>
      </c>
      <c r="I106" s="178" t="s">
        <v>384</v>
      </c>
      <c r="J106" s="131">
        <f>IFERROR(INDEX(#REF!,(MATCH('Old Calc Tab'!C:C,#REF!,0))),0)</f>
        <v>0</v>
      </c>
      <c r="K106" s="131">
        <f>IFERROR(INDEX(#REF!,(MATCH('Old Calc Tab'!$C:$C,#REF!,0))),0)</f>
        <v>0</v>
      </c>
      <c r="L106" s="131"/>
      <c r="M106" s="131">
        <v>5778211.4000000004</v>
      </c>
      <c r="N106" s="131">
        <f>IFERROR(INDEX(#REF!,(MATCH('Old Calc Tab'!$C:$C,#REF!,0))),0)</f>
        <v>0</v>
      </c>
      <c r="O106" s="131">
        <f t="shared" si="13"/>
        <v>0</v>
      </c>
      <c r="P106" s="131">
        <f t="shared" si="14"/>
        <v>5778211.4000000004</v>
      </c>
      <c r="Q106" s="131"/>
      <c r="R106" s="131"/>
      <c r="S106" s="131"/>
      <c r="T106" s="131"/>
      <c r="U106" s="131"/>
      <c r="V106" s="131">
        <v>0</v>
      </c>
      <c r="W106" s="180">
        <v>0</v>
      </c>
      <c r="X106" s="180">
        <f t="shared" si="15"/>
        <v>5778211.4000000004</v>
      </c>
      <c r="Y106" s="181">
        <f>IF(D106="Physician Group Practice",(X106/$AE$369)*'1. UC Assumptions'!$C$15,IF(OR(E106="Rural Hospital",E106="Hosp - State"),X106,(X106/$X$369)*'1. UC Assumptions'!$C$9))</f>
        <v>3477691.8032464543</v>
      </c>
      <c r="Z106" s="181">
        <f t="shared" si="16"/>
        <v>0</v>
      </c>
      <c r="AA106" s="181">
        <f t="shared" si="17"/>
        <v>2300519.596753546</v>
      </c>
      <c r="AB106" s="182">
        <f t="shared" si="18"/>
        <v>1235.4506712458924</v>
      </c>
      <c r="AC106" s="181">
        <f t="shared" si="19"/>
        <v>2301755.0474247918</v>
      </c>
      <c r="AD106" s="181">
        <f t="shared" si="20"/>
        <v>3478927.2539177001</v>
      </c>
      <c r="AE106" s="131">
        <v>3359015.4</v>
      </c>
      <c r="AF106" s="131">
        <f>AE106*'1. UC Assumptions'!$C$23</f>
        <v>1108475.0819999999</v>
      </c>
      <c r="AG106" s="183">
        <f>IF((((X106-W106-AE106)*'1. UC Assumptions'!$C$23)+AF106)&gt;0,((X106-W106-AE106)*'1. UC Assumptions'!$C$23)+AF106,0)</f>
        <v>1906809.7620000001</v>
      </c>
      <c r="AH106" s="183">
        <f>IF(((X106-W106-AE106)*'1. UC Assumptions'!$C$23)&gt;0,(X106-W106-AE106)*'1. UC Assumptions'!$C$23,0)</f>
        <v>798334.68</v>
      </c>
      <c r="AI106" s="183">
        <f t="shared" si="21"/>
        <v>1906809.7620000001</v>
      </c>
      <c r="AJ106" s="183">
        <f>IF(H106="Bexar",(AD106/$AJ$1)*'1. UC Assumptions'!$E$42,0)</f>
        <v>0</v>
      </c>
      <c r="AK106" s="183">
        <f>IF(H106="Dallas",(AD106/$AK$1)*'1. UC Assumptions'!$F$42,0)</f>
        <v>0</v>
      </c>
      <c r="AL106" s="183">
        <f>IF(H106="El Paso",(AD106/$AL$1)*'1. UC Assumptions'!$G$42,0)</f>
        <v>0</v>
      </c>
      <c r="AM106" s="183">
        <f>IF(H106="Harris",(AD106/$AM$1)*'1. UC Assumptions'!$H$42,0)</f>
        <v>0</v>
      </c>
      <c r="AN106" s="183">
        <f>IF(H106="Hidalgo",(AD106/$AN$1)*'1. UC Assumptions'!$I$42,0)</f>
        <v>0</v>
      </c>
      <c r="AO106" s="183">
        <f>IF(H106="Jefferson",(AD106/$AO$1)*'1. UC Assumptions'!$J$42,0)</f>
        <v>0</v>
      </c>
      <c r="AP106" s="183">
        <f>IF(H106="Lubbock",(AD106/$AP$1)*'1. UC Assumptions'!$K$42,0)</f>
        <v>0</v>
      </c>
      <c r="AQ106" s="183">
        <f>IF(H106="MRSA Central",(AD106/$AQ$1)*'1. UC Assumptions'!$L$42,0)</f>
        <v>0</v>
      </c>
      <c r="AR106" s="183">
        <f>IF(H106="MRSA Northeast",(AD106/$AR$1)*'1. UC Assumptions'!$M$42,0)</f>
        <v>0</v>
      </c>
      <c r="AS106" s="183">
        <f>IF(H106="MRSA West",(AD106/$AS$1)*'1. UC Assumptions'!$N$42,0)</f>
        <v>0</v>
      </c>
      <c r="AT106" s="183">
        <f>IF(H106="Nueces",(AD106/$AT$1)*'1. UC Assumptions'!$O$42,0)</f>
        <v>0</v>
      </c>
      <c r="AU106" s="183">
        <f>IF(H106="Tarrant",(AD106/$AU$1)*'1. UC Assumptions'!$P$42,0)</f>
        <v>0</v>
      </c>
      <c r="AV106" s="183">
        <f>IF(H106="Travis",(AD106/$AV$1)*'1. UC Assumptions'!$Q$42,0)</f>
        <v>0</v>
      </c>
      <c r="AW106" s="183">
        <f>IF(H106="Bexar",(AC106/$AW$1)*'1. UC Assumptions'!$E$44,0)</f>
        <v>0</v>
      </c>
      <c r="AX106" s="183">
        <f>IF(H106="Dallas",(AC106/$AX$1)*'1. UC Assumptions'!$F$44,0)</f>
        <v>0</v>
      </c>
      <c r="AY106" s="183">
        <f>IF(H106="El Paso",(AC106/$AY$1)*'1. UC Assumptions'!$G$44,0)</f>
        <v>0</v>
      </c>
      <c r="AZ106" s="183">
        <f>IF(H106="Harris",(AC106/$AZ$1)*'1. UC Assumptions'!$H$44,0)</f>
        <v>0</v>
      </c>
      <c r="BA106" s="183">
        <f>IF(H106="Hidalgo",(AC106/$BA$1)*'1. UC Assumptions'!$I$44,0)</f>
        <v>0</v>
      </c>
      <c r="BB106" s="183">
        <f>IF(H106="Jefferson",(AC106/$BB$1)*'1. UC Assumptions'!$J$44,0)</f>
        <v>0</v>
      </c>
      <c r="BC106" s="183">
        <f>IF(H106="Lubbock",(AC106/$BC$1)*'1. UC Assumptions'!$K$44,0)</f>
        <v>0</v>
      </c>
      <c r="BD106" s="183">
        <f>IF(H106="MRSA Central",(AC106/$BD$1)*'1. UC Assumptions'!$L$44,0)</f>
        <v>0</v>
      </c>
      <c r="BE106" s="183">
        <f>IF(H106="MRSA Northeast",(AC106/$BE$1)*'1. UC Assumptions'!$M$44,0)</f>
        <v>0</v>
      </c>
      <c r="BF106" s="183">
        <f>IF(H106="MRSA West",(AC106/$BF$1)*'1. UC Assumptions'!$N$44,0)</f>
        <v>0</v>
      </c>
      <c r="BG106" s="183">
        <f>IF(H106="Nueces",(AC106/$BG$1)*'1. UC Assumptions'!$O$44,0)</f>
        <v>0</v>
      </c>
      <c r="BH106" s="183">
        <f>IF(H106="Tarrant",(AC106/$BH$1)*'1. UC Assumptions'!$P$44,0)</f>
        <v>0</v>
      </c>
      <c r="BI106" s="183">
        <f>IF(H106="Travis",(AC106/$BI$1)*'1. UC Assumptions'!$Q$44,0)</f>
        <v>0</v>
      </c>
      <c r="BJ106" s="183">
        <f t="shared" si="22"/>
        <v>0</v>
      </c>
      <c r="BK106" s="183">
        <f t="shared" si="23"/>
        <v>0</v>
      </c>
      <c r="BL106" s="183">
        <f t="shared" si="24"/>
        <v>3478927.2539177001</v>
      </c>
      <c r="BM106" s="184">
        <f t="shared" si="25"/>
        <v>119911.85391770024</v>
      </c>
      <c r="BN106" s="184">
        <f>ROUNDDOWN(BM106*'1. UC Assumptions'!$C$23,2)</f>
        <v>39570.910000000003</v>
      </c>
      <c r="BO106" s="184"/>
      <c r="BP106" s="185"/>
      <c r="BQ106" s="32"/>
      <c r="BR106" s="32"/>
    </row>
    <row r="107" spans="1:70">
      <c r="A107" s="177" t="s">
        <v>1391</v>
      </c>
      <c r="B107" s="177" t="s">
        <v>940</v>
      </c>
      <c r="C107" s="178" t="s">
        <v>940</v>
      </c>
      <c r="D107" s="179" t="s">
        <v>214</v>
      </c>
      <c r="E107" s="179" t="s">
        <v>149</v>
      </c>
      <c r="F107" s="177"/>
      <c r="G107" s="177" t="s">
        <v>941</v>
      </c>
      <c r="H107" s="178" t="s">
        <v>6</v>
      </c>
      <c r="I107" s="178" t="s">
        <v>942</v>
      </c>
      <c r="J107" s="131">
        <f>IFERROR(INDEX(#REF!,(MATCH('Old Calc Tab'!C:C,#REF!,0))),0)</f>
        <v>0</v>
      </c>
      <c r="K107" s="131">
        <f>IFERROR(INDEX(#REF!,(MATCH('Old Calc Tab'!$C:$C,#REF!,0))),0)</f>
        <v>0</v>
      </c>
      <c r="L107" s="131"/>
      <c r="M107" s="131">
        <v>1036919.825</v>
      </c>
      <c r="N107" s="131">
        <f>IFERROR(INDEX(#REF!,(MATCH('Old Calc Tab'!$C:$C,#REF!,0))),0)</f>
        <v>0</v>
      </c>
      <c r="O107" s="131">
        <f t="shared" si="13"/>
        <v>0</v>
      </c>
      <c r="P107" s="131">
        <f t="shared" si="14"/>
        <v>1036919.825</v>
      </c>
      <c r="Q107" s="131"/>
      <c r="R107" s="131"/>
      <c r="S107" s="131"/>
      <c r="T107" s="131"/>
      <c r="U107" s="131"/>
      <c r="V107" s="131">
        <v>0</v>
      </c>
      <c r="W107" s="180">
        <v>0</v>
      </c>
      <c r="X107" s="180">
        <f t="shared" si="15"/>
        <v>1036919.825</v>
      </c>
      <c r="Y107" s="181">
        <f>IF(D107="Physician Group Practice",(X107/$AE$369)*'1. UC Assumptions'!$C$15,IF(OR(E107="Rural Hospital",E107="Hosp - State"),X107,(X107/$X$369)*'1. UC Assumptions'!$C$9))</f>
        <v>1036919.825</v>
      </c>
      <c r="Z107" s="181">
        <f t="shared" si="16"/>
        <v>0</v>
      </c>
      <c r="AA107" s="181">
        <f t="shared" si="17"/>
        <v>0</v>
      </c>
      <c r="AB107" s="182">
        <f t="shared" si="18"/>
        <v>0</v>
      </c>
      <c r="AC107" s="181">
        <f t="shared" si="19"/>
        <v>0</v>
      </c>
      <c r="AD107" s="181">
        <f t="shared" si="20"/>
        <v>1036919.825</v>
      </c>
      <c r="AE107" s="131">
        <v>594262.87</v>
      </c>
      <c r="AF107" s="131">
        <f>AE107*'1. UC Assumptions'!$C$23</f>
        <v>196106.74709999998</v>
      </c>
      <c r="AG107" s="183">
        <f>IF((((X107-W107-AE107)*'1. UC Assumptions'!$C$23)+AF107)&gt;0,((X107-W107-AE107)*'1. UC Assumptions'!$C$23)+AF107,0)</f>
        <v>342183.54224999994</v>
      </c>
      <c r="AH107" s="183">
        <f>IF(((X107-W107-AE107)*'1. UC Assumptions'!$C$23)&gt;0,(X107-W107-AE107)*'1. UC Assumptions'!$C$23,0)</f>
        <v>146076.79514999996</v>
      </c>
      <c r="AI107" s="183">
        <f t="shared" si="21"/>
        <v>342183.54224999994</v>
      </c>
      <c r="AJ107" s="183">
        <f>IF(H107="Bexar",(AD107/$AJ$1)*'1. UC Assumptions'!$E$42,0)</f>
        <v>0</v>
      </c>
      <c r="AK107" s="183">
        <f>IF(H107="Dallas",(AD107/$AK$1)*'1. UC Assumptions'!$F$42,0)</f>
        <v>0</v>
      </c>
      <c r="AL107" s="183">
        <f>IF(H107="El Paso",(AD107/$AL$1)*'1. UC Assumptions'!$G$42,0)</f>
        <v>0</v>
      </c>
      <c r="AM107" s="183">
        <f>IF(H107="Harris",(AD107/$AM$1)*'1. UC Assumptions'!$H$42,0)</f>
        <v>0</v>
      </c>
      <c r="AN107" s="183">
        <f>IF(H107="Hidalgo",(AD107/$AN$1)*'1. UC Assumptions'!$I$42,0)</f>
        <v>0</v>
      </c>
      <c r="AO107" s="183">
        <f>IF(H107="Jefferson",(AD107/$AO$1)*'1. UC Assumptions'!$J$42,0)</f>
        <v>0</v>
      </c>
      <c r="AP107" s="183">
        <f>IF(H107="Lubbock",(AD107/$AP$1)*'1. UC Assumptions'!$K$42,0)</f>
        <v>0</v>
      </c>
      <c r="AQ107" s="183">
        <f>IF(H107="MRSA Central",(AD107/$AQ$1)*'1. UC Assumptions'!$L$42,0)</f>
        <v>0</v>
      </c>
      <c r="AR107" s="183">
        <f>IF(H107="MRSA Northeast",(AD107/$AR$1)*'1. UC Assumptions'!$M$42,0)</f>
        <v>0</v>
      </c>
      <c r="AS107" s="183">
        <f>IF(H107="MRSA West",(AD107/$AS$1)*'1. UC Assumptions'!$N$42,0)</f>
        <v>0</v>
      </c>
      <c r="AT107" s="183">
        <f>IF(H107="Nueces",(AD107/$AT$1)*'1. UC Assumptions'!$O$42,0)</f>
        <v>0</v>
      </c>
      <c r="AU107" s="183">
        <f>IF(H107="Tarrant",(AD107/$AU$1)*'1. UC Assumptions'!$P$42,0)</f>
        <v>0</v>
      </c>
      <c r="AV107" s="183">
        <f>IF(H107="Travis",(AD107/$AV$1)*'1. UC Assumptions'!$Q$42,0)</f>
        <v>0</v>
      </c>
      <c r="AW107" s="183">
        <f>IF(H107="Bexar",(AC107/$AW$1)*'1. UC Assumptions'!$E$44,0)</f>
        <v>0</v>
      </c>
      <c r="AX107" s="183">
        <f>IF(H107="Dallas",(AC107/$AX$1)*'1. UC Assumptions'!$F$44,0)</f>
        <v>0</v>
      </c>
      <c r="AY107" s="183">
        <f>IF(H107="El Paso",(AC107/$AY$1)*'1. UC Assumptions'!$G$44,0)</f>
        <v>0</v>
      </c>
      <c r="AZ107" s="183">
        <f>IF(H107="Harris",(AC107/$AZ$1)*'1. UC Assumptions'!$H$44,0)</f>
        <v>0</v>
      </c>
      <c r="BA107" s="183">
        <f>IF(H107="Hidalgo",(AC107/$BA$1)*'1. UC Assumptions'!$I$44,0)</f>
        <v>0</v>
      </c>
      <c r="BB107" s="183">
        <f>IF(H107="Jefferson",(AC107/$BB$1)*'1. UC Assumptions'!$J$44,0)</f>
        <v>0</v>
      </c>
      <c r="BC107" s="183">
        <f>IF(H107="Lubbock",(AC107/$BC$1)*'1. UC Assumptions'!$K$44,0)</f>
        <v>0</v>
      </c>
      <c r="BD107" s="183">
        <f>IF(H107="MRSA Central",(AC107/$BD$1)*'1. UC Assumptions'!$L$44,0)</f>
        <v>0</v>
      </c>
      <c r="BE107" s="183">
        <f>IF(H107="MRSA Northeast",(AC107/$BE$1)*'1. UC Assumptions'!$M$44,0)</f>
        <v>0</v>
      </c>
      <c r="BF107" s="183">
        <f>IF(H107="MRSA West",(AC107/$BF$1)*'1. UC Assumptions'!$N$44,0)</f>
        <v>0</v>
      </c>
      <c r="BG107" s="183">
        <f>IF(H107="Nueces",(AC107/$BG$1)*'1. UC Assumptions'!$O$44,0)</f>
        <v>0</v>
      </c>
      <c r="BH107" s="183">
        <f>IF(H107="Tarrant",(AC107/$BH$1)*'1. UC Assumptions'!$P$44,0)</f>
        <v>0</v>
      </c>
      <c r="BI107" s="183">
        <f>IF(H107="Travis",(AC107/$BI$1)*'1. UC Assumptions'!$Q$44,0)</f>
        <v>0</v>
      </c>
      <c r="BJ107" s="183">
        <f t="shared" si="22"/>
        <v>0</v>
      </c>
      <c r="BK107" s="183">
        <f t="shared" si="23"/>
        <v>0</v>
      </c>
      <c r="BL107" s="183">
        <f t="shared" si="24"/>
        <v>1036919.825</v>
      </c>
      <c r="BM107" s="184">
        <f t="shared" si="25"/>
        <v>442656.95499999996</v>
      </c>
      <c r="BN107" s="184">
        <f>ROUNDDOWN(BM107*'1. UC Assumptions'!$C$23,2)</f>
        <v>146076.79</v>
      </c>
      <c r="BO107" s="184"/>
      <c r="BP107" s="185"/>
      <c r="BQ107" s="32"/>
      <c r="BR107" s="32"/>
    </row>
    <row r="108" spans="1:70">
      <c r="A108" s="177" t="s">
        <v>1392</v>
      </c>
      <c r="B108" s="178" t="s">
        <v>975</v>
      </c>
      <c r="C108" s="178" t="s">
        <v>975</v>
      </c>
      <c r="D108" s="179" t="s">
        <v>214</v>
      </c>
      <c r="E108" s="179"/>
      <c r="F108" s="177"/>
      <c r="G108" s="177" t="s">
        <v>1393</v>
      </c>
      <c r="H108" s="178" t="s">
        <v>6</v>
      </c>
      <c r="I108" s="178" t="s">
        <v>6</v>
      </c>
      <c r="J108" s="131">
        <f>IFERROR(INDEX(#REF!,(MATCH('Old Calc Tab'!C:C,#REF!,0))),0)</f>
        <v>0</v>
      </c>
      <c r="K108" s="131">
        <f>IFERROR(INDEX(#REF!,(MATCH('Old Calc Tab'!$C:$C,#REF!,0))),0)</f>
        <v>0</v>
      </c>
      <c r="L108" s="131"/>
      <c r="M108" s="131">
        <v>5743413.1493999995</v>
      </c>
      <c r="N108" s="131">
        <f>IFERROR(INDEX(#REF!,(MATCH('Old Calc Tab'!$C:$C,#REF!,0))),0)</f>
        <v>0</v>
      </c>
      <c r="O108" s="131">
        <f t="shared" si="13"/>
        <v>0</v>
      </c>
      <c r="P108" s="131">
        <f t="shared" si="14"/>
        <v>5743413.1493999995</v>
      </c>
      <c r="Q108" s="131"/>
      <c r="R108" s="131"/>
      <c r="S108" s="131"/>
      <c r="T108" s="131"/>
      <c r="U108" s="131"/>
      <c r="V108" s="131">
        <v>0</v>
      </c>
      <c r="W108" s="180">
        <v>0</v>
      </c>
      <c r="X108" s="180">
        <f t="shared" si="15"/>
        <v>5743413.1493999995</v>
      </c>
      <c r="Y108" s="181">
        <f>IF(D108="Physician Group Practice",(X108/$AE$369)*'1. UC Assumptions'!$C$15,IF(OR(E108="Rural Hospital",E108="Hosp - State"),X108,(X108/$X$369)*'1. UC Assumptions'!$C$9))</f>
        <v>3456748.022809667</v>
      </c>
      <c r="Z108" s="181">
        <f t="shared" si="16"/>
        <v>0</v>
      </c>
      <c r="AA108" s="181">
        <f t="shared" si="17"/>
        <v>2286665.1265903325</v>
      </c>
      <c r="AB108" s="182">
        <f t="shared" si="18"/>
        <v>1228.0103892821774</v>
      </c>
      <c r="AC108" s="181">
        <f t="shared" si="19"/>
        <v>2287893.1369796149</v>
      </c>
      <c r="AD108" s="181">
        <f t="shared" si="20"/>
        <v>3457976.0331989494</v>
      </c>
      <c r="AE108" s="131">
        <v>3956172.39</v>
      </c>
      <c r="AF108" s="131">
        <f>AE108*'1. UC Assumptions'!$C$23</f>
        <v>1305536.8886999998</v>
      </c>
      <c r="AG108" s="183">
        <f>IF((((X108-W108-AE108)*'1. UC Assumptions'!$C$23)+AF108)&gt;0,((X108-W108-AE108)*'1. UC Assumptions'!$C$23)+AF108,0)</f>
        <v>1895326.3393019997</v>
      </c>
      <c r="AH108" s="183">
        <f>IF(((X108-W108-AE108)*'1. UC Assumptions'!$C$23)&gt;0,(X108-W108-AE108)*'1. UC Assumptions'!$C$23,0)</f>
        <v>589789.45060199976</v>
      </c>
      <c r="AI108" s="183">
        <f t="shared" si="21"/>
        <v>1895326.3393019997</v>
      </c>
      <c r="AJ108" s="183">
        <f>IF(H108="Bexar",(AD108/$AJ$1)*'1. UC Assumptions'!$E$42,0)</f>
        <v>0</v>
      </c>
      <c r="AK108" s="183">
        <f>IF(H108="Dallas",(AD108/$AK$1)*'1. UC Assumptions'!$F$42,0)</f>
        <v>0</v>
      </c>
      <c r="AL108" s="183">
        <f>IF(H108="El Paso",(AD108/$AL$1)*'1. UC Assumptions'!$G$42,0)</f>
        <v>0</v>
      </c>
      <c r="AM108" s="183">
        <f>IF(H108="Harris",(AD108/$AM$1)*'1. UC Assumptions'!$H$42,0)</f>
        <v>0</v>
      </c>
      <c r="AN108" s="183">
        <f>IF(H108="Hidalgo",(AD108/$AN$1)*'1. UC Assumptions'!$I$42,0)</f>
        <v>0</v>
      </c>
      <c r="AO108" s="183">
        <f>IF(H108="Jefferson",(AD108/$AO$1)*'1. UC Assumptions'!$J$42,0)</f>
        <v>0</v>
      </c>
      <c r="AP108" s="183">
        <f>IF(H108="Lubbock",(AD108/$AP$1)*'1. UC Assumptions'!$K$42,0)</f>
        <v>0</v>
      </c>
      <c r="AQ108" s="183">
        <f>IF(H108="MRSA Central",(AD108/$AQ$1)*'1. UC Assumptions'!$L$42,0)</f>
        <v>0</v>
      </c>
      <c r="AR108" s="183">
        <f>IF(H108="MRSA Northeast",(AD108/$AR$1)*'1. UC Assumptions'!$M$42,0)</f>
        <v>0</v>
      </c>
      <c r="AS108" s="183">
        <f>IF(H108="MRSA West",(AD108/$AS$1)*'1. UC Assumptions'!$N$42,0)</f>
        <v>0</v>
      </c>
      <c r="AT108" s="183">
        <f>IF(H108="Nueces",(AD108/$AT$1)*'1. UC Assumptions'!$O$42,0)</f>
        <v>0</v>
      </c>
      <c r="AU108" s="183">
        <f>IF(H108="Tarrant",(AD108/$AU$1)*'1. UC Assumptions'!$P$42,0)</f>
        <v>0</v>
      </c>
      <c r="AV108" s="183">
        <f>IF(H108="Travis",(AD108/$AV$1)*'1. UC Assumptions'!$Q$42,0)</f>
        <v>0</v>
      </c>
      <c r="AW108" s="183">
        <f>IF(H108="Bexar",(AC108/$AW$1)*'1. UC Assumptions'!$E$44,0)</f>
        <v>0</v>
      </c>
      <c r="AX108" s="183">
        <f>IF(H108="Dallas",(AC108/$AX$1)*'1. UC Assumptions'!$F$44,0)</f>
        <v>0</v>
      </c>
      <c r="AY108" s="183">
        <f>IF(H108="El Paso",(AC108/$AY$1)*'1. UC Assumptions'!$G$44,0)</f>
        <v>0</v>
      </c>
      <c r="AZ108" s="183">
        <f>IF(H108="Harris",(AC108/$AZ$1)*'1. UC Assumptions'!$H$44,0)</f>
        <v>0</v>
      </c>
      <c r="BA108" s="183">
        <f>IF(H108="Hidalgo",(AC108/$BA$1)*'1. UC Assumptions'!$I$44,0)</f>
        <v>0</v>
      </c>
      <c r="BB108" s="183">
        <f>IF(H108="Jefferson",(AC108/$BB$1)*'1. UC Assumptions'!$J$44,0)</f>
        <v>0</v>
      </c>
      <c r="BC108" s="183">
        <f>IF(H108="Lubbock",(AC108/$BC$1)*'1. UC Assumptions'!$K$44,0)</f>
        <v>0</v>
      </c>
      <c r="BD108" s="183">
        <f>IF(H108="MRSA Central",(AC108/$BD$1)*'1. UC Assumptions'!$L$44,0)</f>
        <v>0</v>
      </c>
      <c r="BE108" s="183">
        <f>IF(H108="MRSA Northeast",(AC108/$BE$1)*'1. UC Assumptions'!$M$44,0)</f>
        <v>0</v>
      </c>
      <c r="BF108" s="183">
        <f>IF(H108="MRSA West",(AC108/$BF$1)*'1. UC Assumptions'!$N$44,0)</f>
        <v>0</v>
      </c>
      <c r="BG108" s="183">
        <f>IF(H108="Nueces",(AC108/$BG$1)*'1. UC Assumptions'!$O$44,0)</f>
        <v>0</v>
      </c>
      <c r="BH108" s="183">
        <f>IF(H108="Tarrant",(AC108/$BH$1)*'1. UC Assumptions'!$P$44,0)</f>
        <v>0</v>
      </c>
      <c r="BI108" s="183">
        <f>IF(H108="Travis",(AC108/$BI$1)*'1. UC Assumptions'!$Q$44,0)</f>
        <v>0</v>
      </c>
      <c r="BJ108" s="183">
        <f t="shared" si="22"/>
        <v>0</v>
      </c>
      <c r="BK108" s="183">
        <f t="shared" si="23"/>
        <v>0</v>
      </c>
      <c r="BL108" s="183">
        <f t="shared" si="24"/>
        <v>3457976.0331989494</v>
      </c>
      <c r="BM108" s="184">
        <f t="shared" si="25"/>
        <v>-498196.35680105072</v>
      </c>
      <c r="BN108" s="184">
        <f>ROUNDDOWN(BM108*'1. UC Assumptions'!$C$23,2)</f>
        <v>-164404.79</v>
      </c>
      <c r="BO108" s="184"/>
      <c r="BP108" s="185"/>
      <c r="BQ108" s="32"/>
      <c r="BR108" s="32"/>
    </row>
    <row r="109" spans="1:70">
      <c r="A109" s="177" t="s">
        <v>1394</v>
      </c>
      <c r="B109" s="178" t="s">
        <v>982</v>
      </c>
      <c r="C109" s="178" t="s">
        <v>982</v>
      </c>
      <c r="D109" s="179" t="s">
        <v>214</v>
      </c>
      <c r="E109" s="179"/>
      <c r="F109" s="177"/>
      <c r="G109" s="177" t="s">
        <v>1395</v>
      </c>
      <c r="H109" s="178" t="s">
        <v>6</v>
      </c>
      <c r="I109" s="178" t="s">
        <v>6</v>
      </c>
      <c r="J109" s="131">
        <f>IFERROR(INDEX(#REF!,(MATCH('Old Calc Tab'!C:C,#REF!,0))),0)</f>
        <v>0</v>
      </c>
      <c r="K109" s="131">
        <f>IFERROR(INDEX(#REF!,(MATCH('Old Calc Tab'!$C:$C,#REF!,0))),0)</f>
        <v>0</v>
      </c>
      <c r="L109" s="131"/>
      <c r="M109" s="131">
        <v>3044059.2</v>
      </c>
      <c r="N109" s="131">
        <f>IFERROR(INDEX(#REF!,(MATCH('Old Calc Tab'!$C:$C,#REF!,0))),0)</f>
        <v>0</v>
      </c>
      <c r="O109" s="131">
        <f t="shared" si="13"/>
        <v>0</v>
      </c>
      <c r="P109" s="131">
        <f t="shared" si="14"/>
        <v>3044059.2</v>
      </c>
      <c r="Q109" s="131"/>
      <c r="R109" s="131"/>
      <c r="S109" s="131"/>
      <c r="T109" s="131"/>
      <c r="U109" s="131"/>
      <c r="V109" s="131">
        <v>0</v>
      </c>
      <c r="W109" s="180">
        <v>0</v>
      </c>
      <c r="X109" s="180">
        <f t="shared" si="15"/>
        <v>3044059.2</v>
      </c>
      <c r="Y109" s="181">
        <f>IF(D109="Physician Group Practice",(X109/$AE$369)*'1. UC Assumptions'!$C$15,IF(OR(E109="Rural Hospital",E109="Hosp - State"),X109,(X109/$X$369)*'1. UC Assumptions'!$C$9))</f>
        <v>1832106.6841612889</v>
      </c>
      <c r="Z109" s="181">
        <f t="shared" si="16"/>
        <v>0</v>
      </c>
      <c r="AA109" s="181">
        <f t="shared" si="17"/>
        <v>1211952.5158387113</v>
      </c>
      <c r="AB109" s="182">
        <f t="shared" si="18"/>
        <v>650.85624626891195</v>
      </c>
      <c r="AC109" s="181">
        <f t="shared" si="19"/>
        <v>1212603.3720849801</v>
      </c>
      <c r="AD109" s="181">
        <f t="shared" si="20"/>
        <v>1832757.5404075577</v>
      </c>
      <c r="AE109" s="131">
        <v>2379777.96</v>
      </c>
      <c r="AF109" s="131">
        <f>AE109*'1. UC Assumptions'!$C$23</f>
        <v>785326.72679999995</v>
      </c>
      <c r="AG109" s="183">
        <f>IF((((X109-W109-AE109)*'1. UC Assumptions'!$C$23)+AF109)&gt;0,((X109-W109-AE109)*'1. UC Assumptions'!$C$23)+AF109,0)</f>
        <v>1004539.536</v>
      </c>
      <c r="AH109" s="183">
        <f>IF(((X109-W109-AE109)*'1. UC Assumptions'!$C$23)&gt;0,(X109-W109-AE109)*'1. UC Assumptions'!$C$23,0)</f>
        <v>219212.80920000005</v>
      </c>
      <c r="AI109" s="183">
        <f t="shared" si="21"/>
        <v>1004539.536</v>
      </c>
      <c r="AJ109" s="183">
        <f>IF(H109="Bexar",(AD109/$AJ$1)*'1. UC Assumptions'!$E$42,0)</f>
        <v>0</v>
      </c>
      <c r="AK109" s="183">
        <f>IF(H109="Dallas",(AD109/$AK$1)*'1. UC Assumptions'!$F$42,0)</f>
        <v>0</v>
      </c>
      <c r="AL109" s="183">
        <f>IF(H109="El Paso",(AD109/$AL$1)*'1. UC Assumptions'!$G$42,0)</f>
        <v>0</v>
      </c>
      <c r="AM109" s="183">
        <f>IF(H109="Harris",(AD109/$AM$1)*'1. UC Assumptions'!$H$42,0)</f>
        <v>0</v>
      </c>
      <c r="AN109" s="183">
        <f>IF(H109="Hidalgo",(AD109/$AN$1)*'1. UC Assumptions'!$I$42,0)</f>
        <v>0</v>
      </c>
      <c r="AO109" s="183">
        <f>IF(H109="Jefferson",(AD109/$AO$1)*'1. UC Assumptions'!$J$42,0)</f>
        <v>0</v>
      </c>
      <c r="AP109" s="183">
        <f>IF(H109="Lubbock",(AD109/$AP$1)*'1. UC Assumptions'!$K$42,0)</f>
        <v>0</v>
      </c>
      <c r="AQ109" s="183">
        <f>IF(H109="MRSA Central",(AD109/$AQ$1)*'1. UC Assumptions'!$L$42,0)</f>
        <v>0</v>
      </c>
      <c r="AR109" s="183">
        <f>IF(H109="MRSA Northeast",(AD109/$AR$1)*'1. UC Assumptions'!$M$42,0)</f>
        <v>0</v>
      </c>
      <c r="AS109" s="183">
        <f>IF(H109="MRSA West",(AD109/$AS$1)*'1. UC Assumptions'!$N$42,0)</f>
        <v>0</v>
      </c>
      <c r="AT109" s="183">
        <f>IF(H109="Nueces",(AD109/$AT$1)*'1. UC Assumptions'!$O$42,0)</f>
        <v>0</v>
      </c>
      <c r="AU109" s="183">
        <f>IF(H109="Tarrant",(AD109/$AU$1)*'1. UC Assumptions'!$P$42,0)</f>
        <v>0</v>
      </c>
      <c r="AV109" s="183">
        <f>IF(H109="Travis",(AD109/$AV$1)*'1. UC Assumptions'!$Q$42,0)</f>
        <v>0</v>
      </c>
      <c r="AW109" s="183">
        <f>IF(H109="Bexar",(AC109/$AW$1)*'1. UC Assumptions'!$E$44,0)</f>
        <v>0</v>
      </c>
      <c r="AX109" s="183">
        <f>IF(H109="Dallas",(AC109/$AX$1)*'1. UC Assumptions'!$F$44,0)</f>
        <v>0</v>
      </c>
      <c r="AY109" s="183">
        <f>IF(H109="El Paso",(AC109/$AY$1)*'1. UC Assumptions'!$G$44,0)</f>
        <v>0</v>
      </c>
      <c r="AZ109" s="183">
        <f>IF(H109="Harris",(AC109/$AZ$1)*'1. UC Assumptions'!$H$44,0)</f>
        <v>0</v>
      </c>
      <c r="BA109" s="183">
        <f>IF(H109="Hidalgo",(AC109/$BA$1)*'1. UC Assumptions'!$I$44,0)</f>
        <v>0</v>
      </c>
      <c r="BB109" s="183">
        <f>IF(H109="Jefferson",(AC109/$BB$1)*'1. UC Assumptions'!$J$44,0)</f>
        <v>0</v>
      </c>
      <c r="BC109" s="183">
        <f>IF(H109="Lubbock",(AC109/$BC$1)*'1. UC Assumptions'!$K$44,0)</f>
        <v>0</v>
      </c>
      <c r="BD109" s="183">
        <f>IF(H109="MRSA Central",(AC109/$BD$1)*'1. UC Assumptions'!$L$44,0)</f>
        <v>0</v>
      </c>
      <c r="BE109" s="183">
        <f>IF(H109="MRSA Northeast",(AC109/$BE$1)*'1. UC Assumptions'!$M$44,0)</f>
        <v>0</v>
      </c>
      <c r="BF109" s="183">
        <f>IF(H109="MRSA West",(AC109/$BF$1)*'1. UC Assumptions'!$N$44,0)</f>
        <v>0</v>
      </c>
      <c r="BG109" s="183">
        <f>IF(H109="Nueces",(AC109/$BG$1)*'1. UC Assumptions'!$O$44,0)</f>
        <v>0</v>
      </c>
      <c r="BH109" s="183">
        <f>IF(H109="Tarrant",(AC109/$BH$1)*'1. UC Assumptions'!$P$44,0)</f>
        <v>0</v>
      </c>
      <c r="BI109" s="183">
        <f>IF(H109="Travis",(AC109/$BI$1)*'1. UC Assumptions'!$Q$44,0)</f>
        <v>0</v>
      </c>
      <c r="BJ109" s="183">
        <f t="shared" si="22"/>
        <v>0</v>
      </c>
      <c r="BK109" s="183">
        <f t="shared" si="23"/>
        <v>0</v>
      </c>
      <c r="BL109" s="183">
        <f t="shared" si="24"/>
        <v>1832757.5404075577</v>
      </c>
      <c r="BM109" s="184">
        <f t="shared" si="25"/>
        <v>-547020.41959244222</v>
      </c>
      <c r="BN109" s="184">
        <f>ROUNDDOWN(BM109*'1. UC Assumptions'!$C$23,2)</f>
        <v>-180516.73</v>
      </c>
      <c r="BO109" s="184"/>
      <c r="BP109" s="185"/>
      <c r="BQ109" s="32"/>
      <c r="BR109" s="32"/>
    </row>
    <row r="110" spans="1:70">
      <c r="A110" s="177" t="s">
        <v>1396</v>
      </c>
      <c r="B110" s="178" t="s">
        <v>235</v>
      </c>
      <c r="C110" s="178" t="s">
        <v>235</v>
      </c>
      <c r="D110" s="179" t="s">
        <v>214</v>
      </c>
      <c r="E110" s="179"/>
      <c r="F110" s="177"/>
      <c r="G110" s="177" t="s">
        <v>1397</v>
      </c>
      <c r="H110" s="178" t="s">
        <v>7</v>
      </c>
      <c r="I110" s="178" t="s">
        <v>237</v>
      </c>
      <c r="J110" s="131">
        <f>IFERROR(INDEX(#REF!,(MATCH('Old Calc Tab'!C:C,#REF!,0))),0)</f>
        <v>0</v>
      </c>
      <c r="K110" s="131">
        <f>IFERROR(INDEX(#REF!,(MATCH('Old Calc Tab'!$C:$C,#REF!,0))),0)</f>
        <v>0</v>
      </c>
      <c r="L110" s="131"/>
      <c r="M110" s="131">
        <v>11279563.394674987</v>
      </c>
      <c r="N110" s="131">
        <f>IFERROR(INDEX(#REF!,(MATCH('Old Calc Tab'!$C:$C,#REF!,0))),0)</f>
        <v>0</v>
      </c>
      <c r="O110" s="131">
        <f t="shared" si="13"/>
        <v>0</v>
      </c>
      <c r="P110" s="131">
        <f t="shared" si="14"/>
        <v>11279563.394674987</v>
      </c>
      <c r="Q110" s="131"/>
      <c r="R110" s="131"/>
      <c r="S110" s="131"/>
      <c r="T110" s="131"/>
      <c r="U110" s="131"/>
      <c r="V110" s="131">
        <v>361544</v>
      </c>
      <c r="W110" s="180">
        <v>0</v>
      </c>
      <c r="X110" s="180">
        <f t="shared" si="15"/>
        <v>11641107.394674987</v>
      </c>
      <c r="Y110" s="181">
        <f>IF(D110="Physician Group Practice",(X110/$AE$369)*'1. UC Assumptions'!$C$15,IF(OR(E110="Rural Hospital",E110="Hosp - State"),X110,(X110/$X$369)*'1. UC Assumptions'!$C$9))</f>
        <v>7006352.1329754191</v>
      </c>
      <c r="Z110" s="181">
        <f t="shared" si="16"/>
        <v>0</v>
      </c>
      <c r="AA110" s="181">
        <f t="shared" si="17"/>
        <v>4634755.2616995675</v>
      </c>
      <c r="AB110" s="182">
        <f t="shared" si="18"/>
        <v>2489.0079211703355</v>
      </c>
      <c r="AC110" s="181">
        <f t="shared" si="19"/>
        <v>4637244.269620738</v>
      </c>
      <c r="AD110" s="181">
        <f t="shared" si="20"/>
        <v>7008841.1408965895</v>
      </c>
      <c r="AE110" s="131">
        <v>3403021.88</v>
      </c>
      <c r="AF110" s="131">
        <f>AE110*'1. UC Assumptions'!$C$23</f>
        <v>1122997.2203999998</v>
      </c>
      <c r="AG110" s="183">
        <f>IF((((X110-W110-AE110)*'1. UC Assumptions'!$C$23)+AF110)&gt;0,((X110-W110-AE110)*'1. UC Assumptions'!$C$23)+AF110,0)</f>
        <v>3841565.440242745</v>
      </c>
      <c r="AH110" s="183">
        <f>IF(((X110-W110-AE110)*'1. UC Assumptions'!$C$23)&gt;0,(X110-W110-AE110)*'1. UC Assumptions'!$C$23,0)</f>
        <v>2718568.2198427455</v>
      </c>
      <c r="AI110" s="183">
        <f t="shared" si="21"/>
        <v>3841565.440242745</v>
      </c>
      <c r="AJ110" s="183">
        <f>IF(H110="Bexar",(AD110/$AJ$1)*'1. UC Assumptions'!$E$42,0)</f>
        <v>0</v>
      </c>
      <c r="AK110" s="183">
        <f>IF(H110="Dallas",(AD110/$AK$1)*'1. UC Assumptions'!$F$42,0)</f>
        <v>0</v>
      </c>
      <c r="AL110" s="183">
        <f>IF(H110="El Paso",(AD110/$AL$1)*'1. UC Assumptions'!$G$42,0)</f>
        <v>0</v>
      </c>
      <c r="AM110" s="183">
        <f>IF(H110="Harris",(AD110/$AM$1)*'1. UC Assumptions'!$H$42,0)</f>
        <v>0</v>
      </c>
      <c r="AN110" s="183">
        <f>IF(H110="Hidalgo",(AD110/$AN$1)*'1. UC Assumptions'!$I$42,0)</f>
        <v>0</v>
      </c>
      <c r="AO110" s="183">
        <f>IF(H110="Jefferson",(AD110/$AO$1)*'1. UC Assumptions'!$J$42,0)</f>
        <v>0</v>
      </c>
      <c r="AP110" s="183">
        <f>IF(H110="Lubbock",(AD110/$AP$1)*'1. UC Assumptions'!$K$42,0)</f>
        <v>0</v>
      </c>
      <c r="AQ110" s="183">
        <f>IF(H110="MRSA Central",(AD110/$AQ$1)*'1. UC Assumptions'!$L$42,0)</f>
        <v>0</v>
      </c>
      <c r="AR110" s="183">
        <f>IF(H110="MRSA Northeast",(AD110/$AR$1)*'1. UC Assumptions'!$M$42,0)</f>
        <v>0</v>
      </c>
      <c r="AS110" s="183">
        <f>IF(H110="MRSA West",(AD110/$AS$1)*'1. UC Assumptions'!$N$42,0)</f>
        <v>0</v>
      </c>
      <c r="AT110" s="183">
        <f>IF(H110="Nueces",(AD110/$AT$1)*'1. UC Assumptions'!$O$42,0)</f>
        <v>0</v>
      </c>
      <c r="AU110" s="183">
        <f>IF(H110="Tarrant",(AD110/$AU$1)*'1. UC Assumptions'!$P$42,0)</f>
        <v>0</v>
      </c>
      <c r="AV110" s="183">
        <f>IF(H110="Travis",(AD110/$AV$1)*'1. UC Assumptions'!$Q$42,0)</f>
        <v>0</v>
      </c>
      <c r="AW110" s="183">
        <f>IF(H110="Bexar",(AC110/$AW$1)*'1. UC Assumptions'!$E$44,0)</f>
        <v>0</v>
      </c>
      <c r="AX110" s="183">
        <f>IF(H110="Dallas",(AC110/$AX$1)*'1. UC Assumptions'!$F$44,0)</f>
        <v>0</v>
      </c>
      <c r="AY110" s="183">
        <f>IF(H110="El Paso",(AC110/$AY$1)*'1. UC Assumptions'!$G$44,0)</f>
        <v>0</v>
      </c>
      <c r="AZ110" s="183">
        <f>IF(H110="Harris",(AC110/$AZ$1)*'1. UC Assumptions'!$H$44,0)</f>
        <v>0</v>
      </c>
      <c r="BA110" s="183">
        <f>IF(H110="Hidalgo",(AC110/$BA$1)*'1. UC Assumptions'!$I$44,0)</f>
        <v>0</v>
      </c>
      <c r="BB110" s="183">
        <f>IF(H110="Jefferson",(AC110/$BB$1)*'1. UC Assumptions'!$J$44,0)</f>
        <v>0</v>
      </c>
      <c r="BC110" s="183">
        <f>IF(H110="Lubbock",(AC110/$BC$1)*'1. UC Assumptions'!$K$44,0)</f>
        <v>0</v>
      </c>
      <c r="BD110" s="183">
        <f>IF(H110="MRSA Central",(AC110/$BD$1)*'1. UC Assumptions'!$L$44,0)</f>
        <v>0</v>
      </c>
      <c r="BE110" s="183">
        <f>IF(H110="MRSA Northeast",(AC110/$BE$1)*'1. UC Assumptions'!$M$44,0)</f>
        <v>0</v>
      </c>
      <c r="BF110" s="183">
        <f>IF(H110="MRSA West",(AC110/$BF$1)*'1. UC Assumptions'!$N$44,0)</f>
        <v>0</v>
      </c>
      <c r="BG110" s="183">
        <f>IF(H110="Nueces",(AC110/$BG$1)*'1. UC Assumptions'!$O$44,0)</f>
        <v>0</v>
      </c>
      <c r="BH110" s="183">
        <f>IF(H110="Tarrant",(AC110/$BH$1)*'1. UC Assumptions'!$P$44,0)</f>
        <v>0</v>
      </c>
      <c r="BI110" s="183">
        <f>IF(H110="Travis",(AC110/$BI$1)*'1. UC Assumptions'!$Q$44,0)</f>
        <v>0</v>
      </c>
      <c r="BJ110" s="183">
        <f t="shared" si="22"/>
        <v>0</v>
      </c>
      <c r="BK110" s="183">
        <f t="shared" si="23"/>
        <v>0</v>
      </c>
      <c r="BL110" s="183">
        <f t="shared" si="24"/>
        <v>7008841.1408965895</v>
      </c>
      <c r="BM110" s="184">
        <f t="shared" si="25"/>
        <v>3605819.2608965896</v>
      </c>
      <c r="BN110" s="184">
        <f>ROUNDDOWN(BM110*'1. UC Assumptions'!$C$23,2)</f>
        <v>1189920.3500000001</v>
      </c>
      <c r="BO110" s="184"/>
      <c r="BP110" s="185"/>
      <c r="BQ110" s="32"/>
      <c r="BR110" s="32"/>
    </row>
    <row r="111" spans="1:70">
      <c r="A111" s="177" t="s">
        <v>1398</v>
      </c>
      <c r="B111" s="177" t="s">
        <v>1399</v>
      </c>
      <c r="C111" s="178" t="s">
        <v>106</v>
      </c>
      <c r="D111" s="179" t="s">
        <v>281</v>
      </c>
      <c r="E111" s="179"/>
      <c r="F111" s="177" t="s">
        <v>282</v>
      </c>
      <c r="G111" s="177" t="s">
        <v>1400</v>
      </c>
      <c r="H111" s="178" t="s">
        <v>7</v>
      </c>
      <c r="I111" s="178" t="s">
        <v>237</v>
      </c>
      <c r="J111" s="131">
        <f>IFERROR(INDEX(#REF!,(MATCH('Old Calc Tab'!C:C,#REF!,0))),0)</f>
        <v>0</v>
      </c>
      <c r="K111" s="131">
        <f>IFERROR(INDEX(#REF!,(MATCH('Old Calc Tab'!$C:$C,#REF!,0))),0)</f>
        <v>0</v>
      </c>
      <c r="L111" s="131"/>
      <c r="M111" s="131">
        <v>10300709</v>
      </c>
      <c r="N111" s="131">
        <f>IFERROR(INDEX(#REF!,(MATCH('Old Calc Tab'!$C:$C,#REF!,0))),0)</f>
        <v>0</v>
      </c>
      <c r="O111" s="131">
        <f t="shared" si="13"/>
        <v>0</v>
      </c>
      <c r="P111" s="131">
        <f t="shared" si="14"/>
        <v>10300709</v>
      </c>
      <c r="Q111" s="131"/>
      <c r="R111" s="131"/>
      <c r="S111" s="131"/>
      <c r="T111" s="131"/>
      <c r="U111" s="131"/>
      <c r="V111" s="131">
        <v>0</v>
      </c>
      <c r="W111" s="180">
        <v>0</v>
      </c>
      <c r="X111" s="180">
        <f t="shared" si="15"/>
        <v>10300709</v>
      </c>
      <c r="Y111" s="181">
        <f>IF(D111="Physician Group Practice",(X111/$AE$369)*'1. UC Assumptions'!$C$15,IF(OR(E111="Rural Hospital",E111="Hosp - State"),X111,(X111/$X$369)*'1. UC Assumptions'!$C$9))</f>
        <v>6199615.8979103779</v>
      </c>
      <c r="Z111" s="181">
        <f t="shared" si="16"/>
        <v>0</v>
      </c>
      <c r="AA111" s="181">
        <f t="shared" si="17"/>
        <v>4101093.1020896221</v>
      </c>
      <c r="AB111" s="182">
        <f t="shared" si="18"/>
        <v>2202.4147209911016</v>
      </c>
      <c r="AC111" s="181">
        <f t="shared" si="19"/>
        <v>4103295.5168106132</v>
      </c>
      <c r="AD111" s="181">
        <f t="shared" si="20"/>
        <v>6201818.3126313686</v>
      </c>
      <c r="AE111" s="131">
        <v>34351.279999999999</v>
      </c>
      <c r="AF111" s="131">
        <f>AE111*'1. UC Assumptions'!$C$23</f>
        <v>11335.922399999998</v>
      </c>
      <c r="AG111" s="183">
        <f>IF((((X111-W111-AE111)*'1. UC Assumptions'!$C$23)+AF111)&gt;0,((X111-W111-AE111)*'1. UC Assumptions'!$C$23)+AF111,0)</f>
        <v>3399233.9699999997</v>
      </c>
      <c r="AH111" s="183">
        <f>IF(((X111-W111-AE111)*'1. UC Assumptions'!$C$23)&gt;0,(X111-W111-AE111)*'1. UC Assumptions'!$C$23,0)</f>
        <v>3387898.0475999997</v>
      </c>
      <c r="AI111" s="183">
        <f t="shared" si="21"/>
        <v>3399233.9699999997</v>
      </c>
      <c r="AJ111" s="183">
        <f>IF(H111="Bexar",(AD111/$AJ$1)*'1. UC Assumptions'!$E$42,0)</f>
        <v>0</v>
      </c>
      <c r="AK111" s="183">
        <f>IF(H111="Dallas",(AD111/$AK$1)*'1. UC Assumptions'!$F$42,0)</f>
        <v>0</v>
      </c>
      <c r="AL111" s="183">
        <f>IF(H111="El Paso",(AD111/$AL$1)*'1. UC Assumptions'!$G$42,0)</f>
        <v>0</v>
      </c>
      <c r="AM111" s="183">
        <f>IF(H111="Harris",(AD111/$AM$1)*'1. UC Assumptions'!$H$42,0)</f>
        <v>0</v>
      </c>
      <c r="AN111" s="183">
        <f>IF(H111="Hidalgo",(AD111/$AN$1)*'1. UC Assumptions'!$I$42,0)</f>
        <v>0</v>
      </c>
      <c r="AO111" s="183">
        <f>IF(H111="Jefferson",(AD111/$AO$1)*'1. UC Assumptions'!$J$42,0)</f>
        <v>0</v>
      </c>
      <c r="AP111" s="183">
        <f>IF(H111="Lubbock",(AD111/$AP$1)*'1. UC Assumptions'!$K$42,0)</f>
        <v>0</v>
      </c>
      <c r="AQ111" s="183">
        <f>IF(H111="MRSA Central",(AD111/$AQ$1)*'1. UC Assumptions'!$L$42,0)</f>
        <v>0</v>
      </c>
      <c r="AR111" s="183">
        <f>IF(H111="MRSA Northeast",(AD111/$AR$1)*'1. UC Assumptions'!$M$42,0)</f>
        <v>0</v>
      </c>
      <c r="AS111" s="183">
        <f>IF(H111="MRSA West",(AD111/$AS$1)*'1. UC Assumptions'!$N$42,0)</f>
        <v>0</v>
      </c>
      <c r="AT111" s="183">
        <f>IF(H111="Nueces",(AD111/$AT$1)*'1. UC Assumptions'!$O$42,0)</f>
        <v>0</v>
      </c>
      <c r="AU111" s="183">
        <f>IF(H111="Tarrant",(AD111/$AU$1)*'1. UC Assumptions'!$P$42,0)</f>
        <v>0</v>
      </c>
      <c r="AV111" s="183">
        <f>IF(H111="Travis",(AD111/$AV$1)*'1. UC Assumptions'!$Q$42,0)</f>
        <v>0</v>
      </c>
      <c r="AW111" s="183">
        <f>IF(H111="Bexar",(AC111/$AW$1)*'1. UC Assumptions'!$E$44,0)</f>
        <v>0</v>
      </c>
      <c r="AX111" s="183">
        <f>IF(H111="Dallas",(AC111/$AX$1)*'1. UC Assumptions'!$F$44,0)</f>
        <v>0</v>
      </c>
      <c r="AY111" s="183">
        <f>IF(H111="El Paso",(AC111/$AY$1)*'1. UC Assumptions'!$G$44,0)</f>
        <v>0</v>
      </c>
      <c r="AZ111" s="183">
        <f>IF(H111="Harris",(AC111/$AZ$1)*'1. UC Assumptions'!$H$44,0)</f>
        <v>0</v>
      </c>
      <c r="BA111" s="183">
        <f>IF(H111="Hidalgo",(AC111/$BA$1)*'1. UC Assumptions'!$I$44,0)</f>
        <v>0</v>
      </c>
      <c r="BB111" s="183">
        <f>IF(H111="Jefferson",(AC111/$BB$1)*'1. UC Assumptions'!$J$44,0)</f>
        <v>0</v>
      </c>
      <c r="BC111" s="183">
        <f>IF(H111="Lubbock",(AC111/$BC$1)*'1. UC Assumptions'!$K$44,0)</f>
        <v>0</v>
      </c>
      <c r="BD111" s="183">
        <f>IF(H111="MRSA Central",(AC111/$BD$1)*'1. UC Assumptions'!$L$44,0)</f>
        <v>0</v>
      </c>
      <c r="BE111" s="183">
        <f>IF(H111="MRSA Northeast",(AC111/$BE$1)*'1. UC Assumptions'!$M$44,0)</f>
        <v>0</v>
      </c>
      <c r="BF111" s="183">
        <f>IF(H111="MRSA West",(AC111/$BF$1)*'1. UC Assumptions'!$N$44,0)</f>
        <v>0</v>
      </c>
      <c r="BG111" s="183">
        <f>IF(H111="Nueces",(AC111/$BG$1)*'1. UC Assumptions'!$O$44,0)</f>
        <v>0</v>
      </c>
      <c r="BH111" s="183">
        <f>IF(H111="Tarrant",(AC111/$BH$1)*'1. UC Assumptions'!$P$44,0)</f>
        <v>0</v>
      </c>
      <c r="BI111" s="183">
        <f>IF(H111="Travis",(AC111/$BI$1)*'1. UC Assumptions'!$Q$44,0)</f>
        <v>0</v>
      </c>
      <c r="BJ111" s="183">
        <f t="shared" si="22"/>
        <v>0</v>
      </c>
      <c r="BK111" s="183">
        <f t="shared" si="23"/>
        <v>0</v>
      </c>
      <c r="BL111" s="183">
        <f t="shared" si="24"/>
        <v>6201818.3126313686</v>
      </c>
      <c r="BM111" s="184">
        <f t="shared" si="25"/>
        <v>6167467.0326313684</v>
      </c>
      <c r="BN111" s="184">
        <f>ROUNDDOWN(BM111*'1. UC Assumptions'!$C$23,2)</f>
        <v>2035264.12</v>
      </c>
      <c r="BO111" s="184"/>
      <c r="BP111" s="185"/>
      <c r="BQ111" s="32"/>
      <c r="BR111" s="32"/>
    </row>
    <row r="112" spans="1:70">
      <c r="A112" s="177" t="s">
        <v>1401</v>
      </c>
      <c r="B112" s="178" t="s">
        <v>317</v>
      </c>
      <c r="C112" s="178" t="s">
        <v>317</v>
      </c>
      <c r="D112" s="179" t="s">
        <v>214</v>
      </c>
      <c r="E112" s="179"/>
      <c r="F112" s="177"/>
      <c r="G112" s="177" t="s">
        <v>1402</v>
      </c>
      <c r="H112" s="178" t="s">
        <v>7</v>
      </c>
      <c r="I112" s="178" t="s">
        <v>7</v>
      </c>
      <c r="J112" s="131">
        <f>IFERROR(INDEX(#REF!,(MATCH('Old Calc Tab'!C:C,#REF!,0))),0)</f>
        <v>0</v>
      </c>
      <c r="K112" s="131">
        <f>IFERROR(INDEX(#REF!,(MATCH('Old Calc Tab'!$C:$C,#REF!,0))),0)</f>
        <v>0</v>
      </c>
      <c r="L112" s="131"/>
      <c r="M112" s="131">
        <v>59279171.387838684</v>
      </c>
      <c r="N112" s="131">
        <f>IFERROR(INDEX(#REF!,(MATCH('Old Calc Tab'!$C:$C,#REF!,0))),0)</f>
        <v>0</v>
      </c>
      <c r="O112" s="131">
        <f t="shared" si="13"/>
        <v>0</v>
      </c>
      <c r="P112" s="131">
        <f t="shared" si="14"/>
        <v>59279171.387838684</v>
      </c>
      <c r="Q112" s="131"/>
      <c r="R112" s="131"/>
      <c r="S112" s="131"/>
      <c r="T112" s="131"/>
      <c r="U112" s="131"/>
      <c r="V112" s="131">
        <v>3543919</v>
      </c>
      <c r="W112" s="180">
        <v>0</v>
      </c>
      <c r="X112" s="180">
        <f t="shared" si="15"/>
        <v>62823090.387838684</v>
      </c>
      <c r="Y112" s="181">
        <f>IF(D112="Physician Group Practice",(X112/$AE$369)*'1. UC Assumptions'!$C$15,IF(OR(E112="Rural Hospital",E112="Hosp - State"),X112,(X112/$X$369)*'1. UC Assumptions'!$C$9))</f>
        <v>37810895.339758195</v>
      </c>
      <c r="Z112" s="181">
        <f t="shared" si="16"/>
        <v>0</v>
      </c>
      <c r="AA112" s="181">
        <f t="shared" si="17"/>
        <v>25012195.048080489</v>
      </c>
      <c r="AB112" s="182">
        <f t="shared" si="18"/>
        <v>13432.327725045969</v>
      </c>
      <c r="AC112" s="181">
        <f t="shared" si="19"/>
        <v>25025627.375805534</v>
      </c>
      <c r="AD112" s="181">
        <f t="shared" si="20"/>
        <v>37824327.66748324</v>
      </c>
      <c r="AE112" s="131">
        <v>11190658.4</v>
      </c>
      <c r="AF112" s="131">
        <f>AE112*'1. UC Assumptions'!$C$23</f>
        <v>3692917.2719999999</v>
      </c>
      <c r="AG112" s="183">
        <f>IF((((X112-W112-AE112)*'1. UC Assumptions'!$C$23)+AF112)&gt;0,((X112-W112-AE112)*'1. UC Assumptions'!$C$23)+AF112,0)</f>
        <v>20731619.827986766</v>
      </c>
      <c r="AH112" s="183">
        <f>IF(((X112-W112-AE112)*'1. UC Assumptions'!$C$23)&gt;0,(X112-W112-AE112)*'1. UC Assumptions'!$C$23,0)</f>
        <v>17038702.555986766</v>
      </c>
      <c r="AI112" s="183">
        <f t="shared" si="21"/>
        <v>20731619.827986766</v>
      </c>
      <c r="AJ112" s="183">
        <f>IF(H112="Bexar",(AD112/$AJ$1)*'1. UC Assumptions'!$E$42,0)</f>
        <v>0</v>
      </c>
      <c r="AK112" s="183">
        <f>IF(H112="Dallas",(AD112/$AK$1)*'1. UC Assumptions'!$F$42,0)</f>
        <v>0</v>
      </c>
      <c r="AL112" s="183">
        <f>IF(H112="El Paso",(AD112/$AL$1)*'1. UC Assumptions'!$G$42,0)</f>
        <v>0</v>
      </c>
      <c r="AM112" s="183">
        <f>IF(H112="Harris",(AD112/$AM$1)*'1. UC Assumptions'!$H$42,0)</f>
        <v>0</v>
      </c>
      <c r="AN112" s="183">
        <f>IF(H112="Hidalgo",(AD112/$AN$1)*'1. UC Assumptions'!$I$42,0)</f>
        <v>0</v>
      </c>
      <c r="AO112" s="183">
        <f>IF(H112="Jefferson",(AD112/$AO$1)*'1. UC Assumptions'!$J$42,0)</f>
        <v>0</v>
      </c>
      <c r="AP112" s="183">
        <f>IF(H112="Lubbock",(AD112/$AP$1)*'1. UC Assumptions'!$K$42,0)</f>
        <v>0</v>
      </c>
      <c r="AQ112" s="183">
        <f>IF(H112="MRSA Central",(AD112/$AQ$1)*'1. UC Assumptions'!$L$42,0)</f>
        <v>0</v>
      </c>
      <c r="AR112" s="183">
        <f>IF(H112="MRSA Northeast",(AD112/$AR$1)*'1. UC Assumptions'!$M$42,0)</f>
        <v>0</v>
      </c>
      <c r="AS112" s="183">
        <f>IF(H112="MRSA West",(AD112/$AS$1)*'1. UC Assumptions'!$N$42,0)</f>
        <v>0</v>
      </c>
      <c r="AT112" s="183">
        <f>IF(H112="Nueces",(AD112/$AT$1)*'1. UC Assumptions'!$O$42,0)</f>
        <v>0</v>
      </c>
      <c r="AU112" s="183">
        <f>IF(H112="Tarrant",(AD112/$AU$1)*'1. UC Assumptions'!$P$42,0)</f>
        <v>0</v>
      </c>
      <c r="AV112" s="183">
        <f>IF(H112="Travis",(AD112/$AV$1)*'1. UC Assumptions'!$Q$42,0)</f>
        <v>0</v>
      </c>
      <c r="AW112" s="183">
        <f>IF(H112="Bexar",(AC112/$AW$1)*'1. UC Assumptions'!$E$44,0)</f>
        <v>0</v>
      </c>
      <c r="AX112" s="183">
        <f>IF(H112="Dallas",(AC112/$AX$1)*'1. UC Assumptions'!$F$44,0)</f>
        <v>0</v>
      </c>
      <c r="AY112" s="183">
        <f>IF(H112="El Paso",(AC112/$AY$1)*'1. UC Assumptions'!$G$44,0)</f>
        <v>0</v>
      </c>
      <c r="AZ112" s="183">
        <f>IF(H112="Harris",(AC112/$AZ$1)*'1. UC Assumptions'!$H$44,0)</f>
        <v>0</v>
      </c>
      <c r="BA112" s="183">
        <f>IF(H112="Hidalgo",(AC112/$BA$1)*'1. UC Assumptions'!$I$44,0)</f>
        <v>0</v>
      </c>
      <c r="BB112" s="183">
        <f>IF(H112="Jefferson",(AC112/$BB$1)*'1. UC Assumptions'!$J$44,0)</f>
        <v>0</v>
      </c>
      <c r="BC112" s="183">
        <f>IF(H112="Lubbock",(AC112/$BC$1)*'1. UC Assumptions'!$K$44,0)</f>
        <v>0</v>
      </c>
      <c r="BD112" s="183">
        <f>IF(H112="MRSA Central",(AC112/$BD$1)*'1. UC Assumptions'!$L$44,0)</f>
        <v>0</v>
      </c>
      <c r="BE112" s="183">
        <f>IF(H112="MRSA Northeast",(AC112/$BE$1)*'1. UC Assumptions'!$M$44,0)</f>
        <v>0</v>
      </c>
      <c r="BF112" s="183">
        <f>IF(H112="MRSA West",(AC112/$BF$1)*'1. UC Assumptions'!$N$44,0)</f>
        <v>0</v>
      </c>
      <c r="BG112" s="183">
        <f>IF(H112="Nueces",(AC112/$BG$1)*'1. UC Assumptions'!$O$44,0)</f>
        <v>0</v>
      </c>
      <c r="BH112" s="183">
        <f>IF(H112="Tarrant",(AC112/$BH$1)*'1. UC Assumptions'!$P$44,0)</f>
        <v>0</v>
      </c>
      <c r="BI112" s="183">
        <f>IF(H112="Travis",(AC112/$BI$1)*'1. UC Assumptions'!$Q$44,0)</f>
        <v>0</v>
      </c>
      <c r="BJ112" s="183">
        <f t="shared" si="22"/>
        <v>0</v>
      </c>
      <c r="BK112" s="183">
        <f t="shared" si="23"/>
        <v>0</v>
      </c>
      <c r="BL112" s="183">
        <f t="shared" si="24"/>
        <v>37824327.66748324</v>
      </c>
      <c r="BM112" s="184">
        <f t="shared" si="25"/>
        <v>26633669.267483242</v>
      </c>
      <c r="BN112" s="184">
        <f>ROUNDDOWN(BM112*'1. UC Assumptions'!$C$23,2)</f>
        <v>8789110.8499999996</v>
      </c>
      <c r="BO112" s="184"/>
      <c r="BP112" s="185"/>
      <c r="BQ112" s="32"/>
      <c r="BR112" s="32"/>
    </row>
    <row r="113" spans="1:70">
      <c r="A113" s="177" t="s">
        <v>1403</v>
      </c>
      <c r="B113" s="177" t="s">
        <v>369</v>
      </c>
      <c r="C113" s="178" t="s">
        <v>369</v>
      </c>
      <c r="D113" s="179" t="s">
        <v>214</v>
      </c>
      <c r="E113" s="179"/>
      <c r="F113" s="177"/>
      <c r="G113" s="177" t="s">
        <v>1404</v>
      </c>
      <c r="H113" s="178" t="s">
        <v>7</v>
      </c>
      <c r="I113" s="178" t="s">
        <v>371</v>
      </c>
      <c r="J113" s="131">
        <f>IFERROR(INDEX(#REF!,(MATCH('Old Calc Tab'!C:C,#REF!,0))),0)</f>
        <v>0</v>
      </c>
      <c r="K113" s="131">
        <f>IFERROR(INDEX(#REF!,(MATCH('Old Calc Tab'!$C:$C,#REF!,0))),0)</f>
        <v>0</v>
      </c>
      <c r="L113" s="131"/>
      <c r="M113" s="131">
        <v>4796898.5434431871</v>
      </c>
      <c r="N113" s="131">
        <f>IFERROR(INDEX(#REF!,(MATCH('Old Calc Tab'!$C:$C,#REF!,0))),0)</f>
        <v>0</v>
      </c>
      <c r="O113" s="131">
        <f t="shared" si="13"/>
        <v>0</v>
      </c>
      <c r="P113" s="131">
        <f t="shared" si="14"/>
        <v>4796898.5434431871</v>
      </c>
      <c r="Q113" s="131"/>
      <c r="R113" s="131"/>
      <c r="S113" s="131"/>
      <c r="T113" s="131"/>
      <c r="U113" s="131"/>
      <c r="V113" s="131">
        <v>159930</v>
      </c>
      <c r="W113" s="180">
        <v>0</v>
      </c>
      <c r="X113" s="180">
        <f t="shared" si="15"/>
        <v>4956828.5434431871</v>
      </c>
      <c r="Y113" s="181">
        <f>IF(D113="Physician Group Practice",(X113/$AE$369)*'1. UC Assumptions'!$C$15,IF(OR(E113="Rural Hospital",E113="Hosp - State"),X113,(X113/$X$369)*'1. UC Assumptions'!$C$9))</f>
        <v>2983331.8309590458</v>
      </c>
      <c r="Z113" s="181">
        <f t="shared" si="16"/>
        <v>0</v>
      </c>
      <c r="AA113" s="181">
        <f t="shared" si="17"/>
        <v>1973496.7124841413</v>
      </c>
      <c r="AB113" s="182">
        <f t="shared" si="18"/>
        <v>1059.8291975346704</v>
      </c>
      <c r="AC113" s="181">
        <f t="shared" si="19"/>
        <v>1974556.5416816759</v>
      </c>
      <c r="AD113" s="181">
        <f t="shared" si="20"/>
        <v>2984391.6601565806</v>
      </c>
      <c r="AE113" s="131">
        <v>2530583.02</v>
      </c>
      <c r="AF113" s="131">
        <f>AE113*'1. UC Assumptions'!$C$23</f>
        <v>835092.39659999986</v>
      </c>
      <c r="AG113" s="183">
        <f>IF((((X113-W113-AE113)*'1. UC Assumptions'!$C$23)+AF113)&gt;0,((X113-W113-AE113)*'1. UC Assumptions'!$C$23)+AF113,0)</f>
        <v>1635753.4193362514</v>
      </c>
      <c r="AH113" s="183">
        <f>IF(((X113-W113-AE113)*'1. UC Assumptions'!$C$23)&gt;0,(X113-W113-AE113)*'1. UC Assumptions'!$C$23,0)</f>
        <v>800661.0227362517</v>
      </c>
      <c r="AI113" s="183">
        <f t="shared" si="21"/>
        <v>1635753.4193362514</v>
      </c>
      <c r="AJ113" s="183">
        <f>IF(H113="Bexar",(AD113/$AJ$1)*'1. UC Assumptions'!$E$42,0)</f>
        <v>0</v>
      </c>
      <c r="AK113" s="183">
        <f>IF(H113="Dallas",(AD113/$AK$1)*'1. UC Assumptions'!$F$42,0)</f>
        <v>0</v>
      </c>
      <c r="AL113" s="183">
        <f>IF(H113="El Paso",(AD113/$AL$1)*'1. UC Assumptions'!$G$42,0)</f>
        <v>0</v>
      </c>
      <c r="AM113" s="183">
        <f>IF(H113="Harris",(AD113/$AM$1)*'1. UC Assumptions'!$H$42,0)</f>
        <v>0</v>
      </c>
      <c r="AN113" s="183">
        <f>IF(H113="Hidalgo",(AD113/$AN$1)*'1. UC Assumptions'!$I$42,0)</f>
        <v>0</v>
      </c>
      <c r="AO113" s="183">
        <f>IF(H113="Jefferson",(AD113/$AO$1)*'1. UC Assumptions'!$J$42,0)</f>
        <v>0</v>
      </c>
      <c r="AP113" s="183">
        <f>IF(H113="Lubbock",(AD113/$AP$1)*'1. UC Assumptions'!$K$42,0)</f>
        <v>0</v>
      </c>
      <c r="AQ113" s="183">
        <f>IF(H113="MRSA Central",(AD113/$AQ$1)*'1. UC Assumptions'!$L$42,0)</f>
        <v>0</v>
      </c>
      <c r="AR113" s="183">
        <f>IF(H113="MRSA Northeast",(AD113/$AR$1)*'1. UC Assumptions'!$M$42,0)</f>
        <v>0</v>
      </c>
      <c r="AS113" s="183">
        <f>IF(H113="MRSA West",(AD113/$AS$1)*'1. UC Assumptions'!$N$42,0)</f>
        <v>0</v>
      </c>
      <c r="AT113" s="183">
        <f>IF(H113="Nueces",(AD113/$AT$1)*'1. UC Assumptions'!$O$42,0)</f>
        <v>0</v>
      </c>
      <c r="AU113" s="183">
        <f>IF(H113="Tarrant",(AD113/$AU$1)*'1. UC Assumptions'!$P$42,0)</f>
        <v>0</v>
      </c>
      <c r="AV113" s="183">
        <f>IF(H113="Travis",(AD113/$AV$1)*'1. UC Assumptions'!$Q$42,0)</f>
        <v>0</v>
      </c>
      <c r="AW113" s="183">
        <f>IF(H113="Bexar",(AC113/$AW$1)*'1. UC Assumptions'!$E$44,0)</f>
        <v>0</v>
      </c>
      <c r="AX113" s="183">
        <f>IF(H113="Dallas",(AC113/$AX$1)*'1. UC Assumptions'!$F$44,0)</f>
        <v>0</v>
      </c>
      <c r="AY113" s="183">
        <f>IF(H113="El Paso",(AC113/$AY$1)*'1. UC Assumptions'!$G$44,0)</f>
        <v>0</v>
      </c>
      <c r="AZ113" s="183">
        <f>IF(H113="Harris",(AC113/$AZ$1)*'1. UC Assumptions'!$H$44,0)</f>
        <v>0</v>
      </c>
      <c r="BA113" s="183">
        <f>IF(H113="Hidalgo",(AC113/$BA$1)*'1. UC Assumptions'!$I$44,0)</f>
        <v>0</v>
      </c>
      <c r="BB113" s="183">
        <f>IF(H113="Jefferson",(AC113/$BB$1)*'1. UC Assumptions'!$J$44,0)</f>
        <v>0</v>
      </c>
      <c r="BC113" s="183">
        <f>IF(H113="Lubbock",(AC113/$BC$1)*'1. UC Assumptions'!$K$44,0)</f>
        <v>0</v>
      </c>
      <c r="BD113" s="183">
        <f>IF(H113="MRSA Central",(AC113/$BD$1)*'1. UC Assumptions'!$L$44,0)</f>
        <v>0</v>
      </c>
      <c r="BE113" s="183">
        <f>IF(H113="MRSA Northeast",(AC113/$BE$1)*'1. UC Assumptions'!$M$44,0)</f>
        <v>0</v>
      </c>
      <c r="BF113" s="183">
        <f>IF(H113="MRSA West",(AC113/$BF$1)*'1. UC Assumptions'!$N$44,0)</f>
        <v>0</v>
      </c>
      <c r="BG113" s="183">
        <f>IF(H113="Nueces",(AC113/$BG$1)*'1. UC Assumptions'!$O$44,0)</f>
        <v>0</v>
      </c>
      <c r="BH113" s="183">
        <f>IF(H113="Tarrant",(AC113/$BH$1)*'1. UC Assumptions'!$P$44,0)</f>
        <v>0</v>
      </c>
      <c r="BI113" s="183">
        <f>IF(H113="Travis",(AC113/$BI$1)*'1. UC Assumptions'!$Q$44,0)</f>
        <v>0</v>
      </c>
      <c r="BJ113" s="183">
        <f t="shared" si="22"/>
        <v>0</v>
      </c>
      <c r="BK113" s="183">
        <f t="shared" si="23"/>
        <v>0</v>
      </c>
      <c r="BL113" s="183">
        <f t="shared" si="24"/>
        <v>2984391.6601565806</v>
      </c>
      <c r="BM113" s="184">
        <f t="shared" si="25"/>
        <v>453808.6401565806</v>
      </c>
      <c r="BN113" s="184">
        <f>ROUNDDOWN(BM113*'1. UC Assumptions'!$C$23,2)</f>
        <v>149756.85</v>
      </c>
      <c r="BO113" s="184"/>
      <c r="BP113" s="185"/>
      <c r="BQ113" s="32"/>
      <c r="BR113" s="32"/>
    </row>
    <row r="114" spans="1:70">
      <c r="A114" s="177" t="s">
        <v>1405</v>
      </c>
      <c r="B114" s="178" t="s">
        <v>399</v>
      </c>
      <c r="C114" s="178" t="s">
        <v>399</v>
      </c>
      <c r="D114" s="179" t="s">
        <v>214</v>
      </c>
      <c r="E114" s="179" t="s">
        <v>149</v>
      </c>
      <c r="F114" s="177"/>
      <c r="G114" s="177" t="s">
        <v>1406</v>
      </c>
      <c r="H114" s="178" t="s">
        <v>7</v>
      </c>
      <c r="I114" s="178" t="s">
        <v>401</v>
      </c>
      <c r="J114" s="131">
        <f>IFERROR(INDEX(#REF!,(MATCH('Old Calc Tab'!C:C,#REF!,0))),0)</f>
        <v>0</v>
      </c>
      <c r="K114" s="131">
        <f>IFERROR(INDEX(#REF!,(MATCH('Old Calc Tab'!$C:$C,#REF!,0))),0)</f>
        <v>0</v>
      </c>
      <c r="L114" s="131"/>
      <c r="M114" s="131">
        <v>2697974.6441072626</v>
      </c>
      <c r="N114" s="131">
        <f>IFERROR(INDEX(#REF!,(MATCH('Old Calc Tab'!$C:$C,#REF!,0))),0)</f>
        <v>0</v>
      </c>
      <c r="O114" s="131">
        <f t="shared" si="13"/>
        <v>0</v>
      </c>
      <c r="P114" s="131">
        <f t="shared" si="14"/>
        <v>2697974.6441072626</v>
      </c>
      <c r="Q114" s="131"/>
      <c r="R114" s="131"/>
      <c r="S114" s="131"/>
      <c r="T114" s="131"/>
      <c r="U114" s="131"/>
      <c r="V114" s="131">
        <v>119521</v>
      </c>
      <c r="W114" s="180">
        <v>0</v>
      </c>
      <c r="X114" s="180">
        <f t="shared" si="15"/>
        <v>2817495.6441072626</v>
      </c>
      <c r="Y114" s="181">
        <f>IF(D114="Physician Group Practice",(X114/$AE$369)*'1. UC Assumptions'!$C$15,IF(OR(E114="Rural Hospital",E114="Hosp - State"),X114,(X114/$X$369)*'1. UC Assumptions'!$C$9))</f>
        <v>2817495.6441072626</v>
      </c>
      <c r="Z114" s="181">
        <f t="shared" si="16"/>
        <v>0</v>
      </c>
      <c r="AA114" s="181">
        <f t="shared" si="17"/>
        <v>0</v>
      </c>
      <c r="AB114" s="182">
        <f t="shared" si="18"/>
        <v>0</v>
      </c>
      <c r="AC114" s="181">
        <f t="shared" si="19"/>
        <v>0</v>
      </c>
      <c r="AD114" s="181">
        <f t="shared" si="20"/>
        <v>2817495.6441072626</v>
      </c>
      <c r="AE114" s="131">
        <v>415395.78</v>
      </c>
      <c r="AF114" s="131">
        <f>AE114*'1. UC Assumptions'!$C$23</f>
        <v>137080.60739999998</v>
      </c>
      <c r="AG114" s="183">
        <f>IF((((X114-W114-AE114)*'1. UC Assumptions'!$C$23)+AF114)&gt;0,((X114-W114-AE114)*'1. UC Assumptions'!$C$23)+AF114,0)</f>
        <v>929773.56255539646</v>
      </c>
      <c r="AH114" s="183">
        <f>IF(((X114-W114-AE114)*'1. UC Assumptions'!$C$23)&gt;0,(X114-W114-AE114)*'1. UC Assumptions'!$C$23,0)</f>
        <v>792692.95515539648</v>
      </c>
      <c r="AI114" s="183">
        <f t="shared" si="21"/>
        <v>929773.56255539646</v>
      </c>
      <c r="AJ114" s="183">
        <f>IF(H114="Bexar",(AD114/$AJ$1)*'1. UC Assumptions'!$E$42,0)</f>
        <v>0</v>
      </c>
      <c r="AK114" s="183">
        <f>IF(H114="Dallas",(AD114/$AK$1)*'1. UC Assumptions'!$F$42,0)</f>
        <v>0</v>
      </c>
      <c r="AL114" s="183">
        <f>IF(H114="El Paso",(AD114/$AL$1)*'1. UC Assumptions'!$G$42,0)</f>
        <v>0</v>
      </c>
      <c r="AM114" s="183">
        <f>IF(H114="Harris",(AD114/$AM$1)*'1. UC Assumptions'!$H$42,0)</f>
        <v>0</v>
      </c>
      <c r="AN114" s="183">
        <f>IF(H114="Hidalgo",(AD114/$AN$1)*'1. UC Assumptions'!$I$42,0)</f>
        <v>0</v>
      </c>
      <c r="AO114" s="183">
        <f>IF(H114="Jefferson",(AD114/$AO$1)*'1. UC Assumptions'!$J$42,0)</f>
        <v>0</v>
      </c>
      <c r="AP114" s="183">
        <f>IF(H114="Lubbock",(AD114/$AP$1)*'1. UC Assumptions'!$K$42,0)</f>
        <v>0</v>
      </c>
      <c r="AQ114" s="183">
        <f>IF(H114="MRSA Central",(AD114/$AQ$1)*'1. UC Assumptions'!$L$42,0)</f>
        <v>0</v>
      </c>
      <c r="AR114" s="183">
        <f>IF(H114="MRSA Northeast",(AD114/$AR$1)*'1. UC Assumptions'!$M$42,0)</f>
        <v>0</v>
      </c>
      <c r="AS114" s="183">
        <f>IF(H114="MRSA West",(AD114/$AS$1)*'1. UC Assumptions'!$N$42,0)</f>
        <v>0</v>
      </c>
      <c r="AT114" s="183">
        <f>IF(H114="Nueces",(AD114/$AT$1)*'1. UC Assumptions'!$O$42,0)</f>
        <v>0</v>
      </c>
      <c r="AU114" s="183">
        <f>IF(H114="Tarrant",(AD114/$AU$1)*'1. UC Assumptions'!$P$42,0)</f>
        <v>0</v>
      </c>
      <c r="AV114" s="183">
        <f>IF(H114="Travis",(AD114/$AV$1)*'1. UC Assumptions'!$Q$42,0)</f>
        <v>0</v>
      </c>
      <c r="AW114" s="183">
        <f>IF(H114="Bexar",(AC114/$AW$1)*'1. UC Assumptions'!$E$44,0)</f>
        <v>0</v>
      </c>
      <c r="AX114" s="183">
        <f>IF(H114="Dallas",(AC114/$AX$1)*'1. UC Assumptions'!$F$44,0)</f>
        <v>0</v>
      </c>
      <c r="AY114" s="183">
        <f>IF(H114="El Paso",(AC114/$AY$1)*'1. UC Assumptions'!$G$44,0)</f>
        <v>0</v>
      </c>
      <c r="AZ114" s="183">
        <f>IF(H114="Harris",(AC114/$AZ$1)*'1. UC Assumptions'!$H$44,0)</f>
        <v>0</v>
      </c>
      <c r="BA114" s="183">
        <f>IF(H114="Hidalgo",(AC114/$BA$1)*'1. UC Assumptions'!$I$44,0)</f>
        <v>0</v>
      </c>
      <c r="BB114" s="183">
        <f>IF(H114="Jefferson",(AC114/$BB$1)*'1. UC Assumptions'!$J$44,0)</f>
        <v>0</v>
      </c>
      <c r="BC114" s="183">
        <f>IF(H114="Lubbock",(AC114/$BC$1)*'1. UC Assumptions'!$K$44,0)</f>
        <v>0</v>
      </c>
      <c r="BD114" s="183">
        <f>IF(H114="MRSA Central",(AC114/$BD$1)*'1. UC Assumptions'!$L$44,0)</f>
        <v>0</v>
      </c>
      <c r="BE114" s="183">
        <f>IF(H114="MRSA Northeast",(AC114/$BE$1)*'1. UC Assumptions'!$M$44,0)</f>
        <v>0</v>
      </c>
      <c r="BF114" s="183">
        <f>IF(H114="MRSA West",(AC114/$BF$1)*'1. UC Assumptions'!$N$44,0)</f>
        <v>0</v>
      </c>
      <c r="BG114" s="183">
        <f>IF(H114="Nueces",(AC114/$BG$1)*'1. UC Assumptions'!$O$44,0)</f>
        <v>0</v>
      </c>
      <c r="BH114" s="183">
        <f>IF(H114="Tarrant",(AC114/$BH$1)*'1. UC Assumptions'!$P$44,0)</f>
        <v>0</v>
      </c>
      <c r="BI114" s="183">
        <f>IF(H114="Travis",(AC114/$BI$1)*'1. UC Assumptions'!$Q$44,0)</f>
        <v>0</v>
      </c>
      <c r="BJ114" s="183">
        <f t="shared" si="22"/>
        <v>0</v>
      </c>
      <c r="BK114" s="183">
        <f t="shared" si="23"/>
        <v>0</v>
      </c>
      <c r="BL114" s="183">
        <f t="shared" si="24"/>
        <v>2817495.6441072626</v>
      </c>
      <c r="BM114" s="184">
        <f t="shared" si="25"/>
        <v>2402099.8641072623</v>
      </c>
      <c r="BN114" s="184">
        <f>ROUNDDOWN(BM114*'1. UC Assumptions'!$C$23,2)</f>
        <v>792692.95</v>
      </c>
      <c r="BO114" s="184"/>
      <c r="BP114" s="185"/>
      <c r="BQ114" s="32"/>
      <c r="BR114" s="32"/>
    </row>
    <row r="115" spans="1:70">
      <c r="A115" s="177" t="s">
        <v>1407</v>
      </c>
      <c r="B115" s="178" t="s">
        <v>425</v>
      </c>
      <c r="C115" s="178" t="s">
        <v>425</v>
      </c>
      <c r="D115" s="179" t="s">
        <v>214</v>
      </c>
      <c r="E115" s="179"/>
      <c r="F115" s="177"/>
      <c r="G115" s="177" t="s">
        <v>1408</v>
      </c>
      <c r="H115" s="178" t="s">
        <v>7</v>
      </c>
      <c r="I115" s="178" t="s">
        <v>7</v>
      </c>
      <c r="J115" s="131">
        <f>IFERROR(INDEX(#REF!,(MATCH('Old Calc Tab'!C:C,#REF!,0))),0)</f>
        <v>0</v>
      </c>
      <c r="K115" s="131">
        <f>IFERROR(INDEX(#REF!,(MATCH('Old Calc Tab'!$C:$C,#REF!,0))),0)</f>
        <v>0</v>
      </c>
      <c r="L115" s="131"/>
      <c r="M115" s="131">
        <v>5210904.0117999995</v>
      </c>
      <c r="N115" s="131">
        <f>IFERROR(INDEX(#REF!,(MATCH('Old Calc Tab'!$C:$C,#REF!,0))),0)</f>
        <v>0</v>
      </c>
      <c r="O115" s="131">
        <f t="shared" si="13"/>
        <v>0</v>
      </c>
      <c r="P115" s="131">
        <f t="shared" si="14"/>
        <v>5210904.0117999995</v>
      </c>
      <c r="Q115" s="131"/>
      <c r="R115" s="131"/>
      <c r="S115" s="131"/>
      <c r="T115" s="131"/>
      <c r="U115" s="131"/>
      <c r="V115" s="131">
        <v>0</v>
      </c>
      <c r="W115" s="180">
        <v>0</v>
      </c>
      <c r="X115" s="180">
        <f t="shared" si="15"/>
        <v>5210904.0117999995</v>
      </c>
      <c r="Y115" s="181">
        <f>IF(D115="Physician Group Practice",(X115/$AE$369)*'1. UC Assumptions'!$C$15,IF(OR(E115="Rural Hospital",E115="Hosp - State"),X115,(X115/$X$369)*'1. UC Assumptions'!$C$9))</f>
        <v>3136250.4614041848</v>
      </c>
      <c r="Z115" s="181">
        <f t="shared" si="16"/>
        <v>0</v>
      </c>
      <c r="AA115" s="181">
        <f t="shared" si="17"/>
        <v>2074653.5503958147</v>
      </c>
      <c r="AB115" s="182">
        <f t="shared" si="18"/>
        <v>1114.1535699396916</v>
      </c>
      <c r="AC115" s="181">
        <f t="shared" si="19"/>
        <v>2075767.7039657545</v>
      </c>
      <c r="AD115" s="181">
        <f t="shared" si="20"/>
        <v>3137364.6149741244</v>
      </c>
      <c r="AE115" s="131">
        <v>5605956.5499999998</v>
      </c>
      <c r="AF115" s="131">
        <f>AE115*'1. UC Assumptions'!$C$23</f>
        <v>1849965.6614999997</v>
      </c>
      <c r="AG115" s="183">
        <f>IF((((X115-W115-AE115)*'1. UC Assumptions'!$C$23)+AF115)&gt;0,((X115-W115-AE115)*'1. UC Assumptions'!$C$23)+AF115,0)</f>
        <v>1719598.3238939997</v>
      </c>
      <c r="AH115" s="183">
        <f>IF(((X115-W115-AE115)*'1. UC Assumptions'!$C$23)&gt;0,(X115-W115-AE115)*'1. UC Assumptions'!$C$23,0)</f>
        <v>0</v>
      </c>
      <c r="AI115" s="183">
        <f t="shared" si="21"/>
        <v>1849965.6614999997</v>
      </c>
      <c r="AJ115" s="183">
        <f>IF(H115="Bexar",(AD115/$AJ$1)*'1. UC Assumptions'!$E$42,0)</f>
        <v>0</v>
      </c>
      <c r="AK115" s="183">
        <f>IF(H115="Dallas",(AD115/$AK$1)*'1. UC Assumptions'!$F$42,0)</f>
        <v>0</v>
      </c>
      <c r="AL115" s="183">
        <f>IF(H115="El Paso",(AD115/$AL$1)*'1. UC Assumptions'!$G$42,0)</f>
        <v>0</v>
      </c>
      <c r="AM115" s="183">
        <f>IF(H115="Harris",(AD115/$AM$1)*'1. UC Assumptions'!$H$42,0)</f>
        <v>0</v>
      </c>
      <c r="AN115" s="183">
        <f>IF(H115="Hidalgo",(AD115/$AN$1)*'1. UC Assumptions'!$I$42,0)</f>
        <v>0</v>
      </c>
      <c r="AO115" s="183">
        <f>IF(H115="Jefferson",(AD115/$AO$1)*'1. UC Assumptions'!$J$42,0)</f>
        <v>0</v>
      </c>
      <c r="AP115" s="183">
        <f>IF(H115="Lubbock",(AD115/$AP$1)*'1. UC Assumptions'!$K$42,0)</f>
        <v>0</v>
      </c>
      <c r="AQ115" s="183">
        <f>IF(H115="MRSA Central",(AD115/$AQ$1)*'1. UC Assumptions'!$L$42,0)</f>
        <v>0</v>
      </c>
      <c r="AR115" s="183">
        <f>IF(H115="MRSA Northeast",(AD115/$AR$1)*'1. UC Assumptions'!$M$42,0)</f>
        <v>0</v>
      </c>
      <c r="AS115" s="183">
        <f>IF(H115="MRSA West",(AD115/$AS$1)*'1. UC Assumptions'!$N$42,0)</f>
        <v>0</v>
      </c>
      <c r="AT115" s="183">
        <f>IF(H115="Nueces",(AD115/$AT$1)*'1. UC Assumptions'!$O$42,0)</f>
        <v>0</v>
      </c>
      <c r="AU115" s="183">
        <f>IF(H115="Tarrant",(AD115/$AU$1)*'1. UC Assumptions'!$P$42,0)</f>
        <v>0</v>
      </c>
      <c r="AV115" s="183">
        <f>IF(H115="Travis",(AD115/$AV$1)*'1. UC Assumptions'!$Q$42,0)</f>
        <v>0</v>
      </c>
      <c r="AW115" s="183">
        <f>IF(H115="Bexar",(AC115/$AW$1)*'1. UC Assumptions'!$E$44,0)</f>
        <v>0</v>
      </c>
      <c r="AX115" s="183">
        <f>IF(H115="Dallas",(AC115/$AX$1)*'1. UC Assumptions'!$F$44,0)</f>
        <v>0</v>
      </c>
      <c r="AY115" s="183">
        <f>IF(H115="El Paso",(AC115/$AY$1)*'1. UC Assumptions'!$G$44,0)</f>
        <v>0</v>
      </c>
      <c r="AZ115" s="183">
        <f>IF(H115="Harris",(AC115/$AZ$1)*'1. UC Assumptions'!$H$44,0)</f>
        <v>0</v>
      </c>
      <c r="BA115" s="183">
        <f>IF(H115="Hidalgo",(AC115/$BA$1)*'1. UC Assumptions'!$I$44,0)</f>
        <v>0</v>
      </c>
      <c r="BB115" s="183">
        <f>IF(H115="Jefferson",(AC115/$BB$1)*'1. UC Assumptions'!$J$44,0)</f>
        <v>0</v>
      </c>
      <c r="BC115" s="183">
        <f>IF(H115="Lubbock",(AC115/$BC$1)*'1. UC Assumptions'!$K$44,0)</f>
        <v>0</v>
      </c>
      <c r="BD115" s="183">
        <f>IF(H115="MRSA Central",(AC115/$BD$1)*'1. UC Assumptions'!$L$44,0)</f>
        <v>0</v>
      </c>
      <c r="BE115" s="183">
        <f>IF(H115="MRSA Northeast",(AC115/$BE$1)*'1. UC Assumptions'!$M$44,0)</f>
        <v>0</v>
      </c>
      <c r="BF115" s="183">
        <f>IF(H115="MRSA West",(AC115/$BF$1)*'1. UC Assumptions'!$N$44,0)</f>
        <v>0</v>
      </c>
      <c r="BG115" s="183">
        <f>IF(H115="Nueces",(AC115/$BG$1)*'1. UC Assumptions'!$O$44,0)</f>
        <v>0</v>
      </c>
      <c r="BH115" s="183">
        <f>IF(H115="Tarrant",(AC115/$BH$1)*'1. UC Assumptions'!$P$44,0)</f>
        <v>0</v>
      </c>
      <c r="BI115" s="183">
        <f>IF(H115="Travis",(AC115/$BI$1)*'1. UC Assumptions'!$Q$44,0)</f>
        <v>0</v>
      </c>
      <c r="BJ115" s="183">
        <f t="shared" si="22"/>
        <v>0</v>
      </c>
      <c r="BK115" s="183">
        <f t="shared" si="23"/>
        <v>0</v>
      </c>
      <c r="BL115" s="183">
        <f t="shared" si="24"/>
        <v>3137364.6149741244</v>
      </c>
      <c r="BM115" s="184">
        <f t="shared" si="25"/>
        <v>-2468591.9350258755</v>
      </c>
      <c r="BN115" s="184">
        <f>ROUNDDOWN(BM115*'1. UC Assumptions'!$C$23,2)</f>
        <v>-814635.33</v>
      </c>
      <c r="BO115" s="184"/>
      <c r="BP115" s="185"/>
      <c r="BQ115" s="32"/>
      <c r="BR115" s="32"/>
    </row>
    <row r="116" spans="1:70">
      <c r="A116" s="177" t="s">
        <v>1409</v>
      </c>
      <c r="B116" s="177" t="s">
        <v>460</v>
      </c>
      <c r="C116" s="178" t="s">
        <v>460</v>
      </c>
      <c r="D116" s="179" t="s">
        <v>214</v>
      </c>
      <c r="E116" s="179"/>
      <c r="F116" s="177"/>
      <c r="G116" s="177" t="s">
        <v>1410</v>
      </c>
      <c r="H116" s="178" t="s">
        <v>7</v>
      </c>
      <c r="I116" s="178" t="s">
        <v>7</v>
      </c>
      <c r="J116" s="131">
        <f>IFERROR(INDEX(#REF!,(MATCH('Old Calc Tab'!C:C,#REF!,0))),0)</f>
        <v>0</v>
      </c>
      <c r="K116" s="131">
        <f>IFERROR(INDEX(#REF!,(MATCH('Old Calc Tab'!$C:$C,#REF!,0))),0)</f>
        <v>0</v>
      </c>
      <c r="L116" s="131"/>
      <c r="M116" s="131">
        <v>16218349.94713752</v>
      </c>
      <c r="N116" s="131">
        <f>IFERROR(INDEX(#REF!,(MATCH('Old Calc Tab'!$C:$C,#REF!,0))),0)</f>
        <v>0</v>
      </c>
      <c r="O116" s="131">
        <f t="shared" si="13"/>
        <v>0</v>
      </c>
      <c r="P116" s="131">
        <f t="shared" si="14"/>
        <v>16218349.94713752</v>
      </c>
      <c r="Q116" s="131"/>
      <c r="R116" s="131"/>
      <c r="S116" s="131"/>
      <c r="T116" s="131"/>
      <c r="U116" s="131"/>
      <c r="V116" s="131">
        <v>0</v>
      </c>
      <c r="W116" s="180">
        <v>0</v>
      </c>
      <c r="X116" s="180">
        <f t="shared" si="15"/>
        <v>16218349.94713752</v>
      </c>
      <c r="Y116" s="181">
        <f>IF(D116="Physician Group Practice",(X116/$AE$369)*'1. UC Assumptions'!$C$15,IF(OR(E116="Rural Hospital",E116="Hosp - State"),X116,(X116/$X$369)*'1. UC Assumptions'!$C$9))</f>
        <v>9761225.1904356964</v>
      </c>
      <c r="Z116" s="181">
        <f t="shared" si="16"/>
        <v>0</v>
      </c>
      <c r="AA116" s="181">
        <f t="shared" si="17"/>
        <v>6457124.7567018233</v>
      </c>
      <c r="AB116" s="182">
        <f t="shared" si="18"/>
        <v>3467.6770961844409</v>
      </c>
      <c r="AC116" s="181">
        <f t="shared" si="19"/>
        <v>6460592.4337980077</v>
      </c>
      <c r="AD116" s="181">
        <f t="shared" si="20"/>
        <v>9764692.8675318807</v>
      </c>
      <c r="AE116" s="131">
        <v>4119853.54</v>
      </c>
      <c r="AF116" s="131">
        <f>AE116*'1. UC Assumptions'!$C$23</f>
        <v>1359551.6682</v>
      </c>
      <c r="AG116" s="183">
        <f>IF((((X116-W116-AE116)*'1. UC Assumptions'!$C$23)+AF116)&gt;0,((X116-W116-AE116)*'1. UC Assumptions'!$C$23)+AF116,0)</f>
        <v>5352055.482555381</v>
      </c>
      <c r="AH116" s="183">
        <f>IF(((X116-W116-AE116)*'1. UC Assumptions'!$C$23)&gt;0,(X116-W116-AE116)*'1. UC Assumptions'!$C$23,0)</f>
        <v>3992503.8143553813</v>
      </c>
      <c r="AI116" s="183">
        <f t="shared" si="21"/>
        <v>5352055.482555381</v>
      </c>
      <c r="AJ116" s="183">
        <f>IF(H116="Bexar",(AD116/$AJ$1)*'1. UC Assumptions'!$E$42,0)</f>
        <v>0</v>
      </c>
      <c r="AK116" s="183">
        <f>IF(H116="Dallas",(AD116/$AK$1)*'1. UC Assumptions'!$F$42,0)</f>
        <v>0</v>
      </c>
      <c r="AL116" s="183">
        <f>IF(H116="El Paso",(AD116/$AL$1)*'1. UC Assumptions'!$G$42,0)</f>
        <v>0</v>
      </c>
      <c r="AM116" s="183">
        <f>IF(H116="Harris",(AD116/$AM$1)*'1. UC Assumptions'!$H$42,0)</f>
        <v>0</v>
      </c>
      <c r="AN116" s="183">
        <f>IF(H116="Hidalgo",(AD116/$AN$1)*'1. UC Assumptions'!$I$42,0)</f>
        <v>0</v>
      </c>
      <c r="AO116" s="183">
        <f>IF(H116="Jefferson",(AD116/$AO$1)*'1. UC Assumptions'!$J$42,0)</f>
        <v>0</v>
      </c>
      <c r="AP116" s="183">
        <f>IF(H116="Lubbock",(AD116/$AP$1)*'1. UC Assumptions'!$K$42,0)</f>
        <v>0</v>
      </c>
      <c r="AQ116" s="183">
        <f>IF(H116="MRSA Central",(AD116/$AQ$1)*'1. UC Assumptions'!$L$42,0)</f>
        <v>0</v>
      </c>
      <c r="AR116" s="183">
        <f>IF(H116="MRSA Northeast",(AD116/$AR$1)*'1. UC Assumptions'!$M$42,0)</f>
        <v>0</v>
      </c>
      <c r="AS116" s="183">
        <f>IF(H116="MRSA West",(AD116/$AS$1)*'1. UC Assumptions'!$N$42,0)</f>
        <v>0</v>
      </c>
      <c r="AT116" s="183">
        <f>IF(H116="Nueces",(AD116/$AT$1)*'1. UC Assumptions'!$O$42,0)</f>
        <v>0</v>
      </c>
      <c r="AU116" s="183">
        <f>IF(H116="Tarrant",(AD116/$AU$1)*'1. UC Assumptions'!$P$42,0)</f>
        <v>0</v>
      </c>
      <c r="AV116" s="183">
        <f>IF(H116="Travis",(AD116/$AV$1)*'1. UC Assumptions'!$Q$42,0)</f>
        <v>0</v>
      </c>
      <c r="AW116" s="183">
        <f>IF(H116="Bexar",(AC116/$AW$1)*'1. UC Assumptions'!$E$44,0)</f>
        <v>0</v>
      </c>
      <c r="AX116" s="183">
        <f>IF(H116="Dallas",(AC116/$AX$1)*'1. UC Assumptions'!$F$44,0)</f>
        <v>0</v>
      </c>
      <c r="AY116" s="183">
        <f>IF(H116="El Paso",(AC116/$AY$1)*'1. UC Assumptions'!$G$44,0)</f>
        <v>0</v>
      </c>
      <c r="AZ116" s="183">
        <f>IF(H116="Harris",(AC116/$AZ$1)*'1. UC Assumptions'!$H$44,0)</f>
        <v>0</v>
      </c>
      <c r="BA116" s="183">
        <f>IF(H116="Hidalgo",(AC116/$BA$1)*'1. UC Assumptions'!$I$44,0)</f>
        <v>0</v>
      </c>
      <c r="BB116" s="183">
        <f>IF(H116="Jefferson",(AC116/$BB$1)*'1. UC Assumptions'!$J$44,0)</f>
        <v>0</v>
      </c>
      <c r="BC116" s="183">
        <f>IF(H116="Lubbock",(AC116/$BC$1)*'1. UC Assumptions'!$K$44,0)</f>
        <v>0</v>
      </c>
      <c r="BD116" s="183">
        <f>IF(H116="MRSA Central",(AC116/$BD$1)*'1. UC Assumptions'!$L$44,0)</f>
        <v>0</v>
      </c>
      <c r="BE116" s="183">
        <f>IF(H116="MRSA Northeast",(AC116/$BE$1)*'1. UC Assumptions'!$M$44,0)</f>
        <v>0</v>
      </c>
      <c r="BF116" s="183">
        <f>IF(H116="MRSA West",(AC116/$BF$1)*'1. UC Assumptions'!$N$44,0)</f>
        <v>0</v>
      </c>
      <c r="BG116" s="183">
        <f>IF(H116="Nueces",(AC116/$BG$1)*'1. UC Assumptions'!$O$44,0)</f>
        <v>0</v>
      </c>
      <c r="BH116" s="183">
        <f>IF(H116="Tarrant",(AC116/$BH$1)*'1. UC Assumptions'!$P$44,0)</f>
        <v>0</v>
      </c>
      <c r="BI116" s="183">
        <f>IF(H116="Travis",(AC116/$BI$1)*'1. UC Assumptions'!$Q$44,0)</f>
        <v>0</v>
      </c>
      <c r="BJ116" s="183">
        <f t="shared" si="22"/>
        <v>0</v>
      </c>
      <c r="BK116" s="183">
        <f t="shared" si="23"/>
        <v>0</v>
      </c>
      <c r="BL116" s="183">
        <f t="shared" si="24"/>
        <v>9764692.8675318807</v>
      </c>
      <c r="BM116" s="184">
        <f t="shared" si="25"/>
        <v>5644839.3275318807</v>
      </c>
      <c r="BN116" s="184">
        <f>ROUNDDOWN(BM116*'1. UC Assumptions'!$C$23,2)</f>
        <v>1862796.97</v>
      </c>
      <c r="BO116" s="184"/>
      <c r="BP116" s="185"/>
      <c r="BQ116" s="32"/>
      <c r="BR116" s="32"/>
    </row>
    <row r="117" spans="1:70">
      <c r="A117" s="177" t="s">
        <v>1411</v>
      </c>
      <c r="B117" s="178" t="s">
        <v>653</v>
      </c>
      <c r="C117" s="178" t="s">
        <v>653</v>
      </c>
      <c r="D117" s="179" t="s">
        <v>214</v>
      </c>
      <c r="E117" s="179"/>
      <c r="F117" s="177"/>
      <c r="G117" s="177" t="s">
        <v>654</v>
      </c>
      <c r="H117" s="178" t="s">
        <v>7</v>
      </c>
      <c r="I117" s="178" t="s">
        <v>7</v>
      </c>
      <c r="J117" s="131">
        <f>IFERROR(INDEX(#REF!,(MATCH('Old Calc Tab'!C:C,#REF!,0))),0)</f>
        <v>0</v>
      </c>
      <c r="K117" s="131">
        <f>IFERROR(INDEX(#REF!,(MATCH('Old Calc Tab'!$C:$C,#REF!,0))),0)</f>
        <v>0</v>
      </c>
      <c r="L117" s="131"/>
      <c r="M117" s="131">
        <v>4362801.2226</v>
      </c>
      <c r="N117" s="131">
        <f>IFERROR(INDEX(#REF!,(MATCH('Old Calc Tab'!$C:$C,#REF!,0))),0)</f>
        <v>0</v>
      </c>
      <c r="O117" s="131">
        <f t="shared" si="13"/>
        <v>0</v>
      </c>
      <c r="P117" s="131">
        <f t="shared" si="14"/>
        <v>4362801.2226</v>
      </c>
      <c r="Q117" s="131"/>
      <c r="R117" s="131"/>
      <c r="S117" s="131"/>
      <c r="T117" s="131"/>
      <c r="U117" s="131"/>
      <c r="V117" s="131">
        <v>362418</v>
      </c>
      <c r="W117" s="180">
        <v>0</v>
      </c>
      <c r="X117" s="180">
        <f t="shared" si="15"/>
        <v>4725219.2226</v>
      </c>
      <c r="Y117" s="181">
        <f>IF(D117="Physician Group Practice",(X117/$AE$369)*'1. UC Assumptions'!$C$15,IF(OR(E117="Rural Hospital",E117="Hosp - State"),X117,(X117/$X$369)*'1. UC Assumptions'!$C$9))</f>
        <v>2843934.7440591394</v>
      </c>
      <c r="Z117" s="181">
        <f t="shared" si="16"/>
        <v>0</v>
      </c>
      <c r="AA117" s="181">
        <f t="shared" si="17"/>
        <v>1881284.4785408606</v>
      </c>
      <c r="AB117" s="182">
        <f t="shared" si="18"/>
        <v>1010.3083560330042</v>
      </c>
      <c r="AC117" s="181">
        <f t="shared" si="19"/>
        <v>1882294.7868968935</v>
      </c>
      <c r="AD117" s="181">
        <f t="shared" si="20"/>
        <v>2844945.0524151726</v>
      </c>
      <c r="AE117" s="131">
        <v>4152524.42</v>
      </c>
      <c r="AF117" s="131">
        <f>AE117*'1. UC Assumptions'!$C$23</f>
        <v>1370333.0585999999</v>
      </c>
      <c r="AG117" s="183">
        <f>IF((((X117-W117-AE117)*'1. UC Assumptions'!$C$23)+AF117)&gt;0,((X117-W117-AE117)*'1. UC Assumptions'!$C$23)+AF117,0)</f>
        <v>1559322.3434579999</v>
      </c>
      <c r="AH117" s="183">
        <f>IF(((X117-W117-AE117)*'1. UC Assumptions'!$C$23)&gt;0,(X117-W117-AE117)*'1. UC Assumptions'!$C$23,0)</f>
        <v>188989.284858</v>
      </c>
      <c r="AI117" s="183">
        <f t="shared" si="21"/>
        <v>1559322.3434579999</v>
      </c>
      <c r="AJ117" s="183">
        <f>IF(H117="Bexar",(AD117/$AJ$1)*'1. UC Assumptions'!$E$42,0)</f>
        <v>0</v>
      </c>
      <c r="AK117" s="183">
        <f>IF(H117="Dallas",(AD117/$AK$1)*'1. UC Assumptions'!$F$42,0)</f>
        <v>0</v>
      </c>
      <c r="AL117" s="183">
        <f>IF(H117="El Paso",(AD117/$AL$1)*'1. UC Assumptions'!$G$42,0)</f>
        <v>0</v>
      </c>
      <c r="AM117" s="183">
        <f>IF(H117="Harris",(AD117/$AM$1)*'1. UC Assumptions'!$H$42,0)</f>
        <v>0</v>
      </c>
      <c r="AN117" s="183">
        <f>IF(H117="Hidalgo",(AD117/$AN$1)*'1. UC Assumptions'!$I$42,0)</f>
        <v>0</v>
      </c>
      <c r="AO117" s="183">
        <f>IF(H117="Jefferson",(AD117/$AO$1)*'1. UC Assumptions'!$J$42,0)</f>
        <v>0</v>
      </c>
      <c r="AP117" s="183">
        <f>IF(H117="Lubbock",(AD117/$AP$1)*'1. UC Assumptions'!$K$42,0)</f>
        <v>0</v>
      </c>
      <c r="AQ117" s="183">
        <f>IF(H117="MRSA Central",(AD117/$AQ$1)*'1. UC Assumptions'!$L$42,0)</f>
        <v>0</v>
      </c>
      <c r="AR117" s="183">
        <f>IF(H117="MRSA Northeast",(AD117/$AR$1)*'1. UC Assumptions'!$M$42,0)</f>
        <v>0</v>
      </c>
      <c r="AS117" s="183">
        <f>IF(H117="MRSA West",(AD117/$AS$1)*'1. UC Assumptions'!$N$42,0)</f>
        <v>0</v>
      </c>
      <c r="AT117" s="183">
        <f>IF(H117="Nueces",(AD117/$AT$1)*'1. UC Assumptions'!$O$42,0)</f>
        <v>0</v>
      </c>
      <c r="AU117" s="183">
        <f>IF(H117="Tarrant",(AD117/$AU$1)*'1. UC Assumptions'!$P$42,0)</f>
        <v>0</v>
      </c>
      <c r="AV117" s="183">
        <f>IF(H117="Travis",(AD117/$AV$1)*'1. UC Assumptions'!$Q$42,0)</f>
        <v>0</v>
      </c>
      <c r="AW117" s="183">
        <f>IF(H117="Bexar",(AC117/$AW$1)*'1. UC Assumptions'!$E$44,0)</f>
        <v>0</v>
      </c>
      <c r="AX117" s="183">
        <f>IF(H117="Dallas",(AC117/$AX$1)*'1. UC Assumptions'!$F$44,0)</f>
        <v>0</v>
      </c>
      <c r="AY117" s="183">
        <f>IF(H117="El Paso",(AC117/$AY$1)*'1. UC Assumptions'!$G$44,0)</f>
        <v>0</v>
      </c>
      <c r="AZ117" s="183">
        <f>IF(H117="Harris",(AC117/$AZ$1)*'1. UC Assumptions'!$H$44,0)</f>
        <v>0</v>
      </c>
      <c r="BA117" s="183">
        <f>IF(H117="Hidalgo",(AC117/$BA$1)*'1. UC Assumptions'!$I$44,0)</f>
        <v>0</v>
      </c>
      <c r="BB117" s="183">
        <f>IF(H117="Jefferson",(AC117/$BB$1)*'1. UC Assumptions'!$J$44,0)</f>
        <v>0</v>
      </c>
      <c r="BC117" s="183">
        <f>IF(H117="Lubbock",(AC117/$BC$1)*'1. UC Assumptions'!$K$44,0)</f>
        <v>0</v>
      </c>
      <c r="BD117" s="183">
        <f>IF(H117="MRSA Central",(AC117/$BD$1)*'1. UC Assumptions'!$L$44,0)</f>
        <v>0</v>
      </c>
      <c r="BE117" s="183">
        <f>IF(H117="MRSA Northeast",(AC117/$BE$1)*'1. UC Assumptions'!$M$44,0)</f>
        <v>0</v>
      </c>
      <c r="BF117" s="183">
        <f>IF(H117="MRSA West",(AC117/$BF$1)*'1. UC Assumptions'!$N$44,0)</f>
        <v>0</v>
      </c>
      <c r="BG117" s="183">
        <f>IF(H117="Nueces",(AC117/$BG$1)*'1. UC Assumptions'!$O$44,0)</f>
        <v>0</v>
      </c>
      <c r="BH117" s="183">
        <f>IF(H117="Tarrant",(AC117/$BH$1)*'1. UC Assumptions'!$P$44,0)</f>
        <v>0</v>
      </c>
      <c r="BI117" s="183">
        <f>IF(H117="Travis",(AC117/$BI$1)*'1. UC Assumptions'!$Q$44,0)</f>
        <v>0</v>
      </c>
      <c r="BJ117" s="183">
        <f t="shared" si="22"/>
        <v>0</v>
      </c>
      <c r="BK117" s="183">
        <f t="shared" si="23"/>
        <v>0</v>
      </c>
      <c r="BL117" s="183">
        <f t="shared" si="24"/>
        <v>2844945.0524151726</v>
      </c>
      <c r="BM117" s="184">
        <f t="shared" si="25"/>
        <v>-1307579.3675848274</v>
      </c>
      <c r="BN117" s="184">
        <f>ROUNDDOWN(BM117*'1. UC Assumptions'!$C$23,2)</f>
        <v>-431501.19</v>
      </c>
      <c r="BO117" s="184"/>
      <c r="BP117" s="185"/>
      <c r="BQ117" s="32"/>
      <c r="BR117" s="32"/>
    </row>
    <row r="118" spans="1:70">
      <c r="A118" s="177" t="s">
        <v>1412</v>
      </c>
      <c r="B118" s="177" t="s">
        <v>696</v>
      </c>
      <c r="C118" s="178" t="s">
        <v>696</v>
      </c>
      <c r="D118" s="179" t="s">
        <v>208</v>
      </c>
      <c r="E118" s="179" t="s">
        <v>149</v>
      </c>
      <c r="F118" s="177"/>
      <c r="G118" s="177" t="s">
        <v>1413</v>
      </c>
      <c r="H118" s="178" t="s">
        <v>7</v>
      </c>
      <c r="I118" s="178" t="s">
        <v>698</v>
      </c>
      <c r="J118" s="131">
        <f>IFERROR(INDEX(#REF!,(MATCH('Old Calc Tab'!C:C,#REF!,0))),0)</f>
        <v>0</v>
      </c>
      <c r="K118" s="131">
        <f>IFERROR(INDEX(#REF!,(MATCH('Old Calc Tab'!$C:$C,#REF!,0))),0)</f>
        <v>0</v>
      </c>
      <c r="L118" s="131"/>
      <c r="M118" s="131">
        <v>357805.10000000003</v>
      </c>
      <c r="N118" s="131">
        <f>IFERROR(INDEX(#REF!,(MATCH('Old Calc Tab'!$C:$C,#REF!,0))),0)</f>
        <v>0</v>
      </c>
      <c r="O118" s="131">
        <f t="shared" si="13"/>
        <v>0</v>
      </c>
      <c r="P118" s="131">
        <f t="shared" si="14"/>
        <v>357805.10000000003</v>
      </c>
      <c r="Q118" s="131"/>
      <c r="R118" s="131"/>
      <c r="S118" s="131"/>
      <c r="T118" s="131"/>
      <c r="U118" s="131"/>
      <c r="V118" s="131">
        <v>0</v>
      </c>
      <c r="W118" s="180">
        <v>0</v>
      </c>
      <c r="X118" s="180">
        <f t="shared" si="15"/>
        <v>357805.10000000003</v>
      </c>
      <c r="Y118" s="181">
        <f>IF(D118="Physician Group Practice",(X118/$AE$369)*'1. UC Assumptions'!$C$15,IF(OR(E118="Rural Hospital",E118="Hosp - State"),X118,(X118/$X$369)*'1. UC Assumptions'!$C$9))</f>
        <v>357805.10000000003</v>
      </c>
      <c r="Z118" s="181">
        <f t="shared" si="16"/>
        <v>0</v>
      </c>
      <c r="AA118" s="181">
        <f t="shared" si="17"/>
        <v>0</v>
      </c>
      <c r="AB118" s="182">
        <f t="shared" si="18"/>
        <v>0</v>
      </c>
      <c r="AC118" s="181">
        <f t="shared" si="19"/>
        <v>0</v>
      </c>
      <c r="AD118" s="181">
        <f t="shared" si="20"/>
        <v>357805.10000000003</v>
      </c>
      <c r="AE118" s="131">
        <v>899626.77</v>
      </c>
      <c r="AF118" s="131">
        <f>AE118*'1. UC Assumptions'!$C$23</f>
        <v>296876.83409999998</v>
      </c>
      <c r="AG118" s="183">
        <f>IF((((X118-W118-AE118)*'1. UC Assumptions'!$C$23)+AF118)&gt;0,((X118-W118-AE118)*'1. UC Assumptions'!$C$23)+AF118,0)</f>
        <v>118075.68300000002</v>
      </c>
      <c r="AH118" s="183">
        <f>IF(((X118-W118-AE118)*'1. UC Assumptions'!$C$23)&gt;0,(X118-W118-AE118)*'1. UC Assumptions'!$C$23,0)</f>
        <v>0</v>
      </c>
      <c r="AI118" s="183">
        <f t="shared" si="21"/>
        <v>296876.83409999998</v>
      </c>
      <c r="AJ118" s="183">
        <f>IF(H118="Bexar",(AD118/$AJ$1)*'1. UC Assumptions'!$E$42,0)</f>
        <v>0</v>
      </c>
      <c r="AK118" s="183">
        <f>IF(H118="Dallas",(AD118/$AK$1)*'1. UC Assumptions'!$F$42,0)</f>
        <v>0</v>
      </c>
      <c r="AL118" s="183">
        <f>IF(H118="El Paso",(AD118/$AL$1)*'1. UC Assumptions'!$G$42,0)</f>
        <v>0</v>
      </c>
      <c r="AM118" s="183">
        <f>IF(H118="Harris",(AD118/$AM$1)*'1. UC Assumptions'!$H$42,0)</f>
        <v>0</v>
      </c>
      <c r="AN118" s="183">
        <f>IF(H118="Hidalgo",(AD118/$AN$1)*'1. UC Assumptions'!$I$42,0)</f>
        <v>0</v>
      </c>
      <c r="AO118" s="183">
        <f>IF(H118="Jefferson",(AD118/$AO$1)*'1. UC Assumptions'!$J$42,0)</f>
        <v>0</v>
      </c>
      <c r="AP118" s="183">
        <f>IF(H118="Lubbock",(AD118/$AP$1)*'1. UC Assumptions'!$K$42,0)</f>
        <v>0</v>
      </c>
      <c r="AQ118" s="183">
        <f>IF(H118="MRSA Central",(AD118/$AQ$1)*'1. UC Assumptions'!$L$42,0)</f>
        <v>0</v>
      </c>
      <c r="AR118" s="183">
        <f>IF(H118="MRSA Northeast",(AD118/$AR$1)*'1. UC Assumptions'!$M$42,0)</f>
        <v>0</v>
      </c>
      <c r="AS118" s="183">
        <f>IF(H118="MRSA West",(AD118/$AS$1)*'1. UC Assumptions'!$N$42,0)</f>
        <v>0</v>
      </c>
      <c r="AT118" s="183">
        <f>IF(H118="Nueces",(AD118/$AT$1)*'1. UC Assumptions'!$O$42,0)</f>
        <v>0</v>
      </c>
      <c r="AU118" s="183">
        <f>IF(H118="Tarrant",(AD118/$AU$1)*'1. UC Assumptions'!$P$42,0)</f>
        <v>0</v>
      </c>
      <c r="AV118" s="183">
        <f>IF(H118="Travis",(AD118/$AV$1)*'1. UC Assumptions'!$Q$42,0)</f>
        <v>0</v>
      </c>
      <c r="AW118" s="183">
        <f>IF(H118="Bexar",(AC118/$AW$1)*'1. UC Assumptions'!$E$44,0)</f>
        <v>0</v>
      </c>
      <c r="AX118" s="183">
        <f>IF(H118="Dallas",(AC118/$AX$1)*'1. UC Assumptions'!$F$44,0)</f>
        <v>0</v>
      </c>
      <c r="AY118" s="183">
        <f>IF(H118="El Paso",(AC118/$AY$1)*'1. UC Assumptions'!$G$44,0)</f>
        <v>0</v>
      </c>
      <c r="AZ118" s="183">
        <f>IF(H118="Harris",(AC118/$AZ$1)*'1. UC Assumptions'!$H$44,0)</f>
        <v>0</v>
      </c>
      <c r="BA118" s="183">
        <f>IF(H118="Hidalgo",(AC118/$BA$1)*'1. UC Assumptions'!$I$44,0)</f>
        <v>0</v>
      </c>
      <c r="BB118" s="183">
        <f>IF(H118="Jefferson",(AC118/$BB$1)*'1. UC Assumptions'!$J$44,0)</f>
        <v>0</v>
      </c>
      <c r="BC118" s="183">
        <f>IF(H118="Lubbock",(AC118/$BC$1)*'1. UC Assumptions'!$K$44,0)</f>
        <v>0</v>
      </c>
      <c r="BD118" s="183">
        <f>IF(H118="MRSA Central",(AC118/$BD$1)*'1. UC Assumptions'!$L$44,0)</f>
        <v>0</v>
      </c>
      <c r="BE118" s="183">
        <f>IF(H118="MRSA Northeast",(AC118/$BE$1)*'1. UC Assumptions'!$M$44,0)</f>
        <v>0</v>
      </c>
      <c r="BF118" s="183">
        <f>IF(H118="MRSA West",(AC118/$BF$1)*'1. UC Assumptions'!$N$44,0)</f>
        <v>0</v>
      </c>
      <c r="BG118" s="183">
        <f>IF(H118="Nueces",(AC118/$BG$1)*'1. UC Assumptions'!$O$44,0)</f>
        <v>0</v>
      </c>
      <c r="BH118" s="183">
        <f>IF(H118="Tarrant",(AC118/$BH$1)*'1. UC Assumptions'!$P$44,0)</f>
        <v>0</v>
      </c>
      <c r="BI118" s="183">
        <f>IF(H118="Travis",(AC118/$BI$1)*'1. UC Assumptions'!$Q$44,0)</f>
        <v>0</v>
      </c>
      <c r="BJ118" s="183">
        <f t="shared" si="22"/>
        <v>0</v>
      </c>
      <c r="BK118" s="183">
        <f t="shared" si="23"/>
        <v>0</v>
      </c>
      <c r="BL118" s="183">
        <f t="shared" si="24"/>
        <v>357805.10000000003</v>
      </c>
      <c r="BM118" s="184">
        <f t="shared" si="25"/>
        <v>-541821.66999999993</v>
      </c>
      <c r="BN118" s="184">
        <f>ROUNDDOWN(BM118*'1. UC Assumptions'!$C$23,2)</f>
        <v>-178801.15</v>
      </c>
      <c r="BO118" s="184"/>
      <c r="BP118" s="185"/>
      <c r="BQ118" s="32"/>
      <c r="BR118" s="32"/>
    </row>
    <row r="119" spans="1:70">
      <c r="A119" s="177" t="s">
        <v>1414</v>
      </c>
      <c r="B119" s="177" t="s">
        <v>802</v>
      </c>
      <c r="C119" s="178" t="s">
        <v>802</v>
      </c>
      <c r="D119" s="179" t="s">
        <v>214</v>
      </c>
      <c r="E119" s="179"/>
      <c r="F119" s="177"/>
      <c r="G119" s="177" t="s">
        <v>1415</v>
      </c>
      <c r="H119" s="178" t="s">
        <v>7</v>
      </c>
      <c r="I119" s="178" t="s">
        <v>237</v>
      </c>
      <c r="J119" s="131">
        <f>IFERROR(INDEX(#REF!,(MATCH('Old Calc Tab'!C:C,#REF!,0))),0)</f>
        <v>0</v>
      </c>
      <c r="K119" s="131">
        <f>IFERROR(INDEX(#REF!,(MATCH('Old Calc Tab'!$C:$C,#REF!,0))),0)</f>
        <v>0</v>
      </c>
      <c r="L119" s="131"/>
      <c r="M119" s="131">
        <v>3423130.69</v>
      </c>
      <c r="N119" s="131">
        <f>IFERROR(INDEX(#REF!,(MATCH('Old Calc Tab'!$C:$C,#REF!,0))),0)</f>
        <v>0</v>
      </c>
      <c r="O119" s="131">
        <f t="shared" si="13"/>
        <v>0</v>
      </c>
      <c r="P119" s="131">
        <f t="shared" si="14"/>
        <v>3423130.69</v>
      </c>
      <c r="Q119" s="131"/>
      <c r="R119" s="131"/>
      <c r="S119" s="131"/>
      <c r="T119" s="131"/>
      <c r="U119" s="131"/>
      <c r="V119" s="131">
        <v>1165025</v>
      </c>
      <c r="W119" s="180">
        <v>0</v>
      </c>
      <c r="X119" s="180">
        <f t="shared" si="15"/>
        <v>4588155.6899999995</v>
      </c>
      <c r="Y119" s="181">
        <f>IF(D119="Physician Group Practice",(X119/$AE$369)*'1. UC Assumptions'!$C$15,IF(OR(E119="Rural Hospital",E119="Hosp - State"),X119,(X119/$X$369)*'1. UC Assumptions'!$C$9))</f>
        <v>2761441.2714515044</v>
      </c>
      <c r="Z119" s="181">
        <f t="shared" si="16"/>
        <v>0</v>
      </c>
      <c r="AA119" s="181">
        <f t="shared" si="17"/>
        <v>1826714.418548495</v>
      </c>
      <c r="AB119" s="182">
        <f t="shared" si="18"/>
        <v>981.00253427750317</v>
      </c>
      <c r="AC119" s="181">
        <f t="shared" si="19"/>
        <v>1827695.4210827725</v>
      </c>
      <c r="AD119" s="181">
        <f t="shared" si="20"/>
        <v>2762422.2739857817</v>
      </c>
      <c r="AE119" s="131">
        <v>2347801.12</v>
      </c>
      <c r="AF119" s="131">
        <f>AE119*'1. UC Assumptions'!$C$23</f>
        <v>774774.36959999998</v>
      </c>
      <c r="AG119" s="183">
        <f>IF((((X119-W119-AE119)*'1. UC Assumptions'!$C$23)+AF119)&gt;0,((X119-W119-AE119)*'1. UC Assumptions'!$C$23)+AF119,0)</f>
        <v>1514091.3776999996</v>
      </c>
      <c r="AH119" s="183">
        <f>IF(((X119-W119-AE119)*'1. UC Assumptions'!$C$23)&gt;0,(X119-W119-AE119)*'1. UC Assumptions'!$C$23,0)</f>
        <v>739317.00809999974</v>
      </c>
      <c r="AI119" s="183">
        <f t="shared" si="21"/>
        <v>1514091.3776999996</v>
      </c>
      <c r="AJ119" s="183">
        <f>IF(H119="Bexar",(AD119/$AJ$1)*'1. UC Assumptions'!$E$42,0)</f>
        <v>0</v>
      </c>
      <c r="AK119" s="183">
        <f>IF(H119="Dallas",(AD119/$AK$1)*'1. UC Assumptions'!$F$42,0)</f>
        <v>0</v>
      </c>
      <c r="AL119" s="183">
        <f>IF(H119="El Paso",(AD119/$AL$1)*'1. UC Assumptions'!$G$42,0)</f>
        <v>0</v>
      </c>
      <c r="AM119" s="183">
        <f>IF(H119="Harris",(AD119/$AM$1)*'1. UC Assumptions'!$H$42,0)</f>
        <v>0</v>
      </c>
      <c r="AN119" s="183">
        <f>IF(H119="Hidalgo",(AD119/$AN$1)*'1. UC Assumptions'!$I$42,0)</f>
        <v>0</v>
      </c>
      <c r="AO119" s="183">
        <f>IF(H119="Jefferson",(AD119/$AO$1)*'1. UC Assumptions'!$J$42,0)</f>
        <v>0</v>
      </c>
      <c r="AP119" s="183">
        <f>IF(H119="Lubbock",(AD119/$AP$1)*'1. UC Assumptions'!$K$42,0)</f>
        <v>0</v>
      </c>
      <c r="AQ119" s="183">
        <f>IF(H119="MRSA Central",(AD119/$AQ$1)*'1. UC Assumptions'!$L$42,0)</f>
        <v>0</v>
      </c>
      <c r="AR119" s="183">
        <f>IF(H119="MRSA Northeast",(AD119/$AR$1)*'1. UC Assumptions'!$M$42,0)</f>
        <v>0</v>
      </c>
      <c r="AS119" s="183">
        <f>IF(H119="MRSA West",(AD119/$AS$1)*'1. UC Assumptions'!$N$42,0)</f>
        <v>0</v>
      </c>
      <c r="AT119" s="183">
        <f>IF(H119="Nueces",(AD119/$AT$1)*'1. UC Assumptions'!$O$42,0)</f>
        <v>0</v>
      </c>
      <c r="AU119" s="183">
        <f>IF(H119="Tarrant",(AD119/$AU$1)*'1. UC Assumptions'!$P$42,0)</f>
        <v>0</v>
      </c>
      <c r="AV119" s="183">
        <f>IF(H119="Travis",(AD119/$AV$1)*'1. UC Assumptions'!$Q$42,0)</f>
        <v>0</v>
      </c>
      <c r="AW119" s="183">
        <f>IF(H119="Bexar",(AC119/$AW$1)*'1. UC Assumptions'!$E$44,0)</f>
        <v>0</v>
      </c>
      <c r="AX119" s="183">
        <f>IF(H119="Dallas",(AC119/$AX$1)*'1. UC Assumptions'!$F$44,0)</f>
        <v>0</v>
      </c>
      <c r="AY119" s="183">
        <f>IF(H119="El Paso",(AC119/$AY$1)*'1. UC Assumptions'!$G$44,0)</f>
        <v>0</v>
      </c>
      <c r="AZ119" s="183">
        <f>IF(H119="Harris",(AC119/$AZ$1)*'1. UC Assumptions'!$H$44,0)</f>
        <v>0</v>
      </c>
      <c r="BA119" s="183">
        <f>IF(H119="Hidalgo",(AC119/$BA$1)*'1. UC Assumptions'!$I$44,0)</f>
        <v>0</v>
      </c>
      <c r="BB119" s="183">
        <f>IF(H119="Jefferson",(AC119/$BB$1)*'1. UC Assumptions'!$J$44,0)</f>
        <v>0</v>
      </c>
      <c r="BC119" s="183">
        <f>IF(H119="Lubbock",(AC119/$BC$1)*'1. UC Assumptions'!$K$44,0)</f>
        <v>0</v>
      </c>
      <c r="BD119" s="183">
        <f>IF(H119="MRSA Central",(AC119/$BD$1)*'1. UC Assumptions'!$L$44,0)</f>
        <v>0</v>
      </c>
      <c r="BE119" s="183">
        <f>IF(H119="MRSA Northeast",(AC119/$BE$1)*'1. UC Assumptions'!$M$44,0)</f>
        <v>0</v>
      </c>
      <c r="BF119" s="183">
        <f>IF(H119="MRSA West",(AC119/$BF$1)*'1. UC Assumptions'!$N$44,0)</f>
        <v>0</v>
      </c>
      <c r="BG119" s="183">
        <f>IF(H119="Nueces",(AC119/$BG$1)*'1. UC Assumptions'!$O$44,0)</f>
        <v>0</v>
      </c>
      <c r="BH119" s="183">
        <f>IF(H119="Tarrant",(AC119/$BH$1)*'1. UC Assumptions'!$P$44,0)</f>
        <v>0</v>
      </c>
      <c r="BI119" s="183">
        <f>IF(H119="Travis",(AC119/$BI$1)*'1. UC Assumptions'!$Q$44,0)</f>
        <v>0</v>
      </c>
      <c r="BJ119" s="183">
        <f t="shared" si="22"/>
        <v>0</v>
      </c>
      <c r="BK119" s="183">
        <f t="shared" si="23"/>
        <v>0</v>
      </c>
      <c r="BL119" s="183">
        <f t="shared" si="24"/>
        <v>2762422.2739857817</v>
      </c>
      <c r="BM119" s="184">
        <f t="shared" si="25"/>
        <v>414621.1539857816</v>
      </c>
      <c r="BN119" s="184">
        <f>ROUNDDOWN(BM119*'1. UC Assumptions'!$C$23,2)</f>
        <v>136824.98000000001</v>
      </c>
      <c r="BO119" s="184"/>
      <c r="BP119" s="185"/>
      <c r="BQ119" s="32"/>
      <c r="BR119" s="32"/>
    </row>
    <row r="120" spans="1:70">
      <c r="A120" s="177" t="s">
        <v>1416</v>
      </c>
      <c r="B120" s="177" t="s">
        <v>810</v>
      </c>
      <c r="C120" s="178" t="s">
        <v>810</v>
      </c>
      <c r="D120" s="179" t="s">
        <v>214</v>
      </c>
      <c r="E120" s="179"/>
      <c r="F120" s="177"/>
      <c r="G120" s="177" t="s">
        <v>1417</v>
      </c>
      <c r="H120" s="178" t="s">
        <v>7</v>
      </c>
      <c r="I120" s="178" t="s">
        <v>7</v>
      </c>
      <c r="J120" s="131">
        <f>IFERROR(INDEX(#REF!,(MATCH('Old Calc Tab'!C:C,#REF!,0))),0)</f>
        <v>0</v>
      </c>
      <c r="K120" s="131">
        <f>IFERROR(INDEX(#REF!,(MATCH('Old Calc Tab'!$C:$C,#REF!,0))),0)</f>
        <v>0</v>
      </c>
      <c r="L120" s="131"/>
      <c r="M120" s="131">
        <v>63226163.899999999</v>
      </c>
      <c r="N120" s="131">
        <f>IFERROR(INDEX(#REF!,(MATCH('Old Calc Tab'!$C:$C,#REF!,0))),0)</f>
        <v>0</v>
      </c>
      <c r="O120" s="131">
        <f t="shared" si="13"/>
        <v>0</v>
      </c>
      <c r="P120" s="131">
        <f t="shared" si="14"/>
        <v>63226163.899999999</v>
      </c>
      <c r="Q120" s="131"/>
      <c r="R120" s="131"/>
      <c r="S120" s="131"/>
      <c r="T120" s="131"/>
      <c r="U120" s="131"/>
      <c r="V120" s="131">
        <v>21665</v>
      </c>
      <c r="W120" s="180">
        <v>0</v>
      </c>
      <c r="X120" s="180">
        <f t="shared" si="15"/>
        <v>63247828.899999999</v>
      </c>
      <c r="Y120" s="181">
        <f>IF(D120="Physician Group Practice",(X120/$AE$369)*'1. UC Assumptions'!$C$15,IF(OR(E120="Rural Hospital",E120="Hosp - State"),X120,(X120/$X$369)*'1. UC Assumptions'!$C$9))</f>
        <v>38066529.746326722</v>
      </c>
      <c r="Z120" s="181">
        <f t="shared" si="16"/>
        <v>0</v>
      </c>
      <c r="AA120" s="181">
        <f t="shared" si="17"/>
        <v>25181299.153673276</v>
      </c>
      <c r="AB120" s="182">
        <f t="shared" si="18"/>
        <v>13523.141896357469</v>
      </c>
      <c r="AC120" s="181">
        <f t="shared" si="19"/>
        <v>25194822.295569632</v>
      </c>
      <c r="AD120" s="181">
        <f t="shared" si="20"/>
        <v>38080052.888223082</v>
      </c>
      <c r="AE120" s="131">
        <v>7053210.5</v>
      </c>
      <c r="AF120" s="131">
        <f>AE120*'1. UC Assumptions'!$C$23</f>
        <v>2327559.4649999999</v>
      </c>
      <c r="AG120" s="183">
        <f>IF((((X120-W120-AE120)*'1. UC Assumptions'!$C$23)+AF120)&gt;0,((X120-W120-AE120)*'1. UC Assumptions'!$C$23)+AF120,0)</f>
        <v>20871783.536999997</v>
      </c>
      <c r="AH120" s="183">
        <f>IF(((X120-W120-AE120)*'1. UC Assumptions'!$C$23)&gt;0,(X120-W120-AE120)*'1. UC Assumptions'!$C$23,0)</f>
        <v>18544224.071999997</v>
      </c>
      <c r="AI120" s="183">
        <f t="shared" si="21"/>
        <v>20871783.536999997</v>
      </c>
      <c r="AJ120" s="183">
        <f>IF(H120="Bexar",(AD120/$AJ$1)*'1. UC Assumptions'!$E$42,0)</f>
        <v>0</v>
      </c>
      <c r="AK120" s="183">
        <f>IF(H120="Dallas",(AD120/$AK$1)*'1. UC Assumptions'!$F$42,0)</f>
        <v>0</v>
      </c>
      <c r="AL120" s="183">
        <f>IF(H120="El Paso",(AD120/$AL$1)*'1. UC Assumptions'!$G$42,0)</f>
        <v>0</v>
      </c>
      <c r="AM120" s="183">
        <f>IF(H120="Harris",(AD120/$AM$1)*'1. UC Assumptions'!$H$42,0)</f>
        <v>0</v>
      </c>
      <c r="AN120" s="183">
        <f>IF(H120="Hidalgo",(AD120/$AN$1)*'1. UC Assumptions'!$I$42,0)</f>
        <v>0</v>
      </c>
      <c r="AO120" s="183">
        <f>IF(H120="Jefferson",(AD120/$AO$1)*'1. UC Assumptions'!$J$42,0)</f>
        <v>0</v>
      </c>
      <c r="AP120" s="183">
        <f>IF(H120="Lubbock",(AD120/$AP$1)*'1. UC Assumptions'!$K$42,0)</f>
        <v>0</v>
      </c>
      <c r="AQ120" s="183">
        <f>IF(H120="MRSA Central",(AD120/$AQ$1)*'1. UC Assumptions'!$L$42,0)</f>
        <v>0</v>
      </c>
      <c r="AR120" s="183">
        <f>IF(H120="MRSA Northeast",(AD120/$AR$1)*'1. UC Assumptions'!$M$42,0)</f>
        <v>0</v>
      </c>
      <c r="AS120" s="183">
        <f>IF(H120="MRSA West",(AD120/$AS$1)*'1. UC Assumptions'!$N$42,0)</f>
        <v>0</v>
      </c>
      <c r="AT120" s="183">
        <f>IF(H120="Nueces",(AD120/$AT$1)*'1. UC Assumptions'!$O$42,0)</f>
        <v>0</v>
      </c>
      <c r="AU120" s="183">
        <f>IF(H120="Tarrant",(AD120/$AU$1)*'1. UC Assumptions'!$P$42,0)</f>
        <v>0</v>
      </c>
      <c r="AV120" s="183">
        <f>IF(H120="Travis",(AD120/$AV$1)*'1. UC Assumptions'!$Q$42,0)</f>
        <v>0</v>
      </c>
      <c r="AW120" s="183">
        <f>IF(H120="Bexar",(AC120/$AW$1)*'1. UC Assumptions'!$E$44,0)</f>
        <v>0</v>
      </c>
      <c r="AX120" s="183">
        <f>IF(H120="Dallas",(AC120/$AX$1)*'1. UC Assumptions'!$F$44,0)</f>
        <v>0</v>
      </c>
      <c r="AY120" s="183">
        <f>IF(H120="El Paso",(AC120/$AY$1)*'1. UC Assumptions'!$G$44,0)</f>
        <v>0</v>
      </c>
      <c r="AZ120" s="183">
        <f>IF(H120="Harris",(AC120/$AZ$1)*'1. UC Assumptions'!$H$44,0)</f>
        <v>0</v>
      </c>
      <c r="BA120" s="183">
        <f>IF(H120="Hidalgo",(AC120/$BA$1)*'1. UC Assumptions'!$I$44,0)</f>
        <v>0</v>
      </c>
      <c r="BB120" s="183">
        <f>IF(H120="Jefferson",(AC120/$BB$1)*'1. UC Assumptions'!$J$44,0)</f>
        <v>0</v>
      </c>
      <c r="BC120" s="183">
        <f>IF(H120="Lubbock",(AC120/$BC$1)*'1. UC Assumptions'!$K$44,0)</f>
        <v>0</v>
      </c>
      <c r="BD120" s="183">
        <f>IF(H120="MRSA Central",(AC120/$BD$1)*'1. UC Assumptions'!$L$44,0)</f>
        <v>0</v>
      </c>
      <c r="BE120" s="183">
        <f>IF(H120="MRSA Northeast",(AC120/$BE$1)*'1. UC Assumptions'!$M$44,0)</f>
        <v>0</v>
      </c>
      <c r="BF120" s="183">
        <f>IF(H120="MRSA West",(AC120/$BF$1)*'1. UC Assumptions'!$N$44,0)</f>
        <v>0</v>
      </c>
      <c r="BG120" s="183">
        <f>IF(H120="Nueces",(AC120/$BG$1)*'1. UC Assumptions'!$O$44,0)</f>
        <v>0</v>
      </c>
      <c r="BH120" s="183">
        <f>IF(H120="Tarrant",(AC120/$BH$1)*'1. UC Assumptions'!$P$44,0)</f>
        <v>0</v>
      </c>
      <c r="BI120" s="183">
        <f>IF(H120="Travis",(AC120/$BI$1)*'1. UC Assumptions'!$Q$44,0)</f>
        <v>0</v>
      </c>
      <c r="BJ120" s="183">
        <f t="shared" si="22"/>
        <v>0</v>
      </c>
      <c r="BK120" s="183">
        <f t="shared" si="23"/>
        <v>0</v>
      </c>
      <c r="BL120" s="183">
        <f t="shared" si="24"/>
        <v>38080052.888223082</v>
      </c>
      <c r="BM120" s="184">
        <f t="shared" si="25"/>
        <v>31026842.388223082</v>
      </c>
      <c r="BN120" s="184">
        <f>ROUNDDOWN(BM120*'1. UC Assumptions'!$C$23,2)</f>
        <v>10238857.98</v>
      </c>
      <c r="BO120" s="184"/>
      <c r="BP120" s="185"/>
      <c r="BQ120" s="32"/>
      <c r="BR120" s="32"/>
    </row>
    <row r="121" spans="1:70">
      <c r="A121" s="177" t="s">
        <v>1418</v>
      </c>
      <c r="B121" s="178" t="s">
        <v>812</v>
      </c>
      <c r="C121" s="178" t="s">
        <v>812</v>
      </c>
      <c r="D121" s="179" t="s">
        <v>214</v>
      </c>
      <c r="E121" s="179"/>
      <c r="F121" s="177"/>
      <c r="G121" s="177" t="s">
        <v>813</v>
      </c>
      <c r="H121" s="178" t="s">
        <v>7</v>
      </c>
      <c r="I121" s="178" t="s">
        <v>371</v>
      </c>
      <c r="J121" s="131">
        <f>IFERROR(INDEX(#REF!,(MATCH('Old Calc Tab'!C:C,#REF!,0))),0)</f>
        <v>0</v>
      </c>
      <c r="K121" s="131">
        <f>IFERROR(INDEX(#REF!,(MATCH('Old Calc Tab'!$C:$C,#REF!,0))),0)</f>
        <v>0</v>
      </c>
      <c r="L121" s="131"/>
      <c r="M121" s="131">
        <v>2747959.15</v>
      </c>
      <c r="N121" s="131">
        <f>IFERROR(INDEX(#REF!,(MATCH('Old Calc Tab'!$C:$C,#REF!,0))),0)</f>
        <v>0</v>
      </c>
      <c r="O121" s="131">
        <f t="shared" si="13"/>
        <v>0</v>
      </c>
      <c r="P121" s="131">
        <f t="shared" si="14"/>
        <v>2747959.15</v>
      </c>
      <c r="Q121" s="131"/>
      <c r="R121" s="131"/>
      <c r="S121" s="131"/>
      <c r="T121" s="131"/>
      <c r="U121" s="131"/>
      <c r="V121" s="131">
        <v>1343543</v>
      </c>
      <c r="W121" s="180">
        <v>0</v>
      </c>
      <c r="X121" s="180">
        <f t="shared" si="15"/>
        <v>4091502.15</v>
      </c>
      <c r="Y121" s="181">
        <f>IF(D121="Physician Group Practice",(X121/$AE$369)*'1. UC Assumptions'!$C$15,IF(OR(E121="Rural Hospital",E121="Hosp - State"),X121,(X121/$X$369)*'1. UC Assumptions'!$C$9))</f>
        <v>2462523.8685487076</v>
      </c>
      <c r="Z121" s="181">
        <f t="shared" si="16"/>
        <v>0</v>
      </c>
      <c r="AA121" s="181">
        <f t="shared" si="17"/>
        <v>1628978.2814512923</v>
      </c>
      <c r="AB121" s="182">
        <f t="shared" si="18"/>
        <v>874.81207032707584</v>
      </c>
      <c r="AC121" s="181">
        <f t="shared" si="19"/>
        <v>1629853.0935216194</v>
      </c>
      <c r="AD121" s="181">
        <f t="shared" si="20"/>
        <v>2463398.6806190345</v>
      </c>
      <c r="AE121" s="131">
        <v>6677090.8200000003</v>
      </c>
      <c r="AF121" s="131">
        <f>AE121*'1. UC Assumptions'!$C$23</f>
        <v>2203439.9705999997</v>
      </c>
      <c r="AG121" s="183">
        <f>IF((((X121-W121-AE121)*'1. UC Assumptions'!$C$23)+AF121)&gt;0,((X121-W121-AE121)*'1. UC Assumptions'!$C$23)+AF121,0)</f>
        <v>1350195.7094999996</v>
      </c>
      <c r="AH121" s="183">
        <f>IF(((X121-W121-AE121)*'1. UC Assumptions'!$C$23)&gt;0,(X121-W121-AE121)*'1. UC Assumptions'!$C$23,0)</f>
        <v>0</v>
      </c>
      <c r="AI121" s="183">
        <f t="shared" si="21"/>
        <v>2203439.9705999997</v>
      </c>
      <c r="AJ121" s="183">
        <f>IF(H121="Bexar",(AD121/$AJ$1)*'1. UC Assumptions'!$E$42,0)</f>
        <v>0</v>
      </c>
      <c r="AK121" s="183">
        <f>IF(H121="Dallas",(AD121/$AK$1)*'1. UC Assumptions'!$F$42,0)</f>
        <v>0</v>
      </c>
      <c r="AL121" s="183">
        <f>IF(H121="El Paso",(AD121/$AL$1)*'1. UC Assumptions'!$G$42,0)</f>
        <v>0</v>
      </c>
      <c r="AM121" s="183">
        <f>IF(H121="Harris",(AD121/$AM$1)*'1. UC Assumptions'!$H$42,0)</f>
        <v>0</v>
      </c>
      <c r="AN121" s="183">
        <f>IF(H121="Hidalgo",(AD121/$AN$1)*'1. UC Assumptions'!$I$42,0)</f>
        <v>0</v>
      </c>
      <c r="AO121" s="183">
        <f>IF(H121="Jefferson",(AD121/$AO$1)*'1. UC Assumptions'!$J$42,0)</f>
        <v>0</v>
      </c>
      <c r="AP121" s="183">
        <f>IF(H121="Lubbock",(AD121/$AP$1)*'1. UC Assumptions'!$K$42,0)</f>
        <v>0</v>
      </c>
      <c r="AQ121" s="183">
        <f>IF(H121="MRSA Central",(AD121/$AQ$1)*'1. UC Assumptions'!$L$42,0)</f>
        <v>0</v>
      </c>
      <c r="AR121" s="183">
        <f>IF(H121="MRSA Northeast",(AD121/$AR$1)*'1. UC Assumptions'!$M$42,0)</f>
        <v>0</v>
      </c>
      <c r="AS121" s="183">
        <f>IF(H121="MRSA West",(AD121/$AS$1)*'1. UC Assumptions'!$N$42,0)</f>
        <v>0</v>
      </c>
      <c r="AT121" s="183">
        <f>IF(H121="Nueces",(AD121/$AT$1)*'1. UC Assumptions'!$O$42,0)</f>
        <v>0</v>
      </c>
      <c r="AU121" s="183">
        <f>IF(H121="Tarrant",(AD121/$AU$1)*'1. UC Assumptions'!$P$42,0)</f>
        <v>0</v>
      </c>
      <c r="AV121" s="183">
        <f>IF(H121="Travis",(AD121/$AV$1)*'1. UC Assumptions'!$Q$42,0)</f>
        <v>0</v>
      </c>
      <c r="AW121" s="183">
        <f>IF(H121="Bexar",(AC121/$AW$1)*'1. UC Assumptions'!$E$44,0)</f>
        <v>0</v>
      </c>
      <c r="AX121" s="183">
        <f>IF(H121="Dallas",(AC121/$AX$1)*'1. UC Assumptions'!$F$44,0)</f>
        <v>0</v>
      </c>
      <c r="AY121" s="183">
        <f>IF(H121="El Paso",(AC121/$AY$1)*'1. UC Assumptions'!$G$44,0)</f>
        <v>0</v>
      </c>
      <c r="AZ121" s="183">
        <f>IF(H121="Harris",(AC121/$AZ$1)*'1. UC Assumptions'!$H$44,0)</f>
        <v>0</v>
      </c>
      <c r="BA121" s="183">
        <f>IF(H121="Hidalgo",(AC121/$BA$1)*'1. UC Assumptions'!$I$44,0)</f>
        <v>0</v>
      </c>
      <c r="BB121" s="183">
        <f>IF(H121="Jefferson",(AC121/$BB$1)*'1. UC Assumptions'!$J$44,0)</f>
        <v>0</v>
      </c>
      <c r="BC121" s="183">
        <f>IF(H121="Lubbock",(AC121/$BC$1)*'1. UC Assumptions'!$K$44,0)</f>
        <v>0</v>
      </c>
      <c r="BD121" s="183">
        <f>IF(H121="MRSA Central",(AC121/$BD$1)*'1. UC Assumptions'!$L$44,0)</f>
        <v>0</v>
      </c>
      <c r="BE121" s="183">
        <f>IF(H121="MRSA Northeast",(AC121/$BE$1)*'1. UC Assumptions'!$M$44,0)</f>
        <v>0</v>
      </c>
      <c r="BF121" s="183">
        <f>IF(H121="MRSA West",(AC121/$BF$1)*'1. UC Assumptions'!$N$44,0)</f>
        <v>0</v>
      </c>
      <c r="BG121" s="183">
        <f>IF(H121="Nueces",(AC121/$BG$1)*'1. UC Assumptions'!$O$44,0)</f>
        <v>0</v>
      </c>
      <c r="BH121" s="183">
        <f>IF(H121="Tarrant",(AC121/$BH$1)*'1. UC Assumptions'!$P$44,0)</f>
        <v>0</v>
      </c>
      <c r="BI121" s="183">
        <f>IF(H121="Travis",(AC121/$BI$1)*'1. UC Assumptions'!$Q$44,0)</f>
        <v>0</v>
      </c>
      <c r="BJ121" s="183">
        <f t="shared" si="22"/>
        <v>0</v>
      </c>
      <c r="BK121" s="183">
        <f t="shared" si="23"/>
        <v>0</v>
      </c>
      <c r="BL121" s="183">
        <f t="shared" si="24"/>
        <v>2463398.6806190345</v>
      </c>
      <c r="BM121" s="184">
        <f t="shared" si="25"/>
        <v>-4213692.1393809654</v>
      </c>
      <c r="BN121" s="184">
        <f>ROUNDDOWN(BM121*'1. UC Assumptions'!$C$23,2)</f>
        <v>-1390518.4</v>
      </c>
      <c r="BO121" s="184"/>
      <c r="BP121" s="185"/>
      <c r="BQ121" s="32"/>
      <c r="BR121" s="32"/>
    </row>
    <row r="122" spans="1:70">
      <c r="A122" s="177" t="s">
        <v>1419</v>
      </c>
      <c r="B122" s="178" t="s">
        <v>931</v>
      </c>
      <c r="C122" s="178" t="s">
        <v>931</v>
      </c>
      <c r="D122" s="179" t="s">
        <v>214</v>
      </c>
      <c r="E122" s="179"/>
      <c r="F122" s="177"/>
      <c r="G122" s="177" t="s">
        <v>1420</v>
      </c>
      <c r="H122" s="178" t="s">
        <v>7</v>
      </c>
      <c r="I122" s="178" t="s">
        <v>237</v>
      </c>
      <c r="J122" s="131">
        <f>IFERROR(INDEX(#REF!,(MATCH('Old Calc Tab'!C:C,#REF!,0))),0)</f>
        <v>0</v>
      </c>
      <c r="K122" s="131">
        <f>IFERROR(INDEX(#REF!,(MATCH('Old Calc Tab'!$C:$C,#REF!,0))),0)</f>
        <v>0</v>
      </c>
      <c r="L122" s="131"/>
      <c r="M122" s="131">
        <v>15013375</v>
      </c>
      <c r="N122" s="131">
        <f>IFERROR(INDEX(#REF!,(MATCH('Old Calc Tab'!$C:$C,#REF!,0))),0)</f>
        <v>0</v>
      </c>
      <c r="O122" s="131">
        <f t="shared" si="13"/>
        <v>0</v>
      </c>
      <c r="P122" s="131">
        <f t="shared" si="14"/>
        <v>15013375</v>
      </c>
      <c r="Q122" s="131"/>
      <c r="R122" s="131"/>
      <c r="S122" s="131"/>
      <c r="T122" s="131"/>
      <c r="U122" s="131"/>
      <c r="V122" s="131">
        <v>1764917</v>
      </c>
      <c r="W122" s="180">
        <v>0</v>
      </c>
      <c r="X122" s="180">
        <f t="shared" si="15"/>
        <v>16778292</v>
      </c>
      <c r="Y122" s="181">
        <f>IF(D122="Physician Group Practice",(X122/$AE$369)*'1. UC Assumptions'!$C$15,IF(OR(E122="Rural Hospital",E122="Hosp - State"),X122,(X122/$X$369)*'1. UC Assumptions'!$C$9))</f>
        <v>10098233.609257625</v>
      </c>
      <c r="Z122" s="181">
        <f t="shared" si="16"/>
        <v>0</v>
      </c>
      <c r="AA122" s="181">
        <f t="shared" si="17"/>
        <v>6680058.3907423746</v>
      </c>
      <c r="AB122" s="182">
        <f t="shared" si="18"/>
        <v>3587.3994007487477</v>
      </c>
      <c r="AC122" s="181">
        <f t="shared" si="19"/>
        <v>6683645.7901431229</v>
      </c>
      <c r="AD122" s="181">
        <f t="shared" si="20"/>
        <v>10101821.008658374</v>
      </c>
      <c r="AE122" s="131">
        <v>9193533.9199999999</v>
      </c>
      <c r="AF122" s="131">
        <f>AE122*'1. UC Assumptions'!$C$23</f>
        <v>3033866.1935999994</v>
      </c>
      <c r="AG122" s="183">
        <f>IF((((X122-W122-AE122)*'1. UC Assumptions'!$C$23)+AF122)&gt;0,((X122-W122-AE122)*'1. UC Assumptions'!$C$23)+AF122,0)</f>
        <v>5536836.3599999994</v>
      </c>
      <c r="AH122" s="183">
        <f>IF(((X122-W122-AE122)*'1. UC Assumptions'!$C$23)&gt;0,(X122-W122-AE122)*'1. UC Assumptions'!$C$23,0)</f>
        <v>2502970.1663999995</v>
      </c>
      <c r="AI122" s="183">
        <f t="shared" si="21"/>
        <v>5536836.3599999994</v>
      </c>
      <c r="AJ122" s="183">
        <f>IF(H122="Bexar",(AD122/$AJ$1)*'1. UC Assumptions'!$E$42,0)</f>
        <v>0</v>
      </c>
      <c r="AK122" s="183">
        <f>IF(H122="Dallas",(AD122/$AK$1)*'1. UC Assumptions'!$F$42,0)</f>
        <v>0</v>
      </c>
      <c r="AL122" s="183">
        <f>IF(H122="El Paso",(AD122/$AL$1)*'1. UC Assumptions'!$G$42,0)</f>
        <v>0</v>
      </c>
      <c r="AM122" s="183">
        <f>IF(H122="Harris",(AD122/$AM$1)*'1. UC Assumptions'!$H$42,0)</f>
        <v>0</v>
      </c>
      <c r="AN122" s="183">
        <f>IF(H122="Hidalgo",(AD122/$AN$1)*'1. UC Assumptions'!$I$42,0)</f>
        <v>0</v>
      </c>
      <c r="AO122" s="183">
        <f>IF(H122="Jefferson",(AD122/$AO$1)*'1. UC Assumptions'!$J$42,0)</f>
        <v>0</v>
      </c>
      <c r="AP122" s="183">
        <f>IF(H122="Lubbock",(AD122/$AP$1)*'1. UC Assumptions'!$K$42,0)</f>
        <v>0</v>
      </c>
      <c r="AQ122" s="183">
        <f>IF(H122="MRSA Central",(AD122/$AQ$1)*'1. UC Assumptions'!$L$42,0)</f>
        <v>0</v>
      </c>
      <c r="AR122" s="183">
        <f>IF(H122="MRSA Northeast",(AD122/$AR$1)*'1. UC Assumptions'!$M$42,0)</f>
        <v>0</v>
      </c>
      <c r="AS122" s="183">
        <f>IF(H122="MRSA West",(AD122/$AS$1)*'1. UC Assumptions'!$N$42,0)</f>
        <v>0</v>
      </c>
      <c r="AT122" s="183">
        <f>IF(H122="Nueces",(AD122/$AT$1)*'1. UC Assumptions'!$O$42,0)</f>
        <v>0</v>
      </c>
      <c r="AU122" s="183">
        <f>IF(H122="Tarrant",(AD122/$AU$1)*'1. UC Assumptions'!$P$42,0)</f>
        <v>0</v>
      </c>
      <c r="AV122" s="183">
        <f>IF(H122="Travis",(AD122/$AV$1)*'1. UC Assumptions'!$Q$42,0)</f>
        <v>0</v>
      </c>
      <c r="AW122" s="183">
        <f>IF(H122="Bexar",(AC122/$AW$1)*'1. UC Assumptions'!$E$44,0)</f>
        <v>0</v>
      </c>
      <c r="AX122" s="183">
        <f>IF(H122="Dallas",(AC122/$AX$1)*'1. UC Assumptions'!$F$44,0)</f>
        <v>0</v>
      </c>
      <c r="AY122" s="183">
        <f>IF(H122="El Paso",(AC122/$AY$1)*'1. UC Assumptions'!$G$44,0)</f>
        <v>0</v>
      </c>
      <c r="AZ122" s="183">
        <f>IF(H122="Harris",(AC122/$AZ$1)*'1. UC Assumptions'!$H$44,0)</f>
        <v>0</v>
      </c>
      <c r="BA122" s="183">
        <f>IF(H122="Hidalgo",(AC122/$BA$1)*'1. UC Assumptions'!$I$44,0)</f>
        <v>0</v>
      </c>
      <c r="BB122" s="183">
        <f>IF(H122="Jefferson",(AC122/$BB$1)*'1. UC Assumptions'!$J$44,0)</f>
        <v>0</v>
      </c>
      <c r="BC122" s="183">
        <f>IF(H122="Lubbock",(AC122/$BC$1)*'1. UC Assumptions'!$K$44,0)</f>
        <v>0</v>
      </c>
      <c r="BD122" s="183">
        <f>IF(H122="MRSA Central",(AC122/$BD$1)*'1. UC Assumptions'!$L$44,0)</f>
        <v>0</v>
      </c>
      <c r="BE122" s="183">
        <f>IF(H122="MRSA Northeast",(AC122/$BE$1)*'1. UC Assumptions'!$M$44,0)</f>
        <v>0</v>
      </c>
      <c r="BF122" s="183">
        <f>IF(H122="MRSA West",(AC122/$BF$1)*'1. UC Assumptions'!$N$44,0)</f>
        <v>0</v>
      </c>
      <c r="BG122" s="183">
        <f>IF(H122="Nueces",(AC122/$BG$1)*'1. UC Assumptions'!$O$44,0)</f>
        <v>0</v>
      </c>
      <c r="BH122" s="183">
        <f>IF(H122="Tarrant",(AC122/$BH$1)*'1. UC Assumptions'!$P$44,0)</f>
        <v>0</v>
      </c>
      <c r="BI122" s="183">
        <f>IF(H122="Travis",(AC122/$BI$1)*'1. UC Assumptions'!$Q$44,0)</f>
        <v>0</v>
      </c>
      <c r="BJ122" s="183">
        <f t="shared" si="22"/>
        <v>0</v>
      </c>
      <c r="BK122" s="183">
        <f t="shared" si="23"/>
        <v>0</v>
      </c>
      <c r="BL122" s="183">
        <f t="shared" si="24"/>
        <v>10101821.008658374</v>
      </c>
      <c r="BM122" s="184">
        <f t="shared" si="25"/>
        <v>908287.0886583738</v>
      </c>
      <c r="BN122" s="184">
        <f>ROUNDDOWN(BM122*'1. UC Assumptions'!$C$23,2)</f>
        <v>299734.73</v>
      </c>
      <c r="BO122" s="184"/>
      <c r="BP122" s="185"/>
      <c r="BQ122" s="32"/>
      <c r="BR122" s="32"/>
    </row>
    <row r="123" spans="1:70">
      <c r="A123" s="177" t="s">
        <v>1421</v>
      </c>
      <c r="B123" s="178" t="s">
        <v>933</v>
      </c>
      <c r="C123" s="178" t="s">
        <v>933</v>
      </c>
      <c r="D123" s="179" t="s">
        <v>214</v>
      </c>
      <c r="E123" s="179"/>
      <c r="F123" s="177"/>
      <c r="G123" s="177" t="s">
        <v>1422</v>
      </c>
      <c r="H123" s="178" t="s">
        <v>7</v>
      </c>
      <c r="I123" s="178" t="s">
        <v>237</v>
      </c>
      <c r="J123" s="131">
        <f>IFERROR(INDEX(#REF!,(MATCH('Old Calc Tab'!C:C,#REF!,0))),0)</f>
        <v>0</v>
      </c>
      <c r="K123" s="131">
        <f>IFERROR(INDEX(#REF!,(MATCH('Old Calc Tab'!$C:$C,#REF!,0))),0)</f>
        <v>0</v>
      </c>
      <c r="L123" s="131"/>
      <c r="M123" s="131">
        <v>11898954.482999999</v>
      </c>
      <c r="N123" s="131">
        <f>IFERROR(INDEX(#REF!,(MATCH('Old Calc Tab'!$C:$C,#REF!,0))),0)</f>
        <v>0</v>
      </c>
      <c r="O123" s="131">
        <f t="shared" si="13"/>
        <v>0</v>
      </c>
      <c r="P123" s="131">
        <f t="shared" si="14"/>
        <v>11898954.482999999</v>
      </c>
      <c r="Q123" s="131"/>
      <c r="R123" s="131"/>
      <c r="S123" s="131"/>
      <c r="T123" s="131"/>
      <c r="U123" s="131"/>
      <c r="V123" s="131">
        <v>0</v>
      </c>
      <c r="W123" s="180">
        <v>0</v>
      </c>
      <c r="X123" s="180">
        <f t="shared" si="15"/>
        <v>11898954.482999999</v>
      </c>
      <c r="Y123" s="181">
        <f>IF(D123="Physician Group Practice",(X123/$AE$369)*'1. UC Assumptions'!$C$15,IF(OR(E123="Rural Hospital",E123="Hosp - State"),X123,(X123/$X$369)*'1. UC Assumptions'!$C$9))</f>
        <v>7161540.7620309191</v>
      </c>
      <c r="Z123" s="181">
        <f t="shared" si="16"/>
        <v>0</v>
      </c>
      <c r="AA123" s="181">
        <f t="shared" si="17"/>
        <v>4737413.72096908</v>
      </c>
      <c r="AB123" s="182">
        <f t="shared" si="18"/>
        <v>2544.1387110112778</v>
      </c>
      <c r="AC123" s="181">
        <f t="shared" si="19"/>
        <v>4739957.859680091</v>
      </c>
      <c r="AD123" s="181">
        <f t="shared" si="20"/>
        <v>7164084.9007419301</v>
      </c>
      <c r="AE123" s="131">
        <v>5941345.8300000001</v>
      </c>
      <c r="AF123" s="131">
        <f>AE123*'1. UC Assumptions'!$C$23</f>
        <v>1960644.1238999998</v>
      </c>
      <c r="AG123" s="183">
        <f>IF((((X123-W123-AE123)*'1. UC Assumptions'!$C$23)+AF123)&gt;0,((X123-W123-AE123)*'1. UC Assumptions'!$C$23)+AF123,0)</f>
        <v>3926654.9793899991</v>
      </c>
      <c r="AH123" s="183">
        <f>IF(((X123-W123-AE123)*'1. UC Assumptions'!$C$23)&gt;0,(X123-W123-AE123)*'1. UC Assumptions'!$C$23,0)</f>
        <v>1966010.8554899995</v>
      </c>
      <c r="AI123" s="183">
        <f t="shared" si="21"/>
        <v>3926654.9793899991</v>
      </c>
      <c r="AJ123" s="183">
        <f>IF(H123="Bexar",(AD123/$AJ$1)*'1. UC Assumptions'!$E$42,0)</f>
        <v>0</v>
      </c>
      <c r="AK123" s="183">
        <f>IF(H123="Dallas",(AD123/$AK$1)*'1. UC Assumptions'!$F$42,0)</f>
        <v>0</v>
      </c>
      <c r="AL123" s="183">
        <f>IF(H123="El Paso",(AD123/$AL$1)*'1. UC Assumptions'!$G$42,0)</f>
        <v>0</v>
      </c>
      <c r="AM123" s="183">
        <f>IF(H123="Harris",(AD123/$AM$1)*'1. UC Assumptions'!$H$42,0)</f>
        <v>0</v>
      </c>
      <c r="AN123" s="183">
        <f>IF(H123="Hidalgo",(AD123/$AN$1)*'1. UC Assumptions'!$I$42,0)</f>
        <v>0</v>
      </c>
      <c r="AO123" s="183">
        <f>IF(H123="Jefferson",(AD123/$AO$1)*'1. UC Assumptions'!$J$42,0)</f>
        <v>0</v>
      </c>
      <c r="AP123" s="183">
        <f>IF(H123="Lubbock",(AD123/$AP$1)*'1. UC Assumptions'!$K$42,0)</f>
        <v>0</v>
      </c>
      <c r="AQ123" s="183">
        <f>IF(H123="MRSA Central",(AD123/$AQ$1)*'1. UC Assumptions'!$L$42,0)</f>
        <v>0</v>
      </c>
      <c r="AR123" s="183">
        <f>IF(H123="MRSA Northeast",(AD123/$AR$1)*'1. UC Assumptions'!$M$42,0)</f>
        <v>0</v>
      </c>
      <c r="AS123" s="183">
        <f>IF(H123="MRSA West",(AD123/$AS$1)*'1. UC Assumptions'!$N$42,0)</f>
        <v>0</v>
      </c>
      <c r="AT123" s="183">
        <f>IF(H123="Nueces",(AD123/$AT$1)*'1. UC Assumptions'!$O$42,0)</f>
        <v>0</v>
      </c>
      <c r="AU123" s="183">
        <f>IF(H123="Tarrant",(AD123/$AU$1)*'1. UC Assumptions'!$P$42,0)</f>
        <v>0</v>
      </c>
      <c r="AV123" s="183">
        <f>IF(H123="Travis",(AD123/$AV$1)*'1. UC Assumptions'!$Q$42,0)</f>
        <v>0</v>
      </c>
      <c r="AW123" s="183">
        <f>IF(H123="Bexar",(AC123/$AW$1)*'1. UC Assumptions'!$E$44,0)</f>
        <v>0</v>
      </c>
      <c r="AX123" s="183">
        <f>IF(H123="Dallas",(AC123/$AX$1)*'1. UC Assumptions'!$F$44,0)</f>
        <v>0</v>
      </c>
      <c r="AY123" s="183">
        <f>IF(H123="El Paso",(AC123/$AY$1)*'1. UC Assumptions'!$G$44,0)</f>
        <v>0</v>
      </c>
      <c r="AZ123" s="183">
        <f>IF(H123="Harris",(AC123/$AZ$1)*'1. UC Assumptions'!$H$44,0)</f>
        <v>0</v>
      </c>
      <c r="BA123" s="183">
        <f>IF(H123="Hidalgo",(AC123/$BA$1)*'1. UC Assumptions'!$I$44,0)</f>
        <v>0</v>
      </c>
      <c r="BB123" s="183">
        <f>IF(H123="Jefferson",(AC123/$BB$1)*'1. UC Assumptions'!$J$44,0)</f>
        <v>0</v>
      </c>
      <c r="BC123" s="183">
        <f>IF(H123="Lubbock",(AC123/$BC$1)*'1. UC Assumptions'!$K$44,0)</f>
        <v>0</v>
      </c>
      <c r="BD123" s="183">
        <f>IF(H123="MRSA Central",(AC123/$BD$1)*'1. UC Assumptions'!$L$44,0)</f>
        <v>0</v>
      </c>
      <c r="BE123" s="183">
        <f>IF(H123="MRSA Northeast",(AC123/$BE$1)*'1. UC Assumptions'!$M$44,0)</f>
        <v>0</v>
      </c>
      <c r="BF123" s="183">
        <f>IF(H123="MRSA West",(AC123/$BF$1)*'1. UC Assumptions'!$N$44,0)</f>
        <v>0</v>
      </c>
      <c r="BG123" s="183">
        <f>IF(H123="Nueces",(AC123/$BG$1)*'1. UC Assumptions'!$O$44,0)</f>
        <v>0</v>
      </c>
      <c r="BH123" s="183">
        <f>IF(H123="Tarrant",(AC123/$BH$1)*'1. UC Assumptions'!$P$44,0)</f>
        <v>0</v>
      </c>
      <c r="BI123" s="183">
        <f>IF(H123="Travis",(AC123/$BI$1)*'1. UC Assumptions'!$Q$44,0)</f>
        <v>0</v>
      </c>
      <c r="BJ123" s="183">
        <f t="shared" si="22"/>
        <v>0</v>
      </c>
      <c r="BK123" s="183">
        <f t="shared" si="23"/>
        <v>0</v>
      </c>
      <c r="BL123" s="183">
        <f t="shared" si="24"/>
        <v>7164084.9007419301</v>
      </c>
      <c r="BM123" s="184">
        <f t="shared" si="25"/>
        <v>1222739.07074193</v>
      </c>
      <c r="BN123" s="184">
        <f>ROUNDDOWN(BM123*'1. UC Assumptions'!$C$23,2)</f>
        <v>403503.89</v>
      </c>
      <c r="BO123" s="184"/>
      <c r="BP123" s="185"/>
      <c r="BQ123" s="32"/>
      <c r="BR123" s="32"/>
    </row>
    <row r="124" spans="1:70">
      <c r="A124" s="177" t="s">
        <v>1423</v>
      </c>
      <c r="B124" s="177" t="s">
        <v>276</v>
      </c>
      <c r="C124" s="178" t="s">
        <v>276</v>
      </c>
      <c r="D124" s="179" t="s">
        <v>208</v>
      </c>
      <c r="E124" s="179" t="s">
        <v>149</v>
      </c>
      <c r="F124" s="177"/>
      <c r="G124" s="177" t="s">
        <v>1424</v>
      </c>
      <c r="H124" s="178" t="s">
        <v>8</v>
      </c>
      <c r="I124" s="178" t="s">
        <v>278</v>
      </c>
      <c r="J124" s="131">
        <f>IFERROR(INDEX(#REF!,(MATCH('Old Calc Tab'!C:C,#REF!,0))),0)</f>
        <v>0</v>
      </c>
      <c r="K124" s="131">
        <f>IFERROR(INDEX(#REF!,(MATCH('Old Calc Tab'!$C:$C,#REF!,0))),0)</f>
        <v>0</v>
      </c>
      <c r="L124" s="131"/>
      <c r="M124" s="131">
        <v>794661.75</v>
      </c>
      <c r="N124" s="131">
        <f>IFERROR(INDEX(#REF!,(MATCH('Old Calc Tab'!$C:$C,#REF!,0))),0)</f>
        <v>0</v>
      </c>
      <c r="O124" s="131">
        <f t="shared" si="13"/>
        <v>0</v>
      </c>
      <c r="P124" s="131">
        <f t="shared" si="14"/>
        <v>794661.75</v>
      </c>
      <c r="Q124" s="131"/>
      <c r="R124" s="131"/>
      <c r="S124" s="131"/>
      <c r="T124" s="131"/>
      <c r="U124" s="131"/>
      <c r="V124" s="131">
        <v>0</v>
      </c>
      <c r="W124" s="180">
        <v>0</v>
      </c>
      <c r="X124" s="180">
        <f t="shared" si="15"/>
        <v>794661.75</v>
      </c>
      <c r="Y124" s="181">
        <f>IF(D124="Physician Group Practice",(X124/$AE$369)*'1. UC Assumptions'!$C$15,IF(OR(E124="Rural Hospital",E124="Hosp - State"),X124,(X124/$X$369)*'1. UC Assumptions'!$C$9))</f>
        <v>794661.75</v>
      </c>
      <c r="Z124" s="181">
        <f t="shared" si="16"/>
        <v>0</v>
      </c>
      <c r="AA124" s="181">
        <f t="shared" si="17"/>
        <v>0</v>
      </c>
      <c r="AB124" s="182">
        <f t="shared" si="18"/>
        <v>0</v>
      </c>
      <c r="AC124" s="181">
        <f t="shared" si="19"/>
        <v>0</v>
      </c>
      <c r="AD124" s="181">
        <f t="shared" si="20"/>
        <v>794661.75</v>
      </c>
      <c r="AE124" s="131">
        <v>230138.77</v>
      </c>
      <c r="AF124" s="131">
        <f>AE124*'1. UC Assumptions'!$C$23</f>
        <v>75945.794099999985</v>
      </c>
      <c r="AG124" s="183">
        <f>IF((((X124-W124-AE124)*'1. UC Assumptions'!$C$23)+AF124)&gt;0,((X124-W124-AE124)*'1. UC Assumptions'!$C$23)+AF124,0)</f>
        <v>262238.37749999994</v>
      </c>
      <c r="AH124" s="183">
        <f>IF(((X124-W124-AE124)*'1. UC Assumptions'!$C$23)&gt;0,(X124-W124-AE124)*'1. UC Assumptions'!$C$23,0)</f>
        <v>186292.58339999997</v>
      </c>
      <c r="AI124" s="183">
        <f t="shared" si="21"/>
        <v>262238.37749999994</v>
      </c>
      <c r="AJ124" s="183">
        <f>IF(H124="Bexar",(AD124/$AJ$1)*'1. UC Assumptions'!$E$42,0)</f>
        <v>0</v>
      </c>
      <c r="AK124" s="183">
        <f>IF(H124="Dallas",(AD124/$AK$1)*'1. UC Assumptions'!$F$42,0)</f>
        <v>0</v>
      </c>
      <c r="AL124" s="183">
        <f>IF(H124="El Paso",(AD124/$AL$1)*'1. UC Assumptions'!$G$42,0)</f>
        <v>0</v>
      </c>
      <c r="AM124" s="183">
        <f>IF(H124="Harris",(AD124/$AM$1)*'1. UC Assumptions'!$H$42,0)</f>
        <v>0</v>
      </c>
      <c r="AN124" s="183">
        <f>IF(H124="Hidalgo",(AD124/$AN$1)*'1. UC Assumptions'!$I$42,0)</f>
        <v>0</v>
      </c>
      <c r="AO124" s="183">
        <f>IF(H124="Jefferson",(AD124/$AO$1)*'1. UC Assumptions'!$J$42,0)</f>
        <v>0</v>
      </c>
      <c r="AP124" s="183">
        <f>IF(H124="Lubbock",(AD124/$AP$1)*'1. UC Assumptions'!$K$42,0)</f>
        <v>0</v>
      </c>
      <c r="AQ124" s="183">
        <f>IF(H124="MRSA Central",(AD124/$AQ$1)*'1. UC Assumptions'!$L$42,0)</f>
        <v>0</v>
      </c>
      <c r="AR124" s="183">
        <f>IF(H124="MRSA Northeast",(AD124/$AR$1)*'1. UC Assumptions'!$M$42,0)</f>
        <v>0</v>
      </c>
      <c r="AS124" s="183">
        <f>IF(H124="MRSA West",(AD124/$AS$1)*'1. UC Assumptions'!$N$42,0)</f>
        <v>0</v>
      </c>
      <c r="AT124" s="183">
        <f>IF(H124="Nueces",(AD124/$AT$1)*'1. UC Assumptions'!$O$42,0)</f>
        <v>0</v>
      </c>
      <c r="AU124" s="183">
        <f>IF(H124="Tarrant",(AD124/$AU$1)*'1. UC Assumptions'!$P$42,0)</f>
        <v>0</v>
      </c>
      <c r="AV124" s="183">
        <f>IF(H124="Travis",(AD124/$AV$1)*'1. UC Assumptions'!$Q$42,0)</f>
        <v>0</v>
      </c>
      <c r="AW124" s="183">
        <f>IF(H124="Bexar",(AC124/$AW$1)*'1. UC Assumptions'!$E$44,0)</f>
        <v>0</v>
      </c>
      <c r="AX124" s="183">
        <f>IF(H124="Dallas",(AC124/$AX$1)*'1. UC Assumptions'!$F$44,0)</f>
        <v>0</v>
      </c>
      <c r="AY124" s="183">
        <f>IF(H124="El Paso",(AC124/$AY$1)*'1. UC Assumptions'!$G$44,0)</f>
        <v>0</v>
      </c>
      <c r="AZ124" s="183">
        <f>IF(H124="Harris",(AC124/$AZ$1)*'1. UC Assumptions'!$H$44,0)</f>
        <v>0</v>
      </c>
      <c r="BA124" s="183">
        <f>IF(H124="Hidalgo",(AC124/$BA$1)*'1. UC Assumptions'!$I$44,0)</f>
        <v>0</v>
      </c>
      <c r="BB124" s="183">
        <f>IF(H124="Jefferson",(AC124/$BB$1)*'1. UC Assumptions'!$J$44,0)</f>
        <v>0</v>
      </c>
      <c r="BC124" s="183">
        <f>IF(H124="Lubbock",(AC124/$BC$1)*'1. UC Assumptions'!$K$44,0)</f>
        <v>0</v>
      </c>
      <c r="BD124" s="183">
        <f>IF(H124="MRSA Central",(AC124/$BD$1)*'1. UC Assumptions'!$L$44,0)</f>
        <v>0</v>
      </c>
      <c r="BE124" s="183">
        <f>IF(H124="MRSA Northeast",(AC124/$BE$1)*'1. UC Assumptions'!$M$44,0)</f>
        <v>0</v>
      </c>
      <c r="BF124" s="183">
        <f>IF(H124="MRSA West",(AC124/$BF$1)*'1. UC Assumptions'!$N$44,0)</f>
        <v>0</v>
      </c>
      <c r="BG124" s="183">
        <f>IF(H124="Nueces",(AC124/$BG$1)*'1. UC Assumptions'!$O$44,0)</f>
        <v>0</v>
      </c>
      <c r="BH124" s="183">
        <f>IF(H124="Tarrant",(AC124/$BH$1)*'1. UC Assumptions'!$P$44,0)</f>
        <v>0</v>
      </c>
      <c r="BI124" s="183">
        <f>IF(H124="Travis",(AC124/$BI$1)*'1. UC Assumptions'!$Q$44,0)</f>
        <v>0</v>
      </c>
      <c r="BJ124" s="183">
        <f t="shared" si="22"/>
        <v>0</v>
      </c>
      <c r="BK124" s="183">
        <f t="shared" si="23"/>
        <v>0</v>
      </c>
      <c r="BL124" s="183">
        <f t="shared" si="24"/>
        <v>794661.75</v>
      </c>
      <c r="BM124" s="184">
        <f t="shared" si="25"/>
        <v>564522.98</v>
      </c>
      <c r="BN124" s="184">
        <f>ROUNDDOWN(BM124*'1. UC Assumptions'!$C$23,2)</f>
        <v>186292.58</v>
      </c>
      <c r="BO124" s="184"/>
      <c r="BP124" s="185"/>
      <c r="BQ124" s="32"/>
      <c r="BR124" s="32"/>
    </row>
    <row r="125" spans="1:70">
      <c r="A125" s="177" t="s">
        <v>1425</v>
      </c>
      <c r="B125" s="178" t="s">
        <v>343</v>
      </c>
      <c r="C125" s="178" t="s">
        <v>343</v>
      </c>
      <c r="D125" s="179" t="s">
        <v>214</v>
      </c>
      <c r="E125" s="179"/>
      <c r="F125" s="177"/>
      <c r="G125" s="177" t="s">
        <v>1426</v>
      </c>
      <c r="H125" s="178" t="s">
        <v>8</v>
      </c>
      <c r="I125" s="178" t="s">
        <v>8</v>
      </c>
      <c r="J125" s="131">
        <f>IFERROR(INDEX(#REF!,(MATCH('Old Calc Tab'!C:C,#REF!,0))),0)</f>
        <v>0</v>
      </c>
      <c r="K125" s="131">
        <f>IFERROR(INDEX(#REF!,(MATCH('Old Calc Tab'!$C:$C,#REF!,0))),0)</f>
        <v>0</v>
      </c>
      <c r="L125" s="131"/>
      <c r="M125" s="131">
        <v>11639300.75</v>
      </c>
      <c r="N125" s="131">
        <f>IFERROR(INDEX(#REF!,(MATCH('Old Calc Tab'!$C:$C,#REF!,0))),0)</f>
        <v>0</v>
      </c>
      <c r="O125" s="131">
        <f t="shared" si="13"/>
        <v>0</v>
      </c>
      <c r="P125" s="131">
        <f t="shared" si="14"/>
        <v>11639300.75</v>
      </c>
      <c r="Q125" s="131"/>
      <c r="R125" s="131"/>
      <c r="S125" s="131"/>
      <c r="T125" s="131"/>
      <c r="U125" s="131"/>
      <c r="V125" s="131">
        <v>305042</v>
      </c>
      <c r="W125" s="180">
        <v>0</v>
      </c>
      <c r="X125" s="180">
        <f t="shared" si="15"/>
        <v>11944342.75</v>
      </c>
      <c r="Y125" s="181">
        <f>IF(D125="Physician Group Practice",(X125/$AE$369)*'1. UC Assumptions'!$C$15,IF(OR(E125="Rural Hospital",E125="Hosp - State"),X125,(X125/$X$369)*'1. UC Assumptions'!$C$9))</f>
        <v>7188858.281793084</v>
      </c>
      <c r="Z125" s="181">
        <f t="shared" si="16"/>
        <v>0</v>
      </c>
      <c r="AA125" s="181">
        <f t="shared" si="17"/>
        <v>4755484.468206916</v>
      </c>
      <c r="AB125" s="182">
        <f t="shared" si="18"/>
        <v>2553.843265076544</v>
      </c>
      <c r="AC125" s="181">
        <f t="shared" si="19"/>
        <v>4758038.3114719922</v>
      </c>
      <c r="AD125" s="181">
        <f t="shared" si="20"/>
        <v>7191412.1250581602</v>
      </c>
      <c r="AE125" s="131">
        <v>7214791.6200000001</v>
      </c>
      <c r="AF125" s="131">
        <f>AE125*'1. UC Assumptions'!$C$23</f>
        <v>2380881.2345999996</v>
      </c>
      <c r="AG125" s="183">
        <f>IF((((X125-W125-AE125)*'1. UC Assumptions'!$C$23)+AF125)&gt;0,((X125-W125-AE125)*'1. UC Assumptions'!$C$23)+AF125,0)</f>
        <v>3941633.1074999995</v>
      </c>
      <c r="AH125" s="183">
        <f>IF(((X125-W125-AE125)*'1. UC Assumptions'!$C$23)&gt;0,(X125-W125-AE125)*'1. UC Assumptions'!$C$23,0)</f>
        <v>1560751.8728999998</v>
      </c>
      <c r="AI125" s="183">
        <f t="shared" si="21"/>
        <v>3941633.1074999995</v>
      </c>
      <c r="AJ125" s="183">
        <f>IF(H125="Bexar",(AD125/$AJ$1)*'1. UC Assumptions'!$E$42,0)</f>
        <v>0</v>
      </c>
      <c r="AK125" s="183">
        <f>IF(H125="Dallas",(AD125/$AK$1)*'1. UC Assumptions'!$F$42,0)</f>
        <v>0</v>
      </c>
      <c r="AL125" s="183">
        <f>IF(H125="El Paso",(AD125/$AL$1)*'1. UC Assumptions'!$G$42,0)</f>
        <v>0</v>
      </c>
      <c r="AM125" s="183">
        <f>IF(H125="Harris",(AD125/$AM$1)*'1. UC Assumptions'!$H$42,0)</f>
        <v>0</v>
      </c>
      <c r="AN125" s="183">
        <f>IF(H125="Hidalgo",(AD125/$AN$1)*'1. UC Assumptions'!$I$42,0)</f>
        <v>0</v>
      </c>
      <c r="AO125" s="183">
        <f>IF(H125="Jefferson",(AD125/$AO$1)*'1. UC Assumptions'!$J$42,0)</f>
        <v>0</v>
      </c>
      <c r="AP125" s="183">
        <f>IF(H125="Lubbock",(AD125/$AP$1)*'1. UC Assumptions'!$K$42,0)</f>
        <v>0</v>
      </c>
      <c r="AQ125" s="183">
        <f>IF(H125="MRSA Central",(AD125/$AQ$1)*'1. UC Assumptions'!$L$42,0)</f>
        <v>0</v>
      </c>
      <c r="AR125" s="183">
        <f>IF(H125="MRSA Northeast",(AD125/$AR$1)*'1. UC Assumptions'!$M$42,0)</f>
        <v>0</v>
      </c>
      <c r="AS125" s="183">
        <f>IF(H125="MRSA West",(AD125/$AS$1)*'1. UC Assumptions'!$N$42,0)</f>
        <v>0</v>
      </c>
      <c r="AT125" s="183">
        <f>IF(H125="Nueces",(AD125/$AT$1)*'1. UC Assumptions'!$O$42,0)</f>
        <v>0</v>
      </c>
      <c r="AU125" s="183">
        <f>IF(H125="Tarrant",(AD125/$AU$1)*'1. UC Assumptions'!$P$42,0)</f>
        <v>0</v>
      </c>
      <c r="AV125" s="183">
        <f>IF(H125="Travis",(AD125/$AV$1)*'1. UC Assumptions'!$Q$42,0)</f>
        <v>0</v>
      </c>
      <c r="AW125" s="183">
        <f>IF(H125="Bexar",(AC125/$AW$1)*'1. UC Assumptions'!$E$44,0)</f>
        <v>0</v>
      </c>
      <c r="AX125" s="183">
        <f>IF(H125="Dallas",(AC125/$AX$1)*'1. UC Assumptions'!$F$44,0)</f>
        <v>0</v>
      </c>
      <c r="AY125" s="183">
        <f>IF(H125="El Paso",(AC125/$AY$1)*'1. UC Assumptions'!$G$44,0)</f>
        <v>0</v>
      </c>
      <c r="AZ125" s="183">
        <f>IF(H125="Harris",(AC125/$AZ$1)*'1. UC Assumptions'!$H$44,0)</f>
        <v>0</v>
      </c>
      <c r="BA125" s="183">
        <f>IF(H125="Hidalgo",(AC125/$BA$1)*'1. UC Assumptions'!$I$44,0)</f>
        <v>0</v>
      </c>
      <c r="BB125" s="183">
        <f>IF(H125="Jefferson",(AC125/$BB$1)*'1. UC Assumptions'!$J$44,0)</f>
        <v>0</v>
      </c>
      <c r="BC125" s="183">
        <f>IF(H125="Lubbock",(AC125/$BC$1)*'1. UC Assumptions'!$K$44,0)</f>
        <v>0</v>
      </c>
      <c r="BD125" s="183">
        <f>IF(H125="MRSA Central",(AC125/$BD$1)*'1. UC Assumptions'!$L$44,0)</f>
        <v>0</v>
      </c>
      <c r="BE125" s="183">
        <f>IF(H125="MRSA Northeast",(AC125/$BE$1)*'1. UC Assumptions'!$M$44,0)</f>
        <v>0</v>
      </c>
      <c r="BF125" s="183">
        <f>IF(H125="MRSA West",(AC125/$BF$1)*'1. UC Assumptions'!$N$44,0)</f>
        <v>0</v>
      </c>
      <c r="BG125" s="183">
        <f>IF(H125="Nueces",(AC125/$BG$1)*'1. UC Assumptions'!$O$44,0)</f>
        <v>0</v>
      </c>
      <c r="BH125" s="183">
        <f>IF(H125="Tarrant",(AC125/$BH$1)*'1. UC Assumptions'!$P$44,0)</f>
        <v>0</v>
      </c>
      <c r="BI125" s="183">
        <f>IF(H125="Travis",(AC125/$BI$1)*'1. UC Assumptions'!$Q$44,0)</f>
        <v>0</v>
      </c>
      <c r="BJ125" s="183">
        <f t="shared" si="22"/>
        <v>0</v>
      </c>
      <c r="BK125" s="183">
        <f t="shared" si="23"/>
        <v>0</v>
      </c>
      <c r="BL125" s="183">
        <f t="shared" si="24"/>
        <v>7191412.1250581602</v>
      </c>
      <c r="BM125" s="184">
        <f t="shared" si="25"/>
        <v>-23379.494941839948</v>
      </c>
      <c r="BN125" s="184">
        <f>ROUNDDOWN(BM125*'1. UC Assumptions'!$C$23,2)</f>
        <v>-7715.23</v>
      </c>
      <c r="BO125" s="184"/>
      <c r="BP125" s="185"/>
      <c r="BQ125" s="32"/>
      <c r="BR125" s="32"/>
    </row>
    <row r="126" spans="1:70">
      <c r="A126" s="177" t="s">
        <v>1427</v>
      </c>
      <c r="B126" s="178" t="s">
        <v>436</v>
      </c>
      <c r="C126" s="178" t="s">
        <v>436</v>
      </c>
      <c r="D126" s="179" t="s">
        <v>214</v>
      </c>
      <c r="E126" s="179" t="s">
        <v>149</v>
      </c>
      <c r="F126" s="177"/>
      <c r="G126" s="177" t="s">
        <v>1428</v>
      </c>
      <c r="H126" s="178" t="s">
        <v>8</v>
      </c>
      <c r="I126" s="178" t="s">
        <v>438</v>
      </c>
      <c r="J126" s="131">
        <f>IFERROR(INDEX(#REF!,(MATCH('Old Calc Tab'!C:C,#REF!,0))),0)</f>
        <v>0</v>
      </c>
      <c r="K126" s="131">
        <f>IFERROR(INDEX(#REF!,(MATCH('Old Calc Tab'!$C:$C,#REF!,0))),0)</f>
        <v>0</v>
      </c>
      <c r="L126" s="131"/>
      <c r="M126" s="131">
        <v>1603839.9000000001</v>
      </c>
      <c r="N126" s="131">
        <f>IFERROR(INDEX(#REF!,(MATCH('Old Calc Tab'!$C:$C,#REF!,0))),0)</f>
        <v>0</v>
      </c>
      <c r="O126" s="131">
        <f t="shared" si="13"/>
        <v>0</v>
      </c>
      <c r="P126" s="131">
        <f t="shared" si="14"/>
        <v>1603839.9000000001</v>
      </c>
      <c r="Q126" s="131"/>
      <c r="R126" s="131"/>
      <c r="S126" s="131"/>
      <c r="T126" s="131"/>
      <c r="U126" s="131"/>
      <c r="V126" s="131">
        <v>0</v>
      </c>
      <c r="W126" s="180">
        <v>0</v>
      </c>
      <c r="X126" s="180">
        <f t="shared" si="15"/>
        <v>1603839.9000000001</v>
      </c>
      <c r="Y126" s="181">
        <f>IF(D126="Physician Group Practice",(X126/$AE$369)*'1. UC Assumptions'!$C$15,IF(OR(E126="Rural Hospital",E126="Hosp - State"),X126,(X126/$X$369)*'1. UC Assumptions'!$C$9))</f>
        <v>1603839.9000000001</v>
      </c>
      <c r="Z126" s="181">
        <f t="shared" si="16"/>
        <v>0</v>
      </c>
      <c r="AA126" s="181">
        <f t="shared" si="17"/>
        <v>0</v>
      </c>
      <c r="AB126" s="182">
        <f t="shared" si="18"/>
        <v>0</v>
      </c>
      <c r="AC126" s="181">
        <f t="shared" si="19"/>
        <v>0</v>
      </c>
      <c r="AD126" s="181">
        <f t="shared" si="20"/>
        <v>1603839.9000000001</v>
      </c>
      <c r="AE126" s="131">
        <v>1098052.1200000001</v>
      </c>
      <c r="AF126" s="131">
        <f>AE126*'1. UC Assumptions'!$C$23</f>
        <v>362357.19959999999</v>
      </c>
      <c r="AG126" s="183">
        <f>IF((((X126-W126-AE126)*'1. UC Assumptions'!$C$23)+AF126)&gt;0,((X126-W126-AE126)*'1. UC Assumptions'!$C$23)+AF126,0)</f>
        <v>529267.16700000002</v>
      </c>
      <c r="AH126" s="183">
        <f>IF(((X126-W126-AE126)*'1. UC Assumptions'!$C$23)&gt;0,(X126-W126-AE126)*'1. UC Assumptions'!$C$23,0)</f>
        <v>166909.96739999999</v>
      </c>
      <c r="AI126" s="183">
        <f t="shared" si="21"/>
        <v>529267.16700000002</v>
      </c>
      <c r="AJ126" s="183">
        <f>IF(H126="Bexar",(AD126/$AJ$1)*'1. UC Assumptions'!$E$42,0)</f>
        <v>0</v>
      </c>
      <c r="AK126" s="183">
        <f>IF(H126="Dallas",(AD126/$AK$1)*'1. UC Assumptions'!$F$42,0)</f>
        <v>0</v>
      </c>
      <c r="AL126" s="183">
        <f>IF(H126="El Paso",(AD126/$AL$1)*'1. UC Assumptions'!$G$42,0)</f>
        <v>0</v>
      </c>
      <c r="AM126" s="183">
        <f>IF(H126="Harris",(AD126/$AM$1)*'1. UC Assumptions'!$H$42,0)</f>
        <v>0</v>
      </c>
      <c r="AN126" s="183">
        <f>IF(H126="Hidalgo",(AD126/$AN$1)*'1. UC Assumptions'!$I$42,0)</f>
        <v>0</v>
      </c>
      <c r="AO126" s="183">
        <f>IF(H126="Jefferson",(AD126/$AO$1)*'1. UC Assumptions'!$J$42,0)</f>
        <v>0</v>
      </c>
      <c r="AP126" s="183">
        <f>IF(H126="Lubbock",(AD126/$AP$1)*'1. UC Assumptions'!$K$42,0)</f>
        <v>0</v>
      </c>
      <c r="AQ126" s="183">
        <f>IF(H126="MRSA Central",(AD126/$AQ$1)*'1. UC Assumptions'!$L$42,0)</f>
        <v>0</v>
      </c>
      <c r="AR126" s="183">
        <f>IF(H126="MRSA Northeast",(AD126/$AR$1)*'1. UC Assumptions'!$M$42,0)</f>
        <v>0</v>
      </c>
      <c r="AS126" s="183">
        <f>IF(H126="MRSA West",(AD126/$AS$1)*'1. UC Assumptions'!$N$42,0)</f>
        <v>0</v>
      </c>
      <c r="AT126" s="183">
        <f>IF(H126="Nueces",(AD126/$AT$1)*'1. UC Assumptions'!$O$42,0)</f>
        <v>0</v>
      </c>
      <c r="AU126" s="183">
        <f>IF(H126="Tarrant",(AD126/$AU$1)*'1. UC Assumptions'!$P$42,0)</f>
        <v>0</v>
      </c>
      <c r="AV126" s="183">
        <f>IF(H126="Travis",(AD126/$AV$1)*'1. UC Assumptions'!$Q$42,0)</f>
        <v>0</v>
      </c>
      <c r="AW126" s="183">
        <f>IF(H126="Bexar",(AC126/$AW$1)*'1. UC Assumptions'!$E$44,0)</f>
        <v>0</v>
      </c>
      <c r="AX126" s="183">
        <f>IF(H126="Dallas",(AC126/$AX$1)*'1. UC Assumptions'!$F$44,0)</f>
        <v>0</v>
      </c>
      <c r="AY126" s="183">
        <f>IF(H126="El Paso",(AC126/$AY$1)*'1. UC Assumptions'!$G$44,0)</f>
        <v>0</v>
      </c>
      <c r="AZ126" s="183">
        <f>IF(H126="Harris",(AC126/$AZ$1)*'1. UC Assumptions'!$H$44,0)</f>
        <v>0</v>
      </c>
      <c r="BA126" s="183">
        <f>IF(H126="Hidalgo",(AC126/$BA$1)*'1. UC Assumptions'!$I$44,0)</f>
        <v>0</v>
      </c>
      <c r="BB126" s="183">
        <f>IF(H126="Jefferson",(AC126/$BB$1)*'1. UC Assumptions'!$J$44,0)</f>
        <v>0</v>
      </c>
      <c r="BC126" s="183">
        <f>IF(H126="Lubbock",(AC126/$BC$1)*'1. UC Assumptions'!$K$44,0)</f>
        <v>0</v>
      </c>
      <c r="BD126" s="183">
        <f>IF(H126="MRSA Central",(AC126/$BD$1)*'1. UC Assumptions'!$L$44,0)</f>
        <v>0</v>
      </c>
      <c r="BE126" s="183">
        <f>IF(H126="MRSA Northeast",(AC126/$BE$1)*'1. UC Assumptions'!$M$44,0)</f>
        <v>0</v>
      </c>
      <c r="BF126" s="183">
        <f>IF(H126="MRSA West",(AC126/$BF$1)*'1. UC Assumptions'!$N$44,0)</f>
        <v>0</v>
      </c>
      <c r="BG126" s="183">
        <f>IF(H126="Nueces",(AC126/$BG$1)*'1. UC Assumptions'!$O$44,0)</f>
        <v>0</v>
      </c>
      <c r="BH126" s="183">
        <f>IF(H126="Tarrant",(AC126/$BH$1)*'1. UC Assumptions'!$P$44,0)</f>
        <v>0</v>
      </c>
      <c r="BI126" s="183">
        <f>IF(H126="Travis",(AC126/$BI$1)*'1. UC Assumptions'!$Q$44,0)</f>
        <v>0</v>
      </c>
      <c r="BJ126" s="183">
        <f t="shared" si="22"/>
        <v>0</v>
      </c>
      <c r="BK126" s="183">
        <f t="shared" si="23"/>
        <v>0</v>
      </c>
      <c r="BL126" s="183">
        <f t="shared" si="24"/>
        <v>1603839.9000000001</v>
      </c>
      <c r="BM126" s="184">
        <f t="shared" si="25"/>
        <v>505787.78</v>
      </c>
      <c r="BN126" s="184">
        <f>ROUNDDOWN(BM126*'1. UC Assumptions'!$C$23,2)</f>
        <v>166909.96</v>
      </c>
      <c r="BO126" s="184"/>
      <c r="BP126" s="185"/>
      <c r="BQ126" s="32"/>
      <c r="BR126" s="32"/>
    </row>
    <row r="127" spans="1:70">
      <c r="A127" s="177" t="s">
        <v>1429</v>
      </c>
      <c r="B127" s="178" t="s">
        <v>450</v>
      </c>
      <c r="C127" s="178" t="s">
        <v>450</v>
      </c>
      <c r="D127" s="179" t="s">
        <v>214</v>
      </c>
      <c r="E127" s="179" t="s">
        <v>149</v>
      </c>
      <c r="F127" s="177"/>
      <c r="G127" s="177" t="s">
        <v>1430</v>
      </c>
      <c r="H127" s="178" t="s">
        <v>8</v>
      </c>
      <c r="I127" s="178" t="s">
        <v>452</v>
      </c>
      <c r="J127" s="131">
        <f>IFERROR(INDEX(#REF!,(MATCH('Old Calc Tab'!C:C,#REF!,0))),0)</f>
        <v>0</v>
      </c>
      <c r="K127" s="131">
        <f>IFERROR(INDEX(#REF!,(MATCH('Old Calc Tab'!$C:$C,#REF!,0))),0)</f>
        <v>0</v>
      </c>
      <c r="L127" s="131"/>
      <c r="M127" s="131">
        <v>3783658</v>
      </c>
      <c r="N127" s="131">
        <f>IFERROR(INDEX(#REF!,(MATCH('Old Calc Tab'!$C:$C,#REF!,0))),0)</f>
        <v>0</v>
      </c>
      <c r="O127" s="131">
        <f t="shared" si="13"/>
        <v>0</v>
      </c>
      <c r="P127" s="131">
        <f t="shared" si="14"/>
        <v>3783658</v>
      </c>
      <c r="Q127" s="131"/>
      <c r="R127" s="131"/>
      <c r="S127" s="131"/>
      <c r="T127" s="131"/>
      <c r="U127" s="131"/>
      <c r="V127" s="131">
        <v>0</v>
      </c>
      <c r="W127" s="180">
        <v>0</v>
      </c>
      <c r="X127" s="180">
        <f t="shared" si="15"/>
        <v>3783658</v>
      </c>
      <c r="Y127" s="181">
        <f>IF(D127="Physician Group Practice",(X127/$AE$369)*'1. UC Assumptions'!$C$15,IF(OR(E127="Rural Hospital",E127="Hosp - State"),X127,(X127/$X$369)*'1. UC Assumptions'!$C$9))</f>
        <v>3783658</v>
      </c>
      <c r="Z127" s="181">
        <f t="shared" si="16"/>
        <v>0</v>
      </c>
      <c r="AA127" s="181">
        <f t="shared" si="17"/>
        <v>0</v>
      </c>
      <c r="AB127" s="182">
        <f t="shared" si="18"/>
        <v>0</v>
      </c>
      <c r="AC127" s="181">
        <f t="shared" si="19"/>
        <v>0</v>
      </c>
      <c r="AD127" s="181">
        <f t="shared" si="20"/>
        <v>3783658</v>
      </c>
      <c r="AE127" s="131">
        <v>561057.51</v>
      </c>
      <c r="AF127" s="131">
        <f>AE127*'1. UC Assumptions'!$C$23</f>
        <v>185148.97829999999</v>
      </c>
      <c r="AG127" s="183">
        <f>IF((((X127-W127-AE127)*'1. UC Assumptions'!$C$23)+AF127)&gt;0,((X127-W127-AE127)*'1. UC Assumptions'!$C$23)+AF127,0)</f>
        <v>1248607.1400000001</v>
      </c>
      <c r="AH127" s="183"/>
      <c r="AI127" s="183">
        <f t="shared" si="21"/>
        <v>185148.97829999999</v>
      </c>
      <c r="AJ127" s="183">
        <f>IF(H127="Bexar",(AD127/$AJ$1)*'1. UC Assumptions'!$E$42,0)</f>
        <v>0</v>
      </c>
      <c r="AK127" s="183">
        <f>IF(H127="Dallas",(AD127/$AK$1)*'1. UC Assumptions'!$F$42,0)</f>
        <v>0</v>
      </c>
      <c r="AL127" s="183">
        <f>IF(H127="El Paso",(AD127/$AL$1)*'1. UC Assumptions'!$G$42,0)</f>
        <v>0</v>
      </c>
      <c r="AM127" s="183">
        <f>IF(H127="Harris",(AD127/$AM$1)*'1. UC Assumptions'!$H$42,0)</f>
        <v>0</v>
      </c>
      <c r="AN127" s="183">
        <f>IF(H127="Hidalgo",(AD127/$AN$1)*'1. UC Assumptions'!$I$42,0)</f>
        <v>0</v>
      </c>
      <c r="AO127" s="183">
        <f>IF(H127="Jefferson",(AD127/$AO$1)*'1. UC Assumptions'!$J$42,0)</f>
        <v>0</v>
      </c>
      <c r="AP127" s="183">
        <f>IF(H127="Lubbock",(AD127/$AP$1)*'1. UC Assumptions'!$K$42,0)</f>
        <v>0</v>
      </c>
      <c r="AQ127" s="183">
        <f>IF(H127="MRSA Central",(AD127/$AQ$1)*'1. UC Assumptions'!$L$42,0)</f>
        <v>0</v>
      </c>
      <c r="AR127" s="183">
        <f>IF(H127="MRSA Northeast",(AD127/$AR$1)*'1. UC Assumptions'!$M$42,0)</f>
        <v>0</v>
      </c>
      <c r="AS127" s="183">
        <f>IF(H127="MRSA West",(AD127/$AS$1)*'1. UC Assumptions'!$N$42,0)</f>
        <v>0</v>
      </c>
      <c r="AT127" s="183">
        <f>IF(H127="Nueces",(AD127/$AT$1)*'1. UC Assumptions'!$O$42,0)</f>
        <v>0</v>
      </c>
      <c r="AU127" s="183">
        <f>IF(H127="Tarrant",(AD127/$AU$1)*'1. UC Assumptions'!$P$42,0)</f>
        <v>0</v>
      </c>
      <c r="AV127" s="183">
        <f>IF(H127="Travis",(AD127/$AV$1)*'1. UC Assumptions'!$Q$42,0)</f>
        <v>0</v>
      </c>
      <c r="AW127" s="183">
        <f>IF(H127="Bexar",(AC127/$AW$1)*'1. UC Assumptions'!$E$44,0)</f>
        <v>0</v>
      </c>
      <c r="AX127" s="183">
        <f>IF(H127="Dallas",(AC127/$AX$1)*'1. UC Assumptions'!$F$44,0)</f>
        <v>0</v>
      </c>
      <c r="AY127" s="183">
        <f>IF(H127="El Paso",(AC127/$AY$1)*'1. UC Assumptions'!$G$44,0)</f>
        <v>0</v>
      </c>
      <c r="AZ127" s="183">
        <f>IF(H127="Harris",(AC127/$AZ$1)*'1. UC Assumptions'!$H$44,0)</f>
        <v>0</v>
      </c>
      <c r="BA127" s="183">
        <f>IF(H127="Hidalgo",(AC127/$BA$1)*'1. UC Assumptions'!$I$44,0)</f>
        <v>0</v>
      </c>
      <c r="BB127" s="183">
        <f>IF(H127="Jefferson",(AC127/$BB$1)*'1. UC Assumptions'!$J$44,0)</f>
        <v>0</v>
      </c>
      <c r="BC127" s="183">
        <f>IF(H127="Lubbock",(AC127/$BC$1)*'1. UC Assumptions'!$K$44,0)</f>
        <v>0</v>
      </c>
      <c r="BD127" s="183">
        <f>IF(H127="MRSA Central",(AC127/$BD$1)*'1. UC Assumptions'!$L$44,0)</f>
        <v>0</v>
      </c>
      <c r="BE127" s="183">
        <f>IF(H127="MRSA Northeast",(AC127/$BE$1)*'1. UC Assumptions'!$M$44,0)</f>
        <v>0</v>
      </c>
      <c r="BF127" s="183">
        <f>IF(H127="MRSA West",(AC127/$BF$1)*'1. UC Assumptions'!$N$44,0)</f>
        <v>0</v>
      </c>
      <c r="BG127" s="183">
        <f>IF(H127="Nueces",(AC127/$BG$1)*'1. UC Assumptions'!$O$44,0)</f>
        <v>0</v>
      </c>
      <c r="BH127" s="183">
        <f>IF(H127="Tarrant",(AC127/$BH$1)*'1. UC Assumptions'!$P$44,0)</f>
        <v>0</v>
      </c>
      <c r="BI127" s="183">
        <f>IF(H127="Travis",(AC127/$BI$1)*'1. UC Assumptions'!$Q$44,0)</f>
        <v>0</v>
      </c>
      <c r="BJ127" s="183">
        <f t="shared" si="22"/>
        <v>0</v>
      </c>
      <c r="BK127" s="183">
        <f t="shared" si="23"/>
        <v>0</v>
      </c>
      <c r="BL127" s="183">
        <f t="shared" si="24"/>
        <v>3783658</v>
      </c>
      <c r="BM127" s="184">
        <f t="shared" si="25"/>
        <v>3222600.49</v>
      </c>
      <c r="BN127" s="184">
        <f>ROUNDDOWN(BM127*'1. UC Assumptions'!$C$23,2)</f>
        <v>1063458.1599999999</v>
      </c>
      <c r="BO127" s="184"/>
      <c r="BP127" s="185"/>
      <c r="BQ127" s="32"/>
      <c r="BR127" s="32"/>
    </row>
    <row r="128" spans="1:70">
      <c r="A128" s="177" t="s">
        <v>1431</v>
      </c>
      <c r="B128" s="178" t="s">
        <v>699</v>
      </c>
      <c r="C128" s="178" t="s">
        <v>699</v>
      </c>
      <c r="D128" s="179" t="s">
        <v>208</v>
      </c>
      <c r="E128" s="179" t="s">
        <v>149</v>
      </c>
      <c r="F128" s="177"/>
      <c r="G128" s="177" t="s">
        <v>1432</v>
      </c>
      <c r="H128" s="178" t="s">
        <v>8</v>
      </c>
      <c r="I128" s="178" t="s">
        <v>701</v>
      </c>
      <c r="J128" s="131">
        <f>IFERROR(INDEX(#REF!,(MATCH('Old Calc Tab'!C:C,#REF!,0))),0)</f>
        <v>0</v>
      </c>
      <c r="K128" s="131">
        <f>IFERROR(INDEX(#REF!,(MATCH('Old Calc Tab'!$C:$C,#REF!,0))),0)</f>
        <v>0</v>
      </c>
      <c r="L128" s="131"/>
      <c r="M128" s="131">
        <v>521066.09939999995</v>
      </c>
      <c r="N128" s="131">
        <f>IFERROR(INDEX(#REF!,(MATCH('Old Calc Tab'!$C:$C,#REF!,0))),0)</f>
        <v>0</v>
      </c>
      <c r="O128" s="131">
        <f t="shared" si="13"/>
        <v>0</v>
      </c>
      <c r="P128" s="131">
        <f t="shared" si="14"/>
        <v>521066.09939999995</v>
      </c>
      <c r="Q128" s="131"/>
      <c r="R128" s="131"/>
      <c r="S128" s="131"/>
      <c r="T128" s="131"/>
      <c r="U128" s="131"/>
      <c r="V128" s="131">
        <v>65502</v>
      </c>
      <c r="W128" s="180">
        <v>0</v>
      </c>
      <c r="X128" s="180">
        <f t="shared" si="15"/>
        <v>586568.09939999995</v>
      </c>
      <c r="Y128" s="181">
        <f>IF(D128="Physician Group Practice",(X128/$AE$369)*'1. UC Assumptions'!$C$15,IF(OR(E128="Rural Hospital",E128="Hosp - State"),X128,(X128/$X$369)*'1. UC Assumptions'!$C$9))</f>
        <v>586568.09939999995</v>
      </c>
      <c r="Z128" s="181">
        <f t="shared" si="16"/>
        <v>0</v>
      </c>
      <c r="AA128" s="181">
        <f t="shared" si="17"/>
        <v>0</v>
      </c>
      <c r="AB128" s="182">
        <f t="shared" si="18"/>
        <v>0</v>
      </c>
      <c r="AC128" s="181">
        <f t="shared" si="19"/>
        <v>0</v>
      </c>
      <c r="AD128" s="181">
        <f t="shared" si="20"/>
        <v>586568.09939999995</v>
      </c>
      <c r="AE128" s="131">
        <v>399956.07</v>
      </c>
      <c r="AF128" s="131">
        <f>AE128*'1. UC Assumptions'!$C$23</f>
        <v>131985.50309999997</v>
      </c>
      <c r="AG128" s="183">
        <f>IF((((X128-W128-AE128)*'1. UC Assumptions'!$C$23)+AF128)&gt;0,((X128-W128-AE128)*'1. UC Assumptions'!$C$23)+AF128,0)</f>
        <v>193567.47280199995</v>
      </c>
      <c r="AH128" s="183"/>
      <c r="AI128" s="183">
        <f t="shared" si="21"/>
        <v>131985.50309999997</v>
      </c>
      <c r="AJ128" s="183">
        <f>IF(H128="Bexar",(AD128/$AJ$1)*'1. UC Assumptions'!$E$42,0)</f>
        <v>0</v>
      </c>
      <c r="AK128" s="183">
        <f>IF(H128="Dallas",(AD128/$AK$1)*'1. UC Assumptions'!$F$42,0)</f>
        <v>0</v>
      </c>
      <c r="AL128" s="183">
        <f>IF(H128="El Paso",(AD128/$AL$1)*'1. UC Assumptions'!$G$42,0)</f>
        <v>0</v>
      </c>
      <c r="AM128" s="183">
        <f>IF(H128="Harris",(AD128/$AM$1)*'1. UC Assumptions'!$H$42,0)</f>
        <v>0</v>
      </c>
      <c r="AN128" s="183">
        <f>IF(H128="Hidalgo",(AD128/$AN$1)*'1. UC Assumptions'!$I$42,0)</f>
        <v>0</v>
      </c>
      <c r="AO128" s="183">
        <f>IF(H128="Jefferson",(AD128/$AO$1)*'1. UC Assumptions'!$J$42,0)</f>
        <v>0</v>
      </c>
      <c r="AP128" s="183">
        <f>IF(H128="Lubbock",(AD128/$AP$1)*'1. UC Assumptions'!$K$42,0)</f>
        <v>0</v>
      </c>
      <c r="AQ128" s="183">
        <f>IF(H128="MRSA Central",(AD128/$AQ$1)*'1. UC Assumptions'!$L$42,0)</f>
        <v>0</v>
      </c>
      <c r="AR128" s="183">
        <f>IF(H128="MRSA Northeast",(AD128/$AR$1)*'1. UC Assumptions'!$M$42,0)</f>
        <v>0</v>
      </c>
      <c r="AS128" s="183">
        <f>IF(H128="MRSA West",(AD128/$AS$1)*'1. UC Assumptions'!$N$42,0)</f>
        <v>0</v>
      </c>
      <c r="AT128" s="183">
        <f>IF(H128="Nueces",(AD128/$AT$1)*'1. UC Assumptions'!$O$42,0)</f>
        <v>0</v>
      </c>
      <c r="AU128" s="183">
        <f>IF(H128="Tarrant",(AD128/$AU$1)*'1. UC Assumptions'!$P$42,0)</f>
        <v>0</v>
      </c>
      <c r="AV128" s="183">
        <f>IF(H128="Travis",(AD128/$AV$1)*'1. UC Assumptions'!$Q$42,0)</f>
        <v>0</v>
      </c>
      <c r="AW128" s="183">
        <f>IF(H128="Bexar",(AC128/$AW$1)*'1. UC Assumptions'!$E$44,0)</f>
        <v>0</v>
      </c>
      <c r="AX128" s="183">
        <f>IF(H128="Dallas",(AC128/$AX$1)*'1. UC Assumptions'!$F$44,0)</f>
        <v>0</v>
      </c>
      <c r="AY128" s="183">
        <f>IF(H128="El Paso",(AC128/$AY$1)*'1. UC Assumptions'!$G$44,0)</f>
        <v>0</v>
      </c>
      <c r="AZ128" s="183">
        <f>IF(H128="Harris",(AC128/$AZ$1)*'1. UC Assumptions'!$H$44,0)</f>
        <v>0</v>
      </c>
      <c r="BA128" s="183">
        <f>IF(H128="Hidalgo",(AC128/$BA$1)*'1. UC Assumptions'!$I$44,0)</f>
        <v>0</v>
      </c>
      <c r="BB128" s="183">
        <f>IF(H128="Jefferson",(AC128/$BB$1)*'1. UC Assumptions'!$J$44,0)</f>
        <v>0</v>
      </c>
      <c r="BC128" s="183">
        <f>IF(H128="Lubbock",(AC128/$BC$1)*'1. UC Assumptions'!$K$44,0)</f>
        <v>0</v>
      </c>
      <c r="BD128" s="183">
        <f>IF(H128="MRSA Central",(AC128/$BD$1)*'1. UC Assumptions'!$L$44,0)</f>
        <v>0</v>
      </c>
      <c r="BE128" s="183">
        <f>IF(H128="MRSA Northeast",(AC128/$BE$1)*'1. UC Assumptions'!$M$44,0)</f>
        <v>0</v>
      </c>
      <c r="BF128" s="183">
        <f>IF(H128="MRSA West",(AC128/$BF$1)*'1. UC Assumptions'!$N$44,0)</f>
        <v>0</v>
      </c>
      <c r="BG128" s="183">
        <f>IF(H128="Nueces",(AC128/$BG$1)*'1. UC Assumptions'!$O$44,0)</f>
        <v>0</v>
      </c>
      <c r="BH128" s="183">
        <f>IF(H128="Tarrant",(AC128/$BH$1)*'1. UC Assumptions'!$P$44,0)</f>
        <v>0</v>
      </c>
      <c r="BI128" s="183">
        <f>IF(H128="Travis",(AC128/$BI$1)*'1. UC Assumptions'!$Q$44,0)</f>
        <v>0</v>
      </c>
      <c r="BJ128" s="183">
        <f t="shared" si="22"/>
        <v>0</v>
      </c>
      <c r="BK128" s="183">
        <f t="shared" si="23"/>
        <v>0</v>
      </c>
      <c r="BL128" s="183">
        <f t="shared" si="24"/>
        <v>586568.09939999995</v>
      </c>
      <c r="BM128" s="184">
        <f t="shared" si="25"/>
        <v>186612.02939999994</v>
      </c>
      <c r="BN128" s="184">
        <f>ROUNDDOWN(BM128*'1. UC Assumptions'!$C$23,2)</f>
        <v>61581.96</v>
      </c>
      <c r="BO128" s="184"/>
      <c r="BP128" s="185"/>
      <c r="BQ128" s="32"/>
      <c r="BR128" s="32"/>
    </row>
    <row r="129" spans="1:70">
      <c r="A129" s="177" t="s">
        <v>1433</v>
      </c>
      <c r="B129" s="178" t="s">
        <v>748</v>
      </c>
      <c r="C129" s="178" t="s">
        <v>748</v>
      </c>
      <c r="D129" s="179" t="s">
        <v>214</v>
      </c>
      <c r="E129" s="179"/>
      <c r="F129" s="177"/>
      <c r="G129" s="177" t="s">
        <v>1434</v>
      </c>
      <c r="H129" s="178" t="s">
        <v>8</v>
      </c>
      <c r="I129" s="178" t="s">
        <v>8</v>
      </c>
      <c r="J129" s="131">
        <f>IFERROR(INDEX(#REF!,(MATCH('Old Calc Tab'!C:C,#REF!,0))),0)</f>
        <v>0</v>
      </c>
      <c r="K129" s="131">
        <f>IFERROR(INDEX(#REF!,(MATCH('Old Calc Tab'!$C:$C,#REF!,0))),0)</f>
        <v>0</v>
      </c>
      <c r="L129" s="131"/>
      <c r="M129" s="131">
        <v>24920072</v>
      </c>
      <c r="N129" s="131">
        <f>IFERROR(INDEX(#REF!,(MATCH('Old Calc Tab'!$C:$C,#REF!,0))),0)</f>
        <v>0</v>
      </c>
      <c r="O129" s="131">
        <f t="shared" si="13"/>
        <v>0</v>
      </c>
      <c r="P129" s="131">
        <f t="shared" si="14"/>
        <v>24920072</v>
      </c>
      <c r="Q129" s="131"/>
      <c r="R129" s="131"/>
      <c r="S129" s="131"/>
      <c r="T129" s="131"/>
      <c r="U129" s="131"/>
      <c r="V129" s="131">
        <v>550723</v>
      </c>
      <c r="W129" s="180">
        <v>0</v>
      </c>
      <c r="X129" s="180">
        <f t="shared" si="15"/>
        <v>25470795</v>
      </c>
      <c r="Y129" s="181">
        <f>IF(D129="Physician Group Practice",(X129/$AE$369)*'1. UC Assumptions'!$C$15,IF(OR(E129="Rural Hospital",E129="Hosp - State"),X129,(X129/$X$369)*'1. UC Assumptions'!$C$9))</f>
        <v>15329929.776136395</v>
      </c>
      <c r="Z129" s="181">
        <f t="shared" si="16"/>
        <v>0</v>
      </c>
      <c r="AA129" s="181">
        <f t="shared" si="17"/>
        <v>10140865.223863605</v>
      </c>
      <c r="AB129" s="182">
        <f t="shared" si="18"/>
        <v>5445.9604541150084</v>
      </c>
      <c r="AC129" s="181">
        <f t="shared" si="19"/>
        <v>10146311.184317721</v>
      </c>
      <c r="AD129" s="181">
        <f t="shared" si="20"/>
        <v>15335375.73659051</v>
      </c>
      <c r="AE129" s="131">
        <v>11816155.289999999</v>
      </c>
      <c r="AF129" s="131">
        <f>AE129*'1. UC Assumptions'!$C$23</f>
        <v>3899331.2456999994</v>
      </c>
      <c r="AG129" s="183">
        <f>IF((((X129-W129-AE129)*'1. UC Assumptions'!$C$23)+AF129)&gt;0,((X129-W129-AE129)*'1. UC Assumptions'!$C$23)+AF129,0)</f>
        <v>8405362.3499999996</v>
      </c>
      <c r="AH129" s="183"/>
      <c r="AI129" s="183">
        <f t="shared" si="21"/>
        <v>3899331.2456999994</v>
      </c>
      <c r="AJ129" s="183">
        <f>IF(H129="Bexar",(AD129/$AJ$1)*'1. UC Assumptions'!$E$42,0)</f>
        <v>0</v>
      </c>
      <c r="AK129" s="183">
        <f>IF(H129="Dallas",(AD129/$AK$1)*'1. UC Assumptions'!$F$42,0)</f>
        <v>0</v>
      </c>
      <c r="AL129" s="183">
        <f>IF(H129="El Paso",(AD129/$AL$1)*'1. UC Assumptions'!$G$42,0)</f>
        <v>0</v>
      </c>
      <c r="AM129" s="183">
        <f>IF(H129="Harris",(AD129/$AM$1)*'1. UC Assumptions'!$H$42,0)</f>
        <v>0</v>
      </c>
      <c r="AN129" s="183">
        <f>IF(H129="Hidalgo",(AD129/$AN$1)*'1. UC Assumptions'!$I$42,0)</f>
        <v>0</v>
      </c>
      <c r="AO129" s="183">
        <f>IF(H129="Jefferson",(AD129/$AO$1)*'1. UC Assumptions'!$J$42,0)</f>
        <v>0</v>
      </c>
      <c r="AP129" s="183">
        <f>IF(H129="Lubbock",(AD129/$AP$1)*'1. UC Assumptions'!$K$42,0)</f>
        <v>0</v>
      </c>
      <c r="AQ129" s="183">
        <f>IF(H129="MRSA Central",(AD129/$AQ$1)*'1. UC Assumptions'!$L$42,0)</f>
        <v>0</v>
      </c>
      <c r="AR129" s="183">
        <f>IF(H129="MRSA Northeast",(AD129/$AR$1)*'1. UC Assumptions'!$M$42,0)</f>
        <v>0</v>
      </c>
      <c r="AS129" s="183">
        <f>IF(H129="MRSA West",(AD129/$AS$1)*'1. UC Assumptions'!$N$42,0)</f>
        <v>0</v>
      </c>
      <c r="AT129" s="183">
        <f>IF(H129="Nueces",(AD129/$AT$1)*'1. UC Assumptions'!$O$42,0)</f>
        <v>0</v>
      </c>
      <c r="AU129" s="183">
        <f>IF(H129="Tarrant",(AD129/$AU$1)*'1. UC Assumptions'!$P$42,0)</f>
        <v>0</v>
      </c>
      <c r="AV129" s="183">
        <f>IF(H129="Travis",(AD129/$AV$1)*'1. UC Assumptions'!$Q$42,0)</f>
        <v>0</v>
      </c>
      <c r="AW129" s="183">
        <f>IF(H129="Bexar",(AC129/$AW$1)*'1. UC Assumptions'!$E$44,0)</f>
        <v>0</v>
      </c>
      <c r="AX129" s="183">
        <f>IF(H129="Dallas",(AC129/$AX$1)*'1. UC Assumptions'!$F$44,0)</f>
        <v>0</v>
      </c>
      <c r="AY129" s="183">
        <f>IF(H129="El Paso",(AC129/$AY$1)*'1. UC Assumptions'!$G$44,0)</f>
        <v>0</v>
      </c>
      <c r="AZ129" s="183">
        <f>IF(H129="Harris",(AC129/$AZ$1)*'1. UC Assumptions'!$H$44,0)</f>
        <v>0</v>
      </c>
      <c r="BA129" s="183">
        <f>IF(H129="Hidalgo",(AC129/$BA$1)*'1. UC Assumptions'!$I$44,0)</f>
        <v>0</v>
      </c>
      <c r="BB129" s="183">
        <f>IF(H129="Jefferson",(AC129/$BB$1)*'1. UC Assumptions'!$J$44,0)</f>
        <v>0</v>
      </c>
      <c r="BC129" s="183">
        <f>IF(H129="Lubbock",(AC129/$BC$1)*'1. UC Assumptions'!$K$44,0)</f>
        <v>0</v>
      </c>
      <c r="BD129" s="183">
        <f>IF(H129="MRSA Central",(AC129/$BD$1)*'1. UC Assumptions'!$L$44,0)</f>
        <v>0</v>
      </c>
      <c r="BE129" s="183">
        <f>IF(H129="MRSA Northeast",(AC129/$BE$1)*'1. UC Assumptions'!$M$44,0)</f>
        <v>0</v>
      </c>
      <c r="BF129" s="183">
        <f>IF(H129="MRSA West",(AC129/$BF$1)*'1. UC Assumptions'!$N$44,0)</f>
        <v>0</v>
      </c>
      <c r="BG129" s="183">
        <f>IF(H129="Nueces",(AC129/$BG$1)*'1. UC Assumptions'!$O$44,0)</f>
        <v>0</v>
      </c>
      <c r="BH129" s="183">
        <f>IF(H129="Tarrant",(AC129/$BH$1)*'1. UC Assumptions'!$P$44,0)</f>
        <v>0</v>
      </c>
      <c r="BI129" s="183">
        <f>IF(H129="Travis",(AC129/$BI$1)*'1. UC Assumptions'!$Q$44,0)</f>
        <v>0</v>
      </c>
      <c r="BJ129" s="183">
        <f t="shared" si="22"/>
        <v>0</v>
      </c>
      <c r="BK129" s="183">
        <f t="shared" si="23"/>
        <v>0</v>
      </c>
      <c r="BL129" s="183">
        <f t="shared" si="24"/>
        <v>15335375.73659051</v>
      </c>
      <c r="BM129" s="184">
        <f t="shared" si="25"/>
        <v>3519220.4465905111</v>
      </c>
      <c r="BN129" s="184">
        <f>ROUNDDOWN(BM129*'1. UC Assumptions'!$C$23,2)</f>
        <v>1161342.74</v>
      </c>
      <c r="BO129" s="184"/>
      <c r="BP129" s="185"/>
      <c r="BQ129" s="32"/>
      <c r="BR129" s="32"/>
    </row>
    <row r="130" spans="1:70">
      <c r="A130" s="177" t="s">
        <v>1435</v>
      </c>
      <c r="B130" s="178" t="s">
        <v>793</v>
      </c>
      <c r="C130" s="178" t="s">
        <v>793</v>
      </c>
      <c r="D130" s="179" t="s">
        <v>214</v>
      </c>
      <c r="E130" s="179" t="s">
        <v>149</v>
      </c>
      <c r="F130" s="177"/>
      <c r="G130" s="177" t="s">
        <v>1436</v>
      </c>
      <c r="H130" s="178" t="s">
        <v>8</v>
      </c>
      <c r="I130" s="178" t="s">
        <v>278</v>
      </c>
      <c r="J130" s="131">
        <f>IFERROR(INDEX(#REF!,(MATCH('Old Calc Tab'!C:C,#REF!,0))),0)</f>
        <v>0</v>
      </c>
      <c r="K130" s="131">
        <f>IFERROR(INDEX(#REF!,(MATCH('Old Calc Tab'!$C:$C,#REF!,0))),0)</f>
        <v>0</v>
      </c>
      <c r="L130" s="131"/>
      <c r="M130" s="131">
        <v>0</v>
      </c>
      <c r="N130" s="131">
        <f>IFERROR(INDEX(#REF!,(MATCH('Old Calc Tab'!$C:$C,#REF!,0))),0)</f>
        <v>0</v>
      </c>
      <c r="O130" s="131">
        <f t="shared" si="13"/>
        <v>0</v>
      </c>
      <c r="P130" s="131">
        <f t="shared" si="14"/>
        <v>0</v>
      </c>
      <c r="Q130" s="131"/>
      <c r="R130" s="131"/>
      <c r="S130" s="131"/>
      <c r="T130" s="131"/>
      <c r="U130" s="131"/>
      <c r="V130" s="131">
        <v>0</v>
      </c>
      <c r="W130" s="180">
        <v>0</v>
      </c>
      <c r="X130" s="180">
        <f t="shared" si="15"/>
        <v>0</v>
      </c>
      <c r="Y130" s="181">
        <f>IF(D130="Physician Group Practice",(X130/$AE$369)*'1. UC Assumptions'!$C$15,IF(OR(E130="Rural Hospital",E130="Hosp - State"),X130,(X130/$X$369)*'1. UC Assumptions'!$C$9))</f>
        <v>0</v>
      </c>
      <c r="Z130" s="181">
        <f t="shared" si="16"/>
        <v>0</v>
      </c>
      <c r="AA130" s="181">
        <f t="shared" si="17"/>
        <v>0</v>
      </c>
      <c r="AB130" s="182">
        <f t="shared" si="18"/>
        <v>0</v>
      </c>
      <c r="AC130" s="181">
        <f t="shared" si="19"/>
        <v>0</v>
      </c>
      <c r="AD130" s="181">
        <f t="shared" si="20"/>
        <v>0</v>
      </c>
      <c r="AE130" s="131">
        <v>208432.43</v>
      </c>
      <c r="AF130" s="131">
        <f>AE130*'1. UC Assumptions'!$C$23</f>
        <v>68782.701899999985</v>
      </c>
      <c r="AG130" s="183">
        <f>IF((((X130-W130-AE130)*'1. UC Assumptions'!$C$23)+AF130)&gt;0,((X130-W130-AE130)*'1. UC Assumptions'!$C$23)+AF130,0)</f>
        <v>0</v>
      </c>
      <c r="AH130" s="183"/>
      <c r="AI130" s="183">
        <f t="shared" si="21"/>
        <v>68782.701899999985</v>
      </c>
      <c r="AJ130" s="183">
        <f>IF(H130="Bexar",(AD130/$AJ$1)*'1. UC Assumptions'!$E$42,0)</f>
        <v>0</v>
      </c>
      <c r="AK130" s="183">
        <f>IF(H130="Dallas",(AD130/$AK$1)*'1. UC Assumptions'!$F$42,0)</f>
        <v>0</v>
      </c>
      <c r="AL130" s="183">
        <f>IF(H130="El Paso",(AD130/$AL$1)*'1. UC Assumptions'!$G$42,0)</f>
        <v>0</v>
      </c>
      <c r="AM130" s="183">
        <f>IF(H130="Harris",(AD130/$AM$1)*'1. UC Assumptions'!$H$42,0)</f>
        <v>0</v>
      </c>
      <c r="AN130" s="183">
        <f>IF(H130="Hidalgo",(AD130/$AN$1)*'1. UC Assumptions'!$I$42,0)</f>
        <v>0</v>
      </c>
      <c r="AO130" s="183">
        <f>IF(H130="Jefferson",(AD130/$AO$1)*'1. UC Assumptions'!$J$42,0)</f>
        <v>0</v>
      </c>
      <c r="AP130" s="183">
        <f>IF(H130="Lubbock",(AD130/$AP$1)*'1. UC Assumptions'!$K$42,0)</f>
        <v>0</v>
      </c>
      <c r="AQ130" s="183">
        <f>IF(H130="MRSA Central",(AD130/$AQ$1)*'1. UC Assumptions'!$L$42,0)</f>
        <v>0</v>
      </c>
      <c r="AR130" s="183">
        <f>IF(H130="MRSA Northeast",(AD130/$AR$1)*'1. UC Assumptions'!$M$42,0)</f>
        <v>0</v>
      </c>
      <c r="AS130" s="183">
        <f>IF(H130="MRSA West",(AD130/$AS$1)*'1. UC Assumptions'!$N$42,0)</f>
        <v>0</v>
      </c>
      <c r="AT130" s="183">
        <f>IF(H130="Nueces",(AD130/$AT$1)*'1. UC Assumptions'!$O$42,0)</f>
        <v>0</v>
      </c>
      <c r="AU130" s="183">
        <f>IF(H130="Tarrant",(AD130/$AU$1)*'1. UC Assumptions'!$P$42,0)</f>
        <v>0</v>
      </c>
      <c r="AV130" s="183">
        <f>IF(H130="Travis",(AD130/$AV$1)*'1. UC Assumptions'!$Q$42,0)</f>
        <v>0</v>
      </c>
      <c r="AW130" s="183">
        <f>IF(H130="Bexar",(AC130/$AW$1)*'1. UC Assumptions'!$E$44,0)</f>
        <v>0</v>
      </c>
      <c r="AX130" s="183">
        <f>IF(H130="Dallas",(AC130/$AX$1)*'1. UC Assumptions'!$F$44,0)</f>
        <v>0</v>
      </c>
      <c r="AY130" s="183">
        <f>IF(H130="El Paso",(AC130/$AY$1)*'1. UC Assumptions'!$G$44,0)</f>
        <v>0</v>
      </c>
      <c r="AZ130" s="183">
        <f>IF(H130="Harris",(AC130/$AZ$1)*'1. UC Assumptions'!$H$44,0)</f>
        <v>0</v>
      </c>
      <c r="BA130" s="183">
        <f>IF(H130="Hidalgo",(AC130/$BA$1)*'1. UC Assumptions'!$I$44,0)</f>
        <v>0</v>
      </c>
      <c r="BB130" s="183">
        <f>IF(H130="Jefferson",(AC130/$BB$1)*'1. UC Assumptions'!$J$44,0)</f>
        <v>0</v>
      </c>
      <c r="BC130" s="183">
        <f>IF(H130="Lubbock",(AC130/$BC$1)*'1. UC Assumptions'!$K$44,0)</f>
        <v>0</v>
      </c>
      <c r="BD130" s="183">
        <f>IF(H130="MRSA Central",(AC130/$BD$1)*'1. UC Assumptions'!$L$44,0)</f>
        <v>0</v>
      </c>
      <c r="BE130" s="183">
        <f>IF(H130="MRSA Northeast",(AC130/$BE$1)*'1. UC Assumptions'!$M$44,0)</f>
        <v>0</v>
      </c>
      <c r="BF130" s="183">
        <f>IF(H130="MRSA West",(AC130/$BF$1)*'1. UC Assumptions'!$N$44,0)</f>
        <v>0</v>
      </c>
      <c r="BG130" s="183">
        <f>IF(H130="Nueces",(AC130/$BG$1)*'1. UC Assumptions'!$O$44,0)</f>
        <v>0</v>
      </c>
      <c r="BH130" s="183">
        <f>IF(H130="Tarrant",(AC130/$BH$1)*'1. UC Assumptions'!$P$44,0)</f>
        <v>0</v>
      </c>
      <c r="BI130" s="183">
        <f>IF(H130="Travis",(AC130/$BI$1)*'1. UC Assumptions'!$Q$44,0)</f>
        <v>0</v>
      </c>
      <c r="BJ130" s="183">
        <f t="shared" si="22"/>
        <v>0</v>
      </c>
      <c r="BK130" s="183">
        <f t="shared" si="23"/>
        <v>0</v>
      </c>
      <c r="BL130" s="183">
        <f t="shared" si="24"/>
        <v>0</v>
      </c>
      <c r="BM130" s="184">
        <f t="shared" si="25"/>
        <v>-208432.43</v>
      </c>
      <c r="BN130" s="184">
        <f>ROUNDDOWN(BM130*'1. UC Assumptions'!$C$23,2)</f>
        <v>-68782.7</v>
      </c>
      <c r="BO130" s="184"/>
      <c r="BP130" s="185"/>
      <c r="BQ130" s="32"/>
      <c r="BR130" s="32"/>
    </row>
    <row r="131" spans="1:70">
      <c r="A131" s="177" t="s">
        <v>1437</v>
      </c>
      <c r="B131" s="178" t="s">
        <v>819</v>
      </c>
      <c r="C131" s="178" t="s">
        <v>819</v>
      </c>
      <c r="D131" s="179" t="s">
        <v>214</v>
      </c>
      <c r="E131" s="179"/>
      <c r="F131" s="177"/>
      <c r="G131" s="177" t="s">
        <v>820</v>
      </c>
      <c r="H131" s="178" t="s">
        <v>8</v>
      </c>
      <c r="I131" s="178" t="s">
        <v>8</v>
      </c>
      <c r="J131" s="131">
        <f>IFERROR(INDEX(#REF!,(MATCH('Old Calc Tab'!C:C,#REF!,0))),0)</f>
        <v>0</v>
      </c>
      <c r="K131" s="131">
        <f>IFERROR(INDEX(#REF!,(MATCH('Old Calc Tab'!$C:$C,#REF!,0))),0)</f>
        <v>0</v>
      </c>
      <c r="L131" s="131"/>
      <c r="M131" s="131">
        <v>636903.12</v>
      </c>
      <c r="N131" s="131">
        <f>IFERROR(INDEX(#REF!,(MATCH('Old Calc Tab'!$C:$C,#REF!,0))),0)</f>
        <v>0</v>
      </c>
      <c r="O131" s="131">
        <f t="shared" ref="O131:O194" si="26">IF(N131-J131+L131&gt;0,N131-J131+L131,0)</f>
        <v>0</v>
      </c>
      <c r="P131" s="131">
        <f t="shared" ref="P131:P194" si="27">IF(AND(D131="Hosp - State",N131&gt;0),0,IF(M131-O131&gt;0,M131-O131,0))</f>
        <v>636903.12</v>
      </c>
      <c r="Q131" s="131"/>
      <c r="R131" s="131"/>
      <c r="S131" s="131"/>
      <c r="T131" s="131"/>
      <c r="U131" s="131"/>
      <c r="V131" s="131">
        <v>0</v>
      </c>
      <c r="W131" s="180">
        <v>0</v>
      </c>
      <c r="X131" s="180">
        <f t="shared" ref="X131:X194" si="28">P131+V131+W131</f>
        <v>636903.12</v>
      </c>
      <c r="Y131" s="181">
        <f>IF(D131="Physician Group Practice",(X131/$AE$369)*'1. UC Assumptions'!$C$15,IF(OR(E131="Rural Hospital",E131="Hosp - State"),X131,(X131/$X$369)*'1. UC Assumptions'!$C$9))</f>
        <v>383328.43964242854</v>
      </c>
      <c r="Z131" s="181">
        <f t="shared" ref="Z131:Z194" si="29">IF(Y131&gt;X131-W131,Y131-(X131-W131),0)</f>
        <v>0</v>
      </c>
      <c r="AA131" s="181">
        <f t="shared" ref="AA131:AA194" si="30">X131-W131-Y131+Z131</f>
        <v>253574.68035757146</v>
      </c>
      <c r="AB131" s="182">
        <f t="shared" ref="AB131:AB194" si="31">(AA131/$AA$367)*$Z$367</f>
        <v>136.17750072671333</v>
      </c>
      <c r="AC131" s="181">
        <f t="shared" ref="AC131:AC194" si="32">AA131+AB131</f>
        <v>253710.85785829817</v>
      </c>
      <c r="AD131" s="181">
        <f t="shared" ref="AD131:AD194" si="33">Y131-Z131+AB131</f>
        <v>383464.61714315525</v>
      </c>
      <c r="AE131" s="131">
        <v>2303838.62</v>
      </c>
      <c r="AF131" s="131">
        <f>AE131*'1. UC Assumptions'!$C$23</f>
        <v>760266.74459999998</v>
      </c>
      <c r="AG131" s="183">
        <f>IF((((X131-W131-AE131)*'1. UC Assumptions'!$C$23)+AF131)&gt;0,((X131-W131-AE131)*'1. UC Assumptions'!$C$23)+AF131,0)</f>
        <v>210178.02960000001</v>
      </c>
      <c r="AH131" s="183"/>
      <c r="AI131" s="183">
        <f t="shared" ref="AI131:AI194" si="34">AH131+AF131</f>
        <v>760266.74459999998</v>
      </c>
      <c r="AJ131" s="183">
        <f>IF(H131="Bexar",(AD131/$AJ$1)*'1. UC Assumptions'!$E$42,0)</f>
        <v>0</v>
      </c>
      <c r="AK131" s="183">
        <f>IF(H131="Dallas",(AD131/$AK$1)*'1. UC Assumptions'!$F$42,0)</f>
        <v>0</v>
      </c>
      <c r="AL131" s="183">
        <f>IF(H131="El Paso",(AD131/$AL$1)*'1. UC Assumptions'!$G$42,0)</f>
        <v>0</v>
      </c>
      <c r="AM131" s="183">
        <f>IF(H131="Harris",(AD131/$AM$1)*'1. UC Assumptions'!$H$42,0)</f>
        <v>0</v>
      </c>
      <c r="AN131" s="183">
        <f>IF(H131="Hidalgo",(AD131/$AN$1)*'1. UC Assumptions'!$I$42,0)</f>
        <v>0</v>
      </c>
      <c r="AO131" s="183">
        <f>IF(H131="Jefferson",(AD131/$AO$1)*'1. UC Assumptions'!$J$42,0)</f>
        <v>0</v>
      </c>
      <c r="AP131" s="183">
        <f>IF(H131="Lubbock",(AD131/$AP$1)*'1. UC Assumptions'!$K$42,0)</f>
        <v>0</v>
      </c>
      <c r="AQ131" s="183">
        <f>IF(H131="MRSA Central",(AD131/$AQ$1)*'1. UC Assumptions'!$L$42,0)</f>
        <v>0</v>
      </c>
      <c r="AR131" s="183">
        <f>IF(H131="MRSA Northeast",(AD131/$AR$1)*'1. UC Assumptions'!$M$42,0)</f>
        <v>0</v>
      </c>
      <c r="AS131" s="183">
        <f>IF(H131="MRSA West",(AD131/$AS$1)*'1. UC Assumptions'!$N$42,0)</f>
        <v>0</v>
      </c>
      <c r="AT131" s="183">
        <f>IF(H131="Nueces",(AD131/$AT$1)*'1. UC Assumptions'!$O$42,0)</f>
        <v>0</v>
      </c>
      <c r="AU131" s="183">
        <f>IF(H131="Tarrant",(AD131/$AU$1)*'1. UC Assumptions'!$P$42,0)</f>
        <v>0</v>
      </c>
      <c r="AV131" s="183">
        <f>IF(H131="Travis",(AD131/$AV$1)*'1. UC Assumptions'!$Q$42,0)</f>
        <v>0</v>
      </c>
      <c r="AW131" s="183">
        <f>IF(H131="Bexar",(AC131/$AW$1)*'1. UC Assumptions'!$E$44,0)</f>
        <v>0</v>
      </c>
      <c r="AX131" s="183">
        <f>IF(H131="Dallas",(AC131/$AX$1)*'1. UC Assumptions'!$F$44,0)</f>
        <v>0</v>
      </c>
      <c r="AY131" s="183">
        <f>IF(H131="El Paso",(AC131/$AY$1)*'1. UC Assumptions'!$G$44,0)</f>
        <v>0</v>
      </c>
      <c r="AZ131" s="183">
        <f>IF(H131="Harris",(AC131/$AZ$1)*'1. UC Assumptions'!$H$44,0)</f>
        <v>0</v>
      </c>
      <c r="BA131" s="183">
        <f>IF(H131="Hidalgo",(AC131/$BA$1)*'1. UC Assumptions'!$I$44,0)</f>
        <v>0</v>
      </c>
      <c r="BB131" s="183">
        <f>IF(H131="Jefferson",(AC131/$BB$1)*'1. UC Assumptions'!$J$44,0)</f>
        <v>0</v>
      </c>
      <c r="BC131" s="183">
        <f>IF(H131="Lubbock",(AC131/$BC$1)*'1. UC Assumptions'!$K$44,0)</f>
        <v>0</v>
      </c>
      <c r="BD131" s="183">
        <f>IF(H131="MRSA Central",(AC131/$BD$1)*'1. UC Assumptions'!$L$44,0)</f>
        <v>0</v>
      </c>
      <c r="BE131" s="183">
        <f>IF(H131="MRSA Northeast",(AC131/$BE$1)*'1. UC Assumptions'!$M$44,0)</f>
        <v>0</v>
      </c>
      <c r="BF131" s="183">
        <f>IF(H131="MRSA West",(AC131/$BF$1)*'1. UC Assumptions'!$N$44,0)</f>
        <v>0</v>
      </c>
      <c r="BG131" s="183">
        <f>IF(H131="Nueces",(AC131/$BG$1)*'1. UC Assumptions'!$O$44,0)</f>
        <v>0</v>
      </c>
      <c r="BH131" s="183">
        <f>IF(H131="Tarrant",(AC131/$BH$1)*'1. UC Assumptions'!$P$44,0)</f>
        <v>0</v>
      </c>
      <c r="BI131" s="183">
        <f>IF(H131="Travis",(AC131/$BI$1)*'1. UC Assumptions'!$Q$44,0)</f>
        <v>0</v>
      </c>
      <c r="BJ131" s="183">
        <f t="shared" ref="BJ131:BJ194" si="35">SUM(AJ131:AV131)</f>
        <v>0</v>
      </c>
      <c r="BK131" s="183">
        <f t="shared" ref="BK131:BK194" si="36">SUM(AW131:BI131)</f>
        <v>0</v>
      </c>
      <c r="BL131" s="183">
        <f t="shared" ref="BL131:BL194" si="37">AD131+BK131-BJ131</f>
        <v>383464.61714315525</v>
      </c>
      <c r="BM131" s="184">
        <f t="shared" ref="BM131:BM194" si="38">BL131-AE131</f>
        <v>-1920374.0028568448</v>
      </c>
      <c r="BN131" s="184">
        <f>ROUNDDOWN(BM131*'1. UC Assumptions'!$C$23,2)</f>
        <v>-633723.42000000004</v>
      </c>
      <c r="BO131" s="184"/>
      <c r="BP131" s="185"/>
      <c r="BQ131" s="32"/>
      <c r="BR131" s="32"/>
    </row>
    <row r="132" spans="1:70">
      <c r="A132" s="177" t="s">
        <v>1438</v>
      </c>
      <c r="B132" s="178" t="s">
        <v>1439</v>
      </c>
      <c r="C132" s="178" t="s">
        <v>1439</v>
      </c>
      <c r="D132" s="179" t="s">
        <v>214</v>
      </c>
      <c r="E132" s="179"/>
      <c r="F132" s="177"/>
      <c r="G132" s="177" t="s">
        <v>1440</v>
      </c>
      <c r="H132" s="178" t="s">
        <v>8</v>
      </c>
      <c r="I132" s="178" t="s">
        <v>1083</v>
      </c>
      <c r="J132" s="131">
        <f>IFERROR(INDEX(#REF!,(MATCH('Old Calc Tab'!C:C,#REF!,0))),0)</f>
        <v>0</v>
      </c>
      <c r="K132" s="131">
        <f>IFERROR(INDEX(#REF!,(MATCH('Old Calc Tab'!$C:$C,#REF!,0))),0)</f>
        <v>0</v>
      </c>
      <c r="L132" s="131"/>
      <c r="M132" s="131">
        <v>3375531.9553999999</v>
      </c>
      <c r="N132" s="131">
        <f>IFERROR(INDEX(#REF!,(MATCH('Old Calc Tab'!$C:$C,#REF!,0))),0)</f>
        <v>0</v>
      </c>
      <c r="O132" s="131">
        <f t="shared" si="26"/>
        <v>0</v>
      </c>
      <c r="P132" s="131">
        <f t="shared" si="27"/>
        <v>3375531.9553999999</v>
      </c>
      <c r="Q132" s="131"/>
      <c r="R132" s="131"/>
      <c r="S132" s="131"/>
      <c r="T132" s="131"/>
      <c r="U132" s="131"/>
      <c r="V132" s="131">
        <v>0</v>
      </c>
      <c r="W132" s="180">
        <v>0</v>
      </c>
      <c r="X132" s="180">
        <f t="shared" si="28"/>
        <v>3375531.9553999999</v>
      </c>
      <c r="Y132" s="181">
        <f>IF(D132="Physician Group Practice",(X132/$AE$369)*'1. UC Assumptions'!$C$15,IF(OR(E132="Rural Hospital",E132="Hosp - State"),X132,(X132/$X$369)*'1. UC Assumptions'!$C$9))</f>
        <v>2031607.8800597456</v>
      </c>
      <c r="Z132" s="181">
        <f t="shared" si="29"/>
        <v>0</v>
      </c>
      <c r="AA132" s="181">
        <f t="shared" si="30"/>
        <v>1343924.0753402542</v>
      </c>
      <c r="AB132" s="182">
        <f t="shared" si="31"/>
        <v>721.72908386683275</v>
      </c>
      <c r="AC132" s="181">
        <f t="shared" si="32"/>
        <v>1344645.804424121</v>
      </c>
      <c r="AD132" s="181">
        <f t="shared" si="33"/>
        <v>2032329.6091436124</v>
      </c>
      <c r="AE132" s="131">
        <v>2245716.1800000002</v>
      </c>
      <c r="AF132" s="131">
        <f>AE132*'1. UC Assumptions'!$C$23</f>
        <v>741086.33939999994</v>
      </c>
      <c r="AG132" s="183">
        <f>IF((((X132-W132-AE132)*'1. UC Assumptions'!$C$23)+AF132)&gt;0,((X132-W132-AE132)*'1. UC Assumptions'!$C$23)+AF132,0)</f>
        <v>1113925.5452819997</v>
      </c>
      <c r="AH132" s="183"/>
      <c r="AI132" s="183">
        <f t="shared" si="34"/>
        <v>741086.33939999994</v>
      </c>
      <c r="AJ132" s="183">
        <f>IF(H132="Bexar",(AD132/$AJ$1)*'1. UC Assumptions'!$E$42,0)</f>
        <v>0</v>
      </c>
      <c r="AK132" s="183">
        <f>IF(H132="Dallas",(AD132/$AK$1)*'1. UC Assumptions'!$F$42,0)</f>
        <v>0</v>
      </c>
      <c r="AL132" s="183">
        <f>IF(H132="El Paso",(AD132/$AL$1)*'1. UC Assumptions'!$G$42,0)</f>
        <v>0</v>
      </c>
      <c r="AM132" s="183">
        <f>IF(H132="Harris",(AD132/$AM$1)*'1. UC Assumptions'!$H$42,0)</f>
        <v>0</v>
      </c>
      <c r="AN132" s="183">
        <f>IF(H132="Hidalgo",(AD132/$AN$1)*'1. UC Assumptions'!$I$42,0)</f>
        <v>0</v>
      </c>
      <c r="AO132" s="183">
        <f>IF(H132="Jefferson",(AD132/$AO$1)*'1. UC Assumptions'!$J$42,0)</f>
        <v>0</v>
      </c>
      <c r="AP132" s="183">
        <f>IF(H132="Lubbock",(AD132/$AP$1)*'1. UC Assumptions'!$K$42,0)</f>
        <v>0</v>
      </c>
      <c r="AQ132" s="183">
        <f>IF(H132="MRSA Central",(AD132/$AQ$1)*'1. UC Assumptions'!$L$42,0)</f>
        <v>0</v>
      </c>
      <c r="AR132" s="183">
        <f>IF(H132="MRSA Northeast",(AD132/$AR$1)*'1. UC Assumptions'!$M$42,0)</f>
        <v>0</v>
      </c>
      <c r="AS132" s="183">
        <f>IF(H132="MRSA West",(AD132/$AS$1)*'1. UC Assumptions'!$N$42,0)</f>
        <v>0</v>
      </c>
      <c r="AT132" s="183">
        <f>IF(H132="Nueces",(AD132/$AT$1)*'1. UC Assumptions'!$O$42,0)</f>
        <v>0</v>
      </c>
      <c r="AU132" s="183">
        <f>IF(H132="Tarrant",(AD132/$AU$1)*'1. UC Assumptions'!$P$42,0)</f>
        <v>0</v>
      </c>
      <c r="AV132" s="183">
        <f>IF(H132="Travis",(AD132/$AV$1)*'1. UC Assumptions'!$Q$42,0)</f>
        <v>0</v>
      </c>
      <c r="AW132" s="183">
        <f>IF(H132="Bexar",(AC132/$AW$1)*'1. UC Assumptions'!$E$44,0)</f>
        <v>0</v>
      </c>
      <c r="AX132" s="183">
        <f>IF(H132="Dallas",(AC132/$AX$1)*'1. UC Assumptions'!$F$44,0)</f>
        <v>0</v>
      </c>
      <c r="AY132" s="183">
        <f>IF(H132="El Paso",(AC132/$AY$1)*'1. UC Assumptions'!$G$44,0)</f>
        <v>0</v>
      </c>
      <c r="AZ132" s="183">
        <f>IF(H132="Harris",(AC132/$AZ$1)*'1. UC Assumptions'!$H$44,0)</f>
        <v>0</v>
      </c>
      <c r="BA132" s="183">
        <f>IF(H132="Hidalgo",(AC132/$BA$1)*'1. UC Assumptions'!$I$44,0)</f>
        <v>0</v>
      </c>
      <c r="BB132" s="183">
        <f>IF(H132="Jefferson",(AC132/$BB$1)*'1. UC Assumptions'!$J$44,0)</f>
        <v>0</v>
      </c>
      <c r="BC132" s="183">
        <f>IF(H132="Lubbock",(AC132/$BC$1)*'1. UC Assumptions'!$K$44,0)</f>
        <v>0</v>
      </c>
      <c r="BD132" s="183">
        <f>IF(H132="MRSA Central",(AC132/$BD$1)*'1. UC Assumptions'!$L$44,0)</f>
        <v>0</v>
      </c>
      <c r="BE132" s="183">
        <f>IF(H132="MRSA Northeast",(AC132/$BE$1)*'1. UC Assumptions'!$M$44,0)</f>
        <v>0</v>
      </c>
      <c r="BF132" s="183">
        <f>IF(H132="MRSA West",(AC132/$BF$1)*'1. UC Assumptions'!$N$44,0)</f>
        <v>0</v>
      </c>
      <c r="BG132" s="183">
        <f>IF(H132="Nueces",(AC132/$BG$1)*'1. UC Assumptions'!$O$44,0)</f>
        <v>0</v>
      </c>
      <c r="BH132" s="183">
        <f>IF(H132="Tarrant",(AC132/$BH$1)*'1. UC Assumptions'!$P$44,0)</f>
        <v>0</v>
      </c>
      <c r="BI132" s="183">
        <f>IF(H132="Travis",(AC132/$BI$1)*'1. UC Assumptions'!$Q$44,0)</f>
        <v>0</v>
      </c>
      <c r="BJ132" s="183">
        <f t="shared" si="35"/>
        <v>0</v>
      </c>
      <c r="BK132" s="183">
        <f t="shared" si="36"/>
        <v>0</v>
      </c>
      <c r="BL132" s="183">
        <f t="shared" si="37"/>
        <v>2032329.6091436124</v>
      </c>
      <c r="BM132" s="184">
        <f t="shared" si="38"/>
        <v>-213386.57085638773</v>
      </c>
      <c r="BN132" s="184">
        <f>ROUNDDOWN(BM132*'1. UC Assumptions'!$C$23,2)</f>
        <v>-70417.56</v>
      </c>
      <c r="BO132" s="184"/>
      <c r="BP132" s="185"/>
      <c r="BQ132" s="32"/>
      <c r="BR132" s="32"/>
    </row>
    <row r="133" spans="1:70">
      <c r="A133" s="177" t="s">
        <v>1441</v>
      </c>
      <c r="B133" s="178" t="s">
        <v>924</v>
      </c>
      <c r="C133" s="178" t="s">
        <v>924</v>
      </c>
      <c r="D133" s="179" t="s">
        <v>208</v>
      </c>
      <c r="E133" s="179" t="s">
        <v>149</v>
      </c>
      <c r="F133" s="177"/>
      <c r="G133" s="177" t="s">
        <v>925</v>
      </c>
      <c r="H133" s="178" t="s">
        <v>8</v>
      </c>
      <c r="I133" s="178" t="s">
        <v>926</v>
      </c>
      <c r="J133" s="131">
        <f>IFERROR(INDEX(#REF!,(MATCH('Old Calc Tab'!C:C,#REF!,0))),0)</f>
        <v>0</v>
      </c>
      <c r="K133" s="131">
        <f>IFERROR(INDEX(#REF!,(MATCH('Old Calc Tab'!$C:$C,#REF!,0))),0)</f>
        <v>0</v>
      </c>
      <c r="L133" s="131"/>
      <c r="M133" s="131">
        <v>0</v>
      </c>
      <c r="N133" s="131">
        <f>IFERROR(INDEX(#REF!,(MATCH('Old Calc Tab'!$C:$C,#REF!,0))),0)</f>
        <v>0</v>
      </c>
      <c r="O133" s="131">
        <f t="shared" si="26"/>
        <v>0</v>
      </c>
      <c r="P133" s="131">
        <f t="shared" si="27"/>
        <v>0</v>
      </c>
      <c r="Q133" s="131"/>
      <c r="R133" s="131"/>
      <c r="S133" s="131"/>
      <c r="T133" s="131"/>
      <c r="U133" s="131"/>
      <c r="V133" s="131">
        <v>0</v>
      </c>
      <c r="W133" s="180">
        <v>0</v>
      </c>
      <c r="X133" s="180">
        <f t="shared" si="28"/>
        <v>0</v>
      </c>
      <c r="Y133" s="181">
        <f>IF(D133="Physician Group Practice",(X133/$AE$369)*'1. UC Assumptions'!$C$15,IF(OR(E133="Rural Hospital",E133="Hosp - State"),X133,(X133/$X$369)*'1. UC Assumptions'!$C$9))</f>
        <v>0</v>
      </c>
      <c r="Z133" s="181">
        <f t="shared" si="29"/>
        <v>0</v>
      </c>
      <c r="AA133" s="181">
        <f t="shared" si="30"/>
        <v>0</v>
      </c>
      <c r="AB133" s="182">
        <f t="shared" si="31"/>
        <v>0</v>
      </c>
      <c r="AC133" s="181">
        <f t="shared" si="32"/>
        <v>0</v>
      </c>
      <c r="AD133" s="181">
        <f t="shared" si="33"/>
        <v>0</v>
      </c>
      <c r="AE133" s="131">
        <v>336274.44</v>
      </c>
      <c r="AF133" s="131">
        <f>AE133*'1. UC Assumptions'!$C$23</f>
        <v>110970.56519999998</v>
      </c>
      <c r="AG133" s="183">
        <f>IF((((X133-W133-AE133)*'1. UC Assumptions'!$C$23)+AF133)&gt;0,((X133-W133-AE133)*'1. UC Assumptions'!$C$23)+AF133,0)</f>
        <v>0</v>
      </c>
      <c r="AH133" s="183"/>
      <c r="AI133" s="183">
        <f t="shared" si="34"/>
        <v>110970.56519999998</v>
      </c>
      <c r="AJ133" s="183">
        <f>IF(H133="Bexar",(AD133/$AJ$1)*'1. UC Assumptions'!$E$42,0)</f>
        <v>0</v>
      </c>
      <c r="AK133" s="183">
        <f>IF(H133="Dallas",(AD133/$AK$1)*'1. UC Assumptions'!$F$42,0)</f>
        <v>0</v>
      </c>
      <c r="AL133" s="183">
        <f>IF(H133="El Paso",(AD133/$AL$1)*'1. UC Assumptions'!$G$42,0)</f>
        <v>0</v>
      </c>
      <c r="AM133" s="183">
        <f>IF(H133="Harris",(AD133/$AM$1)*'1. UC Assumptions'!$H$42,0)</f>
        <v>0</v>
      </c>
      <c r="AN133" s="183">
        <f>IF(H133="Hidalgo",(AD133/$AN$1)*'1. UC Assumptions'!$I$42,0)</f>
        <v>0</v>
      </c>
      <c r="AO133" s="183">
        <f>IF(H133="Jefferson",(AD133/$AO$1)*'1. UC Assumptions'!$J$42,0)</f>
        <v>0</v>
      </c>
      <c r="AP133" s="183">
        <f>IF(H133="Lubbock",(AD133/$AP$1)*'1. UC Assumptions'!$K$42,0)</f>
        <v>0</v>
      </c>
      <c r="AQ133" s="183">
        <f>IF(H133="MRSA Central",(AD133/$AQ$1)*'1. UC Assumptions'!$L$42,0)</f>
        <v>0</v>
      </c>
      <c r="AR133" s="183">
        <f>IF(H133="MRSA Northeast",(AD133/$AR$1)*'1. UC Assumptions'!$M$42,0)</f>
        <v>0</v>
      </c>
      <c r="AS133" s="183">
        <f>IF(H133="MRSA West",(AD133/$AS$1)*'1. UC Assumptions'!$N$42,0)</f>
        <v>0</v>
      </c>
      <c r="AT133" s="183">
        <f>IF(H133="Nueces",(AD133/$AT$1)*'1. UC Assumptions'!$O$42,0)</f>
        <v>0</v>
      </c>
      <c r="AU133" s="183">
        <f>IF(H133="Tarrant",(AD133/$AU$1)*'1. UC Assumptions'!$P$42,0)</f>
        <v>0</v>
      </c>
      <c r="AV133" s="183">
        <f>IF(H133="Travis",(AD133/$AV$1)*'1. UC Assumptions'!$Q$42,0)</f>
        <v>0</v>
      </c>
      <c r="AW133" s="183">
        <f>IF(H133="Bexar",(AC133/$AW$1)*'1. UC Assumptions'!$E$44,0)</f>
        <v>0</v>
      </c>
      <c r="AX133" s="183">
        <f>IF(H133="Dallas",(AC133/$AX$1)*'1. UC Assumptions'!$F$44,0)</f>
        <v>0</v>
      </c>
      <c r="AY133" s="183">
        <f>IF(H133="El Paso",(AC133/$AY$1)*'1. UC Assumptions'!$G$44,0)</f>
        <v>0</v>
      </c>
      <c r="AZ133" s="183">
        <f>IF(H133="Harris",(AC133/$AZ$1)*'1. UC Assumptions'!$H$44,0)</f>
        <v>0</v>
      </c>
      <c r="BA133" s="183">
        <f>IF(H133="Hidalgo",(AC133/$BA$1)*'1. UC Assumptions'!$I$44,0)</f>
        <v>0</v>
      </c>
      <c r="BB133" s="183">
        <f>IF(H133="Jefferson",(AC133/$BB$1)*'1. UC Assumptions'!$J$44,0)</f>
        <v>0</v>
      </c>
      <c r="BC133" s="183">
        <f>IF(H133="Lubbock",(AC133/$BC$1)*'1. UC Assumptions'!$K$44,0)</f>
        <v>0</v>
      </c>
      <c r="BD133" s="183">
        <f>IF(H133="MRSA Central",(AC133/$BD$1)*'1. UC Assumptions'!$L$44,0)</f>
        <v>0</v>
      </c>
      <c r="BE133" s="183">
        <f>IF(H133="MRSA Northeast",(AC133/$BE$1)*'1. UC Assumptions'!$M$44,0)</f>
        <v>0</v>
      </c>
      <c r="BF133" s="183">
        <f>IF(H133="MRSA West",(AC133/$BF$1)*'1. UC Assumptions'!$N$44,0)</f>
        <v>0</v>
      </c>
      <c r="BG133" s="183">
        <f>IF(H133="Nueces",(AC133/$BG$1)*'1. UC Assumptions'!$O$44,0)</f>
        <v>0</v>
      </c>
      <c r="BH133" s="183">
        <f>IF(H133="Tarrant",(AC133/$BH$1)*'1. UC Assumptions'!$P$44,0)</f>
        <v>0</v>
      </c>
      <c r="BI133" s="183">
        <f>IF(H133="Travis",(AC133/$BI$1)*'1. UC Assumptions'!$Q$44,0)</f>
        <v>0</v>
      </c>
      <c r="BJ133" s="183">
        <f t="shared" si="35"/>
        <v>0</v>
      </c>
      <c r="BK133" s="183">
        <f t="shared" si="36"/>
        <v>0</v>
      </c>
      <c r="BL133" s="183">
        <f t="shared" si="37"/>
        <v>0</v>
      </c>
      <c r="BM133" s="184">
        <f t="shared" si="38"/>
        <v>-336274.44</v>
      </c>
      <c r="BN133" s="184">
        <f>ROUNDDOWN(BM133*'1. UC Assumptions'!$C$23,2)</f>
        <v>-110970.56</v>
      </c>
      <c r="BO133" s="184"/>
      <c r="BP133" s="185"/>
      <c r="BQ133" s="32"/>
      <c r="BR133" s="32"/>
    </row>
    <row r="134" spans="1:70">
      <c r="A134" s="177"/>
      <c r="B134" s="177" t="s">
        <v>1442</v>
      </c>
      <c r="C134" s="177" t="s">
        <v>1442</v>
      </c>
      <c r="D134" s="179" t="s">
        <v>36</v>
      </c>
      <c r="E134" s="179" t="s">
        <v>36</v>
      </c>
      <c r="F134" s="177"/>
      <c r="G134" s="177" t="s">
        <v>1443</v>
      </c>
      <c r="H134" s="178" t="s">
        <v>9</v>
      </c>
      <c r="I134" s="178" t="s">
        <v>9</v>
      </c>
      <c r="J134" s="131">
        <f>IFERROR(INDEX(#REF!,(MATCH('Old Calc Tab'!C:C,#REF!,0))),0)</f>
        <v>0</v>
      </c>
      <c r="K134" s="131">
        <f>IFERROR(INDEX(#REF!,(MATCH('Old Calc Tab'!$C:$C,#REF!,0))),0)</f>
        <v>0</v>
      </c>
      <c r="L134" s="131"/>
      <c r="M134" s="131">
        <v>571593</v>
      </c>
      <c r="N134" s="131">
        <f>IFERROR(INDEX(#REF!,(MATCH('Old Calc Tab'!$C:$C,#REF!,0))),0)</f>
        <v>0</v>
      </c>
      <c r="O134" s="131">
        <f t="shared" si="26"/>
        <v>0</v>
      </c>
      <c r="P134" s="131">
        <f t="shared" si="27"/>
        <v>571593</v>
      </c>
      <c r="Q134" s="131"/>
      <c r="R134" s="131"/>
      <c r="S134" s="131"/>
      <c r="T134" s="131"/>
      <c r="U134" s="131"/>
      <c r="V134" s="131">
        <v>0</v>
      </c>
      <c r="W134" s="180">
        <v>0</v>
      </c>
      <c r="X134" s="180">
        <f t="shared" si="28"/>
        <v>571593</v>
      </c>
      <c r="Y134" s="181">
        <f>IF(D134="Physician Group Practice",(X134/$AE$369)*'1. UC Assumptions'!$C$15,IF(OR(E134="Rural Hospital",E134="Hosp - State"),X134,(X134/$X$369)*'1. UC Assumptions'!$C$9))</f>
        <v>88023.674786484611</v>
      </c>
      <c r="Z134" s="181">
        <f t="shared" si="29"/>
        <v>0</v>
      </c>
      <c r="AA134" s="181">
        <f t="shared" si="30"/>
        <v>483569.32521351537</v>
      </c>
      <c r="AB134" s="182">
        <f t="shared" si="31"/>
        <v>259.69178800825614</v>
      </c>
      <c r="AC134" s="181">
        <f t="shared" si="32"/>
        <v>483829.01700152364</v>
      </c>
      <c r="AD134" s="181">
        <f t="shared" si="33"/>
        <v>88283.366574492873</v>
      </c>
      <c r="AE134" s="131">
        <v>71537.59</v>
      </c>
      <c r="AF134" s="131">
        <f>AE134*'1. UC Assumptions'!$C$23</f>
        <v>23607.404699999996</v>
      </c>
      <c r="AG134" s="183">
        <f>IF((((X134-W134-AE134)*'1. UC Assumptions'!$C$23)+AF134)&gt;0,((X134-W134-AE134)*'1. UC Assumptions'!$C$23)+AF134,0)</f>
        <v>188625.68999999997</v>
      </c>
      <c r="AH134" s="183"/>
      <c r="AI134" s="183">
        <f t="shared" si="34"/>
        <v>23607.404699999996</v>
      </c>
      <c r="AJ134" s="183">
        <f>IF(H134="Bexar",(AD134/$AJ$1)*'1. UC Assumptions'!$E$42,0)</f>
        <v>0</v>
      </c>
      <c r="AK134" s="183">
        <f>IF(H134="Dallas",(AD134/$AK$1)*'1. UC Assumptions'!$F$42,0)</f>
        <v>0</v>
      </c>
      <c r="AL134" s="183">
        <f>IF(H134="El Paso",(AD134/$AL$1)*'1. UC Assumptions'!$G$42,0)</f>
        <v>0</v>
      </c>
      <c r="AM134" s="183">
        <f>IF(H134="Harris",(AD134/$AM$1)*'1. UC Assumptions'!$H$42,0)</f>
        <v>0</v>
      </c>
      <c r="AN134" s="183">
        <f>IF(H134="Hidalgo",(AD134/$AN$1)*'1. UC Assumptions'!$I$42,0)</f>
        <v>0</v>
      </c>
      <c r="AO134" s="183">
        <f>IF(H134="Jefferson",(AD134/$AO$1)*'1. UC Assumptions'!$J$42,0)</f>
        <v>0</v>
      </c>
      <c r="AP134" s="183">
        <f>IF(H134="Lubbock",(AD134/$AP$1)*'1. UC Assumptions'!$K$42,0)</f>
        <v>0</v>
      </c>
      <c r="AQ134" s="183">
        <f>IF(H134="MRSA Central",(AD134/$AQ$1)*'1. UC Assumptions'!$L$42,0)</f>
        <v>0</v>
      </c>
      <c r="AR134" s="183">
        <f>IF(H134="MRSA Northeast",(AD134/$AR$1)*'1. UC Assumptions'!$M$42,0)</f>
        <v>0</v>
      </c>
      <c r="AS134" s="183">
        <f>IF(H134="MRSA West",(AD134/$AS$1)*'1. UC Assumptions'!$N$42,0)</f>
        <v>0</v>
      </c>
      <c r="AT134" s="183">
        <f>IF(H134="Nueces",(AD134/$AT$1)*'1. UC Assumptions'!$O$42,0)</f>
        <v>0</v>
      </c>
      <c r="AU134" s="183">
        <f>IF(H134="Tarrant",(AD134/$AU$1)*'1. UC Assumptions'!$P$42,0)</f>
        <v>0</v>
      </c>
      <c r="AV134" s="183">
        <f>IF(H134="Travis",(AD134/$AV$1)*'1. UC Assumptions'!$Q$42,0)</f>
        <v>0</v>
      </c>
      <c r="AW134" s="183">
        <f>IF(H134="Bexar",(AC134/$AW$1)*'1. UC Assumptions'!$E$44,0)</f>
        <v>0</v>
      </c>
      <c r="AX134" s="183">
        <f>IF(H134="Dallas",(AC134/$AX$1)*'1. UC Assumptions'!$F$44,0)</f>
        <v>0</v>
      </c>
      <c r="AY134" s="183">
        <f>IF(H134="El Paso",(AC134/$AY$1)*'1. UC Assumptions'!$G$44,0)</f>
        <v>0</v>
      </c>
      <c r="AZ134" s="183">
        <f>IF(H134="Harris",(AC134/$AZ$1)*'1. UC Assumptions'!$H$44,0)</f>
        <v>0</v>
      </c>
      <c r="BA134" s="183">
        <f>IF(H134="Hidalgo",(AC134/$BA$1)*'1. UC Assumptions'!$I$44,0)</f>
        <v>0</v>
      </c>
      <c r="BB134" s="183">
        <f>IF(H134="Jefferson",(AC134/$BB$1)*'1. UC Assumptions'!$J$44,0)</f>
        <v>0</v>
      </c>
      <c r="BC134" s="183">
        <f>IF(H134="Lubbock",(AC134/$BC$1)*'1. UC Assumptions'!$K$44,0)</f>
        <v>0</v>
      </c>
      <c r="BD134" s="183">
        <f>IF(H134="MRSA Central",(AC134/$BD$1)*'1. UC Assumptions'!$L$44,0)</f>
        <v>0</v>
      </c>
      <c r="BE134" s="183">
        <f>IF(H134="MRSA Northeast",(AC134/$BE$1)*'1. UC Assumptions'!$M$44,0)</f>
        <v>0</v>
      </c>
      <c r="BF134" s="183">
        <f>IF(H134="MRSA West",(AC134/$BF$1)*'1. UC Assumptions'!$N$44,0)</f>
        <v>0</v>
      </c>
      <c r="BG134" s="183">
        <f>IF(H134="Nueces",(AC134/$BG$1)*'1. UC Assumptions'!$O$44,0)</f>
        <v>0</v>
      </c>
      <c r="BH134" s="183">
        <f>IF(H134="Tarrant",(AC134/$BH$1)*'1. UC Assumptions'!$P$44,0)</f>
        <v>0</v>
      </c>
      <c r="BI134" s="183">
        <f>IF(H134="Travis",(AC134/$BI$1)*'1. UC Assumptions'!$Q$44,0)</f>
        <v>0</v>
      </c>
      <c r="BJ134" s="183">
        <f t="shared" si="35"/>
        <v>0</v>
      </c>
      <c r="BK134" s="183">
        <f t="shared" si="36"/>
        <v>0</v>
      </c>
      <c r="BL134" s="183">
        <f t="shared" si="37"/>
        <v>88283.366574492873</v>
      </c>
      <c r="BM134" s="184">
        <f t="shared" si="38"/>
        <v>16745.776574492877</v>
      </c>
      <c r="BN134" s="184">
        <f>ROUNDDOWN(BM134*'1. UC Assumptions'!$C$23,2)</f>
        <v>5526.1</v>
      </c>
      <c r="BO134" s="184"/>
      <c r="BP134" s="185"/>
      <c r="BQ134" s="32"/>
      <c r="BR134" s="32"/>
    </row>
    <row r="135" spans="1:70">
      <c r="A135" s="177"/>
      <c r="B135" s="177" t="s">
        <v>1097</v>
      </c>
      <c r="C135" s="177" t="s">
        <v>1097</v>
      </c>
      <c r="D135" s="179" t="s">
        <v>36</v>
      </c>
      <c r="E135" s="179" t="s">
        <v>36</v>
      </c>
      <c r="F135" s="177"/>
      <c r="G135" s="177" t="s">
        <v>1444</v>
      </c>
      <c r="H135" s="178" t="s">
        <v>9</v>
      </c>
      <c r="I135" s="178" t="s">
        <v>725</v>
      </c>
      <c r="J135" s="131">
        <f>IFERROR(INDEX(#REF!,(MATCH('Old Calc Tab'!C:C,#REF!,0))),0)</f>
        <v>0</v>
      </c>
      <c r="K135" s="131">
        <f>IFERROR(INDEX(#REF!,(MATCH('Old Calc Tab'!$C:$C,#REF!,0))),0)</f>
        <v>0</v>
      </c>
      <c r="L135" s="131"/>
      <c r="M135" s="131">
        <v>8239400.7505713217</v>
      </c>
      <c r="N135" s="131">
        <f>IFERROR(INDEX(#REF!,(MATCH('Old Calc Tab'!$C:$C,#REF!,0))),0)</f>
        <v>0</v>
      </c>
      <c r="O135" s="131">
        <f t="shared" si="26"/>
        <v>0</v>
      </c>
      <c r="P135" s="131">
        <f t="shared" si="27"/>
        <v>8239400.7505713217</v>
      </c>
      <c r="Q135" s="131"/>
      <c r="R135" s="131"/>
      <c r="S135" s="131"/>
      <c r="T135" s="131"/>
      <c r="U135" s="131"/>
      <c r="V135" s="131">
        <v>0</v>
      </c>
      <c r="W135" s="180">
        <v>0</v>
      </c>
      <c r="X135" s="180">
        <f t="shared" si="28"/>
        <v>8239400.7505713217</v>
      </c>
      <c r="Y135" s="181">
        <f>IF(D135="Physician Group Practice",(X135/$AE$369)*'1. UC Assumptions'!$C$15,IF(OR(E135="Rural Hospital",E135="Hosp - State"),X135,(X135/$X$369)*'1. UC Assumptions'!$C$9))</f>
        <v>1268843.9713289128</v>
      </c>
      <c r="Z135" s="181">
        <f t="shared" si="29"/>
        <v>0</v>
      </c>
      <c r="AA135" s="181">
        <f t="shared" si="30"/>
        <v>6970556.7792424094</v>
      </c>
      <c r="AB135" s="182">
        <f t="shared" si="31"/>
        <v>3743.4060827064618</v>
      </c>
      <c r="AC135" s="181">
        <f t="shared" si="32"/>
        <v>6974300.1853251159</v>
      </c>
      <c r="AD135" s="181">
        <f t="shared" si="33"/>
        <v>1272587.3774116193</v>
      </c>
      <c r="AE135" s="131">
        <v>1601231.81</v>
      </c>
      <c r="AF135" s="131">
        <f>AE135*'1. UC Assumptions'!$C$23</f>
        <v>528406.49729999993</v>
      </c>
      <c r="AG135" s="183">
        <f>IF((((X135-W135-AE135)*'1. UC Assumptions'!$C$23)+AF135)&gt;0,((X135-W135-AE135)*'1. UC Assumptions'!$C$23)+AF135,0)</f>
        <v>2719002.2476885356</v>
      </c>
      <c r="AH135" s="183"/>
      <c r="AI135" s="183">
        <f t="shared" si="34"/>
        <v>528406.49729999993</v>
      </c>
      <c r="AJ135" s="183">
        <f>IF(H135="Bexar",(AD135/$AJ$1)*'1. UC Assumptions'!$E$42,0)</f>
        <v>0</v>
      </c>
      <c r="AK135" s="183">
        <f>IF(H135="Dallas",(AD135/$AK$1)*'1. UC Assumptions'!$F$42,0)</f>
        <v>0</v>
      </c>
      <c r="AL135" s="183">
        <f>IF(H135="El Paso",(AD135/$AL$1)*'1. UC Assumptions'!$G$42,0)</f>
        <v>0</v>
      </c>
      <c r="AM135" s="183">
        <f>IF(H135="Harris",(AD135/$AM$1)*'1. UC Assumptions'!$H$42,0)</f>
        <v>0</v>
      </c>
      <c r="AN135" s="183">
        <f>IF(H135="Hidalgo",(AD135/$AN$1)*'1. UC Assumptions'!$I$42,0)</f>
        <v>0</v>
      </c>
      <c r="AO135" s="183">
        <f>IF(H135="Jefferson",(AD135/$AO$1)*'1. UC Assumptions'!$J$42,0)</f>
        <v>0</v>
      </c>
      <c r="AP135" s="183">
        <f>IF(H135="Lubbock",(AD135/$AP$1)*'1. UC Assumptions'!$K$42,0)</f>
        <v>0</v>
      </c>
      <c r="AQ135" s="183">
        <f>IF(H135="MRSA Central",(AD135/$AQ$1)*'1. UC Assumptions'!$L$42,0)</f>
        <v>0</v>
      </c>
      <c r="AR135" s="183">
        <f>IF(H135="MRSA Northeast",(AD135/$AR$1)*'1. UC Assumptions'!$M$42,0)</f>
        <v>0</v>
      </c>
      <c r="AS135" s="183">
        <f>IF(H135="MRSA West",(AD135/$AS$1)*'1. UC Assumptions'!$N$42,0)</f>
        <v>0</v>
      </c>
      <c r="AT135" s="183">
        <f>IF(H135="Nueces",(AD135/$AT$1)*'1. UC Assumptions'!$O$42,0)</f>
        <v>0</v>
      </c>
      <c r="AU135" s="183">
        <f>IF(H135="Tarrant",(AD135/$AU$1)*'1. UC Assumptions'!$P$42,0)</f>
        <v>0</v>
      </c>
      <c r="AV135" s="183">
        <f>IF(H135="Travis",(AD135/$AV$1)*'1. UC Assumptions'!$Q$42,0)</f>
        <v>0</v>
      </c>
      <c r="AW135" s="183">
        <f>IF(H135="Bexar",(AC135/$AW$1)*'1. UC Assumptions'!$E$44,0)</f>
        <v>0</v>
      </c>
      <c r="AX135" s="183">
        <f>IF(H135="Dallas",(AC135/$AX$1)*'1. UC Assumptions'!$F$44,0)</f>
        <v>0</v>
      </c>
      <c r="AY135" s="183">
        <f>IF(H135="El Paso",(AC135/$AY$1)*'1. UC Assumptions'!$G$44,0)</f>
        <v>0</v>
      </c>
      <c r="AZ135" s="183">
        <f>IF(H135="Harris",(AC135/$AZ$1)*'1. UC Assumptions'!$H$44,0)</f>
        <v>0</v>
      </c>
      <c r="BA135" s="183">
        <f>IF(H135="Hidalgo",(AC135/$BA$1)*'1. UC Assumptions'!$I$44,0)</f>
        <v>0</v>
      </c>
      <c r="BB135" s="183">
        <f>IF(H135="Jefferson",(AC135/$BB$1)*'1. UC Assumptions'!$J$44,0)</f>
        <v>0</v>
      </c>
      <c r="BC135" s="183">
        <f>IF(H135="Lubbock",(AC135/$BC$1)*'1. UC Assumptions'!$K$44,0)</f>
        <v>0</v>
      </c>
      <c r="BD135" s="183">
        <f>IF(H135="MRSA Central",(AC135/$BD$1)*'1. UC Assumptions'!$L$44,0)</f>
        <v>0</v>
      </c>
      <c r="BE135" s="183">
        <f>IF(H135="MRSA Northeast",(AC135/$BE$1)*'1. UC Assumptions'!$M$44,0)</f>
        <v>0</v>
      </c>
      <c r="BF135" s="183">
        <f>IF(H135="MRSA West",(AC135/$BF$1)*'1. UC Assumptions'!$N$44,0)</f>
        <v>0</v>
      </c>
      <c r="BG135" s="183">
        <f>IF(H135="Nueces",(AC135/$BG$1)*'1. UC Assumptions'!$O$44,0)</f>
        <v>0</v>
      </c>
      <c r="BH135" s="183">
        <f>IF(H135="Tarrant",(AC135/$BH$1)*'1. UC Assumptions'!$P$44,0)</f>
        <v>0</v>
      </c>
      <c r="BI135" s="183">
        <f>IF(H135="Travis",(AC135/$BI$1)*'1. UC Assumptions'!$Q$44,0)</f>
        <v>0</v>
      </c>
      <c r="BJ135" s="183">
        <f t="shared" si="35"/>
        <v>0</v>
      </c>
      <c r="BK135" s="183">
        <f t="shared" si="36"/>
        <v>0</v>
      </c>
      <c r="BL135" s="183">
        <f t="shared" si="37"/>
        <v>1272587.3774116193</v>
      </c>
      <c r="BM135" s="184">
        <f t="shared" si="38"/>
        <v>-328644.43258838076</v>
      </c>
      <c r="BN135" s="184">
        <f>ROUNDDOWN(BM135*'1. UC Assumptions'!$C$23,2)</f>
        <v>-108452.66</v>
      </c>
      <c r="BO135" s="184"/>
      <c r="BP135" s="185"/>
      <c r="BQ135" s="32"/>
      <c r="BR135" s="32"/>
    </row>
    <row r="136" spans="1:70">
      <c r="A136" s="177"/>
      <c r="B136" s="177" t="s">
        <v>1101</v>
      </c>
      <c r="C136" s="177" t="s">
        <v>1101</v>
      </c>
      <c r="D136" s="179" t="s">
        <v>36</v>
      </c>
      <c r="E136" s="179" t="s">
        <v>36</v>
      </c>
      <c r="F136" s="177"/>
      <c r="G136" s="177" t="s">
        <v>1102</v>
      </c>
      <c r="H136" s="178" t="s">
        <v>9</v>
      </c>
      <c r="I136" s="178" t="s">
        <v>9</v>
      </c>
      <c r="J136" s="131">
        <f>IFERROR(INDEX(#REF!,(MATCH('Old Calc Tab'!C:C,#REF!,0))),0)</f>
        <v>0</v>
      </c>
      <c r="K136" s="131">
        <f>IFERROR(INDEX(#REF!,(MATCH('Old Calc Tab'!$C:$C,#REF!,0))),0)</f>
        <v>0</v>
      </c>
      <c r="L136" s="131"/>
      <c r="M136" s="131">
        <v>15241013.541341443</v>
      </c>
      <c r="N136" s="131">
        <f>IFERROR(INDEX(#REF!,(MATCH('Old Calc Tab'!$C:$C,#REF!,0))),0)</f>
        <v>0</v>
      </c>
      <c r="O136" s="131">
        <f t="shared" si="26"/>
        <v>0</v>
      </c>
      <c r="P136" s="131">
        <f t="shared" si="27"/>
        <v>15241013.541341443</v>
      </c>
      <c r="Q136" s="131"/>
      <c r="R136" s="131"/>
      <c r="S136" s="131"/>
      <c r="T136" s="131"/>
      <c r="U136" s="131"/>
      <c r="V136" s="131">
        <v>0</v>
      </c>
      <c r="W136" s="180">
        <v>0</v>
      </c>
      <c r="X136" s="180">
        <f t="shared" si="28"/>
        <v>15241013.541341443</v>
      </c>
      <c r="Y136" s="181">
        <f>IF(D136="Physician Group Practice",(X136/$AE$369)*'1. UC Assumptions'!$C$15,IF(OR(E136="Rural Hospital",E136="Hosp - State"),X136,(X136/$X$369)*'1. UC Assumptions'!$C$9))</f>
        <v>2347072.1638988708</v>
      </c>
      <c r="Z136" s="181">
        <f t="shared" si="29"/>
        <v>0</v>
      </c>
      <c r="AA136" s="181">
        <f t="shared" si="30"/>
        <v>12893941.377442572</v>
      </c>
      <c r="AB136" s="182">
        <f t="shared" si="31"/>
        <v>6924.4480908776059</v>
      </c>
      <c r="AC136" s="181">
        <f t="shared" si="32"/>
        <v>12900865.82553345</v>
      </c>
      <c r="AD136" s="181">
        <f t="shared" si="33"/>
        <v>2353996.6119897482</v>
      </c>
      <c r="AE136" s="131">
        <v>3169653.38</v>
      </c>
      <c r="AF136" s="131">
        <f>AE136*'1. UC Assumptions'!$C$23</f>
        <v>1045985.6153999999</v>
      </c>
      <c r="AG136" s="183">
        <f>IF((((X136-W136-AE136)*'1. UC Assumptions'!$C$23)+AF136)&gt;0,((X136-W136-AE136)*'1. UC Assumptions'!$C$23)+AF136,0)</f>
        <v>5029534.4686426753</v>
      </c>
      <c r="AH136" s="183"/>
      <c r="AI136" s="183">
        <f t="shared" si="34"/>
        <v>1045985.6153999999</v>
      </c>
      <c r="AJ136" s="183">
        <f>IF(H136="Bexar",(AD136/$AJ$1)*'1. UC Assumptions'!$E$42,0)</f>
        <v>0</v>
      </c>
      <c r="AK136" s="183">
        <f>IF(H136="Dallas",(AD136/$AK$1)*'1. UC Assumptions'!$F$42,0)</f>
        <v>0</v>
      </c>
      <c r="AL136" s="183">
        <f>IF(H136="El Paso",(AD136/$AL$1)*'1. UC Assumptions'!$G$42,0)</f>
        <v>0</v>
      </c>
      <c r="AM136" s="183">
        <f>IF(H136="Harris",(AD136/$AM$1)*'1. UC Assumptions'!$H$42,0)</f>
        <v>0</v>
      </c>
      <c r="AN136" s="183">
        <f>IF(H136="Hidalgo",(AD136/$AN$1)*'1. UC Assumptions'!$I$42,0)</f>
        <v>0</v>
      </c>
      <c r="AO136" s="183">
        <f>IF(H136="Jefferson",(AD136/$AO$1)*'1. UC Assumptions'!$J$42,0)</f>
        <v>0</v>
      </c>
      <c r="AP136" s="183">
        <f>IF(H136="Lubbock",(AD136/$AP$1)*'1. UC Assumptions'!$K$42,0)</f>
        <v>0</v>
      </c>
      <c r="AQ136" s="183">
        <f>IF(H136="MRSA Central",(AD136/$AQ$1)*'1. UC Assumptions'!$L$42,0)</f>
        <v>0</v>
      </c>
      <c r="AR136" s="183">
        <f>IF(H136="MRSA Northeast",(AD136/$AR$1)*'1. UC Assumptions'!$M$42,0)</f>
        <v>0</v>
      </c>
      <c r="AS136" s="183">
        <f>IF(H136="MRSA West",(AD136/$AS$1)*'1. UC Assumptions'!$N$42,0)</f>
        <v>0</v>
      </c>
      <c r="AT136" s="183">
        <f>IF(H136="Nueces",(AD136/$AT$1)*'1. UC Assumptions'!$O$42,0)</f>
        <v>0</v>
      </c>
      <c r="AU136" s="183">
        <f>IF(H136="Tarrant",(AD136/$AU$1)*'1. UC Assumptions'!$P$42,0)</f>
        <v>0</v>
      </c>
      <c r="AV136" s="183">
        <f>IF(H136="Travis",(AD136/$AV$1)*'1. UC Assumptions'!$Q$42,0)</f>
        <v>0</v>
      </c>
      <c r="AW136" s="183">
        <f>IF(H136="Bexar",(AC136/$AW$1)*'1. UC Assumptions'!$E$44,0)</f>
        <v>0</v>
      </c>
      <c r="AX136" s="183">
        <f>IF(H136="Dallas",(AC136/$AX$1)*'1. UC Assumptions'!$F$44,0)</f>
        <v>0</v>
      </c>
      <c r="AY136" s="183">
        <f>IF(H136="El Paso",(AC136/$AY$1)*'1. UC Assumptions'!$G$44,0)</f>
        <v>0</v>
      </c>
      <c r="AZ136" s="183">
        <f>IF(H136="Harris",(AC136/$AZ$1)*'1. UC Assumptions'!$H$44,0)</f>
        <v>0</v>
      </c>
      <c r="BA136" s="183">
        <f>IF(H136="Hidalgo",(AC136/$BA$1)*'1. UC Assumptions'!$I$44,0)</f>
        <v>0</v>
      </c>
      <c r="BB136" s="183">
        <f>IF(H136="Jefferson",(AC136/$BB$1)*'1. UC Assumptions'!$J$44,0)</f>
        <v>0</v>
      </c>
      <c r="BC136" s="183">
        <f>IF(H136="Lubbock",(AC136/$BC$1)*'1. UC Assumptions'!$K$44,0)</f>
        <v>0</v>
      </c>
      <c r="BD136" s="183">
        <f>IF(H136="MRSA Central",(AC136/$BD$1)*'1. UC Assumptions'!$L$44,0)</f>
        <v>0</v>
      </c>
      <c r="BE136" s="183">
        <f>IF(H136="MRSA Northeast",(AC136/$BE$1)*'1. UC Assumptions'!$M$44,0)</f>
        <v>0</v>
      </c>
      <c r="BF136" s="183">
        <f>IF(H136="MRSA West",(AC136/$BF$1)*'1. UC Assumptions'!$N$44,0)</f>
        <v>0</v>
      </c>
      <c r="BG136" s="183">
        <f>IF(H136="Nueces",(AC136/$BG$1)*'1. UC Assumptions'!$O$44,0)</f>
        <v>0</v>
      </c>
      <c r="BH136" s="183">
        <f>IF(H136="Tarrant",(AC136/$BH$1)*'1. UC Assumptions'!$P$44,0)</f>
        <v>0</v>
      </c>
      <c r="BI136" s="183">
        <f>IF(H136="Travis",(AC136/$BI$1)*'1. UC Assumptions'!$Q$44,0)</f>
        <v>0</v>
      </c>
      <c r="BJ136" s="183">
        <f t="shared" si="35"/>
        <v>0</v>
      </c>
      <c r="BK136" s="183">
        <f t="shared" si="36"/>
        <v>0</v>
      </c>
      <c r="BL136" s="183">
        <f t="shared" si="37"/>
        <v>2353996.6119897482</v>
      </c>
      <c r="BM136" s="184">
        <f t="shared" si="38"/>
        <v>-815656.76801025169</v>
      </c>
      <c r="BN136" s="184">
        <f>ROUNDDOWN(BM136*'1. UC Assumptions'!$C$23,2)</f>
        <v>-269166.73</v>
      </c>
      <c r="BO136" s="184"/>
      <c r="BP136" s="185"/>
      <c r="BQ136" s="32"/>
      <c r="BR136" s="32"/>
    </row>
    <row r="137" spans="1:70">
      <c r="A137" s="177" t="s">
        <v>1445</v>
      </c>
      <c r="B137" s="177" t="s">
        <v>340</v>
      </c>
      <c r="C137" s="178" t="s">
        <v>340</v>
      </c>
      <c r="D137" s="179" t="s">
        <v>214</v>
      </c>
      <c r="E137" s="179" t="s">
        <v>149</v>
      </c>
      <c r="F137" s="177"/>
      <c r="G137" s="177" t="s">
        <v>341</v>
      </c>
      <c r="H137" s="178" t="s">
        <v>9</v>
      </c>
      <c r="I137" s="178" t="s">
        <v>342</v>
      </c>
      <c r="J137" s="131">
        <f>IFERROR(INDEX(#REF!,(MATCH('Old Calc Tab'!C:C,#REF!,0))),0)</f>
        <v>0</v>
      </c>
      <c r="K137" s="131">
        <f>IFERROR(INDEX(#REF!,(MATCH('Old Calc Tab'!$C:$C,#REF!,0))),0)</f>
        <v>0</v>
      </c>
      <c r="L137" s="131"/>
      <c r="M137" s="131">
        <v>330229.05</v>
      </c>
      <c r="N137" s="131">
        <f>IFERROR(INDEX(#REF!,(MATCH('Old Calc Tab'!$C:$C,#REF!,0))),0)</f>
        <v>0</v>
      </c>
      <c r="O137" s="131">
        <f t="shared" si="26"/>
        <v>0</v>
      </c>
      <c r="P137" s="131">
        <f t="shared" si="27"/>
        <v>330229.05</v>
      </c>
      <c r="Q137" s="131"/>
      <c r="R137" s="131"/>
      <c r="S137" s="131"/>
      <c r="T137" s="131"/>
      <c r="U137" s="131"/>
      <c r="V137" s="131">
        <v>0</v>
      </c>
      <c r="W137" s="180">
        <v>0</v>
      </c>
      <c r="X137" s="180">
        <f t="shared" si="28"/>
        <v>330229.05</v>
      </c>
      <c r="Y137" s="181">
        <f>IF(D137="Physician Group Practice",(X137/$AE$369)*'1. UC Assumptions'!$C$15,IF(OR(E137="Rural Hospital",E137="Hosp - State"),X137,(X137/$X$369)*'1. UC Assumptions'!$C$9))</f>
        <v>330229.05</v>
      </c>
      <c r="Z137" s="181">
        <f t="shared" si="29"/>
        <v>0</v>
      </c>
      <c r="AA137" s="181">
        <f t="shared" si="30"/>
        <v>0</v>
      </c>
      <c r="AB137" s="182">
        <f t="shared" si="31"/>
        <v>0</v>
      </c>
      <c r="AC137" s="181">
        <f t="shared" si="32"/>
        <v>0</v>
      </c>
      <c r="AD137" s="181">
        <f t="shared" si="33"/>
        <v>330229.05</v>
      </c>
      <c r="AE137" s="131">
        <v>124733.34</v>
      </c>
      <c r="AF137" s="131">
        <f>AE137*'1. UC Assumptions'!$C$23</f>
        <v>41162.002199999995</v>
      </c>
      <c r="AG137" s="183">
        <f>IF((((X137-W137-AE137)*'1. UC Assumptions'!$C$23)+AF137)&gt;0,((X137-W137-AE137)*'1. UC Assumptions'!$C$23)+AF137,0)</f>
        <v>108975.58649999998</v>
      </c>
      <c r="AH137" s="183"/>
      <c r="AI137" s="183">
        <f t="shared" si="34"/>
        <v>41162.002199999995</v>
      </c>
      <c r="AJ137" s="183">
        <f>IF(H137="Bexar",(AD137/$AJ$1)*'1. UC Assumptions'!$E$42,0)</f>
        <v>0</v>
      </c>
      <c r="AK137" s="183">
        <f>IF(H137="Dallas",(AD137/$AK$1)*'1. UC Assumptions'!$F$42,0)</f>
        <v>0</v>
      </c>
      <c r="AL137" s="183">
        <f>IF(H137="El Paso",(AD137/$AL$1)*'1. UC Assumptions'!$G$42,0)</f>
        <v>0</v>
      </c>
      <c r="AM137" s="183">
        <f>IF(H137="Harris",(AD137/$AM$1)*'1. UC Assumptions'!$H$42,0)</f>
        <v>0</v>
      </c>
      <c r="AN137" s="183">
        <f>IF(H137="Hidalgo",(AD137/$AN$1)*'1. UC Assumptions'!$I$42,0)</f>
        <v>0</v>
      </c>
      <c r="AO137" s="183">
        <f>IF(H137="Jefferson",(AD137/$AO$1)*'1. UC Assumptions'!$J$42,0)</f>
        <v>0</v>
      </c>
      <c r="AP137" s="183">
        <f>IF(H137="Lubbock",(AD137/$AP$1)*'1. UC Assumptions'!$K$42,0)</f>
        <v>0</v>
      </c>
      <c r="AQ137" s="183">
        <f>IF(H137="MRSA Central",(AD137/$AQ$1)*'1. UC Assumptions'!$L$42,0)</f>
        <v>0</v>
      </c>
      <c r="AR137" s="183">
        <f>IF(H137="MRSA Northeast",(AD137/$AR$1)*'1. UC Assumptions'!$M$42,0)</f>
        <v>0</v>
      </c>
      <c r="AS137" s="183">
        <f>IF(H137="MRSA West",(AD137/$AS$1)*'1. UC Assumptions'!$N$42,0)</f>
        <v>0</v>
      </c>
      <c r="AT137" s="183">
        <f>IF(H137="Nueces",(AD137/$AT$1)*'1. UC Assumptions'!$O$42,0)</f>
        <v>0</v>
      </c>
      <c r="AU137" s="183">
        <f>IF(H137="Tarrant",(AD137/$AU$1)*'1. UC Assumptions'!$P$42,0)</f>
        <v>0</v>
      </c>
      <c r="AV137" s="183">
        <f>IF(H137="Travis",(AD137/$AV$1)*'1. UC Assumptions'!$Q$42,0)</f>
        <v>0</v>
      </c>
      <c r="AW137" s="183">
        <f>IF(H137="Bexar",(AC137/$AW$1)*'1. UC Assumptions'!$E$44,0)</f>
        <v>0</v>
      </c>
      <c r="AX137" s="183">
        <f>IF(H137="Dallas",(AC137/$AX$1)*'1. UC Assumptions'!$F$44,0)</f>
        <v>0</v>
      </c>
      <c r="AY137" s="183">
        <f>IF(H137="El Paso",(AC137/$AY$1)*'1. UC Assumptions'!$G$44,0)</f>
        <v>0</v>
      </c>
      <c r="AZ137" s="183">
        <f>IF(H137="Harris",(AC137/$AZ$1)*'1. UC Assumptions'!$H$44,0)</f>
        <v>0</v>
      </c>
      <c r="BA137" s="183">
        <f>IF(H137="Hidalgo",(AC137/$BA$1)*'1. UC Assumptions'!$I$44,0)</f>
        <v>0</v>
      </c>
      <c r="BB137" s="183">
        <f>IF(H137="Jefferson",(AC137/$BB$1)*'1. UC Assumptions'!$J$44,0)</f>
        <v>0</v>
      </c>
      <c r="BC137" s="183">
        <f>IF(H137="Lubbock",(AC137/$BC$1)*'1. UC Assumptions'!$K$44,0)</f>
        <v>0</v>
      </c>
      <c r="BD137" s="183">
        <f>IF(H137="MRSA Central",(AC137/$BD$1)*'1. UC Assumptions'!$L$44,0)</f>
        <v>0</v>
      </c>
      <c r="BE137" s="183">
        <f>IF(H137="MRSA Northeast",(AC137/$BE$1)*'1. UC Assumptions'!$M$44,0)</f>
        <v>0</v>
      </c>
      <c r="BF137" s="183">
        <f>IF(H137="MRSA West",(AC137/$BF$1)*'1. UC Assumptions'!$N$44,0)</f>
        <v>0</v>
      </c>
      <c r="BG137" s="183">
        <f>IF(H137="Nueces",(AC137/$BG$1)*'1. UC Assumptions'!$O$44,0)</f>
        <v>0</v>
      </c>
      <c r="BH137" s="183">
        <f>IF(H137="Tarrant",(AC137/$BH$1)*'1. UC Assumptions'!$P$44,0)</f>
        <v>0</v>
      </c>
      <c r="BI137" s="183">
        <f>IF(H137="Travis",(AC137/$BI$1)*'1. UC Assumptions'!$Q$44,0)</f>
        <v>0</v>
      </c>
      <c r="BJ137" s="183">
        <f t="shared" si="35"/>
        <v>0</v>
      </c>
      <c r="BK137" s="183">
        <f t="shared" si="36"/>
        <v>0</v>
      </c>
      <c r="BL137" s="183">
        <f t="shared" si="37"/>
        <v>330229.05</v>
      </c>
      <c r="BM137" s="184">
        <f t="shared" si="38"/>
        <v>205495.71</v>
      </c>
      <c r="BN137" s="184">
        <f>ROUNDDOWN(BM137*'1. UC Assumptions'!$C$23,2)</f>
        <v>67813.58</v>
      </c>
      <c r="BO137" s="184"/>
      <c r="BP137" s="185"/>
      <c r="BQ137" s="32"/>
      <c r="BR137" s="32"/>
    </row>
    <row r="138" spans="1:70">
      <c r="A138" s="177" t="s">
        <v>1446</v>
      </c>
      <c r="B138" s="178" t="s">
        <v>366</v>
      </c>
      <c r="C138" s="178" t="s">
        <v>366</v>
      </c>
      <c r="D138" s="179" t="s">
        <v>208</v>
      </c>
      <c r="E138" s="179" t="s">
        <v>149</v>
      </c>
      <c r="F138" s="177"/>
      <c r="G138" s="177" t="s">
        <v>367</v>
      </c>
      <c r="H138" s="178" t="s">
        <v>9</v>
      </c>
      <c r="I138" s="178" t="s">
        <v>368</v>
      </c>
      <c r="J138" s="131">
        <f>IFERROR(INDEX(#REF!,(MATCH('Old Calc Tab'!C:C,#REF!,0))),0)</f>
        <v>0</v>
      </c>
      <c r="K138" s="131">
        <f>IFERROR(INDEX(#REF!,(MATCH('Old Calc Tab'!$C:$C,#REF!,0))),0)</f>
        <v>0</v>
      </c>
      <c r="L138" s="131"/>
      <c r="M138" s="131">
        <v>730876.15</v>
      </c>
      <c r="N138" s="131">
        <f>IFERROR(INDEX(#REF!,(MATCH('Old Calc Tab'!$C:$C,#REF!,0))),0)</f>
        <v>0</v>
      </c>
      <c r="O138" s="131">
        <f t="shared" si="26"/>
        <v>0</v>
      </c>
      <c r="P138" s="131">
        <f t="shared" si="27"/>
        <v>730876.15</v>
      </c>
      <c r="Q138" s="131"/>
      <c r="R138" s="131"/>
      <c r="S138" s="131"/>
      <c r="T138" s="131"/>
      <c r="U138" s="131"/>
      <c r="V138" s="131">
        <v>0</v>
      </c>
      <c r="W138" s="180">
        <v>0</v>
      </c>
      <c r="X138" s="180">
        <f t="shared" si="28"/>
        <v>730876.15</v>
      </c>
      <c r="Y138" s="181">
        <f>IF(D138="Physician Group Practice",(X138/$AE$369)*'1. UC Assumptions'!$C$15,IF(OR(E138="Rural Hospital",E138="Hosp - State"),X138,(X138/$X$369)*'1. UC Assumptions'!$C$9))</f>
        <v>730876.15</v>
      </c>
      <c r="Z138" s="181">
        <f t="shared" si="29"/>
        <v>0</v>
      </c>
      <c r="AA138" s="181">
        <f t="shared" si="30"/>
        <v>0</v>
      </c>
      <c r="AB138" s="182">
        <f t="shared" si="31"/>
        <v>0</v>
      </c>
      <c r="AC138" s="181">
        <f t="shared" si="32"/>
        <v>0</v>
      </c>
      <c r="AD138" s="181">
        <f t="shared" si="33"/>
        <v>730876.15</v>
      </c>
      <c r="AE138" s="131">
        <v>148248.81</v>
      </c>
      <c r="AF138" s="131">
        <f>AE138*'1. UC Assumptions'!$C$23</f>
        <v>48922.107299999996</v>
      </c>
      <c r="AG138" s="183">
        <f>IF((((X138-W138-AE138)*'1. UC Assumptions'!$C$23)+AF138)&gt;0,((X138-W138-AE138)*'1. UC Assumptions'!$C$23)+AF138,0)</f>
        <v>241189.12950000001</v>
      </c>
      <c r="AH138" s="183"/>
      <c r="AI138" s="183">
        <f t="shared" si="34"/>
        <v>48922.107299999996</v>
      </c>
      <c r="AJ138" s="183">
        <f>IF(H138="Bexar",(AD138/$AJ$1)*'1. UC Assumptions'!$E$42,0)</f>
        <v>0</v>
      </c>
      <c r="AK138" s="183">
        <f>IF(H138="Dallas",(AD138/$AK$1)*'1. UC Assumptions'!$F$42,0)</f>
        <v>0</v>
      </c>
      <c r="AL138" s="183">
        <f>IF(H138="El Paso",(AD138/$AL$1)*'1. UC Assumptions'!$G$42,0)</f>
        <v>0</v>
      </c>
      <c r="AM138" s="183">
        <f>IF(H138="Harris",(AD138/$AM$1)*'1. UC Assumptions'!$H$42,0)</f>
        <v>0</v>
      </c>
      <c r="AN138" s="183">
        <f>IF(H138="Hidalgo",(AD138/$AN$1)*'1. UC Assumptions'!$I$42,0)</f>
        <v>0</v>
      </c>
      <c r="AO138" s="183">
        <f>IF(H138="Jefferson",(AD138/$AO$1)*'1. UC Assumptions'!$J$42,0)</f>
        <v>0</v>
      </c>
      <c r="AP138" s="183">
        <f>IF(H138="Lubbock",(AD138/$AP$1)*'1. UC Assumptions'!$K$42,0)</f>
        <v>0</v>
      </c>
      <c r="AQ138" s="183">
        <f>IF(H138="MRSA Central",(AD138/$AQ$1)*'1. UC Assumptions'!$L$42,0)</f>
        <v>0</v>
      </c>
      <c r="AR138" s="183">
        <f>IF(H138="MRSA Northeast",(AD138/$AR$1)*'1. UC Assumptions'!$M$42,0)</f>
        <v>0</v>
      </c>
      <c r="AS138" s="183">
        <f>IF(H138="MRSA West",(AD138/$AS$1)*'1. UC Assumptions'!$N$42,0)</f>
        <v>0</v>
      </c>
      <c r="AT138" s="183">
        <f>IF(H138="Nueces",(AD138/$AT$1)*'1. UC Assumptions'!$O$42,0)</f>
        <v>0</v>
      </c>
      <c r="AU138" s="183">
        <f>IF(H138="Tarrant",(AD138/$AU$1)*'1. UC Assumptions'!$P$42,0)</f>
        <v>0</v>
      </c>
      <c r="AV138" s="183">
        <f>IF(H138="Travis",(AD138/$AV$1)*'1. UC Assumptions'!$Q$42,0)</f>
        <v>0</v>
      </c>
      <c r="AW138" s="183">
        <f>IF(H138="Bexar",(AC138/$AW$1)*'1. UC Assumptions'!$E$44,0)</f>
        <v>0</v>
      </c>
      <c r="AX138" s="183">
        <f>IF(H138="Dallas",(AC138/$AX$1)*'1. UC Assumptions'!$F$44,0)</f>
        <v>0</v>
      </c>
      <c r="AY138" s="183">
        <f>IF(H138="El Paso",(AC138/$AY$1)*'1. UC Assumptions'!$G$44,0)</f>
        <v>0</v>
      </c>
      <c r="AZ138" s="183">
        <f>IF(H138="Harris",(AC138/$AZ$1)*'1. UC Assumptions'!$H$44,0)</f>
        <v>0</v>
      </c>
      <c r="BA138" s="183">
        <f>IF(H138="Hidalgo",(AC138/$BA$1)*'1. UC Assumptions'!$I$44,0)</f>
        <v>0</v>
      </c>
      <c r="BB138" s="183">
        <f>IF(H138="Jefferson",(AC138/$BB$1)*'1. UC Assumptions'!$J$44,0)</f>
        <v>0</v>
      </c>
      <c r="BC138" s="183">
        <f>IF(H138="Lubbock",(AC138/$BC$1)*'1. UC Assumptions'!$K$44,0)</f>
        <v>0</v>
      </c>
      <c r="BD138" s="183">
        <f>IF(H138="MRSA Central",(AC138/$BD$1)*'1. UC Assumptions'!$L$44,0)</f>
        <v>0</v>
      </c>
      <c r="BE138" s="183">
        <f>IF(H138="MRSA Northeast",(AC138/$BE$1)*'1. UC Assumptions'!$M$44,0)</f>
        <v>0</v>
      </c>
      <c r="BF138" s="183">
        <f>IF(H138="MRSA West",(AC138/$BF$1)*'1. UC Assumptions'!$N$44,0)</f>
        <v>0</v>
      </c>
      <c r="BG138" s="183">
        <f>IF(H138="Nueces",(AC138/$BG$1)*'1. UC Assumptions'!$O$44,0)</f>
        <v>0</v>
      </c>
      <c r="BH138" s="183">
        <f>IF(H138="Tarrant",(AC138/$BH$1)*'1. UC Assumptions'!$P$44,0)</f>
        <v>0</v>
      </c>
      <c r="BI138" s="183">
        <f>IF(H138="Travis",(AC138/$BI$1)*'1. UC Assumptions'!$Q$44,0)</f>
        <v>0</v>
      </c>
      <c r="BJ138" s="183">
        <f t="shared" si="35"/>
        <v>0</v>
      </c>
      <c r="BK138" s="183">
        <f t="shared" si="36"/>
        <v>0</v>
      </c>
      <c r="BL138" s="183">
        <f t="shared" si="37"/>
        <v>730876.15</v>
      </c>
      <c r="BM138" s="184">
        <f t="shared" si="38"/>
        <v>582627.34000000008</v>
      </c>
      <c r="BN138" s="184">
        <f>ROUNDDOWN(BM138*'1. UC Assumptions'!$C$23,2)</f>
        <v>192267.02</v>
      </c>
      <c r="BO138" s="184"/>
      <c r="BP138" s="185"/>
      <c r="BQ138" s="32"/>
      <c r="BR138" s="32"/>
    </row>
    <row r="139" spans="1:70">
      <c r="A139" s="177"/>
      <c r="B139" s="177" t="s">
        <v>1447</v>
      </c>
      <c r="C139" s="177" t="s">
        <v>1447</v>
      </c>
      <c r="D139" s="179" t="s">
        <v>36</v>
      </c>
      <c r="E139" s="179" t="s">
        <v>36</v>
      </c>
      <c r="F139" s="177"/>
      <c r="G139" s="177" t="s">
        <v>1448</v>
      </c>
      <c r="H139" s="178" t="s">
        <v>9</v>
      </c>
      <c r="I139" s="178" t="s">
        <v>9</v>
      </c>
      <c r="J139" s="131">
        <f>IFERROR(INDEX(#REF!,(MATCH('Old Calc Tab'!C:C,#REF!,0))),0)</f>
        <v>0</v>
      </c>
      <c r="K139" s="131">
        <f>IFERROR(INDEX(#REF!,(MATCH('Old Calc Tab'!$C:$C,#REF!,0))),0)</f>
        <v>0</v>
      </c>
      <c r="L139" s="131"/>
      <c r="M139" s="131">
        <v>55341</v>
      </c>
      <c r="N139" s="131">
        <f>IFERROR(INDEX(#REF!,(MATCH('Old Calc Tab'!$C:$C,#REF!,0))),0)</f>
        <v>0</v>
      </c>
      <c r="O139" s="131">
        <f t="shared" si="26"/>
        <v>0</v>
      </c>
      <c r="P139" s="131">
        <f t="shared" si="27"/>
        <v>55341</v>
      </c>
      <c r="Q139" s="131"/>
      <c r="R139" s="131"/>
      <c r="S139" s="131"/>
      <c r="T139" s="131"/>
      <c r="U139" s="131"/>
      <c r="V139" s="131">
        <v>0</v>
      </c>
      <c r="W139" s="180">
        <v>0</v>
      </c>
      <c r="X139" s="180">
        <f t="shared" si="28"/>
        <v>55341</v>
      </c>
      <c r="Y139" s="181">
        <f>IF(D139="Physician Group Practice",(X139/$AE$369)*'1. UC Assumptions'!$C$15,IF(OR(E139="Rural Hospital",E139="Hosp - State"),X139,(X139/$X$369)*'1. UC Assumptions'!$C$9))</f>
        <v>8522.354518615246</v>
      </c>
      <c r="Z139" s="181">
        <f t="shared" si="29"/>
        <v>0</v>
      </c>
      <c r="AA139" s="181">
        <f t="shared" si="30"/>
        <v>46818.645481384752</v>
      </c>
      <c r="AB139" s="182">
        <f t="shared" si="31"/>
        <v>25.143070751679787</v>
      </c>
      <c r="AC139" s="181">
        <f t="shared" si="32"/>
        <v>46843.78855213643</v>
      </c>
      <c r="AD139" s="181">
        <f t="shared" si="33"/>
        <v>8547.4975893669252</v>
      </c>
      <c r="AE139" s="131">
        <v>19290.21</v>
      </c>
      <c r="AF139" s="131">
        <f>AE139*'1. UC Assumptions'!$C$23</f>
        <v>6365.769299999999</v>
      </c>
      <c r="AG139" s="183">
        <f>IF((((X139-W139-AE139)*'1. UC Assumptions'!$C$23)+AF139)&gt;0,((X139-W139-AE139)*'1. UC Assumptions'!$C$23)+AF139,0)</f>
        <v>18262.53</v>
      </c>
      <c r="AH139" s="183"/>
      <c r="AI139" s="183">
        <f t="shared" si="34"/>
        <v>6365.769299999999</v>
      </c>
      <c r="AJ139" s="183">
        <f>IF(H139="Bexar",(AD139/$AJ$1)*'1. UC Assumptions'!$E$42,0)</f>
        <v>0</v>
      </c>
      <c r="AK139" s="183">
        <f>IF(H139="Dallas",(AD139/$AK$1)*'1. UC Assumptions'!$F$42,0)</f>
        <v>0</v>
      </c>
      <c r="AL139" s="183">
        <f>IF(H139="El Paso",(AD139/$AL$1)*'1. UC Assumptions'!$G$42,0)</f>
        <v>0</v>
      </c>
      <c r="AM139" s="183">
        <f>IF(H139="Harris",(AD139/$AM$1)*'1. UC Assumptions'!$H$42,0)</f>
        <v>0</v>
      </c>
      <c r="AN139" s="183">
        <f>IF(H139="Hidalgo",(AD139/$AN$1)*'1. UC Assumptions'!$I$42,0)</f>
        <v>0</v>
      </c>
      <c r="AO139" s="183">
        <f>IF(H139="Jefferson",(AD139/$AO$1)*'1. UC Assumptions'!$J$42,0)</f>
        <v>0</v>
      </c>
      <c r="AP139" s="183">
        <f>IF(H139="Lubbock",(AD139/$AP$1)*'1. UC Assumptions'!$K$42,0)</f>
        <v>0</v>
      </c>
      <c r="AQ139" s="183">
        <f>IF(H139="MRSA Central",(AD139/$AQ$1)*'1. UC Assumptions'!$L$42,0)</f>
        <v>0</v>
      </c>
      <c r="AR139" s="183">
        <f>IF(H139="MRSA Northeast",(AD139/$AR$1)*'1. UC Assumptions'!$M$42,0)</f>
        <v>0</v>
      </c>
      <c r="AS139" s="183">
        <f>IF(H139="MRSA West",(AD139/$AS$1)*'1. UC Assumptions'!$N$42,0)</f>
        <v>0</v>
      </c>
      <c r="AT139" s="183">
        <f>IF(H139="Nueces",(AD139/$AT$1)*'1. UC Assumptions'!$O$42,0)</f>
        <v>0</v>
      </c>
      <c r="AU139" s="183">
        <f>IF(H139="Tarrant",(AD139/$AU$1)*'1. UC Assumptions'!$P$42,0)</f>
        <v>0</v>
      </c>
      <c r="AV139" s="183">
        <f>IF(H139="Travis",(AD139/$AV$1)*'1. UC Assumptions'!$Q$42,0)</f>
        <v>0</v>
      </c>
      <c r="AW139" s="183">
        <f>IF(H139="Bexar",(AC139/$AW$1)*'1. UC Assumptions'!$E$44,0)</f>
        <v>0</v>
      </c>
      <c r="AX139" s="183">
        <f>IF(H139="Dallas",(AC139/$AX$1)*'1. UC Assumptions'!$F$44,0)</f>
        <v>0</v>
      </c>
      <c r="AY139" s="183">
        <f>IF(H139="El Paso",(AC139/$AY$1)*'1. UC Assumptions'!$G$44,0)</f>
        <v>0</v>
      </c>
      <c r="AZ139" s="183">
        <f>IF(H139="Harris",(AC139/$AZ$1)*'1. UC Assumptions'!$H$44,0)</f>
        <v>0</v>
      </c>
      <c r="BA139" s="183">
        <f>IF(H139="Hidalgo",(AC139/$BA$1)*'1. UC Assumptions'!$I$44,0)</f>
        <v>0</v>
      </c>
      <c r="BB139" s="183">
        <f>IF(H139="Jefferson",(AC139/$BB$1)*'1. UC Assumptions'!$J$44,0)</f>
        <v>0</v>
      </c>
      <c r="BC139" s="183">
        <f>IF(H139="Lubbock",(AC139/$BC$1)*'1. UC Assumptions'!$K$44,0)</f>
        <v>0</v>
      </c>
      <c r="BD139" s="183">
        <f>IF(H139="MRSA Central",(AC139/$BD$1)*'1. UC Assumptions'!$L$44,0)</f>
        <v>0</v>
      </c>
      <c r="BE139" s="183">
        <f>IF(H139="MRSA Northeast",(AC139/$BE$1)*'1. UC Assumptions'!$M$44,0)</f>
        <v>0</v>
      </c>
      <c r="BF139" s="183">
        <f>IF(H139="MRSA West",(AC139/$BF$1)*'1. UC Assumptions'!$N$44,0)</f>
        <v>0</v>
      </c>
      <c r="BG139" s="183">
        <f>IF(H139="Nueces",(AC139/$BG$1)*'1. UC Assumptions'!$O$44,0)</f>
        <v>0</v>
      </c>
      <c r="BH139" s="183">
        <f>IF(H139="Tarrant",(AC139/$BH$1)*'1. UC Assumptions'!$P$44,0)</f>
        <v>0</v>
      </c>
      <c r="BI139" s="183">
        <f>IF(H139="Travis",(AC139/$BI$1)*'1. UC Assumptions'!$Q$44,0)</f>
        <v>0</v>
      </c>
      <c r="BJ139" s="183">
        <f t="shared" si="35"/>
        <v>0</v>
      </c>
      <c r="BK139" s="183">
        <f t="shared" si="36"/>
        <v>0</v>
      </c>
      <c r="BL139" s="183">
        <f t="shared" si="37"/>
        <v>8547.4975893669252</v>
      </c>
      <c r="BM139" s="184">
        <f t="shared" si="38"/>
        <v>-10742.712410633074</v>
      </c>
      <c r="BN139" s="184">
        <f>ROUNDDOWN(BM139*'1. UC Assumptions'!$C$23,2)</f>
        <v>-3545.09</v>
      </c>
      <c r="BO139" s="184"/>
      <c r="BP139" s="185"/>
      <c r="BQ139" s="32"/>
      <c r="BR139" s="32"/>
    </row>
    <row r="140" spans="1:70">
      <c r="A140" s="177" t="s">
        <v>1449</v>
      </c>
      <c r="B140" s="178" t="s">
        <v>535</v>
      </c>
      <c r="C140" s="178" t="s">
        <v>535</v>
      </c>
      <c r="D140" s="179" t="s">
        <v>208</v>
      </c>
      <c r="E140" s="179" t="s">
        <v>149</v>
      </c>
      <c r="F140" s="177"/>
      <c r="G140" s="177" t="s">
        <v>1450</v>
      </c>
      <c r="H140" s="178" t="s">
        <v>9</v>
      </c>
      <c r="I140" s="178" t="s">
        <v>537</v>
      </c>
      <c r="J140" s="131">
        <f>IFERROR(INDEX(#REF!,(MATCH('Old Calc Tab'!C:C,#REF!,0))),0)</f>
        <v>0</v>
      </c>
      <c r="K140" s="131">
        <f>IFERROR(INDEX(#REF!,(MATCH('Old Calc Tab'!$C:$C,#REF!,0))),0)</f>
        <v>0</v>
      </c>
      <c r="L140" s="131"/>
      <c r="M140" s="131">
        <v>113859.90000000001</v>
      </c>
      <c r="N140" s="131">
        <f>IFERROR(INDEX(#REF!,(MATCH('Old Calc Tab'!$C:$C,#REF!,0))),0)</f>
        <v>0</v>
      </c>
      <c r="O140" s="131">
        <f t="shared" si="26"/>
        <v>0</v>
      </c>
      <c r="P140" s="131">
        <f t="shared" si="27"/>
        <v>113859.90000000001</v>
      </c>
      <c r="Q140" s="131"/>
      <c r="R140" s="131"/>
      <c r="S140" s="131"/>
      <c r="T140" s="131"/>
      <c r="U140" s="131"/>
      <c r="V140" s="131">
        <v>0</v>
      </c>
      <c r="W140" s="180">
        <v>0</v>
      </c>
      <c r="X140" s="180">
        <f t="shared" si="28"/>
        <v>113859.90000000001</v>
      </c>
      <c r="Y140" s="181">
        <f>IF(D140="Physician Group Practice",(X140/$AE$369)*'1. UC Assumptions'!$C$15,IF(OR(E140="Rural Hospital",E140="Hosp - State"),X140,(X140/$X$369)*'1. UC Assumptions'!$C$9))</f>
        <v>113859.90000000001</v>
      </c>
      <c r="Z140" s="181">
        <f t="shared" si="29"/>
        <v>0</v>
      </c>
      <c r="AA140" s="181">
        <f t="shared" si="30"/>
        <v>0</v>
      </c>
      <c r="AB140" s="182">
        <f t="shared" si="31"/>
        <v>0</v>
      </c>
      <c r="AC140" s="181">
        <f t="shared" si="32"/>
        <v>0</v>
      </c>
      <c r="AD140" s="181">
        <f t="shared" si="33"/>
        <v>113859.90000000001</v>
      </c>
      <c r="AE140" s="131">
        <v>134973.94</v>
      </c>
      <c r="AF140" s="131">
        <f>AE140*'1. UC Assumptions'!$C$23</f>
        <v>44541.400199999996</v>
      </c>
      <c r="AG140" s="183">
        <f>IF((((X140-W140-AE140)*'1. UC Assumptions'!$C$23)+AF140)&gt;0,((X140-W140-AE140)*'1. UC Assumptions'!$C$23)+AF140,0)</f>
        <v>37573.767</v>
      </c>
      <c r="AH140" s="183"/>
      <c r="AI140" s="183">
        <f t="shared" si="34"/>
        <v>44541.400199999996</v>
      </c>
      <c r="AJ140" s="183">
        <f>IF(H140="Bexar",(AD140/$AJ$1)*'1. UC Assumptions'!$E$42,0)</f>
        <v>0</v>
      </c>
      <c r="AK140" s="183">
        <f>IF(H140="Dallas",(AD140/$AK$1)*'1. UC Assumptions'!$F$42,0)</f>
        <v>0</v>
      </c>
      <c r="AL140" s="183">
        <f>IF(H140="El Paso",(AD140/$AL$1)*'1. UC Assumptions'!$G$42,0)</f>
        <v>0</v>
      </c>
      <c r="AM140" s="183">
        <f>IF(H140="Harris",(AD140/$AM$1)*'1. UC Assumptions'!$H$42,0)</f>
        <v>0</v>
      </c>
      <c r="AN140" s="183">
        <f>IF(H140="Hidalgo",(AD140/$AN$1)*'1. UC Assumptions'!$I$42,0)</f>
        <v>0</v>
      </c>
      <c r="AO140" s="183">
        <f>IF(H140="Jefferson",(AD140/$AO$1)*'1. UC Assumptions'!$J$42,0)</f>
        <v>0</v>
      </c>
      <c r="AP140" s="183">
        <f>IF(H140="Lubbock",(AD140/$AP$1)*'1. UC Assumptions'!$K$42,0)</f>
        <v>0</v>
      </c>
      <c r="AQ140" s="183">
        <f>IF(H140="MRSA Central",(AD140/$AQ$1)*'1. UC Assumptions'!$L$42,0)</f>
        <v>0</v>
      </c>
      <c r="AR140" s="183">
        <f>IF(H140="MRSA Northeast",(AD140/$AR$1)*'1. UC Assumptions'!$M$42,0)</f>
        <v>0</v>
      </c>
      <c r="AS140" s="183">
        <f>IF(H140="MRSA West",(AD140/$AS$1)*'1. UC Assumptions'!$N$42,0)</f>
        <v>0</v>
      </c>
      <c r="AT140" s="183">
        <f>IF(H140="Nueces",(AD140/$AT$1)*'1. UC Assumptions'!$O$42,0)</f>
        <v>0</v>
      </c>
      <c r="AU140" s="183">
        <f>IF(H140="Tarrant",(AD140/$AU$1)*'1. UC Assumptions'!$P$42,0)</f>
        <v>0</v>
      </c>
      <c r="AV140" s="183">
        <f>IF(H140="Travis",(AD140/$AV$1)*'1. UC Assumptions'!$Q$42,0)</f>
        <v>0</v>
      </c>
      <c r="AW140" s="183">
        <f>IF(H140="Bexar",(AC140/$AW$1)*'1. UC Assumptions'!$E$44,0)</f>
        <v>0</v>
      </c>
      <c r="AX140" s="183">
        <f>IF(H140="Dallas",(AC140/$AX$1)*'1. UC Assumptions'!$F$44,0)</f>
        <v>0</v>
      </c>
      <c r="AY140" s="183">
        <f>IF(H140="El Paso",(AC140/$AY$1)*'1. UC Assumptions'!$G$44,0)</f>
        <v>0</v>
      </c>
      <c r="AZ140" s="183">
        <f>IF(H140="Harris",(AC140/$AZ$1)*'1. UC Assumptions'!$H$44,0)</f>
        <v>0</v>
      </c>
      <c r="BA140" s="183">
        <f>IF(H140="Hidalgo",(AC140/$BA$1)*'1. UC Assumptions'!$I$44,0)</f>
        <v>0</v>
      </c>
      <c r="BB140" s="183">
        <f>IF(H140="Jefferson",(AC140/$BB$1)*'1. UC Assumptions'!$J$44,0)</f>
        <v>0</v>
      </c>
      <c r="BC140" s="183">
        <f>IF(H140="Lubbock",(AC140/$BC$1)*'1. UC Assumptions'!$K$44,0)</f>
        <v>0</v>
      </c>
      <c r="BD140" s="183">
        <f>IF(H140="MRSA Central",(AC140/$BD$1)*'1. UC Assumptions'!$L$44,0)</f>
        <v>0</v>
      </c>
      <c r="BE140" s="183">
        <f>IF(H140="MRSA Northeast",(AC140/$BE$1)*'1. UC Assumptions'!$M$44,0)</f>
        <v>0</v>
      </c>
      <c r="BF140" s="183">
        <f>IF(H140="MRSA West",(AC140/$BF$1)*'1. UC Assumptions'!$N$44,0)</f>
        <v>0</v>
      </c>
      <c r="BG140" s="183">
        <f>IF(H140="Nueces",(AC140/$BG$1)*'1. UC Assumptions'!$O$44,0)</f>
        <v>0</v>
      </c>
      <c r="BH140" s="183">
        <f>IF(H140="Tarrant",(AC140/$BH$1)*'1. UC Assumptions'!$P$44,0)</f>
        <v>0</v>
      </c>
      <c r="BI140" s="183">
        <f>IF(H140="Travis",(AC140/$BI$1)*'1. UC Assumptions'!$Q$44,0)</f>
        <v>0</v>
      </c>
      <c r="BJ140" s="183">
        <f t="shared" si="35"/>
        <v>0</v>
      </c>
      <c r="BK140" s="183">
        <f t="shared" si="36"/>
        <v>0</v>
      </c>
      <c r="BL140" s="183">
        <f t="shared" si="37"/>
        <v>113859.90000000001</v>
      </c>
      <c r="BM140" s="184">
        <f t="shared" si="38"/>
        <v>-21114.039999999994</v>
      </c>
      <c r="BN140" s="184">
        <f>ROUNDDOWN(BM140*'1. UC Assumptions'!$C$23,2)</f>
        <v>-6967.63</v>
      </c>
      <c r="BO140" s="184"/>
      <c r="BP140" s="185"/>
      <c r="BQ140" s="32"/>
      <c r="BR140" s="32"/>
    </row>
    <row r="141" spans="1:70">
      <c r="A141" s="177" t="s">
        <v>1451</v>
      </c>
      <c r="B141" s="177" t="s">
        <v>548</v>
      </c>
      <c r="C141" s="178" t="s">
        <v>548</v>
      </c>
      <c r="D141" s="179" t="s">
        <v>214</v>
      </c>
      <c r="E141" s="179" t="s">
        <v>149</v>
      </c>
      <c r="F141" s="177"/>
      <c r="G141" s="177" t="s">
        <v>1452</v>
      </c>
      <c r="H141" s="178" t="s">
        <v>9</v>
      </c>
      <c r="I141" s="178" t="s">
        <v>550</v>
      </c>
      <c r="J141" s="131">
        <f>IFERROR(INDEX(#REF!,(MATCH('Old Calc Tab'!C:C,#REF!,0))),0)</f>
        <v>0</v>
      </c>
      <c r="K141" s="131">
        <f>IFERROR(INDEX(#REF!,(MATCH('Old Calc Tab'!$C:$C,#REF!,0))),0)</f>
        <v>0</v>
      </c>
      <c r="L141" s="131"/>
      <c r="M141" s="131">
        <v>4334869.5</v>
      </c>
      <c r="N141" s="131">
        <f>IFERROR(INDEX(#REF!,(MATCH('Old Calc Tab'!$C:$C,#REF!,0))),0)</f>
        <v>0</v>
      </c>
      <c r="O141" s="131">
        <f t="shared" si="26"/>
        <v>0</v>
      </c>
      <c r="P141" s="131">
        <f t="shared" si="27"/>
        <v>4334869.5</v>
      </c>
      <c r="Q141" s="131"/>
      <c r="R141" s="131"/>
      <c r="S141" s="131"/>
      <c r="T141" s="131"/>
      <c r="U141" s="131"/>
      <c r="V141" s="131">
        <v>0</v>
      </c>
      <c r="W141" s="180">
        <v>0</v>
      </c>
      <c r="X141" s="180">
        <f t="shared" si="28"/>
        <v>4334869.5</v>
      </c>
      <c r="Y141" s="181">
        <f>IF(D141="Physician Group Practice",(X141/$AE$369)*'1. UC Assumptions'!$C$15,IF(OR(E141="Rural Hospital",E141="Hosp - State"),X141,(X141/$X$369)*'1. UC Assumptions'!$C$9))</f>
        <v>4334869.5</v>
      </c>
      <c r="Z141" s="181">
        <f t="shared" si="29"/>
        <v>0</v>
      </c>
      <c r="AA141" s="181">
        <f t="shared" si="30"/>
        <v>0</v>
      </c>
      <c r="AB141" s="182">
        <f t="shared" si="31"/>
        <v>0</v>
      </c>
      <c r="AC141" s="181">
        <f t="shared" si="32"/>
        <v>0</v>
      </c>
      <c r="AD141" s="181">
        <f t="shared" si="33"/>
        <v>4334869.5</v>
      </c>
      <c r="AE141" s="131">
        <v>935505.39</v>
      </c>
      <c r="AF141" s="131">
        <f>AE141*'1. UC Assumptions'!$C$23</f>
        <v>308716.77869999997</v>
      </c>
      <c r="AG141" s="183">
        <f>IF((((X141-W141-AE141)*'1. UC Assumptions'!$C$23)+AF141)&gt;0,((X141-W141-AE141)*'1. UC Assumptions'!$C$23)+AF141,0)</f>
        <v>1430506.9349999998</v>
      </c>
      <c r="AH141" s="183"/>
      <c r="AI141" s="183">
        <f t="shared" si="34"/>
        <v>308716.77869999997</v>
      </c>
      <c r="AJ141" s="183">
        <f>IF(H141="Bexar",(AD141/$AJ$1)*'1. UC Assumptions'!$E$42,0)</f>
        <v>0</v>
      </c>
      <c r="AK141" s="183">
        <f>IF(H141="Dallas",(AD141/$AK$1)*'1. UC Assumptions'!$F$42,0)</f>
        <v>0</v>
      </c>
      <c r="AL141" s="183">
        <f>IF(H141="El Paso",(AD141/$AL$1)*'1. UC Assumptions'!$G$42,0)</f>
        <v>0</v>
      </c>
      <c r="AM141" s="183">
        <f>IF(H141="Harris",(AD141/$AM$1)*'1. UC Assumptions'!$H$42,0)</f>
        <v>0</v>
      </c>
      <c r="AN141" s="183">
        <f>IF(H141="Hidalgo",(AD141/$AN$1)*'1. UC Assumptions'!$I$42,0)</f>
        <v>0</v>
      </c>
      <c r="AO141" s="183">
        <f>IF(H141="Jefferson",(AD141/$AO$1)*'1. UC Assumptions'!$J$42,0)</f>
        <v>0</v>
      </c>
      <c r="AP141" s="183">
        <f>IF(H141="Lubbock",(AD141/$AP$1)*'1. UC Assumptions'!$K$42,0)</f>
        <v>0</v>
      </c>
      <c r="AQ141" s="183">
        <f>IF(H141="MRSA Central",(AD141/$AQ$1)*'1. UC Assumptions'!$L$42,0)</f>
        <v>0</v>
      </c>
      <c r="AR141" s="183">
        <f>IF(H141="MRSA Northeast",(AD141/$AR$1)*'1. UC Assumptions'!$M$42,0)</f>
        <v>0</v>
      </c>
      <c r="AS141" s="183">
        <f>IF(H141="MRSA West",(AD141/$AS$1)*'1. UC Assumptions'!$N$42,0)</f>
        <v>0</v>
      </c>
      <c r="AT141" s="183">
        <f>IF(H141="Nueces",(AD141/$AT$1)*'1. UC Assumptions'!$O$42,0)</f>
        <v>0</v>
      </c>
      <c r="AU141" s="183">
        <f>IF(H141="Tarrant",(AD141/$AU$1)*'1. UC Assumptions'!$P$42,0)</f>
        <v>0</v>
      </c>
      <c r="AV141" s="183">
        <f>IF(H141="Travis",(AD141/$AV$1)*'1. UC Assumptions'!$Q$42,0)</f>
        <v>0</v>
      </c>
      <c r="AW141" s="183">
        <f>IF(H141="Bexar",(AC141/$AW$1)*'1. UC Assumptions'!$E$44,0)</f>
        <v>0</v>
      </c>
      <c r="AX141" s="183">
        <f>IF(H141="Dallas",(AC141/$AX$1)*'1. UC Assumptions'!$F$44,0)</f>
        <v>0</v>
      </c>
      <c r="AY141" s="183">
        <f>IF(H141="El Paso",(AC141/$AY$1)*'1. UC Assumptions'!$G$44,0)</f>
        <v>0</v>
      </c>
      <c r="AZ141" s="183">
        <f>IF(H141="Harris",(AC141/$AZ$1)*'1. UC Assumptions'!$H$44,0)</f>
        <v>0</v>
      </c>
      <c r="BA141" s="183">
        <f>IF(H141="Hidalgo",(AC141/$BA$1)*'1. UC Assumptions'!$I$44,0)</f>
        <v>0</v>
      </c>
      <c r="BB141" s="183">
        <f>IF(H141="Jefferson",(AC141/$BB$1)*'1. UC Assumptions'!$J$44,0)</f>
        <v>0</v>
      </c>
      <c r="BC141" s="183">
        <f>IF(H141="Lubbock",(AC141/$BC$1)*'1. UC Assumptions'!$K$44,0)</f>
        <v>0</v>
      </c>
      <c r="BD141" s="183">
        <f>IF(H141="MRSA Central",(AC141/$BD$1)*'1. UC Assumptions'!$L$44,0)</f>
        <v>0</v>
      </c>
      <c r="BE141" s="183">
        <f>IF(H141="MRSA Northeast",(AC141/$BE$1)*'1. UC Assumptions'!$M$44,0)</f>
        <v>0</v>
      </c>
      <c r="BF141" s="183">
        <f>IF(H141="MRSA West",(AC141/$BF$1)*'1. UC Assumptions'!$N$44,0)</f>
        <v>0</v>
      </c>
      <c r="BG141" s="183">
        <f>IF(H141="Nueces",(AC141/$BG$1)*'1. UC Assumptions'!$O$44,0)</f>
        <v>0</v>
      </c>
      <c r="BH141" s="183">
        <f>IF(H141="Tarrant",(AC141/$BH$1)*'1. UC Assumptions'!$P$44,0)</f>
        <v>0</v>
      </c>
      <c r="BI141" s="183">
        <f>IF(H141="Travis",(AC141/$BI$1)*'1. UC Assumptions'!$Q$44,0)</f>
        <v>0</v>
      </c>
      <c r="BJ141" s="183">
        <f t="shared" si="35"/>
        <v>0</v>
      </c>
      <c r="BK141" s="183">
        <f t="shared" si="36"/>
        <v>0</v>
      </c>
      <c r="BL141" s="183">
        <f t="shared" si="37"/>
        <v>4334869.5</v>
      </c>
      <c r="BM141" s="184">
        <f t="shared" si="38"/>
        <v>3399364.11</v>
      </c>
      <c r="BN141" s="184">
        <f>ROUNDDOWN(BM141*'1. UC Assumptions'!$C$23,2)</f>
        <v>1121790.1499999999</v>
      </c>
      <c r="BO141" s="184"/>
      <c r="BP141" s="185"/>
      <c r="BQ141" s="32"/>
      <c r="BR141" s="32"/>
    </row>
    <row r="142" spans="1:70">
      <c r="A142" s="177" t="s">
        <v>1453</v>
      </c>
      <c r="B142" s="178" t="s">
        <v>577</v>
      </c>
      <c r="C142" s="178" t="s">
        <v>577</v>
      </c>
      <c r="D142" s="179" t="s">
        <v>208</v>
      </c>
      <c r="E142" s="179" t="s">
        <v>149</v>
      </c>
      <c r="F142" s="177"/>
      <c r="G142" s="177" t="s">
        <v>1454</v>
      </c>
      <c r="H142" s="178" t="s">
        <v>9</v>
      </c>
      <c r="I142" s="178" t="s">
        <v>579</v>
      </c>
      <c r="J142" s="131">
        <f>IFERROR(INDEX(#REF!,(MATCH('Old Calc Tab'!C:C,#REF!,0))),0)</f>
        <v>0</v>
      </c>
      <c r="K142" s="131">
        <f>IFERROR(INDEX(#REF!,(MATCH('Old Calc Tab'!$C:$C,#REF!,0))),0)</f>
        <v>0</v>
      </c>
      <c r="L142" s="131"/>
      <c r="M142" s="131">
        <v>0</v>
      </c>
      <c r="N142" s="131">
        <f>IFERROR(INDEX(#REF!,(MATCH('Old Calc Tab'!$C:$C,#REF!,0))),0)</f>
        <v>0</v>
      </c>
      <c r="O142" s="131">
        <f t="shared" si="26"/>
        <v>0</v>
      </c>
      <c r="P142" s="131">
        <f t="shared" si="27"/>
        <v>0</v>
      </c>
      <c r="Q142" s="131"/>
      <c r="R142" s="131"/>
      <c r="S142" s="131"/>
      <c r="T142" s="131"/>
      <c r="U142" s="131"/>
      <c r="V142" s="131">
        <v>0</v>
      </c>
      <c r="W142" s="180">
        <v>0</v>
      </c>
      <c r="X142" s="180">
        <f t="shared" si="28"/>
        <v>0</v>
      </c>
      <c r="Y142" s="181">
        <f>IF(D142="Physician Group Practice",(X142/$AE$369)*'1. UC Assumptions'!$C$15,IF(OR(E142="Rural Hospital",E142="Hosp - State"),X142,(X142/$X$369)*'1. UC Assumptions'!$C$9))</f>
        <v>0</v>
      </c>
      <c r="Z142" s="181">
        <f t="shared" si="29"/>
        <v>0</v>
      </c>
      <c r="AA142" s="181">
        <f t="shared" si="30"/>
        <v>0</v>
      </c>
      <c r="AB142" s="182">
        <f t="shared" si="31"/>
        <v>0</v>
      </c>
      <c r="AC142" s="181">
        <f t="shared" si="32"/>
        <v>0</v>
      </c>
      <c r="AD142" s="181">
        <f t="shared" si="33"/>
        <v>0</v>
      </c>
      <c r="AE142" s="131">
        <v>173323.82</v>
      </c>
      <c r="AF142" s="131">
        <f>AE142*'1. UC Assumptions'!$C$23</f>
        <v>57196.860599999993</v>
      </c>
      <c r="AG142" s="183">
        <f>IF((((X142-W142-AE142)*'1. UC Assumptions'!$C$23)+AF142)&gt;0,((X142-W142-AE142)*'1. UC Assumptions'!$C$23)+AF142,0)</f>
        <v>0</v>
      </c>
      <c r="AH142" s="183"/>
      <c r="AI142" s="183">
        <f t="shared" si="34"/>
        <v>57196.860599999993</v>
      </c>
      <c r="AJ142" s="183">
        <f>IF(H142="Bexar",(AD142/$AJ$1)*'1. UC Assumptions'!$E$42,0)</f>
        <v>0</v>
      </c>
      <c r="AK142" s="183">
        <f>IF(H142="Dallas",(AD142/$AK$1)*'1. UC Assumptions'!$F$42,0)</f>
        <v>0</v>
      </c>
      <c r="AL142" s="183">
        <f>IF(H142="El Paso",(AD142/$AL$1)*'1. UC Assumptions'!$G$42,0)</f>
        <v>0</v>
      </c>
      <c r="AM142" s="183">
        <f>IF(H142="Harris",(AD142/$AM$1)*'1. UC Assumptions'!$H$42,0)</f>
        <v>0</v>
      </c>
      <c r="AN142" s="183">
        <f>IF(H142="Hidalgo",(AD142/$AN$1)*'1. UC Assumptions'!$I$42,0)</f>
        <v>0</v>
      </c>
      <c r="AO142" s="183">
        <f>IF(H142="Jefferson",(AD142/$AO$1)*'1. UC Assumptions'!$J$42,0)</f>
        <v>0</v>
      </c>
      <c r="AP142" s="183">
        <f>IF(H142="Lubbock",(AD142/$AP$1)*'1. UC Assumptions'!$K$42,0)</f>
        <v>0</v>
      </c>
      <c r="AQ142" s="183">
        <f>IF(H142="MRSA Central",(AD142/$AQ$1)*'1. UC Assumptions'!$L$42,0)</f>
        <v>0</v>
      </c>
      <c r="AR142" s="183">
        <f>IF(H142="MRSA Northeast",(AD142/$AR$1)*'1. UC Assumptions'!$M$42,0)</f>
        <v>0</v>
      </c>
      <c r="AS142" s="183">
        <f>IF(H142="MRSA West",(AD142/$AS$1)*'1. UC Assumptions'!$N$42,0)</f>
        <v>0</v>
      </c>
      <c r="AT142" s="183">
        <f>IF(H142="Nueces",(AD142/$AT$1)*'1. UC Assumptions'!$O$42,0)</f>
        <v>0</v>
      </c>
      <c r="AU142" s="183">
        <f>IF(H142="Tarrant",(AD142/$AU$1)*'1. UC Assumptions'!$P$42,0)</f>
        <v>0</v>
      </c>
      <c r="AV142" s="183">
        <f>IF(H142="Travis",(AD142/$AV$1)*'1. UC Assumptions'!$Q$42,0)</f>
        <v>0</v>
      </c>
      <c r="AW142" s="183">
        <f>IF(H142="Bexar",(AC142/$AW$1)*'1. UC Assumptions'!$E$44,0)</f>
        <v>0</v>
      </c>
      <c r="AX142" s="183">
        <f>IF(H142="Dallas",(AC142/$AX$1)*'1. UC Assumptions'!$F$44,0)</f>
        <v>0</v>
      </c>
      <c r="AY142" s="183">
        <f>IF(H142="El Paso",(AC142/$AY$1)*'1. UC Assumptions'!$G$44,0)</f>
        <v>0</v>
      </c>
      <c r="AZ142" s="183">
        <f>IF(H142="Harris",(AC142/$AZ$1)*'1. UC Assumptions'!$H$44,0)</f>
        <v>0</v>
      </c>
      <c r="BA142" s="183">
        <f>IF(H142="Hidalgo",(AC142/$BA$1)*'1. UC Assumptions'!$I$44,0)</f>
        <v>0</v>
      </c>
      <c r="BB142" s="183">
        <f>IF(H142="Jefferson",(AC142/$BB$1)*'1. UC Assumptions'!$J$44,0)</f>
        <v>0</v>
      </c>
      <c r="BC142" s="183">
        <f>IF(H142="Lubbock",(AC142/$BC$1)*'1. UC Assumptions'!$K$44,0)</f>
        <v>0</v>
      </c>
      <c r="BD142" s="183">
        <f>IF(H142="MRSA Central",(AC142/$BD$1)*'1. UC Assumptions'!$L$44,0)</f>
        <v>0</v>
      </c>
      <c r="BE142" s="183">
        <f>IF(H142="MRSA Northeast",(AC142/$BE$1)*'1. UC Assumptions'!$M$44,0)</f>
        <v>0</v>
      </c>
      <c r="BF142" s="183">
        <f>IF(H142="MRSA West",(AC142/$BF$1)*'1. UC Assumptions'!$N$44,0)</f>
        <v>0</v>
      </c>
      <c r="BG142" s="183">
        <f>IF(H142="Nueces",(AC142/$BG$1)*'1. UC Assumptions'!$O$44,0)</f>
        <v>0</v>
      </c>
      <c r="BH142" s="183">
        <f>IF(H142="Tarrant",(AC142/$BH$1)*'1. UC Assumptions'!$P$44,0)</f>
        <v>0</v>
      </c>
      <c r="BI142" s="183">
        <f>IF(H142="Travis",(AC142/$BI$1)*'1. UC Assumptions'!$Q$44,0)</f>
        <v>0</v>
      </c>
      <c r="BJ142" s="183">
        <f t="shared" si="35"/>
        <v>0</v>
      </c>
      <c r="BK142" s="183">
        <f t="shared" si="36"/>
        <v>0</v>
      </c>
      <c r="BL142" s="183">
        <f t="shared" si="37"/>
        <v>0</v>
      </c>
      <c r="BM142" s="184">
        <f t="shared" si="38"/>
        <v>-173323.82</v>
      </c>
      <c r="BN142" s="184">
        <f>ROUNDDOWN(BM142*'1. UC Assumptions'!$C$23,2)</f>
        <v>-57196.86</v>
      </c>
      <c r="BO142" s="184"/>
      <c r="BP142" s="185"/>
      <c r="BQ142" s="32"/>
      <c r="BR142" s="32"/>
    </row>
    <row r="143" spans="1:70">
      <c r="A143" s="177" t="s">
        <v>1455</v>
      </c>
      <c r="B143" s="177" t="s">
        <v>580</v>
      </c>
      <c r="C143" s="178" t="s">
        <v>580</v>
      </c>
      <c r="D143" s="179" t="s">
        <v>214</v>
      </c>
      <c r="E143" s="179"/>
      <c r="F143" s="177"/>
      <c r="G143" s="177" t="s">
        <v>1456</v>
      </c>
      <c r="H143" s="178" t="s">
        <v>9</v>
      </c>
      <c r="I143" s="178" t="s">
        <v>9</v>
      </c>
      <c r="J143" s="131">
        <f>IFERROR(INDEX(#REF!,(MATCH('Old Calc Tab'!C:C,#REF!,0))),0)</f>
        <v>0</v>
      </c>
      <c r="K143" s="131">
        <f>IFERROR(INDEX(#REF!,(MATCH('Old Calc Tab'!$C:$C,#REF!,0))),0)</f>
        <v>0</v>
      </c>
      <c r="L143" s="131"/>
      <c r="M143" s="131">
        <v>891467</v>
      </c>
      <c r="N143" s="131">
        <f>IFERROR(INDEX(#REF!,(MATCH('Old Calc Tab'!$C:$C,#REF!,0))),0)</f>
        <v>0</v>
      </c>
      <c r="O143" s="131">
        <f t="shared" si="26"/>
        <v>0</v>
      </c>
      <c r="P143" s="131">
        <f t="shared" si="27"/>
        <v>891467</v>
      </c>
      <c r="Q143" s="131"/>
      <c r="R143" s="131"/>
      <c r="S143" s="131"/>
      <c r="T143" s="131"/>
      <c r="U143" s="131"/>
      <c r="V143" s="131">
        <v>266025</v>
      </c>
      <c r="W143" s="180">
        <v>0</v>
      </c>
      <c r="X143" s="180">
        <f t="shared" si="28"/>
        <v>1157492</v>
      </c>
      <c r="Y143" s="181">
        <f>IF(D143="Physician Group Practice",(X143/$AE$369)*'1. UC Assumptions'!$C$15,IF(OR(E143="Rural Hospital",E143="Hosp - State"),X143,(X143/$X$369)*'1. UC Assumptions'!$C$9))</f>
        <v>696651.6387274001</v>
      </c>
      <c r="Z143" s="181">
        <f t="shared" si="29"/>
        <v>0</v>
      </c>
      <c r="AA143" s="181">
        <f t="shared" si="30"/>
        <v>460840.3612725999</v>
      </c>
      <c r="AB143" s="182">
        <f t="shared" si="31"/>
        <v>247.48562649711124</v>
      </c>
      <c r="AC143" s="181">
        <f t="shared" si="32"/>
        <v>461087.84689909703</v>
      </c>
      <c r="AD143" s="181">
        <f t="shared" si="33"/>
        <v>696899.12435389718</v>
      </c>
      <c r="AE143" s="131">
        <v>0</v>
      </c>
      <c r="AF143" s="131">
        <f>AE143*'1. UC Assumptions'!$C$23</f>
        <v>0</v>
      </c>
      <c r="AG143" s="183">
        <f>IF((((X143-W143-AE143)*'1. UC Assumptions'!$C$23)+AF143)&gt;0,((X143-W143-AE143)*'1. UC Assumptions'!$C$23)+AF143,0)</f>
        <v>381972.35999999993</v>
      </c>
      <c r="AH143" s="183"/>
      <c r="AI143" s="183">
        <f t="shared" si="34"/>
        <v>0</v>
      </c>
      <c r="AJ143" s="183">
        <f>IF(H143="Bexar",(AD143/$AJ$1)*'1. UC Assumptions'!$E$42,0)</f>
        <v>0</v>
      </c>
      <c r="AK143" s="183">
        <f>IF(H143="Dallas",(AD143/$AK$1)*'1. UC Assumptions'!$F$42,0)</f>
        <v>0</v>
      </c>
      <c r="AL143" s="183">
        <f>IF(H143="El Paso",(AD143/$AL$1)*'1. UC Assumptions'!$G$42,0)</f>
        <v>0</v>
      </c>
      <c r="AM143" s="183">
        <f>IF(H143="Harris",(AD143/$AM$1)*'1. UC Assumptions'!$H$42,0)</f>
        <v>0</v>
      </c>
      <c r="AN143" s="183">
        <f>IF(H143="Hidalgo",(AD143/$AN$1)*'1. UC Assumptions'!$I$42,0)</f>
        <v>0</v>
      </c>
      <c r="AO143" s="183">
        <f>IF(H143="Jefferson",(AD143/$AO$1)*'1. UC Assumptions'!$J$42,0)</f>
        <v>0</v>
      </c>
      <c r="AP143" s="183">
        <f>IF(H143="Lubbock",(AD143/$AP$1)*'1. UC Assumptions'!$K$42,0)</f>
        <v>0</v>
      </c>
      <c r="AQ143" s="183">
        <f>IF(H143="MRSA Central",(AD143/$AQ$1)*'1. UC Assumptions'!$L$42,0)</f>
        <v>0</v>
      </c>
      <c r="AR143" s="183">
        <f>IF(H143="MRSA Northeast",(AD143/$AR$1)*'1. UC Assumptions'!$M$42,0)</f>
        <v>0</v>
      </c>
      <c r="AS143" s="183">
        <f>IF(H143="MRSA West",(AD143/$AS$1)*'1. UC Assumptions'!$N$42,0)</f>
        <v>0</v>
      </c>
      <c r="AT143" s="183">
        <f>IF(H143="Nueces",(AD143/$AT$1)*'1. UC Assumptions'!$O$42,0)</f>
        <v>0</v>
      </c>
      <c r="AU143" s="183">
        <f>IF(H143="Tarrant",(AD143/$AU$1)*'1. UC Assumptions'!$P$42,0)</f>
        <v>0</v>
      </c>
      <c r="AV143" s="183">
        <f>IF(H143="Travis",(AD143/$AV$1)*'1. UC Assumptions'!$Q$42,0)</f>
        <v>0</v>
      </c>
      <c r="AW143" s="183">
        <f>IF(H143="Bexar",(AC143/$AW$1)*'1. UC Assumptions'!$E$44,0)</f>
        <v>0</v>
      </c>
      <c r="AX143" s="183">
        <f>IF(H143="Dallas",(AC143/$AX$1)*'1. UC Assumptions'!$F$44,0)</f>
        <v>0</v>
      </c>
      <c r="AY143" s="183">
        <f>IF(H143="El Paso",(AC143/$AY$1)*'1. UC Assumptions'!$G$44,0)</f>
        <v>0</v>
      </c>
      <c r="AZ143" s="183">
        <f>IF(H143="Harris",(AC143/$AZ$1)*'1. UC Assumptions'!$H$44,0)</f>
        <v>0</v>
      </c>
      <c r="BA143" s="183">
        <f>IF(H143="Hidalgo",(AC143/$BA$1)*'1. UC Assumptions'!$I$44,0)</f>
        <v>0</v>
      </c>
      <c r="BB143" s="183">
        <f>IF(H143="Jefferson",(AC143/$BB$1)*'1. UC Assumptions'!$J$44,0)</f>
        <v>0</v>
      </c>
      <c r="BC143" s="183">
        <f>IF(H143="Lubbock",(AC143/$BC$1)*'1. UC Assumptions'!$K$44,0)</f>
        <v>0</v>
      </c>
      <c r="BD143" s="183">
        <f>IF(H143="MRSA Central",(AC143/$BD$1)*'1. UC Assumptions'!$L$44,0)</f>
        <v>0</v>
      </c>
      <c r="BE143" s="183">
        <f>IF(H143="MRSA Northeast",(AC143/$BE$1)*'1. UC Assumptions'!$M$44,0)</f>
        <v>0</v>
      </c>
      <c r="BF143" s="183">
        <f>IF(H143="MRSA West",(AC143/$BF$1)*'1. UC Assumptions'!$N$44,0)</f>
        <v>0</v>
      </c>
      <c r="BG143" s="183">
        <f>IF(H143="Nueces",(AC143/$BG$1)*'1. UC Assumptions'!$O$44,0)</f>
        <v>0</v>
      </c>
      <c r="BH143" s="183">
        <f>IF(H143="Tarrant",(AC143/$BH$1)*'1. UC Assumptions'!$P$44,0)</f>
        <v>0</v>
      </c>
      <c r="BI143" s="183">
        <f>IF(H143="Travis",(AC143/$BI$1)*'1. UC Assumptions'!$Q$44,0)</f>
        <v>0</v>
      </c>
      <c r="BJ143" s="183">
        <f t="shared" si="35"/>
        <v>0</v>
      </c>
      <c r="BK143" s="183">
        <f t="shared" si="36"/>
        <v>0</v>
      </c>
      <c r="BL143" s="183">
        <f t="shared" si="37"/>
        <v>696899.12435389718</v>
      </c>
      <c r="BM143" s="184">
        <f t="shared" si="38"/>
        <v>696899.12435389718</v>
      </c>
      <c r="BN143" s="184">
        <f>ROUNDDOWN(BM143*'1. UC Assumptions'!$C$23,2)</f>
        <v>229976.71</v>
      </c>
      <c r="BO143" s="184"/>
      <c r="BP143" s="185"/>
      <c r="BQ143" s="32"/>
      <c r="BR143" s="32"/>
    </row>
    <row r="144" spans="1:70">
      <c r="A144" s="177" t="s">
        <v>1457</v>
      </c>
      <c r="B144" s="178" t="s">
        <v>597</v>
      </c>
      <c r="C144" s="178" t="s">
        <v>597</v>
      </c>
      <c r="D144" s="179" t="s">
        <v>208</v>
      </c>
      <c r="E144" s="179" t="s">
        <v>149</v>
      </c>
      <c r="F144" s="177"/>
      <c r="G144" s="177" t="s">
        <v>1458</v>
      </c>
      <c r="H144" s="178" t="s">
        <v>9</v>
      </c>
      <c r="I144" s="178" t="s">
        <v>599</v>
      </c>
      <c r="J144" s="131">
        <f>IFERROR(INDEX(#REF!,(MATCH('Old Calc Tab'!C:C,#REF!,0))),0)</f>
        <v>0</v>
      </c>
      <c r="K144" s="131">
        <f>IFERROR(INDEX(#REF!,(MATCH('Old Calc Tab'!$C:$C,#REF!,0))),0)</f>
        <v>0</v>
      </c>
      <c r="L144" s="131"/>
      <c r="M144" s="131">
        <v>902125.1</v>
      </c>
      <c r="N144" s="131">
        <f>IFERROR(INDEX(#REF!,(MATCH('Old Calc Tab'!$C:$C,#REF!,0))),0)</f>
        <v>0</v>
      </c>
      <c r="O144" s="131">
        <f t="shared" si="26"/>
        <v>0</v>
      </c>
      <c r="P144" s="131">
        <f t="shared" si="27"/>
        <v>902125.1</v>
      </c>
      <c r="Q144" s="131"/>
      <c r="R144" s="131"/>
      <c r="S144" s="131"/>
      <c r="T144" s="131"/>
      <c r="U144" s="131"/>
      <c r="V144" s="131">
        <v>5230</v>
      </c>
      <c r="W144" s="180">
        <v>0</v>
      </c>
      <c r="X144" s="180">
        <f t="shared" si="28"/>
        <v>907355.1</v>
      </c>
      <c r="Y144" s="181">
        <f>IF(D144="Physician Group Practice",(X144/$AE$369)*'1. UC Assumptions'!$C$15,IF(OR(E144="Rural Hospital",E144="Hosp - State"),X144,(X144/$X$369)*'1. UC Assumptions'!$C$9))</f>
        <v>907355.1</v>
      </c>
      <c r="Z144" s="181">
        <f t="shared" si="29"/>
        <v>0</v>
      </c>
      <c r="AA144" s="181">
        <f t="shared" si="30"/>
        <v>0</v>
      </c>
      <c r="AB144" s="182">
        <f t="shared" si="31"/>
        <v>0</v>
      </c>
      <c r="AC144" s="181">
        <f t="shared" si="32"/>
        <v>0</v>
      </c>
      <c r="AD144" s="181">
        <f t="shared" si="33"/>
        <v>907355.1</v>
      </c>
      <c r="AE144" s="131">
        <v>223616.57</v>
      </c>
      <c r="AF144" s="131">
        <f>AE144*'1. UC Assumptions'!$C$23</f>
        <v>73793.468099999998</v>
      </c>
      <c r="AG144" s="183">
        <f>IF((((X144-W144-AE144)*'1. UC Assumptions'!$C$23)+AF144)&gt;0,((X144-W144-AE144)*'1. UC Assumptions'!$C$23)+AF144,0)</f>
        <v>299427.18299999996</v>
      </c>
      <c r="AH144" s="183"/>
      <c r="AI144" s="183">
        <f t="shared" si="34"/>
        <v>73793.468099999998</v>
      </c>
      <c r="AJ144" s="183">
        <f>IF(H144="Bexar",(AD144/$AJ$1)*'1. UC Assumptions'!$E$42,0)</f>
        <v>0</v>
      </c>
      <c r="AK144" s="183">
        <f>IF(H144="Dallas",(AD144/$AK$1)*'1. UC Assumptions'!$F$42,0)</f>
        <v>0</v>
      </c>
      <c r="AL144" s="183">
        <f>IF(H144="El Paso",(AD144/$AL$1)*'1. UC Assumptions'!$G$42,0)</f>
        <v>0</v>
      </c>
      <c r="AM144" s="183">
        <f>IF(H144="Harris",(AD144/$AM$1)*'1. UC Assumptions'!$H$42,0)</f>
        <v>0</v>
      </c>
      <c r="AN144" s="183">
        <f>IF(H144="Hidalgo",(AD144/$AN$1)*'1. UC Assumptions'!$I$42,0)</f>
        <v>0</v>
      </c>
      <c r="AO144" s="183">
        <f>IF(H144="Jefferson",(AD144/$AO$1)*'1. UC Assumptions'!$J$42,0)</f>
        <v>0</v>
      </c>
      <c r="AP144" s="183">
        <f>IF(H144="Lubbock",(AD144/$AP$1)*'1. UC Assumptions'!$K$42,0)</f>
        <v>0</v>
      </c>
      <c r="AQ144" s="183">
        <f>IF(H144="MRSA Central",(AD144/$AQ$1)*'1. UC Assumptions'!$L$42,0)</f>
        <v>0</v>
      </c>
      <c r="AR144" s="183">
        <f>IF(H144="MRSA Northeast",(AD144/$AR$1)*'1. UC Assumptions'!$M$42,0)</f>
        <v>0</v>
      </c>
      <c r="AS144" s="183">
        <f>IF(H144="MRSA West",(AD144/$AS$1)*'1. UC Assumptions'!$N$42,0)</f>
        <v>0</v>
      </c>
      <c r="AT144" s="183">
        <f>IF(H144="Nueces",(AD144/$AT$1)*'1. UC Assumptions'!$O$42,0)</f>
        <v>0</v>
      </c>
      <c r="AU144" s="183">
        <f>IF(H144="Tarrant",(AD144/$AU$1)*'1. UC Assumptions'!$P$42,0)</f>
        <v>0</v>
      </c>
      <c r="AV144" s="183">
        <f>IF(H144="Travis",(AD144/$AV$1)*'1. UC Assumptions'!$Q$42,0)</f>
        <v>0</v>
      </c>
      <c r="AW144" s="183">
        <f>IF(H144="Bexar",(AC144/$AW$1)*'1. UC Assumptions'!$E$44,0)</f>
        <v>0</v>
      </c>
      <c r="AX144" s="183">
        <f>IF(H144="Dallas",(AC144/$AX$1)*'1. UC Assumptions'!$F$44,0)</f>
        <v>0</v>
      </c>
      <c r="AY144" s="183">
        <f>IF(H144="El Paso",(AC144/$AY$1)*'1. UC Assumptions'!$G$44,0)</f>
        <v>0</v>
      </c>
      <c r="AZ144" s="183">
        <f>IF(H144="Harris",(AC144/$AZ$1)*'1. UC Assumptions'!$H$44,0)</f>
        <v>0</v>
      </c>
      <c r="BA144" s="183">
        <f>IF(H144="Hidalgo",(AC144/$BA$1)*'1. UC Assumptions'!$I$44,0)</f>
        <v>0</v>
      </c>
      <c r="BB144" s="183">
        <f>IF(H144="Jefferson",(AC144/$BB$1)*'1. UC Assumptions'!$J$44,0)</f>
        <v>0</v>
      </c>
      <c r="BC144" s="183">
        <f>IF(H144="Lubbock",(AC144/$BC$1)*'1. UC Assumptions'!$K$44,0)</f>
        <v>0</v>
      </c>
      <c r="BD144" s="183">
        <f>IF(H144="MRSA Central",(AC144/$BD$1)*'1. UC Assumptions'!$L$44,0)</f>
        <v>0</v>
      </c>
      <c r="BE144" s="183">
        <f>IF(H144="MRSA Northeast",(AC144/$BE$1)*'1. UC Assumptions'!$M$44,0)</f>
        <v>0</v>
      </c>
      <c r="BF144" s="183">
        <f>IF(H144="MRSA West",(AC144/$BF$1)*'1. UC Assumptions'!$N$44,0)</f>
        <v>0</v>
      </c>
      <c r="BG144" s="183">
        <f>IF(H144="Nueces",(AC144/$BG$1)*'1. UC Assumptions'!$O$44,0)</f>
        <v>0</v>
      </c>
      <c r="BH144" s="183">
        <f>IF(H144="Tarrant",(AC144/$BH$1)*'1. UC Assumptions'!$P$44,0)</f>
        <v>0</v>
      </c>
      <c r="BI144" s="183">
        <f>IF(H144="Travis",(AC144/$BI$1)*'1. UC Assumptions'!$Q$44,0)</f>
        <v>0</v>
      </c>
      <c r="BJ144" s="183">
        <f t="shared" si="35"/>
        <v>0</v>
      </c>
      <c r="BK144" s="183">
        <f t="shared" si="36"/>
        <v>0</v>
      </c>
      <c r="BL144" s="183">
        <f t="shared" si="37"/>
        <v>907355.1</v>
      </c>
      <c r="BM144" s="184">
        <f t="shared" si="38"/>
        <v>683738.53</v>
      </c>
      <c r="BN144" s="184">
        <f>ROUNDDOWN(BM144*'1. UC Assumptions'!$C$23,2)</f>
        <v>225633.71</v>
      </c>
      <c r="BO144" s="184"/>
      <c r="BP144" s="185"/>
      <c r="BQ144" s="32"/>
      <c r="BR144" s="32"/>
    </row>
    <row r="145" spans="1:70">
      <c r="A145" s="177" t="s">
        <v>1459</v>
      </c>
      <c r="B145" s="178" t="s">
        <v>630</v>
      </c>
      <c r="C145" s="178" t="s">
        <v>630</v>
      </c>
      <c r="D145" s="179" t="s">
        <v>214</v>
      </c>
      <c r="E145" s="179" t="s">
        <v>149</v>
      </c>
      <c r="F145" s="177"/>
      <c r="G145" s="177" t="s">
        <v>1460</v>
      </c>
      <c r="H145" s="178" t="s">
        <v>9</v>
      </c>
      <c r="I145" s="178" t="s">
        <v>632</v>
      </c>
      <c r="J145" s="131">
        <f>IFERROR(INDEX(#REF!,(MATCH('Old Calc Tab'!C:C,#REF!,0))),0)</f>
        <v>0</v>
      </c>
      <c r="K145" s="131">
        <f>IFERROR(INDEX(#REF!,(MATCH('Old Calc Tab'!$C:$C,#REF!,0))),0)</f>
        <v>0</v>
      </c>
      <c r="L145" s="131"/>
      <c r="M145" s="131">
        <v>1846970.7</v>
      </c>
      <c r="N145" s="131">
        <f>IFERROR(INDEX(#REF!,(MATCH('Old Calc Tab'!$C:$C,#REF!,0))),0)</f>
        <v>0</v>
      </c>
      <c r="O145" s="131">
        <f t="shared" si="26"/>
        <v>0</v>
      </c>
      <c r="P145" s="131">
        <f t="shared" si="27"/>
        <v>1846970.7</v>
      </c>
      <c r="Q145" s="131"/>
      <c r="R145" s="131"/>
      <c r="S145" s="131"/>
      <c r="T145" s="131"/>
      <c r="U145" s="131"/>
      <c r="V145" s="131">
        <v>0</v>
      </c>
      <c r="W145" s="180">
        <v>0</v>
      </c>
      <c r="X145" s="180">
        <f t="shared" si="28"/>
        <v>1846970.7</v>
      </c>
      <c r="Y145" s="181">
        <f>IF(D145="Physician Group Practice",(X145/$AE$369)*'1. UC Assumptions'!$C$15,IF(OR(E145="Rural Hospital",E145="Hosp - State"),X145,(X145/$X$369)*'1. UC Assumptions'!$C$9))</f>
        <v>1846970.7</v>
      </c>
      <c r="Z145" s="181">
        <f t="shared" si="29"/>
        <v>0</v>
      </c>
      <c r="AA145" s="181">
        <f t="shared" si="30"/>
        <v>0</v>
      </c>
      <c r="AB145" s="182">
        <f t="shared" si="31"/>
        <v>0</v>
      </c>
      <c r="AC145" s="181">
        <f t="shared" si="32"/>
        <v>0</v>
      </c>
      <c r="AD145" s="181">
        <f t="shared" si="33"/>
        <v>1846970.7</v>
      </c>
      <c r="AE145" s="131">
        <v>512222.09</v>
      </c>
      <c r="AF145" s="131">
        <f>AE145*'1. UC Assumptions'!$C$23</f>
        <v>169033.28969999999</v>
      </c>
      <c r="AG145" s="183">
        <f>IF((((X145-W145-AE145)*'1. UC Assumptions'!$C$23)+AF145)&gt;0,((X145-W145-AE145)*'1. UC Assumptions'!$C$23)+AF145,0)</f>
        <v>609500.33099999989</v>
      </c>
      <c r="AH145" s="183"/>
      <c r="AI145" s="183">
        <f t="shared" si="34"/>
        <v>169033.28969999999</v>
      </c>
      <c r="AJ145" s="183">
        <f>IF(H145="Bexar",(AD145/$AJ$1)*'1. UC Assumptions'!$E$42,0)</f>
        <v>0</v>
      </c>
      <c r="AK145" s="183">
        <f>IF(H145="Dallas",(AD145/$AK$1)*'1. UC Assumptions'!$F$42,0)</f>
        <v>0</v>
      </c>
      <c r="AL145" s="183">
        <f>IF(H145="El Paso",(AD145/$AL$1)*'1. UC Assumptions'!$G$42,0)</f>
        <v>0</v>
      </c>
      <c r="AM145" s="183">
        <f>IF(H145="Harris",(AD145/$AM$1)*'1. UC Assumptions'!$H$42,0)</f>
        <v>0</v>
      </c>
      <c r="AN145" s="183">
        <f>IF(H145="Hidalgo",(AD145/$AN$1)*'1. UC Assumptions'!$I$42,0)</f>
        <v>0</v>
      </c>
      <c r="AO145" s="183">
        <f>IF(H145="Jefferson",(AD145/$AO$1)*'1. UC Assumptions'!$J$42,0)</f>
        <v>0</v>
      </c>
      <c r="AP145" s="183">
        <f>IF(H145="Lubbock",(AD145/$AP$1)*'1. UC Assumptions'!$K$42,0)</f>
        <v>0</v>
      </c>
      <c r="AQ145" s="183">
        <f>IF(H145="MRSA Central",(AD145/$AQ$1)*'1. UC Assumptions'!$L$42,0)</f>
        <v>0</v>
      </c>
      <c r="AR145" s="183">
        <f>IF(H145="MRSA Northeast",(AD145/$AR$1)*'1. UC Assumptions'!$M$42,0)</f>
        <v>0</v>
      </c>
      <c r="AS145" s="183">
        <f>IF(H145="MRSA West",(AD145/$AS$1)*'1. UC Assumptions'!$N$42,0)</f>
        <v>0</v>
      </c>
      <c r="AT145" s="183">
        <f>IF(H145="Nueces",(AD145/$AT$1)*'1. UC Assumptions'!$O$42,0)</f>
        <v>0</v>
      </c>
      <c r="AU145" s="183">
        <f>IF(H145="Tarrant",(AD145/$AU$1)*'1. UC Assumptions'!$P$42,0)</f>
        <v>0</v>
      </c>
      <c r="AV145" s="183">
        <f>IF(H145="Travis",(AD145/$AV$1)*'1. UC Assumptions'!$Q$42,0)</f>
        <v>0</v>
      </c>
      <c r="AW145" s="183">
        <f>IF(H145="Bexar",(AC145/$AW$1)*'1. UC Assumptions'!$E$44,0)</f>
        <v>0</v>
      </c>
      <c r="AX145" s="183">
        <f>IF(H145="Dallas",(AC145/$AX$1)*'1. UC Assumptions'!$F$44,0)</f>
        <v>0</v>
      </c>
      <c r="AY145" s="183">
        <f>IF(H145="El Paso",(AC145/$AY$1)*'1. UC Assumptions'!$G$44,0)</f>
        <v>0</v>
      </c>
      <c r="AZ145" s="183">
        <f>IF(H145="Harris",(AC145/$AZ$1)*'1. UC Assumptions'!$H$44,0)</f>
        <v>0</v>
      </c>
      <c r="BA145" s="183">
        <f>IF(H145="Hidalgo",(AC145/$BA$1)*'1. UC Assumptions'!$I$44,0)</f>
        <v>0</v>
      </c>
      <c r="BB145" s="183">
        <f>IF(H145="Jefferson",(AC145/$BB$1)*'1. UC Assumptions'!$J$44,0)</f>
        <v>0</v>
      </c>
      <c r="BC145" s="183">
        <f>IF(H145="Lubbock",(AC145/$BC$1)*'1. UC Assumptions'!$K$44,0)</f>
        <v>0</v>
      </c>
      <c r="BD145" s="183">
        <f>IF(H145="MRSA Central",(AC145/$BD$1)*'1. UC Assumptions'!$L$44,0)</f>
        <v>0</v>
      </c>
      <c r="BE145" s="183">
        <f>IF(H145="MRSA Northeast",(AC145/$BE$1)*'1. UC Assumptions'!$M$44,0)</f>
        <v>0</v>
      </c>
      <c r="BF145" s="183">
        <f>IF(H145="MRSA West",(AC145/$BF$1)*'1. UC Assumptions'!$N$44,0)</f>
        <v>0</v>
      </c>
      <c r="BG145" s="183">
        <f>IF(H145="Nueces",(AC145/$BG$1)*'1. UC Assumptions'!$O$44,0)</f>
        <v>0</v>
      </c>
      <c r="BH145" s="183">
        <f>IF(H145="Tarrant",(AC145/$BH$1)*'1. UC Assumptions'!$P$44,0)</f>
        <v>0</v>
      </c>
      <c r="BI145" s="183">
        <f>IF(H145="Travis",(AC145/$BI$1)*'1. UC Assumptions'!$Q$44,0)</f>
        <v>0</v>
      </c>
      <c r="BJ145" s="183">
        <f t="shared" si="35"/>
        <v>0</v>
      </c>
      <c r="BK145" s="183">
        <f t="shared" si="36"/>
        <v>0</v>
      </c>
      <c r="BL145" s="183">
        <f t="shared" si="37"/>
        <v>1846970.7</v>
      </c>
      <c r="BM145" s="184">
        <f t="shared" si="38"/>
        <v>1334748.6099999999</v>
      </c>
      <c r="BN145" s="184">
        <f>ROUNDDOWN(BM145*'1. UC Assumptions'!$C$23,2)</f>
        <v>440467.04</v>
      </c>
      <c r="BO145" s="184"/>
      <c r="BP145" s="185"/>
      <c r="BQ145" s="32"/>
      <c r="BR145" s="32"/>
    </row>
    <row r="146" spans="1:70">
      <c r="A146" s="177" t="s">
        <v>1461</v>
      </c>
      <c r="B146" s="178" t="s">
        <v>640</v>
      </c>
      <c r="C146" s="178" t="s">
        <v>640</v>
      </c>
      <c r="D146" s="179" t="s">
        <v>208</v>
      </c>
      <c r="E146" s="179" t="s">
        <v>149</v>
      </c>
      <c r="F146" s="177"/>
      <c r="G146" s="177" t="s">
        <v>1462</v>
      </c>
      <c r="H146" s="178" t="s">
        <v>9</v>
      </c>
      <c r="I146" s="178" t="s">
        <v>642</v>
      </c>
      <c r="J146" s="131">
        <f>IFERROR(INDEX(#REF!,(MATCH('Old Calc Tab'!C:C,#REF!,0))),0)</f>
        <v>0</v>
      </c>
      <c r="K146" s="131">
        <f>IFERROR(INDEX(#REF!,(MATCH('Old Calc Tab'!$C:$C,#REF!,0))),0)</f>
        <v>0</v>
      </c>
      <c r="L146" s="131"/>
      <c r="M146" s="131">
        <v>1496087.65</v>
      </c>
      <c r="N146" s="131">
        <f>IFERROR(INDEX(#REF!,(MATCH('Old Calc Tab'!$C:$C,#REF!,0))),0)</f>
        <v>0</v>
      </c>
      <c r="O146" s="131">
        <f t="shared" si="26"/>
        <v>0</v>
      </c>
      <c r="P146" s="131">
        <f t="shared" si="27"/>
        <v>1496087.65</v>
      </c>
      <c r="Q146" s="131"/>
      <c r="R146" s="131"/>
      <c r="S146" s="131"/>
      <c r="T146" s="131"/>
      <c r="U146" s="131"/>
      <c r="V146" s="131">
        <v>101402.13</v>
      </c>
      <c r="W146" s="180">
        <v>0</v>
      </c>
      <c r="X146" s="180">
        <f t="shared" si="28"/>
        <v>1597489.7799999998</v>
      </c>
      <c r="Y146" s="181">
        <f>IF(D146="Physician Group Practice",(X146/$AE$369)*'1. UC Assumptions'!$C$15,IF(OR(E146="Rural Hospital",E146="Hosp - State"),X146,(X146/$X$369)*'1. UC Assumptions'!$C$9))</f>
        <v>1597489.7799999998</v>
      </c>
      <c r="Z146" s="181">
        <f t="shared" si="29"/>
        <v>0</v>
      </c>
      <c r="AA146" s="181">
        <f t="shared" si="30"/>
        <v>0</v>
      </c>
      <c r="AB146" s="182">
        <f t="shared" si="31"/>
        <v>0</v>
      </c>
      <c r="AC146" s="181">
        <f t="shared" si="32"/>
        <v>0</v>
      </c>
      <c r="AD146" s="181">
        <f t="shared" si="33"/>
        <v>1597489.7799999998</v>
      </c>
      <c r="AE146" s="131">
        <v>327729.96000000002</v>
      </c>
      <c r="AF146" s="131">
        <f>AE146*'1. UC Assumptions'!$C$23</f>
        <v>108150.88679999999</v>
      </c>
      <c r="AG146" s="183">
        <f>IF((((X146-W146-AE146)*'1. UC Assumptions'!$C$23)+AF146)&gt;0,((X146-W146-AE146)*'1. UC Assumptions'!$C$23)+AF146,0)</f>
        <v>527171.62739999988</v>
      </c>
      <c r="AH146" s="183">
        <f>IF(((X146-W146-AE146)*'1. UC Assumptions'!$C$23)&gt;0,(X146-W146-AE146)*'1. UC Assumptions'!$C$23,0)</f>
        <v>419020.7405999999</v>
      </c>
      <c r="AI146" s="183">
        <f t="shared" si="34"/>
        <v>527171.62739999988</v>
      </c>
      <c r="AJ146" s="183">
        <f>IF(H146="Bexar",(AD146/$AJ$1)*'1. UC Assumptions'!$E$42,0)</f>
        <v>0</v>
      </c>
      <c r="AK146" s="183">
        <f>IF(H146="Dallas",(AD146/$AK$1)*'1. UC Assumptions'!$F$42,0)</f>
        <v>0</v>
      </c>
      <c r="AL146" s="183">
        <f>IF(H146="El Paso",(AD146/$AL$1)*'1. UC Assumptions'!$G$42,0)</f>
        <v>0</v>
      </c>
      <c r="AM146" s="183">
        <f>IF(H146="Harris",(AD146/$AM$1)*'1. UC Assumptions'!$H$42,0)</f>
        <v>0</v>
      </c>
      <c r="AN146" s="183">
        <f>IF(H146="Hidalgo",(AD146/$AN$1)*'1. UC Assumptions'!$I$42,0)</f>
        <v>0</v>
      </c>
      <c r="AO146" s="183">
        <f>IF(H146="Jefferson",(AD146/$AO$1)*'1. UC Assumptions'!$J$42,0)</f>
        <v>0</v>
      </c>
      <c r="AP146" s="183">
        <f>IF(H146="Lubbock",(AD146/$AP$1)*'1. UC Assumptions'!$K$42,0)</f>
        <v>0</v>
      </c>
      <c r="AQ146" s="183">
        <f>IF(H146="MRSA Central",(AD146/$AQ$1)*'1. UC Assumptions'!$L$42,0)</f>
        <v>0</v>
      </c>
      <c r="AR146" s="183">
        <f>IF(H146="MRSA Northeast",(AD146/$AR$1)*'1. UC Assumptions'!$M$42,0)</f>
        <v>0</v>
      </c>
      <c r="AS146" s="183">
        <f>IF(H146="MRSA West",(AD146/$AS$1)*'1. UC Assumptions'!$N$42,0)</f>
        <v>0</v>
      </c>
      <c r="AT146" s="183">
        <f>IF(H146="Nueces",(AD146/$AT$1)*'1. UC Assumptions'!$O$42,0)</f>
        <v>0</v>
      </c>
      <c r="AU146" s="183">
        <f>IF(H146="Tarrant",(AD146/$AU$1)*'1. UC Assumptions'!$P$42,0)</f>
        <v>0</v>
      </c>
      <c r="AV146" s="183">
        <f>IF(H146="Travis",(AD146/$AV$1)*'1. UC Assumptions'!$Q$42,0)</f>
        <v>0</v>
      </c>
      <c r="AW146" s="183">
        <f>IF(H146="Bexar",(AC146/$AW$1)*'1. UC Assumptions'!$E$44,0)</f>
        <v>0</v>
      </c>
      <c r="AX146" s="183">
        <f>IF(H146="Dallas",(AC146/$AX$1)*'1. UC Assumptions'!$F$44,0)</f>
        <v>0</v>
      </c>
      <c r="AY146" s="183">
        <f>IF(H146="El Paso",(AC146/$AY$1)*'1. UC Assumptions'!$G$44,0)</f>
        <v>0</v>
      </c>
      <c r="AZ146" s="183">
        <f>IF(H146="Harris",(AC146/$AZ$1)*'1. UC Assumptions'!$H$44,0)</f>
        <v>0</v>
      </c>
      <c r="BA146" s="183">
        <f>IF(H146="Hidalgo",(AC146/$BA$1)*'1. UC Assumptions'!$I$44,0)</f>
        <v>0</v>
      </c>
      <c r="BB146" s="183">
        <f>IF(H146="Jefferson",(AC146/$BB$1)*'1. UC Assumptions'!$J$44,0)</f>
        <v>0</v>
      </c>
      <c r="BC146" s="183">
        <f>IF(H146="Lubbock",(AC146/$BC$1)*'1. UC Assumptions'!$K$44,0)</f>
        <v>0</v>
      </c>
      <c r="BD146" s="183">
        <f>IF(H146="MRSA Central",(AC146/$BD$1)*'1. UC Assumptions'!$L$44,0)</f>
        <v>0</v>
      </c>
      <c r="BE146" s="183">
        <f>IF(H146="MRSA Northeast",(AC146/$BE$1)*'1. UC Assumptions'!$M$44,0)</f>
        <v>0</v>
      </c>
      <c r="BF146" s="183">
        <f>IF(H146="MRSA West",(AC146/$BF$1)*'1. UC Assumptions'!$N$44,0)</f>
        <v>0</v>
      </c>
      <c r="BG146" s="183">
        <f>IF(H146="Nueces",(AC146/$BG$1)*'1. UC Assumptions'!$O$44,0)</f>
        <v>0</v>
      </c>
      <c r="BH146" s="183">
        <f>IF(H146="Tarrant",(AC146/$BH$1)*'1. UC Assumptions'!$P$44,0)</f>
        <v>0</v>
      </c>
      <c r="BI146" s="183">
        <f>IF(H146="Travis",(AC146/$BI$1)*'1. UC Assumptions'!$Q$44,0)</f>
        <v>0</v>
      </c>
      <c r="BJ146" s="183">
        <f t="shared" si="35"/>
        <v>0</v>
      </c>
      <c r="BK146" s="183">
        <f t="shared" si="36"/>
        <v>0</v>
      </c>
      <c r="BL146" s="183">
        <f t="shared" si="37"/>
        <v>1597489.7799999998</v>
      </c>
      <c r="BM146" s="184">
        <f t="shared" si="38"/>
        <v>1269759.8199999998</v>
      </c>
      <c r="BN146" s="184">
        <f>ROUNDDOWN(BM146*'1. UC Assumptions'!$C$23,2)</f>
        <v>419020.74</v>
      </c>
      <c r="BO146" s="184"/>
      <c r="BP146" s="185"/>
      <c r="BQ146" s="32"/>
      <c r="BR146" s="32"/>
    </row>
    <row r="147" spans="1:70">
      <c r="A147" s="177" t="s">
        <v>1463</v>
      </c>
      <c r="B147" s="177" t="s">
        <v>713</v>
      </c>
      <c r="C147" s="178" t="s">
        <v>713</v>
      </c>
      <c r="D147" s="179" t="s">
        <v>208</v>
      </c>
      <c r="E147" s="179"/>
      <c r="F147" s="177" t="s">
        <v>1464</v>
      </c>
      <c r="G147" s="177" t="s">
        <v>714</v>
      </c>
      <c r="H147" s="178" t="s">
        <v>9</v>
      </c>
      <c r="I147" s="178" t="s">
        <v>9</v>
      </c>
      <c r="J147" s="131">
        <f>IFERROR(INDEX(#REF!,(MATCH('Old Calc Tab'!C:C,#REF!,0))),0)</f>
        <v>0</v>
      </c>
      <c r="K147" s="131">
        <f>IFERROR(INDEX(#REF!,(MATCH('Old Calc Tab'!$C:$C,#REF!,0))),0)</f>
        <v>0</v>
      </c>
      <c r="L147" s="131"/>
      <c r="M147" s="131">
        <v>0</v>
      </c>
      <c r="N147" s="131">
        <f>IFERROR(INDEX(#REF!,(MATCH('Old Calc Tab'!$C:$C,#REF!,0))),0)</f>
        <v>0</v>
      </c>
      <c r="O147" s="131">
        <f t="shared" si="26"/>
        <v>0</v>
      </c>
      <c r="P147" s="131">
        <f t="shared" si="27"/>
        <v>0</v>
      </c>
      <c r="Q147" s="131"/>
      <c r="R147" s="131"/>
      <c r="S147" s="131"/>
      <c r="T147" s="131"/>
      <c r="U147" s="131"/>
      <c r="V147" s="131">
        <v>0</v>
      </c>
      <c r="W147" s="180">
        <v>0</v>
      </c>
      <c r="X147" s="180">
        <f t="shared" si="28"/>
        <v>0</v>
      </c>
      <c r="Y147" s="181">
        <f>IF(D147="Physician Group Practice",(X147/$AE$369)*'1. UC Assumptions'!$C$15,IF(OR(E147="Rural Hospital",E147="Hosp - State"),X147,(X147/$X$369)*'1. UC Assumptions'!$C$9))</f>
        <v>0</v>
      </c>
      <c r="Z147" s="181">
        <f t="shared" si="29"/>
        <v>0</v>
      </c>
      <c r="AA147" s="181">
        <f t="shared" si="30"/>
        <v>0</v>
      </c>
      <c r="AB147" s="182">
        <f t="shared" si="31"/>
        <v>0</v>
      </c>
      <c r="AC147" s="181">
        <f t="shared" si="32"/>
        <v>0</v>
      </c>
      <c r="AD147" s="181">
        <f t="shared" si="33"/>
        <v>0</v>
      </c>
      <c r="AE147" s="131">
        <v>595499.52000000002</v>
      </c>
      <c r="AF147" s="131">
        <f>AE147*'1. UC Assumptions'!$C$23</f>
        <v>196514.84159999999</v>
      </c>
      <c r="AG147" s="183">
        <f>IF((((X147-W147-AE147)*'1. UC Assumptions'!$C$23)+AF147)&gt;0,((X147-W147-AE147)*'1. UC Assumptions'!$C$23)+AF147,0)</f>
        <v>0</v>
      </c>
      <c r="AH147" s="183">
        <f>IF(((X147-W147-AE147)*'1. UC Assumptions'!$C$23)&gt;0,(X147-W147-AE147)*'1. UC Assumptions'!$C$23,0)</f>
        <v>0</v>
      </c>
      <c r="AI147" s="183">
        <f t="shared" si="34"/>
        <v>196514.84159999999</v>
      </c>
      <c r="AJ147" s="183">
        <f>IF(H147="Bexar",(AD147/$AJ$1)*'1. UC Assumptions'!$E$42,0)</f>
        <v>0</v>
      </c>
      <c r="AK147" s="183">
        <f>IF(H147="Dallas",(AD147/$AK$1)*'1. UC Assumptions'!$F$42,0)</f>
        <v>0</v>
      </c>
      <c r="AL147" s="183">
        <f>IF(H147="El Paso",(AD147/$AL$1)*'1. UC Assumptions'!$G$42,0)</f>
        <v>0</v>
      </c>
      <c r="AM147" s="183">
        <f>IF(H147="Harris",(AD147/$AM$1)*'1. UC Assumptions'!$H$42,0)</f>
        <v>0</v>
      </c>
      <c r="AN147" s="183">
        <f>IF(H147="Hidalgo",(AD147/$AN$1)*'1. UC Assumptions'!$I$42,0)</f>
        <v>0</v>
      </c>
      <c r="AO147" s="183">
        <f>IF(H147="Jefferson",(AD147/$AO$1)*'1. UC Assumptions'!$J$42,0)</f>
        <v>0</v>
      </c>
      <c r="AP147" s="183">
        <f>IF(H147="Lubbock",(AD147/$AP$1)*'1. UC Assumptions'!$K$42,0)</f>
        <v>0</v>
      </c>
      <c r="AQ147" s="183">
        <f>IF(H147="MRSA Central",(AD147/$AQ$1)*'1. UC Assumptions'!$L$42,0)</f>
        <v>0</v>
      </c>
      <c r="AR147" s="183">
        <f>IF(H147="MRSA Northeast",(AD147/$AR$1)*'1. UC Assumptions'!$M$42,0)</f>
        <v>0</v>
      </c>
      <c r="AS147" s="183">
        <f>IF(H147="MRSA West",(AD147/$AS$1)*'1. UC Assumptions'!$N$42,0)</f>
        <v>0</v>
      </c>
      <c r="AT147" s="183">
        <f>IF(H147="Nueces",(AD147/$AT$1)*'1. UC Assumptions'!$O$42,0)</f>
        <v>0</v>
      </c>
      <c r="AU147" s="183">
        <f>IF(H147="Tarrant",(AD147/$AU$1)*'1. UC Assumptions'!$P$42,0)</f>
        <v>0</v>
      </c>
      <c r="AV147" s="183">
        <f>IF(H147="Travis",(AD147/$AV$1)*'1. UC Assumptions'!$Q$42,0)</f>
        <v>0</v>
      </c>
      <c r="AW147" s="183">
        <f>IF(H147="Bexar",(AC147/$AW$1)*'1. UC Assumptions'!$E$44,0)</f>
        <v>0</v>
      </c>
      <c r="AX147" s="183">
        <f>IF(H147="Dallas",(AC147/$AX$1)*'1. UC Assumptions'!$F$44,0)</f>
        <v>0</v>
      </c>
      <c r="AY147" s="183">
        <f>IF(H147="El Paso",(AC147/$AY$1)*'1. UC Assumptions'!$G$44,0)</f>
        <v>0</v>
      </c>
      <c r="AZ147" s="183">
        <f>IF(H147="Harris",(AC147/$AZ$1)*'1. UC Assumptions'!$H$44,0)</f>
        <v>0</v>
      </c>
      <c r="BA147" s="183">
        <f>IF(H147="Hidalgo",(AC147/$BA$1)*'1. UC Assumptions'!$I$44,0)</f>
        <v>0</v>
      </c>
      <c r="BB147" s="183">
        <f>IF(H147="Jefferson",(AC147/$BB$1)*'1. UC Assumptions'!$J$44,0)</f>
        <v>0</v>
      </c>
      <c r="BC147" s="183">
        <f>IF(H147="Lubbock",(AC147/$BC$1)*'1. UC Assumptions'!$K$44,0)</f>
        <v>0</v>
      </c>
      <c r="BD147" s="183">
        <f>IF(H147="MRSA Central",(AC147/$BD$1)*'1. UC Assumptions'!$L$44,0)</f>
        <v>0</v>
      </c>
      <c r="BE147" s="183">
        <f>IF(H147="MRSA Northeast",(AC147/$BE$1)*'1. UC Assumptions'!$M$44,0)</f>
        <v>0</v>
      </c>
      <c r="BF147" s="183">
        <f>IF(H147="MRSA West",(AC147/$BF$1)*'1. UC Assumptions'!$N$44,0)</f>
        <v>0</v>
      </c>
      <c r="BG147" s="183">
        <f>IF(H147="Nueces",(AC147/$BG$1)*'1. UC Assumptions'!$O$44,0)</f>
        <v>0</v>
      </c>
      <c r="BH147" s="183">
        <f>IF(H147="Tarrant",(AC147/$BH$1)*'1. UC Assumptions'!$P$44,0)</f>
        <v>0</v>
      </c>
      <c r="BI147" s="183">
        <f>IF(H147="Travis",(AC147/$BI$1)*'1. UC Assumptions'!$Q$44,0)</f>
        <v>0</v>
      </c>
      <c r="BJ147" s="183">
        <f t="shared" si="35"/>
        <v>0</v>
      </c>
      <c r="BK147" s="183">
        <f t="shared" si="36"/>
        <v>0</v>
      </c>
      <c r="BL147" s="183">
        <f t="shared" si="37"/>
        <v>0</v>
      </c>
      <c r="BM147" s="184">
        <f t="shared" si="38"/>
        <v>-595499.52000000002</v>
      </c>
      <c r="BN147" s="184">
        <f>ROUNDDOWN(BM147*'1. UC Assumptions'!$C$23,2)</f>
        <v>-196514.84</v>
      </c>
      <c r="BO147" s="184"/>
      <c r="BP147" s="185"/>
      <c r="BQ147" s="32"/>
      <c r="BR147" s="32"/>
    </row>
    <row r="148" spans="1:70" ht="15.75" customHeight="1">
      <c r="A148" s="177" t="s">
        <v>1465</v>
      </c>
      <c r="B148" s="178" t="s">
        <v>723</v>
      </c>
      <c r="C148" s="178" t="s">
        <v>723</v>
      </c>
      <c r="D148" s="179" t="s">
        <v>214</v>
      </c>
      <c r="E148" s="179"/>
      <c r="F148" s="177"/>
      <c r="G148" s="177" t="s">
        <v>1466</v>
      </c>
      <c r="H148" s="178" t="s">
        <v>9</v>
      </c>
      <c r="I148" s="178" t="s">
        <v>725</v>
      </c>
      <c r="J148" s="131">
        <f>IFERROR(INDEX(#REF!,(MATCH('Old Calc Tab'!C:C,#REF!,0))),0)</f>
        <v>0</v>
      </c>
      <c r="K148" s="131">
        <f>IFERROR(INDEX(#REF!,(MATCH('Old Calc Tab'!$C:$C,#REF!,0))),0)</f>
        <v>0</v>
      </c>
      <c r="L148" s="131"/>
      <c r="M148" s="131">
        <v>33695716.493279576</v>
      </c>
      <c r="N148" s="131">
        <f>IFERROR(INDEX(#REF!,(MATCH('Old Calc Tab'!$C:$C,#REF!,0))),0)</f>
        <v>0</v>
      </c>
      <c r="O148" s="131">
        <f t="shared" si="26"/>
        <v>0</v>
      </c>
      <c r="P148" s="131">
        <f t="shared" si="27"/>
        <v>33695716.493279576</v>
      </c>
      <c r="Q148" s="131"/>
      <c r="R148" s="131"/>
      <c r="S148" s="131"/>
      <c r="T148" s="131"/>
      <c r="U148" s="131"/>
      <c r="V148" s="131">
        <v>5604948.8000000007</v>
      </c>
      <c r="W148" s="180">
        <v>0</v>
      </c>
      <c r="X148" s="180">
        <f t="shared" si="28"/>
        <v>39300665.293279573</v>
      </c>
      <c r="Y148" s="181">
        <f>IF(D148="Physician Group Practice",(X148/$AE$369)*'1. UC Assumptions'!$C$15,IF(OR(E148="Rural Hospital",E148="Hosp - State"),X148,(X148/$X$369)*'1. UC Assumptions'!$C$9))</f>
        <v>23653617.37242268</v>
      </c>
      <c r="Z148" s="181">
        <f t="shared" si="29"/>
        <v>0</v>
      </c>
      <c r="AA148" s="181">
        <f t="shared" si="30"/>
        <v>15647047.920856893</v>
      </c>
      <c r="AB148" s="182">
        <f t="shared" si="31"/>
        <v>8402.9520479282546</v>
      </c>
      <c r="AC148" s="181">
        <f t="shared" si="32"/>
        <v>15655450.872904822</v>
      </c>
      <c r="AD148" s="181">
        <f t="shared" si="33"/>
        <v>23662020.324470609</v>
      </c>
      <c r="AE148" s="131">
        <v>13355508.529999999</v>
      </c>
      <c r="AF148" s="131">
        <f>AE148*'1. UC Assumptions'!$C$23</f>
        <v>4407317.8148999996</v>
      </c>
      <c r="AG148" s="183">
        <f>IF((((X148-W148-AE148)*'1. UC Assumptions'!$C$23)+AF148)&gt;0,((X148-W148-AE148)*'1. UC Assumptions'!$C$23)+AF148,0)</f>
        <v>12969219.546782257</v>
      </c>
      <c r="AH148" s="183">
        <f>IF(((X148-W148-AE148)*'1. UC Assumptions'!$C$23)&gt;0,(X148-W148-AE148)*'1. UC Assumptions'!$C$23,0)</f>
        <v>8561901.7318822574</v>
      </c>
      <c r="AI148" s="183">
        <f t="shared" si="34"/>
        <v>12969219.546782257</v>
      </c>
      <c r="AJ148" s="183">
        <f>IF(H148="Bexar",(AD148/$AJ$1)*'1. UC Assumptions'!$E$42,0)</f>
        <v>0</v>
      </c>
      <c r="AK148" s="183">
        <f>IF(H148="Dallas",(AD148/$AK$1)*'1. UC Assumptions'!$F$42,0)</f>
        <v>0</v>
      </c>
      <c r="AL148" s="183">
        <f>IF(H148="El Paso",(AD148/$AL$1)*'1. UC Assumptions'!$G$42,0)</f>
        <v>0</v>
      </c>
      <c r="AM148" s="183">
        <f>IF(H148="Harris",(AD148/$AM$1)*'1. UC Assumptions'!$H$42,0)</f>
        <v>0</v>
      </c>
      <c r="AN148" s="183">
        <f>IF(H148="Hidalgo",(AD148/$AN$1)*'1. UC Assumptions'!$I$42,0)</f>
        <v>0</v>
      </c>
      <c r="AO148" s="183">
        <f>IF(H148="Jefferson",(AD148/$AO$1)*'1. UC Assumptions'!$J$42,0)</f>
        <v>0</v>
      </c>
      <c r="AP148" s="183">
        <f>IF(H148="Lubbock",(AD148/$AP$1)*'1. UC Assumptions'!$K$42,0)</f>
        <v>0</v>
      </c>
      <c r="AQ148" s="183">
        <f>IF(H148="MRSA Central",(AD148/$AQ$1)*'1. UC Assumptions'!$L$42,0)</f>
        <v>0</v>
      </c>
      <c r="AR148" s="183">
        <f>IF(H148="MRSA Northeast",(AD148/$AR$1)*'1. UC Assumptions'!$M$42,0)</f>
        <v>0</v>
      </c>
      <c r="AS148" s="183">
        <f>IF(H148="MRSA West",(AD148/$AS$1)*'1. UC Assumptions'!$N$42,0)</f>
        <v>0</v>
      </c>
      <c r="AT148" s="183">
        <f>IF(H148="Nueces",(AD148/$AT$1)*'1. UC Assumptions'!$O$42,0)</f>
        <v>0</v>
      </c>
      <c r="AU148" s="183">
        <f>IF(H148="Tarrant",(AD148/$AU$1)*'1. UC Assumptions'!$P$42,0)</f>
        <v>0</v>
      </c>
      <c r="AV148" s="183">
        <f>IF(H148="Travis",(AD148/$AV$1)*'1. UC Assumptions'!$Q$42,0)</f>
        <v>0</v>
      </c>
      <c r="AW148" s="183">
        <f>IF(H148="Bexar",(AC148/$AW$1)*'1. UC Assumptions'!$E$44,0)</f>
        <v>0</v>
      </c>
      <c r="AX148" s="183">
        <f>IF(H148="Dallas",(AC148/$AX$1)*'1. UC Assumptions'!$F$44,0)</f>
        <v>0</v>
      </c>
      <c r="AY148" s="183">
        <f>IF(H148="El Paso",(AC148/$AY$1)*'1. UC Assumptions'!$G$44,0)</f>
        <v>0</v>
      </c>
      <c r="AZ148" s="183">
        <f>IF(H148="Harris",(AC148/$AZ$1)*'1. UC Assumptions'!$H$44,0)</f>
        <v>0</v>
      </c>
      <c r="BA148" s="183">
        <f>IF(H148="Hidalgo",(AC148/$BA$1)*'1. UC Assumptions'!$I$44,0)</f>
        <v>0</v>
      </c>
      <c r="BB148" s="183">
        <f>IF(H148="Jefferson",(AC148/$BB$1)*'1. UC Assumptions'!$J$44,0)</f>
        <v>0</v>
      </c>
      <c r="BC148" s="183">
        <f>IF(H148="Lubbock",(AC148/$BC$1)*'1. UC Assumptions'!$K$44,0)</f>
        <v>0</v>
      </c>
      <c r="BD148" s="183">
        <f>IF(H148="MRSA Central",(AC148/$BD$1)*'1. UC Assumptions'!$L$44,0)</f>
        <v>0</v>
      </c>
      <c r="BE148" s="183">
        <f>IF(H148="MRSA Northeast",(AC148/$BE$1)*'1. UC Assumptions'!$M$44,0)</f>
        <v>0</v>
      </c>
      <c r="BF148" s="183">
        <f>IF(H148="MRSA West",(AC148/$BF$1)*'1. UC Assumptions'!$N$44,0)</f>
        <v>0</v>
      </c>
      <c r="BG148" s="183">
        <f>IF(H148="Nueces",(AC148/$BG$1)*'1. UC Assumptions'!$O$44,0)</f>
        <v>0</v>
      </c>
      <c r="BH148" s="183">
        <f>IF(H148="Tarrant",(AC148/$BH$1)*'1. UC Assumptions'!$P$44,0)</f>
        <v>0</v>
      </c>
      <c r="BI148" s="183">
        <f>IF(H148="Travis",(AC148/$BI$1)*'1. UC Assumptions'!$Q$44,0)</f>
        <v>0</v>
      </c>
      <c r="BJ148" s="183">
        <f t="shared" si="35"/>
        <v>0</v>
      </c>
      <c r="BK148" s="183">
        <f t="shared" si="36"/>
        <v>0</v>
      </c>
      <c r="BL148" s="183">
        <f t="shared" si="37"/>
        <v>23662020.324470609</v>
      </c>
      <c r="BM148" s="184">
        <f t="shared" si="38"/>
        <v>10306511.79447061</v>
      </c>
      <c r="BN148" s="184">
        <f>ROUNDDOWN(BM148*'1. UC Assumptions'!$C$23,2)</f>
        <v>3401148.89</v>
      </c>
      <c r="BO148" s="184"/>
      <c r="BP148" s="185"/>
      <c r="BQ148" s="32"/>
      <c r="BR148" s="32"/>
    </row>
    <row r="149" spans="1:70">
      <c r="A149" s="177" t="s">
        <v>1467</v>
      </c>
      <c r="B149" s="178" t="s">
        <v>746</v>
      </c>
      <c r="C149" s="178" t="s">
        <v>746</v>
      </c>
      <c r="D149" s="179" t="s">
        <v>208</v>
      </c>
      <c r="E149" s="179"/>
      <c r="F149" s="177"/>
      <c r="G149" s="177" t="s">
        <v>747</v>
      </c>
      <c r="H149" s="178" t="s">
        <v>9</v>
      </c>
      <c r="I149" s="178" t="s">
        <v>9</v>
      </c>
      <c r="J149" s="131">
        <f>IFERROR(INDEX(#REF!,(MATCH('Old Calc Tab'!C:C,#REF!,0))),0)</f>
        <v>0</v>
      </c>
      <c r="K149" s="131">
        <f>IFERROR(INDEX(#REF!,(MATCH('Old Calc Tab'!$C:$C,#REF!,0))),0)</f>
        <v>0</v>
      </c>
      <c r="L149" s="131"/>
      <c r="M149" s="131">
        <v>35897871.969999999</v>
      </c>
      <c r="N149" s="131">
        <f>IFERROR(INDEX(#REF!,(MATCH('Old Calc Tab'!$C:$C,#REF!,0))),0)</f>
        <v>0</v>
      </c>
      <c r="O149" s="131">
        <f t="shared" si="26"/>
        <v>0</v>
      </c>
      <c r="P149" s="131">
        <f t="shared" si="27"/>
        <v>35897871.969999999</v>
      </c>
      <c r="Q149" s="131"/>
      <c r="R149" s="131"/>
      <c r="S149" s="131"/>
      <c r="T149" s="131"/>
      <c r="U149" s="131"/>
      <c r="V149" s="131">
        <v>8900515.9699999988</v>
      </c>
      <c r="W149" s="180">
        <v>0</v>
      </c>
      <c r="X149" s="180">
        <f t="shared" si="28"/>
        <v>44798387.939999998</v>
      </c>
      <c r="Y149" s="181">
        <f>IF(D149="Physician Group Practice",(X149/$AE$369)*'1. UC Assumptions'!$C$15,IF(OR(E149="Rural Hospital",E149="Hosp - State"),X149,(X149/$X$369)*'1. UC Assumptions'!$C$9))</f>
        <v>26962493.365610126</v>
      </c>
      <c r="Z149" s="181">
        <f t="shared" si="29"/>
        <v>0</v>
      </c>
      <c r="AA149" s="181">
        <f t="shared" si="30"/>
        <v>17835894.574389871</v>
      </c>
      <c r="AB149" s="182">
        <f t="shared" si="31"/>
        <v>9578.4308707028067</v>
      </c>
      <c r="AC149" s="181">
        <f t="shared" si="32"/>
        <v>17845473.005260576</v>
      </c>
      <c r="AD149" s="181">
        <f t="shared" si="33"/>
        <v>26972071.796480831</v>
      </c>
      <c r="AE149" s="131">
        <v>16524704.77</v>
      </c>
      <c r="AF149" s="131">
        <f>AE149*'1. UC Assumptions'!$C$23</f>
        <v>5453152.5740999989</v>
      </c>
      <c r="AG149" s="183">
        <f>IF((((X149-W149-AE149)*'1. UC Assumptions'!$C$23)+AF149)&gt;0,((X149-W149-AE149)*'1. UC Assumptions'!$C$23)+AF149,0)</f>
        <v>14783468.020199997</v>
      </c>
      <c r="AH149" s="183">
        <f>IF(((X149-W149-AE149)*'1. UC Assumptions'!$C$23)&gt;0,(X149-W149-AE149)*'1. UC Assumptions'!$C$23,0)</f>
        <v>9330315.4460999984</v>
      </c>
      <c r="AI149" s="183">
        <f t="shared" si="34"/>
        <v>14783468.020199997</v>
      </c>
      <c r="AJ149" s="183">
        <f>IF(H149="Bexar",(AD149/$AJ$1)*'1. UC Assumptions'!$E$42,0)</f>
        <v>0</v>
      </c>
      <c r="AK149" s="183">
        <f>IF(H149="Dallas",(AD149/$AK$1)*'1. UC Assumptions'!$F$42,0)</f>
        <v>0</v>
      </c>
      <c r="AL149" s="183">
        <f>IF(H149="El Paso",(AD149/$AL$1)*'1. UC Assumptions'!$G$42,0)</f>
        <v>0</v>
      </c>
      <c r="AM149" s="183">
        <f>IF(H149="Harris",(AD149/$AM$1)*'1. UC Assumptions'!$H$42,0)</f>
        <v>0</v>
      </c>
      <c r="AN149" s="183">
        <f>IF(H149="Hidalgo",(AD149/$AN$1)*'1. UC Assumptions'!$I$42,0)</f>
        <v>0</v>
      </c>
      <c r="AO149" s="183">
        <f>IF(H149="Jefferson",(AD149/$AO$1)*'1. UC Assumptions'!$J$42,0)</f>
        <v>0</v>
      </c>
      <c r="AP149" s="183">
        <f>IF(H149="Lubbock",(AD149/$AP$1)*'1. UC Assumptions'!$K$42,0)</f>
        <v>0</v>
      </c>
      <c r="AQ149" s="183">
        <f>IF(H149="MRSA Central",(AD149/$AQ$1)*'1. UC Assumptions'!$L$42,0)</f>
        <v>0</v>
      </c>
      <c r="AR149" s="183">
        <f>IF(H149="MRSA Northeast",(AD149/$AR$1)*'1. UC Assumptions'!$M$42,0)</f>
        <v>0</v>
      </c>
      <c r="AS149" s="183">
        <f>IF(H149="MRSA West",(AD149/$AS$1)*'1. UC Assumptions'!$N$42,0)</f>
        <v>0</v>
      </c>
      <c r="AT149" s="183">
        <f>IF(H149="Nueces",(AD149/$AT$1)*'1. UC Assumptions'!$O$42,0)</f>
        <v>0</v>
      </c>
      <c r="AU149" s="183">
        <f>IF(H149="Tarrant",(AD149/$AU$1)*'1. UC Assumptions'!$P$42,0)</f>
        <v>0</v>
      </c>
      <c r="AV149" s="183">
        <f>IF(H149="Travis",(AD149/$AV$1)*'1. UC Assumptions'!$Q$42,0)</f>
        <v>0</v>
      </c>
      <c r="AW149" s="183">
        <f>IF(H149="Bexar",(AC149/$AW$1)*'1. UC Assumptions'!$E$44,0)</f>
        <v>0</v>
      </c>
      <c r="AX149" s="183">
        <f>IF(H149="Dallas",(AC149/$AX$1)*'1. UC Assumptions'!$F$44,0)</f>
        <v>0</v>
      </c>
      <c r="AY149" s="183">
        <f>IF(H149="El Paso",(AC149/$AY$1)*'1. UC Assumptions'!$G$44,0)</f>
        <v>0</v>
      </c>
      <c r="AZ149" s="183">
        <f>IF(H149="Harris",(AC149/$AZ$1)*'1. UC Assumptions'!$H$44,0)</f>
        <v>0</v>
      </c>
      <c r="BA149" s="183">
        <f>IF(H149="Hidalgo",(AC149/$BA$1)*'1. UC Assumptions'!$I$44,0)</f>
        <v>0</v>
      </c>
      <c r="BB149" s="183">
        <f>IF(H149="Jefferson",(AC149/$BB$1)*'1. UC Assumptions'!$J$44,0)</f>
        <v>0</v>
      </c>
      <c r="BC149" s="183">
        <f>IF(H149="Lubbock",(AC149/$BC$1)*'1. UC Assumptions'!$K$44,0)</f>
        <v>0</v>
      </c>
      <c r="BD149" s="183">
        <f>IF(H149="MRSA Central",(AC149/$BD$1)*'1. UC Assumptions'!$L$44,0)</f>
        <v>0</v>
      </c>
      <c r="BE149" s="183">
        <f>IF(H149="MRSA Northeast",(AC149/$BE$1)*'1. UC Assumptions'!$M$44,0)</f>
        <v>0</v>
      </c>
      <c r="BF149" s="183">
        <f>IF(H149="MRSA West",(AC149/$BF$1)*'1. UC Assumptions'!$N$44,0)</f>
        <v>0</v>
      </c>
      <c r="BG149" s="183">
        <f>IF(H149="Nueces",(AC149/$BG$1)*'1. UC Assumptions'!$O$44,0)</f>
        <v>0</v>
      </c>
      <c r="BH149" s="183">
        <f>IF(H149="Tarrant",(AC149/$BH$1)*'1. UC Assumptions'!$P$44,0)</f>
        <v>0</v>
      </c>
      <c r="BI149" s="183">
        <f>IF(H149="Travis",(AC149/$BI$1)*'1. UC Assumptions'!$Q$44,0)</f>
        <v>0</v>
      </c>
      <c r="BJ149" s="183">
        <f t="shared" si="35"/>
        <v>0</v>
      </c>
      <c r="BK149" s="183">
        <f t="shared" si="36"/>
        <v>0</v>
      </c>
      <c r="BL149" s="183">
        <f t="shared" si="37"/>
        <v>26972071.796480831</v>
      </c>
      <c r="BM149" s="184">
        <f t="shared" si="38"/>
        <v>10447367.026480831</v>
      </c>
      <c r="BN149" s="184">
        <f>ROUNDDOWN(BM149*'1. UC Assumptions'!$C$23,2)</f>
        <v>3447631.11</v>
      </c>
      <c r="BO149" s="184"/>
      <c r="BP149" s="185"/>
      <c r="BQ149" s="32"/>
      <c r="BR149" s="32"/>
    </row>
    <row r="150" spans="1:70">
      <c r="A150" s="177" t="s">
        <v>1468</v>
      </c>
      <c r="B150" s="177" t="s">
        <v>1469</v>
      </c>
      <c r="C150" s="178" t="s">
        <v>1469</v>
      </c>
      <c r="D150" s="179" t="s">
        <v>214</v>
      </c>
      <c r="E150" s="179"/>
      <c r="F150" s="177"/>
      <c r="G150" s="177" t="s">
        <v>1470</v>
      </c>
      <c r="H150" s="178" t="s">
        <v>9</v>
      </c>
      <c r="I150" s="178" t="s">
        <v>9</v>
      </c>
      <c r="J150" s="131">
        <f>IFERROR(INDEX(#REF!,(MATCH('Old Calc Tab'!C:C,#REF!,0))),0)</f>
        <v>0</v>
      </c>
      <c r="K150" s="131">
        <f>IFERROR(INDEX(#REF!,(MATCH('Old Calc Tab'!$C:$C,#REF!,0))),0)</f>
        <v>0</v>
      </c>
      <c r="L150" s="131"/>
      <c r="M150" s="131">
        <v>22416016.637800001</v>
      </c>
      <c r="N150" s="131">
        <f>IFERROR(INDEX(#REF!,(MATCH('Old Calc Tab'!$C:$C,#REF!,0))),0)</f>
        <v>0</v>
      </c>
      <c r="O150" s="131">
        <f t="shared" si="26"/>
        <v>0</v>
      </c>
      <c r="P150" s="131">
        <f t="shared" si="27"/>
        <v>22416016.637800001</v>
      </c>
      <c r="Q150" s="131"/>
      <c r="R150" s="131"/>
      <c r="S150" s="131"/>
      <c r="T150" s="131"/>
      <c r="U150" s="131"/>
      <c r="V150" s="131">
        <v>1988882</v>
      </c>
      <c r="W150" s="180">
        <v>0</v>
      </c>
      <c r="X150" s="180">
        <f t="shared" si="28"/>
        <v>24404898.637800001</v>
      </c>
      <c r="Y150" s="181">
        <f>IF(D150="Physician Group Practice",(X150/$AE$369)*'1. UC Assumptions'!$C$15,IF(OR(E150="Rural Hospital",E150="Hosp - State"),X150,(X150/$X$369)*'1. UC Assumptions'!$C$9))</f>
        <v>14688406.165225733</v>
      </c>
      <c r="Z150" s="181">
        <f t="shared" si="29"/>
        <v>0</v>
      </c>
      <c r="AA150" s="181">
        <f t="shared" si="30"/>
        <v>9716492.4725742675</v>
      </c>
      <c r="AB150" s="182">
        <f t="shared" si="31"/>
        <v>5218.0590699326049</v>
      </c>
      <c r="AC150" s="181">
        <f t="shared" si="32"/>
        <v>9721710.5316442009</v>
      </c>
      <c r="AD150" s="181">
        <f t="shared" si="33"/>
        <v>14693624.224295666</v>
      </c>
      <c r="AE150" s="131">
        <v>8721825.8300000001</v>
      </c>
      <c r="AF150" s="131">
        <f>AE150*'1. UC Assumptions'!$C$23</f>
        <v>2878202.5238999994</v>
      </c>
      <c r="AG150" s="183">
        <f>IF((((X150-W150-AE150)*'1. UC Assumptions'!$C$23)+AF150)&gt;0,((X150-W150-AE150)*'1. UC Assumptions'!$C$23)+AF150,0)</f>
        <v>8053616.5504739992</v>
      </c>
      <c r="AH150" s="183">
        <f>IF(((X150-W150-AE150)*'1. UC Assumptions'!$C$23)&gt;0,(X150-W150-AE150)*'1. UC Assumptions'!$C$23,0)</f>
        <v>5175414.0265739998</v>
      </c>
      <c r="AI150" s="183">
        <f t="shared" si="34"/>
        <v>8053616.5504739992</v>
      </c>
      <c r="AJ150" s="183">
        <f>IF(H150="Bexar",(AD150/$AJ$1)*'1. UC Assumptions'!$E$42,0)</f>
        <v>0</v>
      </c>
      <c r="AK150" s="183">
        <f>IF(H150="Dallas",(AD150/$AK$1)*'1. UC Assumptions'!$F$42,0)</f>
        <v>0</v>
      </c>
      <c r="AL150" s="183">
        <f>IF(H150="El Paso",(AD150/$AL$1)*'1. UC Assumptions'!$G$42,0)</f>
        <v>0</v>
      </c>
      <c r="AM150" s="183">
        <f>IF(H150="Harris",(AD150/$AM$1)*'1. UC Assumptions'!$H$42,0)</f>
        <v>0</v>
      </c>
      <c r="AN150" s="183">
        <f>IF(H150="Hidalgo",(AD150/$AN$1)*'1. UC Assumptions'!$I$42,0)</f>
        <v>0</v>
      </c>
      <c r="AO150" s="183">
        <f>IF(H150="Jefferson",(AD150/$AO$1)*'1. UC Assumptions'!$J$42,0)</f>
        <v>0</v>
      </c>
      <c r="AP150" s="183">
        <f>IF(H150="Lubbock",(AD150/$AP$1)*'1. UC Assumptions'!$K$42,0)</f>
        <v>0</v>
      </c>
      <c r="AQ150" s="183">
        <f>IF(H150="MRSA Central",(AD150/$AQ$1)*'1. UC Assumptions'!$L$42,0)</f>
        <v>0</v>
      </c>
      <c r="AR150" s="183">
        <f>IF(H150="MRSA Northeast",(AD150/$AR$1)*'1. UC Assumptions'!$M$42,0)</f>
        <v>0</v>
      </c>
      <c r="AS150" s="183">
        <f>IF(H150="MRSA West",(AD150/$AS$1)*'1. UC Assumptions'!$N$42,0)</f>
        <v>0</v>
      </c>
      <c r="AT150" s="183">
        <f>IF(H150="Nueces",(AD150/$AT$1)*'1. UC Assumptions'!$O$42,0)</f>
        <v>0</v>
      </c>
      <c r="AU150" s="183">
        <f>IF(H150="Tarrant",(AD150/$AU$1)*'1. UC Assumptions'!$P$42,0)</f>
        <v>0</v>
      </c>
      <c r="AV150" s="183">
        <f>IF(H150="Travis",(AD150/$AV$1)*'1. UC Assumptions'!$Q$42,0)</f>
        <v>0</v>
      </c>
      <c r="AW150" s="183">
        <f>IF(H150="Bexar",(AC150/$AW$1)*'1. UC Assumptions'!$E$44,0)</f>
        <v>0</v>
      </c>
      <c r="AX150" s="183">
        <f>IF(H150="Dallas",(AC150/$AX$1)*'1. UC Assumptions'!$F$44,0)</f>
        <v>0</v>
      </c>
      <c r="AY150" s="183">
        <f>IF(H150="El Paso",(AC150/$AY$1)*'1. UC Assumptions'!$G$44,0)</f>
        <v>0</v>
      </c>
      <c r="AZ150" s="183">
        <f>IF(H150="Harris",(AC150/$AZ$1)*'1. UC Assumptions'!$H$44,0)</f>
        <v>0</v>
      </c>
      <c r="BA150" s="183">
        <f>IF(H150="Hidalgo",(AC150/$BA$1)*'1. UC Assumptions'!$I$44,0)</f>
        <v>0</v>
      </c>
      <c r="BB150" s="183">
        <f>IF(H150="Jefferson",(AC150/$BB$1)*'1. UC Assumptions'!$J$44,0)</f>
        <v>0</v>
      </c>
      <c r="BC150" s="183">
        <f>IF(H150="Lubbock",(AC150/$BC$1)*'1. UC Assumptions'!$K$44,0)</f>
        <v>0</v>
      </c>
      <c r="BD150" s="183">
        <f>IF(H150="MRSA Central",(AC150/$BD$1)*'1. UC Assumptions'!$L$44,0)</f>
        <v>0</v>
      </c>
      <c r="BE150" s="183">
        <f>IF(H150="MRSA Northeast",(AC150/$BE$1)*'1. UC Assumptions'!$M$44,0)</f>
        <v>0</v>
      </c>
      <c r="BF150" s="183">
        <f>IF(H150="MRSA West",(AC150/$BF$1)*'1. UC Assumptions'!$N$44,0)</f>
        <v>0</v>
      </c>
      <c r="BG150" s="183">
        <f>IF(H150="Nueces",(AC150/$BG$1)*'1. UC Assumptions'!$O$44,0)</f>
        <v>0</v>
      </c>
      <c r="BH150" s="183">
        <f>IF(H150="Tarrant",(AC150/$BH$1)*'1. UC Assumptions'!$P$44,0)</f>
        <v>0</v>
      </c>
      <c r="BI150" s="183">
        <f>IF(H150="Travis",(AC150/$BI$1)*'1. UC Assumptions'!$Q$44,0)</f>
        <v>0</v>
      </c>
      <c r="BJ150" s="183">
        <f t="shared" si="35"/>
        <v>0</v>
      </c>
      <c r="BK150" s="183">
        <f t="shared" si="36"/>
        <v>0</v>
      </c>
      <c r="BL150" s="183">
        <f t="shared" si="37"/>
        <v>14693624.224295666</v>
      </c>
      <c r="BM150" s="184">
        <f t="shared" si="38"/>
        <v>5971798.3942956664</v>
      </c>
      <c r="BN150" s="184">
        <f>ROUNDDOWN(BM150*'1. UC Assumptions'!$C$23,2)</f>
        <v>1970693.47</v>
      </c>
      <c r="BO150" s="184"/>
      <c r="BP150" s="185"/>
      <c r="BQ150" s="32"/>
      <c r="BR150" s="32"/>
    </row>
    <row r="151" spans="1:70">
      <c r="A151" s="177"/>
      <c r="B151" s="177" t="s">
        <v>1117</v>
      </c>
      <c r="C151" s="177" t="s">
        <v>1117</v>
      </c>
      <c r="D151" s="179" t="s">
        <v>36</v>
      </c>
      <c r="E151" s="179" t="s">
        <v>36</v>
      </c>
      <c r="F151" s="177"/>
      <c r="G151" s="177" t="s">
        <v>1471</v>
      </c>
      <c r="H151" s="178" t="s">
        <v>9</v>
      </c>
      <c r="I151" s="178" t="s">
        <v>9</v>
      </c>
      <c r="J151" s="131">
        <f>IFERROR(INDEX(#REF!,(MATCH('Old Calc Tab'!C:C,#REF!,0))),0)</f>
        <v>0</v>
      </c>
      <c r="K151" s="131">
        <f>IFERROR(INDEX(#REF!,(MATCH('Old Calc Tab'!$C:$C,#REF!,0))),0)</f>
        <v>0</v>
      </c>
      <c r="L151" s="131"/>
      <c r="M151" s="131">
        <v>154808.39668373766</v>
      </c>
      <c r="N151" s="131">
        <f>IFERROR(INDEX(#REF!,(MATCH('Old Calc Tab'!$C:$C,#REF!,0))),0)</f>
        <v>0</v>
      </c>
      <c r="O151" s="131">
        <f t="shared" si="26"/>
        <v>0</v>
      </c>
      <c r="P151" s="131">
        <f t="shared" si="27"/>
        <v>154808.39668373766</v>
      </c>
      <c r="Q151" s="131"/>
      <c r="R151" s="131"/>
      <c r="S151" s="131"/>
      <c r="T151" s="131"/>
      <c r="U151" s="131"/>
      <c r="V151" s="131">
        <v>0</v>
      </c>
      <c r="W151" s="180">
        <v>0</v>
      </c>
      <c r="X151" s="180">
        <f t="shared" si="28"/>
        <v>154808.39668373766</v>
      </c>
      <c r="Y151" s="181">
        <f>IF(D151="Physician Group Practice",(X151/$AE$369)*'1. UC Assumptions'!$C$15,IF(OR(E151="Rural Hospital",E151="Hosp - State"),X151,(X151/$X$369)*'1. UC Assumptions'!$C$9))</f>
        <v>23840.046963322548</v>
      </c>
      <c r="Z151" s="181">
        <f t="shared" si="29"/>
        <v>0</v>
      </c>
      <c r="AA151" s="181">
        <f t="shared" si="30"/>
        <v>130968.34972041512</v>
      </c>
      <c r="AB151" s="182">
        <f t="shared" si="31"/>
        <v>70.334082701312354</v>
      </c>
      <c r="AC151" s="181">
        <f t="shared" si="32"/>
        <v>131038.68380311644</v>
      </c>
      <c r="AD151" s="181">
        <f t="shared" si="33"/>
        <v>23910.38104602386</v>
      </c>
      <c r="AE151" s="131">
        <v>33355.199999999997</v>
      </c>
      <c r="AF151" s="131">
        <f>AE151*'1. UC Assumptions'!$C$23</f>
        <v>11007.215999999999</v>
      </c>
      <c r="AG151" s="183">
        <f>IF((((X151-W151-AE151)*'1. UC Assumptions'!$C$23)+AF151)&gt;0,((X151-W151-AE151)*'1. UC Assumptions'!$C$23)+AF151,0)</f>
        <v>51086.770905633428</v>
      </c>
      <c r="AH151" s="183">
        <f>IF(((X151-W151-AE151)*'1. UC Assumptions'!$C$23)&gt;0,(X151-W151-AE151)*'1. UC Assumptions'!$C$23,0)</f>
        <v>40079.554905633428</v>
      </c>
      <c r="AI151" s="183">
        <f t="shared" si="34"/>
        <v>51086.770905633428</v>
      </c>
      <c r="AJ151" s="183">
        <f>IF(H151="Bexar",(AD151/$AJ$1)*'1. UC Assumptions'!$E$42,0)</f>
        <v>0</v>
      </c>
      <c r="AK151" s="183">
        <f>IF(H151="Dallas",(AD151/$AK$1)*'1. UC Assumptions'!$F$42,0)</f>
        <v>0</v>
      </c>
      <c r="AL151" s="183">
        <f>IF(H151="El Paso",(AD151/$AL$1)*'1. UC Assumptions'!$G$42,0)</f>
        <v>0</v>
      </c>
      <c r="AM151" s="183">
        <f>IF(H151="Harris",(AD151/$AM$1)*'1. UC Assumptions'!$H$42,0)</f>
        <v>0</v>
      </c>
      <c r="AN151" s="183">
        <f>IF(H151="Hidalgo",(AD151/$AN$1)*'1. UC Assumptions'!$I$42,0)</f>
        <v>0</v>
      </c>
      <c r="AO151" s="183">
        <f>IF(H151="Jefferson",(AD151/$AO$1)*'1. UC Assumptions'!$J$42,0)</f>
        <v>0</v>
      </c>
      <c r="AP151" s="183">
        <f>IF(H151="Lubbock",(AD151/$AP$1)*'1. UC Assumptions'!$K$42,0)</f>
        <v>0</v>
      </c>
      <c r="AQ151" s="183">
        <f>IF(H151="MRSA Central",(AD151/$AQ$1)*'1. UC Assumptions'!$L$42,0)</f>
        <v>0</v>
      </c>
      <c r="AR151" s="183">
        <f>IF(H151="MRSA Northeast",(AD151/$AR$1)*'1. UC Assumptions'!$M$42,0)</f>
        <v>0</v>
      </c>
      <c r="AS151" s="183">
        <f>IF(H151="MRSA West",(AD151/$AS$1)*'1. UC Assumptions'!$N$42,0)</f>
        <v>0</v>
      </c>
      <c r="AT151" s="183">
        <f>IF(H151="Nueces",(AD151/$AT$1)*'1. UC Assumptions'!$O$42,0)</f>
        <v>0</v>
      </c>
      <c r="AU151" s="183">
        <f>IF(H151="Tarrant",(AD151/$AU$1)*'1. UC Assumptions'!$P$42,0)</f>
        <v>0</v>
      </c>
      <c r="AV151" s="183">
        <f>IF(H151="Travis",(AD151/$AV$1)*'1. UC Assumptions'!$Q$42,0)</f>
        <v>0</v>
      </c>
      <c r="AW151" s="183">
        <f>IF(H151="Bexar",(AC151/$AW$1)*'1. UC Assumptions'!$E$44,0)</f>
        <v>0</v>
      </c>
      <c r="AX151" s="183">
        <f>IF(H151="Dallas",(AC151/$AX$1)*'1. UC Assumptions'!$F$44,0)</f>
        <v>0</v>
      </c>
      <c r="AY151" s="183">
        <f>IF(H151="El Paso",(AC151/$AY$1)*'1. UC Assumptions'!$G$44,0)</f>
        <v>0</v>
      </c>
      <c r="AZ151" s="183">
        <f>IF(H151="Harris",(AC151/$AZ$1)*'1. UC Assumptions'!$H$44,0)</f>
        <v>0</v>
      </c>
      <c r="BA151" s="183">
        <f>IF(H151="Hidalgo",(AC151/$BA$1)*'1. UC Assumptions'!$I$44,0)</f>
        <v>0</v>
      </c>
      <c r="BB151" s="183">
        <f>IF(H151="Jefferson",(AC151/$BB$1)*'1. UC Assumptions'!$J$44,0)</f>
        <v>0</v>
      </c>
      <c r="BC151" s="183">
        <f>IF(H151="Lubbock",(AC151/$BC$1)*'1. UC Assumptions'!$K$44,0)</f>
        <v>0</v>
      </c>
      <c r="BD151" s="183">
        <f>IF(H151="MRSA Central",(AC151/$BD$1)*'1. UC Assumptions'!$L$44,0)</f>
        <v>0</v>
      </c>
      <c r="BE151" s="183">
        <f>IF(H151="MRSA Northeast",(AC151/$BE$1)*'1. UC Assumptions'!$M$44,0)</f>
        <v>0</v>
      </c>
      <c r="BF151" s="183">
        <f>IF(H151="MRSA West",(AC151/$BF$1)*'1. UC Assumptions'!$N$44,0)</f>
        <v>0</v>
      </c>
      <c r="BG151" s="183">
        <f>IF(H151="Nueces",(AC151/$BG$1)*'1. UC Assumptions'!$O$44,0)</f>
        <v>0</v>
      </c>
      <c r="BH151" s="183">
        <f>IF(H151="Tarrant",(AC151/$BH$1)*'1. UC Assumptions'!$P$44,0)</f>
        <v>0</v>
      </c>
      <c r="BI151" s="183">
        <f>IF(H151="Travis",(AC151/$BI$1)*'1. UC Assumptions'!$Q$44,0)</f>
        <v>0</v>
      </c>
      <c r="BJ151" s="183">
        <f t="shared" si="35"/>
        <v>0</v>
      </c>
      <c r="BK151" s="183">
        <f t="shared" si="36"/>
        <v>0</v>
      </c>
      <c r="BL151" s="183">
        <f t="shared" si="37"/>
        <v>23910.38104602386</v>
      </c>
      <c r="BM151" s="184">
        <f t="shared" si="38"/>
        <v>-9444.818953976137</v>
      </c>
      <c r="BN151" s="184">
        <f>ROUNDDOWN(BM151*'1. UC Assumptions'!$C$23,2)</f>
        <v>-3116.79</v>
      </c>
      <c r="BO151" s="184"/>
      <c r="BP151" s="185"/>
      <c r="BQ151" s="32"/>
      <c r="BR151" s="32"/>
    </row>
    <row r="152" spans="1:70">
      <c r="A152" s="177" t="s">
        <v>1472</v>
      </c>
      <c r="B152" s="178" t="s">
        <v>868</v>
      </c>
      <c r="C152" s="178" t="s">
        <v>868</v>
      </c>
      <c r="D152" s="179" t="s">
        <v>214</v>
      </c>
      <c r="E152" s="179" t="s">
        <v>149</v>
      </c>
      <c r="F152" s="177"/>
      <c r="G152" s="177" t="s">
        <v>869</v>
      </c>
      <c r="H152" s="178" t="s">
        <v>9</v>
      </c>
      <c r="I152" s="178" t="s">
        <v>870</v>
      </c>
      <c r="J152" s="131">
        <f>IFERROR(INDEX(#REF!,(MATCH('Old Calc Tab'!C:C,#REF!,0))),0)</f>
        <v>0</v>
      </c>
      <c r="K152" s="131">
        <f>IFERROR(INDEX(#REF!,(MATCH('Old Calc Tab'!$C:$C,#REF!,0))),0)</f>
        <v>0</v>
      </c>
      <c r="L152" s="131"/>
      <c r="M152" s="131">
        <v>1461838.3615559612</v>
      </c>
      <c r="N152" s="131">
        <f>IFERROR(INDEX(#REF!,(MATCH('Old Calc Tab'!$C:$C,#REF!,0))),0)</f>
        <v>0</v>
      </c>
      <c r="O152" s="131">
        <f t="shared" si="26"/>
        <v>0</v>
      </c>
      <c r="P152" s="131">
        <f t="shared" si="27"/>
        <v>1461838.3615559612</v>
      </c>
      <c r="Q152" s="131"/>
      <c r="R152" s="131"/>
      <c r="S152" s="131"/>
      <c r="T152" s="131"/>
      <c r="U152" s="131"/>
      <c r="V152" s="131">
        <v>159739.16155596121</v>
      </c>
      <c r="W152" s="180">
        <v>0</v>
      </c>
      <c r="X152" s="180">
        <f t="shared" si="28"/>
        <v>1621577.5231119224</v>
      </c>
      <c r="Y152" s="181">
        <f>IF(D152="Physician Group Practice",(X152/$AE$369)*'1. UC Assumptions'!$C$15,IF(OR(E152="Rural Hospital",E152="Hosp - State"),X152,(X152/$X$369)*'1. UC Assumptions'!$C$9))</f>
        <v>1621577.5231119224</v>
      </c>
      <c r="Z152" s="181">
        <f t="shared" si="29"/>
        <v>0</v>
      </c>
      <c r="AA152" s="181">
        <f t="shared" si="30"/>
        <v>0</v>
      </c>
      <c r="AB152" s="182">
        <f t="shared" si="31"/>
        <v>0</v>
      </c>
      <c r="AC152" s="181">
        <f t="shared" si="32"/>
        <v>0</v>
      </c>
      <c r="AD152" s="181">
        <f t="shared" si="33"/>
        <v>1621577.5231119224</v>
      </c>
      <c r="AE152" s="131">
        <v>1108200.98</v>
      </c>
      <c r="AF152" s="131">
        <f>AE152*'1. UC Assumptions'!$C$23</f>
        <v>365706.32339999994</v>
      </c>
      <c r="AG152" s="183">
        <f>IF((((X152-W152-AE152)*'1. UC Assumptions'!$C$23)+AF152)&gt;0,((X152-W152-AE152)*'1. UC Assumptions'!$C$23)+AF152,0)</f>
        <v>535120.5826269344</v>
      </c>
      <c r="AH152" s="183">
        <f>IF(((X152-W152-AE152)*'1. UC Assumptions'!$C$23)&gt;0,(X152-W152-AE152)*'1. UC Assumptions'!$C$23,0)</f>
        <v>169414.2592269344</v>
      </c>
      <c r="AI152" s="183">
        <f t="shared" si="34"/>
        <v>535120.5826269344</v>
      </c>
      <c r="AJ152" s="183">
        <f>IF(H152="Bexar",(AD152/$AJ$1)*'1. UC Assumptions'!$E$42,0)</f>
        <v>0</v>
      </c>
      <c r="AK152" s="183">
        <f>IF(H152="Dallas",(AD152/$AK$1)*'1. UC Assumptions'!$F$42,0)</f>
        <v>0</v>
      </c>
      <c r="AL152" s="183">
        <f>IF(H152="El Paso",(AD152/$AL$1)*'1. UC Assumptions'!$G$42,0)</f>
        <v>0</v>
      </c>
      <c r="AM152" s="183">
        <f>IF(H152="Harris",(AD152/$AM$1)*'1. UC Assumptions'!$H$42,0)</f>
        <v>0</v>
      </c>
      <c r="AN152" s="183">
        <f>IF(H152="Hidalgo",(AD152/$AN$1)*'1. UC Assumptions'!$I$42,0)</f>
        <v>0</v>
      </c>
      <c r="AO152" s="183">
        <f>IF(H152="Jefferson",(AD152/$AO$1)*'1. UC Assumptions'!$J$42,0)</f>
        <v>0</v>
      </c>
      <c r="AP152" s="183">
        <f>IF(H152="Lubbock",(AD152/$AP$1)*'1. UC Assumptions'!$K$42,0)</f>
        <v>0</v>
      </c>
      <c r="AQ152" s="183">
        <f>IF(H152="MRSA Central",(AD152/$AQ$1)*'1. UC Assumptions'!$L$42,0)</f>
        <v>0</v>
      </c>
      <c r="AR152" s="183">
        <f>IF(H152="MRSA Northeast",(AD152/$AR$1)*'1. UC Assumptions'!$M$42,0)</f>
        <v>0</v>
      </c>
      <c r="AS152" s="183">
        <f>IF(H152="MRSA West",(AD152/$AS$1)*'1. UC Assumptions'!$N$42,0)</f>
        <v>0</v>
      </c>
      <c r="AT152" s="183">
        <f>IF(H152="Nueces",(AD152/$AT$1)*'1. UC Assumptions'!$O$42,0)</f>
        <v>0</v>
      </c>
      <c r="AU152" s="183">
        <f>IF(H152="Tarrant",(AD152/$AU$1)*'1. UC Assumptions'!$P$42,0)</f>
        <v>0</v>
      </c>
      <c r="AV152" s="183">
        <f>IF(H152="Travis",(AD152/$AV$1)*'1. UC Assumptions'!$Q$42,0)</f>
        <v>0</v>
      </c>
      <c r="AW152" s="183">
        <f>IF(H152="Bexar",(AC152/$AW$1)*'1. UC Assumptions'!$E$44,0)</f>
        <v>0</v>
      </c>
      <c r="AX152" s="183">
        <f>IF(H152="Dallas",(AC152/$AX$1)*'1. UC Assumptions'!$F$44,0)</f>
        <v>0</v>
      </c>
      <c r="AY152" s="183">
        <f>IF(H152="El Paso",(AC152/$AY$1)*'1. UC Assumptions'!$G$44,0)</f>
        <v>0</v>
      </c>
      <c r="AZ152" s="183">
        <f>IF(H152="Harris",(AC152/$AZ$1)*'1. UC Assumptions'!$H$44,0)</f>
        <v>0</v>
      </c>
      <c r="BA152" s="183">
        <f>IF(H152="Hidalgo",(AC152/$BA$1)*'1. UC Assumptions'!$I$44,0)</f>
        <v>0</v>
      </c>
      <c r="BB152" s="183">
        <f>IF(H152="Jefferson",(AC152/$BB$1)*'1. UC Assumptions'!$J$44,0)</f>
        <v>0</v>
      </c>
      <c r="BC152" s="183">
        <f>IF(H152="Lubbock",(AC152/$BC$1)*'1. UC Assumptions'!$K$44,0)</f>
        <v>0</v>
      </c>
      <c r="BD152" s="183">
        <f>IF(H152="MRSA Central",(AC152/$BD$1)*'1. UC Assumptions'!$L$44,0)</f>
        <v>0</v>
      </c>
      <c r="BE152" s="183">
        <f>IF(H152="MRSA Northeast",(AC152/$BE$1)*'1. UC Assumptions'!$M$44,0)</f>
        <v>0</v>
      </c>
      <c r="BF152" s="183">
        <f>IF(H152="MRSA West",(AC152/$BF$1)*'1. UC Assumptions'!$N$44,0)</f>
        <v>0</v>
      </c>
      <c r="BG152" s="183">
        <f>IF(H152="Nueces",(AC152/$BG$1)*'1. UC Assumptions'!$O$44,0)</f>
        <v>0</v>
      </c>
      <c r="BH152" s="183">
        <f>IF(H152="Tarrant",(AC152/$BH$1)*'1. UC Assumptions'!$P$44,0)</f>
        <v>0</v>
      </c>
      <c r="BI152" s="183">
        <f>IF(H152="Travis",(AC152/$BI$1)*'1. UC Assumptions'!$Q$44,0)</f>
        <v>0</v>
      </c>
      <c r="BJ152" s="183">
        <f t="shared" si="35"/>
        <v>0</v>
      </c>
      <c r="BK152" s="183">
        <f t="shared" si="36"/>
        <v>0</v>
      </c>
      <c r="BL152" s="183">
        <f t="shared" si="37"/>
        <v>1621577.5231119224</v>
      </c>
      <c r="BM152" s="184">
        <f t="shared" si="38"/>
        <v>513376.54311192245</v>
      </c>
      <c r="BN152" s="184">
        <f>ROUNDDOWN(BM152*'1. UC Assumptions'!$C$23,2)</f>
        <v>169414.25</v>
      </c>
      <c r="BO152" s="184"/>
      <c r="BP152" s="185"/>
      <c r="BQ152" s="32"/>
      <c r="BR152" s="32"/>
    </row>
    <row r="153" spans="1:70">
      <c r="A153" s="177" t="s">
        <v>1473</v>
      </c>
      <c r="B153" s="177" t="s">
        <v>920</v>
      </c>
      <c r="C153" s="178" t="s">
        <v>920</v>
      </c>
      <c r="D153" s="179" t="s">
        <v>214</v>
      </c>
      <c r="E153" s="179"/>
      <c r="F153" s="177"/>
      <c r="G153" s="177" t="s">
        <v>1474</v>
      </c>
      <c r="H153" s="178" t="s">
        <v>9</v>
      </c>
      <c r="I153" s="178" t="s">
        <v>9</v>
      </c>
      <c r="J153" s="131">
        <f>IFERROR(INDEX(#REF!,(MATCH('Old Calc Tab'!C:C,#REF!,0))),0)</f>
        <v>0</v>
      </c>
      <c r="K153" s="131">
        <f>IFERROR(INDEX(#REF!,(MATCH('Old Calc Tab'!$C:$C,#REF!,0))),0)</f>
        <v>0</v>
      </c>
      <c r="L153" s="131"/>
      <c r="M153" s="131">
        <v>86192.741200000004</v>
      </c>
      <c r="N153" s="131">
        <f>IFERROR(INDEX(#REF!,(MATCH('Old Calc Tab'!$C:$C,#REF!,0))),0)</f>
        <v>0</v>
      </c>
      <c r="O153" s="131">
        <f t="shared" si="26"/>
        <v>0</v>
      </c>
      <c r="P153" s="131">
        <f t="shared" si="27"/>
        <v>86192.741200000004</v>
      </c>
      <c r="Q153" s="131"/>
      <c r="R153" s="131"/>
      <c r="S153" s="131"/>
      <c r="T153" s="131"/>
      <c r="U153" s="131"/>
      <c r="V153" s="131">
        <v>4923</v>
      </c>
      <c r="W153" s="180">
        <v>0</v>
      </c>
      <c r="X153" s="180">
        <f t="shared" si="28"/>
        <v>91115.741200000004</v>
      </c>
      <c r="Y153" s="181">
        <f>IF(D153="Physician Group Practice",(X153/$AE$369)*'1. UC Assumptions'!$C$15,IF(OR(E153="Rural Hospital",E153="Hosp - State"),X153,(X153/$X$369)*'1. UC Assumptions'!$C$9))</f>
        <v>54839.195796464846</v>
      </c>
      <c r="Z153" s="181">
        <f t="shared" si="29"/>
        <v>0</v>
      </c>
      <c r="AA153" s="181">
        <f t="shared" si="30"/>
        <v>36276.545403535158</v>
      </c>
      <c r="AB153" s="182">
        <f t="shared" si="31"/>
        <v>19.481634684845041</v>
      </c>
      <c r="AC153" s="181">
        <f t="shared" si="32"/>
        <v>36296.027038220003</v>
      </c>
      <c r="AD153" s="181">
        <f t="shared" si="33"/>
        <v>54858.677431149692</v>
      </c>
      <c r="AE153" s="131">
        <v>532820.31000000006</v>
      </c>
      <c r="AF153" s="131">
        <f>AE153*'1. UC Assumptions'!$C$23</f>
        <v>175830.7023</v>
      </c>
      <c r="AG153" s="183">
        <f>IF((((X153-W153-AE153)*'1. UC Assumptions'!$C$23)+AF153)&gt;0,((X153-W153-AE153)*'1. UC Assumptions'!$C$23)+AF153,0)</f>
        <v>30068.194595999987</v>
      </c>
      <c r="AH153" s="183">
        <f>IF(((X153-W153-AE153)*'1. UC Assumptions'!$C$23)&gt;0,(X153-W153-AE153)*'1. UC Assumptions'!$C$23,0)</f>
        <v>0</v>
      </c>
      <c r="AI153" s="183">
        <f t="shared" si="34"/>
        <v>175830.7023</v>
      </c>
      <c r="AJ153" s="183">
        <f>IF(H153="Bexar",(AD153/$AJ$1)*'1. UC Assumptions'!$E$42,0)</f>
        <v>0</v>
      </c>
      <c r="AK153" s="183">
        <f>IF(H153="Dallas",(AD153/$AK$1)*'1. UC Assumptions'!$F$42,0)</f>
        <v>0</v>
      </c>
      <c r="AL153" s="183">
        <f>IF(H153="El Paso",(AD153/$AL$1)*'1. UC Assumptions'!$G$42,0)</f>
        <v>0</v>
      </c>
      <c r="AM153" s="183">
        <f>IF(H153="Harris",(AD153/$AM$1)*'1. UC Assumptions'!$H$42,0)</f>
        <v>0</v>
      </c>
      <c r="AN153" s="183">
        <f>IF(H153="Hidalgo",(AD153/$AN$1)*'1. UC Assumptions'!$I$42,0)</f>
        <v>0</v>
      </c>
      <c r="AO153" s="183">
        <f>IF(H153="Jefferson",(AD153/$AO$1)*'1. UC Assumptions'!$J$42,0)</f>
        <v>0</v>
      </c>
      <c r="AP153" s="183">
        <f>IF(H153="Lubbock",(AD153/$AP$1)*'1. UC Assumptions'!$K$42,0)</f>
        <v>0</v>
      </c>
      <c r="AQ153" s="183">
        <f>IF(H153="MRSA Central",(AD153/$AQ$1)*'1. UC Assumptions'!$L$42,0)</f>
        <v>0</v>
      </c>
      <c r="AR153" s="183">
        <f>IF(H153="MRSA Northeast",(AD153/$AR$1)*'1. UC Assumptions'!$M$42,0)</f>
        <v>0</v>
      </c>
      <c r="AS153" s="183">
        <f>IF(H153="MRSA West",(AD153/$AS$1)*'1. UC Assumptions'!$N$42,0)</f>
        <v>0</v>
      </c>
      <c r="AT153" s="183">
        <f>IF(H153="Nueces",(AD153/$AT$1)*'1. UC Assumptions'!$O$42,0)</f>
        <v>0</v>
      </c>
      <c r="AU153" s="183">
        <f>IF(H153="Tarrant",(AD153/$AU$1)*'1. UC Assumptions'!$P$42,0)</f>
        <v>0</v>
      </c>
      <c r="AV153" s="183">
        <f>IF(H153="Travis",(AD153/$AV$1)*'1. UC Assumptions'!$Q$42,0)</f>
        <v>0</v>
      </c>
      <c r="AW153" s="183">
        <f>IF(H153="Bexar",(AC153/$AW$1)*'1. UC Assumptions'!$E$44,0)</f>
        <v>0</v>
      </c>
      <c r="AX153" s="183">
        <f>IF(H153="Dallas",(AC153/$AX$1)*'1. UC Assumptions'!$F$44,0)</f>
        <v>0</v>
      </c>
      <c r="AY153" s="183">
        <f>IF(H153="El Paso",(AC153/$AY$1)*'1. UC Assumptions'!$G$44,0)</f>
        <v>0</v>
      </c>
      <c r="AZ153" s="183">
        <f>IF(H153="Harris",(AC153/$AZ$1)*'1. UC Assumptions'!$H$44,0)</f>
        <v>0</v>
      </c>
      <c r="BA153" s="183">
        <f>IF(H153="Hidalgo",(AC153/$BA$1)*'1. UC Assumptions'!$I$44,0)</f>
        <v>0</v>
      </c>
      <c r="BB153" s="183">
        <f>IF(H153="Jefferson",(AC153/$BB$1)*'1. UC Assumptions'!$J$44,0)</f>
        <v>0</v>
      </c>
      <c r="BC153" s="183">
        <f>IF(H153="Lubbock",(AC153/$BC$1)*'1. UC Assumptions'!$K$44,0)</f>
        <v>0</v>
      </c>
      <c r="BD153" s="183">
        <f>IF(H153="MRSA Central",(AC153/$BD$1)*'1. UC Assumptions'!$L$44,0)</f>
        <v>0</v>
      </c>
      <c r="BE153" s="183">
        <f>IF(H153="MRSA Northeast",(AC153/$BE$1)*'1. UC Assumptions'!$M$44,0)</f>
        <v>0</v>
      </c>
      <c r="BF153" s="183">
        <f>IF(H153="MRSA West",(AC153/$BF$1)*'1. UC Assumptions'!$N$44,0)</f>
        <v>0</v>
      </c>
      <c r="BG153" s="183">
        <f>IF(H153="Nueces",(AC153/$BG$1)*'1. UC Assumptions'!$O$44,0)</f>
        <v>0</v>
      </c>
      <c r="BH153" s="183">
        <f>IF(H153="Tarrant",(AC153/$BH$1)*'1. UC Assumptions'!$P$44,0)</f>
        <v>0</v>
      </c>
      <c r="BI153" s="183">
        <f>IF(H153="Travis",(AC153/$BI$1)*'1. UC Assumptions'!$Q$44,0)</f>
        <v>0</v>
      </c>
      <c r="BJ153" s="183">
        <f t="shared" si="35"/>
        <v>0</v>
      </c>
      <c r="BK153" s="183">
        <f t="shared" si="36"/>
        <v>0</v>
      </c>
      <c r="BL153" s="183">
        <f t="shared" si="37"/>
        <v>54858.677431149692</v>
      </c>
      <c r="BM153" s="184">
        <f t="shared" si="38"/>
        <v>-477961.63256885036</v>
      </c>
      <c r="BN153" s="184">
        <f>ROUNDDOWN(BM153*'1. UC Assumptions'!$C$23,2)</f>
        <v>-157727.32999999999</v>
      </c>
      <c r="BO153" s="184"/>
      <c r="BP153" s="185"/>
      <c r="BQ153" s="32"/>
      <c r="BR153" s="32"/>
    </row>
    <row r="154" spans="1:70">
      <c r="A154" s="177" t="s">
        <v>1475</v>
      </c>
      <c r="B154" s="178" t="s">
        <v>951</v>
      </c>
      <c r="C154" s="178" t="s">
        <v>951</v>
      </c>
      <c r="D154" s="179" t="s">
        <v>208</v>
      </c>
      <c r="E154" s="179" t="s">
        <v>149</v>
      </c>
      <c r="F154" s="177"/>
      <c r="G154" s="177" t="s">
        <v>952</v>
      </c>
      <c r="H154" s="178" t="s">
        <v>9</v>
      </c>
      <c r="I154" s="178" t="s">
        <v>953</v>
      </c>
      <c r="J154" s="131">
        <f>IFERROR(INDEX(#REF!,(MATCH('Old Calc Tab'!C:C,#REF!,0))),0)</f>
        <v>0</v>
      </c>
      <c r="K154" s="131">
        <f>IFERROR(INDEX(#REF!,(MATCH('Old Calc Tab'!$C:$C,#REF!,0))),0)</f>
        <v>0</v>
      </c>
      <c r="L154" s="131"/>
      <c r="M154" s="131">
        <v>55389.25</v>
      </c>
      <c r="N154" s="131">
        <f>IFERROR(INDEX(#REF!,(MATCH('Old Calc Tab'!$C:$C,#REF!,0))),0)</f>
        <v>0</v>
      </c>
      <c r="O154" s="131">
        <f t="shared" si="26"/>
        <v>0</v>
      </c>
      <c r="P154" s="131">
        <f t="shared" si="27"/>
        <v>55389.25</v>
      </c>
      <c r="Q154" s="131"/>
      <c r="R154" s="131"/>
      <c r="S154" s="131"/>
      <c r="T154" s="131"/>
      <c r="U154" s="131"/>
      <c r="V154" s="131">
        <v>0</v>
      </c>
      <c r="W154" s="180">
        <v>0</v>
      </c>
      <c r="X154" s="180">
        <f t="shared" si="28"/>
        <v>55389.25</v>
      </c>
      <c r="Y154" s="181">
        <f>IF(D154="Physician Group Practice",(X154/$AE$369)*'1. UC Assumptions'!$C$15,IF(OR(E154="Rural Hospital",E154="Hosp - State"),X154,(X154/$X$369)*'1. UC Assumptions'!$C$9))</f>
        <v>55389.25</v>
      </c>
      <c r="Z154" s="181">
        <f t="shared" si="29"/>
        <v>0</v>
      </c>
      <c r="AA154" s="181">
        <f t="shared" si="30"/>
        <v>0</v>
      </c>
      <c r="AB154" s="182">
        <f t="shared" si="31"/>
        <v>0</v>
      </c>
      <c r="AC154" s="181">
        <f t="shared" si="32"/>
        <v>0</v>
      </c>
      <c r="AD154" s="181">
        <f t="shared" si="33"/>
        <v>55389.25</v>
      </c>
      <c r="AE154" s="131">
        <v>73169.42</v>
      </c>
      <c r="AF154" s="131">
        <f>AE154*'1. UC Assumptions'!$C$23</f>
        <v>24145.908599999995</v>
      </c>
      <c r="AG154" s="183">
        <f>IF((((X154-W154-AE154)*'1. UC Assumptions'!$C$23)+AF154)&gt;0,((X154-W154-AE154)*'1. UC Assumptions'!$C$23)+AF154,0)</f>
        <v>18278.452499999996</v>
      </c>
      <c r="AH154" s="183">
        <f>IF(((X154-W154-AE154)*'1. UC Assumptions'!$C$23)&gt;0,(X154-W154-AE154)*'1. UC Assumptions'!$C$23,0)</f>
        <v>0</v>
      </c>
      <c r="AI154" s="183">
        <f t="shared" si="34"/>
        <v>24145.908599999995</v>
      </c>
      <c r="AJ154" s="183">
        <f>IF(H154="Bexar",(AD154/$AJ$1)*'1. UC Assumptions'!$E$42,0)</f>
        <v>0</v>
      </c>
      <c r="AK154" s="183">
        <f>IF(H154="Dallas",(AD154/$AK$1)*'1. UC Assumptions'!$F$42,0)</f>
        <v>0</v>
      </c>
      <c r="AL154" s="183">
        <f>IF(H154="El Paso",(AD154/$AL$1)*'1. UC Assumptions'!$G$42,0)</f>
        <v>0</v>
      </c>
      <c r="AM154" s="183">
        <f>IF(H154="Harris",(AD154/$AM$1)*'1. UC Assumptions'!$H$42,0)</f>
        <v>0</v>
      </c>
      <c r="AN154" s="183">
        <f>IF(H154="Hidalgo",(AD154/$AN$1)*'1. UC Assumptions'!$I$42,0)</f>
        <v>0</v>
      </c>
      <c r="AO154" s="183">
        <f>IF(H154="Jefferson",(AD154/$AO$1)*'1. UC Assumptions'!$J$42,0)</f>
        <v>0</v>
      </c>
      <c r="AP154" s="183">
        <f>IF(H154="Lubbock",(AD154/$AP$1)*'1. UC Assumptions'!$K$42,0)</f>
        <v>0</v>
      </c>
      <c r="AQ154" s="183">
        <f>IF(H154="MRSA Central",(AD154/$AQ$1)*'1. UC Assumptions'!$L$42,0)</f>
        <v>0</v>
      </c>
      <c r="AR154" s="183">
        <f>IF(H154="MRSA Northeast",(AD154/$AR$1)*'1. UC Assumptions'!$M$42,0)</f>
        <v>0</v>
      </c>
      <c r="AS154" s="183">
        <f>IF(H154="MRSA West",(AD154/$AS$1)*'1. UC Assumptions'!$N$42,0)</f>
        <v>0</v>
      </c>
      <c r="AT154" s="183">
        <f>IF(H154="Nueces",(AD154/$AT$1)*'1. UC Assumptions'!$O$42,0)</f>
        <v>0</v>
      </c>
      <c r="AU154" s="183">
        <f>IF(H154="Tarrant",(AD154/$AU$1)*'1. UC Assumptions'!$P$42,0)</f>
        <v>0</v>
      </c>
      <c r="AV154" s="183">
        <f>IF(H154="Travis",(AD154/$AV$1)*'1. UC Assumptions'!$Q$42,0)</f>
        <v>0</v>
      </c>
      <c r="AW154" s="183">
        <f>IF(H154="Bexar",(AC154/$AW$1)*'1. UC Assumptions'!$E$44,0)</f>
        <v>0</v>
      </c>
      <c r="AX154" s="183">
        <f>IF(H154="Dallas",(AC154/$AX$1)*'1. UC Assumptions'!$F$44,0)</f>
        <v>0</v>
      </c>
      <c r="AY154" s="183">
        <f>IF(H154="El Paso",(AC154/$AY$1)*'1. UC Assumptions'!$G$44,0)</f>
        <v>0</v>
      </c>
      <c r="AZ154" s="183">
        <f>IF(H154="Harris",(AC154/$AZ$1)*'1. UC Assumptions'!$H$44,0)</f>
        <v>0</v>
      </c>
      <c r="BA154" s="183">
        <f>IF(H154="Hidalgo",(AC154/$BA$1)*'1. UC Assumptions'!$I$44,0)</f>
        <v>0</v>
      </c>
      <c r="BB154" s="183">
        <f>IF(H154="Jefferson",(AC154/$BB$1)*'1. UC Assumptions'!$J$44,0)</f>
        <v>0</v>
      </c>
      <c r="BC154" s="183">
        <f>IF(H154="Lubbock",(AC154/$BC$1)*'1. UC Assumptions'!$K$44,0)</f>
        <v>0</v>
      </c>
      <c r="BD154" s="183">
        <f>IF(H154="MRSA Central",(AC154/$BD$1)*'1. UC Assumptions'!$L$44,0)</f>
        <v>0</v>
      </c>
      <c r="BE154" s="183">
        <f>IF(H154="MRSA Northeast",(AC154/$BE$1)*'1. UC Assumptions'!$M$44,0)</f>
        <v>0</v>
      </c>
      <c r="BF154" s="183">
        <f>IF(H154="MRSA West",(AC154/$BF$1)*'1. UC Assumptions'!$N$44,0)</f>
        <v>0</v>
      </c>
      <c r="BG154" s="183">
        <f>IF(H154="Nueces",(AC154/$BG$1)*'1. UC Assumptions'!$O$44,0)</f>
        <v>0</v>
      </c>
      <c r="BH154" s="183">
        <f>IF(H154="Tarrant",(AC154/$BH$1)*'1. UC Assumptions'!$P$44,0)</f>
        <v>0</v>
      </c>
      <c r="BI154" s="183">
        <f>IF(H154="Travis",(AC154/$BI$1)*'1. UC Assumptions'!$Q$44,0)</f>
        <v>0</v>
      </c>
      <c r="BJ154" s="183">
        <f t="shared" si="35"/>
        <v>0</v>
      </c>
      <c r="BK154" s="183">
        <f t="shared" si="36"/>
        <v>0</v>
      </c>
      <c r="BL154" s="183">
        <f t="shared" si="37"/>
        <v>55389.25</v>
      </c>
      <c r="BM154" s="184">
        <f t="shared" si="38"/>
        <v>-17780.169999999998</v>
      </c>
      <c r="BN154" s="184">
        <f>ROUNDDOWN(BM154*'1. UC Assumptions'!$C$23,2)</f>
        <v>-5867.45</v>
      </c>
      <c r="BO154" s="184"/>
      <c r="BP154" s="185"/>
      <c r="BQ154" s="32"/>
      <c r="BR154" s="32"/>
    </row>
    <row r="155" spans="1:70">
      <c r="A155" s="177" t="s">
        <v>1476</v>
      </c>
      <c r="B155" s="178" t="s">
        <v>959</v>
      </c>
      <c r="C155" s="178" t="s">
        <v>959</v>
      </c>
      <c r="D155" s="179" t="s">
        <v>214</v>
      </c>
      <c r="E155" s="179"/>
      <c r="F155" s="177"/>
      <c r="G155" s="177" t="s">
        <v>1477</v>
      </c>
      <c r="H155" s="178" t="s">
        <v>9</v>
      </c>
      <c r="I155" s="178" t="s">
        <v>725</v>
      </c>
      <c r="J155" s="131">
        <f>IFERROR(INDEX(#REF!,(MATCH('Old Calc Tab'!C:C,#REF!,0))),0)</f>
        <v>0</v>
      </c>
      <c r="K155" s="131">
        <f>IFERROR(INDEX(#REF!,(MATCH('Old Calc Tab'!$C:$C,#REF!,0))),0)</f>
        <v>0</v>
      </c>
      <c r="L155" s="131"/>
      <c r="M155" s="131">
        <v>30754757.368525188</v>
      </c>
      <c r="N155" s="131">
        <f>IFERROR(INDEX(#REF!,(MATCH('Old Calc Tab'!$C:$C,#REF!,0))),0)</f>
        <v>0</v>
      </c>
      <c r="O155" s="131">
        <f t="shared" si="26"/>
        <v>0</v>
      </c>
      <c r="P155" s="131">
        <f t="shared" si="27"/>
        <v>30754757.368525188</v>
      </c>
      <c r="Q155" s="131"/>
      <c r="R155" s="131"/>
      <c r="S155" s="131"/>
      <c r="T155" s="131"/>
      <c r="U155" s="131"/>
      <c r="V155" s="131">
        <v>1948805.3285251893</v>
      </c>
      <c r="W155" s="180">
        <v>0</v>
      </c>
      <c r="X155" s="180">
        <f t="shared" si="28"/>
        <v>32703562.697050378</v>
      </c>
      <c r="Y155" s="181">
        <f>IF(D155="Physician Group Practice",(X155/$AE$369)*'1. UC Assumptions'!$C$15,IF(OR(E155="Rural Hospital",E155="Hosp - State"),X155,(X155/$X$369)*'1. UC Assumptions'!$C$9))</f>
        <v>19683065.235115591</v>
      </c>
      <c r="Z155" s="181">
        <f t="shared" si="29"/>
        <v>0</v>
      </c>
      <c r="AA155" s="181">
        <f t="shared" si="30"/>
        <v>13020497.461934786</v>
      </c>
      <c r="AB155" s="182">
        <f t="shared" si="31"/>
        <v>6992.4126497350053</v>
      </c>
      <c r="AC155" s="181">
        <f t="shared" si="32"/>
        <v>13027489.874584522</v>
      </c>
      <c r="AD155" s="181">
        <f t="shared" si="33"/>
        <v>19690057.647765327</v>
      </c>
      <c r="AE155" s="131">
        <v>8479858.9700000007</v>
      </c>
      <c r="AF155" s="131">
        <f>AE155*'1. UC Assumptions'!$C$23</f>
        <v>2798353.4600999998</v>
      </c>
      <c r="AG155" s="183">
        <f>IF((((X155-W155-AE155)*'1. UC Assumptions'!$C$23)+AF155)&gt;0,((X155-W155-AE155)*'1. UC Assumptions'!$C$23)+AF155,0)</f>
        <v>10792175.690026624</v>
      </c>
      <c r="AH155" s="183">
        <f>IF(((X155-W155-AE155)*'1. UC Assumptions'!$C$23)&gt;0,(X155-W155-AE155)*'1. UC Assumptions'!$C$23,0)</f>
        <v>7993822.2299266243</v>
      </c>
      <c r="AI155" s="183">
        <f t="shared" si="34"/>
        <v>10792175.690026624</v>
      </c>
      <c r="AJ155" s="183">
        <f>IF(H155="Bexar",(AD155/$AJ$1)*'1. UC Assumptions'!$E$42,0)</f>
        <v>0</v>
      </c>
      <c r="AK155" s="183">
        <f>IF(H155="Dallas",(AD155/$AK$1)*'1. UC Assumptions'!$F$42,0)</f>
        <v>0</v>
      </c>
      <c r="AL155" s="183">
        <f>IF(H155="El Paso",(AD155/$AL$1)*'1. UC Assumptions'!$G$42,0)</f>
        <v>0</v>
      </c>
      <c r="AM155" s="183">
        <f>IF(H155="Harris",(AD155/$AM$1)*'1. UC Assumptions'!$H$42,0)</f>
        <v>0</v>
      </c>
      <c r="AN155" s="183">
        <f>IF(H155="Hidalgo",(AD155/$AN$1)*'1. UC Assumptions'!$I$42,0)</f>
        <v>0</v>
      </c>
      <c r="AO155" s="183">
        <f>IF(H155="Jefferson",(AD155/$AO$1)*'1. UC Assumptions'!$J$42,0)</f>
        <v>0</v>
      </c>
      <c r="AP155" s="183">
        <f>IF(H155="Lubbock",(AD155/$AP$1)*'1. UC Assumptions'!$K$42,0)</f>
        <v>0</v>
      </c>
      <c r="AQ155" s="183">
        <f>IF(H155="MRSA Central",(AD155/$AQ$1)*'1. UC Assumptions'!$L$42,0)</f>
        <v>0</v>
      </c>
      <c r="AR155" s="183">
        <f>IF(H155="MRSA Northeast",(AD155/$AR$1)*'1. UC Assumptions'!$M$42,0)</f>
        <v>0</v>
      </c>
      <c r="AS155" s="183">
        <f>IF(H155="MRSA West",(AD155/$AS$1)*'1. UC Assumptions'!$N$42,0)</f>
        <v>0</v>
      </c>
      <c r="AT155" s="183">
        <f>IF(H155="Nueces",(AD155/$AT$1)*'1. UC Assumptions'!$O$42,0)</f>
        <v>0</v>
      </c>
      <c r="AU155" s="183">
        <f>IF(H155="Tarrant",(AD155/$AU$1)*'1. UC Assumptions'!$P$42,0)</f>
        <v>0</v>
      </c>
      <c r="AV155" s="183">
        <f>IF(H155="Travis",(AD155/$AV$1)*'1. UC Assumptions'!$Q$42,0)</f>
        <v>0</v>
      </c>
      <c r="AW155" s="183">
        <f>IF(H155="Bexar",(AC155/$AW$1)*'1. UC Assumptions'!$E$44,0)</f>
        <v>0</v>
      </c>
      <c r="AX155" s="183">
        <f>IF(H155="Dallas",(AC155/$AX$1)*'1. UC Assumptions'!$F$44,0)</f>
        <v>0</v>
      </c>
      <c r="AY155" s="183">
        <f>IF(H155="El Paso",(AC155/$AY$1)*'1. UC Assumptions'!$G$44,0)</f>
        <v>0</v>
      </c>
      <c r="AZ155" s="183">
        <f>IF(H155="Harris",(AC155/$AZ$1)*'1. UC Assumptions'!$H$44,0)</f>
        <v>0</v>
      </c>
      <c r="BA155" s="183">
        <f>IF(H155="Hidalgo",(AC155/$BA$1)*'1. UC Assumptions'!$I$44,0)</f>
        <v>0</v>
      </c>
      <c r="BB155" s="183">
        <f>IF(H155="Jefferson",(AC155/$BB$1)*'1. UC Assumptions'!$J$44,0)</f>
        <v>0</v>
      </c>
      <c r="BC155" s="183">
        <f>IF(H155="Lubbock",(AC155/$BC$1)*'1. UC Assumptions'!$K$44,0)</f>
        <v>0</v>
      </c>
      <c r="BD155" s="183">
        <f>IF(H155="MRSA Central",(AC155/$BD$1)*'1. UC Assumptions'!$L$44,0)</f>
        <v>0</v>
      </c>
      <c r="BE155" s="183">
        <f>IF(H155="MRSA Northeast",(AC155/$BE$1)*'1. UC Assumptions'!$M$44,0)</f>
        <v>0</v>
      </c>
      <c r="BF155" s="183">
        <f>IF(H155="MRSA West",(AC155/$BF$1)*'1. UC Assumptions'!$N$44,0)</f>
        <v>0</v>
      </c>
      <c r="BG155" s="183">
        <f>IF(H155="Nueces",(AC155/$BG$1)*'1. UC Assumptions'!$O$44,0)</f>
        <v>0</v>
      </c>
      <c r="BH155" s="183">
        <f>IF(H155="Tarrant",(AC155/$BH$1)*'1. UC Assumptions'!$P$44,0)</f>
        <v>0</v>
      </c>
      <c r="BI155" s="183">
        <f>IF(H155="Travis",(AC155/$BI$1)*'1. UC Assumptions'!$Q$44,0)</f>
        <v>0</v>
      </c>
      <c r="BJ155" s="183">
        <f t="shared" si="35"/>
        <v>0</v>
      </c>
      <c r="BK155" s="183">
        <f t="shared" si="36"/>
        <v>0</v>
      </c>
      <c r="BL155" s="183">
        <f t="shared" si="37"/>
        <v>19690057.647765327</v>
      </c>
      <c r="BM155" s="184">
        <f t="shared" si="38"/>
        <v>11210198.677765327</v>
      </c>
      <c r="BN155" s="184">
        <f>ROUNDDOWN(BM155*'1. UC Assumptions'!$C$23,2)</f>
        <v>3699365.56</v>
      </c>
      <c r="BO155" s="184"/>
      <c r="BP155" s="185"/>
      <c r="BQ155" s="32"/>
      <c r="BR155" s="32"/>
    </row>
    <row r="156" spans="1:70">
      <c r="A156" s="177" t="s">
        <v>1478</v>
      </c>
      <c r="B156" s="178" t="s">
        <v>1479</v>
      </c>
      <c r="C156" s="178" t="s">
        <v>1479</v>
      </c>
      <c r="D156" s="179" t="s">
        <v>214</v>
      </c>
      <c r="E156" s="179"/>
      <c r="F156" s="177"/>
      <c r="G156" s="177" t="s">
        <v>1480</v>
      </c>
      <c r="H156" s="178" t="s">
        <v>10</v>
      </c>
      <c r="I156" s="178" t="s">
        <v>553</v>
      </c>
      <c r="J156" s="131">
        <f>IFERROR(INDEX(#REF!,(MATCH('Old Calc Tab'!C:C,#REF!,0))),0)</f>
        <v>0</v>
      </c>
      <c r="K156" s="131">
        <f>IFERROR(INDEX(#REF!,(MATCH('Old Calc Tab'!$C:$C,#REF!,0))),0)</f>
        <v>0</v>
      </c>
      <c r="L156" s="131"/>
      <c r="M156" s="131">
        <v>386336.83999999997</v>
      </c>
      <c r="N156" s="131">
        <f>IFERROR(INDEX(#REF!,(MATCH('Old Calc Tab'!$C:$C,#REF!,0))),0)</f>
        <v>0</v>
      </c>
      <c r="O156" s="131">
        <f t="shared" si="26"/>
        <v>0</v>
      </c>
      <c r="P156" s="131">
        <f t="shared" si="27"/>
        <v>386336.83999999997</v>
      </c>
      <c r="Q156" s="131"/>
      <c r="R156" s="131"/>
      <c r="S156" s="131"/>
      <c r="T156" s="131"/>
      <c r="U156" s="131"/>
      <c r="V156" s="131">
        <v>253870</v>
      </c>
      <c r="W156" s="180">
        <v>0</v>
      </c>
      <c r="X156" s="180">
        <f t="shared" si="28"/>
        <v>640206.84</v>
      </c>
      <c r="Y156" s="181">
        <f>IF(D156="Physician Group Practice",(X156/$AE$369)*'1. UC Assumptions'!$C$15,IF(OR(E156="Rural Hospital",E156="Hosp - State"),X156,(X156/$X$369)*'1. UC Assumptions'!$C$9))</f>
        <v>385316.82656164397</v>
      </c>
      <c r="Z156" s="181">
        <f t="shared" si="29"/>
        <v>0</v>
      </c>
      <c r="AA156" s="181">
        <f t="shared" si="30"/>
        <v>254890.01343835599</v>
      </c>
      <c r="AB156" s="182">
        <f t="shared" si="31"/>
        <v>136.88387555606073</v>
      </c>
      <c r="AC156" s="181">
        <f t="shared" si="32"/>
        <v>255026.89731391205</v>
      </c>
      <c r="AD156" s="181">
        <f t="shared" si="33"/>
        <v>385453.71043720003</v>
      </c>
      <c r="AE156" s="131">
        <v>3431045.1200000001</v>
      </c>
      <c r="AF156" s="131">
        <f>AE156*'1. UC Assumptions'!$C$23</f>
        <v>1132244.8895999999</v>
      </c>
      <c r="AG156" s="183">
        <f>IF((((X156-W156-AE156)*'1. UC Assumptions'!$C$23)+AF156)&gt;0,((X156-W156-AE156)*'1. UC Assumptions'!$C$23)+AF156,0)</f>
        <v>211268.25719999988</v>
      </c>
      <c r="AH156" s="183">
        <f>IF(((X156-W156-AE156)*'1. UC Assumptions'!$C$23)&gt;0,(X156-W156-AE156)*'1. UC Assumptions'!$C$23,0)</f>
        <v>0</v>
      </c>
      <c r="AI156" s="183">
        <f t="shared" si="34"/>
        <v>1132244.8895999999</v>
      </c>
      <c r="AJ156" s="183">
        <f>IF(H156="Bexar",(AD156/$AJ$1)*'1. UC Assumptions'!$E$42,0)</f>
        <v>0</v>
      </c>
      <c r="AK156" s="183">
        <f>IF(H156="Dallas",(AD156/$AK$1)*'1. UC Assumptions'!$F$42,0)</f>
        <v>0</v>
      </c>
      <c r="AL156" s="183">
        <f>IF(H156="El Paso",(AD156/$AL$1)*'1. UC Assumptions'!$G$42,0)</f>
        <v>0</v>
      </c>
      <c r="AM156" s="183">
        <f>IF(H156="Harris",(AD156/$AM$1)*'1. UC Assumptions'!$H$42,0)</f>
        <v>0</v>
      </c>
      <c r="AN156" s="183">
        <f>IF(H156="Hidalgo",(AD156/$AN$1)*'1. UC Assumptions'!$I$42,0)</f>
        <v>0</v>
      </c>
      <c r="AO156" s="183">
        <f>IF(H156="Jefferson",(AD156/$AO$1)*'1. UC Assumptions'!$J$42,0)</f>
        <v>0</v>
      </c>
      <c r="AP156" s="183">
        <f>IF(H156="Lubbock",(AD156/$AP$1)*'1. UC Assumptions'!$K$42,0)</f>
        <v>0</v>
      </c>
      <c r="AQ156" s="183">
        <f>IF(H156="MRSA Central",(AD156/$AQ$1)*'1. UC Assumptions'!$L$42,0)</f>
        <v>0</v>
      </c>
      <c r="AR156" s="183">
        <f>IF(H156="MRSA Northeast",(AD156/$AR$1)*'1. UC Assumptions'!$M$42,0)</f>
        <v>0</v>
      </c>
      <c r="AS156" s="183">
        <f>IF(H156="MRSA West",(AD156/$AS$1)*'1. UC Assumptions'!$N$42,0)</f>
        <v>0</v>
      </c>
      <c r="AT156" s="183">
        <f>IF(H156="Nueces",(AD156/$AT$1)*'1. UC Assumptions'!$O$42,0)</f>
        <v>0</v>
      </c>
      <c r="AU156" s="183">
        <f>IF(H156="Tarrant",(AD156/$AU$1)*'1. UC Assumptions'!$P$42,0)</f>
        <v>0</v>
      </c>
      <c r="AV156" s="183">
        <f>IF(H156="Travis",(AD156/$AV$1)*'1. UC Assumptions'!$Q$42,0)</f>
        <v>0</v>
      </c>
      <c r="AW156" s="183">
        <f>IF(H156="Bexar",(AC156/$AW$1)*'1. UC Assumptions'!$E$44,0)</f>
        <v>0</v>
      </c>
      <c r="AX156" s="183">
        <f>IF(H156="Dallas",(AC156/$AX$1)*'1. UC Assumptions'!$F$44,0)</f>
        <v>0</v>
      </c>
      <c r="AY156" s="183">
        <f>IF(H156="El Paso",(AC156/$AY$1)*'1. UC Assumptions'!$G$44,0)</f>
        <v>0</v>
      </c>
      <c r="AZ156" s="183">
        <f>IF(H156="Harris",(AC156/$AZ$1)*'1. UC Assumptions'!$H$44,0)</f>
        <v>0</v>
      </c>
      <c r="BA156" s="183">
        <f>IF(H156="Hidalgo",(AC156/$BA$1)*'1. UC Assumptions'!$I$44,0)</f>
        <v>0</v>
      </c>
      <c r="BB156" s="183">
        <f>IF(H156="Jefferson",(AC156/$BB$1)*'1. UC Assumptions'!$J$44,0)</f>
        <v>0</v>
      </c>
      <c r="BC156" s="183">
        <f>IF(H156="Lubbock",(AC156/$BC$1)*'1. UC Assumptions'!$K$44,0)</f>
        <v>0</v>
      </c>
      <c r="BD156" s="183">
        <f>IF(H156="MRSA Central",(AC156/$BD$1)*'1. UC Assumptions'!$L$44,0)</f>
        <v>0</v>
      </c>
      <c r="BE156" s="183">
        <f>IF(H156="MRSA Northeast",(AC156/$BE$1)*'1. UC Assumptions'!$M$44,0)</f>
        <v>0</v>
      </c>
      <c r="BF156" s="183">
        <f>IF(H156="MRSA West",(AC156/$BF$1)*'1. UC Assumptions'!$N$44,0)</f>
        <v>0</v>
      </c>
      <c r="BG156" s="183">
        <f>IF(H156="Nueces",(AC156/$BG$1)*'1. UC Assumptions'!$O$44,0)</f>
        <v>0</v>
      </c>
      <c r="BH156" s="183">
        <f>IF(H156="Tarrant",(AC156/$BH$1)*'1. UC Assumptions'!$P$44,0)</f>
        <v>0</v>
      </c>
      <c r="BI156" s="183">
        <f>IF(H156="Travis",(AC156/$BI$1)*'1. UC Assumptions'!$Q$44,0)</f>
        <v>0</v>
      </c>
      <c r="BJ156" s="183">
        <f t="shared" si="35"/>
        <v>0</v>
      </c>
      <c r="BK156" s="183">
        <f t="shared" si="36"/>
        <v>0</v>
      </c>
      <c r="BL156" s="183">
        <f t="shared" si="37"/>
        <v>385453.71043720003</v>
      </c>
      <c r="BM156" s="184">
        <f t="shared" si="38"/>
        <v>-3045591.4095628001</v>
      </c>
      <c r="BN156" s="184">
        <f>ROUNDDOWN(BM156*'1. UC Assumptions'!$C$23,2)</f>
        <v>-1005045.16</v>
      </c>
      <c r="BO156" s="184"/>
      <c r="BP156" s="185"/>
      <c r="BQ156" s="32"/>
      <c r="BR156" s="32"/>
    </row>
    <row r="157" spans="1:70">
      <c r="A157" s="177" t="s">
        <v>1481</v>
      </c>
      <c r="B157" s="177" t="s">
        <v>267</v>
      </c>
      <c r="C157" s="178" t="s">
        <v>267</v>
      </c>
      <c r="D157" s="179" t="s">
        <v>214</v>
      </c>
      <c r="E157" s="179" t="s">
        <v>149</v>
      </c>
      <c r="F157" s="177"/>
      <c r="G157" s="177" t="s">
        <v>1482</v>
      </c>
      <c r="H157" s="178" t="s">
        <v>10</v>
      </c>
      <c r="I157" s="178" t="s">
        <v>269</v>
      </c>
      <c r="J157" s="131">
        <f>IFERROR(INDEX(#REF!,(MATCH('Old Calc Tab'!C:C,#REF!,0))),0)</f>
        <v>0</v>
      </c>
      <c r="K157" s="131">
        <f>IFERROR(INDEX(#REF!,(MATCH('Old Calc Tab'!$C:$C,#REF!,0))),0)</f>
        <v>0</v>
      </c>
      <c r="L157" s="131"/>
      <c r="M157" s="131">
        <v>161322.45000000001</v>
      </c>
      <c r="N157" s="131">
        <f>IFERROR(INDEX(#REF!,(MATCH('Old Calc Tab'!$C:$C,#REF!,0))),0)</f>
        <v>0</v>
      </c>
      <c r="O157" s="131">
        <f t="shared" si="26"/>
        <v>0</v>
      </c>
      <c r="P157" s="131">
        <f t="shared" si="27"/>
        <v>161322.45000000001</v>
      </c>
      <c r="Q157" s="131"/>
      <c r="R157" s="131"/>
      <c r="S157" s="131"/>
      <c r="T157" s="131"/>
      <c r="U157" s="131"/>
      <c r="V157" s="131">
        <v>0</v>
      </c>
      <c r="W157" s="180">
        <v>0</v>
      </c>
      <c r="X157" s="180">
        <f t="shared" si="28"/>
        <v>161322.45000000001</v>
      </c>
      <c r="Y157" s="181">
        <f>IF(D157="Physician Group Practice",(X157/$AE$369)*'1. UC Assumptions'!$C$15,IF(OR(E157="Rural Hospital",E157="Hosp - State"),X157,(X157/$X$369)*'1. UC Assumptions'!$C$9))</f>
        <v>161322.45000000001</v>
      </c>
      <c r="Z157" s="181">
        <f t="shared" si="29"/>
        <v>0</v>
      </c>
      <c r="AA157" s="181">
        <f t="shared" si="30"/>
        <v>0</v>
      </c>
      <c r="AB157" s="182">
        <f t="shared" si="31"/>
        <v>0</v>
      </c>
      <c r="AC157" s="181">
        <f t="shared" si="32"/>
        <v>0</v>
      </c>
      <c r="AD157" s="181">
        <f t="shared" si="33"/>
        <v>161322.45000000001</v>
      </c>
      <c r="AE157" s="131">
        <v>383755.48</v>
      </c>
      <c r="AF157" s="131">
        <f>AE157*'1. UC Assumptions'!$C$23</f>
        <v>126639.30839999998</v>
      </c>
      <c r="AG157" s="183">
        <f>IF((((X157-W157-AE157)*'1. UC Assumptions'!$C$23)+AF157)&gt;0,((X157-W157-AE157)*'1. UC Assumptions'!$C$23)+AF157,0)</f>
        <v>53236.408500000005</v>
      </c>
      <c r="AH157" s="183">
        <f>IF(((X157-W157-AE157)*'1. UC Assumptions'!$C$23)&gt;0,(X157-W157-AE157)*'1. UC Assumptions'!$C$23,0)</f>
        <v>0</v>
      </c>
      <c r="AI157" s="183">
        <f t="shared" si="34"/>
        <v>126639.30839999998</v>
      </c>
      <c r="AJ157" s="183">
        <f>IF(H157="Bexar",(AD157/$AJ$1)*'1. UC Assumptions'!$E$42,0)</f>
        <v>0</v>
      </c>
      <c r="AK157" s="183">
        <f>IF(H157="Dallas",(AD157/$AK$1)*'1. UC Assumptions'!$F$42,0)</f>
        <v>0</v>
      </c>
      <c r="AL157" s="183">
        <f>IF(H157="El Paso",(AD157/$AL$1)*'1. UC Assumptions'!$G$42,0)</f>
        <v>0</v>
      </c>
      <c r="AM157" s="183">
        <f>IF(H157="Harris",(AD157/$AM$1)*'1. UC Assumptions'!$H$42,0)</f>
        <v>0</v>
      </c>
      <c r="AN157" s="183">
        <f>IF(H157="Hidalgo",(AD157/$AN$1)*'1. UC Assumptions'!$I$42,0)</f>
        <v>0</v>
      </c>
      <c r="AO157" s="183">
        <f>IF(H157="Jefferson",(AD157/$AO$1)*'1. UC Assumptions'!$J$42,0)</f>
        <v>0</v>
      </c>
      <c r="AP157" s="183">
        <f>IF(H157="Lubbock",(AD157/$AP$1)*'1. UC Assumptions'!$K$42,0)</f>
        <v>0</v>
      </c>
      <c r="AQ157" s="183">
        <f>IF(H157="MRSA Central",(AD157/$AQ$1)*'1. UC Assumptions'!$L$42,0)</f>
        <v>0</v>
      </c>
      <c r="AR157" s="183">
        <f>IF(H157="MRSA Northeast",(AD157/$AR$1)*'1. UC Assumptions'!$M$42,0)</f>
        <v>0</v>
      </c>
      <c r="AS157" s="183">
        <f>IF(H157="MRSA West",(AD157/$AS$1)*'1. UC Assumptions'!$N$42,0)</f>
        <v>0</v>
      </c>
      <c r="AT157" s="183">
        <f>IF(H157="Nueces",(AD157/$AT$1)*'1. UC Assumptions'!$O$42,0)</f>
        <v>0</v>
      </c>
      <c r="AU157" s="183">
        <f>IF(H157="Tarrant",(AD157/$AU$1)*'1. UC Assumptions'!$P$42,0)</f>
        <v>0</v>
      </c>
      <c r="AV157" s="183">
        <f>IF(H157="Travis",(AD157/$AV$1)*'1. UC Assumptions'!$Q$42,0)</f>
        <v>0</v>
      </c>
      <c r="AW157" s="183">
        <f>IF(H157="Bexar",(AC157/$AW$1)*'1. UC Assumptions'!$E$44,0)</f>
        <v>0</v>
      </c>
      <c r="AX157" s="183">
        <f>IF(H157="Dallas",(AC157/$AX$1)*'1. UC Assumptions'!$F$44,0)</f>
        <v>0</v>
      </c>
      <c r="AY157" s="183">
        <f>IF(H157="El Paso",(AC157/$AY$1)*'1. UC Assumptions'!$G$44,0)</f>
        <v>0</v>
      </c>
      <c r="AZ157" s="183">
        <f>IF(H157="Harris",(AC157/$AZ$1)*'1. UC Assumptions'!$H$44,0)</f>
        <v>0</v>
      </c>
      <c r="BA157" s="183">
        <f>IF(H157="Hidalgo",(AC157/$BA$1)*'1. UC Assumptions'!$I$44,0)</f>
        <v>0</v>
      </c>
      <c r="BB157" s="183">
        <f>IF(H157="Jefferson",(AC157/$BB$1)*'1. UC Assumptions'!$J$44,0)</f>
        <v>0</v>
      </c>
      <c r="BC157" s="183">
        <f>IF(H157="Lubbock",(AC157/$BC$1)*'1. UC Assumptions'!$K$44,0)</f>
        <v>0</v>
      </c>
      <c r="BD157" s="183">
        <f>IF(H157="MRSA Central",(AC157/$BD$1)*'1. UC Assumptions'!$L$44,0)</f>
        <v>0</v>
      </c>
      <c r="BE157" s="183">
        <f>IF(H157="MRSA Northeast",(AC157/$BE$1)*'1. UC Assumptions'!$M$44,0)</f>
        <v>0</v>
      </c>
      <c r="BF157" s="183">
        <f>IF(H157="MRSA West",(AC157/$BF$1)*'1. UC Assumptions'!$N$44,0)</f>
        <v>0</v>
      </c>
      <c r="BG157" s="183">
        <f>IF(H157="Nueces",(AC157/$BG$1)*'1. UC Assumptions'!$O$44,0)</f>
        <v>0</v>
      </c>
      <c r="BH157" s="183">
        <f>IF(H157="Tarrant",(AC157/$BH$1)*'1. UC Assumptions'!$P$44,0)</f>
        <v>0</v>
      </c>
      <c r="BI157" s="183">
        <f>IF(H157="Travis",(AC157/$BI$1)*'1. UC Assumptions'!$Q$44,0)</f>
        <v>0</v>
      </c>
      <c r="BJ157" s="183">
        <f t="shared" si="35"/>
        <v>0</v>
      </c>
      <c r="BK157" s="183">
        <f t="shared" si="36"/>
        <v>0</v>
      </c>
      <c r="BL157" s="183">
        <f t="shared" si="37"/>
        <v>161322.45000000001</v>
      </c>
      <c r="BM157" s="184">
        <f t="shared" si="38"/>
        <v>-222433.02999999997</v>
      </c>
      <c r="BN157" s="184">
        <f>ROUNDDOWN(BM157*'1. UC Assumptions'!$C$23,2)</f>
        <v>-73402.89</v>
      </c>
      <c r="BO157" s="184"/>
      <c r="BP157" s="185"/>
      <c r="BQ157" s="32"/>
      <c r="BR157" s="32"/>
    </row>
    <row r="158" spans="1:70">
      <c r="A158" s="177" t="s">
        <v>1483</v>
      </c>
      <c r="B158" s="177" t="s">
        <v>325</v>
      </c>
      <c r="C158" s="178" t="s">
        <v>325</v>
      </c>
      <c r="D158" s="179" t="s">
        <v>214</v>
      </c>
      <c r="E158" s="179"/>
      <c r="F158" s="177"/>
      <c r="G158" s="177" t="s">
        <v>1484</v>
      </c>
      <c r="H158" s="178" t="s">
        <v>10</v>
      </c>
      <c r="I158" s="178" t="s">
        <v>327</v>
      </c>
      <c r="J158" s="131">
        <f>IFERROR(INDEX(#REF!,(MATCH('Old Calc Tab'!C:C,#REF!,0))),0)</f>
        <v>0</v>
      </c>
      <c r="K158" s="131">
        <f>IFERROR(INDEX(#REF!,(MATCH('Old Calc Tab'!$C:$C,#REF!,0))),0)</f>
        <v>0</v>
      </c>
      <c r="L158" s="131"/>
      <c r="M158" s="131">
        <v>8544152.1043999996</v>
      </c>
      <c r="N158" s="131">
        <f>IFERROR(INDEX(#REF!,(MATCH('Old Calc Tab'!$C:$C,#REF!,0))),0)</f>
        <v>0</v>
      </c>
      <c r="O158" s="131">
        <f t="shared" si="26"/>
        <v>0</v>
      </c>
      <c r="P158" s="131">
        <f t="shared" si="27"/>
        <v>8544152.1043999996</v>
      </c>
      <c r="Q158" s="131"/>
      <c r="R158" s="131"/>
      <c r="S158" s="131"/>
      <c r="T158" s="131"/>
      <c r="U158" s="131"/>
      <c r="V158" s="131">
        <v>254259</v>
      </c>
      <c r="W158" s="180">
        <v>0</v>
      </c>
      <c r="X158" s="180">
        <f t="shared" si="28"/>
        <v>8798411.1043999996</v>
      </c>
      <c r="Y158" s="181">
        <f>IF(D158="Physician Group Practice",(X158/$AE$369)*'1. UC Assumptions'!$C$15,IF(OR(E158="Rural Hospital",E158="Hosp - State"),X158,(X158/$X$369)*'1. UC Assumptions'!$C$9))</f>
        <v>5295438.3391657257</v>
      </c>
      <c r="Z158" s="181">
        <f t="shared" si="29"/>
        <v>0</v>
      </c>
      <c r="AA158" s="181">
        <f t="shared" si="30"/>
        <v>3502972.7652342739</v>
      </c>
      <c r="AB158" s="182">
        <f t="shared" si="31"/>
        <v>1881.2054721342129</v>
      </c>
      <c r="AC158" s="181">
        <f t="shared" si="32"/>
        <v>3504853.9707064079</v>
      </c>
      <c r="AD158" s="181">
        <f t="shared" si="33"/>
        <v>5297319.5446378598</v>
      </c>
      <c r="AE158" s="131">
        <v>3139339.36</v>
      </c>
      <c r="AF158" s="131">
        <f>AE158*'1. UC Assumptions'!$C$23</f>
        <v>1035981.9887999998</v>
      </c>
      <c r="AG158" s="183">
        <f>IF((((X158-W158-AE158)*'1. UC Assumptions'!$C$23)+AF158)&gt;0,((X158-W158-AE158)*'1. UC Assumptions'!$C$23)+AF158,0)</f>
        <v>2903475.6644519996</v>
      </c>
      <c r="AH158" s="183">
        <f>IF(((X158-W158-AE158)*'1. UC Assumptions'!$C$23)&gt;0,(X158-W158-AE158)*'1. UC Assumptions'!$C$23,0)</f>
        <v>1867493.6756519999</v>
      </c>
      <c r="AI158" s="183">
        <f t="shared" si="34"/>
        <v>2903475.6644519996</v>
      </c>
      <c r="AJ158" s="183">
        <f>IF(H158="Bexar",(AD158/$AJ$1)*'1. UC Assumptions'!$E$42,0)</f>
        <v>0</v>
      </c>
      <c r="AK158" s="183">
        <f>IF(H158="Dallas",(AD158/$AK$1)*'1. UC Assumptions'!$F$42,0)</f>
        <v>0</v>
      </c>
      <c r="AL158" s="183">
        <f>IF(H158="El Paso",(AD158/$AL$1)*'1. UC Assumptions'!$G$42,0)</f>
        <v>0</v>
      </c>
      <c r="AM158" s="183">
        <f>IF(H158="Harris",(AD158/$AM$1)*'1. UC Assumptions'!$H$42,0)</f>
        <v>0</v>
      </c>
      <c r="AN158" s="183">
        <f>IF(H158="Hidalgo",(AD158/$AN$1)*'1. UC Assumptions'!$I$42,0)</f>
        <v>0</v>
      </c>
      <c r="AO158" s="183">
        <f>IF(H158="Jefferson",(AD158/$AO$1)*'1. UC Assumptions'!$J$42,0)</f>
        <v>0</v>
      </c>
      <c r="AP158" s="183">
        <f>IF(H158="Lubbock",(AD158/$AP$1)*'1. UC Assumptions'!$K$42,0)</f>
        <v>0</v>
      </c>
      <c r="AQ158" s="183">
        <f>IF(H158="MRSA Central",(AD158/$AQ$1)*'1. UC Assumptions'!$L$42,0)</f>
        <v>0</v>
      </c>
      <c r="AR158" s="183">
        <f>IF(H158="MRSA Northeast",(AD158/$AR$1)*'1. UC Assumptions'!$M$42,0)</f>
        <v>0</v>
      </c>
      <c r="AS158" s="183">
        <f>IF(H158="MRSA West",(AD158/$AS$1)*'1. UC Assumptions'!$N$42,0)</f>
        <v>0</v>
      </c>
      <c r="AT158" s="183">
        <f>IF(H158="Nueces",(AD158/$AT$1)*'1. UC Assumptions'!$O$42,0)</f>
        <v>0</v>
      </c>
      <c r="AU158" s="183">
        <f>IF(H158="Tarrant",(AD158/$AU$1)*'1. UC Assumptions'!$P$42,0)</f>
        <v>0</v>
      </c>
      <c r="AV158" s="183">
        <f>IF(H158="Travis",(AD158/$AV$1)*'1. UC Assumptions'!$Q$42,0)</f>
        <v>0</v>
      </c>
      <c r="AW158" s="183">
        <f>IF(H158="Bexar",(AC158/$AW$1)*'1. UC Assumptions'!$E$44,0)</f>
        <v>0</v>
      </c>
      <c r="AX158" s="183">
        <f>IF(H158="Dallas",(AC158/$AX$1)*'1. UC Assumptions'!$F$44,0)</f>
        <v>0</v>
      </c>
      <c r="AY158" s="183">
        <f>IF(H158="El Paso",(AC158/$AY$1)*'1. UC Assumptions'!$G$44,0)</f>
        <v>0</v>
      </c>
      <c r="AZ158" s="183">
        <f>IF(H158="Harris",(AC158/$AZ$1)*'1. UC Assumptions'!$H$44,0)</f>
        <v>0</v>
      </c>
      <c r="BA158" s="183">
        <f>IF(H158="Hidalgo",(AC158/$BA$1)*'1. UC Assumptions'!$I$44,0)</f>
        <v>0</v>
      </c>
      <c r="BB158" s="183">
        <f>IF(H158="Jefferson",(AC158/$BB$1)*'1. UC Assumptions'!$J$44,0)</f>
        <v>0</v>
      </c>
      <c r="BC158" s="183">
        <f>IF(H158="Lubbock",(AC158/$BC$1)*'1. UC Assumptions'!$K$44,0)</f>
        <v>0</v>
      </c>
      <c r="BD158" s="183">
        <f>IF(H158="MRSA Central",(AC158/$BD$1)*'1. UC Assumptions'!$L$44,0)</f>
        <v>0</v>
      </c>
      <c r="BE158" s="183">
        <f>IF(H158="MRSA Northeast",(AC158/$BE$1)*'1. UC Assumptions'!$M$44,0)</f>
        <v>0</v>
      </c>
      <c r="BF158" s="183">
        <f>IF(H158="MRSA West",(AC158/$BF$1)*'1. UC Assumptions'!$N$44,0)</f>
        <v>0</v>
      </c>
      <c r="BG158" s="183">
        <f>IF(H158="Nueces",(AC158/$BG$1)*'1. UC Assumptions'!$O$44,0)</f>
        <v>0</v>
      </c>
      <c r="BH158" s="183">
        <f>IF(H158="Tarrant",(AC158/$BH$1)*'1. UC Assumptions'!$P$44,0)</f>
        <v>0</v>
      </c>
      <c r="BI158" s="183">
        <f>IF(H158="Travis",(AC158/$BI$1)*'1. UC Assumptions'!$Q$44,0)</f>
        <v>0</v>
      </c>
      <c r="BJ158" s="183">
        <f t="shared" si="35"/>
        <v>0</v>
      </c>
      <c r="BK158" s="183">
        <f t="shared" si="36"/>
        <v>0</v>
      </c>
      <c r="BL158" s="183">
        <f t="shared" si="37"/>
        <v>5297319.5446378598</v>
      </c>
      <c r="BM158" s="184">
        <f t="shared" si="38"/>
        <v>2157980.1846378599</v>
      </c>
      <c r="BN158" s="184">
        <f>ROUNDDOWN(BM158*'1. UC Assumptions'!$C$23,2)</f>
        <v>712133.46</v>
      </c>
      <c r="BO158" s="184"/>
      <c r="BP158" s="185"/>
      <c r="BQ158" s="32"/>
      <c r="BR158" s="32"/>
    </row>
    <row r="159" spans="1:70">
      <c r="A159" s="177" t="s">
        <v>1485</v>
      </c>
      <c r="B159" s="177" t="s">
        <v>108</v>
      </c>
      <c r="C159" s="178" t="s">
        <v>108</v>
      </c>
      <c r="D159" s="179" t="s">
        <v>281</v>
      </c>
      <c r="E159" s="179"/>
      <c r="F159" s="177" t="s">
        <v>282</v>
      </c>
      <c r="G159" s="177" t="s">
        <v>1486</v>
      </c>
      <c r="H159" s="178" t="s">
        <v>10</v>
      </c>
      <c r="I159" s="178" t="s">
        <v>1487</v>
      </c>
      <c r="J159" s="131">
        <f>IFERROR(INDEX(#REF!,(MATCH('Old Calc Tab'!C:C,#REF!,0))),0)</f>
        <v>0</v>
      </c>
      <c r="K159" s="131">
        <f>IFERROR(INDEX(#REF!,(MATCH('Old Calc Tab'!$C:$C,#REF!,0))),0)</f>
        <v>0</v>
      </c>
      <c r="L159" s="131"/>
      <c r="M159" s="131">
        <v>6651433</v>
      </c>
      <c r="N159" s="131">
        <f>IFERROR(INDEX(#REF!,(MATCH('Old Calc Tab'!$C:$C,#REF!,0))),0)</f>
        <v>0</v>
      </c>
      <c r="O159" s="131">
        <f t="shared" si="26"/>
        <v>0</v>
      </c>
      <c r="P159" s="131">
        <f t="shared" si="27"/>
        <v>6651433</v>
      </c>
      <c r="Q159" s="131"/>
      <c r="R159" s="131"/>
      <c r="S159" s="131"/>
      <c r="T159" s="131"/>
      <c r="U159" s="131"/>
      <c r="V159" s="131">
        <v>240780</v>
      </c>
      <c r="W159" s="180">
        <v>0</v>
      </c>
      <c r="X159" s="180">
        <f t="shared" si="28"/>
        <v>6892213</v>
      </c>
      <c r="Y159" s="181">
        <f>IF(D159="Physician Group Practice",(X159/$AE$369)*'1. UC Assumptions'!$C$15,IF(OR(E159="Rural Hospital",E159="Hosp - State"),X159,(X159/$X$369)*'1. UC Assumptions'!$C$9))</f>
        <v>4148168.1781889549</v>
      </c>
      <c r="Z159" s="181">
        <f t="shared" si="29"/>
        <v>0</v>
      </c>
      <c r="AA159" s="181">
        <f t="shared" si="30"/>
        <v>2744044.8218110451</v>
      </c>
      <c r="AB159" s="182">
        <f t="shared" si="31"/>
        <v>1473.6375303298294</v>
      </c>
      <c r="AC159" s="181">
        <f t="shared" si="32"/>
        <v>2745518.4593413747</v>
      </c>
      <c r="AD159" s="181">
        <f t="shared" si="33"/>
        <v>4149641.8157192846</v>
      </c>
      <c r="AE159" s="131">
        <v>147355.59</v>
      </c>
      <c r="AF159" s="131">
        <f>AE159*'1. UC Assumptions'!$C$23</f>
        <v>48627.344699999994</v>
      </c>
      <c r="AG159" s="183">
        <f>IF((((X159-W159-AE159)*'1. UC Assumptions'!$C$23)+AF159)&gt;0,((X159-W159-AE159)*'1. UC Assumptions'!$C$23)+AF159,0)</f>
        <v>2274430.2899999996</v>
      </c>
      <c r="AH159" s="183">
        <f>IF(((X159-W159-AE159)*'1. UC Assumptions'!$C$23)&gt;0,(X159-W159-AE159)*'1. UC Assumptions'!$C$23,0)</f>
        <v>2225802.9452999998</v>
      </c>
      <c r="AI159" s="183">
        <f t="shared" si="34"/>
        <v>2274430.2899999996</v>
      </c>
      <c r="AJ159" s="183">
        <f>IF(H159="Bexar",(AD159/$AJ$1)*'1. UC Assumptions'!$E$42,0)</f>
        <v>0</v>
      </c>
      <c r="AK159" s="183">
        <f>IF(H159="Dallas",(AD159/$AK$1)*'1. UC Assumptions'!$F$42,0)</f>
        <v>0</v>
      </c>
      <c r="AL159" s="183">
        <f>IF(H159="El Paso",(AD159/$AL$1)*'1. UC Assumptions'!$G$42,0)</f>
        <v>0</v>
      </c>
      <c r="AM159" s="183">
        <f>IF(H159="Harris",(AD159/$AM$1)*'1. UC Assumptions'!$H$42,0)</f>
        <v>0</v>
      </c>
      <c r="AN159" s="183">
        <f>IF(H159="Hidalgo",(AD159/$AN$1)*'1. UC Assumptions'!$I$42,0)</f>
        <v>0</v>
      </c>
      <c r="AO159" s="183">
        <f>IF(H159="Jefferson",(AD159/$AO$1)*'1. UC Assumptions'!$J$42,0)</f>
        <v>0</v>
      </c>
      <c r="AP159" s="183">
        <f>IF(H159="Lubbock",(AD159/$AP$1)*'1. UC Assumptions'!$K$42,0)</f>
        <v>0</v>
      </c>
      <c r="AQ159" s="183">
        <f>IF(H159="MRSA Central",(AD159/$AQ$1)*'1. UC Assumptions'!$L$42,0)</f>
        <v>0</v>
      </c>
      <c r="AR159" s="183">
        <f>IF(H159="MRSA Northeast",(AD159/$AR$1)*'1. UC Assumptions'!$M$42,0)</f>
        <v>0</v>
      </c>
      <c r="AS159" s="183">
        <f>IF(H159="MRSA West",(AD159/$AS$1)*'1. UC Assumptions'!$N$42,0)</f>
        <v>0</v>
      </c>
      <c r="AT159" s="183">
        <f>IF(H159="Nueces",(AD159/$AT$1)*'1. UC Assumptions'!$O$42,0)</f>
        <v>0</v>
      </c>
      <c r="AU159" s="183">
        <f>IF(H159="Tarrant",(AD159/$AU$1)*'1. UC Assumptions'!$P$42,0)</f>
        <v>0</v>
      </c>
      <c r="AV159" s="183">
        <f>IF(H159="Travis",(AD159/$AV$1)*'1. UC Assumptions'!$Q$42,0)</f>
        <v>0</v>
      </c>
      <c r="AW159" s="183">
        <f>IF(H159="Bexar",(AC159/$AW$1)*'1. UC Assumptions'!$E$44,0)</f>
        <v>0</v>
      </c>
      <c r="AX159" s="183">
        <f>IF(H159="Dallas",(AC159/$AX$1)*'1. UC Assumptions'!$F$44,0)</f>
        <v>0</v>
      </c>
      <c r="AY159" s="183">
        <f>IF(H159="El Paso",(AC159/$AY$1)*'1. UC Assumptions'!$G$44,0)</f>
        <v>0</v>
      </c>
      <c r="AZ159" s="183">
        <f>IF(H159="Harris",(AC159/$AZ$1)*'1. UC Assumptions'!$H$44,0)</f>
        <v>0</v>
      </c>
      <c r="BA159" s="183">
        <f>IF(H159="Hidalgo",(AC159/$BA$1)*'1. UC Assumptions'!$I$44,0)</f>
        <v>0</v>
      </c>
      <c r="BB159" s="183">
        <f>IF(H159="Jefferson",(AC159/$BB$1)*'1. UC Assumptions'!$J$44,0)</f>
        <v>0</v>
      </c>
      <c r="BC159" s="183">
        <f>IF(H159="Lubbock",(AC159/$BC$1)*'1. UC Assumptions'!$K$44,0)</f>
        <v>0</v>
      </c>
      <c r="BD159" s="183">
        <f>IF(H159="MRSA Central",(AC159/$BD$1)*'1. UC Assumptions'!$L$44,0)</f>
        <v>0</v>
      </c>
      <c r="BE159" s="183">
        <f>IF(H159="MRSA Northeast",(AC159/$BE$1)*'1. UC Assumptions'!$M$44,0)</f>
        <v>0</v>
      </c>
      <c r="BF159" s="183">
        <f>IF(H159="MRSA West",(AC159/$BF$1)*'1. UC Assumptions'!$N$44,0)</f>
        <v>0</v>
      </c>
      <c r="BG159" s="183">
        <f>IF(H159="Nueces",(AC159/$BG$1)*'1. UC Assumptions'!$O$44,0)</f>
        <v>0</v>
      </c>
      <c r="BH159" s="183">
        <f>IF(H159="Tarrant",(AC159/$BH$1)*'1. UC Assumptions'!$P$44,0)</f>
        <v>0</v>
      </c>
      <c r="BI159" s="183">
        <f>IF(H159="Travis",(AC159/$BI$1)*'1. UC Assumptions'!$Q$44,0)</f>
        <v>0</v>
      </c>
      <c r="BJ159" s="183">
        <f t="shared" si="35"/>
        <v>0</v>
      </c>
      <c r="BK159" s="183">
        <f t="shared" si="36"/>
        <v>0</v>
      </c>
      <c r="BL159" s="183">
        <f t="shared" si="37"/>
        <v>4149641.8157192846</v>
      </c>
      <c r="BM159" s="184">
        <f t="shared" si="38"/>
        <v>4002286.2257192847</v>
      </c>
      <c r="BN159" s="184">
        <f>ROUNDDOWN(BM159*'1. UC Assumptions'!$C$23,2)</f>
        <v>1320754.45</v>
      </c>
      <c r="BO159" s="184"/>
      <c r="BP159" s="185"/>
      <c r="BQ159" s="32"/>
      <c r="BR159" s="32"/>
    </row>
    <row r="160" spans="1:70">
      <c r="A160" s="177" t="s">
        <v>1488</v>
      </c>
      <c r="B160" s="178" t="s">
        <v>408</v>
      </c>
      <c r="C160" s="178" t="s">
        <v>408</v>
      </c>
      <c r="D160" s="179" t="s">
        <v>214</v>
      </c>
      <c r="E160" s="179"/>
      <c r="F160" s="177"/>
      <c r="G160" s="177" t="s">
        <v>1489</v>
      </c>
      <c r="H160" s="178" t="s">
        <v>10</v>
      </c>
      <c r="I160" s="178" t="s">
        <v>1487</v>
      </c>
      <c r="J160" s="131">
        <f>IFERROR(INDEX(#REF!,(MATCH('Old Calc Tab'!C:C,#REF!,0))),0)</f>
        <v>0</v>
      </c>
      <c r="K160" s="131">
        <f>IFERROR(INDEX(#REF!,(MATCH('Old Calc Tab'!$C:$C,#REF!,0))),0)</f>
        <v>0</v>
      </c>
      <c r="L160" s="131"/>
      <c r="M160" s="131">
        <v>14610395.5836</v>
      </c>
      <c r="N160" s="131">
        <f>IFERROR(INDEX(#REF!,(MATCH('Old Calc Tab'!$C:$C,#REF!,0))),0)</f>
        <v>0</v>
      </c>
      <c r="O160" s="131">
        <f t="shared" si="26"/>
        <v>0</v>
      </c>
      <c r="P160" s="131">
        <f t="shared" si="27"/>
        <v>14610395.5836</v>
      </c>
      <c r="Q160" s="131"/>
      <c r="R160" s="131"/>
      <c r="S160" s="131"/>
      <c r="T160" s="131"/>
      <c r="U160" s="131"/>
      <c r="V160" s="131">
        <v>1376845</v>
      </c>
      <c r="W160" s="180">
        <v>0</v>
      </c>
      <c r="X160" s="180">
        <f t="shared" si="28"/>
        <v>15987240.5836</v>
      </c>
      <c r="Y160" s="181">
        <f>IF(D160="Physician Group Practice",(X160/$AE$369)*'1. UC Assumptions'!$C$15,IF(OR(E160="Rural Hospital",E160="Hosp - State"),X160,(X160/$X$369)*'1. UC Assumptions'!$C$9))</f>
        <v>9622129.0093530975</v>
      </c>
      <c r="Z160" s="181">
        <f t="shared" si="29"/>
        <v>0</v>
      </c>
      <c r="AA160" s="181">
        <f t="shared" si="30"/>
        <v>6365111.574246902</v>
      </c>
      <c r="AB160" s="182">
        <f t="shared" si="31"/>
        <v>3418.2631515313183</v>
      </c>
      <c r="AC160" s="181">
        <f t="shared" si="32"/>
        <v>6368529.8373984331</v>
      </c>
      <c r="AD160" s="181">
        <f t="shared" si="33"/>
        <v>9625547.2725046296</v>
      </c>
      <c r="AE160" s="131">
        <v>8330712.2400000002</v>
      </c>
      <c r="AF160" s="131">
        <f>AE160*'1. UC Assumptions'!$C$23</f>
        <v>2749135.0391999995</v>
      </c>
      <c r="AG160" s="183">
        <f>IF((((X160-W160-AE160)*'1. UC Assumptions'!$C$23)+AF160)&gt;0,((X160-W160-AE160)*'1. UC Assumptions'!$C$23)+AF160,0)</f>
        <v>5275789.3925879989</v>
      </c>
      <c r="AH160" s="183">
        <f>IF(((X160-W160-AE160)*'1. UC Assumptions'!$C$23)&gt;0,(X160-W160-AE160)*'1. UC Assumptions'!$C$23,0)</f>
        <v>2526654.3533879993</v>
      </c>
      <c r="AI160" s="183">
        <f t="shared" si="34"/>
        <v>5275789.3925879989</v>
      </c>
      <c r="AJ160" s="183">
        <f>IF(H160="Bexar",(AD160/$AJ$1)*'1. UC Assumptions'!$E$42,0)</f>
        <v>0</v>
      </c>
      <c r="AK160" s="183">
        <f>IF(H160="Dallas",(AD160/$AK$1)*'1. UC Assumptions'!$F$42,0)</f>
        <v>0</v>
      </c>
      <c r="AL160" s="183">
        <f>IF(H160="El Paso",(AD160/$AL$1)*'1. UC Assumptions'!$G$42,0)</f>
        <v>0</v>
      </c>
      <c r="AM160" s="183">
        <f>IF(H160="Harris",(AD160/$AM$1)*'1. UC Assumptions'!$H$42,0)</f>
        <v>0</v>
      </c>
      <c r="AN160" s="183">
        <f>IF(H160="Hidalgo",(AD160/$AN$1)*'1. UC Assumptions'!$I$42,0)</f>
        <v>0</v>
      </c>
      <c r="AO160" s="183">
        <f>IF(H160="Jefferson",(AD160/$AO$1)*'1. UC Assumptions'!$J$42,0)</f>
        <v>0</v>
      </c>
      <c r="AP160" s="183">
        <f>IF(H160="Lubbock",(AD160/$AP$1)*'1. UC Assumptions'!$K$42,0)</f>
        <v>0</v>
      </c>
      <c r="AQ160" s="183">
        <f>IF(H160="MRSA Central",(AD160/$AQ$1)*'1. UC Assumptions'!$L$42,0)</f>
        <v>0</v>
      </c>
      <c r="AR160" s="183">
        <f>IF(H160="MRSA Northeast",(AD160/$AR$1)*'1. UC Assumptions'!$M$42,0)</f>
        <v>0</v>
      </c>
      <c r="AS160" s="183">
        <f>IF(H160="MRSA West",(AD160/$AS$1)*'1. UC Assumptions'!$N$42,0)</f>
        <v>0</v>
      </c>
      <c r="AT160" s="183">
        <f>IF(H160="Nueces",(AD160/$AT$1)*'1. UC Assumptions'!$O$42,0)</f>
        <v>0</v>
      </c>
      <c r="AU160" s="183">
        <f>IF(H160="Tarrant",(AD160/$AU$1)*'1. UC Assumptions'!$P$42,0)</f>
        <v>0</v>
      </c>
      <c r="AV160" s="183">
        <f>IF(H160="Travis",(AD160/$AV$1)*'1. UC Assumptions'!$Q$42,0)</f>
        <v>0</v>
      </c>
      <c r="AW160" s="183">
        <f>IF(H160="Bexar",(AC160/$AW$1)*'1. UC Assumptions'!$E$44,0)</f>
        <v>0</v>
      </c>
      <c r="AX160" s="183">
        <f>IF(H160="Dallas",(AC160/$AX$1)*'1. UC Assumptions'!$F$44,0)</f>
        <v>0</v>
      </c>
      <c r="AY160" s="183">
        <f>IF(H160="El Paso",(AC160/$AY$1)*'1. UC Assumptions'!$G$44,0)</f>
        <v>0</v>
      </c>
      <c r="AZ160" s="183">
        <f>IF(H160="Harris",(AC160/$AZ$1)*'1. UC Assumptions'!$H$44,0)</f>
        <v>0</v>
      </c>
      <c r="BA160" s="183">
        <f>IF(H160="Hidalgo",(AC160/$BA$1)*'1. UC Assumptions'!$I$44,0)</f>
        <v>0</v>
      </c>
      <c r="BB160" s="183">
        <f>IF(H160="Jefferson",(AC160/$BB$1)*'1. UC Assumptions'!$J$44,0)</f>
        <v>0</v>
      </c>
      <c r="BC160" s="183">
        <f>IF(H160="Lubbock",(AC160/$BC$1)*'1. UC Assumptions'!$K$44,0)</f>
        <v>0</v>
      </c>
      <c r="BD160" s="183">
        <f>IF(H160="MRSA Central",(AC160/$BD$1)*'1. UC Assumptions'!$L$44,0)</f>
        <v>0</v>
      </c>
      <c r="BE160" s="183">
        <f>IF(H160="MRSA Northeast",(AC160/$BE$1)*'1. UC Assumptions'!$M$44,0)</f>
        <v>0</v>
      </c>
      <c r="BF160" s="183">
        <f>IF(H160="MRSA West",(AC160/$BF$1)*'1. UC Assumptions'!$N$44,0)</f>
        <v>0</v>
      </c>
      <c r="BG160" s="183">
        <f>IF(H160="Nueces",(AC160/$BG$1)*'1. UC Assumptions'!$O$44,0)</f>
        <v>0</v>
      </c>
      <c r="BH160" s="183">
        <f>IF(H160="Tarrant",(AC160/$BH$1)*'1. UC Assumptions'!$P$44,0)</f>
        <v>0</v>
      </c>
      <c r="BI160" s="183">
        <f>IF(H160="Travis",(AC160/$BI$1)*'1. UC Assumptions'!$Q$44,0)</f>
        <v>0</v>
      </c>
      <c r="BJ160" s="183">
        <f t="shared" si="35"/>
        <v>0</v>
      </c>
      <c r="BK160" s="183">
        <f t="shared" si="36"/>
        <v>0</v>
      </c>
      <c r="BL160" s="183">
        <f t="shared" si="37"/>
        <v>9625547.2725046296</v>
      </c>
      <c r="BM160" s="184">
        <f t="shared" si="38"/>
        <v>1294835.0325046293</v>
      </c>
      <c r="BN160" s="184">
        <f>ROUNDDOWN(BM160*'1. UC Assumptions'!$C$23,2)</f>
        <v>427295.56</v>
      </c>
      <c r="BO160" s="184"/>
      <c r="BP160" s="185"/>
      <c r="BQ160" s="32"/>
      <c r="BR160" s="32"/>
    </row>
    <row r="161" spans="1:70">
      <c r="A161" s="177" t="s">
        <v>1490</v>
      </c>
      <c r="B161" s="178" t="s">
        <v>412</v>
      </c>
      <c r="C161" s="178" t="s">
        <v>412</v>
      </c>
      <c r="D161" s="179" t="s">
        <v>214</v>
      </c>
      <c r="E161" s="179" t="s">
        <v>149</v>
      </c>
      <c r="F161" s="177"/>
      <c r="G161" s="177" t="s">
        <v>1491</v>
      </c>
      <c r="H161" s="178" t="s">
        <v>10</v>
      </c>
      <c r="I161" s="178" t="s">
        <v>414</v>
      </c>
      <c r="J161" s="131">
        <f>IFERROR(INDEX(#REF!,(MATCH('Old Calc Tab'!C:C,#REF!,0))),0)</f>
        <v>0</v>
      </c>
      <c r="K161" s="131">
        <f>IFERROR(INDEX(#REF!,(MATCH('Old Calc Tab'!$C:$C,#REF!,0))),0)</f>
        <v>0</v>
      </c>
      <c r="L161" s="131"/>
      <c r="M161" s="131">
        <v>27501.65</v>
      </c>
      <c r="N161" s="131">
        <f>IFERROR(INDEX(#REF!,(MATCH('Old Calc Tab'!$C:$C,#REF!,0))),0)</f>
        <v>0</v>
      </c>
      <c r="O161" s="131">
        <f t="shared" si="26"/>
        <v>0</v>
      </c>
      <c r="P161" s="131">
        <f t="shared" si="27"/>
        <v>27501.65</v>
      </c>
      <c r="Q161" s="131"/>
      <c r="R161" s="131"/>
      <c r="S161" s="131"/>
      <c r="T161" s="131"/>
      <c r="U161" s="131"/>
      <c r="V161" s="131">
        <v>0</v>
      </c>
      <c r="W161" s="180">
        <v>0</v>
      </c>
      <c r="X161" s="180">
        <f t="shared" si="28"/>
        <v>27501.65</v>
      </c>
      <c r="Y161" s="181">
        <f>IF(D161="Physician Group Practice",(X161/$AE$369)*'1. UC Assumptions'!$C$15,IF(OR(E161="Rural Hospital",E161="Hosp - State"),X161,(X161/$X$369)*'1. UC Assumptions'!$C$9))</f>
        <v>27501.65</v>
      </c>
      <c r="Z161" s="181">
        <f t="shared" si="29"/>
        <v>0</v>
      </c>
      <c r="AA161" s="181">
        <f t="shared" si="30"/>
        <v>0</v>
      </c>
      <c r="AB161" s="182">
        <f t="shared" si="31"/>
        <v>0</v>
      </c>
      <c r="AC161" s="181">
        <f t="shared" si="32"/>
        <v>0</v>
      </c>
      <c r="AD161" s="181">
        <f t="shared" si="33"/>
        <v>27501.65</v>
      </c>
      <c r="AE161" s="131">
        <v>0</v>
      </c>
      <c r="AF161" s="131">
        <f>AE161*'1. UC Assumptions'!$C$23</f>
        <v>0</v>
      </c>
      <c r="AG161" s="183">
        <f>IF((((X161-W161-AE161)*'1. UC Assumptions'!$C$23)+AF161)&gt;0,((X161-W161-AE161)*'1. UC Assumptions'!$C$23)+AF161,0)</f>
        <v>9075.5445</v>
      </c>
      <c r="AH161" s="183">
        <f>IF(((X161-W161-AE161)*'1. UC Assumptions'!$C$23)&gt;0,(X161-W161-AE161)*'1. UC Assumptions'!$C$23,0)</f>
        <v>9075.5445</v>
      </c>
      <c r="AI161" s="183">
        <f t="shared" si="34"/>
        <v>9075.5445</v>
      </c>
      <c r="AJ161" s="183">
        <f>IF(H161="Bexar",(AD161/$AJ$1)*'1. UC Assumptions'!$E$42,0)</f>
        <v>0</v>
      </c>
      <c r="AK161" s="183">
        <f>IF(H161="Dallas",(AD161/$AK$1)*'1. UC Assumptions'!$F$42,0)</f>
        <v>0</v>
      </c>
      <c r="AL161" s="183">
        <f>IF(H161="El Paso",(AD161/$AL$1)*'1. UC Assumptions'!$G$42,0)</f>
        <v>0</v>
      </c>
      <c r="AM161" s="183">
        <f>IF(H161="Harris",(AD161/$AM$1)*'1. UC Assumptions'!$H$42,0)</f>
        <v>0</v>
      </c>
      <c r="AN161" s="183">
        <f>IF(H161="Hidalgo",(AD161/$AN$1)*'1. UC Assumptions'!$I$42,0)</f>
        <v>0</v>
      </c>
      <c r="AO161" s="183">
        <f>IF(H161="Jefferson",(AD161/$AO$1)*'1. UC Assumptions'!$J$42,0)</f>
        <v>0</v>
      </c>
      <c r="AP161" s="183">
        <f>IF(H161="Lubbock",(AD161/$AP$1)*'1. UC Assumptions'!$K$42,0)</f>
        <v>0</v>
      </c>
      <c r="AQ161" s="183">
        <f>IF(H161="MRSA Central",(AD161/$AQ$1)*'1. UC Assumptions'!$L$42,0)</f>
        <v>0</v>
      </c>
      <c r="AR161" s="183">
        <f>IF(H161="MRSA Northeast",(AD161/$AR$1)*'1. UC Assumptions'!$M$42,0)</f>
        <v>0</v>
      </c>
      <c r="AS161" s="183">
        <f>IF(H161="MRSA West",(AD161/$AS$1)*'1. UC Assumptions'!$N$42,0)</f>
        <v>0</v>
      </c>
      <c r="AT161" s="183">
        <f>IF(H161="Nueces",(AD161/$AT$1)*'1. UC Assumptions'!$O$42,0)</f>
        <v>0</v>
      </c>
      <c r="AU161" s="183">
        <f>IF(H161="Tarrant",(AD161/$AU$1)*'1. UC Assumptions'!$P$42,0)</f>
        <v>0</v>
      </c>
      <c r="AV161" s="183">
        <f>IF(H161="Travis",(AD161/$AV$1)*'1. UC Assumptions'!$Q$42,0)</f>
        <v>0</v>
      </c>
      <c r="AW161" s="183">
        <f>IF(H161="Bexar",(AC161/$AW$1)*'1. UC Assumptions'!$E$44,0)</f>
        <v>0</v>
      </c>
      <c r="AX161" s="183">
        <f>IF(H161="Dallas",(AC161/$AX$1)*'1. UC Assumptions'!$F$44,0)</f>
        <v>0</v>
      </c>
      <c r="AY161" s="183">
        <f>IF(H161="El Paso",(AC161/$AY$1)*'1. UC Assumptions'!$G$44,0)</f>
        <v>0</v>
      </c>
      <c r="AZ161" s="183">
        <f>IF(H161="Harris",(AC161/$AZ$1)*'1. UC Assumptions'!$H$44,0)</f>
        <v>0</v>
      </c>
      <c r="BA161" s="183">
        <f>IF(H161="Hidalgo",(AC161/$BA$1)*'1. UC Assumptions'!$I$44,0)</f>
        <v>0</v>
      </c>
      <c r="BB161" s="183">
        <f>IF(H161="Jefferson",(AC161/$BB$1)*'1. UC Assumptions'!$J$44,0)</f>
        <v>0</v>
      </c>
      <c r="BC161" s="183">
        <f>IF(H161="Lubbock",(AC161/$BC$1)*'1. UC Assumptions'!$K$44,0)</f>
        <v>0</v>
      </c>
      <c r="BD161" s="183">
        <f>IF(H161="MRSA Central",(AC161/$BD$1)*'1. UC Assumptions'!$L$44,0)</f>
        <v>0</v>
      </c>
      <c r="BE161" s="183">
        <f>IF(H161="MRSA Northeast",(AC161/$BE$1)*'1. UC Assumptions'!$M$44,0)</f>
        <v>0</v>
      </c>
      <c r="BF161" s="183">
        <f>IF(H161="MRSA West",(AC161/$BF$1)*'1. UC Assumptions'!$N$44,0)</f>
        <v>0</v>
      </c>
      <c r="BG161" s="183">
        <f>IF(H161="Nueces",(AC161/$BG$1)*'1. UC Assumptions'!$O$44,0)</f>
        <v>0</v>
      </c>
      <c r="BH161" s="183">
        <f>IF(H161="Tarrant",(AC161/$BH$1)*'1. UC Assumptions'!$P$44,0)</f>
        <v>0</v>
      </c>
      <c r="BI161" s="183">
        <f>IF(H161="Travis",(AC161/$BI$1)*'1. UC Assumptions'!$Q$44,0)</f>
        <v>0</v>
      </c>
      <c r="BJ161" s="183">
        <f t="shared" si="35"/>
        <v>0</v>
      </c>
      <c r="BK161" s="183">
        <f t="shared" si="36"/>
        <v>0</v>
      </c>
      <c r="BL161" s="183">
        <f t="shared" si="37"/>
        <v>27501.65</v>
      </c>
      <c r="BM161" s="184">
        <f t="shared" si="38"/>
        <v>27501.65</v>
      </c>
      <c r="BN161" s="184">
        <f>ROUNDDOWN(BM161*'1. UC Assumptions'!$C$23,2)</f>
        <v>9075.5400000000009</v>
      </c>
      <c r="BO161" s="184"/>
      <c r="BP161" s="185"/>
      <c r="BQ161" s="32"/>
      <c r="BR161" s="32"/>
    </row>
    <row r="162" spans="1:70">
      <c r="A162" s="177" t="s">
        <v>1492</v>
      </c>
      <c r="B162" s="178" t="s">
        <v>420</v>
      </c>
      <c r="C162" s="178" t="s">
        <v>420</v>
      </c>
      <c r="D162" s="179" t="s">
        <v>208</v>
      </c>
      <c r="E162" s="179" t="s">
        <v>149</v>
      </c>
      <c r="F162" s="177"/>
      <c r="G162" s="177" t="s">
        <v>421</v>
      </c>
      <c r="H162" s="178" t="s">
        <v>10</v>
      </c>
      <c r="I162" s="178" t="s">
        <v>422</v>
      </c>
      <c r="J162" s="131">
        <f>IFERROR(INDEX(#REF!,(MATCH('Old Calc Tab'!C:C,#REF!,0))),0)</f>
        <v>0</v>
      </c>
      <c r="K162" s="131">
        <f>IFERROR(INDEX(#REF!,(MATCH('Old Calc Tab'!$C:$C,#REF!,0))),0)</f>
        <v>0</v>
      </c>
      <c r="L162" s="131"/>
      <c r="M162" s="131">
        <v>1275990.2400000002</v>
      </c>
      <c r="N162" s="131">
        <f>IFERROR(INDEX(#REF!,(MATCH('Old Calc Tab'!$C:$C,#REF!,0))),0)</f>
        <v>0</v>
      </c>
      <c r="O162" s="131">
        <f t="shared" si="26"/>
        <v>0</v>
      </c>
      <c r="P162" s="131">
        <f t="shared" si="27"/>
        <v>1275990.2400000002</v>
      </c>
      <c r="Q162" s="131"/>
      <c r="R162" s="131"/>
      <c r="S162" s="131"/>
      <c r="T162" s="131"/>
      <c r="U162" s="131"/>
      <c r="V162" s="131">
        <v>0</v>
      </c>
      <c r="W162" s="180">
        <v>0</v>
      </c>
      <c r="X162" s="180">
        <f t="shared" si="28"/>
        <v>1275990.2400000002</v>
      </c>
      <c r="Y162" s="181">
        <f>IF(D162="Physician Group Practice",(X162/$AE$369)*'1. UC Assumptions'!$C$15,IF(OR(E162="Rural Hospital",E162="Hosp - State"),X162,(X162/$X$369)*'1. UC Assumptions'!$C$9))</f>
        <v>1275990.2400000002</v>
      </c>
      <c r="Z162" s="181">
        <f t="shared" si="29"/>
        <v>0</v>
      </c>
      <c r="AA162" s="181">
        <f t="shared" si="30"/>
        <v>0</v>
      </c>
      <c r="AB162" s="182">
        <f t="shared" si="31"/>
        <v>0</v>
      </c>
      <c r="AC162" s="181">
        <f t="shared" si="32"/>
        <v>0</v>
      </c>
      <c r="AD162" s="181">
        <f t="shared" si="33"/>
        <v>1275990.2400000002</v>
      </c>
      <c r="AE162" s="131">
        <v>291638.77</v>
      </c>
      <c r="AF162" s="131">
        <f>AE162*'1. UC Assumptions'!$C$23</f>
        <v>96240.794099999999</v>
      </c>
      <c r="AG162" s="183">
        <f>IF((((X162-W162-AE162)*'1. UC Assumptions'!$C$23)+AF162)&gt;0,((X162-W162-AE162)*'1. UC Assumptions'!$C$23)+AF162,0)</f>
        <v>421076.77920000005</v>
      </c>
      <c r="AH162" s="183">
        <f>IF(((X162-W162-AE162)*'1. UC Assumptions'!$C$23)&gt;0,(X162-W162-AE162)*'1. UC Assumptions'!$C$23,0)</f>
        <v>324835.98510000005</v>
      </c>
      <c r="AI162" s="183">
        <f t="shared" si="34"/>
        <v>421076.77920000005</v>
      </c>
      <c r="AJ162" s="183">
        <f>IF(H162="Bexar",(AD162/$AJ$1)*'1. UC Assumptions'!$E$42,0)</f>
        <v>0</v>
      </c>
      <c r="AK162" s="183">
        <f>IF(H162="Dallas",(AD162/$AK$1)*'1. UC Assumptions'!$F$42,0)</f>
        <v>0</v>
      </c>
      <c r="AL162" s="183">
        <f>IF(H162="El Paso",(AD162/$AL$1)*'1. UC Assumptions'!$G$42,0)</f>
        <v>0</v>
      </c>
      <c r="AM162" s="183">
        <f>IF(H162="Harris",(AD162/$AM$1)*'1. UC Assumptions'!$H$42,0)</f>
        <v>0</v>
      </c>
      <c r="AN162" s="183">
        <f>IF(H162="Hidalgo",(AD162/$AN$1)*'1. UC Assumptions'!$I$42,0)</f>
        <v>0</v>
      </c>
      <c r="AO162" s="183">
        <f>IF(H162="Jefferson",(AD162/$AO$1)*'1. UC Assumptions'!$J$42,0)</f>
        <v>0</v>
      </c>
      <c r="AP162" s="183">
        <f>IF(H162="Lubbock",(AD162/$AP$1)*'1. UC Assumptions'!$K$42,0)</f>
        <v>0</v>
      </c>
      <c r="AQ162" s="183">
        <f>IF(H162="MRSA Central",(AD162/$AQ$1)*'1. UC Assumptions'!$L$42,0)</f>
        <v>0</v>
      </c>
      <c r="AR162" s="183">
        <f>IF(H162="MRSA Northeast",(AD162/$AR$1)*'1. UC Assumptions'!$M$42,0)</f>
        <v>0</v>
      </c>
      <c r="AS162" s="183">
        <f>IF(H162="MRSA West",(AD162/$AS$1)*'1. UC Assumptions'!$N$42,0)</f>
        <v>0</v>
      </c>
      <c r="AT162" s="183">
        <f>IF(H162="Nueces",(AD162/$AT$1)*'1. UC Assumptions'!$O$42,0)</f>
        <v>0</v>
      </c>
      <c r="AU162" s="183">
        <f>IF(H162="Tarrant",(AD162/$AU$1)*'1. UC Assumptions'!$P$42,0)</f>
        <v>0</v>
      </c>
      <c r="AV162" s="183">
        <f>IF(H162="Travis",(AD162/$AV$1)*'1. UC Assumptions'!$Q$42,0)</f>
        <v>0</v>
      </c>
      <c r="AW162" s="183">
        <f>IF(H162="Bexar",(AC162/$AW$1)*'1. UC Assumptions'!$E$44,0)</f>
        <v>0</v>
      </c>
      <c r="AX162" s="183">
        <f>IF(H162="Dallas",(AC162/$AX$1)*'1. UC Assumptions'!$F$44,0)</f>
        <v>0</v>
      </c>
      <c r="AY162" s="183">
        <f>IF(H162="El Paso",(AC162/$AY$1)*'1. UC Assumptions'!$G$44,0)</f>
        <v>0</v>
      </c>
      <c r="AZ162" s="183">
        <f>IF(H162="Harris",(AC162/$AZ$1)*'1. UC Assumptions'!$H$44,0)</f>
        <v>0</v>
      </c>
      <c r="BA162" s="183">
        <f>IF(H162="Hidalgo",(AC162/$BA$1)*'1. UC Assumptions'!$I$44,0)</f>
        <v>0</v>
      </c>
      <c r="BB162" s="183">
        <f>IF(H162="Jefferson",(AC162/$BB$1)*'1. UC Assumptions'!$J$44,0)</f>
        <v>0</v>
      </c>
      <c r="BC162" s="183">
        <f>IF(H162="Lubbock",(AC162/$BC$1)*'1. UC Assumptions'!$K$44,0)</f>
        <v>0</v>
      </c>
      <c r="BD162" s="183">
        <f>IF(H162="MRSA Central",(AC162/$BD$1)*'1. UC Assumptions'!$L$44,0)</f>
        <v>0</v>
      </c>
      <c r="BE162" s="183">
        <f>IF(H162="MRSA Northeast",(AC162/$BE$1)*'1. UC Assumptions'!$M$44,0)</f>
        <v>0</v>
      </c>
      <c r="BF162" s="183">
        <f>IF(H162="MRSA West",(AC162/$BF$1)*'1. UC Assumptions'!$N$44,0)</f>
        <v>0</v>
      </c>
      <c r="BG162" s="183">
        <f>IF(H162="Nueces",(AC162/$BG$1)*'1. UC Assumptions'!$O$44,0)</f>
        <v>0</v>
      </c>
      <c r="BH162" s="183">
        <f>IF(H162="Tarrant",(AC162/$BH$1)*'1. UC Assumptions'!$P$44,0)</f>
        <v>0</v>
      </c>
      <c r="BI162" s="183">
        <f>IF(H162="Travis",(AC162/$BI$1)*'1. UC Assumptions'!$Q$44,0)</f>
        <v>0</v>
      </c>
      <c r="BJ162" s="183">
        <f t="shared" si="35"/>
        <v>0</v>
      </c>
      <c r="BK162" s="183">
        <f t="shared" si="36"/>
        <v>0</v>
      </c>
      <c r="BL162" s="183">
        <f t="shared" si="37"/>
        <v>1275990.2400000002</v>
      </c>
      <c r="BM162" s="184">
        <f t="shared" si="38"/>
        <v>984351.4700000002</v>
      </c>
      <c r="BN162" s="184">
        <f>ROUNDDOWN(BM162*'1. UC Assumptions'!$C$23,2)</f>
        <v>324835.98</v>
      </c>
      <c r="BO162" s="184"/>
      <c r="BP162" s="185"/>
      <c r="BQ162" s="32"/>
      <c r="BR162" s="32"/>
    </row>
    <row r="163" spans="1:70">
      <c r="A163" s="177" t="s">
        <v>1493</v>
      </c>
      <c r="B163" s="177" t="s">
        <v>466</v>
      </c>
      <c r="C163" s="178" t="s">
        <v>466</v>
      </c>
      <c r="D163" s="179" t="s">
        <v>214</v>
      </c>
      <c r="E163" s="179" t="s">
        <v>149</v>
      </c>
      <c r="F163" s="177"/>
      <c r="G163" s="177" t="s">
        <v>1494</v>
      </c>
      <c r="H163" s="178" t="s">
        <v>10</v>
      </c>
      <c r="I163" s="178" t="s">
        <v>468</v>
      </c>
      <c r="J163" s="131">
        <f>IFERROR(INDEX(#REF!,(MATCH('Old Calc Tab'!C:C,#REF!,0))),0)</f>
        <v>0</v>
      </c>
      <c r="K163" s="131">
        <f>IFERROR(INDEX(#REF!,(MATCH('Old Calc Tab'!$C:$C,#REF!,0))),0)</f>
        <v>0</v>
      </c>
      <c r="L163" s="131"/>
      <c r="M163" s="131">
        <v>204534.9</v>
      </c>
      <c r="N163" s="131">
        <f>IFERROR(INDEX(#REF!,(MATCH('Old Calc Tab'!$C:$C,#REF!,0))),0)</f>
        <v>0</v>
      </c>
      <c r="O163" s="131">
        <f t="shared" si="26"/>
        <v>0</v>
      </c>
      <c r="P163" s="131">
        <f t="shared" si="27"/>
        <v>204534.9</v>
      </c>
      <c r="Q163" s="131"/>
      <c r="R163" s="131"/>
      <c r="S163" s="131"/>
      <c r="T163" s="131"/>
      <c r="U163" s="131"/>
      <c r="V163" s="131">
        <v>0</v>
      </c>
      <c r="W163" s="180">
        <v>0</v>
      </c>
      <c r="X163" s="180">
        <f t="shared" si="28"/>
        <v>204534.9</v>
      </c>
      <c r="Y163" s="181">
        <f>IF(D163="Physician Group Practice",(X163/$AE$369)*'1. UC Assumptions'!$C$15,IF(OR(E163="Rural Hospital",E163="Hosp - State"),X163,(X163/$X$369)*'1. UC Assumptions'!$C$9))</f>
        <v>204534.9</v>
      </c>
      <c r="Z163" s="181">
        <f t="shared" si="29"/>
        <v>0</v>
      </c>
      <c r="AA163" s="181">
        <f t="shared" si="30"/>
        <v>0</v>
      </c>
      <c r="AB163" s="182">
        <f t="shared" si="31"/>
        <v>0</v>
      </c>
      <c r="AC163" s="181">
        <f t="shared" si="32"/>
        <v>0</v>
      </c>
      <c r="AD163" s="181">
        <f t="shared" si="33"/>
        <v>204534.9</v>
      </c>
      <c r="AE163" s="131">
        <v>219554.22</v>
      </c>
      <c r="AF163" s="131">
        <f>AE163*'1. UC Assumptions'!$C$23</f>
        <v>72452.892599999992</v>
      </c>
      <c r="AG163" s="183">
        <f>IF((((X163-W163-AE163)*'1. UC Assumptions'!$C$23)+AF163)&gt;0,((X163-W163-AE163)*'1. UC Assumptions'!$C$23)+AF163,0)</f>
        <v>67496.516999999993</v>
      </c>
      <c r="AH163" s="183">
        <f>IF(((X163-W163-AE163)*'1. UC Assumptions'!$C$23)&gt;0,(X163-W163-AE163)*'1. UC Assumptions'!$C$23,0)</f>
        <v>0</v>
      </c>
      <c r="AI163" s="183">
        <f t="shared" si="34"/>
        <v>72452.892599999992</v>
      </c>
      <c r="AJ163" s="183">
        <f>IF(H163="Bexar",(AD163/$AJ$1)*'1. UC Assumptions'!$E$42,0)</f>
        <v>0</v>
      </c>
      <c r="AK163" s="183">
        <f>IF(H163="Dallas",(AD163/$AK$1)*'1. UC Assumptions'!$F$42,0)</f>
        <v>0</v>
      </c>
      <c r="AL163" s="183">
        <f>IF(H163="El Paso",(AD163/$AL$1)*'1. UC Assumptions'!$G$42,0)</f>
        <v>0</v>
      </c>
      <c r="AM163" s="183">
        <f>IF(H163="Harris",(AD163/$AM$1)*'1. UC Assumptions'!$H$42,0)</f>
        <v>0</v>
      </c>
      <c r="AN163" s="183">
        <f>IF(H163="Hidalgo",(AD163/$AN$1)*'1. UC Assumptions'!$I$42,0)</f>
        <v>0</v>
      </c>
      <c r="AO163" s="183">
        <f>IF(H163="Jefferson",(AD163/$AO$1)*'1. UC Assumptions'!$J$42,0)</f>
        <v>0</v>
      </c>
      <c r="AP163" s="183">
        <f>IF(H163="Lubbock",(AD163/$AP$1)*'1. UC Assumptions'!$K$42,0)</f>
        <v>0</v>
      </c>
      <c r="AQ163" s="183">
        <f>IF(H163="MRSA Central",(AD163/$AQ$1)*'1. UC Assumptions'!$L$42,0)</f>
        <v>0</v>
      </c>
      <c r="AR163" s="183">
        <f>IF(H163="MRSA Northeast",(AD163/$AR$1)*'1. UC Assumptions'!$M$42,0)</f>
        <v>0</v>
      </c>
      <c r="AS163" s="183">
        <f>IF(H163="MRSA West",(AD163/$AS$1)*'1. UC Assumptions'!$N$42,0)</f>
        <v>0</v>
      </c>
      <c r="AT163" s="183">
        <f>IF(H163="Nueces",(AD163/$AT$1)*'1. UC Assumptions'!$O$42,0)</f>
        <v>0</v>
      </c>
      <c r="AU163" s="183">
        <f>IF(H163="Tarrant",(AD163/$AU$1)*'1. UC Assumptions'!$P$42,0)</f>
        <v>0</v>
      </c>
      <c r="AV163" s="183">
        <f>IF(H163="Travis",(AD163/$AV$1)*'1. UC Assumptions'!$Q$42,0)</f>
        <v>0</v>
      </c>
      <c r="AW163" s="183">
        <f>IF(H163="Bexar",(AC163/$AW$1)*'1. UC Assumptions'!$E$44,0)</f>
        <v>0</v>
      </c>
      <c r="AX163" s="183">
        <f>IF(H163="Dallas",(AC163/$AX$1)*'1. UC Assumptions'!$F$44,0)</f>
        <v>0</v>
      </c>
      <c r="AY163" s="183">
        <f>IF(H163="El Paso",(AC163/$AY$1)*'1. UC Assumptions'!$G$44,0)</f>
        <v>0</v>
      </c>
      <c r="AZ163" s="183">
        <f>IF(H163="Harris",(AC163/$AZ$1)*'1. UC Assumptions'!$H$44,0)</f>
        <v>0</v>
      </c>
      <c r="BA163" s="183">
        <f>IF(H163="Hidalgo",(AC163/$BA$1)*'1. UC Assumptions'!$I$44,0)</f>
        <v>0</v>
      </c>
      <c r="BB163" s="183">
        <f>IF(H163="Jefferson",(AC163/$BB$1)*'1. UC Assumptions'!$J$44,0)</f>
        <v>0</v>
      </c>
      <c r="BC163" s="183">
        <f>IF(H163="Lubbock",(AC163/$BC$1)*'1. UC Assumptions'!$K$44,0)</f>
        <v>0</v>
      </c>
      <c r="BD163" s="183">
        <f>IF(H163="MRSA Central",(AC163/$BD$1)*'1. UC Assumptions'!$L$44,0)</f>
        <v>0</v>
      </c>
      <c r="BE163" s="183">
        <f>IF(H163="MRSA Northeast",(AC163/$BE$1)*'1. UC Assumptions'!$M$44,0)</f>
        <v>0</v>
      </c>
      <c r="BF163" s="183">
        <f>IF(H163="MRSA West",(AC163/$BF$1)*'1. UC Assumptions'!$N$44,0)</f>
        <v>0</v>
      </c>
      <c r="BG163" s="183">
        <f>IF(H163="Nueces",(AC163/$BG$1)*'1. UC Assumptions'!$O$44,0)</f>
        <v>0</v>
      </c>
      <c r="BH163" s="183">
        <f>IF(H163="Tarrant",(AC163/$BH$1)*'1. UC Assumptions'!$P$44,0)</f>
        <v>0</v>
      </c>
      <c r="BI163" s="183">
        <f>IF(H163="Travis",(AC163/$BI$1)*'1. UC Assumptions'!$Q$44,0)</f>
        <v>0</v>
      </c>
      <c r="BJ163" s="183">
        <f t="shared" si="35"/>
        <v>0</v>
      </c>
      <c r="BK163" s="183">
        <f t="shared" si="36"/>
        <v>0</v>
      </c>
      <c r="BL163" s="183">
        <f t="shared" si="37"/>
        <v>204534.9</v>
      </c>
      <c r="BM163" s="184">
        <f t="shared" si="38"/>
        <v>-15019.320000000007</v>
      </c>
      <c r="BN163" s="184">
        <f>ROUNDDOWN(BM163*'1. UC Assumptions'!$C$23,2)</f>
        <v>-4956.37</v>
      </c>
      <c r="BO163" s="184"/>
      <c r="BP163" s="185"/>
      <c r="BQ163" s="32"/>
      <c r="BR163" s="32"/>
    </row>
    <row r="164" spans="1:70">
      <c r="A164" s="177" t="s">
        <v>1495</v>
      </c>
      <c r="B164" s="178" t="s">
        <v>508</v>
      </c>
      <c r="C164" s="178" t="s">
        <v>508</v>
      </c>
      <c r="D164" s="179" t="s">
        <v>208</v>
      </c>
      <c r="E164" s="179" t="s">
        <v>149</v>
      </c>
      <c r="F164" s="177"/>
      <c r="G164" s="177" t="s">
        <v>509</v>
      </c>
      <c r="H164" s="178" t="s">
        <v>10</v>
      </c>
      <c r="I164" s="178" t="s">
        <v>510</v>
      </c>
      <c r="J164" s="131">
        <f>IFERROR(INDEX(#REF!,(MATCH('Old Calc Tab'!C:C,#REF!,0))),0)</f>
        <v>0</v>
      </c>
      <c r="K164" s="131">
        <f>IFERROR(INDEX(#REF!,(MATCH('Old Calc Tab'!$C:$C,#REF!,0))),0)</f>
        <v>0</v>
      </c>
      <c r="L164" s="131"/>
      <c r="M164" s="131">
        <v>828022.95280518336</v>
      </c>
      <c r="N164" s="131">
        <f>IFERROR(INDEX(#REF!,(MATCH('Old Calc Tab'!$C:$C,#REF!,0))),0)</f>
        <v>0</v>
      </c>
      <c r="O164" s="131">
        <f t="shared" si="26"/>
        <v>0</v>
      </c>
      <c r="P164" s="131">
        <f t="shared" si="27"/>
        <v>828022.95280518336</v>
      </c>
      <c r="Q164" s="131"/>
      <c r="R164" s="131"/>
      <c r="S164" s="131"/>
      <c r="T164" s="131"/>
      <c r="U164" s="131"/>
      <c r="V164" s="131">
        <v>0</v>
      </c>
      <c r="W164" s="180">
        <v>0</v>
      </c>
      <c r="X164" s="180">
        <f t="shared" si="28"/>
        <v>828022.95280518336</v>
      </c>
      <c r="Y164" s="181">
        <f>IF(D164="Physician Group Practice",(X164/$AE$369)*'1. UC Assumptions'!$C$15,IF(OR(E164="Rural Hospital",E164="Hosp - State"),X164,(X164/$X$369)*'1. UC Assumptions'!$C$9))</f>
        <v>828022.95280518336</v>
      </c>
      <c r="Z164" s="181">
        <f t="shared" si="29"/>
        <v>0</v>
      </c>
      <c r="AA164" s="181">
        <f t="shared" si="30"/>
        <v>0</v>
      </c>
      <c r="AB164" s="182">
        <f t="shared" si="31"/>
        <v>0</v>
      </c>
      <c r="AC164" s="181">
        <f t="shared" si="32"/>
        <v>0</v>
      </c>
      <c r="AD164" s="181">
        <f t="shared" si="33"/>
        <v>828022.95280518336</v>
      </c>
      <c r="AE164" s="131">
        <v>184315.79</v>
      </c>
      <c r="AF164" s="131">
        <f>AE164*'1. UC Assumptions'!$C$23</f>
        <v>60824.210699999996</v>
      </c>
      <c r="AG164" s="183">
        <f>IF((((X164-W164-AE164)*'1. UC Assumptions'!$C$23)+AF164)&gt;0,((X164-W164-AE164)*'1. UC Assumptions'!$C$23)+AF164,0)</f>
        <v>273247.57442571048</v>
      </c>
      <c r="AH164" s="183">
        <f>IF(((X164-W164-AE164)*'1. UC Assumptions'!$C$23)&gt;0,(X164-W164-AE164)*'1. UC Assumptions'!$C$23,0)</f>
        <v>212423.36372571049</v>
      </c>
      <c r="AI164" s="183">
        <f t="shared" si="34"/>
        <v>273247.57442571048</v>
      </c>
      <c r="AJ164" s="183">
        <f>IF(H164="Bexar",(AD164/$AJ$1)*'1. UC Assumptions'!$E$42,0)</f>
        <v>0</v>
      </c>
      <c r="AK164" s="183">
        <f>IF(H164="Dallas",(AD164/$AK$1)*'1. UC Assumptions'!$F$42,0)</f>
        <v>0</v>
      </c>
      <c r="AL164" s="183">
        <f>IF(H164="El Paso",(AD164/$AL$1)*'1. UC Assumptions'!$G$42,0)</f>
        <v>0</v>
      </c>
      <c r="AM164" s="183">
        <f>IF(H164="Harris",(AD164/$AM$1)*'1. UC Assumptions'!$H$42,0)</f>
        <v>0</v>
      </c>
      <c r="AN164" s="183">
        <f>IF(H164="Hidalgo",(AD164/$AN$1)*'1. UC Assumptions'!$I$42,0)</f>
        <v>0</v>
      </c>
      <c r="AO164" s="183">
        <f>IF(H164="Jefferson",(AD164/$AO$1)*'1. UC Assumptions'!$J$42,0)</f>
        <v>0</v>
      </c>
      <c r="AP164" s="183">
        <f>IF(H164="Lubbock",(AD164/$AP$1)*'1. UC Assumptions'!$K$42,0)</f>
        <v>0</v>
      </c>
      <c r="AQ164" s="183">
        <f>IF(H164="MRSA Central",(AD164/$AQ$1)*'1. UC Assumptions'!$L$42,0)</f>
        <v>0</v>
      </c>
      <c r="AR164" s="183">
        <f>IF(H164="MRSA Northeast",(AD164/$AR$1)*'1. UC Assumptions'!$M$42,0)</f>
        <v>0</v>
      </c>
      <c r="AS164" s="183">
        <f>IF(H164="MRSA West",(AD164/$AS$1)*'1. UC Assumptions'!$N$42,0)</f>
        <v>0</v>
      </c>
      <c r="AT164" s="183">
        <f>IF(H164="Nueces",(AD164/$AT$1)*'1. UC Assumptions'!$O$42,0)</f>
        <v>0</v>
      </c>
      <c r="AU164" s="183">
        <f>IF(H164="Tarrant",(AD164/$AU$1)*'1. UC Assumptions'!$P$42,0)</f>
        <v>0</v>
      </c>
      <c r="AV164" s="183">
        <f>IF(H164="Travis",(AD164/$AV$1)*'1. UC Assumptions'!$Q$42,0)</f>
        <v>0</v>
      </c>
      <c r="AW164" s="183">
        <f>IF(H164="Bexar",(AC164/$AW$1)*'1. UC Assumptions'!$E$44,0)</f>
        <v>0</v>
      </c>
      <c r="AX164" s="183">
        <f>IF(H164="Dallas",(AC164/$AX$1)*'1. UC Assumptions'!$F$44,0)</f>
        <v>0</v>
      </c>
      <c r="AY164" s="183">
        <f>IF(H164="El Paso",(AC164/$AY$1)*'1. UC Assumptions'!$G$44,0)</f>
        <v>0</v>
      </c>
      <c r="AZ164" s="183">
        <f>IF(H164="Harris",(AC164/$AZ$1)*'1. UC Assumptions'!$H$44,0)</f>
        <v>0</v>
      </c>
      <c r="BA164" s="183">
        <f>IF(H164="Hidalgo",(AC164/$BA$1)*'1. UC Assumptions'!$I$44,0)</f>
        <v>0</v>
      </c>
      <c r="BB164" s="183">
        <f>IF(H164="Jefferson",(AC164/$BB$1)*'1. UC Assumptions'!$J$44,0)</f>
        <v>0</v>
      </c>
      <c r="BC164" s="183">
        <f>IF(H164="Lubbock",(AC164/$BC$1)*'1. UC Assumptions'!$K$44,0)</f>
        <v>0</v>
      </c>
      <c r="BD164" s="183">
        <f>IF(H164="MRSA Central",(AC164/$BD$1)*'1. UC Assumptions'!$L$44,0)</f>
        <v>0</v>
      </c>
      <c r="BE164" s="183">
        <f>IF(H164="MRSA Northeast",(AC164/$BE$1)*'1. UC Assumptions'!$M$44,0)</f>
        <v>0</v>
      </c>
      <c r="BF164" s="183">
        <f>IF(H164="MRSA West",(AC164/$BF$1)*'1. UC Assumptions'!$N$44,0)</f>
        <v>0</v>
      </c>
      <c r="BG164" s="183">
        <f>IF(H164="Nueces",(AC164/$BG$1)*'1. UC Assumptions'!$O$44,0)</f>
        <v>0</v>
      </c>
      <c r="BH164" s="183">
        <f>IF(H164="Tarrant",(AC164/$BH$1)*'1. UC Assumptions'!$P$44,0)</f>
        <v>0</v>
      </c>
      <c r="BI164" s="183">
        <f>IF(H164="Travis",(AC164/$BI$1)*'1. UC Assumptions'!$Q$44,0)</f>
        <v>0</v>
      </c>
      <c r="BJ164" s="183">
        <f t="shared" si="35"/>
        <v>0</v>
      </c>
      <c r="BK164" s="183">
        <f t="shared" si="36"/>
        <v>0</v>
      </c>
      <c r="BL164" s="183">
        <f t="shared" si="37"/>
        <v>828022.95280518336</v>
      </c>
      <c r="BM164" s="184">
        <f t="shared" si="38"/>
        <v>643707.16280518332</v>
      </c>
      <c r="BN164" s="184">
        <f>ROUNDDOWN(BM164*'1. UC Assumptions'!$C$23,2)</f>
        <v>212423.36</v>
      </c>
      <c r="BO164" s="184"/>
      <c r="BP164" s="185"/>
      <c r="BQ164" s="32"/>
      <c r="BR164" s="32"/>
    </row>
    <row r="165" spans="1:70">
      <c r="A165" s="177" t="s">
        <v>1496</v>
      </c>
      <c r="B165" s="178" t="s">
        <v>1497</v>
      </c>
      <c r="C165" s="178" t="s">
        <v>1497</v>
      </c>
      <c r="D165" s="179" t="s">
        <v>208</v>
      </c>
      <c r="E165" s="179" t="s">
        <v>149</v>
      </c>
      <c r="F165" s="177"/>
      <c r="G165" s="177" t="s">
        <v>211</v>
      </c>
      <c r="H165" s="178" t="s">
        <v>10</v>
      </c>
      <c r="I165" s="178" t="s">
        <v>212</v>
      </c>
      <c r="J165" s="131">
        <f>IFERROR(INDEX(#REF!,(MATCH('Old Calc Tab'!C:C,#REF!,0))),0)</f>
        <v>0</v>
      </c>
      <c r="K165" s="131">
        <f>IFERROR(INDEX(#REF!,(MATCH('Old Calc Tab'!$C:$C,#REF!,0))),0)</f>
        <v>0</v>
      </c>
      <c r="L165" s="131"/>
      <c r="M165" s="131">
        <v>372949.5</v>
      </c>
      <c r="N165" s="131">
        <f>IFERROR(INDEX(#REF!,(MATCH('Old Calc Tab'!$C:$C,#REF!,0))),0)</f>
        <v>0</v>
      </c>
      <c r="O165" s="131">
        <f t="shared" si="26"/>
        <v>0</v>
      </c>
      <c r="P165" s="131">
        <f t="shared" si="27"/>
        <v>372949.5</v>
      </c>
      <c r="Q165" s="131"/>
      <c r="R165" s="131"/>
      <c r="S165" s="131"/>
      <c r="T165" s="131"/>
      <c r="U165" s="131"/>
      <c r="V165" s="131">
        <v>23502</v>
      </c>
      <c r="W165" s="180">
        <v>0</v>
      </c>
      <c r="X165" s="180">
        <f t="shared" si="28"/>
        <v>396451.5</v>
      </c>
      <c r="Y165" s="181">
        <f>IF(D165="Physician Group Practice",(X165/$AE$369)*'1. UC Assumptions'!$C$15,IF(OR(E165="Rural Hospital",E165="Hosp - State"),X165,(X165/$X$369)*'1. UC Assumptions'!$C$9))</f>
        <v>396451.5</v>
      </c>
      <c r="Z165" s="181">
        <f t="shared" si="29"/>
        <v>0</v>
      </c>
      <c r="AA165" s="181">
        <f t="shared" si="30"/>
        <v>0</v>
      </c>
      <c r="AB165" s="182">
        <f t="shared" si="31"/>
        <v>0</v>
      </c>
      <c r="AC165" s="181">
        <f t="shared" si="32"/>
        <v>0</v>
      </c>
      <c r="AD165" s="181">
        <f t="shared" si="33"/>
        <v>396451.5</v>
      </c>
      <c r="AE165" s="131">
        <v>389899.77</v>
      </c>
      <c r="AF165" s="131">
        <f>AE165*'1. UC Assumptions'!$C$23</f>
        <v>128666.92409999999</v>
      </c>
      <c r="AG165" s="183">
        <f>IF((((X165-W165-AE165)*'1. UC Assumptions'!$C$23)+AF165)&gt;0,((X165-W165-AE165)*'1. UC Assumptions'!$C$23)+AF165,0)</f>
        <v>130828.99499999998</v>
      </c>
      <c r="AH165" s="183">
        <f>IF(((X165-W165-AE165)*'1. UC Assumptions'!$C$23)&gt;0,(X165-W165-AE165)*'1. UC Assumptions'!$C$23,0)</f>
        <v>2162.0708999999938</v>
      </c>
      <c r="AI165" s="183">
        <f t="shared" si="34"/>
        <v>130828.99499999998</v>
      </c>
      <c r="AJ165" s="183">
        <f>IF(H165="Bexar",(AD165/$AJ$1)*'1. UC Assumptions'!$E$42,0)</f>
        <v>0</v>
      </c>
      <c r="AK165" s="183">
        <f>IF(H165="Dallas",(AD165/$AK$1)*'1. UC Assumptions'!$F$42,0)</f>
        <v>0</v>
      </c>
      <c r="AL165" s="183">
        <f>IF(H165="El Paso",(AD165/$AL$1)*'1. UC Assumptions'!$G$42,0)</f>
        <v>0</v>
      </c>
      <c r="AM165" s="183">
        <f>IF(H165="Harris",(AD165/$AM$1)*'1. UC Assumptions'!$H$42,0)</f>
        <v>0</v>
      </c>
      <c r="AN165" s="183">
        <f>IF(H165="Hidalgo",(AD165/$AN$1)*'1. UC Assumptions'!$I$42,0)</f>
        <v>0</v>
      </c>
      <c r="AO165" s="183">
        <f>IF(H165="Jefferson",(AD165/$AO$1)*'1. UC Assumptions'!$J$42,0)</f>
        <v>0</v>
      </c>
      <c r="AP165" s="183">
        <f>IF(H165="Lubbock",(AD165/$AP$1)*'1. UC Assumptions'!$K$42,0)</f>
        <v>0</v>
      </c>
      <c r="AQ165" s="183">
        <f>IF(H165="MRSA Central",(AD165/$AQ$1)*'1. UC Assumptions'!$L$42,0)</f>
        <v>0</v>
      </c>
      <c r="AR165" s="183">
        <f>IF(H165="MRSA Northeast",(AD165/$AR$1)*'1. UC Assumptions'!$M$42,0)</f>
        <v>0</v>
      </c>
      <c r="AS165" s="183">
        <f>IF(H165="MRSA West",(AD165/$AS$1)*'1. UC Assumptions'!$N$42,0)</f>
        <v>0</v>
      </c>
      <c r="AT165" s="183">
        <f>IF(H165="Nueces",(AD165/$AT$1)*'1. UC Assumptions'!$O$42,0)</f>
        <v>0</v>
      </c>
      <c r="AU165" s="183">
        <f>IF(H165="Tarrant",(AD165/$AU$1)*'1. UC Assumptions'!$P$42,0)</f>
        <v>0</v>
      </c>
      <c r="AV165" s="183">
        <f>IF(H165="Travis",(AD165/$AV$1)*'1. UC Assumptions'!$Q$42,0)</f>
        <v>0</v>
      </c>
      <c r="AW165" s="183">
        <f>IF(H165="Bexar",(AC165/$AW$1)*'1. UC Assumptions'!$E$44,0)</f>
        <v>0</v>
      </c>
      <c r="AX165" s="183">
        <f>IF(H165="Dallas",(AC165/$AX$1)*'1. UC Assumptions'!$F$44,0)</f>
        <v>0</v>
      </c>
      <c r="AY165" s="183">
        <f>IF(H165="El Paso",(AC165/$AY$1)*'1. UC Assumptions'!$G$44,0)</f>
        <v>0</v>
      </c>
      <c r="AZ165" s="183">
        <f>IF(H165="Harris",(AC165/$AZ$1)*'1. UC Assumptions'!$H$44,0)</f>
        <v>0</v>
      </c>
      <c r="BA165" s="183">
        <f>IF(H165="Hidalgo",(AC165/$BA$1)*'1. UC Assumptions'!$I$44,0)</f>
        <v>0</v>
      </c>
      <c r="BB165" s="183">
        <f>IF(H165="Jefferson",(AC165/$BB$1)*'1. UC Assumptions'!$J$44,0)</f>
        <v>0</v>
      </c>
      <c r="BC165" s="183">
        <f>IF(H165="Lubbock",(AC165/$BC$1)*'1. UC Assumptions'!$K$44,0)</f>
        <v>0</v>
      </c>
      <c r="BD165" s="183">
        <f>IF(H165="MRSA Central",(AC165/$BD$1)*'1. UC Assumptions'!$L$44,0)</f>
        <v>0</v>
      </c>
      <c r="BE165" s="183">
        <f>IF(H165="MRSA Northeast",(AC165/$BE$1)*'1. UC Assumptions'!$M$44,0)</f>
        <v>0</v>
      </c>
      <c r="BF165" s="183">
        <f>IF(H165="MRSA West",(AC165/$BF$1)*'1. UC Assumptions'!$N$44,0)</f>
        <v>0</v>
      </c>
      <c r="BG165" s="183">
        <f>IF(H165="Nueces",(AC165/$BG$1)*'1. UC Assumptions'!$O$44,0)</f>
        <v>0</v>
      </c>
      <c r="BH165" s="183">
        <f>IF(H165="Tarrant",(AC165/$BH$1)*'1. UC Assumptions'!$P$44,0)</f>
        <v>0</v>
      </c>
      <c r="BI165" s="183">
        <f>IF(H165="Travis",(AC165/$BI$1)*'1. UC Assumptions'!$Q$44,0)</f>
        <v>0</v>
      </c>
      <c r="BJ165" s="183">
        <f t="shared" si="35"/>
        <v>0</v>
      </c>
      <c r="BK165" s="183">
        <f t="shared" si="36"/>
        <v>0</v>
      </c>
      <c r="BL165" s="183">
        <f t="shared" si="37"/>
        <v>396451.5</v>
      </c>
      <c r="BM165" s="184">
        <f t="shared" si="38"/>
        <v>6551.7299999999814</v>
      </c>
      <c r="BN165" s="184">
        <f>ROUNDDOWN(BM165*'1. UC Assumptions'!$C$23,2)</f>
        <v>2162.0700000000002</v>
      </c>
      <c r="BO165" s="184"/>
      <c r="BP165" s="185"/>
      <c r="BQ165" s="32"/>
      <c r="BR165" s="32"/>
    </row>
    <row r="166" spans="1:70">
      <c r="A166" s="177" t="s">
        <v>1498</v>
      </c>
      <c r="B166" s="178" t="s">
        <v>524</v>
      </c>
      <c r="C166" s="178" t="s">
        <v>524</v>
      </c>
      <c r="D166" s="179" t="s">
        <v>208</v>
      </c>
      <c r="E166" s="179" t="s">
        <v>149</v>
      </c>
      <c r="F166" s="177"/>
      <c r="G166" s="177" t="s">
        <v>525</v>
      </c>
      <c r="H166" s="178" t="s">
        <v>10</v>
      </c>
      <c r="I166" s="178" t="s">
        <v>526</v>
      </c>
      <c r="J166" s="131">
        <f>IFERROR(INDEX(#REF!,(MATCH('Old Calc Tab'!C:C,#REF!,0))),0)</f>
        <v>0</v>
      </c>
      <c r="K166" s="131">
        <f>IFERROR(INDEX(#REF!,(MATCH('Old Calc Tab'!$C:$C,#REF!,0))),0)</f>
        <v>0</v>
      </c>
      <c r="L166" s="131"/>
      <c r="M166" s="131">
        <v>813112.6875</v>
      </c>
      <c r="N166" s="131">
        <f>IFERROR(INDEX(#REF!,(MATCH('Old Calc Tab'!$C:$C,#REF!,0))),0)</f>
        <v>0</v>
      </c>
      <c r="O166" s="131">
        <f t="shared" si="26"/>
        <v>0</v>
      </c>
      <c r="P166" s="131">
        <f t="shared" si="27"/>
        <v>813112.6875</v>
      </c>
      <c r="Q166" s="131"/>
      <c r="R166" s="131"/>
      <c r="S166" s="131"/>
      <c r="T166" s="131"/>
      <c r="U166" s="131"/>
      <c r="V166" s="131">
        <v>0</v>
      </c>
      <c r="W166" s="180">
        <v>0</v>
      </c>
      <c r="X166" s="180">
        <f t="shared" si="28"/>
        <v>813112.6875</v>
      </c>
      <c r="Y166" s="181">
        <f>IF(D166="Physician Group Practice",(X166/$AE$369)*'1. UC Assumptions'!$C$15,IF(OR(E166="Rural Hospital",E166="Hosp - State"),X166,(X166/$X$369)*'1. UC Assumptions'!$C$9))</f>
        <v>813112.6875</v>
      </c>
      <c r="Z166" s="181">
        <f t="shared" si="29"/>
        <v>0</v>
      </c>
      <c r="AA166" s="181">
        <f t="shared" si="30"/>
        <v>0</v>
      </c>
      <c r="AB166" s="182">
        <f t="shared" si="31"/>
        <v>0</v>
      </c>
      <c r="AC166" s="181">
        <f t="shared" si="32"/>
        <v>0</v>
      </c>
      <c r="AD166" s="181">
        <f t="shared" si="33"/>
        <v>813112.6875</v>
      </c>
      <c r="AE166" s="131">
        <v>358241.69</v>
      </c>
      <c r="AF166" s="131">
        <f>AE166*'1. UC Assumptions'!$C$23</f>
        <v>118219.75769999999</v>
      </c>
      <c r="AG166" s="183">
        <f>IF((((X166-W166-AE166)*'1. UC Assumptions'!$C$23)+AF166)&gt;0,((X166-W166-AE166)*'1. UC Assumptions'!$C$23)+AF166,0)</f>
        <v>268327.18687499996</v>
      </c>
      <c r="AH166" s="183">
        <f>IF(((X166-W166-AE166)*'1. UC Assumptions'!$C$23)&gt;0,(X166-W166-AE166)*'1. UC Assumptions'!$C$23,0)</f>
        <v>150107.42917499997</v>
      </c>
      <c r="AI166" s="183">
        <f t="shared" si="34"/>
        <v>268327.18687499996</v>
      </c>
      <c r="AJ166" s="183">
        <f>IF(H166="Bexar",(AD166/$AJ$1)*'1. UC Assumptions'!$E$42,0)</f>
        <v>0</v>
      </c>
      <c r="AK166" s="183">
        <f>IF(H166="Dallas",(AD166/$AK$1)*'1. UC Assumptions'!$F$42,0)</f>
        <v>0</v>
      </c>
      <c r="AL166" s="183">
        <f>IF(H166="El Paso",(AD166/$AL$1)*'1. UC Assumptions'!$G$42,0)</f>
        <v>0</v>
      </c>
      <c r="AM166" s="183">
        <f>IF(H166="Harris",(AD166/$AM$1)*'1. UC Assumptions'!$H$42,0)</f>
        <v>0</v>
      </c>
      <c r="AN166" s="183">
        <f>IF(H166="Hidalgo",(AD166/$AN$1)*'1. UC Assumptions'!$I$42,0)</f>
        <v>0</v>
      </c>
      <c r="AO166" s="183">
        <f>IF(H166="Jefferson",(AD166/$AO$1)*'1. UC Assumptions'!$J$42,0)</f>
        <v>0</v>
      </c>
      <c r="AP166" s="183">
        <f>IF(H166="Lubbock",(AD166/$AP$1)*'1. UC Assumptions'!$K$42,0)</f>
        <v>0</v>
      </c>
      <c r="AQ166" s="183">
        <f>IF(H166="MRSA Central",(AD166/$AQ$1)*'1. UC Assumptions'!$L$42,0)</f>
        <v>0</v>
      </c>
      <c r="AR166" s="183">
        <f>IF(H166="MRSA Northeast",(AD166/$AR$1)*'1. UC Assumptions'!$M$42,0)</f>
        <v>0</v>
      </c>
      <c r="AS166" s="183">
        <f>IF(H166="MRSA West",(AD166/$AS$1)*'1. UC Assumptions'!$N$42,0)</f>
        <v>0</v>
      </c>
      <c r="AT166" s="183">
        <f>IF(H166="Nueces",(AD166/$AT$1)*'1. UC Assumptions'!$O$42,0)</f>
        <v>0</v>
      </c>
      <c r="AU166" s="183">
        <f>IF(H166="Tarrant",(AD166/$AU$1)*'1. UC Assumptions'!$P$42,0)</f>
        <v>0</v>
      </c>
      <c r="AV166" s="183">
        <f>IF(H166="Travis",(AD166/$AV$1)*'1. UC Assumptions'!$Q$42,0)</f>
        <v>0</v>
      </c>
      <c r="AW166" s="183">
        <f>IF(H166="Bexar",(AC166/$AW$1)*'1. UC Assumptions'!$E$44,0)</f>
        <v>0</v>
      </c>
      <c r="AX166" s="183">
        <f>IF(H166="Dallas",(AC166/$AX$1)*'1. UC Assumptions'!$F$44,0)</f>
        <v>0</v>
      </c>
      <c r="AY166" s="183">
        <f>IF(H166="El Paso",(AC166/$AY$1)*'1. UC Assumptions'!$G$44,0)</f>
        <v>0</v>
      </c>
      <c r="AZ166" s="183">
        <f>IF(H166="Harris",(AC166/$AZ$1)*'1. UC Assumptions'!$H$44,0)</f>
        <v>0</v>
      </c>
      <c r="BA166" s="183">
        <f>IF(H166="Hidalgo",(AC166/$BA$1)*'1. UC Assumptions'!$I$44,0)</f>
        <v>0</v>
      </c>
      <c r="BB166" s="183">
        <f>IF(H166="Jefferson",(AC166/$BB$1)*'1. UC Assumptions'!$J$44,0)</f>
        <v>0</v>
      </c>
      <c r="BC166" s="183">
        <f>IF(H166="Lubbock",(AC166/$BC$1)*'1. UC Assumptions'!$K$44,0)</f>
        <v>0</v>
      </c>
      <c r="BD166" s="183">
        <f>IF(H166="MRSA Central",(AC166/$BD$1)*'1. UC Assumptions'!$L$44,0)</f>
        <v>0</v>
      </c>
      <c r="BE166" s="183">
        <f>IF(H166="MRSA Northeast",(AC166/$BE$1)*'1. UC Assumptions'!$M$44,0)</f>
        <v>0</v>
      </c>
      <c r="BF166" s="183">
        <f>IF(H166="MRSA West",(AC166/$BF$1)*'1. UC Assumptions'!$N$44,0)</f>
        <v>0</v>
      </c>
      <c r="BG166" s="183">
        <f>IF(H166="Nueces",(AC166/$BG$1)*'1. UC Assumptions'!$O$44,0)</f>
        <v>0</v>
      </c>
      <c r="BH166" s="183">
        <f>IF(H166="Tarrant",(AC166/$BH$1)*'1. UC Assumptions'!$P$44,0)</f>
        <v>0</v>
      </c>
      <c r="BI166" s="183">
        <f>IF(H166="Travis",(AC166/$BI$1)*'1. UC Assumptions'!$Q$44,0)</f>
        <v>0</v>
      </c>
      <c r="BJ166" s="183">
        <f t="shared" si="35"/>
        <v>0</v>
      </c>
      <c r="BK166" s="183">
        <f t="shared" si="36"/>
        <v>0</v>
      </c>
      <c r="BL166" s="183">
        <f t="shared" si="37"/>
        <v>813112.6875</v>
      </c>
      <c r="BM166" s="184">
        <f t="shared" si="38"/>
        <v>454870.9975</v>
      </c>
      <c r="BN166" s="184">
        <f>ROUNDDOWN(BM166*'1. UC Assumptions'!$C$23,2)</f>
        <v>150107.42000000001</v>
      </c>
      <c r="BO166" s="184"/>
      <c r="BP166" s="185"/>
      <c r="BQ166" s="32"/>
      <c r="BR166" s="32"/>
    </row>
    <row r="167" spans="1:70">
      <c r="A167" s="177"/>
      <c r="B167" s="177" t="s">
        <v>1111</v>
      </c>
      <c r="C167" s="177" t="s">
        <v>1111</v>
      </c>
      <c r="D167" s="179" t="s">
        <v>36</v>
      </c>
      <c r="E167" s="179" t="s">
        <v>36</v>
      </c>
      <c r="F167" s="177"/>
      <c r="G167" s="177" t="s">
        <v>1499</v>
      </c>
      <c r="H167" s="178" t="s">
        <v>10</v>
      </c>
      <c r="I167" s="178" t="s">
        <v>327</v>
      </c>
      <c r="J167" s="131">
        <f>IFERROR(INDEX(#REF!,(MATCH('Old Calc Tab'!C:C,#REF!,0))),0)</f>
        <v>0</v>
      </c>
      <c r="K167" s="131">
        <f>IFERROR(INDEX(#REF!,(MATCH('Old Calc Tab'!$C:$C,#REF!,0))),0)</f>
        <v>0</v>
      </c>
      <c r="L167" s="131"/>
      <c r="M167" s="131">
        <v>57516447.906478986</v>
      </c>
      <c r="N167" s="131">
        <f>IFERROR(INDEX(#REF!,(MATCH('Old Calc Tab'!$C:$C,#REF!,0))),0)</f>
        <v>0</v>
      </c>
      <c r="O167" s="131">
        <f t="shared" si="26"/>
        <v>0</v>
      </c>
      <c r="P167" s="131">
        <f t="shared" si="27"/>
        <v>57516447.906478986</v>
      </c>
      <c r="Q167" s="131"/>
      <c r="R167" s="131"/>
      <c r="S167" s="131"/>
      <c r="T167" s="131"/>
      <c r="U167" s="131"/>
      <c r="V167" s="180">
        <f>Q167+R167+S167+T167+U167</f>
        <v>0</v>
      </c>
      <c r="W167" s="180">
        <v>0</v>
      </c>
      <c r="X167" s="180">
        <f t="shared" si="28"/>
        <v>57516447.906478986</v>
      </c>
      <c r="Y167" s="181">
        <f>IF(D167="Physician Group Practice",(X167/$AE$369)*'1. UC Assumptions'!$C$15,IF(OR(E167="Rural Hospital",E167="Hosp - State"),X167,(X167/$X$369)*'1. UC Assumptions'!$C$9))</f>
        <v>8857367.2270193826</v>
      </c>
      <c r="Z167" s="181">
        <f t="shared" si="29"/>
        <v>0</v>
      </c>
      <c r="AA167" s="181">
        <f t="shared" si="30"/>
        <v>48659080.679459602</v>
      </c>
      <c r="AB167" s="182">
        <f t="shared" si="31"/>
        <v>26131.441771885326</v>
      </c>
      <c r="AC167" s="181">
        <f t="shared" si="32"/>
        <v>48685212.121231489</v>
      </c>
      <c r="AD167" s="181">
        <f t="shared" si="33"/>
        <v>8883498.668791268</v>
      </c>
      <c r="AE167" s="131">
        <v>14412608.949999999</v>
      </c>
      <c r="AF167" s="131">
        <f>AE167*'1. UC Assumptions'!$C$23</f>
        <v>4756160.9534999989</v>
      </c>
      <c r="AG167" s="183">
        <f>IF((((X167-W167-AE167)*'1. UC Assumptions'!$C$23)+AF167)&gt;0,((X167-W167-AE167)*'1. UC Assumptions'!$C$23)+AF167,0)</f>
        <v>18980427.80913806</v>
      </c>
      <c r="AH167" s="183">
        <f>IF(((X167-W167-AE167)*'1. UC Assumptions'!$C$23)&gt;0,(X167-W167-AE167)*'1. UC Assumptions'!$C$23,0)</f>
        <v>14224266.855638063</v>
      </c>
      <c r="AI167" s="183">
        <f t="shared" si="34"/>
        <v>18980427.80913806</v>
      </c>
      <c r="AJ167" s="183">
        <f>IF(H167="Bexar",(AD167/$AJ$1)*'1. UC Assumptions'!$E$42,0)</f>
        <v>0</v>
      </c>
      <c r="AK167" s="183">
        <f>IF(H167="Dallas",(AD167/$AK$1)*'1. UC Assumptions'!$F$42,0)</f>
        <v>0</v>
      </c>
      <c r="AL167" s="183">
        <f>IF(H167="El Paso",(AD167/$AL$1)*'1. UC Assumptions'!$G$42,0)</f>
        <v>0</v>
      </c>
      <c r="AM167" s="183">
        <f>IF(H167="Harris",(AD167/$AM$1)*'1. UC Assumptions'!$H$42,0)</f>
        <v>0</v>
      </c>
      <c r="AN167" s="183">
        <f>IF(H167="Hidalgo",(AD167/$AN$1)*'1. UC Assumptions'!$I$42,0)</f>
        <v>0</v>
      </c>
      <c r="AO167" s="183">
        <f>IF(H167="Jefferson",(AD167/$AO$1)*'1. UC Assumptions'!$J$42,0)</f>
        <v>0</v>
      </c>
      <c r="AP167" s="183">
        <f>IF(H167="Lubbock",(AD167/$AP$1)*'1. UC Assumptions'!$K$42,0)</f>
        <v>0</v>
      </c>
      <c r="AQ167" s="183">
        <f>IF(H167="MRSA Central",(AD167/$AQ$1)*'1. UC Assumptions'!$L$42,0)</f>
        <v>0</v>
      </c>
      <c r="AR167" s="183">
        <f>IF(H167="MRSA Northeast",(AD167/$AR$1)*'1. UC Assumptions'!$M$42,0)</f>
        <v>0</v>
      </c>
      <c r="AS167" s="183">
        <f>IF(H167="MRSA West",(AD167/$AS$1)*'1. UC Assumptions'!$N$42,0)</f>
        <v>0</v>
      </c>
      <c r="AT167" s="183">
        <f>IF(H167="Nueces",(AD167/$AT$1)*'1. UC Assumptions'!$O$42,0)</f>
        <v>0</v>
      </c>
      <c r="AU167" s="183">
        <f>IF(H167="Tarrant",(AD167/$AU$1)*'1. UC Assumptions'!$P$42,0)</f>
        <v>0</v>
      </c>
      <c r="AV167" s="183">
        <f>IF(H167="Travis",(AD167/$AV$1)*'1. UC Assumptions'!$Q$42,0)</f>
        <v>0</v>
      </c>
      <c r="AW167" s="183">
        <f>IF(H167="Bexar",(AC167/$AW$1)*'1. UC Assumptions'!$E$44,0)</f>
        <v>0</v>
      </c>
      <c r="AX167" s="183">
        <f>IF(H167="Dallas",(AC167/$AX$1)*'1. UC Assumptions'!$F$44,0)</f>
        <v>0</v>
      </c>
      <c r="AY167" s="183">
        <f>IF(H167="El Paso",(AC167/$AY$1)*'1. UC Assumptions'!$G$44,0)</f>
        <v>0</v>
      </c>
      <c r="AZ167" s="183">
        <f>IF(H167="Harris",(AC167/$AZ$1)*'1. UC Assumptions'!$H$44,0)</f>
        <v>0</v>
      </c>
      <c r="BA167" s="183">
        <f>IF(H167="Hidalgo",(AC167/$BA$1)*'1. UC Assumptions'!$I$44,0)</f>
        <v>0</v>
      </c>
      <c r="BB167" s="183">
        <f>IF(H167="Jefferson",(AC167/$BB$1)*'1. UC Assumptions'!$J$44,0)</f>
        <v>0</v>
      </c>
      <c r="BC167" s="183">
        <f>IF(H167="Lubbock",(AC167/$BC$1)*'1. UC Assumptions'!$K$44,0)</f>
        <v>0</v>
      </c>
      <c r="BD167" s="183">
        <f>IF(H167="MRSA Central",(AC167/$BD$1)*'1. UC Assumptions'!$L$44,0)</f>
        <v>0</v>
      </c>
      <c r="BE167" s="183">
        <f>IF(H167="MRSA Northeast",(AC167/$BE$1)*'1. UC Assumptions'!$M$44,0)</f>
        <v>0</v>
      </c>
      <c r="BF167" s="183">
        <f>IF(H167="MRSA West",(AC167/$BF$1)*'1. UC Assumptions'!$N$44,0)</f>
        <v>0</v>
      </c>
      <c r="BG167" s="183">
        <f>IF(H167="Nueces",(AC167/$BG$1)*'1. UC Assumptions'!$O$44,0)</f>
        <v>0</v>
      </c>
      <c r="BH167" s="183">
        <f>IF(H167="Tarrant",(AC167/$BH$1)*'1. UC Assumptions'!$P$44,0)</f>
        <v>0</v>
      </c>
      <c r="BI167" s="183">
        <f>IF(H167="Travis",(AC167/$BI$1)*'1. UC Assumptions'!$Q$44,0)</f>
        <v>0</v>
      </c>
      <c r="BJ167" s="183">
        <f t="shared" si="35"/>
        <v>0</v>
      </c>
      <c r="BK167" s="183">
        <f t="shared" si="36"/>
        <v>0</v>
      </c>
      <c r="BL167" s="183">
        <f t="shared" si="37"/>
        <v>8883498.668791268</v>
      </c>
      <c r="BM167" s="184">
        <f t="shared" si="38"/>
        <v>-5529110.2812087312</v>
      </c>
      <c r="BN167" s="184">
        <f>ROUNDDOWN(BM167*'1. UC Assumptions'!$C$23,2)</f>
        <v>-1824606.39</v>
      </c>
      <c r="BO167" s="184"/>
      <c r="BP167" s="185"/>
      <c r="BQ167" s="32"/>
      <c r="BR167" s="32"/>
    </row>
    <row r="168" spans="1:70">
      <c r="A168" s="177" t="s">
        <v>1500</v>
      </c>
      <c r="B168" s="177" t="s">
        <v>551</v>
      </c>
      <c r="C168" s="178" t="s">
        <v>551</v>
      </c>
      <c r="D168" s="179" t="s">
        <v>214</v>
      </c>
      <c r="E168" s="179"/>
      <c r="F168" s="177"/>
      <c r="G168" s="177" t="s">
        <v>1501</v>
      </c>
      <c r="H168" s="178" t="s">
        <v>10</v>
      </c>
      <c r="I168" s="178" t="s">
        <v>553</v>
      </c>
      <c r="J168" s="131">
        <f>IFERROR(INDEX(#REF!,(MATCH('Old Calc Tab'!C:C,#REF!,0))),0)</f>
        <v>0</v>
      </c>
      <c r="K168" s="131">
        <f>IFERROR(INDEX(#REF!,(MATCH('Old Calc Tab'!$C:$C,#REF!,0))),0)</f>
        <v>0</v>
      </c>
      <c r="L168" s="131"/>
      <c r="M168" s="131">
        <v>26347821.8882</v>
      </c>
      <c r="N168" s="131">
        <f>IFERROR(INDEX(#REF!,(MATCH('Old Calc Tab'!$C:$C,#REF!,0))),0)</f>
        <v>0</v>
      </c>
      <c r="O168" s="131">
        <f t="shared" si="26"/>
        <v>0</v>
      </c>
      <c r="P168" s="131">
        <f t="shared" si="27"/>
        <v>26347821.8882</v>
      </c>
      <c r="Q168" s="131"/>
      <c r="R168" s="131"/>
      <c r="S168" s="131"/>
      <c r="T168" s="131"/>
      <c r="U168" s="131"/>
      <c r="V168" s="131">
        <v>1309356</v>
      </c>
      <c r="W168" s="180">
        <v>0</v>
      </c>
      <c r="X168" s="180">
        <f t="shared" si="28"/>
        <v>27657177.8882</v>
      </c>
      <c r="Y168" s="181">
        <f>IF(D168="Physician Group Practice",(X168/$AE$369)*'1. UC Assumptions'!$C$15,IF(OR(E168="Rural Hospital",E168="Hosp - State"),X168,(X168/$X$369)*'1. UC Assumptions'!$C$9))</f>
        <v>16645832.799181113</v>
      </c>
      <c r="Z168" s="181">
        <f t="shared" si="29"/>
        <v>0</v>
      </c>
      <c r="AA168" s="181">
        <f t="shared" si="30"/>
        <v>11011345.089018887</v>
      </c>
      <c r="AB168" s="182">
        <f t="shared" si="31"/>
        <v>5913.4352520822858</v>
      </c>
      <c r="AC168" s="181">
        <f t="shared" si="32"/>
        <v>11017258.524270969</v>
      </c>
      <c r="AD168" s="181">
        <f t="shared" si="33"/>
        <v>16651746.234433195</v>
      </c>
      <c r="AE168" s="131">
        <v>9026742.2300000004</v>
      </c>
      <c r="AF168" s="131">
        <f>AE168*'1. UC Assumptions'!$C$23</f>
        <v>2978824.9358999999</v>
      </c>
      <c r="AG168" s="183">
        <f>IF((((X168-W168-AE168)*'1. UC Assumptions'!$C$23)+AF168)&gt;0,((X168-W168-AE168)*'1. UC Assumptions'!$C$23)+AF168,0)</f>
        <v>9126868.7031059992</v>
      </c>
      <c r="AH168" s="183">
        <f>IF(((X168-W168-AE168)*'1. UC Assumptions'!$C$23)&gt;0,(X168-W168-AE168)*'1. UC Assumptions'!$C$23,0)</f>
        <v>6148043.7672059992</v>
      </c>
      <c r="AI168" s="183">
        <f t="shared" si="34"/>
        <v>9126868.7031059992</v>
      </c>
      <c r="AJ168" s="183">
        <f>IF(H168="Bexar",(AD168/$AJ$1)*'1. UC Assumptions'!$E$42,0)</f>
        <v>0</v>
      </c>
      <c r="AK168" s="183">
        <f>IF(H168="Dallas",(AD168/$AK$1)*'1. UC Assumptions'!$F$42,0)</f>
        <v>0</v>
      </c>
      <c r="AL168" s="183">
        <f>IF(H168="El Paso",(AD168/$AL$1)*'1. UC Assumptions'!$G$42,0)</f>
        <v>0</v>
      </c>
      <c r="AM168" s="183">
        <f>IF(H168="Harris",(AD168/$AM$1)*'1. UC Assumptions'!$H$42,0)</f>
        <v>0</v>
      </c>
      <c r="AN168" s="183">
        <f>IF(H168="Hidalgo",(AD168/$AN$1)*'1. UC Assumptions'!$I$42,0)</f>
        <v>0</v>
      </c>
      <c r="AO168" s="183">
        <f>IF(H168="Jefferson",(AD168/$AO$1)*'1. UC Assumptions'!$J$42,0)</f>
        <v>0</v>
      </c>
      <c r="AP168" s="183">
        <f>IF(H168="Lubbock",(AD168/$AP$1)*'1. UC Assumptions'!$K$42,0)</f>
        <v>0</v>
      </c>
      <c r="AQ168" s="183">
        <f>IF(H168="MRSA Central",(AD168/$AQ$1)*'1. UC Assumptions'!$L$42,0)</f>
        <v>0</v>
      </c>
      <c r="AR168" s="183">
        <f>IF(H168="MRSA Northeast",(AD168/$AR$1)*'1. UC Assumptions'!$M$42,0)</f>
        <v>0</v>
      </c>
      <c r="AS168" s="183">
        <f>IF(H168="MRSA West",(AD168/$AS$1)*'1. UC Assumptions'!$N$42,0)</f>
        <v>0</v>
      </c>
      <c r="AT168" s="183">
        <f>IF(H168="Nueces",(AD168/$AT$1)*'1. UC Assumptions'!$O$42,0)</f>
        <v>0</v>
      </c>
      <c r="AU168" s="183">
        <f>IF(H168="Tarrant",(AD168/$AU$1)*'1. UC Assumptions'!$P$42,0)</f>
        <v>0</v>
      </c>
      <c r="AV168" s="183">
        <f>IF(H168="Travis",(AD168/$AV$1)*'1. UC Assumptions'!$Q$42,0)</f>
        <v>0</v>
      </c>
      <c r="AW168" s="183">
        <f>IF(H168="Bexar",(AC168/$AW$1)*'1. UC Assumptions'!$E$44,0)</f>
        <v>0</v>
      </c>
      <c r="AX168" s="183">
        <f>IF(H168="Dallas",(AC168/$AX$1)*'1. UC Assumptions'!$F$44,0)</f>
        <v>0</v>
      </c>
      <c r="AY168" s="183">
        <f>IF(H168="El Paso",(AC168/$AY$1)*'1. UC Assumptions'!$G$44,0)</f>
        <v>0</v>
      </c>
      <c r="AZ168" s="183">
        <f>IF(H168="Harris",(AC168/$AZ$1)*'1. UC Assumptions'!$H$44,0)</f>
        <v>0</v>
      </c>
      <c r="BA168" s="183">
        <f>IF(H168="Hidalgo",(AC168/$BA$1)*'1. UC Assumptions'!$I$44,0)</f>
        <v>0</v>
      </c>
      <c r="BB168" s="183">
        <f>IF(H168="Jefferson",(AC168/$BB$1)*'1. UC Assumptions'!$J$44,0)</f>
        <v>0</v>
      </c>
      <c r="BC168" s="183">
        <f>IF(H168="Lubbock",(AC168/$BC$1)*'1. UC Assumptions'!$K$44,0)</f>
        <v>0</v>
      </c>
      <c r="BD168" s="183">
        <f>IF(H168="MRSA Central",(AC168/$BD$1)*'1. UC Assumptions'!$L$44,0)</f>
        <v>0</v>
      </c>
      <c r="BE168" s="183">
        <f>IF(H168="MRSA Northeast",(AC168/$BE$1)*'1. UC Assumptions'!$M$44,0)</f>
        <v>0</v>
      </c>
      <c r="BF168" s="183">
        <f>IF(H168="MRSA West",(AC168/$BF$1)*'1. UC Assumptions'!$N$44,0)</f>
        <v>0</v>
      </c>
      <c r="BG168" s="183">
        <f>IF(H168="Nueces",(AC168/$BG$1)*'1. UC Assumptions'!$O$44,0)</f>
        <v>0</v>
      </c>
      <c r="BH168" s="183">
        <f>IF(H168="Tarrant",(AC168/$BH$1)*'1. UC Assumptions'!$P$44,0)</f>
        <v>0</v>
      </c>
      <c r="BI168" s="183">
        <f>IF(H168="Travis",(AC168/$BI$1)*'1. UC Assumptions'!$Q$44,0)</f>
        <v>0</v>
      </c>
      <c r="BJ168" s="183">
        <f t="shared" si="35"/>
        <v>0</v>
      </c>
      <c r="BK168" s="183">
        <f t="shared" si="36"/>
        <v>0</v>
      </c>
      <c r="BL168" s="183">
        <f t="shared" si="37"/>
        <v>16651746.234433195</v>
      </c>
      <c r="BM168" s="184">
        <f t="shared" si="38"/>
        <v>7625004.0044331942</v>
      </c>
      <c r="BN168" s="184">
        <f>ROUNDDOWN(BM168*'1. UC Assumptions'!$C$23,2)</f>
        <v>2516251.3199999998</v>
      </c>
      <c r="BO168" s="184"/>
      <c r="BP168" s="185"/>
      <c r="BQ168" s="32"/>
      <c r="BR168" s="32"/>
    </row>
    <row r="169" spans="1:70">
      <c r="A169" s="177" t="s">
        <v>1502</v>
      </c>
      <c r="B169" s="178" t="s">
        <v>1503</v>
      </c>
      <c r="C169" s="178" t="s">
        <v>1503</v>
      </c>
      <c r="D169" s="179" t="s">
        <v>214</v>
      </c>
      <c r="E169" s="179" t="s">
        <v>149</v>
      </c>
      <c r="F169" s="177"/>
      <c r="G169" s="177" t="s">
        <v>1504</v>
      </c>
      <c r="H169" s="178" t="s">
        <v>10</v>
      </c>
      <c r="I169" s="178" t="s">
        <v>628</v>
      </c>
      <c r="J169" s="131">
        <f>IFERROR(INDEX(#REF!,(MATCH('Old Calc Tab'!C:C,#REF!,0))),0)</f>
        <v>0</v>
      </c>
      <c r="K169" s="131">
        <f>IFERROR(INDEX(#REF!,(MATCH('Old Calc Tab'!$C:$C,#REF!,0))),0)</f>
        <v>0</v>
      </c>
      <c r="L169" s="131"/>
      <c r="M169" s="131">
        <v>556150.86</v>
      </c>
      <c r="N169" s="131">
        <f>IFERROR(INDEX(#REF!,(MATCH('Old Calc Tab'!$C:$C,#REF!,0))),0)</f>
        <v>0</v>
      </c>
      <c r="O169" s="131">
        <f t="shared" si="26"/>
        <v>0</v>
      </c>
      <c r="P169" s="131">
        <f t="shared" si="27"/>
        <v>556150.86</v>
      </c>
      <c r="Q169" s="131"/>
      <c r="R169" s="131"/>
      <c r="S169" s="131"/>
      <c r="T169" s="131"/>
      <c r="U169" s="131"/>
      <c r="V169" s="131">
        <v>377304</v>
      </c>
      <c r="W169" s="180">
        <v>0</v>
      </c>
      <c r="X169" s="180">
        <f t="shared" si="28"/>
        <v>933454.86</v>
      </c>
      <c r="Y169" s="181">
        <f>IF(D169="Physician Group Practice",(X169/$AE$369)*'1. UC Assumptions'!$C$15,IF(OR(E169="Rural Hospital",E169="Hosp - State"),X169,(X169/$X$369)*'1. UC Assumptions'!$C$9))</f>
        <v>933454.86</v>
      </c>
      <c r="Z169" s="181">
        <f t="shared" si="29"/>
        <v>0</v>
      </c>
      <c r="AA169" s="181">
        <f t="shared" si="30"/>
        <v>0</v>
      </c>
      <c r="AB169" s="182">
        <f t="shared" si="31"/>
        <v>0</v>
      </c>
      <c r="AC169" s="181">
        <f t="shared" si="32"/>
        <v>0</v>
      </c>
      <c r="AD169" s="181">
        <f t="shared" si="33"/>
        <v>933454.86</v>
      </c>
      <c r="AE169" s="131">
        <v>1263403.42</v>
      </c>
      <c r="AF169" s="131">
        <f>AE169*'1. UC Assumptions'!$C$23</f>
        <v>416923.12859999994</v>
      </c>
      <c r="AG169" s="183">
        <f>IF((((X169-W169-AE169)*'1. UC Assumptions'!$C$23)+AF169)&gt;0,((X169-W169-AE169)*'1. UC Assumptions'!$C$23)+AF169,0)</f>
        <v>308040.10379999998</v>
      </c>
      <c r="AH169" s="183">
        <f>IF(((X169-W169-AE169)*'1. UC Assumptions'!$C$23)&gt;0,(X169-W169-AE169)*'1. UC Assumptions'!$C$23,0)</f>
        <v>0</v>
      </c>
      <c r="AI169" s="183">
        <f t="shared" si="34"/>
        <v>416923.12859999994</v>
      </c>
      <c r="AJ169" s="183">
        <f>IF(H169="Bexar",(AD169/$AJ$1)*'1. UC Assumptions'!$E$42,0)</f>
        <v>0</v>
      </c>
      <c r="AK169" s="183">
        <f>IF(H169="Dallas",(AD169/$AK$1)*'1. UC Assumptions'!$F$42,0)</f>
        <v>0</v>
      </c>
      <c r="AL169" s="183">
        <f>IF(H169="El Paso",(AD169/$AL$1)*'1. UC Assumptions'!$G$42,0)</f>
        <v>0</v>
      </c>
      <c r="AM169" s="183">
        <f>IF(H169="Harris",(AD169/$AM$1)*'1. UC Assumptions'!$H$42,0)</f>
        <v>0</v>
      </c>
      <c r="AN169" s="183">
        <f>IF(H169="Hidalgo",(AD169/$AN$1)*'1. UC Assumptions'!$I$42,0)</f>
        <v>0</v>
      </c>
      <c r="AO169" s="183">
        <f>IF(H169="Jefferson",(AD169/$AO$1)*'1. UC Assumptions'!$J$42,0)</f>
        <v>0</v>
      </c>
      <c r="AP169" s="183">
        <f>IF(H169="Lubbock",(AD169/$AP$1)*'1. UC Assumptions'!$K$42,0)</f>
        <v>0</v>
      </c>
      <c r="AQ169" s="183">
        <f>IF(H169="MRSA Central",(AD169/$AQ$1)*'1. UC Assumptions'!$L$42,0)</f>
        <v>0</v>
      </c>
      <c r="AR169" s="183">
        <f>IF(H169="MRSA Northeast",(AD169/$AR$1)*'1. UC Assumptions'!$M$42,0)</f>
        <v>0</v>
      </c>
      <c r="AS169" s="183">
        <f>IF(H169="MRSA West",(AD169/$AS$1)*'1. UC Assumptions'!$N$42,0)</f>
        <v>0</v>
      </c>
      <c r="AT169" s="183">
        <f>IF(H169="Nueces",(AD169/$AT$1)*'1. UC Assumptions'!$O$42,0)</f>
        <v>0</v>
      </c>
      <c r="AU169" s="183">
        <f>IF(H169="Tarrant",(AD169/$AU$1)*'1. UC Assumptions'!$P$42,0)</f>
        <v>0</v>
      </c>
      <c r="AV169" s="183">
        <f>IF(H169="Travis",(AD169/$AV$1)*'1. UC Assumptions'!$Q$42,0)</f>
        <v>0</v>
      </c>
      <c r="AW169" s="183">
        <f>IF(H169="Bexar",(AC169/$AW$1)*'1. UC Assumptions'!$E$44,0)</f>
        <v>0</v>
      </c>
      <c r="AX169" s="183">
        <f>IF(H169="Dallas",(AC169/$AX$1)*'1. UC Assumptions'!$F$44,0)</f>
        <v>0</v>
      </c>
      <c r="AY169" s="183">
        <f>IF(H169="El Paso",(AC169/$AY$1)*'1. UC Assumptions'!$G$44,0)</f>
        <v>0</v>
      </c>
      <c r="AZ169" s="183">
        <f>IF(H169="Harris",(AC169/$AZ$1)*'1. UC Assumptions'!$H$44,0)</f>
        <v>0</v>
      </c>
      <c r="BA169" s="183">
        <f>IF(H169="Hidalgo",(AC169/$BA$1)*'1. UC Assumptions'!$I$44,0)</f>
        <v>0</v>
      </c>
      <c r="BB169" s="183">
        <f>IF(H169="Jefferson",(AC169/$BB$1)*'1. UC Assumptions'!$J$44,0)</f>
        <v>0</v>
      </c>
      <c r="BC169" s="183">
        <f>IF(H169="Lubbock",(AC169/$BC$1)*'1. UC Assumptions'!$K$44,0)</f>
        <v>0</v>
      </c>
      <c r="BD169" s="183">
        <f>IF(H169="MRSA Central",(AC169/$BD$1)*'1. UC Assumptions'!$L$44,0)</f>
        <v>0</v>
      </c>
      <c r="BE169" s="183">
        <f>IF(H169="MRSA Northeast",(AC169/$BE$1)*'1. UC Assumptions'!$M$44,0)</f>
        <v>0</v>
      </c>
      <c r="BF169" s="183">
        <f>IF(H169="MRSA West",(AC169/$BF$1)*'1. UC Assumptions'!$N$44,0)</f>
        <v>0</v>
      </c>
      <c r="BG169" s="183">
        <f>IF(H169="Nueces",(AC169/$BG$1)*'1. UC Assumptions'!$O$44,0)</f>
        <v>0</v>
      </c>
      <c r="BH169" s="183">
        <f>IF(H169="Tarrant",(AC169/$BH$1)*'1. UC Assumptions'!$P$44,0)</f>
        <v>0</v>
      </c>
      <c r="BI169" s="183">
        <f>IF(H169="Travis",(AC169/$BI$1)*'1. UC Assumptions'!$Q$44,0)</f>
        <v>0</v>
      </c>
      <c r="BJ169" s="183">
        <f t="shared" si="35"/>
        <v>0</v>
      </c>
      <c r="BK169" s="183">
        <f t="shared" si="36"/>
        <v>0</v>
      </c>
      <c r="BL169" s="183">
        <f t="shared" si="37"/>
        <v>933454.86</v>
      </c>
      <c r="BM169" s="184">
        <f t="shared" si="38"/>
        <v>-329948.55999999994</v>
      </c>
      <c r="BN169" s="184">
        <f>ROUNDDOWN(BM169*'1. UC Assumptions'!$C$23,2)</f>
        <v>-108883.02</v>
      </c>
      <c r="BO169" s="184"/>
      <c r="BP169" s="185"/>
      <c r="BQ169" s="32"/>
      <c r="BR169" s="32"/>
    </row>
    <row r="170" spans="1:70">
      <c r="A170" s="177" t="s">
        <v>1505</v>
      </c>
      <c r="B170" s="177" t="s">
        <v>637</v>
      </c>
      <c r="C170" s="178" t="s">
        <v>637</v>
      </c>
      <c r="D170" s="179" t="s">
        <v>214</v>
      </c>
      <c r="E170" s="179" t="s">
        <v>149</v>
      </c>
      <c r="F170" s="177"/>
      <c r="G170" s="177" t="s">
        <v>638</v>
      </c>
      <c r="H170" s="178" t="s">
        <v>10</v>
      </c>
      <c r="I170" s="178" t="s">
        <v>639</v>
      </c>
      <c r="J170" s="131">
        <f>IFERROR(INDEX(#REF!,(MATCH('Old Calc Tab'!C:C,#REF!,0))),0)</f>
        <v>0</v>
      </c>
      <c r="K170" s="131">
        <f>IFERROR(INDEX(#REF!,(MATCH('Old Calc Tab'!$C:$C,#REF!,0))),0)</f>
        <v>0</v>
      </c>
      <c r="L170" s="131"/>
      <c r="M170" s="131">
        <v>419537.93000000005</v>
      </c>
      <c r="N170" s="131">
        <f>IFERROR(INDEX(#REF!,(MATCH('Old Calc Tab'!$C:$C,#REF!,0))),0)</f>
        <v>0</v>
      </c>
      <c r="O170" s="131">
        <f t="shared" si="26"/>
        <v>0</v>
      </c>
      <c r="P170" s="131">
        <f t="shared" si="27"/>
        <v>419537.93000000005</v>
      </c>
      <c r="Q170" s="131"/>
      <c r="R170" s="131"/>
      <c r="S170" s="131"/>
      <c r="T170" s="131"/>
      <c r="U170" s="131"/>
      <c r="V170" s="131">
        <v>30322.080000000002</v>
      </c>
      <c r="W170" s="180">
        <v>0</v>
      </c>
      <c r="X170" s="180">
        <f t="shared" si="28"/>
        <v>449860.01000000007</v>
      </c>
      <c r="Y170" s="181">
        <f>IF(D170="Physician Group Practice",(X170/$AE$369)*'1. UC Assumptions'!$C$15,IF(OR(E170="Rural Hospital",E170="Hosp - State"),X170,(X170/$X$369)*'1. UC Assumptions'!$C$9))</f>
        <v>449860.01000000007</v>
      </c>
      <c r="Z170" s="181">
        <f t="shared" si="29"/>
        <v>0</v>
      </c>
      <c r="AA170" s="181">
        <f t="shared" si="30"/>
        <v>0</v>
      </c>
      <c r="AB170" s="182">
        <f t="shared" si="31"/>
        <v>0</v>
      </c>
      <c r="AC170" s="181">
        <f t="shared" si="32"/>
        <v>0</v>
      </c>
      <c r="AD170" s="181">
        <f t="shared" si="33"/>
        <v>449860.01000000007</v>
      </c>
      <c r="AE170" s="131">
        <v>0</v>
      </c>
      <c r="AF170" s="131">
        <f>AE170*'1. UC Assumptions'!$C$23</f>
        <v>0</v>
      </c>
      <c r="AG170" s="183">
        <f>IF((((X170-W170-AE170)*'1. UC Assumptions'!$C$23)+AF170)&gt;0,((X170-W170-AE170)*'1. UC Assumptions'!$C$23)+AF170,0)</f>
        <v>148453.8033</v>
      </c>
      <c r="AH170" s="183">
        <f>IF(((X170-W170-AE170)*'1. UC Assumptions'!$C$23)&gt;0,(X170-W170-AE170)*'1. UC Assumptions'!$C$23,0)</f>
        <v>148453.8033</v>
      </c>
      <c r="AI170" s="183">
        <f t="shared" si="34"/>
        <v>148453.8033</v>
      </c>
      <c r="AJ170" s="183">
        <f>IF(H170="Bexar",(AD170/$AJ$1)*'1. UC Assumptions'!$E$42,0)</f>
        <v>0</v>
      </c>
      <c r="AK170" s="183">
        <f>IF(H170="Dallas",(AD170/$AK$1)*'1. UC Assumptions'!$F$42,0)</f>
        <v>0</v>
      </c>
      <c r="AL170" s="183">
        <f>IF(H170="El Paso",(AD170/$AL$1)*'1. UC Assumptions'!$G$42,0)</f>
        <v>0</v>
      </c>
      <c r="AM170" s="183">
        <f>IF(H170="Harris",(AD170/$AM$1)*'1. UC Assumptions'!$H$42,0)</f>
        <v>0</v>
      </c>
      <c r="AN170" s="183">
        <f>IF(H170="Hidalgo",(AD170/$AN$1)*'1. UC Assumptions'!$I$42,0)</f>
        <v>0</v>
      </c>
      <c r="AO170" s="183">
        <f>IF(H170="Jefferson",(AD170/$AO$1)*'1. UC Assumptions'!$J$42,0)</f>
        <v>0</v>
      </c>
      <c r="AP170" s="183">
        <f>IF(H170="Lubbock",(AD170/$AP$1)*'1. UC Assumptions'!$K$42,0)</f>
        <v>0</v>
      </c>
      <c r="AQ170" s="183">
        <f>IF(H170="MRSA Central",(AD170/$AQ$1)*'1. UC Assumptions'!$L$42,0)</f>
        <v>0</v>
      </c>
      <c r="AR170" s="183">
        <f>IF(H170="MRSA Northeast",(AD170/$AR$1)*'1. UC Assumptions'!$M$42,0)</f>
        <v>0</v>
      </c>
      <c r="AS170" s="183">
        <f>IF(H170="MRSA West",(AD170/$AS$1)*'1. UC Assumptions'!$N$42,0)</f>
        <v>0</v>
      </c>
      <c r="AT170" s="183">
        <f>IF(H170="Nueces",(AD170/$AT$1)*'1. UC Assumptions'!$O$42,0)</f>
        <v>0</v>
      </c>
      <c r="AU170" s="183">
        <f>IF(H170="Tarrant",(AD170/$AU$1)*'1. UC Assumptions'!$P$42,0)</f>
        <v>0</v>
      </c>
      <c r="AV170" s="183">
        <f>IF(H170="Travis",(AD170/$AV$1)*'1. UC Assumptions'!$Q$42,0)</f>
        <v>0</v>
      </c>
      <c r="AW170" s="183">
        <f>IF(H170="Bexar",(AC170/$AW$1)*'1. UC Assumptions'!$E$44,0)</f>
        <v>0</v>
      </c>
      <c r="AX170" s="183">
        <f>IF(H170="Dallas",(AC170/$AX$1)*'1. UC Assumptions'!$F$44,0)</f>
        <v>0</v>
      </c>
      <c r="AY170" s="183">
        <f>IF(H170="El Paso",(AC170/$AY$1)*'1. UC Assumptions'!$G$44,0)</f>
        <v>0</v>
      </c>
      <c r="AZ170" s="183">
        <f>IF(H170="Harris",(AC170/$AZ$1)*'1. UC Assumptions'!$H$44,0)</f>
        <v>0</v>
      </c>
      <c r="BA170" s="183">
        <f>IF(H170="Hidalgo",(AC170/$BA$1)*'1. UC Assumptions'!$I$44,0)</f>
        <v>0</v>
      </c>
      <c r="BB170" s="183">
        <f>IF(H170="Jefferson",(AC170/$BB$1)*'1. UC Assumptions'!$J$44,0)</f>
        <v>0</v>
      </c>
      <c r="BC170" s="183">
        <f>IF(H170="Lubbock",(AC170/$BC$1)*'1. UC Assumptions'!$K$44,0)</f>
        <v>0</v>
      </c>
      <c r="BD170" s="183">
        <f>IF(H170="MRSA Central",(AC170/$BD$1)*'1. UC Assumptions'!$L$44,0)</f>
        <v>0</v>
      </c>
      <c r="BE170" s="183">
        <f>IF(H170="MRSA Northeast",(AC170/$BE$1)*'1. UC Assumptions'!$M$44,0)</f>
        <v>0</v>
      </c>
      <c r="BF170" s="183">
        <f>IF(H170="MRSA West",(AC170/$BF$1)*'1. UC Assumptions'!$N$44,0)</f>
        <v>0</v>
      </c>
      <c r="BG170" s="183">
        <f>IF(H170="Nueces",(AC170/$BG$1)*'1. UC Assumptions'!$O$44,0)</f>
        <v>0</v>
      </c>
      <c r="BH170" s="183">
        <f>IF(H170="Tarrant",(AC170/$BH$1)*'1. UC Assumptions'!$P$44,0)</f>
        <v>0</v>
      </c>
      <c r="BI170" s="183">
        <f>IF(H170="Travis",(AC170/$BI$1)*'1. UC Assumptions'!$Q$44,0)</f>
        <v>0</v>
      </c>
      <c r="BJ170" s="183">
        <f t="shared" si="35"/>
        <v>0</v>
      </c>
      <c r="BK170" s="183">
        <f t="shared" si="36"/>
        <v>0</v>
      </c>
      <c r="BL170" s="183">
        <f t="shared" si="37"/>
        <v>449860.01000000007</v>
      </c>
      <c r="BM170" s="184">
        <f t="shared" si="38"/>
        <v>449860.01000000007</v>
      </c>
      <c r="BN170" s="184">
        <f>ROUNDDOWN(BM170*'1. UC Assumptions'!$C$23,2)</f>
        <v>148453.79999999999</v>
      </c>
      <c r="BO170" s="184"/>
      <c r="BP170" s="185"/>
      <c r="BQ170" s="32"/>
      <c r="BR170" s="32"/>
    </row>
    <row r="171" spans="1:70">
      <c r="A171" s="177" t="s">
        <v>1506</v>
      </c>
      <c r="B171" s="178" t="s">
        <v>643</v>
      </c>
      <c r="C171" s="178" t="s">
        <v>643</v>
      </c>
      <c r="D171" s="179" t="s">
        <v>208</v>
      </c>
      <c r="E171" s="179" t="s">
        <v>149</v>
      </c>
      <c r="F171" s="177"/>
      <c r="G171" s="177" t="s">
        <v>1507</v>
      </c>
      <c r="H171" s="178" t="s">
        <v>10</v>
      </c>
      <c r="I171" s="178" t="s">
        <v>645</v>
      </c>
      <c r="J171" s="131">
        <f>IFERROR(INDEX(#REF!,(MATCH('Old Calc Tab'!C:C,#REF!,0))),0)</f>
        <v>0</v>
      </c>
      <c r="K171" s="131">
        <f>IFERROR(INDEX(#REF!,(MATCH('Old Calc Tab'!$C:$C,#REF!,0))),0)</f>
        <v>0</v>
      </c>
      <c r="L171" s="131"/>
      <c r="M171" s="131">
        <v>2911537.0500000003</v>
      </c>
      <c r="N171" s="131">
        <f>IFERROR(INDEX(#REF!,(MATCH('Old Calc Tab'!$C:$C,#REF!,0))),0)</f>
        <v>0</v>
      </c>
      <c r="O171" s="131">
        <f t="shared" si="26"/>
        <v>0</v>
      </c>
      <c r="P171" s="131">
        <f t="shared" si="27"/>
        <v>2911537.0500000003</v>
      </c>
      <c r="Q171" s="131"/>
      <c r="R171" s="131"/>
      <c r="S171" s="131"/>
      <c r="T171" s="131"/>
      <c r="U171" s="131"/>
      <c r="V171" s="131">
        <v>0</v>
      </c>
      <c r="W171" s="180">
        <v>0</v>
      </c>
      <c r="X171" s="180">
        <f t="shared" si="28"/>
        <v>2911537.0500000003</v>
      </c>
      <c r="Y171" s="181">
        <f>IF(D171="Physician Group Practice",(X171/$AE$369)*'1. UC Assumptions'!$C$15,IF(OR(E171="Rural Hospital",E171="Hosp - State"),X171,(X171/$X$369)*'1. UC Assumptions'!$C$9))</f>
        <v>2911537.0500000003</v>
      </c>
      <c r="Z171" s="181">
        <f t="shared" si="29"/>
        <v>0</v>
      </c>
      <c r="AA171" s="181">
        <f t="shared" si="30"/>
        <v>0</v>
      </c>
      <c r="AB171" s="182">
        <f t="shared" si="31"/>
        <v>0</v>
      </c>
      <c r="AC171" s="181">
        <f t="shared" si="32"/>
        <v>0</v>
      </c>
      <c r="AD171" s="181">
        <f t="shared" si="33"/>
        <v>2911537.0500000003</v>
      </c>
      <c r="AE171" s="131">
        <v>452927.41</v>
      </c>
      <c r="AF171" s="131">
        <f>AE171*'1. UC Assumptions'!$C$23</f>
        <v>149466.04529999997</v>
      </c>
      <c r="AG171" s="183">
        <f>IF((((X171-W171-AE171)*'1. UC Assumptions'!$C$23)+AF171)&gt;0,((X171-W171-AE171)*'1. UC Assumptions'!$C$23)+AF171,0)</f>
        <v>960807.22649999999</v>
      </c>
      <c r="AH171" s="183">
        <f>IF(((X171-W171-AE171)*'1. UC Assumptions'!$C$23)&gt;0,(X171-W171-AE171)*'1. UC Assumptions'!$C$23,0)</f>
        <v>811341.18119999999</v>
      </c>
      <c r="AI171" s="183">
        <f t="shared" si="34"/>
        <v>960807.22649999999</v>
      </c>
      <c r="AJ171" s="183">
        <f>IF(H171="Bexar",(AD171/$AJ$1)*'1. UC Assumptions'!$E$42,0)</f>
        <v>0</v>
      </c>
      <c r="AK171" s="183">
        <f>IF(H171="Dallas",(AD171/$AK$1)*'1. UC Assumptions'!$F$42,0)</f>
        <v>0</v>
      </c>
      <c r="AL171" s="183">
        <f>IF(H171="El Paso",(AD171/$AL$1)*'1. UC Assumptions'!$G$42,0)</f>
        <v>0</v>
      </c>
      <c r="AM171" s="183">
        <f>IF(H171="Harris",(AD171/$AM$1)*'1. UC Assumptions'!$H$42,0)</f>
        <v>0</v>
      </c>
      <c r="AN171" s="183">
        <f>IF(H171="Hidalgo",(AD171/$AN$1)*'1. UC Assumptions'!$I$42,0)</f>
        <v>0</v>
      </c>
      <c r="AO171" s="183">
        <f>IF(H171="Jefferson",(AD171/$AO$1)*'1. UC Assumptions'!$J$42,0)</f>
        <v>0</v>
      </c>
      <c r="AP171" s="183">
        <f>IF(H171="Lubbock",(AD171/$AP$1)*'1. UC Assumptions'!$K$42,0)</f>
        <v>0</v>
      </c>
      <c r="AQ171" s="183">
        <f>IF(H171="MRSA Central",(AD171/$AQ$1)*'1. UC Assumptions'!$L$42,0)</f>
        <v>0</v>
      </c>
      <c r="AR171" s="183">
        <f>IF(H171="MRSA Northeast",(AD171/$AR$1)*'1. UC Assumptions'!$M$42,0)</f>
        <v>0</v>
      </c>
      <c r="AS171" s="183">
        <f>IF(H171="MRSA West",(AD171/$AS$1)*'1. UC Assumptions'!$N$42,0)</f>
        <v>0</v>
      </c>
      <c r="AT171" s="183">
        <f>IF(H171="Nueces",(AD171/$AT$1)*'1. UC Assumptions'!$O$42,0)</f>
        <v>0</v>
      </c>
      <c r="AU171" s="183">
        <f>IF(H171="Tarrant",(AD171/$AU$1)*'1. UC Assumptions'!$P$42,0)</f>
        <v>0</v>
      </c>
      <c r="AV171" s="183">
        <f>IF(H171="Travis",(AD171/$AV$1)*'1. UC Assumptions'!$Q$42,0)</f>
        <v>0</v>
      </c>
      <c r="AW171" s="183">
        <f>IF(H171="Bexar",(AC171/$AW$1)*'1. UC Assumptions'!$E$44,0)</f>
        <v>0</v>
      </c>
      <c r="AX171" s="183">
        <f>IF(H171="Dallas",(AC171/$AX$1)*'1. UC Assumptions'!$F$44,0)</f>
        <v>0</v>
      </c>
      <c r="AY171" s="183">
        <f>IF(H171="El Paso",(AC171/$AY$1)*'1. UC Assumptions'!$G$44,0)</f>
        <v>0</v>
      </c>
      <c r="AZ171" s="183">
        <f>IF(H171="Harris",(AC171/$AZ$1)*'1. UC Assumptions'!$H$44,0)</f>
        <v>0</v>
      </c>
      <c r="BA171" s="183">
        <f>IF(H171="Hidalgo",(AC171/$BA$1)*'1. UC Assumptions'!$I$44,0)</f>
        <v>0</v>
      </c>
      <c r="BB171" s="183">
        <f>IF(H171="Jefferson",(AC171/$BB$1)*'1. UC Assumptions'!$J$44,0)</f>
        <v>0</v>
      </c>
      <c r="BC171" s="183">
        <f>IF(H171="Lubbock",(AC171/$BC$1)*'1. UC Assumptions'!$K$44,0)</f>
        <v>0</v>
      </c>
      <c r="BD171" s="183">
        <f>IF(H171="MRSA Central",(AC171/$BD$1)*'1. UC Assumptions'!$L$44,0)</f>
        <v>0</v>
      </c>
      <c r="BE171" s="183">
        <f>IF(H171="MRSA Northeast",(AC171/$BE$1)*'1. UC Assumptions'!$M$44,0)</f>
        <v>0</v>
      </c>
      <c r="BF171" s="183">
        <f>IF(H171="MRSA West",(AC171/$BF$1)*'1. UC Assumptions'!$N$44,0)</f>
        <v>0</v>
      </c>
      <c r="BG171" s="183">
        <f>IF(H171="Nueces",(AC171/$BG$1)*'1. UC Assumptions'!$O$44,0)</f>
        <v>0</v>
      </c>
      <c r="BH171" s="183">
        <f>IF(H171="Tarrant",(AC171/$BH$1)*'1. UC Assumptions'!$P$44,0)</f>
        <v>0</v>
      </c>
      <c r="BI171" s="183">
        <f>IF(H171="Travis",(AC171/$BI$1)*'1. UC Assumptions'!$Q$44,0)</f>
        <v>0</v>
      </c>
      <c r="BJ171" s="183">
        <f t="shared" si="35"/>
        <v>0</v>
      </c>
      <c r="BK171" s="183">
        <f t="shared" si="36"/>
        <v>0</v>
      </c>
      <c r="BL171" s="183">
        <f t="shared" si="37"/>
        <v>2911537.0500000003</v>
      </c>
      <c r="BM171" s="184">
        <f t="shared" si="38"/>
        <v>2458609.64</v>
      </c>
      <c r="BN171" s="184">
        <f>ROUNDDOWN(BM171*'1. UC Assumptions'!$C$23,2)</f>
        <v>811341.18</v>
      </c>
      <c r="BO171" s="184"/>
      <c r="BP171" s="185"/>
      <c r="BQ171" s="32"/>
      <c r="BR171" s="32"/>
    </row>
    <row r="172" spans="1:70">
      <c r="A172" s="177" t="s">
        <v>1508</v>
      </c>
      <c r="B172" s="177" t="s">
        <v>648</v>
      </c>
      <c r="C172" s="178" t="s">
        <v>648</v>
      </c>
      <c r="D172" s="179" t="s">
        <v>214</v>
      </c>
      <c r="E172" s="179" t="s">
        <v>149</v>
      </c>
      <c r="F172" s="177"/>
      <c r="G172" s="177" t="s">
        <v>649</v>
      </c>
      <c r="H172" s="178" t="s">
        <v>10</v>
      </c>
      <c r="I172" s="178" t="s">
        <v>650</v>
      </c>
      <c r="J172" s="131">
        <f>IFERROR(INDEX(#REF!,(MATCH('Old Calc Tab'!C:C,#REF!,0))),0)</f>
        <v>0</v>
      </c>
      <c r="K172" s="131">
        <f>IFERROR(INDEX(#REF!,(MATCH('Old Calc Tab'!$C:$C,#REF!,0))),0)</f>
        <v>0</v>
      </c>
      <c r="L172" s="131"/>
      <c r="M172" s="131">
        <v>600392.45000000007</v>
      </c>
      <c r="N172" s="131">
        <f>IFERROR(INDEX(#REF!,(MATCH('Old Calc Tab'!$C:$C,#REF!,0))),0)</f>
        <v>0</v>
      </c>
      <c r="O172" s="131">
        <f t="shared" si="26"/>
        <v>0</v>
      </c>
      <c r="P172" s="131">
        <f t="shared" si="27"/>
        <v>600392.45000000007</v>
      </c>
      <c r="Q172" s="131"/>
      <c r="R172" s="131"/>
      <c r="S172" s="131"/>
      <c r="T172" s="131"/>
      <c r="U172" s="131"/>
      <c r="V172" s="131">
        <v>26863</v>
      </c>
      <c r="W172" s="180">
        <v>0</v>
      </c>
      <c r="X172" s="180">
        <f t="shared" si="28"/>
        <v>627255.45000000007</v>
      </c>
      <c r="Y172" s="181">
        <f>IF(D172="Physician Group Practice",(X172/$AE$369)*'1. UC Assumptions'!$C$15,IF(OR(E172="Rural Hospital",E172="Hosp - State"),X172,(X172/$X$369)*'1. UC Assumptions'!$C$9))</f>
        <v>627255.45000000007</v>
      </c>
      <c r="Z172" s="181">
        <f t="shared" si="29"/>
        <v>0</v>
      </c>
      <c r="AA172" s="181">
        <f t="shared" si="30"/>
        <v>0</v>
      </c>
      <c r="AB172" s="182">
        <f t="shared" si="31"/>
        <v>0</v>
      </c>
      <c r="AC172" s="181">
        <f t="shared" si="32"/>
        <v>0</v>
      </c>
      <c r="AD172" s="181">
        <f t="shared" si="33"/>
        <v>627255.45000000007</v>
      </c>
      <c r="AE172" s="131">
        <v>456418.45999999996</v>
      </c>
      <c r="AF172" s="131">
        <f>AE172*'1. UC Assumptions'!$C$23</f>
        <v>150618.09179999997</v>
      </c>
      <c r="AG172" s="183">
        <f>IF((((X172-W172-AE172)*'1. UC Assumptions'!$C$23)+AF172)&gt;0,((X172-W172-AE172)*'1. UC Assumptions'!$C$23)+AF172,0)</f>
        <v>206994.2985</v>
      </c>
      <c r="AH172" s="183">
        <f>IF(((X172-W172-AE172)*'1. UC Assumptions'!$C$23)&gt;0,(X172-W172-AE172)*'1. UC Assumptions'!$C$23,0)</f>
        <v>56376.206700000032</v>
      </c>
      <c r="AI172" s="183">
        <f t="shared" si="34"/>
        <v>206994.2985</v>
      </c>
      <c r="AJ172" s="183">
        <f>IF(H172="Bexar",(AD172/$AJ$1)*'1. UC Assumptions'!$E$42,0)</f>
        <v>0</v>
      </c>
      <c r="AK172" s="183">
        <f>IF(H172="Dallas",(AD172/$AK$1)*'1. UC Assumptions'!$F$42,0)</f>
        <v>0</v>
      </c>
      <c r="AL172" s="183">
        <f>IF(H172="El Paso",(AD172/$AL$1)*'1. UC Assumptions'!$G$42,0)</f>
        <v>0</v>
      </c>
      <c r="AM172" s="183">
        <f>IF(H172="Harris",(AD172/$AM$1)*'1. UC Assumptions'!$H$42,0)</f>
        <v>0</v>
      </c>
      <c r="AN172" s="183">
        <f>IF(H172="Hidalgo",(AD172/$AN$1)*'1. UC Assumptions'!$I$42,0)</f>
        <v>0</v>
      </c>
      <c r="AO172" s="183">
        <f>IF(H172="Jefferson",(AD172/$AO$1)*'1. UC Assumptions'!$J$42,0)</f>
        <v>0</v>
      </c>
      <c r="AP172" s="183">
        <f>IF(H172="Lubbock",(AD172/$AP$1)*'1. UC Assumptions'!$K$42,0)</f>
        <v>0</v>
      </c>
      <c r="AQ172" s="183">
        <f>IF(H172="MRSA Central",(AD172/$AQ$1)*'1. UC Assumptions'!$L$42,0)</f>
        <v>0</v>
      </c>
      <c r="AR172" s="183">
        <f>IF(H172="MRSA Northeast",(AD172/$AR$1)*'1. UC Assumptions'!$M$42,0)</f>
        <v>0</v>
      </c>
      <c r="AS172" s="183">
        <f>IF(H172="MRSA West",(AD172/$AS$1)*'1. UC Assumptions'!$N$42,0)</f>
        <v>0</v>
      </c>
      <c r="AT172" s="183">
        <f>IF(H172="Nueces",(AD172/$AT$1)*'1. UC Assumptions'!$O$42,0)</f>
        <v>0</v>
      </c>
      <c r="AU172" s="183">
        <f>IF(H172="Tarrant",(AD172/$AU$1)*'1. UC Assumptions'!$P$42,0)</f>
        <v>0</v>
      </c>
      <c r="AV172" s="183">
        <f>IF(H172="Travis",(AD172/$AV$1)*'1. UC Assumptions'!$Q$42,0)</f>
        <v>0</v>
      </c>
      <c r="AW172" s="183">
        <f>IF(H172="Bexar",(AC172/$AW$1)*'1. UC Assumptions'!$E$44,0)</f>
        <v>0</v>
      </c>
      <c r="AX172" s="183">
        <f>IF(H172="Dallas",(AC172/$AX$1)*'1. UC Assumptions'!$F$44,0)</f>
        <v>0</v>
      </c>
      <c r="AY172" s="183">
        <f>IF(H172="El Paso",(AC172/$AY$1)*'1. UC Assumptions'!$G$44,0)</f>
        <v>0</v>
      </c>
      <c r="AZ172" s="183">
        <f>IF(H172="Harris",(AC172/$AZ$1)*'1. UC Assumptions'!$H$44,0)</f>
        <v>0</v>
      </c>
      <c r="BA172" s="183">
        <f>IF(H172="Hidalgo",(AC172/$BA$1)*'1. UC Assumptions'!$I$44,0)</f>
        <v>0</v>
      </c>
      <c r="BB172" s="183">
        <f>IF(H172="Jefferson",(AC172/$BB$1)*'1. UC Assumptions'!$J$44,0)</f>
        <v>0</v>
      </c>
      <c r="BC172" s="183">
        <f>IF(H172="Lubbock",(AC172/$BC$1)*'1. UC Assumptions'!$K$44,0)</f>
        <v>0</v>
      </c>
      <c r="BD172" s="183">
        <f>IF(H172="MRSA Central",(AC172/$BD$1)*'1. UC Assumptions'!$L$44,0)</f>
        <v>0</v>
      </c>
      <c r="BE172" s="183">
        <f>IF(H172="MRSA Northeast",(AC172/$BE$1)*'1. UC Assumptions'!$M$44,0)</f>
        <v>0</v>
      </c>
      <c r="BF172" s="183">
        <f>IF(H172="MRSA West",(AC172/$BF$1)*'1. UC Assumptions'!$N$44,0)</f>
        <v>0</v>
      </c>
      <c r="BG172" s="183">
        <f>IF(H172="Nueces",(AC172/$BG$1)*'1. UC Assumptions'!$O$44,0)</f>
        <v>0</v>
      </c>
      <c r="BH172" s="183">
        <f>IF(H172="Tarrant",(AC172/$BH$1)*'1. UC Assumptions'!$P$44,0)</f>
        <v>0</v>
      </c>
      <c r="BI172" s="183">
        <f>IF(H172="Travis",(AC172/$BI$1)*'1. UC Assumptions'!$Q$44,0)</f>
        <v>0</v>
      </c>
      <c r="BJ172" s="183">
        <f t="shared" si="35"/>
        <v>0</v>
      </c>
      <c r="BK172" s="183">
        <f t="shared" si="36"/>
        <v>0</v>
      </c>
      <c r="BL172" s="183">
        <f t="shared" si="37"/>
        <v>627255.45000000007</v>
      </c>
      <c r="BM172" s="184">
        <f t="shared" si="38"/>
        <v>170836.99000000011</v>
      </c>
      <c r="BN172" s="184">
        <f>ROUNDDOWN(BM172*'1. UC Assumptions'!$C$23,2)</f>
        <v>56376.2</v>
      </c>
      <c r="BO172" s="184"/>
      <c r="BP172" s="185"/>
      <c r="BQ172" s="32"/>
      <c r="BR172" s="32"/>
    </row>
    <row r="173" spans="1:70">
      <c r="A173" s="177" t="s">
        <v>1509</v>
      </c>
      <c r="B173" s="177" t="s">
        <v>663</v>
      </c>
      <c r="C173" s="178" t="s">
        <v>663</v>
      </c>
      <c r="D173" s="179" t="s">
        <v>214</v>
      </c>
      <c r="E173" s="179" t="s">
        <v>149</v>
      </c>
      <c r="F173" s="177"/>
      <c r="G173" s="177" t="s">
        <v>664</v>
      </c>
      <c r="H173" s="178" t="s">
        <v>10</v>
      </c>
      <c r="I173" s="178" t="s">
        <v>665</v>
      </c>
      <c r="J173" s="131">
        <f>IFERROR(INDEX(#REF!,(MATCH('Old Calc Tab'!C:C,#REF!,0))),0)</f>
        <v>0</v>
      </c>
      <c r="K173" s="131">
        <f>IFERROR(INDEX(#REF!,(MATCH('Old Calc Tab'!$C:$C,#REF!,0))),0)</f>
        <v>0</v>
      </c>
      <c r="L173" s="131"/>
      <c r="M173" s="131">
        <v>0</v>
      </c>
      <c r="N173" s="131">
        <f>IFERROR(INDEX(#REF!,(MATCH('Old Calc Tab'!$C:$C,#REF!,0))),0)</f>
        <v>0</v>
      </c>
      <c r="O173" s="131">
        <f t="shared" si="26"/>
        <v>0</v>
      </c>
      <c r="P173" s="131">
        <f t="shared" si="27"/>
        <v>0</v>
      </c>
      <c r="Q173" s="131"/>
      <c r="R173" s="131"/>
      <c r="S173" s="131"/>
      <c r="T173" s="131"/>
      <c r="U173" s="131"/>
      <c r="V173" s="131">
        <v>0</v>
      </c>
      <c r="W173" s="180">
        <v>0</v>
      </c>
      <c r="X173" s="180">
        <f t="shared" si="28"/>
        <v>0</v>
      </c>
      <c r="Y173" s="181">
        <f>IF(D173="Physician Group Practice",(X173/$AE$369)*'1. UC Assumptions'!$C$15,IF(OR(E173="Rural Hospital",E173="Hosp - State"),X173,(X173/$X$369)*'1. UC Assumptions'!$C$9))</f>
        <v>0</v>
      </c>
      <c r="Z173" s="181">
        <f t="shared" si="29"/>
        <v>0</v>
      </c>
      <c r="AA173" s="181">
        <f t="shared" si="30"/>
        <v>0</v>
      </c>
      <c r="AB173" s="182">
        <f t="shared" si="31"/>
        <v>0</v>
      </c>
      <c r="AC173" s="181">
        <f t="shared" si="32"/>
        <v>0</v>
      </c>
      <c r="AD173" s="181">
        <f t="shared" si="33"/>
        <v>0</v>
      </c>
      <c r="AE173" s="131">
        <v>952670.4</v>
      </c>
      <c r="AF173" s="131">
        <f>AE173*'1. UC Assumptions'!$C$23</f>
        <v>314381.23199999996</v>
      </c>
      <c r="AG173" s="183">
        <f>IF((((X173-W173-AE173)*'1. UC Assumptions'!$C$23)+AF173)&gt;0,((X173-W173-AE173)*'1. UC Assumptions'!$C$23)+AF173,0)</f>
        <v>0</v>
      </c>
      <c r="AH173" s="183">
        <f>IF(((X173-W173-AE173)*'1. UC Assumptions'!$C$23)&gt;0,(X173-W173-AE173)*'1. UC Assumptions'!$C$23,0)</f>
        <v>0</v>
      </c>
      <c r="AI173" s="183">
        <f t="shared" si="34"/>
        <v>314381.23199999996</v>
      </c>
      <c r="AJ173" s="183">
        <f>IF(H173="Bexar",(AD173/$AJ$1)*'1. UC Assumptions'!$E$42,0)</f>
        <v>0</v>
      </c>
      <c r="AK173" s="183">
        <f>IF(H173="Dallas",(AD173/$AK$1)*'1. UC Assumptions'!$F$42,0)</f>
        <v>0</v>
      </c>
      <c r="AL173" s="183">
        <f>IF(H173="El Paso",(AD173/$AL$1)*'1. UC Assumptions'!$G$42,0)</f>
        <v>0</v>
      </c>
      <c r="AM173" s="183">
        <f>IF(H173="Harris",(AD173/$AM$1)*'1. UC Assumptions'!$H$42,0)</f>
        <v>0</v>
      </c>
      <c r="AN173" s="183">
        <f>IF(H173="Hidalgo",(AD173/$AN$1)*'1. UC Assumptions'!$I$42,0)</f>
        <v>0</v>
      </c>
      <c r="AO173" s="183">
        <f>IF(H173="Jefferson",(AD173/$AO$1)*'1. UC Assumptions'!$J$42,0)</f>
        <v>0</v>
      </c>
      <c r="AP173" s="183">
        <f>IF(H173="Lubbock",(AD173/$AP$1)*'1. UC Assumptions'!$K$42,0)</f>
        <v>0</v>
      </c>
      <c r="AQ173" s="183">
        <f>IF(H173="MRSA Central",(AD173/$AQ$1)*'1. UC Assumptions'!$L$42,0)</f>
        <v>0</v>
      </c>
      <c r="AR173" s="183">
        <f>IF(H173="MRSA Northeast",(AD173/$AR$1)*'1. UC Assumptions'!$M$42,0)</f>
        <v>0</v>
      </c>
      <c r="AS173" s="183">
        <f>IF(H173="MRSA West",(AD173/$AS$1)*'1. UC Assumptions'!$N$42,0)</f>
        <v>0</v>
      </c>
      <c r="AT173" s="183">
        <f>IF(H173="Nueces",(AD173/$AT$1)*'1. UC Assumptions'!$O$42,0)</f>
        <v>0</v>
      </c>
      <c r="AU173" s="183">
        <f>IF(H173="Tarrant",(AD173/$AU$1)*'1. UC Assumptions'!$P$42,0)</f>
        <v>0</v>
      </c>
      <c r="AV173" s="183">
        <f>IF(H173="Travis",(AD173/$AV$1)*'1. UC Assumptions'!$Q$42,0)</f>
        <v>0</v>
      </c>
      <c r="AW173" s="183">
        <f>IF(H173="Bexar",(AC173/$AW$1)*'1. UC Assumptions'!$E$44,0)</f>
        <v>0</v>
      </c>
      <c r="AX173" s="183">
        <f>IF(H173="Dallas",(AC173/$AX$1)*'1. UC Assumptions'!$F$44,0)</f>
        <v>0</v>
      </c>
      <c r="AY173" s="183">
        <f>IF(H173="El Paso",(AC173/$AY$1)*'1. UC Assumptions'!$G$44,0)</f>
        <v>0</v>
      </c>
      <c r="AZ173" s="183">
        <f>IF(H173="Harris",(AC173/$AZ$1)*'1. UC Assumptions'!$H$44,0)</f>
        <v>0</v>
      </c>
      <c r="BA173" s="183">
        <f>IF(H173="Hidalgo",(AC173/$BA$1)*'1. UC Assumptions'!$I$44,0)</f>
        <v>0</v>
      </c>
      <c r="BB173" s="183">
        <f>IF(H173="Jefferson",(AC173/$BB$1)*'1. UC Assumptions'!$J$44,0)</f>
        <v>0</v>
      </c>
      <c r="BC173" s="183">
        <f>IF(H173="Lubbock",(AC173/$BC$1)*'1. UC Assumptions'!$K$44,0)</f>
        <v>0</v>
      </c>
      <c r="BD173" s="183">
        <f>IF(H173="MRSA Central",(AC173/$BD$1)*'1. UC Assumptions'!$L$44,0)</f>
        <v>0</v>
      </c>
      <c r="BE173" s="183">
        <f>IF(H173="MRSA Northeast",(AC173/$BE$1)*'1. UC Assumptions'!$M$44,0)</f>
        <v>0</v>
      </c>
      <c r="BF173" s="183">
        <f>IF(H173="MRSA West",(AC173/$BF$1)*'1. UC Assumptions'!$N$44,0)</f>
        <v>0</v>
      </c>
      <c r="BG173" s="183">
        <f>IF(H173="Nueces",(AC173/$BG$1)*'1. UC Assumptions'!$O$44,0)</f>
        <v>0</v>
      </c>
      <c r="BH173" s="183">
        <f>IF(H173="Tarrant",(AC173/$BH$1)*'1. UC Assumptions'!$P$44,0)</f>
        <v>0</v>
      </c>
      <c r="BI173" s="183">
        <f>IF(H173="Travis",(AC173/$BI$1)*'1. UC Assumptions'!$Q$44,0)</f>
        <v>0</v>
      </c>
      <c r="BJ173" s="183">
        <f t="shared" si="35"/>
        <v>0</v>
      </c>
      <c r="BK173" s="183">
        <f t="shared" si="36"/>
        <v>0</v>
      </c>
      <c r="BL173" s="183">
        <f t="shared" si="37"/>
        <v>0</v>
      </c>
      <c r="BM173" s="184">
        <f t="shared" si="38"/>
        <v>-952670.4</v>
      </c>
      <c r="BN173" s="184">
        <f>ROUNDDOWN(BM173*'1. UC Assumptions'!$C$23,2)</f>
        <v>-314381.23</v>
      </c>
      <c r="BO173" s="184"/>
      <c r="BP173" s="185"/>
      <c r="BQ173" s="32"/>
      <c r="BR173" s="32"/>
    </row>
    <row r="174" spans="1:70">
      <c r="A174" s="177" t="s">
        <v>1510</v>
      </c>
      <c r="B174" s="178" t="s">
        <v>666</v>
      </c>
      <c r="C174" s="178" t="s">
        <v>666</v>
      </c>
      <c r="D174" s="179" t="s">
        <v>208</v>
      </c>
      <c r="E174" s="179" t="s">
        <v>149</v>
      </c>
      <c r="F174" s="177"/>
      <c r="G174" s="177" t="s">
        <v>667</v>
      </c>
      <c r="H174" s="178" t="s">
        <v>10</v>
      </c>
      <c r="I174" s="178" t="s">
        <v>422</v>
      </c>
      <c r="J174" s="131">
        <f>IFERROR(INDEX(#REF!,(MATCH('Old Calc Tab'!C:C,#REF!,0))),0)</f>
        <v>0</v>
      </c>
      <c r="K174" s="131">
        <f>IFERROR(INDEX(#REF!,(MATCH('Old Calc Tab'!$C:$C,#REF!,0))),0)</f>
        <v>0</v>
      </c>
      <c r="L174" s="131"/>
      <c r="M174" s="131">
        <v>26357.75</v>
      </c>
      <c r="N174" s="131">
        <f>IFERROR(INDEX(#REF!,(MATCH('Old Calc Tab'!$C:$C,#REF!,0))),0)</f>
        <v>0</v>
      </c>
      <c r="O174" s="131">
        <f t="shared" si="26"/>
        <v>0</v>
      </c>
      <c r="P174" s="131">
        <f t="shared" si="27"/>
        <v>26357.75</v>
      </c>
      <c r="Q174" s="131"/>
      <c r="R174" s="131"/>
      <c r="S174" s="131"/>
      <c r="T174" s="131"/>
      <c r="U174" s="131"/>
      <c r="V174" s="131">
        <v>0</v>
      </c>
      <c r="W174" s="180">
        <v>0</v>
      </c>
      <c r="X174" s="180">
        <f t="shared" si="28"/>
        <v>26357.75</v>
      </c>
      <c r="Y174" s="181">
        <f>IF(D174="Physician Group Practice",(X174/$AE$369)*'1. UC Assumptions'!$C$15,IF(OR(E174="Rural Hospital",E174="Hosp - State"),X174,(X174/$X$369)*'1. UC Assumptions'!$C$9))</f>
        <v>26357.75</v>
      </c>
      <c r="Z174" s="181">
        <f t="shared" si="29"/>
        <v>0</v>
      </c>
      <c r="AA174" s="181">
        <f t="shared" si="30"/>
        <v>0</v>
      </c>
      <c r="AB174" s="182">
        <f t="shared" si="31"/>
        <v>0</v>
      </c>
      <c r="AC174" s="181">
        <f t="shared" si="32"/>
        <v>0</v>
      </c>
      <c r="AD174" s="181">
        <f t="shared" si="33"/>
        <v>26357.75</v>
      </c>
      <c r="AE174" s="131">
        <v>124888.09</v>
      </c>
      <c r="AF174" s="131">
        <f>AE174*'1. UC Assumptions'!$C$23</f>
        <v>41213.069699999993</v>
      </c>
      <c r="AG174" s="183">
        <f>IF((((X174-W174-AE174)*'1. UC Assumptions'!$C$23)+AF174)&gt;0,((X174-W174-AE174)*'1. UC Assumptions'!$C$23)+AF174,0)</f>
        <v>8698.057499999999</v>
      </c>
      <c r="AH174" s="183">
        <f>IF(((X174-W174-AE174)*'1. UC Assumptions'!$C$23)&gt;0,(X174-W174-AE174)*'1. UC Assumptions'!$C$23,0)</f>
        <v>0</v>
      </c>
      <c r="AI174" s="183">
        <f t="shared" si="34"/>
        <v>41213.069699999993</v>
      </c>
      <c r="AJ174" s="183">
        <f>IF(H174="Bexar",(AD174/$AJ$1)*'1. UC Assumptions'!$E$42,0)</f>
        <v>0</v>
      </c>
      <c r="AK174" s="183">
        <f>IF(H174="Dallas",(AD174/$AK$1)*'1. UC Assumptions'!$F$42,0)</f>
        <v>0</v>
      </c>
      <c r="AL174" s="183">
        <f>IF(H174="El Paso",(AD174/$AL$1)*'1. UC Assumptions'!$G$42,0)</f>
        <v>0</v>
      </c>
      <c r="AM174" s="183">
        <f>IF(H174="Harris",(AD174/$AM$1)*'1. UC Assumptions'!$H$42,0)</f>
        <v>0</v>
      </c>
      <c r="AN174" s="183">
        <f>IF(H174="Hidalgo",(AD174/$AN$1)*'1. UC Assumptions'!$I$42,0)</f>
        <v>0</v>
      </c>
      <c r="AO174" s="183">
        <f>IF(H174="Jefferson",(AD174/$AO$1)*'1. UC Assumptions'!$J$42,0)</f>
        <v>0</v>
      </c>
      <c r="AP174" s="183">
        <f>IF(H174="Lubbock",(AD174/$AP$1)*'1. UC Assumptions'!$K$42,0)</f>
        <v>0</v>
      </c>
      <c r="AQ174" s="183">
        <f>IF(H174="MRSA Central",(AD174/$AQ$1)*'1. UC Assumptions'!$L$42,0)</f>
        <v>0</v>
      </c>
      <c r="AR174" s="183">
        <f>IF(H174="MRSA Northeast",(AD174/$AR$1)*'1. UC Assumptions'!$M$42,0)</f>
        <v>0</v>
      </c>
      <c r="AS174" s="183">
        <f>IF(H174="MRSA West",(AD174/$AS$1)*'1. UC Assumptions'!$N$42,0)</f>
        <v>0</v>
      </c>
      <c r="AT174" s="183">
        <f>IF(H174="Nueces",(AD174/$AT$1)*'1. UC Assumptions'!$O$42,0)</f>
        <v>0</v>
      </c>
      <c r="AU174" s="183">
        <f>IF(H174="Tarrant",(AD174/$AU$1)*'1. UC Assumptions'!$P$42,0)</f>
        <v>0</v>
      </c>
      <c r="AV174" s="183">
        <f>IF(H174="Travis",(AD174/$AV$1)*'1. UC Assumptions'!$Q$42,0)</f>
        <v>0</v>
      </c>
      <c r="AW174" s="183">
        <f>IF(H174="Bexar",(AC174/$AW$1)*'1. UC Assumptions'!$E$44,0)</f>
        <v>0</v>
      </c>
      <c r="AX174" s="183">
        <f>IF(H174="Dallas",(AC174/$AX$1)*'1. UC Assumptions'!$F$44,0)</f>
        <v>0</v>
      </c>
      <c r="AY174" s="183">
        <f>IF(H174="El Paso",(AC174/$AY$1)*'1. UC Assumptions'!$G$44,0)</f>
        <v>0</v>
      </c>
      <c r="AZ174" s="183">
        <f>IF(H174="Harris",(AC174/$AZ$1)*'1. UC Assumptions'!$H$44,0)</f>
        <v>0</v>
      </c>
      <c r="BA174" s="183">
        <f>IF(H174="Hidalgo",(AC174/$BA$1)*'1. UC Assumptions'!$I$44,0)</f>
        <v>0</v>
      </c>
      <c r="BB174" s="183">
        <f>IF(H174="Jefferson",(AC174/$BB$1)*'1. UC Assumptions'!$J$44,0)</f>
        <v>0</v>
      </c>
      <c r="BC174" s="183">
        <f>IF(H174="Lubbock",(AC174/$BC$1)*'1. UC Assumptions'!$K$44,0)</f>
        <v>0</v>
      </c>
      <c r="BD174" s="183">
        <f>IF(H174="MRSA Central",(AC174/$BD$1)*'1. UC Assumptions'!$L$44,0)</f>
        <v>0</v>
      </c>
      <c r="BE174" s="183">
        <f>IF(H174="MRSA Northeast",(AC174/$BE$1)*'1. UC Assumptions'!$M$44,0)</f>
        <v>0</v>
      </c>
      <c r="BF174" s="183">
        <f>IF(H174="MRSA West",(AC174/$BF$1)*'1. UC Assumptions'!$N$44,0)</f>
        <v>0</v>
      </c>
      <c r="BG174" s="183">
        <f>IF(H174="Nueces",(AC174/$BG$1)*'1. UC Assumptions'!$O$44,0)</f>
        <v>0</v>
      </c>
      <c r="BH174" s="183">
        <f>IF(H174="Tarrant",(AC174/$BH$1)*'1. UC Assumptions'!$P$44,0)</f>
        <v>0</v>
      </c>
      <c r="BI174" s="183">
        <f>IF(H174="Travis",(AC174/$BI$1)*'1. UC Assumptions'!$Q$44,0)</f>
        <v>0</v>
      </c>
      <c r="BJ174" s="183">
        <f t="shared" si="35"/>
        <v>0</v>
      </c>
      <c r="BK174" s="183">
        <f t="shared" si="36"/>
        <v>0</v>
      </c>
      <c r="BL174" s="183">
        <f t="shared" si="37"/>
        <v>26357.75</v>
      </c>
      <c r="BM174" s="184">
        <f t="shared" si="38"/>
        <v>-98530.34</v>
      </c>
      <c r="BN174" s="184">
        <f>ROUNDDOWN(BM174*'1. UC Assumptions'!$C$23,2)</f>
        <v>-32515.01</v>
      </c>
      <c r="BO174" s="184"/>
      <c r="BP174" s="185"/>
      <c r="BQ174" s="32"/>
      <c r="BR174" s="32"/>
    </row>
    <row r="175" spans="1:70">
      <c r="A175" s="177" t="s">
        <v>1511</v>
      </c>
      <c r="B175" s="178" t="s">
        <v>705</v>
      </c>
      <c r="C175" s="178" t="s">
        <v>705</v>
      </c>
      <c r="D175" s="179" t="s">
        <v>214</v>
      </c>
      <c r="E175" s="179" t="s">
        <v>149</v>
      </c>
      <c r="F175" s="177"/>
      <c r="G175" s="177" t="s">
        <v>1512</v>
      </c>
      <c r="H175" s="178" t="s">
        <v>10</v>
      </c>
      <c r="I175" s="178" t="s">
        <v>707</v>
      </c>
      <c r="J175" s="131">
        <f>IFERROR(INDEX(#REF!,(MATCH('Old Calc Tab'!C:C,#REF!,0))),0)</f>
        <v>0</v>
      </c>
      <c r="K175" s="131">
        <f>IFERROR(INDEX(#REF!,(MATCH('Old Calc Tab'!$C:$C,#REF!,0))),0)</f>
        <v>0</v>
      </c>
      <c r="L175" s="131"/>
      <c r="M175" s="131">
        <v>693637</v>
      </c>
      <c r="N175" s="131">
        <f>IFERROR(INDEX(#REF!,(MATCH('Old Calc Tab'!$C:$C,#REF!,0))),0)</f>
        <v>0</v>
      </c>
      <c r="O175" s="131">
        <f t="shared" si="26"/>
        <v>0</v>
      </c>
      <c r="P175" s="131">
        <f t="shared" si="27"/>
        <v>693637</v>
      </c>
      <c r="Q175" s="131"/>
      <c r="R175" s="131"/>
      <c r="S175" s="131"/>
      <c r="T175" s="131"/>
      <c r="U175" s="131"/>
      <c r="V175" s="131">
        <v>693637</v>
      </c>
      <c r="W175" s="180">
        <v>0</v>
      </c>
      <c r="X175" s="180">
        <f t="shared" si="28"/>
        <v>1387274</v>
      </c>
      <c r="Y175" s="181">
        <f>IF(D175="Physician Group Practice",(X175/$AE$369)*'1. UC Assumptions'!$C$15,IF(OR(E175="Rural Hospital",E175="Hosp - State"),X175,(X175/$X$369)*'1. UC Assumptions'!$C$9))</f>
        <v>1387274</v>
      </c>
      <c r="Z175" s="181">
        <f t="shared" si="29"/>
        <v>0</v>
      </c>
      <c r="AA175" s="181">
        <f t="shared" si="30"/>
        <v>0</v>
      </c>
      <c r="AB175" s="182">
        <f t="shared" si="31"/>
        <v>0</v>
      </c>
      <c r="AC175" s="181">
        <f t="shared" si="32"/>
        <v>0</v>
      </c>
      <c r="AD175" s="181">
        <f t="shared" si="33"/>
        <v>1387274</v>
      </c>
      <c r="AE175" s="131">
        <v>1062150.96</v>
      </c>
      <c r="AF175" s="131">
        <f>AE175*'1. UC Assumptions'!$C$23</f>
        <v>350509.81679999997</v>
      </c>
      <c r="AG175" s="183">
        <f>IF((((X175-W175-AE175)*'1. UC Assumptions'!$C$23)+AF175)&gt;0,((X175-W175-AE175)*'1. UC Assumptions'!$C$23)+AF175,0)</f>
        <v>457800.42</v>
      </c>
      <c r="AH175" s="183">
        <f>IF(((X175-W175-AE175)*'1. UC Assumptions'!$C$23)&gt;0,(X175-W175-AE175)*'1. UC Assumptions'!$C$23,0)</f>
        <v>107290.6032</v>
      </c>
      <c r="AI175" s="183">
        <f t="shared" si="34"/>
        <v>457800.42</v>
      </c>
      <c r="AJ175" s="183">
        <f>IF(H175="Bexar",(AD175/$AJ$1)*'1. UC Assumptions'!$E$42,0)</f>
        <v>0</v>
      </c>
      <c r="AK175" s="183">
        <f>IF(H175="Dallas",(AD175/$AK$1)*'1. UC Assumptions'!$F$42,0)</f>
        <v>0</v>
      </c>
      <c r="AL175" s="183">
        <f>IF(H175="El Paso",(AD175/$AL$1)*'1. UC Assumptions'!$G$42,0)</f>
        <v>0</v>
      </c>
      <c r="AM175" s="183">
        <f>IF(H175="Harris",(AD175/$AM$1)*'1. UC Assumptions'!$H$42,0)</f>
        <v>0</v>
      </c>
      <c r="AN175" s="183">
        <f>IF(H175="Hidalgo",(AD175/$AN$1)*'1. UC Assumptions'!$I$42,0)</f>
        <v>0</v>
      </c>
      <c r="AO175" s="183">
        <f>IF(H175="Jefferson",(AD175/$AO$1)*'1. UC Assumptions'!$J$42,0)</f>
        <v>0</v>
      </c>
      <c r="AP175" s="183">
        <f>IF(H175="Lubbock",(AD175/$AP$1)*'1. UC Assumptions'!$K$42,0)</f>
        <v>0</v>
      </c>
      <c r="AQ175" s="183">
        <f>IF(H175="MRSA Central",(AD175/$AQ$1)*'1. UC Assumptions'!$L$42,0)</f>
        <v>0</v>
      </c>
      <c r="AR175" s="183">
        <f>IF(H175="MRSA Northeast",(AD175/$AR$1)*'1. UC Assumptions'!$M$42,0)</f>
        <v>0</v>
      </c>
      <c r="AS175" s="183">
        <f>IF(H175="MRSA West",(AD175/$AS$1)*'1. UC Assumptions'!$N$42,0)</f>
        <v>0</v>
      </c>
      <c r="AT175" s="183">
        <f>IF(H175="Nueces",(AD175/$AT$1)*'1. UC Assumptions'!$O$42,0)</f>
        <v>0</v>
      </c>
      <c r="AU175" s="183">
        <f>IF(H175="Tarrant",(AD175/$AU$1)*'1. UC Assumptions'!$P$42,0)</f>
        <v>0</v>
      </c>
      <c r="AV175" s="183">
        <f>IF(H175="Travis",(AD175/$AV$1)*'1. UC Assumptions'!$Q$42,0)</f>
        <v>0</v>
      </c>
      <c r="AW175" s="183">
        <f>IF(H175="Bexar",(AC175/$AW$1)*'1. UC Assumptions'!$E$44,0)</f>
        <v>0</v>
      </c>
      <c r="AX175" s="183">
        <f>IF(H175="Dallas",(AC175/$AX$1)*'1. UC Assumptions'!$F$44,0)</f>
        <v>0</v>
      </c>
      <c r="AY175" s="183">
        <f>IF(H175="El Paso",(AC175/$AY$1)*'1. UC Assumptions'!$G$44,0)</f>
        <v>0</v>
      </c>
      <c r="AZ175" s="183">
        <f>IF(H175="Harris",(AC175/$AZ$1)*'1. UC Assumptions'!$H$44,0)</f>
        <v>0</v>
      </c>
      <c r="BA175" s="183">
        <f>IF(H175="Hidalgo",(AC175/$BA$1)*'1. UC Assumptions'!$I$44,0)</f>
        <v>0</v>
      </c>
      <c r="BB175" s="183">
        <f>IF(H175="Jefferson",(AC175/$BB$1)*'1. UC Assumptions'!$J$44,0)</f>
        <v>0</v>
      </c>
      <c r="BC175" s="183">
        <f>IF(H175="Lubbock",(AC175/$BC$1)*'1. UC Assumptions'!$K$44,0)</f>
        <v>0</v>
      </c>
      <c r="BD175" s="183">
        <f>IF(H175="MRSA Central",(AC175/$BD$1)*'1. UC Assumptions'!$L$44,0)</f>
        <v>0</v>
      </c>
      <c r="BE175" s="183">
        <f>IF(H175="MRSA Northeast",(AC175/$BE$1)*'1. UC Assumptions'!$M$44,0)</f>
        <v>0</v>
      </c>
      <c r="BF175" s="183">
        <f>IF(H175="MRSA West",(AC175/$BF$1)*'1. UC Assumptions'!$N$44,0)</f>
        <v>0</v>
      </c>
      <c r="BG175" s="183">
        <f>IF(H175="Nueces",(AC175/$BG$1)*'1. UC Assumptions'!$O$44,0)</f>
        <v>0</v>
      </c>
      <c r="BH175" s="183">
        <f>IF(H175="Tarrant",(AC175/$BH$1)*'1. UC Assumptions'!$P$44,0)</f>
        <v>0</v>
      </c>
      <c r="BI175" s="183">
        <f>IF(H175="Travis",(AC175/$BI$1)*'1. UC Assumptions'!$Q$44,0)</f>
        <v>0</v>
      </c>
      <c r="BJ175" s="183">
        <f t="shared" si="35"/>
        <v>0</v>
      </c>
      <c r="BK175" s="183">
        <f t="shared" si="36"/>
        <v>0</v>
      </c>
      <c r="BL175" s="183">
        <f t="shared" si="37"/>
        <v>1387274</v>
      </c>
      <c r="BM175" s="184">
        <f t="shared" si="38"/>
        <v>325123.04000000004</v>
      </c>
      <c r="BN175" s="184">
        <f>ROUNDDOWN(BM175*'1. UC Assumptions'!$C$23,2)</f>
        <v>107290.6</v>
      </c>
      <c r="BO175" s="184"/>
      <c r="BP175" s="185"/>
      <c r="BQ175" s="32"/>
      <c r="BR175" s="32"/>
    </row>
    <row r="176" spans="1:70">
      <c r="A176" s="177" t="s">
        <v>1513</v>
      </c>
      <c r="B176" s="178" t="s">
        <v>1514</v>
      </c>
      <c r="C176" s="178" t="s">
        <v>1514</v>
      </c>
      <c r="D176" s="179" t="s">
        <v>208</v>
      </c>
      <c r="E176" s="179" t="s">
        <v>149</v>
      </c>
      <c r="F176" s="177"/>
      <c r="G176" s="177" t="s">
        <v>1515</v>
      </c>
      <c r="H176" s="178" t="s">
        <v>10</v>
      </c>
      <c r="I176" s="178" t="s">
        <v>1070</v>
      </c>
      <c r="J176" s="131">
        <f>IFERROR(INDEX(#REF!,(MATCH('Old Calc Tab'!C:C,#REF!,0))),0)</f>
        <v>0</v>
      </c>
      <c r="K176" s="131">
        <f>IFERROR(INDEX(#REF!,(MATCH('Old Calc Tab'!$C:$C,#REF!,0))),0)</f>
        <v>0</v>
      </c>
      <c r="L176" s="131"/>
      <c r="M176" s="131">
        <v>248365.80000000002</v>
      </c>
      <c r="N176" s="131">
        <f>IFERROR(INDEX(#REF!,(MATCH('Old Calc Tab'!$C:$C,#REF!,0))),0)</f>
        <v>0</v>
      </c>
      <c r="O176" s="131">
        <f t="shared" si="26"/>
        <v>0</v>
      </c>
      <c r="P176" s="131">
        <f t="shared" si="27"/>
        <v>248365.80000000002</v>
      </c>
      <c r="Q176" s="131"/>
      <c r="R176" s="131"/>
      <c r="S176" s="131"/>
      <c r="T176" s="131"/>
      <c r="U176" s="131"/>
      <c r="V176" s="131">
        <v>0</v>
      </c>
      <c r="W176" s="180">
        <v>0</v>
      </c>
      <c r="X176" s="180">
        <f t="shared" si="28"/>
        <v>248365.80000000002</v>
      </c>
      <c r="Y176" s="181">
        <f>IF(D176="Physician Group Practice",(X176/$AE$369)*'1. UC Assumptions'!$C$15,IF(OR(E176="Rural Hospital",E176="Hosp - State"),X176,(X176/$X$369)*'1. UC Assumptions'!$C$9))</f>
        <v>248365.80000000002</v>
      </c>
      <c r="Z176" s="181">
        <f t="shared" si="29"/>
        <v>0</v>
      </c>
      <c r="AA176" s="181">
        <f t="shared" si="30"/>
        <v>0</v>
      </c>
      <c r="AB176" s="182">
        <f t="shared" si="31"/>
        <v>0</v>
      </c>
      <c r="AC176" s="181">
        <f t="shared" si="32"/>
        <v>0</v>
      </c>
      <c r="AD176" s="181">
        <f t="shared" si="33"/>
        <v>248365.80000000002</v>
      </c>
      <c r="AE176" s="131">
        <v>45347.35</v>
      </c>
      <c r="AF176" s="131">
        <f>AE176*'1. UC Assumptions'!$C$23</f>
        <v>14964.625499999998</v>
      </c>
      <c r="AG176" s="183">
        <f>IF((((X176-W176-AE176)*'1. UC Assumptions'!$C$23)+AF176)&gt;0,((X176-W176-AE176)*'1. UC Assumptions'!$C$23)+AF176,0)</f>
        <v>81960.713999999993</v>
      </c>
      <c r="AH176" s="183">
        <f>IF(((X176-W176-AE176)*'1. UC Assumptions'!$C$23)&gt;0,(X176-W176-AE176)*'1. UC Assumptions'!$C$23,0)</f>
        <v>66996.088499999998</v>
      </c>
      <c r="AI176" s="183">
        <f t="shared" si="34"/>
        <v>81960.713999999993</v>
      </c>
      <c r="AJ176" s="183">
        <f>IF(H176="Bexar",(AD176/$AJ$1)*'1. UC Assumptions'!$E$42,0)</f>
        <v>0</v>
      </c>
      <c r="AK176" s="183">
        <f>IF(H176="Dallas",(AD176/$AK$1)*'1. UC Assumptions'!$F$42,0)</f>
        <v>0</v>
      </c>
      <c r="AL176" s="183">
        <f>IF(H176="El Paso",(AD176/$AL$1)*'1. UC Assumptions'!$G$42,0)</f>
        <v>0</v>
      </c>
      <c r="AM176" s="183">
        <f>IF(H176="Harris",(AD176/$AM$1)*'1. UC Assumptions'!$H$42,0)</f>
        <v>0</v>
      </c>
      <c r="AN176" s="183">
        <f>IF(H176="Hidalgo",(AD176/$AN$1)*'1. UC Assumptions'!$I$42,0)</f>
        <v>0</v>
      </c>
      <c r="AO176" s="183">
        <f>IF(H176="Jefferson",(AD176/$AO$1)*'1. UC Assumptions'!$J$42,0)</f>
        <v>0</v>
      </c>
      <c r="AP176" s="183">
        <f>IF(H176="Lubbock",(AD176/$AP$1)*'1. UC Assumptions'!$K$42,0)</f>
        <v>0</v>
      </c>
      <c r="AQ176" s="183">
        <f>IF(H176="MRSA Central",(AD176/$AQ$1)*'1. UC Assumptions'!$L$42,0)</f>
        <v>0</v>
      </c>
      <c r="AR176" s="183">
        <f>IF(H176="MRSA Northeast",(AD176/$AR$1)*'1. UC Assumptions'!$M$42,0)</f>
        <v>0</v>
      </c>
      <c r="AS176" s="183">
        <f>IF(H176="MRSA West",(AD176/$AS$1)*'1. UC Assumptions'!$N$42,0)</f>
        <v>0</v>
      </c>
      <c r="AT176" s="183">
        <f>IF(H176="Nueces",(AD176/$AT$1)*'1. UC Assumptions'!$O$42,0)</f>
        <v>0</v>
      </c>
      <c r="AU176" s="183">
        <f>IF(H176="Tarrant",(AD176/$AU$1)*'1. UC Assumptions'!$P$42,0)</f>
        <v>0</v>
      </c>
      <c r="AV176" s="183">
        <f>IF(H176="Travis",(AD176/$AV$1)*'1. UC Assumptions'!$Q$42,0)</f>
        <v>0</v>
      </c>
      <c r="AW176" s="183">
        <f>IF(H176="Bexar",(AC176/$AW$1)*'1. UC Assumptions'!$E$44,0)</f>
        <v>0</v>
      </c>
      <c r="AX176" s="183">
        <f>IF(H176="Dallas",(AC176/$AX$1)*'1. UC Assumptions'!$F$44,0)</f>
        <v>0</v>
      </c>
      <c r="AY176" s="183">
        <f>IF(H176="El Paso",(AC176/$AY$1)*'1. UC Assumptions'!$G$44,0)</f>
        <v>0</v>
      </c>
      <c r="AZ176" s="183">
        <f>IF(H176="Harris",(AC176/$AZ$1)*'1. UC Assumptions'!$H$44,0)</f>
        <v>0</v>
      </c>
      <c r="BA176" s="183">
        <f>IF(H176="Hidalgo",(AC176/$BA$1)*'1. UC Assumptions'!$I$44,0)</f>
        <v>0</v>
      </c>
      <c r="BB176" s="183">
        <f>IF(H176="Jefferson",(AC176/$BB$1)*'1. UC Assumptions'!$J$44,0)</f>
        <v>0</v>
      </c>
      <c r="BC176" s="183">
        <f>IF(H176="Lubbock",(AC176/$BC$1)*'1. UC Assumptions'!$K$44,0)</f>
        <v>0</v>
      </c>
      <c r="BD176" s="183">
        <f>IF(H176="MRSA Central",(AC176/$BD$1)*'1. UC Assumptions'!$L$44,0)</f>
        <v>0</v>
      </c>
      <c r="BE176" s="183">
        <f>IF(H176="MRSA Northeast",(AC176/$BE$1)*'1. UC Assumptions'!$M$44,0)</f>
        <v>0</v>
      </c>
      <c r="BF176" s="183">
        <f>IF(H176="MRSA West",(AC176/$BF$1)*'1. UC Assumptions'!$N$44,0)</f>
        <v>0</v>
      </c>
      <c r="BG176" s="183">
        <f>IF(H176="Nueces",(AC176/$BG$1)*'1. UC Assumptions'!$O$44,0)</f>
        <v>0</v>
      </c>
      <c r="BH176" s="183">
        <f>IF(H176="Tarrant",(AC176/$BH$1)*'1. UC Assumptions'!$P$44,0)</f>
        <v>0</v>
      </c>
      <c r="BI176" s="183">
        <f>IF(H176="Travis",(AC176/$BI$1)*'1. UC Assumptions'!$Q$44,0)</f>
        <v>0</v>
      </c>
      <c r="BJ176" s="183">
        <f t="shared" si="35"/>
        <v>0</v>
      </c>
      <c r="BK176" s="183">
        <f t="shared" si="36"/>
        <v>0</v>
      </c>
      <c r="BL176" s="183">
        <f t="shared" si="37"/>
        <v>248365.80000000002</v>
      </c>
      <c r="BM176" s="184">
        <f t="shared" si="38"/>
        <v>203018.45</v>
      </c>
      <c r="BN176" s="184">
        <f>ROUNDDOWN(BM176*'1. UC Assumptions'!$C$23,2)</f>
        <v>66996.08</v>
      </c>
      <c r="BO176" s="184"/>
      <c r="BP176" s="185"/>
      <c r="BQ176" s="32"/>
      <c r="BR176" s="32"/>
    </row>
    <row r="177" spans="1:70">
      <c r="A177" s="177" t="s">
        <v>1516</v>
      </c>
      <c r="B177" s="177" t="s">
        <v>726</v>
      </c>
      <c r="C177" s="178" t="s">
        <v>726</v>
      </c>
      <c r="D177" s="179" t="s">
        <v>214</v>
      </c>
      <c r="E177" s="179"/>
      <c r="F177" s="177"/>
      <c r="G177" s="177" t="s">
        <v>727</v>
      </c>
      <c r="H177" s="178" t="s">
        <v>10</v>
      </c>
      <c r="I177" s="178" t="s">
        <v>327</v>
      </c>
      <c r="J177" s="131">
        <f>IFERROR(INDEX(#REF!,(MATCH('Old Calc Tab'!C:C,#REF!,0))),0)</f>
        <v>0</v>
      </c>
      <c r="K177" s="131">
        <f>IFERROR(INDEX(#REF!,(MATCH('Old Calc Tab'!$C:$C,#REF!,0))),0)</f>
        <v>0</v>
      </c>
      <c r="L177" s="131"/>
      <c r="M177" s="131">
        <v>52473869.040000007</v>
      </c>
      <c r="N177" s="131">
        <f>IFERROR(INDEX(#REF!,(MATCH('Old Calc Tab'!$C:$C,#REF!,0))),0)</f>
        <v>0</v>
      </c>
      <c r="O177" s="131">
        <f t="shared" si="26"/>
        <v>0</v>
      </c>
      <c r="P177" s="131">
        <f t="shared" si="27"/>
        <v>52473869.040000007</v>
      </c>
      <c r="Q177" s="131"/>
      <c r="R177" s="131"/>
      <c r="S177" s="131"/>
      <c r="T177" s="131"/>
      <c r="U177" s="131"/>
      <c r="V177" s="131">
        <v>10978663.200000003</v>
      </c>
      <c r="W177" s="180">
        <v>0</v>
      </c>
      <c r="X177" s="180">
        <f t="shared" si="28"/>
        <v>63452532.24000001</v>
      </c>
      <c r="Y177" s="181">
        <f>IF(D177="Physician Group Practice",(X177/$AE$369)*'1. UC Assumptions'!$C$15,IF(OR(E177="Rural Hospital",E177="Hosp - State"),X177,(X177/$X$369)*'1. UC Assumptions'!$C$9))</f>
        <v>38189733.118154764</v>
      </c>
      <c r="Z177" s="181">
        <f t="shared" si="29"/>
        <v>0</v>
      </c>
      <c r="AA177" s="181">
        <f t="shared" si="30"/>
        <v>25262799.121845245</v>
      </c>
      <c r="AB177" s="182">
        <f t="shared" si="31"/>
        <v>13566.909917515242</v>
      </c>
      <c r="AC177" s="181">
        <f t="shared" si="32"/>
        <v>25276366.03176276</v>
      </c>
      <c r="AD177" s="181">
        <f t="shared" si="33"/>
        <v>38203300.028072283</v>
      </c>
      <c r="AE177" s="131">
        <v>35540239.159999996</v>
      </c>
      <c r="AF177" s="131">
        <f>AE177*'1. UC Assumptions'!$C$23</f>
        <v>11728278.922799997</v>
      </c>
      <c r="AG177" s="183">
        <f>IF((((X177-W177-AE177)*'1. UC Assumptions'!$C$23)+AF177)&gt;0,((X177-W177-AE177)*'1. UC Assumptions'!$C$23)+AF177,0)</f>
        <v>20939335.639200002</v>
      </c>
      <c r="AH177" s="183">
        <f>IF(((X177-W177-AE177)*'1. UC Assumptions'!$C$23)&gt;0,(X177-W177-AE177)*'1. UC Assumptions'!$C$23,0)</f>
        <v>9211056.7164000031</v>
      </c>
      <c r="AI177" s="183">
        <f t="shared" si="34"/>
        <v>20939335.639200002</v>
      </c>
      <c r="AJ177" s="183">
        <f>IF(H177="Bexar",(AD177/$AJ$1)*'1. UC Assumptions'!$E$42,0)</f>
        <v>0</v>
      </c>
      <c r="AK177" s="183">
        <f>IF(H177="Dallas",(AD177/$AK$1)*'1. UC Assumptions'!$F$42,0)</f>
        <v>0</v>
      </c>
      <c r="AL177" s="183">
        <f>IF(H177="El Paso",(AD177/$AL$1)*'1. UC Assumptions'!$G$42,0)</f>
        <v>0</v>
      </c>
      <c r="AM177" s="183">
        <f>IF(H177="Harris",(AD177/$AM$1)*'1. UC Assumptions'!$H$42,0)</f>
        <v>0</v>
      </c>
      <c r="AN177" s="183">
        <f>IF(H177="Hidalgo",(AD177/$AN$1)*'1. UC Assumptions'!$I$42,0)</f>
        <v>0</v>
      </c>
      <c r="AO177" s="183">
        <f>IF(H177="Jefferson",(AD177/$AO$1)*'1. UC Assumptions'!$J$42,0)</f>
        <v>0</v>
      </c>
      <c r="AP177" s="183">
        <f>IF(H177="Lubbock",(AD177/$AP$1)*'1. UC Assumptions'!$K$42,0)</f>
        <v>0</v>
      </c>
      <c r="AQ177" s="183">
        <f>IF(H177="MRSA Central",(AD177/$AQ$1)*'1. UC Assumptions'!$L$42,0)</f>
        <v>0</v>
      </c>
      <c r="AR177" s="183">
        <f>IF(H177="MRSA Northeast",(AD177/$AR$1)*'1. UC Assumptions'!$M$42,0)</f>
        <v>0</v>
      </c>
      <c r="AS177" s="183">
        <f>IF(H177="MRSA West",(AD177/$AS$1)*'1. UC Assumptions'!$N$42,0)</f>
        <v>0</v>
      </c>
      <c r="AT177" s="183">
        <f>IF(H177="Nueces",(AD177/$AT$1)*'1. UC Assumptions'!$O$42,0)</f>
        <v>0</v>
      </c>
      <c r="AU177" s="183">
        <f>IF(H177="Tarrant",(AD177/$AU$1)*'1. UC Assumptions'!$P$42,0)</f>
        <v>0</v>
      </c>
      <c r="AV177" s="183">
        <f>IF(H177="Travis",(AD177/$AV$1)*'1. UC Assumptions'!$Q$42,0)</f>
        <v>0</v>
      </c>
      <c r="AW177" s="183">
        <f>IF(H177="Bexar",(AC177/$AW$1)*'1. UC Assumptions'!$E$44,0)</f>
        <v>0</v>
      </c>
      <c r="AX177" s="183">
        <f>IF(H177="Dallas",(AC177/$AX$1)*'1. UC Assumptions'!$F$44,0)</f>
        <v>0</v>
      </c>
      <c r="AY177" s="183">
        <f>IF(H177="El Paso",(AC177/$AY$1)*'1. UC Assumptions'!$G$44,0)</f>
        <v>0</v>
      </c>
      <c r="AZ177" s="183">
        <f>IF(H177="Harris",(AC177/$AZ$1)*'1. UC Assumptions'!$H$44,0)</f>
        <v>0</v>
      </c>
      <c r="BA177" s="183">
        <f>IF(H177="Hidalgo",(AC177/$BA$1)*'1. UC Assumptions'!$I$44,0)</f>
        <v>0</v>
      </c>
      <c r="BB177" s="183">
        <f>IF(H177="Jefferson",(AC177/$BB$1)*'1. UC Assumptions'!$J$44,0)</f>
        <v>0</v>
      </c>
      <c r="BC177" s="183">
        <f>IF(H177="Lubbock",(AC177/$BC$1)*'1. UC Assumptions'!$K$44,0)</f>
        <v>0</v>
      </c>
      <c r="BD177" s="183">
        <f>IF(H177="MRSA Central",(AC177/$BD$1)*'1. UC Assumptions'!$L$44,0)</f>
        <v>0</v>
      </c>
      <c r="BE177" s="183">
        <f>IF(H177="MRSA Northeast",(AC177/$BE$1)*'1. UC Assumptions'!$M$44,0)</f>
        <v>0</v>
      </c>
      <c r="BF177" s="183">
        <f>IF(H177="MRSA West",(AC177/$BF$1)*'1. UC Assumptions'!$N$44,0)</f>
        <v>0</v>
      </c>
      <c r="BG177" s="183">
        <f>IF(H177="Nueces",(AC177/$BG$1)*'1. UC Assumptions'!$O$44,0)</f>
        <v>0</v>
      </c>
      <c r="BH177" s="183">
        <f>IF(H177="Tarrant",(AC177/$BH$1)*'1. UC Assumptions'!$P$44,0)</f>
        <v>0</v>
      </c>
      <c r="BI177" s="183">
        <f>IF(H177="Travis",(AC177/$BI$1)*'1. UC Assumptions'!$Q$44,0)</f>
        <v>0</v>
      </c>
      <c r="BJ177" s="183">
        <f t="shared" si="35"/>
        <v>0</v>
      </c>
      <c r="BK177" s="183">
        <f t="shared" si="36"/>
        <v>0</v>
      </c>
      <c r="BL177" s="183">
        <f t="shared" si="37"/>
        <v>38203300.028072283</v>
      </c>
      <c r="BM177" s="184">
        <f t="shared" si="38"/>
        <v>2663060.8680722862</v>
      </c>
      <c r="BN177" s="184">
        <f>ROUNDDOWN(BM177*'1. UC Assumptions'!$C$23,2)</f>
        <v>878810.08</v>
      </c>
      <c r="BO177" s="184"/>
      <c r="BP177" s="185"/>
      <c r="BQ177" s="32"/>
      <c r="BR177" s="32"/>
    </row>
    <row r="178" spans="1:70">
      <c r="A178" s="177" t="s">
        <v>1517</v>
      </c>
      <c r="B178" s="177" t="s">
        <v>762</v>
      </c>
      <c r="C178" s="178" t="s">
        <v>762</v>
      </c>
      <c r="D178" s="179" t="s">
        <v>208</v>
      </c>
      <c r="E178" s="179" t="s">
        <v>149</v>
      </c>
      <c r="F178" s="177"/>
      <c r="G178" s="177" t="s">
        <v>1518</v>
      </c>
      <c r="H178" s="178" t="s">
        <v>10</v>
      </c>
      <c r="I178" s="178" t="s">
        <v>1519</v>
      </c>
      <c r="J178" s="131">
        <f>IFERROR(INDEX(#REF!,(MATCH('Old Calc Tab'!C:C,#REF!,0))),0)</f>
        <v>0</v>
      </c>
      <c r="K178" s="131">
        <f>IFERROR(INDEX(#REF!,(MATCH('Old Calc Tab'!$C:$C,#REF!,0))),0)</f>
        <v>0</v>
      </c>
      <c r="L178" s="131"/>
      <c r="M178" s="131">
        <v>1734398.85</v>
      </c>
      <c r="N178" s="131">
        <f>IFERROR(INDEX(#REF!,(MATCH('Old Calc Tab'!$C:$C,#REF!,0))),0)</f>
        <v>0</v>
      </c>
      <c r="O178" s="131">
        <f t="shared" si="26"/>
        <v>0</v>
      </c>
      <c r="P178" s="131">
        <f t="shared" si="27"/>
        <v>1734398.85</v>
      </c>
      <c r="Q178" s="131"/>
      <c r="R178" s="131"/>
      <c r="S178" s="131"/>
      <c r="T178" s="131"/>
      <c r="U178" s="131"/>
      <c r="V178" s="131">
        <v>0</v>
      </c>
      <c r="W178" s="180">
        <v>0</v>
      </c>
      <c r="X178" s="180">
        <f t="shared" si="28"/>
        <v>1734398.85</v>
      </c>
      <c r="Y178" s="181">
        <f>IF(D178="Physician Group Practice",(X178/$AE$369)*'1. UC Assumptions'!$C$15,IF(OR(E178="Rural Hospital",E178="Hosp - State"),X178,(X178/$X$369)*'1. UC Assumptions'!$C$9))</f>
        <v>1734398.85</v>
      </c>
      <c r="Z178" s="181">
        <f t="shared" si="29"/>
        <v>0</v>
      </c>
      <c r="AA178" s="181">
        <f t="shared" si="30"/>
        <v>0</v>
      </c>
      <c r="AB178" s="182">
        <f t="shared" si="31"/>
        <v>0</v>
      </c>
      <c r="AC178" s="181">
        <f t="shared" si="32"/>
        <v>0</v>
      </c>
      <c r="AD178" s="181">
        <f t="shared" si="33"/>
        <v>1734398.85</v>
      </c>
      <c r="AE178" s="131">
        <v>435941.97</v>
      </c>
      <c r="AF178" s="131">
        <f>AE178*'1. UC Assumptions'!$C$23</f>
        <v>143860.85009999998</v>
      </c>
      <c r="AG178" s="183">
        <f>IF((((X178-W178-AE178)*'1. UC Assumptions'!$C$23)+AF178)&gt;0,((X178-W178-AE178)*'1. UC Assumptions'!$C$23)+AF178,0)</f>
        <v>572351.62049999996</v>
      </c>
      <c r="AH178" s="183">
        <f>IF(((X178-W178-AE178)*'1. UC Assumptions'!$C$23)&gt;0,(X178-W178-AE178)*'1. UC Assumptions'!$C$23,0)</f>
        <v>428490.77039999998</v>
      </c>
      <c r="AI178" s="183">
        <f t="shared" si="34"/>
        <v>572351.62049999996</v>
      </c>
      <c r="AJ178" s="183">
        <f>IF(H178="Bexar",(AD178/$AJ$1)*'1. UC Assumptions'!$E$42,0)</f>
        <v>0</v>
      </c>
      <c r="AK178" s="183">
        <f>IF(H178="Dallas",(AD178/$AK$1)*'1. UC Assumptions'!$F$42,0)</f>
        <v>0</v>
      </c>
      <c r="AL178" s="183">
        <f>IF(H178="El Paso",(AD178/$AL$1)*'1. UC Assumptions'!$G$42,0)</f>
        <v>0</v>
      </c>
      <c r="AM178" s="183">
        <f>IF(H178="Harris",(AD178/$AM$1)*'1. UC Assumptions'!$H$42,0)</f>
        <v>0</v>
      </c>
      <c r="AN178" s="183">
        <f>IF(H178="Hidalgo",(AD178/$AN$1)*'1. UC Assumptions'!$I$42,0)</f>
        <v>0</v>
      </c>
      <c r="AO178" s="183">
        <f>IF(H178="Jefferson",(AD178/$AO$1)*'1. UC Assumptions'!$J$42,0)</f>
        <v>0</v>
      </c>
      <c r="AP178" s="183">
        <f>IF(H178="Lubbock",(AD178/$AP$1)*'1. UC Assumptions'!$K$42,0)</f>
        <v>0</v>
      </c>
      <c r="AQ178" s="183">
        <f>IF(H178="MRSA Central",(AD178/$AQ$1)*'1. UC Assumptions'!$L$42,0)</f>
        <v>0</v>
      </c>
      <c r="AR178" s="183">
        <f>IF(H178="MRSA Northeast",(AD178/$AR$1)*'1. UC Assumptions'!$M$42,0)</f>
        <v>0</v>
      </c>
      <c r="AS178" s="183">
        <f>IF(H178="MRSA West",(AD178/$AS$1)*'1. UC Assumptions'!$N$42,0)</f>
        <v>0</v>
      </c>
      <c r="AT178" s="183">
        <f>IF(H178="Nueces",(AD178/$AT$1)*'1. UC Assumptions'!$O$42,0)</f>
        <v>0</v>
      </c>
      <c r="AU178" s="183">
        <f>IF(H178="Tarrant",(AD178/$AU$1)*'1. UC Assumptions'!$P$42,0)</f>
        <v>0</v>
      </c>
      <c r="AV178" s="183">
        <f>IF(H178="Travis",(AD178/$AV$1)*'1. UC Assumptions'!$Q$42,0)</f>
        <v>0</v>
      </c>
      <c r="AW178" s="183">
        <f>IF(H178="Bexar",(AC178/$AW$1)*'1. UC Assumptions'!$E$44,0)</f>
        <v>0</v>
      </c>
      <c r="AX178" s="183">
        <f>IF(H178="Dallas",(AC178/$AX$1)*'1. UC Assumptions'!$F$44,0)</f>
        <v>0</v>
      </c>
      <c r="AY178" s="183">
        <f>IF(H178="El Paso",(AC178/$AY$1)*'1. UC Assumptions'!$G$44,0)</f>
        <v>0</v>
      </c>
      <c r="AZ178" s="183">
        <f>IF(H178="Harris",(AC178/$AZ$1)*'1. UC Assumptions'!$H$44,0)</f>
        <v>0</v>
      </c>
      <c r="BA178" s="183">
        <f>IF(H178="Hidalgo",(AC178/$BA$1)*'1. UC Assumptions'!$I$44,0)</f>
        <v>0</v>
      </c>
      <c r="BB178" s="183">
        <f>IF(H178="Jefferson",(AC178/$BB$1)*'1. UC Assumptions'!$J$44,0)</f>
        <v>0</v>
      </c>
      <c r="BC178" s="183">
        <f>IF(H178="Lubbock",(AC178/$BC$1)*'1. UC Assumptions'!$K$44,0)</f>
        <v>0</v>
      </c>
      <c r="BD178" s="183">
        <f>IF(H178="MRSA Central",(AC178/$BD$1)*'1. UC Assumptions'!$L$44,0)</f>
        <v>0</v>
      </c>
      <c r="BE178" s="183">
        <f>IF(H178="MRSA Northeast",(AC178/$BE$1)*'1. UC Assumptions'!$M$44,0)</f>
        <v>0</v>
      </c>
      <c r="BF178" s="183">
        <f>IF(H178="MRSA West",(AC178/$BF$1)*'1. UC Assumptions'!$N$44,0)</f>
        <v>0</v>
      </c>
      <c r="BG178" s="183">
        <f>IF(H178="Nueces",(AC178/$BG$1)*'1. UC Assumptions'!$O$44,0)</f>
        <v>0</v>
      </c>
      <c r="BH178" s="183">
        <f>IF(H178="Tarrant",(AC178/$BH$1)*'1. UC Assumptions'!$P$44,0)</f>
        <v>0</v>
      </c>
      <c r="BI178" s="183">
        <f>IF(H178="Travis",(AC178/$BI$1)*'1. UC Assumptions'!$Q$44,0)</f>
        <v>0</v>
      </c>
      <c r="BJ178" s="183">
        <f t="shared" si="35"/>
        <v>0</v>
      </c>
      <c r="BK178" s="183">
        <f t="shared" si="36"/>
        <v>0</v>
      </c>
      <c r="BL178" s="183">
        <f t="shared" si="37"/>
        <v>1734398.85</v>
      </c>
      <c r="BM178" s="184">
        <f t="shared" si="38"/>
        <v>1298456.8800000001</v>
      </c>
      <c r="BN178" s="184">
        <f>ROUNDDOWN(BM178*'1. UC Assumptions'!$C$23,2)</f>
        <v>428490.77</v>
      </c>
      <c r="BO178" s="184"/>
      <c r="BP178" s="185"/>
      <c r="BQ178" s="32"/>
      <c r="BR178" s="32"/>
    </row>
    <row r="179" spans="1:70">
      <c r="A179" s="177" t="s">
        <v>1520</v>
      </c>
      <c r="B179" s="187" t="s">
        <v>773</v>
      </c>
      <c r="C179" s="178" t="s">
        <v>773</v>
      </c>
      <c r="D179" s="179" t="s">
        <v>214</v>
      </c>
      <c r="E179" s="179"/>
      <c r="F179" s="177"/>
      <c r="G179" s="177" t="s">
        <v>774</v>
      </c>
      <c r="H179" s="178" t="s">
        <v>10</v>
      </c>
      <c r="I179" s="178" t="s">
        <v>1487</v>
      </c>
      <c r="J179" s="131">
        <f>IFERROR(INDEX(#REF!,(MATCH('Old Calc Tab'!C:C,#REF!,0))),0)</f>
        <v>0</v>
      </c>
      <c r="K179" s="131">
        <f>IFERROR(INDEX(#REF!,(MATCH('Old Calc Tab'!$C:$C,#REF!,0))),0)</f>
        <v>0</v>
      </c>
      <c r="L179" s="131"/>
      <c r="M179" s="131">
        <v>11826774.199999999</v>
      </c>
      <c r="N179" s="131">
        <f>IFERROR(INDEX(#REF!,(MATCH('Old Calc Tab'!$C:$C,#REF!,0))),0)</f>
        <v>0</v>
      </c>
      <c r="O179" s="131">
        <f t="shared" si="26"/>
        <v>0</v>
      </c>
      <c r="P179" s="131">
        <f t="shared" si="27"/>
        <v>11826774.199999999</v>
      </c>
      <c r="Q179" s="131"/>
      <c r="R179" s="131"/>
      <c r="S179" s="131"/>
      <c r="T179" s="131"/>
      <c r="U179" s="131"/>
      <c r="V179" s="131">
        <v>4078752</v>
      </c>
      <c r="W179" s="180">
        <v>0</v>
      </c>
      <c r="X179" s="180">
        <f t="shared" si="28"/>
        <v>15905526.199999999</v>
      </c>
      <c r="Y179" s="181">
        <f>IF(D179="Physician Group Practice",(X179/$AE$369)*'1. UC Assumptions'!$C$15,IF(OR(E179="Rural Hospital",E179="Hosp - State"),X179,(X179/$X$369)*'1. UC Assumptions'!$C$9))</f>
        <v>9572948.1430986971</v>
      </c>
      <c r="Z179" s="181">
        <f t="shared" si="29"/>
        <v>0</v>
      </c>
      <c r="AA179" s="181">
        <f t="shared" si="30"/>
        <v>6332578.0569013022</v>
      </c>
      <c r="AB179" s="182">
        <f t="shared" si="31"/>
        <v>3400.7916394871127</v>
      </c>
      <c r="AC179" s="181">
        <f t="shared" si="32"/>
        <v>6335978.8485407894</v>
      </c>
      <c r="AD179" s="181">
        <f t="shared" si="33"/>
        <v>9576348.9347381834</v>
      </c>
      <c r="AE179" s="131">
        <v>9478629.8000000007</v>
      </c>
      <c r="AF179" s="131">
        <f>AE179*'1. UC Assumptions'!$C$23</f>
        <v>3127947.8339999998</v>
      </c>
      <c r="AG179" s="183">
        <f>IF((((X179-W179-AE179)*'1. UC Assumptions'!$C$23)+AF179)&gt;0,((X179-W179-AE179)*'1. UC Assumptions'!$C$23)+AF179,0)</f>
        <v>5248823.6459999997</v>
      </c>
      <c r="AH179" s="183">
        <f>IF(((X179-W179-AE179)*'1. UC Assumptions'!$C$23)&gt;0,(X179-W179-AE179)*'1. UC Assumptions'!$C$23,0)</f>
        <v>2120875.8119999995</v>
      </c>
      <c r="AI179" s="183">
        <f t="shared" si="34"/>
        <v>5248823.6459999997</v>
      </c>
      <c r="AJ179" s="183">
        <f>IF(H179="Bexar",(AD179/$AJ$1)*'1. UC Assumptions'!$E$42,0)</f>
        <v>0</v>
      </c>
      <c r="AK179" s="183">
        <f>IF(H179="Dallas",(AD179/$AK$1)*'1. UC Assumptions'!$F$42,0)</f>
        <v>0</v>
      </c>
      <c r="AL179" s="183">
        <f>IF(H179="El Paso",(AD179/$AL$1)*'1. UC Assumptions'!$G$42,0)</f>
        <v>0</v>
      </c>
      <c r="AM179" s="183">
        <f>IF(H179="Harris",(AD179/$AM$1)*'1. UC Assumptions'!$H$42,0)</f>
        <v>0</v>
      </c>
      <c r="AN179" s="183">
        <f>IF(H179="Hidalgo",(AD179/$AN$1)*'1. UC Assumptions'!$I$42,0)</f>
        <v>0</v>
      </c>
      <c r="AO179" s="183">
        <f>IF(H179="Jefferson",(AD179/$AO$1)*'1. UC Assumptions'!$J$42,0)</f>
        <v>0</v>
      </c>
      <c r="AP179" s="183">
        <f>IF(H179="Lubbock",(AD179/$AP$1)*'1. UC Assumptions'!$K$42,0)</f>
        <v>0</v>
      </c>
      <c r="AQ179" s="183">
        <f>IF(H179="MRSA Central",(AD179/$AQ$1)*'1. UC Assumptions'!$L$42,0)</f>
        <v>0</v>
      </c>
      <c r="AR179" s="183">
        <f>IF(H179="MRSA Northeast",(AD179/$AR$1)*'1. UC Assumptions'!$M$42,0)</f>
        <v>0</v>
      </c>
      <c r="AS179" s="183">
        <f>IF(H179="MRSA West",(AD179/$AS$1)*'1. UC Assumptions'!$N$42,0)</f>
        <v>0</v>
      </c>
      <c r="AT179" s="183">
        <f>IF(H179="Nueces",(AD179/$AT$1)*'1. UC Assumptions'!$O$42,0)</f>
        <v>0</v>
      </c>
      <c r="AU179" s="183">
        <f>IF(H179="Tarrant",(AD179/$AU$1)*'1. UC Assumptions'!$P$42,0)</f>
        <v>0</v>
      </c>
      <c r="AV179" s="183">
        <f>IF(H179="Travis",(AD179/$AV$1)*'1. UC Assumptions'!$Q$42,0)</f>
        <v>0</v>
      </c>
      <c r="AW179" s="183">
        <f>IF(H179="Bexar",(AC179/$AW$1)*'1. UC Assumptions'!$E$44,0)</f>
        <v>0</v>
      </c>
      <c r="AX179" s="183">
        <f>IF(H179="Dallas",(AC179/$AX$1)*'1. UC Assumptions'!$F$44,0)</f>
        <v>0</v>
      </c>
      <c r="AY179" s="183">
        <f>IF(H179="El Paso",(AC179/$AY$1)*'1. UC Assumptions'!$G$44,0)</f>
        <v>0</v>
      </c>
      <c r="AZ179" s="183">
        <f>IF(H179="Harris",(AC179/$AZ$1)*'1. UC Assumptions'!$H$44,0)</f>
        <v>0</v>
      </c>
      <c r="BA179" s="183">
        <f>IF(H179="Hidalgo",(AC179/$BA$1)*'1. UC Assumptions'!$I$44,0)</f>
        <v>0</v>
      </c>
      <c r="BB179" s="183">
        <f>IF(H179="Jefferson",(AC179/$BB$1)*'1. UC Assumptions'!$J$44,0)</f>
        <v>0</v>
      </c>
      <c r="BC179" s="183">
        <f>IF(H179="Lubbock",(AC179/$BC$1)*'1. UC Assumptions'!$K$44,0)</f>
        <v>0</v>
      </c>
      <c r="BD179" s="183">
        <f>IF(H179="MRSA Central",(AC179/$BD$1)*'1. UC Assumptions'!$L$44,0)</f>
        <v>0</v>
      </c>
      <c r="BE179" s="183">
        <f>IF(H179="MRSA Northeast",(AC179/$BE$1)*'1. UC Assumptions'!$M$44,0)</f>
        <v>0</v>
      </c>
      <c r="BF179" s="183">
        <f>IF(H179="MRSA West",(AC179/$BF$1)*'1. UC Assumptions'!$N$44,0)</f>
        <v>0</v>
      </c>
      <c r="BG179" s="183">
        <f>IF(H179="Nueces",(AC179/$BG$1)*'1. UC Assumptions'!$O$44,0)</f>
        <v>0</v>
      </c>
      <c r="BH179" s="183">
        <f>IF(H179="Tarrant",(AC179/$BH$1)*'1. UC Assumptions'!$P$44,0)</f>
        <v>0</v>
      </c>
      <c r="BI179" s="183">
        <f>IF(H179="Travis",(AC179/$BI$1)*'1. UC Assumptions'!$Q$44,0)</f>
        <v>0</v>
      </c>
      <c r="BJ179" s="183">
        <f t="shared" si="35"/>
        <v>0</v>
      </c>
      <c r="BK179" s="183">
        <f t="shared" si="36"/>
        <v>0</v>
      </c>
      <c r="BL179" s="183">
        <f t="shared" si="37"/>
        <v>9576348.9347381834</v>
      </c>
      <c r="BM179" s="184">
        <f t="shared" si="38"/>
        <v>97719.134738182649</v>
      </c>
      <c r="BN179" s="184">
        <f>ROUNDDOWN(BM179*'1. UC Assumptions'!$C$23,2)</f>
        <v>32247.31</v>
      </c>
      <c r="BO179" s="184"/>
      <c r="BP179" s="185"/>
      <c r="BQ179" s="32"/>
      <c r="BR179" s="32"/>
    </row>
    <row r="180" spans="1:70">
      <c r="A180" s="177" t="s">
        <v>1521</v>
      </c>
      <c r="B180" s="178" t="s">
        <v>783</v>
      </c>
      <c r="C180" s="178" t="s">
        <v>783</v>
      </c>
      <c r="D180" s="179" t="s">
        <v>208</v>
      </c>
      <c r="E180" s="179" t="s">
        <v>149</v>
      </c>
      <c r="F180" s="177"/>
      <c r="G180" s="177" t="s">
        <v>784</v>
      </c>
      <c r="H180" s="178" t="s">
        <v>10</v>
      </c>
      <c r="I180" s="178" t="s">
        <v>414</v>
      </c>
      <c r="J180" s="131">
        <f>IFERROR(INDEX(#REF!,(MATCH('Old Calc Tab'!C:C,#REF!,0))),0)</f>
        <v>0</v>
      </c>
      <c r="K180" s="131">
        <f>IFERROR(INDEX(#REF!,(MATCH('Old Calc Tab'!$C:$C,#REF!,0))),0)</f>
        <v>0</v>
      </c>
      <c r="L180" s="131"/>
      <c r="M180" s="131">
        <v>349140</v>
      </c>
      <c r="N180" s="131">
        <f>IFERROR(INDEX(#REF!,(MATCH('Old Calc Tab'!$C:$C,#REF!,0))),0)</f>
        <v>0</v>
      </c>
      <c r="O180" s="131">
        <f t="shared" si="26"/>
        <v>0</v>
      </c>
      <c r="P180" s="131">
        <f t="shared" si="27"/>
        <v>349140</v>
      </c>
      <c r="Q180" s="131"/>
      <c r="R180" s="131"/>
      <c r="S180" s="131"/>
      <c r="T180" s="131"/>
      <c r="U180" s="131"/>
      <c r="V180" s="131">
        <v>60706</v>
      </c>
      <c r="W180" s="180">
        <v>0</v>
      </c>
      <c r="X180" s="180">
        <f t="shared" si="28"/>
        <v>409846</v>
      </c>
      <c r="Y180" s="181">
        <f>IF(D180="Physician Group Practice",(X180/$AE$369)*'1. UC Assumptions'!$C$15,IF(OR(E180="Rural Hospital",E180="Hosp - State"),X180,(X180/$X$369)*'1. UC Assumptions'!$C$9))</f>
        <v>409846</v>
      </c>
      <c r="Z180" s="181">
        <f t="shared" si="29"/>
        <v>0</v>
      </c>
      <c r="AA180" s="181">
        <f t="shared" si="30"/>
        <v>0</v>
      </c>
      <c r="AB180" s="182">
        <f t="shared" si="31"/>
        <v>0</v>
      </c>
      <c r="AC180" s="181">
        <f t="shared" si="32"/>
        <v>0</v>
      </c>
      <c r="AD180" s="181">
        <f t="shared" si="33"/>
        <v>409846</v>
      </c>
      <c r="AE180" s="131">
        <v>242922.68</v>
      </c>
      <c r="AF180" s="131">
        <f>AE180*'1. UC Assumptions'!$C$23</f>
        <v>80164.484399999987</v>
      </c>
      <c r="AG180" s="183">
        <f>IF((((X180-W180-AE180)*'1. UC Assumptions'!$C$23)+AF180)&gt;0,((X180-W180-AE180)*'1. UC Assumptions'!$C$23)+AF180,0)</f>
        <v>135249.18</v>
      </c>
      <c r="AH180" s="183">
        <f>IF(((X180-W180-AE180)*'1. UC Assumptions'!$C$23)&gt;0,(X180-W180-AE180)*'1. UC Assumptions'!$C$23,0)</f>
        <v>55084.695599999999</v>
      </c>
      <c r="AI180" s="183">
        <f t="shared" si="34"/>
        <v>135249.18</v>
      </c>
      <c r="AJ180" s="183">
        <f>IF(H180="Bexar",(AD180/$AJ$1)*'1. UC Assumptions'!$E$42,0)</f>
        <v>0</v>
      </c>
      <c r="AK180" s="183">
        <f>IF(H180="Dallas",(AD180/$AK$1)*'1. UC Assumptions'!$F$42,0)</f>
        <v>0</v>
      </c>
      <c r="AL180" s="183">
        <f>IF(H180="El Paso",(AD180/$AL$1)*'1. UC Assumptions'!$G$42,0)</f>
        <v>0</v>
      </c>
      <c r="AM180" s="183">
        <f>IF(H180="Harris",(AD180/$AM$1)*'1. UC Assumptions'!$H$42,0)</f>
        <v>0</v>
      </c>
      <c r="AN180" s="183">
        <f>IF(H180="Hidalgo",(AD180/$AN$1)*'1. UC Assumptions'!$I$42,0)</f>
        <v>0</v>
      </c>
      <c r="AO180" s="183">
        <f>IF(H180="Jefferson",(AD180/$AO$1)*'1. UC Assumptions'!$J$42,0)</f>
        <v>0</v>
      </c>
      <c r="AP180" s="183">
        <f>IF(H180="Lubbock",(AD180/$AP$1)*'1. UC Assumptions'!$K$42,0)</f>
        <v>0</v>
      </c>
      <c r="AQ180" s="183">
        <f>IF(H180="MRSA Central",(AD180/$AQ$1)*'1. UC Assumptions'!$L$42,0)</f>
        <v>0</v>
      </c>
      <c r="AR180" s="183">
        <f>IF(H180="MRSA Northeast",(AD180/$AR$1)*'1. UC Assumptions'!$M$42,0)</f>
        <v>0</v>
      </c>
      <c r="AS180" s="183">
        <f>IF(H180="MRSA West",(AD180/$AS$1)*'1. UC Assumptions'!$N$42,0)</f>
        <v>0</v>
      </c>
      <c r="AT180" s="183">
        <f>IF(H180="Nueces",(AD180/$AT$1)*'1. UC Assumptions'!$O$42,0)</f>
        <v>0</v>
      </c>
      <c r="AU180" s="183">
        <f>IF(H180="Tarrant",(AD180/$AU$1)*'1. UC Assumptions'!$P$42,0)</f>
        <v>0</v>
      </c>
      <c r="AV180" s="183">
        <f>IF(H180="Travis",(AD180/$AV$1)*'1. UC Assumptions'!$Q$42,0)</f>
        <v>0</v>
      </c>
      <c r="AW180" s="183">
        <f>IF(H180="Bexar",(AC180/$AW$1)*'1. UC Assumptions'!$E$44,0)</f>
        <v>0</v>
      </c>
      <c r="AX180" s="183">
        <f>IF(H180="Dallas",(AC180/$AX$1)*'1. UC Assumptions'!$F$44,0)</f>
        <v>0</v>
      </c>
      <c r="AY180" s="183">
        <f>IF(H180="El Paso",(AC180/$AY$1)*'1. UC Assumptions'!$G$44,0)</f>
        <v>0</v>
      </c>
      <c r="AZ180" s="183">
        <f>IF(H180="Harris",(AC180/$AZ$1)*'1. UC Assumptions'!$H$44,0)</f>
        <v>0</v>
      </c>
      <c r="BA180" s="183">
        <f>IF(H180="Hidalgo",(AC180/$BA$1)*'1. UC Assumptions'!$I$44,0)</f>
        <v>0</v>
      </c>
      <c r="BB180" s="183">
        <f>IF(H180="Jefferson",(AC180/$BB$1)*'1. UC Assumptions'!$J$44,0)</f>
        <v>0</v>
      </c>
      <c r="BC180" s="183">
        <f>IF(H180="Lubbock",(AC180/$BC$1)*'1. UC Assumptions'!$K$44,0)</f>
        <v>0</v>
      </c>
      <c r="BD180" s="183">
        <f>IF(H180="MRSA Central",(AC180/$BD$1)*'1. UC Assumptions'!$L$44,0)</f>
        <v>0</v>
      </c>
      <c r="BE180" s="183">
        <f>IF(H180="MRSA Northeast",(AC180/$BE$1)*'1. UC Assumptions'!$M$44,0)</f>
        <v>0</v>
      </c>
      <c r="BF180" s="183">
        <f>IF(H180="MRSA West",(AC180/$BF$1)*'1. UC Assumptions'!$N$44,0)</f>
        <v>0</v>
      </c>
      <c r="BG180" s="183">
        <f>IF(H180="Nueces",(AC180/$BG$1)*'1. UC Assumptions'!$O$44,0)</f>
        <v>0</v>
      </c>
      <c r="BH180" s="183">
        <f>IF(H180="Tarrant",(AC180/$BH$1)*'1. UC Assumptions'!$P$44,0)</f>
        <v>0</v>
      </c>
      <c r="BI180" s="183">
        <f>IF(H180="Travis",(AC180/$BI$1)*'1. UC Assumptions'!$Q$44,0)</f>
        <v>0</v>
      </c>
      <c r="BJ180" s="183">
        <f t="shared" si="35"/>
        <v>0</v>
      </c>
      <c r="BK180" s="183">
        <f t="shared" si="36"/>
        <v>0</v>
      </c>
      <c r="BL180" s="183">
        <f t="shared" si="37"/>
        <v>409846</v>
      </c>
      <c r="BM180" s="184">
        <f t="shared" si="38"/>
        <v>166923.32</v>
      </c>
      <c r="BN180" s="184">
        <f>ROUNDDOWN(BM180*'1. UC Assumptions'!$C$23,2)</f>
        <v>55084.69</v>
      </c>
      <c r="BO180" s="184"/>
      <c r="BP180" s="185"/>
      <c r="BQ180" s="32"/>
      <c r="BR180" s="32"/>
    </row>
    <row r="181" spans="1:70">
      <c r="A181" s="177" t="s">
        <v>1522</v>
      </c>
      <c r="B181" s="177" t="s">
        <v>791</v>
      </c>
      <c r="C181" s="178" t="s">
        <v>791</v>
      </c>
      <c r="D181" s="179" t="s">
        <v>214</v>
      </c>
      <c r="E181" s="179" t="s">
        <v>149</v>
      </c>
      <c r="F181" s="177"/>
      <c r="G181" s="177" t="s">
        <v>1523</v>
      </c>
      <c r="H181" s="178" t="s">
        <v>10</v>
      </c>
      <c r="I181" s="178" t="s">
        <v>792</v>
      </c>
      <c r="J181" s="131">
        <f>IFERROR(INDEX(#REF!,(MATCH('Old Calc Tab'!C:C,#REF!,0))),0)</f>
        <v>0</v>
      </c>
      <c r="K181" s="131">
        <f>IFERROR(INDEX(#REF!,(MATCH('Old Calc Tab'!$C:$C,#REF!,0))),0)</f>
        <v>0</v>
      </c>
      <c r="L181" s="131"/>
      <c r="M181" s="131">
        <v>430889.15</v>
      </c>
      <c r="N181" s="131">
        <f>IFERROR(INDEX(#REF!,(MATCH('Old Calc Tab'!$C:$C,#REF!,0))),0)</f>
        <v>0</v>
      </c>
      <c r="O181" s="131">
        <f t="shared" si="26"/>
        <v>0</v>
      </c>
      <c r="P181" s="131">
        <f t="shared" si="27"/>
        <v>430889.15</v>
      </c>
      <c r="Q181" s="131"/>
      <c r="R181" s="131"/>
      <c r="S181" s="131"/>
      <c r="T181" s="131"/>
      <c r="U181" s="131"/>
      <c r="V181" s="131">
        <v>0</v>
      </c>
      <c r="W181" s="180">
        <v>0</v>
      </c>
      <c r="X181" s="180">
        <f t="shared" si="28"/>
        <v>430889.15</v>
      </c>
      <c r="Y181" s="181">
        <f>IF(D181="Physician Group Practice",(X181/$AE$369)*'1. UC Assumptions'!$C$15,IF(OR(E181="Rural Hospital",E181="Hosp - State"),X181,(X181/$X$369)*'1. UC Assumptions'!$C$9))</f>
        <v>430889.15</v>
      </c>
      <c r="Z181" s="181">
        <f t="shared" si="29"/>
        <v>0</v>
      </c>
      <c r="AA181" s="181">
        <f t="shared" si="30"/>
        <v>0</v>
      </c>
      <c r="AB181" s="182">
        <f t="shared" si="31"/>
        <v>0</v>
      </c>
      <c r="AC181" s="181">
        <f t="shared" si="32"/>
        <v>0</v>
      </c>
      <c r="AD181" s="181">
        <f t="shared" si="33"/>
        <v>430889.15</v>
      </c>
      <c r="AE181" s="131">
        <v>564581.82999999996</v>
      </c>
      <c r="AF181" s="131">
        <f>AE181*'1. UC Assumptions'!$C$23</f>
        <v>186312.00389999995</v>
      </c>
      <c r="AG181" s="183">
        <f>IF((((X181-W181-AE181)*'1. UC Assumptions'!$C$23)+AF181)&gt;0,((X181-W181-AE181)*'1. UC Assumptions'!$C$23)+AF181,0)</f>
        <v>142193.41949999999</v>
      </c>
      <c r="AH181" s="183">
        <f>IF(((X181-W181-AE181)*'1. UC Assumptions'!$C$23)&gt;0,(X181-W181-AE181)*'1. UC Assumptions'!$C$23,0)</f>
        <v>0</v>
      </c>
      <c r="AI181" s="183">
        <f t="shared" si="34"/>
        <v>186312.00389999995</v>
      </c>
      <c r="AJ181" s="183">
        <f>IF(H181="Bexar",(AD181/$AJ$1)*'1. UC Assumptions'!$E$42,0)</f>
        <v>0</v>
      </c>
      <c r="AK181" s="183">
        <f>IF(H181="Dallas",(AD181/$AK$1)*'1. UC Assumptions'!$F$42,0)</f>
        <v>0</v>
      </c>
      <c r="AL181" s="183">
        <f>IF(H181="El Paso",(AD181/$AL$1)*'1. UC Assumptions'!$G$42,0)</f>
        <v>0</v>
      </c>
      <c r="AM181" s="183">
        <f>IF(H181="Harris",(AD181/$AM$1)*'1. UC Assumptions'!$H$42,0)</f>
        <v>0</v>
      </c>
      <c r="AN181" s="183">
        <f>IF(H181="Hidalgo",(AD181/$AN$1)*'1. UC Assumptions'!$I$42,0)</f>
        <v>0</v>
      </c>
      <c r="AO181" s="183">
        <f>IF(H181="Jefferson",(AD181/$AO$1)*'1. UC Assumptions'!$J$42,0)</f>
        <v>0</v>
      </c>
      <c r="AP181" s="183">
        <f>IF(H181="Lubbock",(AD181/$AP$1)*'1. UC Assumptions'!$K$42,0)</f>
        <v>0</v>
      </c>
      <c r="AQ181" s="183">
        <f>IF(H181="MRSA Central",(AD181/$AQ$1)*'1. UC Assumptions'!$L$42,0)</f>
        <v>0</v>
      </c>
      <c r="AR181" s="183">
        <f>IF(H181="MRSA Northeast",(AD181/$AR$1)*'1. UC Assumptions'!$M$42,0)</f>
        <v>0</v>
      </c>
      <c r="AS181" s="183">
        <f>IF(H181="MRSA West",(AD181/$AS$1)*'1. UC Assumptions'!$N$42,0)</f>
        <v>0</v>
      </c>
      <c r="AT181" s="183">
        <f>IF(H181="Nueces",(AD181/$AT$1)*'1. UC Assumptions'!$O$42,0)</f>
        <v>0</v>
      </c>
      <c r="AU181" s="183">
        <f>IF(H181="Tarrant",(AD181/$AU$1)*'1. UC Assumptions'!$P$42,0)</f>
        <v>0</v>
      </c>
      <c r="AV181" s="183">
        <f>IF(H181="Travis",(AD181/$AV$1)*'1. UC Assumptions'!$Q$42,0)</f>
        <v>0</v>
      </c>
      <c r="AW181" s="183">
        <f>IF(H181="Bexar",(AC181/$AW$1)*'1. UC Assumptions'!$E$44,0)</f>
        <v>0</v>
      </c>
      <c r="AX181" s="183">
        <f>IF(H181="Dallas",(AC181/$AX$1)*'1. UC Assumptions'!$F$44,0)</f>
        <v>0</v>
      </c>
      <c r="AY181" s="183">
        <f>IF(H181="El Paso",(AC181/$AY$1)*'1. UC Assumptions'!$G$44,0)</f>
        <v>0</v>
      </c>
      <c r="AZ181" s="183">
        <f>IF(H181="Harris",(AC181/$AZ$1)*'1. UC Assumptions'!$H$44,0)</f>
        <v>0</v>
      </c>
      <c r="BA181" s="183">
        <f>IF(H181="Hidalgo",(AC181/$BA$1)*'1. UC Assumptions'!$I$44,0)</f>
        <v>0</v>
      </c>
      <c r="BB181" s="183">
        <f>IF(H181="Jefferson",(AC181/$BB$1)*'1. UC Assumptions'!$J$44,0)</f>
        <v>0</v>
      </c>
      <c r="BC181" s="183">
        <f>IF(H181="Lubbock",(AC181/$BC$1)*'1. UC Assumptions'!$K$44,0)</f>
        <v>0</v>
      </c>
      <c r="BD181" s="183">
        <f>IF(H181="MRSA Central",(AC181/$BD$1)*'1. UC Assumptions'!$L$44,0)</f>
        <v>0</v>
      </c>
      <c r="BE181" s="183">
        <f>IF(H181="MRSA Northeast",(AC181/$BE$1)*'1. UC Assumptions'!$M$44,0)</f>
        <v>0</v>
      </c>
      <c r="BF181" s="183">
        <f>IF(H181="MRSA West",(AC181/$BF$1)*'1. UC Assumptions'!$N$44,0)</f>
        <v>0</v>
      </c>
      <c r="BG181" s="183">
        <f>IF(H181="Nueces",(AC181/$BG$1)*'1. UC Assumptions'!$O$44,0)</f>
        <v>0</v>
      </c>
      <c r="BH181" s="183">
        <f>IF(H181="Tarrant",(AC181/$BH$1)*'1. UC Assumptions'!$P$44,0)</f>
        <v>0</v>
      </c>
      <c r="BI181" s="183">
        <f>IF(H181="Travis",(AC181/$BI$1)*'1. UC Assumptions'!$Q$44,0)</f>
        <v>0</v>
      </c>
      <c r="BJ181" s="183">
        <f t="shared" si="35"/>
        <v>0</v>
      </c>
      <c r="BK181" s="183">
        <f t="shared" si="36"/>
        <v>0</v>
      </c>
      <c r="BL181" s="183">
        <f t="shared" si="37"/>
        <v>430889.15</v>
      </c>
      <c r="BM181" s="184">
        <f t="shared" si="38"/>
        <v>-133692.67999999993</v>
      </c>
      <c r="BN181" s="184">
        <f>ROUNDDOWN(BM181*'1. UC Assumptions'!$C$23,2)</f>
        <v>-44118.58</v>
      </c>
      <c r="BO181" s="184"/>
      <c r="BP181" s="185"/>
      <c r="BQ181" s="32"/>
      <c r="BR181" s="32"/>
    </row>
    <row r="182" spans="1:70">
      <c r="A182" s="177" t="s">
        <v>1524</v>
      </c>
      <c r="B182" s="177" t="s">
        <v>795</v>
      </c>
      <c r="C182" s="178" t="s">
        <v>795</v>
      </c>
      <c r="D182" s="179" t="s">
        <v>214</v>
      </c>
      <c r="E182" s="179" t="s">
        <v>149</v>
      </c>
      <c r="F182" s="177"/>
      <c r="G182" s="177" t="s">
        <v>1484</v>
      </c>
      <c r="H182" s="178" t="s">
        <v>10</v>
      </c>
      <c r="I182" s="178" t="s">
        <v>797</v>
      </c>
      <c r="J182" s="131">
        <f>IFERROR(INDEX(#REF!,(MATCH('Old Calc Tab'!C:C,#REF!,0))),0)</f>
        <v>0</v>
      </c>
      <c r="K182" s="131">
        <f>IFERROR(INDEX(#REF!,(MATCH('Old Calc Tab'!$C:$C,#REF!,0))),0)</f>
        <v>0</v>
      </c>
      <c r="L182" s="131"/>
      <c r="M182" s="131">
        <v>1786723.55</v>
      </c>
      <c r="N182" s="131">
        <f>IFERROR(INDEX(#REF!,(MATCH('Old Calc Tab'!$C:$C,#REF!,0))),0)</f>
        <v>0</v>
      </c>
      <c r="O182" s="131">
        <f t="shared" si="26"/>
        <v>0</v>
      </c>
      <c r="P182" s="131">
        <f t="shared" si="27"/>
        <v>1786723.55</v>
      </c>
      <c r="Q182" s="131"/>
      <c r="R182" s="131"/>
      <c r="S182" s="131"/>
      <c r="T182" s="131"/>
      <c r="U182" s="131"/>
      <c r="V182" s="131">
        <v>16839</v>
      </c>
      <c r="W182" s="180">
        <v>0</v>
      </c>
      <c r="X182" s="180">
        <f t="shared" si="28"/>
        <v>1803562.55</v>
      </c>
      <c r="Y182" s="181">
        <f>IF(D182="Physician Group Practice",(X182/$AE$369)*'1. UC Assumptions'!$C$15,IF(OR(E182="Rural Hospital",E182="Hosp - State"),X182,(X182/$X$369)*'1. UC Assumptions'!$C$9))</f>
        <v>1803562.55</v>
      </c>
      <c r="Z182" s="181">
        <f t="shared" si="29"/>
        <v>0</v>
      </c>
      <c r="AA182" s="181">
        <f t="shared" si="30"/>
        <v>0</v>
      </c>
      <c r="AB182" s="182">
        <f t="shared" si="31"/>
        <v>0</v>
      </c>
      <c r="AC182" s="181">
        <f t="shared" si="32"/>
        <v>0</v>
      </c>
      <c r="AD182" s="181">
        <f t="shared" si="33"/>
        <v>1803562.55</v>
      </c>
      <c r="AE182" s="131">
        <v>0</v>
      </c>
      <c r="AF182" s="131">
        <f>AE182*'1. UC Assumptions'!$C$23</f>
        <v>0</v>
      </c>
      <c r="AG182" s="183">
        <f>IF((((X182-W182-AE182)*'1. UC Assumptions'!$C$23)+AF182)&gt;0,((X182-W182-AE182)*'1. UC Assumptions'!$C$23)+AF182,0)</f>
        <v>595175.64149999991</v>
      </c>
      <c r="AH182" s="183">
        <f>IF(((X182-W182-AE182)*'1. UC Assumptions'!$C$23)&gt;0,(X182-W182-AE182)*'1. UC Assumptions'!$C$23,0)</f>
        <v>595175.64149999991</v>
      </c>
      <c r="AI182" s="183">
        <f t="shared" si="34"/>
        <v>595175.64149999991</v>
      </c>
      <c r="AJ182" s="183">
        <f>IF(H182="Bexar",(AD182/$AJ$1)*'1. UC Assumptions'!$E$42,0)</f>
        <v>0</v>
      </c>
      <c r="AK182" s="183">
        <f>IF(H182="Dallas",(AD182/$AK$1)*'1. UC Assumptions'!$F$42,0)</f>
        <v>0</v>
      </c>
      <c r="AL182" s="183">
        <f>IF(H182="El Paso",(AD182/$AL$1)*'1. UC Assumptions'!$G$42,0)</f>
        <v>0</v>
      </c>
      <c r="AM182" s="183">
        <f>IF(H182="Harris",(AD182/$AM$1)*'1. UC Assumptions'!$H$42,0)</f>
        <v>0</v>
      </c>
      <c r="AN182" s="183">
        <f>IF(H182="Hidalgo",(AD182/$AN$1)*'1. UC Assumptions'!$I$42,0)</f>
        <v>0</v>
      </c>
      <c r="AO182" s="183">
        <f>IF(H182="Jefferson",(AD182/$AO$1)*'1. UC Assumptions'!$J$42,0)</f>
        <v>0</v>
      </c>
      <c r="AP182" s="183">
        <f>IF(H182="Lubbock",(AD182/$AP$1)*'1. UC Assumptions'!$K$42,0)</f>
        <v>0</v>
      </c>
      <c r="AQ182" s="183">
        <f>IF(H182="MRSA Central",(AD182/$AQ$1)*'1. UC Assumptions'!$L$42,0)</f>
        <v>0</v>
      </c>
      <c r="AR182" s="183">
        <f>IF(H182="MRSA Northeast",(AD182/$AR$1)*'1. UC Assumptions'!$M$42,0)</f>
        <v>0</v>
      </c>
      <c r="AS182" s="183">
        <f>IF(H182="MRSA West",(AD182/$AS$1)*'1. UC Assumptions'!$N$42,0)</f>
        <v>0</v>
      </c>
      <c r="AT182" s="183">
        <f>IF(H182="Nueces",(AD182/$AT$1)*'1. UC Assumptions'!$O$42,0)</f>
        <v>0</v>
      </c>
      <c r="AU182" s="183">
        <f>IF(H182="Tarrant",(AD182/$AU$1)*'1. UC Assumptions'!$P$42,0)</f>
        <v>0</v>
      </c>
      <c r="AV182" s="183">
        <f>IF(H182="Travis",(AD182/$AV$1)*'1. UC Assumptions'!$Q$42,0)</f>
        <v>0</v>
      </c>
      <c r="AW182" s="183">
        <f>IF(H182="Bexar",(AC182/$AW$1)*'1. UC Assumptions'!$E$44,0)</f>
        <v>0</v>
      </c>
      <c r="AX182" s="183">
        <f>IF(H182="Dallas",(AC182/$AX$1)*'1. UC Assumptions'!$F$44,0)</f>
        <v>0</v>
      </c>
      <c r="AY182" s="183">
        <f>IF(H182="El Paso",(AC182/$AY$1)*'1. UC Assumptions'!$G$44,0)</f>
        <v>0</v>
      </c>
      <c r="AZ182" s="183">
        <f>IF(H182="Harris",(AC182/$AZ$1)*'1. UC Assumptions'!$H$44,0)</f>
        <v>0</v>
      </c>
      <c r="BA182" s="183">
        <f>IF(H182="Hidalgo",(AC182/$BA$1)*'1. UC Assumptions'!$I$44,0)</f>
        <v>0</v>
      </c>
      <c r="BB182" s="183">
        <f>IF(H182="Jefferson",(AC182/$BB$1)*'1. UC Assumptions'!$J$44,0)</f>
        <v>0</v>
      </c>
      <c r="BC182" s="183">
        <f>IF(H182="Lubbock",(AC182/$BC$1)*'1. UC Assumptions'!$K$44,0)</f>
        <v>0</v>
      </c>
      <c r="BD182" s="183">
        <f>IF(H182="MRSA Central",(AC182/$BD$1)*'1. UC Assumptions'!$L$44,0)</f>
        <v>0</v>
      </c>
      <c r="BE182" s="183">
        <f>IF(H182="MRSA Northeast",(AC182/$BE$1)*'1. UC Assumptions'!$M$44,0)</f>
        <v>0</v>
      </c>
      <c r="BF182" s="183">
        <f>IF(H182="MRSA West",(AC182/$BF$1)*'1. UC Assumptions'!$N$44,0)</f>
        <v>0</v>
      </c>
      <c r="BG182" s="183">
        <f>IF(H182="Nueces",(AC182/$BG$1)*'1. UC Assumptions'!$O$44,0)</f>
        <v>0</v>
      </c>
      <c r="BH182" s="183">
        <f>IF(H182="Tarrant",(AC182/$BH$1)*'1. UC Assumptions'!$P$44,0)</f>
        <v>0</v>
      </c>
      <c r="BI182" s="183">
        <f>IF(H182="Travis",(AC182/$BI$1)*'1. UC Assumptions'!$Q$44,0)</f>
        <v>0</v>
      </c>
      <c r="BJ182" s="183">
        <f t="shared" si="35"/>
        <v>0</v>
      </c>
      <c r="BK182" s="183">
        <f t="shared" si="36"/>
        <v>0</v>
      </c>
      <c r="BL182" s="183">
        <f t="shared" si="37"/>
        <v>1803562.55</v>
      </c>
      <c r="BM182" s="184">
        <f t="shared" si="38"/>
        <v>1803562.55</v>
      </c>
      <c r="BN182" s="184">
        <f>ROUNDDOWN(BM182*'1. UC Assumptions'!$C$23,2)</f>
        <v>595175.64</v>
      </c>
      <c r="BO182" s="184"/>
      <c r="BP182" s="185"/>
      <c r="BQ182" s="32"/>
      <c r="BR182" s="32"/>
    </row>
    <row r="183" spans="1:70">
      <c r="A183" s="177" t="s">
        <v>1525</v>
      </c>
      <c r="B183" s="178" t="s">
        <v>1526</v>
      </c>
      <c r="C183" s="178" t="s">
        <v>1526</v>
      </c>
      <c r="D183" s="179" t="s">
        <v>214</v>
      </c>
      <c r="E183" s="179" t="s">
        <v>149</v>
      </c>
      <c r="F183" s="177"/>
      <c r="G183" s="177" t="s">
        <v>1527</v>
      </c>
      <c r="H183" s="178" t="s">
        <v>10</v>
      </c>
      <c r="I183" s="178" t="s">
        <v>1528</v>
      </c>
      <c r="J183" s="131">
        <f>IFERROR(INDEX(#REF!,(MATCH('Old Calc Tab'!C:C,#REF!,0))),0)</f>
        <v>0</v>
      </c>
      <c r="K183" s="131">
        <f>IFERROR(INDEX(#REF!,(MATCH('Old Calc Tab'!$C:$C,#REF!,0))),0)</f>
        <v>0</v>
      </c>
      <c r="L183" s="131"/>
      <c r="M183" s="131">
        <v>7719137.1000000006</v>
      </c>
      <c r="N183" s="131">
        <f>IFERROR(INDEX(#REF!,(MATCH('Old Calc Tab'!$C:$C,#REF!,0))),0)</f>
        <v>0</v>
      </c>
      <c r="O183" s="131">
        <f t="shared" si="26"/>
        <v>0</v>
      </c>
      <c r="P183" s="131">
        <f t="shared" si="27"/>
        <v>7719137.1000000006</v>
      </c>
      <c r="Q183" s="131"/>
      <c r="R183" s="131"/>
      <c r="S183" s="131"/>
      <c r="T183" s="131"/>
      <c r="U183" s="131"/>
      <c r="V183" s="131">
        <v>128815</v>
      </c>
      <c r="W183" s="180">
        <v>0</v>
      </c>
      <c r="X183" s="180">
        <f t="shared" si="28"/>
        <v>7847952.1000000006</v>
      </c>
      <c r="Y183" s="181">
        <f>IF(D183="Physician Group Practice",(X183/$AE$369)*'1. UC Assumptions'!$C$15,IF(OR(E183="Rural Hospital",E183="Hosp - State"),X183,(X183/$X$369)*'1. UC Assumptions'!$C$9))</f>
        <v>7847952.1000000006</v>
      </c>
      <c r="Z183" s="181">
        <f t="shared" si="29"/>
        <v>0</v>
      </c>
      <c r="AA183" s="181">
        <f t="shared" si="30"/>
        <v>0</v>
      </c>
      <c r="AB183" s="182">
        <f t="shared" si="31"/>
        <v>0</v>
      </c>
      <c r="AC183" s="181">
        <f t="shared" si="32"/>
        <v>0</v>
      </c>
      <c r="AD183" s="181">
        <f t="shared" si="33"/>
        <v>7847952.1000000006</v>
      </c>
      <c r="AE183" s="131">
        <v>647651.1</v>
      </c>
      <c r="AF183" s="131">
        <f>AE183*'1. UC Assumptions'!$C$23</f>
        <v>213724.86299999995</v>
      </c>
      <c r="AG183" s="183">
        <f>IF((((X183-W183-AE183)*'1. UC Assumptions'!$C$23)+AF183)&gt;0,((X183-W183-AE183)*'1. UC Assumptions'!$C$23)+AF183,0)</f>
        <v>2589824.193</v>
      </c>
      <c r="AH183" s="183">
        <f>IF(((X183-W183-AE183)*'1. UC Assumptions'!$C$23)&gt;0,(X183-W183-AE183)*'1. UC Assumptions'!$C$23,0)</f>
        <v>2376099.33</v>
      </c>
      <c r="AI183" s="183">
        <f t="shared" si="34"/>
        <v>2589824.193</v>
      </c>
      <c r="AJ183" s="183">
        <f>IF(H183="Bexar",(AD183/$AJ$1)*'1. UC Assumptions'!$E$42,0)</f>
        <v>0</v>
      </c>
      <c r="AK183" s="183">
        <f>IF(H183="Dallas",(AD183/$AK$1)*'1. UC Assumptions'!$F$42,0)</f>
        <v>0</v>
      </c>
      <c r="AL183" s="183">
        <f>IF(H183="El Paso",(AD183/$AL$1)*'1. UC Assumptions'!$G$42,0)</f>
        <v>0</v>
      </c>
      <c r="AM183" s="183">
        <f>IF(H183="Harris",(AD183/$AM$1)*'1. UC Assumptions'!$H$42,0)</f>
        <v>0</v>
      </c>
      <c r="AN183" s="183">
        <f>IF(H183="Hidalgo",(AD183/$AN$1)*'1. UC Assumptions'!$I$42,0)</f>
        <v>0</v>
      </c>
      <c r="AO183" s="183">
        <f>IF(H183="Jefferson",(AD183/$AO$1)*'1. UC Assumptions'!$J$42,0)</f>
        <v>0</v>
      </c>
      <c r="AP183" s="183">
        <f>IF(H183="Lubbock",(AD183/$AP$1)*'1. UC Assumptions'!$K$42,0)</f>
        <v>0</v>
      </c>
      <c r="AQ183" s="183">
        <f>IF(H183="MRSA Central",(AD183/$AQ$1)*'1. UC Assumptions'!$L$42,0)</f>
        <v>0</v>
      </c>
      <c r="AR183" s="183">
        <f>IF(H183="MRSA Northeast",(AD183/$AR$1)*'1. UC Assumptions'!$M$42,0)</f>
        <v>0</v>
      </c>
      <c r="AS183" s="183">
        <f>IF(H183="MRSA West",(AD183/$AS$1)*'1. UC Assumptions'!$N$42,0)</f>
        <v>0</v>
      </c>
      <c r="AT183" s="183">
        <f>IF(H183="Nueces",(AD183/$AT$1)*'1. UC Assumptions'!$O$42,0)</f>
        <v>0</v>
      </c>
      <c r="AU183" s="183">
        <f>IF(H183="Tarrant",(AD183/$AU$1)*'1. UC Assumptions'!$P$42,0)</f>
        <v>0</v>
      </c>
      <c r="AV183" s="183">
        <f>IF(H183="Travis",(AD183/$AV$1)*'1. UC Assumptions'!$Q$42,0)</f>
        <v>0</v>
      </c>
      <c r="AW183" s="183">
        <f>IF(H183="Bexar",(AC183/$AW$1)*'1. UC Assumptions'!$E$44,0)</f>
        <v>0</v>
      </c>
      <c r="AX183" s="183">
        <f>IF(H183="Dallas",(AC183/$AX$1)*'1. UC Assumptions'!$F$44,0)</f>
        <v>0</v>
      </c>
      <c r="AY183" s="183">
        <f>IF(H183="El Paso",(AC183/$AY$1)*'1. UC Assumptions'!$G$44,0)</f>
        <v>0</v>
      </c>
      <c r="AZ183" s="183">
        <f>IF(H183="Harris",(AC183/$AZ$1)*'1. UC Assumptions'!$H$44,0)</f>
        <v>0</v>
      </c>
      <c r="BA183" s="183">
        <f>IF(H183="Hidalgo",(AC183/$BA$1)*'1. UC Assumptions'!$I$44,0)</f>
        <v>0</v>
      </c>
      <c r="BB183" s="183">
        <f>IF(H183="Jefferson",(AC183/$BB$1)*'1. UC Assumptions'!$J$44,0)</f>
        <v>0</v>
      </c>
      <c r="BC183" s="183">
        <f>IF(H183="Lubbock",(AC183/$BC$1)*'1. UC Assumptions'!$K$44,0)</f>
        <v>0</v>
      </c>
      <c r="BD183" s="183">
        <f>IF(H183="MRSA Central",(AC183/$BD$1)*'1. UC Assumptions'!$L$44,0)</f>
        <v>0</v>
      </c>
      <c r="BE183" s="183">
        <f>IF(H183="MRSA Northeast",(AC183/$BE$1)*'1. UC Assumptions'!$M$44,0)</f>
        <v>0</v>
      </c>
      <c r="BF183" s="183">
        <f>IF(H183="MRSA West",(AC183/$BF$1)*'1. UC Assumptions'!$N$44,0)</f>
        <v>0</v>
      </c>
      <c r="BG183" s="183">
        <f>IF(H183="Nueces",(AC183/$BG$1)*'1. UC Assumptions'!$O$44,0)</f>
        <v>0</v>
      </c>
      <c r="BH183" s="183">
        <f>IF(H183="Tarrant",(AC183/$BH$1)*'1. UC Assumptions'!$P$44,0)</f>
        <v>0</v>
      </c>
      <c r="BI183" s="183">
        <f>IF(H183="Travis",(AC183/$BI$1)*'1. UC Assumptions'!$Q$44,0)</f>
        <v>0</v>
      </c>
      <c r="BJ183" s="183">
        <f t="shared" si="35"/>
        <v>0</v>
      </c>
      <c r="BK183" s="183">
        <f t="shared" si="36"/>
        <v>0</v>
      </c>
      <c r="BL183" s="183">
        <f t="shared" si="37"/>
        <v>7847952.1000000006</v>
      </c>
      <c r="BM183" s="184">
        <f t="shared" si="38"/>
        <v>7200301.0000000009</v>
      </c>
      <c r="BN183" s="184">
        <f>ROUNDDOWN(BM183*'1. UC Assumptions'!$C$23,2)</f>
        <v>2376099.33</v>
      </c>
      <c r="BO183" s="184"/>
      <c r="BP183" s="185"/>
      <c r="BQ183" s="32"/>
      <c r="BR183" s="32"/>
    </row>
    <row r="184" spans="1:70">
      <c r="A184" s="177"/>
      <c r="B184" s="177" t="s">
        <v>1121</v>
      </c>
      <c r="C184" s="177" t="s">
        <v>1121</v>
      </c>
      <c r="D184" s="179" t="s">
        <v>36</v>
      </c>
      <c r="E184" s="179" t="s">
        <v>36</v>
      </c>
      <c r="F184" s="177"/>
      <c r="G184" s="177" t="s">
        <v>1122</v>
      </c>
      <c r="H184" s="178" t="s">
        <v>10</v>
      </c>
      <c r="I184" s="178" t="s">
        <v>553</v>
      </c>
      <c r="J184" s="131">
        <f>IFERROR(INDEX(#REF!,(MATCH('Old Calc Tab'!C:C,#REF!,0))),0)</f>
        <v>0</v>
      </c>
      <c r="K184" s="131">
        <f>IFERROR(INDEX(#REF!,(MATCH('Old Calc Tab'!$C:$C,#REF!,0))),0)</f>
        <v>0</v>
      </c>
      <c r="L184" s="131"/>
      <c r="M184" s="131">
        <v>1623363.5059577571</v>
      </c>
      <c r="N184" s="131">
        <f>IFERROR(INDEX(#REF!,(MATCH('Old Calc Tab'!$C:$C,#REF!,0))),0)</f>
        <v>0</v>
      </c>
      <c r="O184" s="131">
        <f t="shared" si="26"/>
        <v>0</v>
      </c>
      <c r="P184" s="131">
        <f t="shared" si="27"/>
        <v>1623363.5059577571</v>
      </c>
      <c r="Q184" s="131"/>
      <c r="R184" s="131"/>
      <c r="S184" s="131"/>
      <c r="T184" s="131"/>
      <c r="U184" s="131"/>
      <c r="V184" s="131">
        <v>0</v>
      </c>
      <c r="W184" s="180">
        <v>0</v>
      </c>
      <c r="X184" s="180">
        <f t="shared" si="28"/>
        <v>1623363.5059577571</v>
      </c>
      <c r="Y184" s="181">
        <f>IF(D184="Physician Group Practice",(X184/$AE$369)*'1. UC Assumptions'!$C$15,IF(OR(E184="Rural Hospital",E184="Hosp - State"),X184,(X184/$X$369)*'1. UC Assumptions'!$C$9))</f>
        <v>249993.30171760864</v>
      </c>
      <c r="Z184" s="181">
        <f t="shared" si="29"/>
        <v>0</v>
      </c>
      <c r="AA184" s="181">
        <f t="shared" si="30"/>
        <v>1373370.2042401484</v>
      </c>
      <c r="AB184" s="182">
        <f t="shared" si="31"/>
        <v>737.5425721615228</v>
      </c>
      <c r="AC184" s="181">
        <f t="shared" si="32"/>
        <v>1374107.7468123098</v>
      </c>
      <c r="AD184" s="181">
        <f t="shared" si="33"/>
        <v>250730.84428977018</v>
      </c>
      <c r="AE184" s="131">
        <v>923932.68</v>
      </c>
      <c r="AF184" s="131">
        <f>AE184*'1. UC Assumptions'!$C$23</f>
        <v>304897.7844</v>
      </c>
      <c r="AG184" s="183">
        <f>IF((((X184-W184-AE184)*'1. UC Assumptions'!$C$23)+AF184)&gt;0,((X184-W184-AE184)*'1. UC Assumptions'!$C$23)+AF184,0)</f>
        <v>535709.95696605975</v>
      </c>
      <c r="AH184" s="183">
        <f>IF(((X184-W184-AE184)*'1. UC Assumptions'!$C$23)&gt;0,(X184-W184-AE184)*'1. UC Assumptions'!$C$23,0)</f>
        <v>230812.1725660598</v>
      </c>
      <c r="AI184" s="183">
        <f t="shared" si="34"/>
        <v>535709.95696605975</v>
      </c>
      <c r="AJ184" s="183">
        <f>IF(H184="Bexar",(AD184/$AJ$1)*'1. UC Assumptions'!$E$42,0)</f>
        <v>0</v>
      </c>
      <c r="AK184" s="183">
        <f>IF(H184="Dallas",(AD184/$AK$1)*'1. UC Assumptions'!$F$42,0)</f>
        <v>0</v>
      </c>
      <c r="AL184" s="183">
        <f>IF(H184="El Paso",(AD184/$AL$1)*'1. UC Assumptions'!$G$42,0)</f>
        <v>0</v>
      </c>
      <c r="AM184" s="183">
        <f>IF(H184="Harris",(AD184/$AM$1)*'1. UC Assumptions'!$H$42,0)</f>
        <v>0</v>
      </c>
      <c r="AN184" s="183">
        <f>IF(H184="Hidalgo",(AD184/$AN$1)*'1. UC Assumptions'!$I$42,0)</f>
        <v>0</v>
      </c>
      <c r="AO184" s="183">
        <f>IF(H184="Jefferson",(AD184/$AO$1)*'1. UC Assumptions'!$J$42,0)</f>
        <v>0</v>
      </c>
      <c r="AP184" s="183">
        <f>IF(H184="Lubbock",(AD184/$AP$1)*'1. UC Assumptions'!$K$42,0)</f>
        <v>0</v>
      </c>
      <c r="AQ184" s="183">
        <f>IF(H184="MRSA Central",(AD184/$AQ$1)*'1. UC Assumptions'!$L$42,0)</f>
        <v>0</v>
      </c>
      <c r="AR184" s="183">
        <f>IF(H184="MRSA Northeast",(AD184/$AR$1)*'1. UC Assumptions'!$M$42,0)</f>
        <v>0</v>
      </c>
      <c r="AS184" s="183">
        <f>IF(H184="MRSA West",(AD184/$AS$1)*'1. UC Assumptions'!$N$42,0)</f>
        <v>0</v>
      </c>
      <c r="AT184" s="183">
        <f>IF(H184="Nueces",(AD184/$AT$1)*'1. UC Assumptions'!$O$42,0)</f>
        <v>0</v>
      </c>
      <c r="AU184" s="183">
        <f>IF(H184="Tarrant",(AD184/$AU$1)*'1. UC Assumptions'!$P$42,0)</f>
        <v>0</v>
      </c>
      <c r="AV184" s="183">
        <f>IF(H184="Travis",(AD184/$AV$1)*'1. UC Assumptions'!$Q$42,0)</f>
        <v>0</v>
      </c>
      <c r="AW184" s="183">
        <f>IF(H184="Bexar",(AC184/$AW$1)*'1. UC Assumptions'!$E$44,0)</f>
        <v>0</v>
      </c>
      <c r="AX184" s="183">
        <f>IF(H184="Dallas",(AC184/$AX$1)*'1. UC Assumptions'!$F$44,0)</f>
        <v>0</v>
      </c>
      <c r="AY184" s="183">
        <f>IF(H184="El Paso",(AC184/$AY$1)*'1. UC Assumptions'!$G$44,0)</f>
        <v>0</v>
      </c>
      <c r="AZ184" s="183">
        <f>IF(H184="Harris",(AC184/$AZ$1)*'1. UC Assumptions'!$H$44,0)</f>
        <v>0</v>
      </c>
      <c r="BA184" s="183">
        <f>IF(H184="Hidalgo",(AC184/$BA$1)*'1. UC Assumptions'!$I$44,0)</f>
        <v>0</v>
      </c>
      <c r="BB184" s="183">
        <f>IF(H184="Jefferson",(AC184/$BB$1)*'1. UC Assumptions'!$J$44,0)</f>
        <v>0</v>
      </c>
      <c r="BC184" s="183">
        <f>IF(H184="Lubbock",(AC184/$BC$1)*'1. UC Assumptions'!$K$44,0)</f>
        <v>0</v>
      </c>
      <c r="BD184" s="183">
        <f>IF(H184="MRSA Central",(AC184/$BD$1)*'1. UC Assumptions'!$L$44,0)</f>
        <v>0</v>
      </c>
      <c r="BE184" s="183">
        <f>IF(H184="MRSA Northeast",(AC184/$BE$1)*'1. UC Assumptions'!$M$44,0)</f>
        <v>0</v>
      </c>
      <c r="BF184" s="183">
        <f>IF(H184="MRSA West",(AC184/$BF$1)*'1. UC Assumptions'!$N$44,0)</f>
        <v>0</v>
      </c>
      <c r="BG184" s="183">
        <f>IF(H184="Nueces",(AC184/$BG$1)*'1. UC Assumptions'!$O$44,0)</f>
        <v>0</v>
      </c>
      <c r="BH184" s="183">
        <f>IF(H184="Tarrant",(AC184/$BH$1)*'1. UC Assumptions'!$P$44,0)</f>
        <v>0</v>
      </c>
      <c r="BI184" s="183">
        <f>IF(H184="Travis",(AC184/$BI$1)*'1. UC Assumptions'!$Q$44,0)</f>
        <v>0</v>
      </c>
      <c r="BJ184" s="183">
        <f t="shared" si="35"/>
        <v>0</v>
      </c>
      <c r="BK184" s="183">
        <f t="shared" si="36"/>
        <v>0</v>
      </c>
      <c r="BL184" s="183">
        <f t="shared" si="37"/>
        <v>250730.84428977018</v>
      </c>
      <c r="BM184" s="184">
        <f t="shared" si="38"/>
        <v>-673201.83571022982</v>
      </c>
      <c r="BN184" s="184">
        <f>ROUNDDOWN(BM184*'1. UC Assumptions'!$C$23,2)</f>
        <v>-222156.6</v>
      </c>
      <c r="BO184" s="184"/>
      <c r="BP184" s="185"/>
      <c r="BQ184" s="32"/>
      <c r="BR184" s="32"/>
    </row>
    <row r="185" spans="1:70">
      <c r="A185" s="177" t="s">
        <v>1529</v>
      </c>
      <c r="B185" s="178" t="s">
        <v>891</v>
      </c>
      <c r="C185" s="178" t="s">
        <v>891</v>
      </c>
      <c r="D185" s="179" t="s">
        <v>214</v>
      </c>
      <c r="E185" s="179" t="s">
        <v>149</v>
      </c>
      <c r="F185" s="177"/>
      <c r="G185" s="177" t="s">
        <v>1530</v>
      </c>
      <c r="H185" s="178" t="s">
        <v>10</v>
      </c>
      <c r="I185" s="178" t="s">
        <v>650</v>
      </c>
      <c r="J185" s="131">
        <f>IFERROR(INDEX(#REF!,(MATCH('Old Calc Tab'!C:C,#REF!,0))),0)</f>
        <v>0</v>
      </c>
      <c r="K185" s="131">
        <f>IFERROR(INDEX(#REF!,(MATCH('Old Calc Tab'!$C:$C,#REF!,0))),0)</f>
        <v>0</v>
      </c>
      <c r="L185" s="131"/>
      <c r="M185" s="131">
        <v>31327.05</v>
      </c>
      <c r="N185" s="131">
        <f>IFERROR(INDEX(#REF!,(MATCH('Old Calc Tab'!$C:$C,#REF!,0))),0)</f>
        <v>0</v>
      </c>
      <c r="O185" s="131">
        <f t="shared" si="26"/>
        <v>0</v>
      </c>
      <c r="P185" s="131">
        <f t="shared" si="27"/>
        <v>31327.05</v>
      </c>
      <c r="Q185" s="131"/>
      <c r="R185" s="131"/>
      <c r="S185" s="131"/>
      <c r="T185" s="131"/>
      <c r="U185" s="131"/>
      <c r="V185" s="131">
        <v>0</v>
      </c>
      <c r="W185" s="180">
        <v>0</v>
      </c>
      <c r="X185" s="180">
        <f t="shared" si="28"/>
        <v>31327.05</v>
      </c>
      <c r="Y185" s="181">
        <f>IF(D185="Physician Group Practice",(X185/$AE$369)*'1. UC Assumptions'!$C$15,IF(OR(E185="Rural Hospital",E185="Hosp - State"),X185,(X185/$X$369)*'1. UC Assumptions'!$C$9))</f>
        <v>31327.05</v>
      </c>
      <c r="Z185" s="181">
        <f t="shared" si="29"/>
        <v>0</v>
      </c>
      <c r="AA185" s="181">
        <f t="shared" si="30"/>
        <v>0</v>
      </c>
      <c r="AB185" s="182">
        <f t="shared" si="31"/>
        <v>0</v>
      </c>
      <c r="AC185" s="181">
        <f t="shared" si="32"/>
        <v>0</v>
      </c>
      <c r="AD185" s="181">
        <f t="shared" si="33"/>
        <v>31327.05</v>
      </c>
      <c r="AE185" s="131">
        <v>356240.8</v>
      </c>
      <c r="AF185" s="131">
        <f>AE185*'1. UC Assumptions'!$C$23</f>
        <v>117559.46399999998</v>
      </c>
      <c r="AG185" s="183">
        <f>IF((((X185-W185-AE185)*'1. UC Assumptions'!$C$23)+AF185)&gt;0,((X185-W185-AE185)*'1. UC Assumptions'!$C$23)+AF185,0)</f>
        <v>10337.926499999987</v>
      </c>
      <c r="AH185" s="183">
        <f>IF(((X185-W185-AE185)*'1. UC Assumptions'!$C$23)&gt;0,(X185-W185-AE185)*'1. UC Assumptions'!$C$23,0)</f>
        <v>0</v>
      </c>
      <c r="AI185" s="183">
        <f t="shared" si="34"/>
        <v>117559.46399999998</v>
      </c>
      <c r="AJ185" s="183">
        <f>IF(H185="Bexar",(AD185/$AJ$1)*'1. UC Assumptions'!$E$42,0)</f>
        <v>0</v>
      </c>
      <c r="AK185" s="183">
        <f>IF(H185="Dallas",(AD185/$AK$1)*'1. UC Assumptions'!$F$42,0)</f>
        <v>0</v>
      </c>
      <c r="AL185" s="183">
        <f>IF(H185="El Paso",(AD185/$AL$1)*'1. UC Assumptions'!$G$42,0)</f>
        <v>0</v>
      </c>
      <c r="AM185" s="183">
        <f>IF(H185="Harris",(AD185/$AM$1)*'1. UC Assumptions'!$H$42,0)</f>
        <v>0</v>
      </c>
      <c r="AN185" s="183">
        <f>IF(H185="Hidalgo",(AD185/$AN$1)*'1. UC Assumptions'!$I$42,0)</f>
        <v>0</v>
      </c>
      <c r="AO185" s="183">
        <f>IF(H185="Jefferson",(AD185/$AO$1)*'1. UC Assumptions'!$J$42,0)</f>
        <v>0</v>
      </c>
      <c r="AP185" s="183">
        <f>IF(H185="Lubbock",(AD185/$AP$1)*'1. UC Assumptions'!$K$42,0)</f>
        <v>0</v>
      </c>
      <c r="AQ185" s="183">
        <f>IF(H185="MRSA Central",(AD185/$AQ$1)*'1. UC Assumptions'!$L$42,0)</f>
        <v>0</v>
      </c>
      <c r="AR185" s="183">
        <f>IF(H185="MRSA Northeast",(AD185/$AR$1)*'1. UC Assumptions'!$M$42,0)</f>
        <v>0</v>
      </c>
      <c r="AS185" s="183">
        <f>IF(H185="MRSA West",(AD185/$AS$1)*'1. UC Assumptions'!$N$42,0)</f>
        <v>0</v>
      </c>
      <c r="AT185" s="183">
        <f>IF(H185="Nueces",(AD185/$AT$1)*'1. UC Assumptions'!$O$42,0)</f>
        <v>0</v>
      </c>
      <c r="AU185" s="183">
        <f>IF(H185="Tarrant",(AD185/$AU$1)*'1. UC Assumptions'!$P$42,0)</f>
        <v>0</v>
      </c>
      <c r="AV185" s="183">
        <f>IF(H185="Travis",(AD185/$AV$1)*'1. UC Assumptions'!$Q$42,0)</f>
        <v>0</v>
      </c>
      <c r="AW185" s="183">
        <f>IF(H185="Bexar",(AC185/$AW$1)*'1. UC Assumptions'!$E$44,0)</f>
        <v>0</v>
      </c>
      <c r="AX185" s="183">
        <f>IF(H185="Dallas",(AC185/$AX$1)*'1. UC Assumptions'!$F$44,0)</f>
        <v>0</v>
      </c>
      <c r="AY185" s="183">
        <f>IF(H185="El Paso",(AC185/$AY$1)*'1. UC Assumptions'!$G$44,0)</f>
        <v>0</v>
      </c>
      <c r="AZ185" s="183">
        <f>IF(H185="Harris",(AC185/$AZ$1)*'1. UC Assumptions'!$H$44,0)</f>
        <v>0</v>
      </c>
      <c r="BA185" s="183">
        <f>IF(H185="Hidalgo",(AC185/$BA$1)*'1. UC Assumptions'!$I$44,0)</f>
        <v>0</v>
      </c>
      <c r="BB185" s="183">
        <f>IF(H185="Jefferson",(AC185/$BB$1)*'1. UC Assumptions'!$J$44,0)</f>
        <v>0</v>
      </c>
      <c r="BC185" s="183">
        <f>IF(H185="Lubbock",(AC185/$BC$1)*'1. UC Assumptions'!$K$44,0)</f>
        <v>0</v>
      </c>
      <c r="BD185" s="183">
        <f>IF(H185="MRSA Central",(AC185/$BD$1)*'1. UC Assumptions'!$L$44,0)</f>
        <v>0</v>
      </c>
      <c r="BE185" s="183">
        <f>IF(H185="MRSA Northeast",(AC185/$BE$1)*'1. UC Assumptions'!$M$44,0)</f>
        <v>0</v>
      </c>
      <c r="BF185" s="183">
        <f>IF(H185="MRSA West",(AC185/$BF$1)*'1. UC Assumptions'!$N$44,0)</f>
        <v>0</v>
      </c>
      <c r="BG185" s="183">
        <f>IF(H185="Nueces",(AC185/$BG$1)*'1. UC Assumptions'!$O$44,0)</f>
        <v>0</v>
      </c>
      <c r="BH185" s="183">
        <f>IF(H185="Tarrant",(AC185/$BH$1)*'1. UC Assumptions'!$P$44,0)</f>
        <v>0</v>
      </c>
      <c r="BI185" s="183">
        <f>IF(H185="Travis",(AC185/$BI$1)*'1. UC Assumptions'!$Q$44,0)</f>
        <v>0</v>
      </c>
      <c r="BJ185" s="183">
        <f t="shared" si="35"/>
        <v>0</v>
      </c>
      <c r="BK185" s="183">
        <f t="shared" si="36"/>
        <v>0</v>
      </c>
      <c r="BL185" s="183">
        <f t="shared" si="37"/>
        <v>31327.05</v>
      </c>
      <c r="BM185" s="184">
        <f t="shared" si="38"/>
        <v>-324913.75</v>
      </c>
      <c r="BN185" s="184">
        <f>ROUNDDOWN(BM185*'1. UC Assumptions'!$C$23,2)</f>
        <v>-107221.53</v>
      </c>
      <c r="BO185" s="184"/>
      <c r="BP185" s="185"/>
      <c r="BQ185" s="32"/>
      <c r="BR185" s="32"/>
    </row>
    <row r="186" spans="1:70">
      <c r="A186" s="177" t="s">
        <v>1531</v>
      </c>
      <c r="B186" s="178" t="s">
        <v>896</v>
      </c>
      <c r="C186" s="178" t="s">
        <v>896</v>
      </c>
      <c r="D186" s="179" t="s">
        <v>208</v>
      </c>
      <c r="E186" s="179" t="s">
        <v>149</v>
      </c>
      <c r="F186" s="177"/>
      <c r="G186" s="177" t="s">
        <v>1532</v>
      </c>
      <c r="H186" s="178" t="s">
        <v>10</v>
      </c>
      <c r="I186" s="178" t="s">
        <v>898</v>
      </c>
      <c r="J186" s="131">
        <f>IFERROR(INDEX(#REF!,(MATCH('Old Calc Tab'!C:C,#REF!,0))),0)</f>
        <v>0</v>
      </c>
      <c r="K186" s="131">
        <f>IFERROR(INDEX(#REF!,(MATCH('Old Calc Tab'!$C:$C,#REF!,0))),0)</f>
        <v>0</v>
      </c>
      <c r="L186" s="131"/>
      <c r="M186" s="131">
        <v>516789.75</v>
      </c>
      <c r="N186" s="131">
        <f>IFERROR(INDEX(#REF!,(MATCH('Old Calc Tab'!$C:$C,#REF!,0))),0)</f>
        <v>0</v>
      </c>
      <c r="O186" s="131">
        <f t="shared" si="26"/>
        <v>0</v>
      </c>
      <c r="P186" s="131">
        <f t="shared" si="27"/>
        <v>516789.75</v>
      </c>
      <c r="Q186" s="131"/>
      <c r="R186" s="131"/>
      <c r="S186" s="131"/>
      <c r="T186" s="131"/>
      <c r="U186" s="131"/>
      <c r="V186" s="131">
        <v>421488</v>
      </c>
      <c r="W186" s="180">
        <v>0</v>
      </c>
      <c r="X186" s="180">
        <f t="shared" si="28"/>
        <v>938277.75</v>
      </c>
      <c r="Y186" s="181">
        <f>IF(D186="Physician Group Practice",(X186/$AE$369)*'1. UC Assumptions'!$C$15,IF(OR(E186="Rural Hospital",E186="Hosp - State"),X186,(X186/$X$369)*'1. UC Assumptions'!$C$9))</f>
        <v>938277.75</v>
      </c>
      <c r="Z186" s="181">
        <f t="shared" si="29"/>
        <v>0</v>
      </c>
      <c r="AA186" s="181">
        <f t="shared" si="30"/>
        <v>0</v>
      </c>
      <c r="AB186" s="182">
        <f t="shared" si="31"/>
        <v>0</v>
      </c>
      <c r="AC186" s="181">
        <f t="shared" si="32"/>
        <v>0</v>
      </c>
      <c r="AD186" s="181">
        <f t="shared" si="33"/>
        <v>938277.75</v>
      </c>
      <c r="AE186" s="131">
        <v>670032.47</v>
      </c>
      <c r="AF186" s="131">
        <f>AE186*'1. UC Assumptions'!$C$23</f>
        <v>221110.71509999997</v>
      </c>
      <c r="AG186" s="183">
        <f>IF((((X186-W186-AE186)*'1. UC Assumptions'!$C$23)+AF186)&gt;0,((X186-W186-AE186)*'1. UC Assumptions'!$C$23)+AF186,0)</f>
        <v>309631.65749999997</v>
      </c>
      <c r="AH186" s="183">
        <f>IF(((X186-W186-AE186)*'1. UC Assumptions'!$C$23)&gt;0,(X186-W186-AE186)*'1. UC Assumptions'!$C$23,0)</f>
        <v>88520.9424</v>
      </c>
      <c r="AI186" s="183">
        <f t="shared" si="34"/>
        <v>309631.65749999997</v>
      </c>
      <c r="AJ186" s="183">
        <f>IF(H186="Bexar",(AD186/$AJ$1)*'1. UC Assumptions'!$E$42,0)</f>
        <v>0</v>
      </c>
      <c r="AK186" s="183">
        <f>IF(H186="Dallas",(AD186/$AK$1)*'1. UC Assumptions'!$F$42,0)</f>
        <v>0</v>
      </c>
      <c r="AL186" s="183">
        <f>IF(H186="El Paso",(AD186/$AL$1)*'1. UC Assumptions'!$G$42,0)</f>
        <v>0</v>
      </c>
      <c r="AM186" s="183">
        <f>IF(H186="Harris",(AD186/$AM$1)*'1. UC Assumptions'!$H$42,0)</f>
        <v>0</v>
      </c>
      <c r="AN186" s="183">
        <f>IF(H186="Hidalgo",(AD186/$AN$1)*'1. UC Assumptions'!$I$42,0)</f>
        <v>0</v>
      </c>
      <c r="AO186" s="183">
        <f>IF(H186="Jefferson",(AD186/$AO$1)*'1. UC Assumptions'!$J$42,0)</f>
        <v>0</v>
      </c>
      <c r="AP186" s="183">
        <f>IF(H186="Lubbock",(AD186/$AP$1)*'1. UC Assumptions'!$K$42,0)</f>
        <v>0</v>
      </c>
      <c r="AQ186" s="183">
        <f>IF(H186="MRSA Central",(AD186/$AQ$1)*'1. UC Assumptions'!$L$42,0)</f>
        <v>0</v>
      </c>
      <c r="AR186" s="183">
        <f>IF(H186="MRSA Northeast",(AD186/$AR$1)*'1. UC Assumptions'!$M$42,0)</f>
        <v>0</v>
      </c>
      <c r="AS186" s="183">
        <f>IF(H186="MRSA West",(AD186/$AS$1)*'1. UC Assumptions'!$N$42,0)</f>
        <v>0</v>
      </c>
      <c r="AT186" s="183">
        <f>IF(H186="Nueces",(AD186/$AT$1)*'1. UC Assumptions'!$O$42,0)</f>
        <v>0</v>
      </c>
      <c r="AU186" s="183">
        <f>IF(H186="Tarrant",(AD186/$AU$1)*'1. UC Assumptions'!$P$42,0)</f>
        <v>0</v>
      </c>
      <c r="AV186" s="183">
        <f>IF(H186="Travis",(AD186/$AV$1)*'1. UC Assumptions'!$Q$42,0)</f>
        <v>0</v>
      </c>
      <c r="AW186" s="183">
        <f>IF(H186="Bexar",(AC186/$AW$1)*'1. UC Assumptions'!$E$44,0)</f>
        <v>0</v>
      </c>
      <c r="AX186" s="183">
        <f>IF(H186="Dallas",(AC186/$AX$1)*'1. UC Assumptions'!$F$44,0)</f>
        <v>0</v>
      </c>
      <c r="AY186" s="183">
        <f>IF(H186="El Paso",(AC186/$AY$1)*'1. UC Assumptions'!$G$44,0)</f>
        <v>0</v>
      </c>
      <c r="AZ186" s="183">
        <f>IF(H186="Harris",(AC186/$AZ$1)*'1. UC Assumptions'!$H$44,0)</f>
        <v>0</v>
      </c>
      <c r="BA186" s="183">
        <f>IF(H186="Hidalgo",(AC186/$BA$1)*'1. UC Assumptions'!$I$44,0)</f>
        <v>0</v>
      </c>
      <c r="BB186" s="183">
        <f>IF(H186="Jefferson",(AC186/$BB$1)*'1. UC Assumptions'!$J$44,0)</f>
        <v>0</v>
      </c>
      <c r="BC186" s="183">
        <f>IF(H186="Lubbock",(AC186/$BC$1)*'1. UC Assumptions'!$K$44,0)</f>
        <v>0</v>
      </c>
      <c r="BD186" s="183">
        <f>IF(H186="MRSA Central",(AC186/$BD$1)*'1. UC Assumptions'!$L$44,0)</f>
        <v>0</v>
      </c>
      <c r="BE186" s="183">
        <f>IF(H186="MRSA Northeast",(AC186/$BE$1)*'1. UC Assumptions'!$M$44,0)</f>
        <v>0</v>
      </c>
      <c r="BF186" s="183">
        <f>IF(H186="MRSA West",(AC186/$BF$1)*'1. UC Assumptions'!$N$44,0)</f>
        <v>0</v>
      </c>
      <c r="BG186" s="183">
        <f>IF(H186="Nueces",(AC186/$BG$1)*'1. UC Assumptions'!$O$44,0)</f>
        <v>0</v>
      </c>
      <c r="BH186" s="183">
        <f>IF(H186="Tarrant",(AC186/$BH$1)*'1. UC Assumptions'!$P$44,0)</f>
        <v>0</v>
      </c>
      <c r="BI186" s="183">
        <f>IF(H186="Travis",(AC186/$BI$1)*'1. UC Assumptions'!$Q$44,0)</f>
        <v>0</v>
      </c>
      <c r="BJ186" s="183">
        <f t="shared" si="35"/>
        <v>0</v>
      </c>
      <c r="BK186" s="183">
        <f t="shared" si="36"/>
        <v>0</v>
      </c>
      <c r="BL186" s="183">
        <f t="shared" si="37"/>
        <v>938277.75</v>
      </c>
      <c r="BM186" s="184">
        <f t="shared" si="38"/>
        <v>268245.28000000003</v>
      </c>
      <c r="BN186" s="184">
        <f>ROUNDDOWN(BM186*'1. UC Assumptions'!$C$23,2)</f>
        <v>88520.94</v>
      </c>
      <c r="BO186" s="184"/>
      <c r="BP186" s="185"/>
      <c r="BQ186" s="32"/>
      <c r="BR186" s="32"/>
    </row>
    <row r="187" spans="1:70">
      <c r="A187" s="177" t="s">
        <v>1533</v>
      </c>
      <c r="B187" s="177" t="s">
        <v>1534</v>
      </c>
      <c r="C187" s="178" t="s">
        <v>1534</v>
      </c>
      <c r="D187" s="179" t="s">
        <v>214</v>
      </c>
      <c r="E187" s="179" t="s">
        <v>149</v>
      </c>
      <c r="F187" s="177"/>
      <c r="G187" s="177" t="s">
        <v>1535</v>
      </c>
      <c r="H187" s="178" t="s">
        <v>10</v>
      </c>
      <c r="I187" s="178" t="s">
        <v>912</v>
      </c>
      <c r="J187" s="131">
        <f>IFERROR(INDEX(#REF!,(MATCH('Old Calc Tab'!C:C,#REF!,0))),0)</f>
        <v>0</v>
      </c>
      <c r="K187" s="131">
        <f>IFERROR(INDEX(#REF!,(MATCH('Old Calc Tab'!$C:$C,#REF!,0))),0)</f>
        <v>0</v>
      </c>
      <c r="L187" s="131"/>
      <c r="M187" s="131">
        <v>1309374.6000000001</v>
      </c>
      <c r="N187" s="131">
        <f>IFERROR(INDEX(#REF!,(MATCH('Old Calc Tab'!$C:$C,#REF!,0))),0)</f>
        <v>0</v>
      </c>
      <c r="O187" s="131">
        <f t="shared" si="26"/>
        <v>0</v>
      </c>
      <c r="P187" s="131">
        <f t="shared" si="27"/>
        <v>1309374.6000000001</v>
      </c>
      <c r="Q187" s="131"/>
      <c r="R187" s="131"/>
      <c r="S187" s="131"/>
      <c r="T187" s="131"/>
      <c r="U187" s="131"/>
      <c r="V187" s="131">
        <v>55437</v>
      </c>
      <c r="W187" s="180">
        <v>0</v>
      </c>
      <c r="X187" s="180">
        <f t="shared" si="28"/>
        <v>1364811.6</v>
      </c>
      <c r="Y187" s="181">
        <f>IF(D187="Physician Group Practice",(X187/$AE$369)*'1. UC Assumptions'!$C$15,IF(OR(E187="Rural Hospital",E187="Hosp - State"),X187,(X187/$X$369)*'1. UC Assumptions'!$C$9))</f>
        <v>1364811.6</v>
      </c>
      <c r="Z187" s="181">
        <f t="shared" si="29"/>
        <v>0</v>
      </c>
      <c r="AA187" s="181">
        <f t="shared" si="30"/>
        <v>0</v>
      </c>
      <c r="AB187" s="182">
        <f t="shared" si="31"/>
        <v>0</v>
      </c>
      <c r="AC187" s="181">
        <f t="shared" si="32"/>
        <v>0</v>
      </c>
      <c r="AD187" s="181">
        <f t="shared" si="33"/>
        <v>1364811.6</v>
      </c>
      <c r="AE187" s="131">
        <v>1356253.47</v>
      </c>
      <c r="AF187" s="131">
        <f>AE187*'1. UC Assumptions'!$C$23</f>
        <v>447563.64509999997</v>
      </c>
      <c r="AG187" s="183">
        <f>IF((((X187-W187-AE187)*'1. UC Assumptions'!$C$23)+AF187)&gt;0,((X187-W187-AE187)*'1. UC Assumptions'!$C$23)+AF187,0)</f>
        <v>450387.82799999998</v>
      </c>
      <c r="AH187" s="183">
        <f>IF(((X187-W187-AE187)*'1. UC Assumptions'!$C$23)&gt;0,(X187-W187-AE187)*'1. UC Assumptions'!$C$23,0)</f>
        <v>2824.1829000000398</v>
      </c>
      <c r="AI187" s="183">
        <f t="shared" si="34"/>
        <v>450387.82799999998</v>
      </c>
      <c r="AJ187" s="183">
        <f>IF(H187="Bexar",(AD187/$AJ$1)*'1. UC Assumptions'!$E$42,0)</f>
        <v>0</v>
      </c>
      <c r="AK187" s="183">
        <f>IF(H187="Dallas",(AD187/$AK$1)*'1. UC Assumptions'!$F$42,0)</f>
        <v>0</v>
      </c>
      <c r="AL187" s="183">
        <f>IF(H187="El Paso",(AD187/$AL$1)*'1. UC Assumptions'!$G$42,0)</f>
        <v>0</v>
      </c>
      <c r="AM187" s="183">
        <f>IF(H187="Harris",(AD187/$AM$1)*'1. UC Assumptions'!$H$42,0)</f>
        <v>0</v>
      </c>
      <c r="AN187" s="183">
        <f>IF(H187="Hidalgo",(AD187/$AN$1)*'1. UC Assumptions'!$I$42,0)</f>
        <v>0</v>
      </c>
      <c r="AO187" s="183">
        <f>IF(H187="Jefferson",(AD187/$AO$1)*'1. UC Assumptions'!$J$42,0)</f>
        <v>0</v>
      </c>
      <c r="AP187" s="183">
        <f>IF(H187="Lubbock",(AD187/$AP$1)*'1. UC Assumptions'!$K$42,0)</f>
        <v>0</v>
      </c>
      <c r="AQ187" s="183">
        <f>IF(H187="MRSA Central",(AD187/$AQ$1)*'1. UC Assumptions'!$L$42,0)</f>
        <v>0</v>
      </c>
      <c r="AR187" s="183">
        <f>IF(H187="MRSA Northeast",(AD187/$AR$1)*'1. UC Assumptions'!$M$42,0)</f>
        <v>0</v>
      </c>
      <c r="AS187" s="183">
        <f>IF(H187="MRSA West",(AD187/$AS$1)*'1. UC Assumptions'!$N$42,0)</f>
        <v>0</v>
      </c>
      <c r="AT187" s="183">
        <f>IF(H187="Nueces",(AD187/$AT$1)*'1. UC Assumptions'!$O$42,0)</f>
        <v>0</v>
      </c>
      <c r="AU187" s="183">
        <f>IF(H187="Tarrant",(AD187/$AU$1)*'1. UC Assumptions'!$P$42,0)</f>
        <v>0</v>
      </c>
      <c r="AV187" s="183">
        <f>IF(H187="Travis",(AD187/$AV$1)*'1. UC Assumptions'!$Q$42,0)</f>
        <v>0</v>
      </c>
      <c r="AW187" s="183">
        <f>IF(H187="Bexar",(AC187/$AW$1)*'1. UC Assumptions'!$E$44,0)</f>
        <v>0</v>
      </c>
      <c r="AX187" s="183">
        <f>IF(H187="Dallas",(AC187/$AX$1)*'1. UC Assumptions'!$F$44,0)</f>
        <v>0</v>
      </c>
      <c r="AY187" s="183">
        <f>IF(H187="El Paso",(AC187/$AY$1)*'1. UC Assumptions'!$G$44,0)</f>
        <v>0</v>
      </c>
      <c r="AZ187" s="183">
        <f>IF(H187="Harris",(AC187/$AZ$1)*'1. UC Assumptions'!$H$44,0)</f>
        <v>0</v>
      </c>
      <c r="BA187" s="183">
        <f>IF(H187="Hidalgo",(AC187/$BA$1)*'1. UC Assumptions'!$I$44,0)</f>
        <v>0</v>
      </c>
      <c r="BB187" s="183">
        <f>IF(H187="Jefferson",(AC187/$BB$1)*'1. UC Assumptions'!$J$44,0)</f>
        <v>0</v>
      </c>
      <c r="BC187" s="183">
        <f>IF(H187="Lubbock",(AC187/$BC$1)*'1. UC Assumptions'!$K$44,0)</f>
        <v>0</v>
      </c>
      <c r="BD187" s="183">
        <f>IF(H187="MRSA Central",(AC187/$BD$1)*'1. UC Assumptions'!$L$44,0)</f>
        <v>0</v>
      </c>
      <c r="BE187" s="183">
        <f>IF(H187="MRSA Northeast",(AC187/$BE$1)*'1. UC Assumptions'!$M$44,0)</f>
        <v>0</v>
      </c>
      <c r="BF187" s="183">
        <f>IF(H187="MRSA West",(AC187/$BF$1)*'1. UC Assumptions'!$N$44,0)</f>
        <v>0</v>
      </c>
      <c r="BG187" s="183">
        <f>IF(H187="Nueces",(AC187/$BG$1)*'1. UC Assumptions'!$O$44,0)</f>
        <v>0</v>
      </c>
      <c r="BH187" s="183">
        <f>IF(H187="Tarrant",(AC187/$BH$1)*'1. UC Assumptions'!$P$44,0)</f>
        <v>0</v>
      </c>
      <c r="BI187" s="183">
        <f>IF(H187="Travis",(AC187/$BI$1)*'1. UC Assumptions'!$Q$44,0)</f>
        <v>0</v>
      </c>
      <c r="BJ187" s="183">
        <f t="shared" si="35"/>
        <v>0</v>
      </c>
      <c r="BK187" s="183">
        <f t="shared" si="36"/>
        <v>0</v>
      </c>
      <c r="BL187" s="183">
        <f t="shared" si="37"/>
        <v>1364811.6</v>
      </c>
      <c r="BM187" s="184">
        <f t="shared" si="38"/>
        <v>8558.1300000001211</v>
      </c>
      <c r="BN187" s="184">
        <f>ROUNDDOWN(BM187*'1. UC Assumptions'!$C$23,2)</f>
        <v>2824.18</v>
      </c>
      <c r="BO187" s="184"/>
      <c r="BP187" s="185"/>
      <c r="BQ187" s="32"/>
      <c r="BR187" s="32"/>
    </row>
    <row r="188" spans="1:70">
      <c r="A188" s="177" t="s">
        <v>1536</v>
      </c>
      <c r="B188" s="177" t="s">
        <v>917</v>
      </c>
      <c r="C188" s="178" t="s">
        <v>917</v>
      </c>
      <c r="D188" s="179" t="s">
        <v>214</v>
      </c>
      <c r="E188" s="179" t="s">
        <v>149</v>
      </c>
      <c r="F188" s="177"/>
      <c r="G188" s="177" t="s">
        <v>1537</v>
      </c>
      <c r="H188" s="178" t="s">
        <v>10</v>
      </c>
      <c r="I188" s="178" t="s">
        <v>919</v>
      </c>
      <c r="J188" s="131">
        <f>IFERROR(INDEX(#REF!,(MATCH('Old Calc Tab'!C:C,#REF!,0))),0)</f>
        <v>0</v>
      </c>
      <c r="K188" s="131">
        <f>IFERROR(INDEX(#REF!,(MATCH('Old Calc Tab'!$C:$C,#REF!,0))),0)</f>
        <v>0</v>
      </c>
      <c r="L188" s="131"/>
      <c r="M188" s="131">
        <v>35074.950000000004</v>
      </c>
      <c r="N188" s="131">
        <f>IFERROR(INDEX(#REF!,(MATCH('Old Calc Tab'!$C:$C,#REF!,0))),0)</f>
        <v>0</v>
      </c>
      <c r="O188" s="131">
        <f t="shared" si="26"/>
        <v>0</v>
      </c>
      <c r="P188" s="131">
        <f t="shared" si="27"/>
        <v>35074.950000000004</v>
      </c>
      <c r="Q188" s="131"/>
      <c r="R188" s="131"/>
      <c r="S188" s="131"/>
      <c r="T188" s="131"/>
      <c r="U188" s="131"/>
      <c r="V188" s="131">
        <v>0</v>
      </c>
      <c r="W188" s="180">
        <v>0</v>
      </c>
      <c r="X188" s="180">
        <f t="shared" si="28"/>
        <v>35074.950000000004</v>
      </c>
      <c r="Y188" s="181">
        <f>IF(D188="Physician Group Practice",(X188/$AE$369)*'1. UC Assumptions'!$C$15,IF(OR(E188="Rural Hospital",E188="Hosp - State"),X188,(X188/$X$369)*'1. UC Assumptions'!$C$9))</f>
        <v>35074.950000000004</v>
      </c>
      <c r="Z188" s="181">
        <f t="shared" si="29"/>
        <v>0</v>
      </c>
      <c r="AA188" s="181">
        <f t="shared" si="30"/>
        <v>0</v>
      </c>
      <c r="AB188" s="182">
        <f t="shared" si="31"/>
        <v>0</v>
      </c>
      <c r="AC188" s="181">
        <f t="shared" si="32"/>
        <v>0</v>
      </c>
      <c r="AD188" s="181">
        <f t="shared" si="33"/>
        <v>35074.950000000004</v>
      </c>
      <c r="AE188" s="131">
        <v>287408.38</v>
      </c>
      <c r="AF188" s="131">
        <f>AE188*'1. UC Assumptions'!$C$23</f>
        <v>94844.765399999989</v>
      </c>
      <c r="AG188" s="183">
        <f>IF((((X188-W188-AE188)*'1. UC Assumptions'!$C$23)+AF188)&gt;0,((X188-W188-AE188)*'1. UC Assumptions'!$C$23)+AF188,0)</f>
        <v>11574.733500000002</v>
      </c>
      <c r="AH188" s="183">
        <f>IF(((X188-W188-AE188)*'1. UC Assumptions'!$C$23)&gt;0,(X188-W188-AE188)*'1. UC Assumptions'!$C$23,0)</f>
        <v>0</v>
      </c>
      <c r="AI188" s="183">
        <f t="shared" si="34"/>
        <v>94844.765399999989</v>
      </c>
      <c r="AJ188" s="183">
        <f>IF(H188="Bexar",(AD188/$AJ$1)*'1. UC Assumptions'!$E$42,0)</f>
        <v>0</v>
      </c>
      <c r="AK188" s="183">
        <f>IF(H188="Dallas",(AD188/$AK$1)*'1. UC Assumptions'!$F$42,0)</f>
        <v>0</v>
      </c>
      <c r="AL188" s="183">
        <f>IF(H188="El Paso",(AD188/$AL$1)*'1. UC Assumptions'!$G$42,0)</f>
        <v>0</v>
      </c>
      <c r="AM188" s="183">
        <f>IF(H188="Harris",(AD188/$AM$1)*'1. UC Assumptions'!$H$42,0)</f>
        <v>0</v>
      </c>
      <c r="AN188" s="183">
        <f>IF(H188="Hidalgo",(AD188/$AN$1)*'1. UC Assumptions'!$I$42,0)</f>
        <v>0</v>
      </c>
      <c r="AO188" s="183">
        <f>IF(H188="Jefferson",(AD188/$AO$1)*'1. UC Assumptions'!$J$42,0)</f>
        <v>0</v>
      </c>
      <c r="AP188" s="183">
        <f>IF(H188="Lubbock",(AD188/$AP$1)*'1. UC Assumptions'!$K$42,0)</f>
        <v>0</v>
      </c>
      <c r="AQ188" s="183">
        <f>IF(H188="MRSA Central",(AD188/$AQ$1)*'1. UC Assumptions'!$L$42,0)</f>
        <v>0</v>
      </c>
      <c r="AR188" s="183">
        <f>IF(H188="MRSA Northeast",(AD188/$AR$1)*'1. UC Assumptions'!$M$42,0)</f>
        <v>0</v>
      </c>
      <c r="AS188" s="183">
        <f>IF(H188="MRSA West",(AD188/$AS$1)*'1. UC Assumptions'!$N$42,0)</f>
        <v>0</v>
      </c>
      <c r="AT188" s="183">
        <f>IF(H188="Nueces",(AD188/$AT$1)*'1. UC Assumptions'!$O$42,0)</f>
        <v>0</v>
      </c>
      <c r="AU188" s="183">
        <f>IF(H188="Tarrant",(AD188/$AU$1)*'1. UC Assumptions'!$P$42,0)</f>
        <v>0</v>
      </c>
      <c r="AV188" s="183">
        <f>IF(H188="Travis",(AD188/$AV$1)*'1. UC Assumptions'!$Q$42,0)</f>
        <v>0</v>
      </c>
      <c r="AW188" s="183">
        <f>IF(H188="Bexar",(AC188/$AW$1)*'1. UC Assumptions'!$E$44,0)</f>
        <v>0</v>
      </c>
      <c r="AX188" s="183">
        <f>IF(H188="Dallas",(AC188/$AX$1)*'1. UC Assumptions'!$F$44,0)</f>
        <v>0</v>
      </c>
      <c r="AY188" s="183">
        <f>IF(H188="El Paso",(AC188/$AY$1)*'1. UC Assumptions'!$G$44,0)</f>
        <v>0</v>
      </c>
      <c r="AZ188" s="183">
        <f>IF(H188="Harris",(AC188/$AZ$1)*'1. UC Assumptions'!$H$44,0)</f>
        <v>0</v>
      </c>
      <c r="BA188" s="183">
        <f>IF(H188="Hidalgo",(AC188/$BA$1)*'1. UC Assumptions'!$I$44,0)</f>
        <v>0</v>
      </c>
      <c r="BB188" s="183">
        <f>IF(H188="Jefferson",(AC188/$BB$1)*'1. UC Assumptions'!$J$44,0)</f>
        <v>0</v>
      </c>
      <c r="BC188" s="183">
        <f>IF(H188="Lubbock",(AC188/$BC$1)*'1. UC Assumptions'!$K$44,0)</f>
        <v>0</v>
      </c>
      <c r="BD188" s="183">
        <f>IF(H188="MRSA Central",(AC188/$BD$1)*'1. UC Assumptions'!$L$44,0)</f>
        <v>0</v>
      </c>
      <c r="BE188" s="183">
        <f>IF(H188="MRSA Northeast",(AC188/$BE$1)*'1. UC Assumptions'!$M$44,0)</f>
        <v>0</v>
      </c>
      <c r="BF188" s="183">
        <f>IF(H188="MRSA West",(AC188/$BF$1)*'1. UC Assumptions'!$N$44,0)</f>
        <v>0</v>
      </c>
      <c r="BG188" s="183">
        <f>IF(H188="Nueces",(AC188/$BG$1)*'1. UC Assumptions'!$O$44,0)</f>
        <v>0</v>
      </c>
      <c r="BH188" s="183">
        <f>IF(H188="Tarrant",(AC188/$BH$1)*'1. UC Assumptions'!$P$44,0)</f>
        <v>0</v>
      </c>
      <c r="BI188" s="183">
        <f>IF(H188="Travis",(AC188/$BI$1)*'1. UC Assumptions'!$Q$44,0)</f>
        <v>0</v>
      </c>
      <c r="BJ188" s="183">
        <f t="shared" si="35"/>
        <v>0</v>
      </c>
      <c r="BK188" s="183">
        <f t="shared" si="36"/>
        <v>0</v>
      </c>
      <c r="BL188" s="183">
        <f t="shared" si="37"/>
        <v>35074.950000000004</v>
      </c>
      <c r="BM188" s="184">
        <f t="shared" si="38"/>
        <v>-252333.43</v>
      </c>
      <c r="BN188" s="184">
        <f>ROUNDDOWN(BM188*'1. UC Assumptions'!$C$23,2)</f>
        <v>-83270.03</v>
      </c>
      <c r="BO188" s="184"/>
      <c r="BP188" s="185"/>
      <c r="BQ188" s="32"/>
      <c r="BR188" s="32"/>
    </row>
    <row r="189" spans="1:70">
      <c r="A189" s="177" t="s">
        <v>1538</v>
      </c>
      <c r="B189" s="178" t="s">
        <v>943</v>
      </c>
      <c r="C189" s="178" t="s">
        <v>943</v>
      </c>
      <c r="D189" s="179" t="s">
        <v>214</v>
      </c>
      <c r="E189" s="179"/>
      <c r="F189" s="177"/>
      <c r="G189" s="177" t="s">
        <v>1539</v>
      </c>
      <c r="H189" s="178" t="s">
        <v>10</v>
      </c>
      <c r="I189" s="178" t="s">
        <v>327</v>
      </c>
      <c r="J189" s="131">
        <f>IFERROR(INDEX(#REF!,(MATCH('Old Calc Tab'!C:C,#REF!,0))),0)</f>
        <v>0</v>
      </c>
      <c r="K189" s="131">
        <f>IFERROR(INDEX(#REF!,(MATCH('Old Calc Tab'!$C:$C,#REF!,0))),0)</f>
        <v>0</v>
      </c>
      <c r="L189" s="131"/>
      <c r="M189" s="131">
        <v>656694.76500000001</v>
      </c>
      <c r="N189" s="131">
        <f>IFERROR(INDEX(#REF!,(MATCH('Old Calc Tab'!$C:$C,#REF!,0))),0)</f>
        <v>0</v>
      </c>
      <c r="O189" s="131">
        <f t="shared" si="26"/>
        <v>0</v>
      </c>
      <c r="P189" s="131">
        <f t="shared" si="27"/>
        <v>656694.76500000001</v>
      </c>
      <c r="Q189" s="131"/>
      <c r="R189" s="131"/>
      <c r="S189" s="131"/>
      <c r="T189" s="131"/>
      <c r="U189" s="131"/>
      <c r="V189" s="131">
        <v>308012</v>
      </c>
      <c r="W189" s="180">
        <v>0</v>
      </c>
      <c r="X189" s="180">
        <f t="shared" si="28"/>
        <v>964706.76500000001</v>
      </c>
      <c r="Y189" s="181">
        <f>IF(D189="Physician Group Practice",(X189/$AE$369)*'1. UC Assumptions'!$C$15,IF(OR(E189="Rural Hospital",E189="Hosp - State"),X189,(X189/$X$369)*'1. UC Assumptions'!$C$9))</f>
        <v>580621.33364952751</v>
      </c>
      <c r="Z189" s="181">
        <f t="shared" si="29"/>
        <v>0</v>
      </c>
      <c r="AA189" s="181">
        <f t="shared" si="30"/>
        <v>384085.4313504725</v>
      </c>
      <c r="AB189" s="182">
        <f t="shared" si="31"/>
        <v>206.2658386598149</v>
      </c>
      <c r="AC189" s="181">
        <f t="shared" si="32"/>
        <v>384291.69718913233</v>
      </c>
      <c r="AD189" s="181">
        <f t="shared" si="33"/>
        <v>580827.59948818735</v>
      </c>
      <c r="AE189" s="131">
        <v>3211183.46</v>
      </c>
      <c r="AF189" s="131">
        <f>AE189*'1. UC Assumptions'!$C$23</f>
        <v>1059690.5417999998</v>
      </c>
      <c r="AG189" s="183">
        <f>IF((((X189-W189-AE189)*'1. UC Assumptions'!$C$23)+AF189)&gt;0,((X189-W189-AE189)*'1. UC Assumptions'!$C$23)+AF189,0)</f>
        <v>318353.23244999989</v>
      </c>
      <c r="AH189" s="183">
        <f>IF(((X189-W189-AE189)*'1. UC Assumptions'!$C$23)&gt;0,(X189-W189-AE189)*'1. UC Assumptions'!$C$23,0)</f>
        <v>0</v>
      </c>
      <c r="AI189" s="183">
        <f t="shared" si="34"/>
        <v>1059690.5417999998</v>
      </c>
      <c r="AJ189" s="183">
        <f>IF(H189="Bexar",(AD189/$AJ$1)*'1. UC Assumptions'!$E$42,0)</f>
        <v>0</v>
      </c>
      <c r="AK189" s="183">
        <f>IF(H189="Dallas",(AD189/$AK$1)*'1. UC Assumptions'!$F$42,0)</f>
        <v>0</v>
      </c>
      <c r="AL189" s="183">
        <f>IF(H189="El Paso",(AD189/$AL$1)*'1. UC Assumptions'!$G$42,0)</f>
        <v>0</v>
      </c>
      <c r="AM189" s="183">
        <f>IF(H189="Harris",(AD189/$AM$1)*'1. UC Assumptions'!$H$42,0)</f>
        <v>0</v>
      </c>
      <c r="AN189" s="183">
        <f>IF(H189="Hidalgo",(AD189/$AN$1)*'1. UC Assumptions'!$I$42,0)</f>
        <v>0</v>
      </c>
      <c r="AO189" s="183">
        <f>IF(H189="Jefferson",(AD189/$AO$1)*'1. UC Assumptions'!$J$42,0)</f>
        <v>0</v>
      </c>
      <c r="AP189" s="183">
        <f>IF(H189="Lubbock",(AD189/$AP$1)*'1. UC Assumptions'!$K$42,0)</f>
        <v>0</v>
      </c>
      <c r="AQ189" s="183">
        <f>IF(H189="MRSA Central",(AD189/$AQ$1)*'1. UC Assumptions'!$L$42,0)</f>
        <v>0</v>
      </c>
      <c r="AR189" s="183">
        <f>IF(H189="MRSA Northeast",(AD189/$AR$1)*'1. UC Assumptions'!$M$42,0)</f>
        <v>0</v>
      </c>
      <c r="AS189" s="183">
        <f>IF(H189="MRSA West",(AD189/$AS$1)*'1. UC Assumptions'!$N$42,0)</f>
        <v>0</v>
      </c>
      <c r="AT189" s="183">
        <f>IF(H189="Nueces",(AD189/$AT$1)*'1. UC Assumptions'!$O$42,0)</f>
        <v>0</v>
      </c>
      <c r="AU189" s="183">
        <f>IF(H189="Tarrant",(AD189/$AU$1)*'1. UC Assumptions'!$P$42,0)</f>
        <v>0</v>
      </c>
      <c r="AV189" s="183">
        <f>IF(H189="Travis",(AD189/$AV$1)*'1. UC Assumptions'!$Q$42,0)</f>
        <v>0</v>
      </c>
      <c r="AW189" s="183">
        <f>IF(H189="Bexar",(AC189/$AW$1)*'1. UC Assumptions'!$E$44,0)</f>
        <v>0</v>
      </c>
      <c r="AX189" s="183">
        <f>IF(H189="Dallas",(AC189/$AX$1)*'1. UC Assumptions'!$F$44,0)</f>
        <v>0</v>
      </c>
      <c r="AY189" s="183">
        <f>IF(H189="El Paso",(AC189/$AY$1)*'1. UC Assumptions'!$G$44,0)</f>
        <v>0</v>
      </c>
      <c r="AZ189" s="183">
        <f>IF(H189="Harris",(AC189/$AZ$1)*'1. UC Assumptions'!$H$44,0)</f>
        <v>0</v>
      </c>
      <c r="BA189" s="183">
        <f>IF(H189="Hidalgo",(AC189/$BA$1)*'1. UC Assumptions'!$I$44,0)</f>
        <v>0</v>
      </c>
      <c r="BB189" s="183">
        <f>IF(H189="Jefferson",(AC189/$BB$1)*'1. UC Assumptions'!$J$44,0)</f>
        <v>0</v>
      </c>
      <c r="BC189" s="183">
        <f>IF(H189="Lubbock",(AC189/$BC$1)*'1. UC Assumptions'!$K$44,0)</f>
        <v>0</v>
      </c>
      <c r="BD189" s="183">
        <f>IF(H189="MRSA Central",(AC189/$BD$1)*'1. UC Assumptions'!$L$44,0)</f>
        <v>0</v>
      </c>
      <c r="BE189" s="183">
        <f>IF(H189="MRSA Northeast",(AC189/$BE$1)*'1. UC Assumptions'!$M$44,0)</f>
        <v>0</v>
      </c>
      <c r="BF189" s="183">
        <f>IF(H189="MRSA West",(AC189/$BF$1)*'1. UC Assumptions'!$N$44,0)</f>
        <v>0</v>
      </c>
      <c r="BG189" s="183">
        <f>IF(H189="Nueces",(AC189/$BG$1)*'1. UC Assumptions'!$O$44,0)</f>
        <v>0</v>
      </c>
      <c r="BH189" s="183">
        <f>IF(H189="Tarrant",(AC189/$BH$1)*'1. UC Assumptions'!$P$44,0)</f>
        <v>0</v>
      </c>
      <c r="BI189" s="183">
        <f>IF(H189="Travis",(AC189/$BI$1)*'1. UC Assumptions'!$Q$44,0)</f>
        <v>0</v>
      </c>
      <c r="BJ189" s="183">
        <f t="shared" si="35"/>
        <v>0</v>
      </c>
      <c r="BK189" s="183">
        <f t="shared" si="36"/>
        <v>0</v>
      </c>
      <c r="BL189" s="183">
        <f t="shared" si="37"/>
        <v>580827.59948818735</v>
      </c>
      <c r="BM189" s="184">
        <f t="shared" si="38"/>
        <v>-2630355.8605118124</v>
      </c>
      <c r="BN189" s="184">
        <f>ROUNDDOWN(BM189*'1. UC Assumptions'!$C$23,2)</f>
        <v>-868017.43</v>
      </c>
      <c r="BO189" s="184"/>
      <c r="BP189" s="185"/>
      <c r="BQ189" s="32"/>
      <c r="BR189" s="32"/>
    </row>
    <row r="190" spans="1:70">
      <c r="A190" s="177" t="s">
        <v>1540</v>
      </c>
      <c r="B190" s="177" t="s">
        <v>964</v>
      </c>
      <c r="C190" s="178" t="s">
        <v>964</v>
      </c>
      <c r="D190" s="179" t="s">
        <v>214</v>
      </c>
      <c r="E190" s="179"/>
      <c r="F190" s="177"/>
      <c r="G190" s="177" t="s">
        <v>1541</v>
      </c>
      <c r="H190" s="178" t="s">
        <v>10</v>
      </c>
      <c r="I190" s="178" t="s">
        <v>553</v>
      </c>
      <c r="J190" s="131">
        <f>IFERROR(INDEX(#REF!,(MATCH('Old Calc Tab'!C:C,#REF!,0))),0)</f>
        <v>0</v>
      </c>
      <c r="K190" s="131">
        <f>IFERROR(INDEX(#REF!,(MATCH('Old Calc Tab'!$C:$C,#REF!,0))),0)</f>
        <v>0</v>
      </c>
      <c r="L190" s="131"/>
      <c r="M190" s="131">
        <v>3410599.7399999993</v>
      </c>
      <c r="N190" s="131">
        <f>IFERROR(INDEX(#REF!,(MATCH('Old Calc Tab'!$C:$C,#REF!,0))),0)</f>
        <v>0</v>
      </c>
      <c r="O190" s="131">
        <f t="shared" si="26"/>
        <v>0</v>
      </c>
      <c r="P190" s="131">
        <f t="shared" si="27"/>
        <v>3410599.7399999993</v>
      </c>
      <c r="Q190" s="131"/>
      <c r="R190" s="131"/>
      <c r="S190" s="131"/>
      <c r="T190" s="131"/>
      <c r="U190" s="131"/>
      <c r="V190" s="131">
        <v>222591.9499999999</v>
      </c>
      <c r="W190" s="180">
        <v>0</v>
      </c>
      <c r="X190" s="180">
        <f t="shared" si="28"/>
        <v>3633191.689999999</v>
      </c>
      <c r="Y190" s="181">
        <f>IF(D190="Physician Group Practice",(X190/$AE$369)*'1. UC Assumptions'!$C$15,IF(OR(E190="Rural Hospital",E190="Hosp - State"),X190,(X190/$X$369)*'1. UC Assumptions'!$C$9))</f>
        <v>2186683.7478352087</v>
      </c>
      <c r="Z190" s="181">
        <f t="shared" si="29"/>
        <v>0</v>
      </c>
      <c r="AA190" s="181">
        <f t="shared" si="30"/>
        <v>1446507.9421647904</v>
      </c>
      <c r="AB190" s="182">
        <f t="shared" si="31"/>
        <v>776.81981524170214</v>
      </c>
      <c r="AC190" s="181">
        <f t="shared" si="32"/>
        <v>1447284.7619800321</v>
      </c>
      <c r="AD190" s="181">
        <f t="shared" si="33"/>
        <v>2187460.5676504504</v>
      </c>
      <c r="AE190" s="131">
        <v>4113127.29</v>
      </c>
      <c r="AF190" s="131">
        <f>AE190*'1. UC Assumptions'!$C$23</f>
        <v>1357332.0056999999</v>
      </c>
      <c r="AG190" s="183">
        <f>IF((((X190-W190-AE190)*'1. UC Assumptions'!$C$23)+AF190)&gt;0,((X190-W190-AE190)*'1. UC Assumptions'!$C$23)+AF190,0)</f>
        <v>1198953.2576999995</v>
      </c>
      <c r="AH190" s="183">
        <f>IF(((X190-W190-AE190)*'1. UC Assumptions'!$C$23)&gt;0,(X190-W190-AE190)*'1. UC Assumptions'!$C$23,0)</f>
        <v>0</v>
      </c>
      <c r="AI190" s="183">
        <f t="shared" si="34"/>
        <v>1357332.0056999999</v>
      </c>
      <c r="AJ190" s="183">
        <f>IF(H190="Bexar",(AD190/$AJ$1)*'1. UC Assumptions'!$E$42,0)</f>
        <v>0</v>
      </c>
      <c r="AK190" s="183">
        <f>IF(H190="Dallas",(AD190/$AK$1)*'1. UC Assumptions'!$F$42,0)</f>
        <v>0</v>
      </c>
      <c r="AL190" s="183">
        <f>IF(H190="El Paso",(AD190/$AL$1)*'1. UC Assumptions'!$G$42,0)</f>
        <v>0</v>
      </c>
      <c r="AM190" s="183">
        <f>IF(H190="Harris",(AD190/$AM$1)*'1. UC Assumptions'!$H$42,0)</f>
        <v>0</v>
      </c>
      <c r="AN190" s="183">
        <f>IF(H190="Hidalgo",(AD190/$AN$1)*'1. UC Assumptions'!$I$42,0)</f>
        <v>0</v>
      </c>
      <c r="AO190" s="183">
        <f>IF(H190="Jefferson",(AD190/$AO$1)*'1. UC Assumptions'!$J$42,0)</f>
        <v>0</v>
      </c>
      <c r="AP190" s="183">
        <f>IF(H190="Lubbock",(AD190/$AP$1)*'1. UC Assumptions'!$K$42,0)</f>
        <v>0</v>
      </c>
      <c r="AQ190" s="183">
        <f>IF(H190="MRSA Central",(AD190/$AQ$1)*'1. UC Assumptions'!$L$42,0)</f>
        <v>0</v>
      </c>
      <c r="AR190" s="183">
        <f>IF(H190="MRSA Northeast",(AD190/$AR$1)*'1. UC Assumptions'!$M$42,0)</f>
        <v>0</v>
      </c>
      <c r="AS190" s="183">
        <f>IF(H190="MRSA West",(AD190/$AS$1)*'1. UC Assumptions'!$N$42,0)</f>
        <v>0</v>
      </c>
      <c r="AT190" s="183">
        <f>IF(H190="Nueces",(AD190/$AT$1)*'1. UC Assumptions'!$O$42,0)</f>
        <v>0</v>
      </c>
      <c r="AU190" s="183">
        <f>IF(H190="Tarrant",(AD190/$AU$1)*'1. UC Assumptions'!$P$42,0)</f>
        <v>0</v>
      </c>
      <c r="AV190" s="183">
        <f>IF(H190="Travis",(AD190/$AV$1)*'1. UC Assumptions'!$Q$42,0)</f>
        <v>0</v>
      </c>
      <c r="AW190" s="183">
        <f>IF(H190="Bexar",(AC190/$AW$1)*'1. UC Assumptions'!$E$44,0)</f>
        <v>0</v>
      </c>
      <c r="AX190" s="183">
        <f>IF(H190="Dallas",(AC190/$AX$1)*'1. UC Assumptions'!$F$44,0)</f>
        <v>0</v>
      </c>
      <c r="AY190" s="183">
        <f>IF(H190="El Paso",(AC190/$AY$1)*'1. UC Assumptions'!$G$44,0)</f>
        <v>0</v>
      </c>
      <c r="AZ190" s="183">
        <f>IF(H190="Harris",(AC190/$AZ$1)*'1. UC Assumptions'!$H$44,0)</f>
        <v>0</v>
      </c>
      <c r="BA190" s="183">
        <f>IF(H190="Hidalgo",(AC190/$BA$1)*'1. UC Assumptions'!$I$44,0)</f>
        <v>0</v>
      </c>
      <c r="BB190" s="183">
        <f>IF(H190="Jefferson",(AC190/$BB$1)*'1. UC Assumptions'!$J$44,0)</f>
        <v>0</v>
      </c>
      <c r="BC190" s="183">
        <f>IF(H190="Lubbock",(AC190/$BC$1)*'1. UC Assumptions'!$K$44,0)</f>
        <v>0</v>
      </c>
      <c r="BD190" s="183">
        <f>IF(H190="MRSA Central",(AC190/$BD$1)*'1. UC Assumptions'!$L$44,0)</f>
        <v>0</v>
      </c>
      <c r="BE190" s="183">
        <f>IF(H190="MRSA Northeast",(AC190/$BE$1)*'1. UC Assumptions'!$M$44,0)</f>
        <v>0</v>
      </c>
      <c r="BF190" s="183">
        <f>IF(H190="MRSA West",(AC190/$BF$1)*'1. UC Assumptions'!$N$44,0)</f>
        <v>0</v>
      </c>
      <c r="BG190" s="183">
        <f>IF(H190="Nueces",(AC190/$BG$1)*'1. UC Assumptions'!$O$44,0)</f>
        <v>0</v>
      </c>
      <c r="BH190" s="183">
        <f>IF(H190="Tarrant",(AC190/$BH$1)*'1. UC Assumptions'!$P$44,0)</f>
        <v>0</v>
      </c>
      <c r="BI190" s="183">
        <f>IF(H190="Travis",(AC190/$BI$1)*'1. UC Assumptions'!$Q$44,0)</f>
        <v>0</v>
      </c>
      <c r="BJ190" s="183">
        <f t="shared" si="35"/>
        <v>0</v>
      </c>
      <c r="BK190" s="183">
        <f t="shared" si="36"/>
        <v>0</v>
      </c>
      <c r="BL190" s="183">
        <f t="shared" si="37"/>
        <v>2187460.5676504504</v>
      </c>
      <c r="BM190" s="184">
        <f t="shared" si="38"/>
        <v>-1925666.7223495496</v>
      </c>
      <c r="BN190" s="184">
        <f>ROUNDDOWN(BM190*'1. UC Assumptions'!$C$23,2)</f>
        <v>-635470.01</v>
      </c>
      <c r="BO190" s="184"/>
      <c r="BP190" s="185"/>
      <c r="BQ190" s="32"/>
      <c r="BR190" s="32"/>
    </row>
    <row r="191" spans="1:70">
      <c r="A191" s="177" t="s">
        <v>1542</v>
      </c>
      <c r="B191" s="178" t="s">
        <v>1543</v>
      </c>
      <c r="C191" s="178" t="s">
        <v>1543</v>
      </c>
      <c r="D191" s="179" t="s">
        <v>214</v>
      </c>
      <c r="E191" s="179"/>
      <c r="F191" s="177" t="s">
        <v>287</v>
      </c>
      <c r="G191" s="177" t="s">
        <v>1544</v>
      </c>
      <c r="H191" s="178" t="s">
        <v>10</v>
      </c>
      <c r="I191" s="178" t="s">
        <v>553</v>
      </c>
      <c r="J191" s="131">
        <f>IFERROR(INDEX(#REF!,(MATCH('Old Calc Tab'!C:C,#REF!,0))),0)</f>
        <v>0</v>
      </c>
      <c r="K191" s="131">
        <f>IFERROR(INDEX(#REF!,(MATCH('Old Calc Tab'!$C:$C,#REF!,0))),0)</f>
        <v>0</v>
      </c>
      <c r="L191" s="131"/>
      <c r="M191" s="131">
        <v>0</v>
      </c>
      <c r="N191" s="131">
        <f>IFERROR(INDEX(#REF!,(MATCH('Old Calc Tab'!$C:$C,#REF!,0))),0)</f>
        <v>0</v>
      </c>
      <c r="O191" s="131">
        <f t="shared" si="26"/>
        <v>0</v>
      </c>
      <c r="P191" s="131">
        <f t="shared" si="27"/>
        <v>0</v>
      </c>
      <c r="Q191" s="131"/>
      <c r="R191" s="131"/>
      <c r="S191" s="131"/>
      <c r="T191" s="131"/>
      <c r="U191" s="131"/>
      <c r="V191" s="131">
        <v>0</v>
      </c>
      <c r="W191" s="180">
        <v>0</v>
      </c>
      <c r="X191" s="180">
        <f t="shared" si="28"/>
        <v>0</v>
      </c>
      <c r="Y191" s="181">
        <f>IF(D191="Physician Group Practice",(X191/$AE$369)*'1. UC Assumptions'!$C$15,IF(OR(E191="Rural Hospital",E191="Hosp - State"),X191,(X191/$X$369)*'1. UC Assumptions'!$C$9))</f>
        <v>0</v>
      </c>
      <c r="Z191" s="181">
        <f t="shared" si="29"/>
        <v>0</v>
      </c>
      <c r="AA191" s="181">
        <f t="shared" si="30"/>
        <v>0</v>
      </c>
      <c r="AB191" s="182">
        <f t="shared" si="31"/>
        <v>0</v>
      </c>
      <c r="AC191" s="181">
        <f t="shared" si="32"/>
        <v>0</v>
      </c>
      <c r="AD191" s="181">
        <f t="shared" si="33"/>
        <v>0</v>
      </c>
      <c r="AE191" s="131">
        <v>320064.42</v>
      </c>
      <c r="AF191" s="131">
        <f>AE191*'1. UC Assumptions'!$C$23</f>
        <v>105621.25859999999</v>
      </c>
      <c r="AG191" s="183">
        <f>IF((((X191-W191-AE191)*'1. UC Assumptions'!$C$23)+AF191)&gt;0,((X191-W191-AE191)*'1. UC Assumptions'!$C$23)+AF191,0)</f>
        <v>0</v>
      </c>
      <c r="AH191" s="183">
        <f>IF(((X191-W191-AE191)*'1. UC Assumptions'!$C$23)&gt;0,(X191-W191-AE191)*'1. UC Assumptions'!$C$23,0)</f>
        <v>0</v>
      </c>
      <c r="AI191" s="183">
        <f t="shared" si="34"/>
        <v>105621.25859999999</v>
      </c>
      <c r="AJ191" s="183">
        <f>IF(H191="Bexar",(AD191/$AJ$1)*'1. UC Assumptions'!$E$42,0)</f>
        <v>0</v>
      </c>
      <c r="AK191" s="183">
        <f>IF(H191="Dallas",(AD191/$AK$1)*'1. UC Assumptions'!$F$42,0)</f>
        <v>0</v>
      </c>
      <c r="AL191" s="183">
        <f>IF(H191="El Paso",(AD191/$AL$1)*'1. UC Assumptions'!$G$42,0)</f>
        <v>0</v>
      </c>
      <c r="AM191" s="183">
        <f>IF(H191="Harris",(AD191/$AM$1)*'1. UC Assumptions'!$H$42,0)</f>
        <v>0</v>
      </c>
      <c r="AN191" s="183">
        <f>IF(H191="Hidalgo",(AD191/$AN$1)*'1. UC Assumptions'!$I$42,0)</f>
        <v>0</v>
      </c>
      <c r="AO191" s="183">
        <f>IF(H191="Jefferson",(AD191/$AO$1)*'1. UC Assumptions'!$J$42,0)</f>
        <v>0</v>
      </c>
      <c r="AP191" s="183">
        <f>IF(H191="Lubbock",(AD191/$AP$1)*'1. UC Assumptions'!$K$42,0)</f>
        <v>0</v>
      </c>
      <c r="AQ191" s="183">
        <f>IF(H191="MRSA Central",(AD191/$AQ$1)*'1. UC Assumptions'!$L$42,0)</f>
        <v>0</v>
      </c>
      <c r="AR191" s="183">
        <f>IF(H191="MRSA Northeast",(AD191/$AR$1)*'1. UC Assumptions'!$M$42,0)</f>
        <v>0</v>
      </c>
      <c r="AS191" s="183">
        <f>IF(H191="MRSA West",(AD191/$AS$1)*'1. UC Assumptions'!$N$42,0)</f>
        <v>0</v>
      </c>
      <c r="AT191" s="183">
        <f>IF(H191="Nueces",(AD191/$AT$1)*'1. UC Assumptions'!$O$42,0)</f>
        <v>0</v>
      </c>
      <c r="AU191" s="183">
        <f>IF(H191="Tarrant",(AD191/$AU$1)*'1. UC Assumptions'!$P$42,0)</f>
        <v>0</v>
      </c>
      <c r="AV191" s="183">
        <f>IF(H191="Travis",(AD191/$AV$1)*'1. UC Assumptions'!$Q$42,0)</f>
        <v>0</v>
      </c>
      <c r="AW191" s="183">
        <f>IF(H191="Bexar",(AC191/$AW$1)*'1. UC Assumptions'!$E$44,0)</f>
        <v>0</v>
      </c>
      <c r="AX191" s="183">
        <f>IF(H191="Dallas",(AC191/$AX$1)*'1. UC Assumptions'!$F$44,0)</f>
        <v>0</v>
      </c>
      <c r="AY191" s="183">
        <f>IF(H191="El Paso",(AC191/$AY$1)*'1. UC Assumptions'!$G$44,0)</f>
        <v>0</v>
      </c>
      <c r="AZ191" s="183">
        <f>IF(H191="Harris",(AC191/$AZ$1)*'1. UC Assumptions'!$H$44,0)</f>
        <v>0</v>
      </c>
      <c r="BA191" s="183">
        <f>IF(H191="Hidalgo",(AC191/$BA$1)*'1. UC Assumptions'!$I$44,0)</f>
        <v>0</v>
      </c>
      <c r="BB191" s="183">
        <f>IF(H191="Jefferson",(AC191/$BB$1)*'1. UC Assumptions'!$J$44,0)</f>
        <v>0</v>
      </c>
      <c r="BC191" s="183">
        <f>IF(H191="Lubbock",(AC191/$BC$1)*'1. UC Assumptions'!$K$44,0)</f>
        <v>0</v>
      </c>
      <c r="BD191" s="183">
        <f>IF(H191="MRSA Central",(AC191/$BD$1)*'1. UC Assumptions'!$L$44,0)</f>
        <v>0</v>
      </c>
      <c r="BE191" s="183">
        <f>IF(H191="MRSA Northeast",(AC191/$BE$1)*'1. UC Assumptions'!$M$44,0)</f>
        <v>0</v>
      </c>
      <c r="BF191" s="183">
        <f>IF(H191="MRSA West",(AC191/$BF$1)*'1. UC Assumptions'!$N$44,0)</f>
        <v>0</v>
      </c>
      <c r="BG191" s="183">
        <f>IF(H191="Nueces",(AC191/$BG$1)*'1. UC Assumptions'!$O$44,0)</f>
        <v>0</v>
      </c>
      <c r="BH191" s="183">
        <f>IF(H191="Tarrant",(AC191/$BH$1)*'1. UC Assumptions'!$P$44,0)</f>
        <v>0</v>
      </c>
      <c r="BI191" s="183">
        <f>IF(H191="Travis",(AC191/$BI$1)*'1. UC Assumptions'!$Q$44,0)</f>
        <v>0</v>
      </c>
      <c r="BJ191" s="183">
        <f t="shared" si="35"/>
        <v>0</v>
      </c>
      <c r="BK191" s="183">
        <f t="shared" si="36"/>
        <v>0</v>
      </c>
      <c r="BL191" s="183">
        <f t="shared" si="37"/>
        <v>0</v>
      </c>
      <c r="BM191" s="184">
        <f t="shared" si="38"/>
        <v>-320064.42</v>
      </c>
      <c r="BN191" s="184">
        <f>ROUNDDOWN(BM191*'1. UC Assumptions'!$C$23,2)</f>
        <v>-105621.25</v>
      </c>
      <c r="BO191" s="184"/>
      <c r="BP191" s="185"/>
      <c r="BQ191" s="32"/>
      <c r="BR191" s="32"/>
    </row>
    <row r="192" spans="1:70">
      <c r="A192" s="177" t="s">
        <v>1545</v>
      </c>
      <c r="B192" s="177" t="s">
        <v>1546</v>
      </c>
      <c r="C192" s="178" t="s">
        <v>1020</v>
      </c>
      <c r="D192" s="179" t="s">
        <v>214</v>
      </c>
      <c r="E192" s="179" t="s">
        <v>149</v>
      </c>
      <c r="F192" s="177"/>
      <c r="G192" s="177" t="s">
        <v>1547</v>
      </c>
      <c r="H192" s="178" t="s">
        <v>10</v>
      </c>
      <c r="I192" s="178" t="s">
        <v>1022</v>
      </c>
      <c r="J192" s="131">
        <f>IFERROR(INDEX(#REF!,(MATCH('Old Calc Tab'!C:C,#REF!,0))),0)</f>
        <v>0</v>
      </c>
      <c r="K192" s="131">
        <f>IFERROR(INDEX(#REF!,(MATCH('Old Calc Tab'!$C:$C,#REF!,0))),0)</f>
        <v>0</v>
      </c>
      <c r="L192" s="131"/>
      <c r="M192" s="131">
        <v>267184.35000000003</v>
      </c>
      <c r="N192" s="131">
        <f>IFERROR(INDEX(#REF!,(MATCH('Old Calc Tab'!$C:$C,#REF!,0))),0)</f>
        <v>0</v>
      </c>
      <c r="O192" s="131">
        <f t="shared" si="26"/>
        <v>0</v>
      </c>
      <c r="P192" s="131">
        <f t="shared" si="27"/>
        <v>267184.35000000003</v>
      </c>
      <c r="Q192" s="131"/>
      <c r="R192" s="131"/>
      <c r="S192" s="131"/>
      <c r="T192" s="131"/>
      <c r="U192" s="131"/>
      <c r="V192" s="131">
        <v>0</v>
      </c>
      <c r="W192" s="180">
        <v>0</v>
      </c>
      <c r="X192" s="180">
        <f t="shared" si="28"/>
        <v>267184.35000000003</v>
      </c>
      <c r="Y192" s="181">
        <f>IF(D192="Physician Group Practice",(X192/$AE$369)*'1. UC Assumptions'!$C$15,IF(OR(E192="Rural Hospital",E192="Hosp - State"),X192,(X192/$X$369)*'1. UC Assumptions'!$C$9))</f>
        <v>267184.35000000003</v>
      </c>
      <c r="Z192" s="181">
        <f t="shared" si="29"/>
        <v>0</v>
      </c>
      <c r="AA192" s="181">
        <f t="shared" si="30"/>
        <v>0</v>
      </c>
      <c r="AB192" s="182">
        <f t="shared" si="31"/>
        <v>0</v>
      </c>
      <c r="AC192" s="181">
        <f t="shared" si="32"/>
        <v>0</v>
      </c>
      <c r="AD192" s="181">
        <f t="shared" si="33"/>
        <v>267184.35000000003</v>
      </c>
      <c r="AE192" s="131">
        <v>346520.08</v>
      </c>
      <c r="AF192" s="131">
        <f>AE192*'1. UC Assumptions'!$C$23</f>
        <v>114351.62639999999</v>
      </c>
      <c r="AG192" s="183">
        <f>IF((((X192-W192-AE192)*'1. UC Assumptions'!$C$23)+AF192)&gt;0,((X192-W192-AE192)*'1. UC Assumptions'!$C$23)+AF192,0)</f>
        <v>88170.835500000001</v>
      </c>
      <c r="AH192" s="183">
        <f>IF(((X192-W192-AE192)*'1. UC Assumptions'!$C$23)&gt;0,(X192-W192-AE192)*'1. UC Assumptions'!$C$23,0)</f>
        <v>0</v>
      </c>
      <c r="AI192" s="183">
        <f t="shared" si="34"/>
        <v>114351.62639999999</v>
      </c>
      <c r="AJ192" s="183">
        <f>IF(H192="Bexar",(AD192/$AJ$1)*'1. UC Assumptions'!$E$42,0)</f>
        <v>0</v>
      </c>
      <c r="AK192" s="183">
        <f>IF(H192="Dallas",(AD192/$AK$1)*'1. UC Assumptions'!$F$42,0)</f>
        <v>0</v>
      </c>
      <c r="AL192" s="183">
        <f>IF(H192="El Paso",(AD192/$AL$1)*'1. UC Assumptions'!$G$42,0)</f>
        <v>0</v>
      </c>
      <c r="AM192" s="183">
        <f>IF(H192="Harris",(AD192/$AM$1)*'1. UC Assumptions'!$H$42,0)</f>
        <v>0</v>
      </c>
      <c r="AN192" s="183">
        <f>IF(H192="Hidalgo",(AD192/$AN$1)*'1. UC Assumptions'!$I$42,0)</f>
        <v>0</v>
      </c>
      <c r="AO192" s="183">
        <f>IF(H192="Jefferson",(AD192/$AO$1)*'1. UC Assumptions'!$J$42,0)</f>
        <v>0</v>
      </c>
      <c r="AP192" s="183">
        <f>IF(H192="Lubbock",(AD192/$AP$1)*'1. UC Assumptions'!$K$42,0)</f>
        <v>0</v>
      </c>
      <c r="AQ192" s="183">
        <f>IF(H192="MRSA Central",(AD192/$AQ$1)*'1. UC Assumptions'!$L$42,0)</f>
        <v>0</v>
      </c>
      <c r="AR192" s="183">
        <f>IF(H192="MRSA Northeast",(AD192/$AR$1)*'1. UC Assumptions'!$M$42,0)</f>
        <v>0</v>
      </c>
      <c r="AS192" s="183">
        <f>IF(H192="MRSA West",(AD192/$AS$1)*'1. UC Assumptions'!$N$42,0)</f>
        <v>0</v>
      </c>
      <c r="AT192" s="183">
        <f>IF(H192="Nueces",(AD192/$AT$1)*'1. UC Assumptions'!$O$42,0)</f>
        <v>0</v>
      </c>
      <c r="AU192" s="183">
        <f>IF(H192="Tarrant",(AD192/$AU$1)*'1. UC Assumptions'!$P$42,0)</f>
        <v>0</v>
      </c>
      <c r="AV192" s="183">
        <f>IF(H192="Travis",(AD192/$AV$1)*'1. UC Assumptions'!$Q$42,0)</f>
        <v>0</v>
      </c>
      <c r="AW192" s="183">
        <f>IF(H192="Bexar",(AC192/$AW$1)*'1. UC Assumptions'!$E$44,0)</f>
        <v>0</v>
      </c>
      <c r="AX192" s="183">
        <f>IF(H192="Dallas",(AC192/$AX$1)*'1. UC Assumptions'!$F$44,0)</f>
        <v>0</v>
      </c>
      <c r="AY192" s="183">
        <f>IF(H192="El Paso",(AC192/$AY$1)*'1. UC Assumptions'!$G$44,0)</f>
        <v>0</v>
      </c>
      <c r="AZ192" s="183">
        <f>IF(H192="Harris",(AC192/$AZ$1)*'1. UC Assumptions'!$H$44,0)</f>
        <v>0</v>
      </c>
      <c r="BA192" s="183">
        <f>IF(H192="Hidalgo",(AC192/$BA$1)*'1. UC Assumptions'!$I$44,0)</f>
        <v>0</v>
      </c>
      <c r="BB192" s="183">
        <f>IF(H192="Jefferson",(AC192/$BB$1)*'1. UC Assumptions'!$J$44,0)</f>
        <v>0</v>
      </c>
      <c r="BC192" s="183">
        <f>IF(H192="Lubbock",(AC192/$BC$1)*'1. UC Assumptions'!$K$44,0)</f>
        <v>0</v>
      </c>
      <c r="BD192" s="183">
        <f>IF(H192="MRSA Central",(AC192/$BD$1)*'1. UC Assumptions'!$L$44,0)</f>
        <v>0</v>
      </c>
      <c r="BE192" s="183">
        <f>IF(H192="MRSA Northeast",(AC192/$BE$1)*'1. UC Assumptions'!$M$44,0)</f>
        <v>0</v>
      </c>
      <c r="BF192" s="183">
        <f>IF(H192="MRSA West",(AC192/$BF$1)*'1. UC Assumptions'!$N$44,0)</f>
        <v>0</v>
      </c>
      <c r="BG192" s="183">
        <f>IF(H192="Nueces",(AC192/$BG$1)*'1. UC Assumptions'!$O$44,0)</f>
        <v>0</v>
      </c>
      <c r="BH192" s="183">
        <f>IF(H192="Tarrant",(AC192/$BH$1)*'1. UC Assumptions'!$P$44,0)</f>
        <v>0</v>
      </c>
      <c r="BI192" s="183">
        <f>IF(H192="Travis",(AC192/$BI$1)*'1. UC Assumptions'!$Q$44,0)</f>
        <v>0</v>
      </c>
      <c r="BJ192" s="183">
        <f t="shared" si="35"/>
        <v>0</v>
      </c>
      <c r="BK192" s="183">
        <f t="shared" si="36"/>
        <v>0</v>
      </c>
      <c r="BL192" s="183">
        <f t="shared" si="37"/>
        <v>267184.35000000003</v>
      </c>
      <c r="BM192" s="184">
        <f t="shared" si="38"/>
        <v>-79335.729999999981</v>
      </c>
      <c r="BN192" s="184">
        <f>ROUNDDOWN(BM192*'1. UC Assumptions'!$C$23,2)</f>
        <v>-26180.79</v>
      </c>
      <c r="BO192" s="184"/>
      <c r="BP192" s="185"/>
      <c r="BQ192" s="32"/>
      <c r="BR192" s="32"/>
    </row>
    <row r="193" spans="1:70">
      <c r="A193" s="177" t="s">
        <v>1548</v>
      </c>
      <c r="B193" s="177" t="s">
        <v>1549</v>
      </c>
      <c r="C193" s="178" t="s">
        <v>1549</v>
      </c>
      <c r="D193" s="179" t="s">
        <v>214</v>
      </c>
      <c r="E193" s="179" t="s">
        <v>149</v>
      </c>
      <c r="F193" s="177"/>
      <c r="G193" s="177" t="s">
        <v>1550</v>
      </c>
      <c r="H193" s="178" t="s">
        <v>11</v>
      </c>
      <c r="I193" s="178" t="s">
        <v>567</v>
      </c>
      <c r="J193" s="131">
        <f>IFERROR(INDEX(#REF!,(MATCH('Old Calc Tab'!C:C,#REF!,0))),0)</f>
        <v>0</v>
      </c>
      <c r="K193" s="131">
        <f>IFERROR(INDEX(#REF!,(MATCH('Old Calc Tab'!$C:$C,#REF!,0))),0)</f>
        <v>0</v>
      </c>
      <c r="L193" s="131"/>
      <c r="M193" s="131">
        <v>1194220.2479999999</v>
      </c>
      <c r="N193" s="131">
        <f>IFERROR(INDEX(#REF!,(MATCH('Old Calc Tab'!$C:$C,#REF!,0))),0)</f>
        <v>0</v>
      </c>
      <c r="O193" s="131">
        <f t="shared" si="26"/>
        <v>0</v>
      </c>
      <c r="P193" s="131">
        <f t="shared" si="27"/>
        <v>1194220.2479999999</v>
      </c>
      <c r="Q193" s="131"/>
      <c r="R193" s="131"/>
      <c r="S193" s="131"/>
      <c r="T193" s="131"/>
      <c r="U193" s="131"/>
      <c r="V193" s="131">
        <v>0</v>
      </c>
      <c r="W193" s="180">
        <v>0</v>
      </c>
      <c r="X193" s="180">
        <f t="shared" si="28"/>
        <v>1194220.2479999999</v>
      </c>
      <c r="Y193" s="181">
        <f>IF(D193="Physician Group Practice",(X193/$AE$369)*'1. UC Assumptions'!$C$15,IF(OR(E193="Rural Hospital",E193="Hosp - State"),X193,(X193/$X$369)*'1. UC Assumptions'!$C$9))</f>
        <v>1194220.2479999999</v>
      </c>
      <c r="Z193" s="181">
        <f t="shared" si="29"/>
        <v>0</v>
      </c>
      <c r="AA193" s="181">
        <f t="shared" si="30"/>
        <v>0</v>
      </c>
      <c r="AB193" s="182">
        <f t="shared" si="31"/>
        <v>0</v>
      </c>
      <c r="AC193" s="181">
        <f t="shared" si="32"/>
        <v>0</v>
      </c>
      <c r="AD193" s="181">
        <f t="shared" si="33"/>
        <v>1194220.2479999999</v>
      </c>
      <c r="AE193" s="131">
        <v>532016.75</v>
      </c>
      <c r="AF193" s="131">
        <f>AE193*'1. UC Assumptions'!$C$23</f>
        <v>175565.52749999997</v>
      </c>
      <c r="AG193" s="183">
        <f>IF((((X193-W193-AE193)*'1. UC Assumptions'!$C$23)+AF193)&gt;0,((X193-W193-AE193)*'1. UC Assumptions'!$C$23)+AF193,0)</f>
        <v>394092.68183999992</v>
      </c>
      <c r="AH193" s="183">
        <f>IF(((X193-W193-AE193)*'1. UC Assumptions'!$C$23)&gt;0,(X193-W193-AE193)*'1. UC Assumptions'!$C$23,0)</f>
        <v>218527.15433999995</v>
      </c>
      <c r="AI193" s="183">
        <f t="shared" si="34"/>
        <v>394092.68183999992</v>
      </c>
      <c r="AJ193" s="183">
        <f>IF(H193="Bexar",(AD193/$AJ$1)*'1. UC Assumptions'!$E$42,0)</f>
        <v>0</v>
      </c>
      <c r="AK193" s="183">
        <f>IF(H193="Dallas",(AD193/$AK$1)*'1. UC Assumptions'!$F$42,0)</f>
        <v>0</v>
      </c>
      <c r="AL193" s="183">
        <f>IF(H193="El Paso",(AD193/$AL$1)*'1. UC Assumptions'!$G$42,0)</f>
        <v>0</v>
      </c>
      <c r="AM193" s="183">
        <f>IF(H193="Harris",(AD193/$AM$1)*'1. UC Assumptions'!$H$42,0)</f>
        <v>0</v>
      </c>
      <c r="AN193" s="183">
        <f>IF(H193="Hidalgo",(AD193/$AN$1)*'1. UC Assumptions'!$I$42,0)</f>
        <v>0</v>
      </c>
      <c r="AO193" s="183">
        <f>IF(H193="Jefferson",(AD193/$AO$1)*'1. UC Assumptions'!$J$42,0)</f>
        <v>0</v>
      </c>
      <c r="AP193" s="183">
        <f>IF(H193="Lubbock",(AD193/$AP$1)*'1. UC Assumptions'!$K$42,0)</f>
        <v>0</v>
      </c>
      <c r="AQ193" s="183">
        <f>IF(H193="MRSA Central",(AD193/$AQ$1)*'1. UC Assumptions'!$L$42,0)</f>
        <v>0</v>
      </c>
      <c r="AR193" s="183">
        <f>IF(H193="MRSA Northeast",(AD193/$AR$1)*'1. UC Assumptions'!$M$42,0)</f>
        <v>0</v>
      </c>
      <c r="AS193" s="183">
        <f>IF(H193="MRSA West",(AD193/$AS$1)*'1. UC Assumptions'!$N$42,0)</f>
        <v>0</v>
      </c>
      <c r="AT193" s="183">
        <f>IF(H193="Nueces",(AD193/$AT$1)*'1. UC Assumptions'!$O$42,0)</f>
        <v>0</v>
      </c>
      <c r="AU193" s="183">
        <f>IF(H193="Tarrant",(AD193/$AU$1)*'1. UC Assumptions'!$P$42,0)</f>
        <v>0</v>
      </c>
      <c r="AV193" s="183">
        <f>IF(H193="Travis",(AD193/$AV$1)*'1. UC Assumptions'!$Q$42,0)</f>
        <v>0</v>
      </c>
      <c r="AW193" s="183">
        <f>IF(H193="Bexar",(AC193/$AW$1)*'1. UC Assumptions'!$E$44,0)</f>
        <v>0</v>
      </c>
      <c r="AX193" s="183">
        <f>IF(H193="Dallas",(AC193/$AX$1)*'1. UC Assumptions'!$F$44,0)</f>
        <v>0</v>
      </c>
      <c r="AY193" s="183">
        <f>IF(H193="El Paso",(AC193/$AY$1)*'1. UC Assumptions'!$G$44,0)</f>
        <v>0</v>
      </c>
      <c r="AZ193" s="183">
        <f>IF(H193="Harris",(AC193/$AZ$1)*'1. UC Assumptions'!$H$44,0)</f>
        <v>0</v>
      </c>
      <c r="BA193" s="183">
        <f>IF(H193="Hidalgo",(AC193/$BA$1)*'1. UC Assumptions'!$I$44,0)</f>
        <v>0</v>
      </c>
      <c r="BB193" s="183">
        <f>IF(H193="Jefferson",(AC193/$BB$1)*'1. UC Assumptions'!$J$44,0)</f>
        <v>0</v>
      </c>
      <c r="BC193" s="183">
        <f>IF(H193="Lubbock",(AC193/$BC$1)*'1. UC Assumptions'!$K$44,0)</f>
        <v>0</v>
      </c>
      <c r="BD193" s="183">
        <f>IF(H193="MRSA Central",(AC193/$BD$1)*'1. UC Assumptions'!$L$44,0)</f>
        <v>0</v>
      </c>
      <c r="BE193" s="183">
        <f>IF(H193="MRSA Northeast",(AC193/$BE$1)*'1. UC Assumptions'!$M$44,0)</f>
        <v>0</v>
      </c>
      <c r="BF193" s="183">
        <f>IF(H193="MRSA West",(AC193/$BF$1)*'1. UC Assumptions'!$N$44,0)</f>
        <v>0</v>
      </c>
      <c r="BG193" s="183">
        <f>IF(H193="Nueces",(AC193/$BG$1)*'1. UC Assumptions'!$O$44,0)</f>
        <v>0</v>
      </c>
      <c r="BH193" s="183">
        <f>IF(H193="Tarrant",(AC193/$BH$1)*'1. UC Assumptions'!$P$44,0)</f>
        <v>0</v>
      </c>
      <c r="BI193" s="183">
        <f>IF(H193="Travis",(AC193/$BI$1)*'1. UC Assumptions'!$Q$44,0)</f>
        <v>0</v>
      </c>
      <c r="BJ193" s="183">
        <f t="shared" si="35"/>
        <v>0</v>
      </c>
      <c r="BK193" s="183">
        <f t="shared" si="36"/>
        <v>0</v>
      </c>
      <c r="BL193" s="183">
        <f t="shared" si="37"/>
        <v>1194220.2479999999</v>
      </c>
      <c r="BM193" s="184">
        <f t="shared" si="38"/>
        <v>662203.49799999991</v>
      </c>
      <c r="BN193" s="184">
        <f>ROUNDDOWN(BM193*'1. UC Assumptions'!$C$23,2)</f>
        <v>218527.15</v>
      </c>
      <c r="BO193" s="184"/>
      <c r="BP193" s="185"/>
      <c r="BQ193" s="32"/>
      <c r="BR193" s="32"/>
    </row>
    <row r="194" spans="1:70">
      <c r="A194" s="177" t="s">
        <v>1551</v>
      </c>
      <c r="B194" s="177" t="s">
        <v>1552</v>
      </c>
      <c r="C194" s="178" t="s">
        <v>1552</v>
      </c>
      <c r="D194" s="179" t="s">
        <v>214</v>
      </c>
      <c r="E194" s="179"/>
      <c r="F194" s="177"/>
      <c r="G194" s="177" t="s">
        <v>1553</v>
      </c>
      <c r="H194" s="178" t="s">
        <v>11</v>
      </c>
      <c r="I194" s="178" t="s">
        <v>314</v>
      </c>
      <c r="J194" s="131">
        <f>IFERROR(INDEX(#REF!,(MATCH('Old Calc Tab'!C:C,#REF!,0))),0)</f>
        <v>0</v>
      </c>
      <c r="K194" s="131">
        <f>IFERROR(INDEX(#REF!,(MATCH('Old Calc Tab'!$C:$C,#REF!,0))),0)</f>
        <v>0</v>
      </c>
      <c r="L194" s="131"/>
      <c r="M194" s="131">
        <v>17762604.576200001</v>
      </c>
      <c r="N194" s="131">
        <f>IFERROR(INDEX(#REF!,(MATCH('Old Calc Tab'!$C:$C,#REF!,0))),0)</f>
        <v>0</v>
      </c>
      <c r="O194" s="131">
        <f t="shared" si="26"/>
        <v>0</v>
      </c>
      <c r="P194" s="131">
        <f t="shared" si="27"/>
        <v>17762604.576200001</v>
      </c>
      <c r="Q194" s="131"/>
      <c r="R194" s="131"/>
      <c r="S194" s="131"/>
      <c r="T194" s="131"/>
      <c r="U194" s="131"/>
      <c r="V194" s="131">
        <v>0</v>
      </c>
      <c r="W194" s="180">
        <v>0</v>
      </c>
      <c r="X194" s="180">
        <f t="shared" si="28"/>
        <v>17762604.576200001</v>
      </c>
      <c r="Y194" s="181">
        <f>IF(D194="Physician Group Practice",(X194/$AE$369)*'1. UC Assumptions'!$C$15,IF(OR(E194="Rural Hospital",E194="Hosp - State"),X194,(X194/$X$369)*'1. UC Assumptions'!$C$9))</f>
        <v>10690654.955780728</v>
      </c>
      <c r="Z194" s="181">
        <f t="shared" si="29"/>
        <v>0</v>
      </c>
      <c r="AA194" s="181">
        <f t="shared" si="30"/>
        <v>7071949.6204192732</v>
      </c>
      <c r="AB194" s="182">
        <f t="shared" si="31"/>
        <v>3797.8571962150177</v>
      </c>
      <c r="AC194" s="181">
        <f t="shared" si="32"/>
        <v>7075747.4776154878</v>
      </c>
      <c r="AD194" s="181">
        <f t="shared" si="33"/>
        <v>10694452.812976943</v>
      </c>
      <c r="AE194" s="131">
        <v>7112574.1000000006</v>
      </c>
      <c r="AF194" s="131">
        <f>AE194*'1. UC Assumptions'!$C$23</f>
        <v>2347149.4529999997</v>
      </c>
      <c r="AG194" s="183">
        <f>IF((((X194-W194-AE194)*'1. UC Assumptions'!$C$23)+AF194)&gt;0,((X194-W194-AE194)*'1. UC Assumptions'!$C$23)+AF194,0)</f>
        <v>5861659.5101459995</v>
      </c>
      <c r="AH194" s="183">
        <f>IF(((X194-W194-AE194)*'1. UC Assumptions'!$C$23)&gt;0,(X194-W194-AE194)*'1. UC Assumptions'!$C$23,0)</f>
        <v>3514510.0571459993</v>
      </c>
      <c r="AI194" s="183">
        <f t="shared" si="34"/>
        <v>5861659.5101459995</v>
      </c>
      <c r="AJ194" s="183">
        <f>IF(H194="Bexar",(AD194/$AJ$1)*'1. UC Assumptions'!$E$42,0)</f>
        <v>0</v>
      </c>
      <c r="AK194" s="183">
        <f>IF(H194="Dallas",(AD194/$AK$1)*'1. UC Assumptions'!$F$42,0)</f>
        <v>0</v>
      </c>
      <c r="AL194" s="183">
        <f>IF(H194="El Paso",(AD194/$AL$1)*'1. UC Assumptions'!$G$42,0)</f>
        <v>0</v>
      </c>
      <c r="AM194" s="183">
        <f>IF(H194="Harris",(AD194/$AM$1)*'1. UC Assumptions'!$H$42,0)</f>
        <v>0</v>
      </c>
      <c r="AN194" s="183">
        <f>IF(H194="Hidalgo",(AD194/$AN$1)*'1. UC Assumptions'!$I$42,0)</f>
        <v>0</v>
      </c>
      <c r="AO194" s="183">
        <f>IF(H194="Jefferson",(AD194/$AO$1)*'1. UC Assumptions'!$J$42,0)</f>
        <v>0</v>
      </c>
      <c r="AP194" s="183">
        <f>IF(H194="Lubbock",(AD194/$AP$1)*'1. UC Assumptions'!$K$42,0)</f>
        <v>0</v>
      </c>
      <c r="AQ194" s="183">
        <f>IF(H194="MRSA Central",(AD194/$AQ$1)*'1. UC Assumptions'!$L$42,0)</f>
        <v>0</v>
      </c>
      <c r="AR194" s="183">
        <f>IF(H194="MRSA Northeast",(AD194/$AR$1)*'1. UC Assumptions'!$M$42,0)</f>
        <v>0</v>
      </c>
      <c r="AS194" s="183">
        <f>IF(H194="MRSA West",(AD194/$AS$1)*'1. UC Assumptions'!$N$42,0)</f>
        <v>0</v>
      </c>
      <c r="AT194" s="183">
        <f>IF(H194="Nueces",(AD194/$AT$1)*'1. UC Assumptions'!$O$42,0)</f>
        <v>0</v>
      </c>
      <c r="AU194" s="183">
        <f>IF(H194="Tarrant",(AD194/$AU$1)*'1. UC Assumptions'!$P$42,0)</f>
        <v>0</v>
      </c>
      <c r="AV194" s="183">
        <f>IF(H194="Travis",(AD194/$AV$1)*'1. UC Assumptions'!$Q$42,0)</f>
        <v>0</v>
      </c>
      <c r="AW194" s="183">
        <f>IF(H194="Bexar",(AC194/$AW$1)*'1. UC Assumptions'!$E$44,0)</f>
        <v>0</v>
      </c>
      <c r="AX194" s="183">
        <f>IF(H194="Dallas",(AC194/$AX$1)*'1. UC Assumptions'!$F$44,0)</f>
        <v>0</v>
      </c>
      <c r="AY194" s="183">
        <f>IF(H194="El Paso",(AC194/$AY$1)*'1. UC Assumptions'!$G$44,0)</f>
        <v>0</v>
      </c>
      <c r="AZ194" s="183">
        <f>IF(H194="Harris",(AC194/$AZ$1)*'1. UC Assumptions'!$H$44,0)</f>
        <v>0</v>
      </c>
      <c r="BA194" s="183">
        <f>IF(H194="Hidalgo",(AC194/$BA$1)*'1. UC Assumptions'!$I$44,0)</f>
        <v>0</v>
      </c>
      <c r="BB194" s="183">
        <f>IF(H194="Jefferson",(AC194/$BB$1)*'1. UC Assumptions'!$J$44,0)</f>
        <v>0</v>
      </c>
      <c r="BC194" s="183">
        <f>IF(H194="Lubbock",(AC194/$BC$1)*'1. UC Assumptions'!$K$44,0)</f>
        <v>0</v>
      </c>
      <c r="BD194" s="183">
        <f>IF(H194="MRSA Central",(AC194/$BD$1)*'1. UC Assumptions'!$L$44,0)</f>
        <v>0</v>
      </c>
      <c r="BE194" s="183">
        <f>IF(H194="MRSA Northeast",(AC194/$BE$1)*'1. UC Assumptions'!$M$44,0)</f>
        <v>0</v>
      </c>
      <c r="BF194" s="183">
        <f>IF(H194="MRSA West",(AC194/$BF$1)*'1. UC Assumptions'!$N$44,0)</f>
        <v>0</v>
      </c>
      <c r="BG194" s="183">
        <f>IF(H194="Nueces",(AC194/$BG$1)*'1. UC Assumptions'!$O$44,0)</f>
        <v>0</v>
      </c>
      <c r="BH194" s="183">
        <f>IF(H194="Tarrant",(AC194/$BH$1)*'1. UC Assumptions'!$P$44,0)</f>
        <v>0</v>
      </c>
      <c r="BI194" s="183">
        <f>IF(H194="Travis",(AC194/$BI$1)*'1. UC Assumptions'!$Q$44,0)</f>
        <v>0</v>
      </c>
      <c r="BJ194" s="183">
        <f t="shared" si="35"/>
        <v>0</v>
      </c>
      <c r="BK194" s="183">
        <f t="shared" si="36"/>
        <v>0</v>
      </c>
      <c r="BL194" s="183">
        <f t="shared" si="37"/>
        <v>10694452.812976943</v>
      </c>
      <c r="BM194" s="184">
        <f t="shared" si="38"/>
        <v>3581878.7129769428</v>
      </c>
      <c r="BN194" s="184">
        <f>ROUNDDOWN(BM194*'1. UC Assumptions'!$C$23,2)</f>
        <v>1182019.97</v>
      </c>
      <c r="BO194" s="184"/>
      <c r="BP194" s="185"/>
      <c r="BQ194" s="32"/>
      <c r="BR194" s="32"/>
    </row>
    <row r="195" spans="1:70">
      <c r="A195" s="177" t="s">
        <v>1554</v>
      </c>
      <c r="B195" s="178" t="s">
        <v>251</v>
      </c>
      <c r="C195" s="178" t="s">
        <v>251</v>
      </c>
      <c r="D195" s="179" t="s">
        <v>214</v>
      </c>
      <c r="E195" s="179"/>
      <c r="F195" s="177"/>
      <c r="G195" s="177" t="s">
        <v>252</v>
      </c>
      <c r="H195" s="178" t="s">
        <v>11</v>
      </c>
      <c r="I195" s="178" t="s">
        <v>253</v>
      </c>
      <c r="J195" s="131">
        <f>IFERROR(INDEX(#REF!,(MATCH('Old Calc Tab'!C:C,#REF!,0))),0)</f>
        <v>0</v>
      </c>
      <c r="K195" s="131">
        <f>IFERROR(INDEX(#REF!,(MATCH('Old Calc Tab'!$C:$C,#REF!,0))),0)</f>
        <v>0</v>
      </c>
      <c r="L195" s="131"/>
      <c r="M195" s="131">
        <v>13791257</v>
      </c>
      <c r="N195" s="131">
        <f>IFERROR(INDEX(#REF!,(MATCH('Old Calc Tab'!$C:$C,#REF!,0))),0)</f>
        <v>0</v>
      </c>
      <c r="O195" s="131">
        <f t="shared" ref="O195:O258" si="39">IF(N195-J195+L195&gt;0,N195-J195+L195,0)</f>
        <v>0</v>
      </c>
      <c r="P195" s="131">
        <f t="shared" ref="P195:P258" si="40">IF(AND(D195="Hosp - State",N195&gt;0),0,IF(M195-O195&gt;0,M195-O195,0))</f>
        <v>13791257</v>
      </c>
      <c r="Q195" s="131"/>
      <c r="R195" s="131"/>
      <c r="S195" s="131"/>
      <c r="T195" s="131"/>
      <c r="U195" s="131"/>
      <c r="V195" s="131">
        <v>0</v>
      </c>
      <c r="W195" s="180">
        <v>0</v>
      </c>
      <c r="X195" s="180">
        <f t="shared" ref="X195:X204" si="41">P195+V195+W195</f>
        <v>13791257</v>
      </c>
      <c r="Y195" s="181">
        <f>IF(D195="Physician Group Practice",(X195/$AE$369)*'1. UC Assumptions'!$C$15,IF(OR(E195="Rural Hospital",E195="Hosp - State"),X195,(X195/$X$369)*'1. UC Assumptions'!$C$9))</f>
        <v>8300447.6827146346</v>
      </c>
      <c r="Z195" s="181">
        <f t="shared" ref="Z195:Z258" si="42">IF(Y195&gt;X195-W195,Y195-(X195-W195),0)</f>
        <v>0</v>
      </c>
      <c r="AA195" s="181">
        <f t="shared" ref="AA195:AA258" si="43">X195-W195-Y195+Z195</f>
        <v>5490809.3172853654</v>
      </c>
      <c r="AB195" s="182">
        <f t="shared" ref="AB195:AB258" si="44">(AA195/$AA$367)*$Z$367</f>
        <v>2948.7356101188352</v>
      </c>
      <c r="AC195" s="181">
        <f t="shared" ref="AC195:AC258" si="45">AA195+AB195</f>
        <v>5493758.0528954845</v>
      </c>
      <c r="AD195" s="181">
        <f t="shared" ref="AD195:AD258" si="46">Y195-Z195+AB195</f>
        <v>8303396.4183247536</v>
      </c>
      <c r="AE195" s="131">
        <v>6990516.6199999992</v>
      </c>
      <c r="AF195" s="131">
        <f>AE195*'1. UC Assumptions'!$C$23</f>
        <v>2306870.4845999996</v>
      </c>
      <c r="AG195" s="183">
        <f>IF((((X195-W195-AE195)*'1. UC Assumptions'!$C$23)+AF195)&gt;0,((X195-W195-AE195)*'1. UC Assumptions'!$C$23)+AF195,0)</f>
        <v>4551114.8099999996</v>
      </c>
      <c r="AH195" s="183">
        <f>IF(((X195-W195-AE195)*'1. UC Assumptions'!$C$23)&gt;0,(X195-W195-AE195)*'1. UC Assumptions'!$C$23,0)</f>
        <v>2244244.3254</v>
      </c>
      <c r="AI195" s="183">
        <f t="shared" ref="AI195:AI258" si="47">AH195+AF195</f>
        <v>4551114.8099999996</v>
      </c>
      <c r="AJ195" s="183">
        <f>IF(H195="Bexar",(AD195/$AJ$1)*'1. UC Assumptions'!$E$42,0)</f>
        <v>0</v>
      </c>
      <c r="AK195" s="183">
        <f>IF(H195="Dallas",(AD195/$AK$1)*'1. UC Assumptions'!$F$42,0)</f>
        <v>0</v>
      </c>
      <c r="AL195" s="183">
        <f>IF(H195="El Paso",(AD195/$AL$1)*'1. UC Assumptions'!$G$42,0)</f>
        <v>0</v>
      </c>
      <c r="AM195" s="183">
        <f>IF(H195="Harris",(AD195/$AM$1)*'1. UC Assumptions'!$H$42,0)</f>
        <v>0</v>
      </c>
      <c r="AN195" s="183">
        <f>IF(H195="Hidalgo",(AD195/$AN$1)*'1. UC Assumptions'!$I$42,0)</f>
        <v>0</v>
      </c>
      <c r="AO195" s="183">
        <f>IF(H195="Jefferson",(AD195/$AO$1)*'1. UC Assumptions'!$J$42,0)</f>
        <v>0</v>
      </c>
      <c r="AP195" s="183">
        <f>IF(H195="Lubbock",(AD195/$AP$1)*'1. UC Assumptions'!$K$42,0)</f>
        <v>0</v>
      </c>
      <c r="AQ195" s="183">
        <f>IF(H195="MRSA Central",(AD195/$AQ$1)*'1. UC Assumptions'!$L$42,0)</f>
        <v>0</v>
      </c>
      <c r="AR195" s="183">
        <f>IF(H195="MRSA Northeast",(AD195/$AR$1)*'1. UC Assumptions'!$M$42,0)</f>
        <v>0</v>
      </c>
      <c r="AS195" s="183">
        <f>IF(H195="MRSA West",(AD195/$AS$1)*'1. UC Assumptions'!$N$42,0)</f>
        <v>0</v>
      </c>
      <c r="AT195" s="183">
        <f>IF(H195="Nueces",(AD195/$AT$1)*'1. UC Assumptions'!$O$42,0)</f>
        <v>0</v>
      </c>
      <c r="AU195" s="183">
        <f>IF(H195="Tarrant",(AD195/$AU$1)*'1. UC Assumptions'!$P$42,0)</f>
        <v>0</v>
      </c>
      <c r="AV195" s="183">
        <f>IF(H195="Travis",(AD195/$AV$1)*'1. UC Assumptions'!$Q$42,0)</f>
        <v>0</v>
      </c>
      <c r="AW195" s="183">
        <f>IF(H195="Bexar",(AC195/$AW$1)*'1. UC Assumptions'!$E$44,0)</f>
        <v>0</v>
      </c>
      <c r="AX195" s="183">
        <f>IF(H195="Dallas",(AC195/$AX$1)*'1. UC Assumptions'!$F$44,0)</f>
        <v>0</v>
      </c>
      <c r="AY195" s="183">
        <f>IF(H195="El Paso",(AC195/$AY$1)*'1. UC Assumptions'!$G$44,0)</f>
        <v>0</v>
      </c>
      <c r="AZ195" s="183">
        <f>IF(H195="Harris",(AC195/$AZ$1)*'1. UC Assumptions'!$H$44,0)</f>
        <v>0</v>
      </c>
      <c r="BA195" s="183">
        <f>IF(H195="Hidalgo",(AC195/$BA$1)*'1. UC Assumptions'!$I$44,0)</f>
        <v>0</v>
      </c>
      <c r="BB195" s="183">
        <f>IF(H195="Jefferson",(AC195/$BB$1)*'1. UC Assumptions'!$J$44,0)</f>
        <v>0</v>
      </c>
      <c r="BC195" s="183">
        <f>IF(H195="Lubbock",(AC195/$BC$1)*'1. UC Assumptions'!$K$44,0)</f>
        <v>0</v>
      </c>
      <c r="BD195" s="183">
        <f>IF(H195="MRSA Central",(AC195/$BD$1)*'1. UC Assumptions'!$L$44,0)</f>
        <v>0</v>
      </c>
      <c r="BE195" s="183">
        <f>IF(H195="MRSA Northeast",(AC195/$BE$1)*'1. UC Assumptions'!$M$44,0)</f>
        <v>0</v>
      </c>
      <c r="BF195" s="183">
        <f>IF(H195="MRSA West",(AC195/$BF$1)*'1. UC Assumptions'!$N$44,0)</f>
        <v>0</v>
      </c>
      <c r="BG195" s="183">
        <f>IF(H195="Nueces",(AC195/$BG$1)*'1. UC Assumptions'!$O$44,0)</f>
        <v>0</v>
      </c>
      <c r="BH195" s="183">
        <f>IF(H195="Tarrant",(AC195/$BH$1)*'1. UC Assumptions'!$P$44,0)</f>
        <v>0</v>
      </c>
      <c r="BI195" s="183">
        <f>IF(H195="Travis",(AC195/$BI$1)*'1. UC Assumptions'!$Q$44,0)</f>
        <v>0</v>
      </c>
      <c r="BJ195" s="183">
        <f t="shared" ref="BJ195:BJ258" si="48">SUM(AJ195:AV195)</f>
        <v>0</v>
      </c>
      <c r="BK195" s="183">
        <f t="shared" ref="BK195:BK258" si="49">SUM(AW195:BI195)</f>
        <v>0</v>
      </c>
      <c r="BL195" s="183">
        <f t="shared" ref="BL195:BL258" si="50">AD195+BK195-BJ195</f>
        <v>8303396.4183247536</v>
      </c>
      <c r="BM195" s="184">
        <f t="shared" ref="BM195:BM258" si="51">BL195-AE195</f>
        <v>1312879.7983247545</v>
      </c>
      <c r="BN195" s="184">
        <f>ROUNDDOWN(BM195*'1. UC Assumptions'!$C$23,2)</f>
        <v>433250.33</v>
      </c>
      <c r="BO195" s="184"/>
      <c r="BP195" s="185"/>
      <c r="BQ195" s="32"/>
      <c r="BR195" s="32"/>
    </row>
    <row r="196" spans="1:70">
      <c r="A196" s="177" t="s">
        <v>1555</v>
      </c>
      <c r="B196" s="178" t="s">
        <v>1556</v>
      </c>
      <c r="C196" s="178" t="s">
        <v>1556</v>
      </c>
      <c r="D196" s="179" t="s">
        <v>214</v>
      </c>
      <c r="E196" s="179"/>
      <c r="F196" s="177"/>
      <c r="G196" s="177" t="s">
        <v>1557</v>
      </c>
      <c r="H196" s="178" t="s">
        <v>11</v>
      </c>
      <c r="I196" s="178" t="s">
        <v>404</v>
      </c>
      <c r="J196" s="131">
        <f>IFERROR(INDEX(#REF!,(MATCH('Old Calc Tab'!C:C,#REF!,0))),0)</f>
        <v>0</v>
      </c>
      <c r="K196" s="131">
        <f>IFERROR(INDEX(#REF!,(MATCH('Old Calc Tab'!$C:$C,#REF!,0))),0)</f>
        <v>0</v>
      </c>
      <c r="L196" s="131"/>
      <c r="M196" s="131">
        <v>8887801.6137110405</v>
      </c>
      <c r="N196" s="131">
        <f>IFERROR(INDEX(#REF!,(MATCH('Old Calc Tab'!$C:$C,#REF!,0))),0)</f>
        <v>0</v>
      </c>
      <c r="O196" s="131">
        <f t="shared" si="39"/>
        <v>0</v>
      </c>
      <c r="P196" s="131">
        <f t="shared" si="40"/>
        <v>8887801.6137110405</v>
      </c>
      <c r="Q196" s="131"/>
      <c r="R196" s="131"/>
      <c r="S196" s="131"/>
      <c r="T196" s="131"/>
      <c r="U196" s="131"/>
      <c r="V196" s="131">
        <v>5743846.6537110414</v>
      </c>
      <c r="W196" s="180">
        <v>0</v>
      </c>
      <c r="X196" s="180">
        <f t="shared" si="41"/>
        <v>14631648.267422082</v>
      </c>
      <c r="Y196" s="181">
        <f>IF(D196="Physician Group Practice",(X196/$AE$369)*'1. UC Assumptions'!$C$15,IF(OR(E196="Rural Hospital",E196="Hosp - State"),X196,(X196/$X$369)*'1. UC Assumptions'!$C$9))</f>
        <v>8806248.1147018876</v>
      </c>
      <c r="Z196" s="181">
        <f t="shared" si="42"/>
        <v>0</v>
      </c>
      <c r="AA196" s="181">
        <f t="shared" si="43"/>
        <v>5825400.1527201943</v>
      </c>
      <c r="AB196" s="182">
        <f t="shared" si="44"/>
        <v>3128.4213093035</v>
      </c>
      <c r="AC196" s="181">
        <f t="shared" si="45"/>
        <v>5828528.5740294978</v>
      </c>
      <c r="AD196" s="181">
        <f t="shared" si="46"/>
        <v>8809376.5360111911</v>
      </c>
      <c r="AE196" s="131">
        <v>9138452.2100000009</v>
      </c>
      <c r="AF196" s="131">
        <f>AE196*'1. UC Assumptions'!$C$23</f>
        <v>3015689.2292999998</v>
      </c>
      <c r="AG196" s="183">
        <f>IF((((X196-W196-AE196)*'1. UC Assumptions'!$C$23)+AF196)&gt;0,((X196-W196-AE196)*'1. UC Assumptions'!$C$23)+AF196,0)</f>
        <v>4828443.9282492865</v>
      </c>
      <c r="AH196" s="183">
        <f>IF(((X196-W196-AE196)*'1. UC Assumptions'!$C$23)&gt;0,(X196-W196-AE196)*'1. UC Assumptions'!$C$23,0)</f>
        <v>1812754.6989492865</v>
      </c>
      <c r="AI196" s="183">
        <f t="shared" si="47"/>
        <v>4828443.9282492865</v>
      </c>
      <c r="AJ196" s="183">
        <f>IF(H196="Bexar",(AD196/$AJ$1)*'1. UC Assumptions'!$E$42,0)</f>
        <v>0</v>
      </c>
      <c r="AK196" s="183">
        <f>IF(H196="Dallas",(AD196/$AK$1)*'1. UC Assumptions'!$F$42,0)</f>
        <v>0</v>
      </c>
      <c r="AL196" s="183">
        <f>IF(H196="El Paso",(AD196/$AL$1)*'1. UC Assumptions'!$G$42,0)</f>
        <v>0</v>
      </c>
      <c r="AM196" s="183">
        <f>IF(H196="Harris",(AD196/$AM$1)*'1. UC Assumptions'!$H$42,0)</f>
        <v>0</v>
      </c>
      <c r="AN196" s="183">
        <f>IF(H196="Hidalgo",(AD196/$AN$1)*'1. UC Assumptions'!$I$42,0)</f>
        <v>0</v>
      </c>
      <c r="AO196" s="183">
        <f>IF(H196="Jefferson",(AD196/$AO$1)*'1. UC Assumptions'!$J$42,0)</f>
        <v>0</v>
      </c>
      <c r="AP196" s="183">
        <f>IF(H196="Lubbock",(AD196/$AP$1)*'1. UC Assumptions'!$K$42,0)</f>
        <v>0</v>
      </c>
      <c r="AQ196" s="183">
        <f>IF(H196="MRSA Central",(AD196/$AQ$1)*'1. UC Assumptions'!$L$42,0)</f>
        <v>0</v>
      </c>
      <c r="AR196" s="183">
        <f>IF(H196="MRSA Northeast",(AD196/$AR$1)*'1. UC Assumptions'!$M$42,0)</f>
        <v>0</v>
      </c>
      <c r="AS196" s="183">
        <f>IF(H196="MRSA West",(AD196/$AS$1)*'1. UC Assumptions'!$N$42,0)</f>
        <v>0</v>
      </c>
      <c r="AT196" s="183">
        <f>IF(H196="Nueces",(AD196/$AT$1)*'1. UC Assumptions'!$O$42,0)</f>
        <v>0</v>
      </c>
      <c r="AU196" s="183">
        <f>IF(H196="Tarrant",(AD196/$AU$1)*'1. UC Assumptions'!$P$42,0)</f>
        <v>0</v>
      </c>
      <c r="AV196" s="183">
        <f>IF(H196="Travis",(AD196/$AV$1)*'1. UC Assumptions'!$Q$42,0)</f>
        <v>0</v>
      </c>
      <c r="AW196" s="183">
        <f>IF(H196="Bexar",(AC196/$AW$1)*'1. UC Assumptions'!$E$44,0)</f>
        <v>0</v>
      </c>
      <c r="AX196" s="183">
        <f>IF(H196="Dallas",(AC196/$AX$1)*'1. UC Assumptions'!$F$44,0)</f>
        <v>0</v>
      </c>
      <c r="AY196" s="183">
        <f>IF(H196="El Paso",(AC196/$AY$1)*'1. UC Assumptions'!$G$44,0)</f>
        <v>0</v>
      </c>
      <c r="AZ196" s="183">
        <f>IF(H196="Harris",(AC196/$AZ$1)*'1. UC Assumptions'!$H$44,0)</f>
        <v>0</v>
      </c>
      <c r="BA196" s="183">
        <f>IF(H196="Hidalgo",(AC196/$BA$1)*'1. UC Assumptions'!$I$44,0)</f>
        <v>0</v>
      </c>
      <c r="BB196" s="183">
        <f>IF(H196="Jefferson",(AC196/$BB$1)*'1. UC Assumptions'!$J$44,0)</f>
        <v>0</v>
      </c>
      <c r="BC196" s="183">
        <f>IF(H196="Lubbock",(AC196/$BC$1)*'1. UC Assumptions'!$K$44,0)</f>
        <v>0</v>
      </c>
      <c r="BD196" s="183">
        <f>IF(H196="MRSA Central",(AC196/$BD$1)*'1. UC Assumptions'!$L$44,0)</f>
        <v>0</v>
      </c>
      <c r="BE196" s="183">
        <f>IF(H196="MRSA Northeast",(AC196/$BE$1)*'1. UC Assumptions'!$M$44,0)</f>
        <v>0</v>
      </c>
      <c r="BF196" s="183">
        <f>IF(H196="MRSA West",(AC196/$BF$1)*'1. UC Assumptions'!$N$44,0)</f>
        <v>0</v>
      </c>
      <c r="BG196" s="183">
        <f>IF(H196="Nueces",(AC196/$BG$1)*'1. UC Assumptions'!$O$44,0)</f>
        <v>0</v>
      </c>
      <c r="BH196" s="183">
        <f>IF(H196="Tarrant",(AC196/$BH$1)*'1. UC Assumptions'!$P$44,0)</f>
        <v>0</v>
      </c>
      <c r="BI196" s="183">
        <f>IF(H196="Travis",(AC196/$BI$1)*'1. UC Assumptions'!$Q$44,0)</f>
        <v>0</v>
      </c>
      <c r="BJ196" s="183">
        <f t="shared" si="48"/>
        <v>0</v>
      </c>
      <c r="BK196" s="183">
        <f t="shared" si="49"/>
        <v>0</v>
      </c>
      <c r="BL196" s="183">
        <f t="shared" si="50"/>
        <v>8809376.5360111911</v>
      </c>
      <c r="BM196" s="184">
        <f t="shared" si="51"/>
        <v>-329075.67398880981</v>
      </c>
      <c r="BN196" s="184">
        <f>ROUNDDOWN(BM196*'1. UC Assumptions'!$C$23,2)</f>
        <v>-108594.97</v>
      </c>
      <c r="BO196" s="184"/>
      <c r="BP196" s="185"/>
      <c r="BQ196" s="32"/>
      <c r="BR196" s="32"/>
    </row>
    <row r="197" spans="1:70">
      <c r="A197" s="177" t="s">
        <v>1558</v>
      </c>
      <c r="B197" s="178" t="s">
        <v>312</v>
      </c>
      <c r="C197" s="178" t="s">
        <v>312</v>
      </c>
      <c r="D197" s="179" t="s">
        <v>214</v>
      </c>
      <c r="E197" s="179"/>
      <c r="F197" s="177"/>
      <c r="G197" s="177" t="s">
        <v>313</v>
      </c>
      <c r="H197" s="178" t="s">
        <v>11</v>
      </c>
      <c r="I197" s="178" t="s">
        <v>314</v>
      </c>
      <c r="J197" s="131">
        <f>IFERROR(INDEX(#REF!,(MATCH('Old Calc Tab'!C:C,#REF!,0))),0)</f>
        <v>0</v>
      </c>
      <c r="K197" s="131">
        <f>IFERROR(INDEX(#REF!,(MATCH('Old Calc Tab'!$C:$C,#REF!,0))),0)</f>
        <v>0</v>
      </c>
      <c r="L197" s="131"/>
      <c r="M197" s="131">
        <v>28196066.408576369</v>
      </c>
      <c r="N197" s="131">
        <f>IFERROR(INDEX(#REF!,(MATCH('Old Calc Tab'!$C:$C,#REF!,0))),0)</f>
        <v>0</v>
      </c>
      <c r="O197" s="131">
        <f t="shared" si="39"/>
        <v>0</v>
      </c>
      <c r="P197" s="131">
        <f t="shared" si="40"/>
        <v>28196066.408576369</v>
      </c>
      <c r="Q197" s="131"/>
      <c r="R197" s="131"/>
      <c r="S197" s="131"/>
      <c r="T197" s="131"/>
      <c r="U197" s="131"/>
      <c r="V197" s="131">
        <v>8323695.1585763702</v>
      </c>
      <c r="W197" s="180">
        <v>0</v>
      </c>
      <c r="X197" s="180">
        <f t="shared" si="41"/>
        <v>36519761.567152739</v>
      </c>
      <c r="Y197" s="181">
        <f>IF(D197="Physician Group Practice",(X197/$AE$369)*'1. UC Assumptions'!$C$15,IF(OR(E197="Rural Hospital",E197="Hosp - State"),X197,(X197/$X$369)*'1. UC Assumptions'!$C$9))</f>
        <v>21979894.238310829</v>
      </c>
      <c r="Z197" s="181">
        <f t="shared" si="42"/>
        <v>0</v>
      </c>
      <c r="AA197" s="181">
        <f t="shared" si="43"/>
        <v>14539867.32884191</v>
      </c>
      <c r="AB197" s="182">
        <f t="shared" si="44"/>
        <v>7808.3615877880129</v>
      </c>
      <c r="AC197" s="181">
        <f t="shared" si="45"/>
        <v>14547675.690429699</v>
      </c>
      <c r="AD197" s="181">
        <f t="shared" si="46"/>
        <v>21987702.599898618</v>
      </c>
      <c r="AE197" s="131">
        <v>10408195.350000001</v>
      </c>
      <c r="AF197" s="131">
        <f>AE197*'1. UC Assumptions'!$C$23</f>
        <v>3434704.4654999999</v>
      </c>
      <c r="AG197" s="183">
        <f>IF((((X197-W197-AE197)*'1. UC Assumptions'!$C$23)+AF197)&gt;0,((X197-W197-AE197)*'1. UC Assumptions'!$C$23)+AF197,0)</f>
        <v>12051521.317160401</v>
      </c>
      <c r="AH197" s="183">
        <f>IF(((X197-W197-AE197)*'1. UC Assumptions'!$C$23)&gt;0,(X197-W197-AE197)*'1. UC Assumptions'!$C$23,0)</f>
        <v>8616816.8516604025</v>
      </c>
      <c r="AI197" s="183">
        <f t="shared" si="47"/>
        <v>12051521.317160401</v>
      </c>
      <c r="AJ197" s="183">
        <f>IF(H197="Bexar",(AD197/$AJ$1)*'1. UC Assumptions'!$E$42,0)</f>
        <v>0</v>
      </c>
      <c r="AK197" s="183">
        <f>IF(H197="Dallas",(AD197/$AK$1)*'1. UC Assumptions'!$F$42,0)</f>
        <v>0</v>
      </c>
      <c r="AL197" s="183">
        <f>IF(H197="El Paso",(AD197/$AL$1)*'1. UC Assumptions'!$G$42,0)</f>
        <v>0</v>
      </c>
      <c r="AM197" s="183">
        <f>IF(H197="Harris",(AD197/$AM$1)*'1. UC Assumptions'!$H$42,0)</f>
        <v>0</v>
      </c>
      <c r="AN197" s="183">
        <f>IF(H197="Hidalgo",(AD197/$AN$1)*'1. UC Assumptions'!$I$42,0)</f>
        <v>0</v>
      </c>
      <c r="AO197" s="183">
        <f>IF(H197="Jefferson",(AD197/$AO$1)*'1. UC Assumptions'!$J$42,0)</f>
        <v>0</v>
      </c>
      <c r="AP197" s="183">
        <f>IF(H197="Lubbock",(AD197/$AP$1)*'1. UC Assumptions'!$K$42,0)</f>
        <v>0</v>
      </c>
      <c r="AQ197" s="183">
        <f>IF(H197="MRSA Central",(AD197/$AQ$1)*'1. UC Assumptions'!$L$42,0)</f>
        <v>0</v>
      </c>
      <c r="AR197" s="183">
        <f>IF(H197="MRSA Northeast",(AD197/$AR$1)*'1. UC Assumptions'!$M$42,0)</f>
        <v>0</v>
      </c>
      <c r="AS197" s="183">
        <f>IF(H197="MRSA West",(AD197/$AS$1)*'1. UC Assumptions'!$N$42,0)</f>
        <v>0</v>
      </c>
      <c r="AT197" s="183">
        <f>IF(H197="Nueces",(AD197/$AT$1)*'1. UC Assumptions'!$O$42,0)</f>
        <v>0</v>
      </c>
      <c r="AU197" s="183">
        <f>IF(H197="Tarrant",(AD197/$AU$1)*'1. UC Assumptions'!$P$42,0)</f>
        <v>0</v>
      </c>
      <c r="AV197" s="183">
        <f>IF(H197="Travis",(AD197/$AV$1)*'1. UC Assumptions'!$Q$42,0)</f>
        <v>0</v>
      </c>
      <c r="AW197" s="183">
        <f>IF(H197="Bexar",(AC197/$AW$1)*'1. UC Assumptions'!$E$44,0)</f>
        <v>0</v>
      </c>
      <c r="AX197" s="183">
        <f>IF(H197="Dallas",(AC197/$AX$1)*'1. UC Assumptions'!$F$44,0)</f>
        <v>0</v>
      </c>
      <c r="AY197" s="183">
        <f>IF(H197="El Paso",(AC197/$AY$1)*'1. UC Assumptions'!$G$44,0)</f>
        <v>0</v>
      </c>
      <c r="AZ197" s="183">
        <f>IF(H197="Harris",(AC197/$AZ$1)*'1. UC Assumptions'!$H$44,0)</f>
        <v>0</v>
      </c>
      <c r="BA197" s="183">
        <f>IF(H197="Hidalgo",(AC197/$BA$1)*'1. UC Assumptions'!$I$44,0)</f>
        <v>0</v>
      </c>
      <c r="BB197" s="183">
        <f>IF(H197="Jefferson",(AC197/$BB$1)*'1. UC Assumptions'!$J$44,0)</f>
        <v>0</v>
      </c>
      <c r="BC197" s="183">
        <f>IF(H197="Lubbock",(AC197/$BC$1)*'1. UC Assumptions'!$K$44,0)</f>
        <v>0</v>
      </c>
      <c r="BD197" s="183">
        <f>IF(H197="MRSA Central",(AC197/$BD$1)*'1. UC Assumptions'!$L$44,0)</f>
        <v>0</v>
      </c>
      <c r="BE197" s="183">
        <f>IF(H197="MRSA Northeast",(AC197/$BE$1)*'1. UC Assumptions'!$M$44,0)</f>
        <v>0</v>
      </c>
      <c r="BF197" s="183">
        <f>IF(H197="MRSA West",(AC197/$BF$1)*'1. UC Assumptions'!$N$44,0)</f>
        <v>0</v>
      </c>
      <c r="BG197" s="183">
        <f>IF(H197="Nueces",(AC197/$BG$1)*'1. UC Assumptions'!$O$44,0)</f>
        <v>0</v>
      </c>
      <c r="BH197" s="183">
        <f>IF(H197="Tarrant",(AC197/$BH$1)*'1. UC Assumptions'!$P$44,0)</f>
        <v>0</v>
      </c>
      <c r="BI197" s="183">
        <f>IF(H197="Travis",(AC197/$BI$1)*'1. UC Assumptions'!$Q$44,0)</f>
        <v>0</v>
      </c>
      <c r="BJ197" s="183">
        <f t="shared" si="48"/>
        <v>0</v>
      </c>
      <c r="BK197" s="183">
        <f t="shared" si="49"/>
        <v>0</v>
      </c>
      <c r="BL197" s="183">
        <f t="shared" si="50"/>
        <v>21987702.599898618</v>
      </c>
      <c r="BM197" s="184">
        <f t="shared" si="51"/>
        <v>11579507.249898616</v>
      </c>
      <c r="BN197" s="184">
        <f>ROUNDDOWN(BM197*'1. UC Assumptions'!$C$23,2)</f>
        <v>3821237.39</v>
      </c>
      <c r="BO197" s="184"/>
      <c r="BP197" s="185"/>
      <c r="BQ197" s="32"/>
      <c r="BR197" s="32"/>
    </row>
    <row r="198" spans="1:70">
      <c r="A198" s="177" t="s">
        <v>1559</v>
      </c>
      <c r="B198" s="177" t="s">
        <v>1560</v>
      </c>
      <c r="C198" s="178" t="s">
        <v>1560</v>
      </c>
      <c r="D198" s="179" t="s">
        <v>208</v>
      </c>
      <c r="E198" s="179" t="s">
        <v>149</v>
      </c>
      <c r="F198" s="177"/>
      <c r="G198" s="177" t="s">
        <v>1561</v>
      </c>
      <c r="H198" s="178" t="s">
        <v>11</v>
      </c>
      <c r="I198" s="178" t="s">
        <v>1045</v>
      </c>
      <c r="J198" s="131">
        <f>IFERROR(INDEX(#REF!,(MATCH('Old Calc Tab'!C:C,#REF!,0))),0)</f>
        <v>0</v>
      </c>
      <c r="K198" s="131">
        <f>IFERROR(INDEX(#REF!,(MATCH('Old Calc Tab'!$C:$C,#REF!,0))),0)</f>
        <v>0</v>
      </c>
      <c r="L198" s="131"/>
      <c r="M198" s="131">
        <v>902272.90399999998</v>
      </c>
      <c r="N198" s="131">
        <f>IFERROR(INDEX(#REF!,(MATCH('Old Calc Tab'!$C:$C,#REF!,0))),0)</f>
        <v>0</v>
      </c>
      <c r="O198" s="131">
        <f t="shared" si="39"/>
        <v>0</v>
      </c>
      <c r="P198" s="131">
        <f t="shared" si="40"/>
        <v>902272.90399999998</v>
      </c>
      <c r="Q198" s="131"/>
      <c r="R198" s="131"/>
      <c r="S198" s="131"/>
      <c r="T198" s="131"/>
      <c r="U198" s="131"/>
      <c r="V198" s="131">
        <v>0</v>
      </c>
      <c r="W198" s="180">
        <v>0</v>
      </c>
      <c r="X198" s="180">
        <f t="shared" si="41"/>
        <v>902272.90399999998</v>
      </c>
      <c r="Y198" s="181">
        <f>IF(D198="Physician Group Practice",(X198/$AE$369)*'1. UC Assumptions'!$C$15,IF(OR(E198="Rural Hospital",E198="Hosp - State"),X198,(X198/$X$369)*'1. UC Assumptions'!$C$9))</f>
        <v>902272.90399999998</v>
      </c>
      <c r="Z198" s="181">
        <f t="shared" si="42"/>
        <v>0</v>
      </c>
      <c r="AA198" s="181">
        <f t="shared" si="43"/>
        <v>0</v>
      </c>
      <c r="AB198" s="182">
        <f t="shared" si="44"/>
        <v>0</v>
      </c>
      <c r="AC198" s="181">
        <f t="shared" si="45"/>
        <v>0</v>
      </c>
      <c r="AD198" s="181">
        <f t="shared" si="46"/>
        <v>902272.90399999998</v>
      </c>
      <c r="AE198" s="131">
        <v>257637.59</v>
      </c>
      <c r="AF198" s="131">
        <f>AE198*'1. UC Assumptions'!$C$23</f>
        <v>85020.404699999985</v>
      </c>
      <c r="AG198" s="183">
        <f>IF((((X198-W198-AE198)*'1. UC Assumptions'!$C$23)+AF198)&gt;0,((X198-W198-AE198)*'1. UC Assumptions'!$C$23)+AF198,0)</f>
        <v>297750.05831999995</v>
      </c>
      <c r="AH198" s="183">
        <f>IF(((X198-W198-AE198)*'1. UC Assumptions'!$C$23)&gt;0,(X198-W198-AE198)*'1. UC Assumptions'!$C$23,0)</f>
        <v>212729.65361999997</v>
      </c>
      <c r="AI198" s="183">
        <f t="shared" si="47"/>
        <v>297750.05831999995</v>
      </c>
      <c r="AJ198" s="183">
        <f>IF(H198="Bexar",(AD198/$AJ$1)*'1. UC Assumptions'!$E$42,0)</f>
        <v>0</v>
      </c>
      <c r="AK198" s="183">
        <f>IF(H198="Dallas",(AD198/$AK$1)*'1. UC Assumptions'!$F$42,0)</f>
        <v>0</v>
      </c>
      <c r="AL198" s="183">
        <f>IF(H198="El Paso",(AD198/$AL$1)*'1. UC Assumptions'!$G$42,0)</f>
        <v>0</v>
      </c>
      <c r="AM198" s="183">
        <f>IF(H198="Harris",(AD198/$AM$1)*'1. UC Assumptions'!$H$42,0)</f>
        <v>0</v>
      </c>
      <c r="AN198" s="183">
        <f>IF(H198="Hidalgo",(AD198/$AN$1)*'1. UC Assumptions'!$I$42,0)</f>
        <v>0</v>
      </c>
      <c r="AO198" s="183">
        <f>IF(H198="Jefferson",(AD198/$AO$1)*'1. UC Assumptions'!$J$42,0)</f>
        <v>0</v>
      </c>
      <c r="AP198" s="183">
        <f>IF(H198="Lubbock",(AD198/$AP$1)*'1. UC Assumptions'!$K$42,0)</f>
        <v>0</v>
      </c>
      <c r="AQ198" s="183">
        <f>IF(H198="MRSA Central",(AD198/$AQ$1)*'1. UC Assumptions'!$L$42,0)</f>
        <v>0</v>
      </c>
      <c r="AR198" s="183">
        <f>IF(H198="MRSA Northeast",(AD198/$AR$1)*'1. UC Assumptions'!$M$42,0)</f>
        <v>0</v>
      </c>
      <c r="AS198" s="183">
        <f>IF(H198="MRSA West",(AD198/$AS$1)*'1. UC Assumptions'!$N$42,0)</f>
        <v>0</v>
      </c>
      <c r="AT198" s="183">
        <f>IF(H198="Nueces",(AD198/$AT$1)*'1. UC Assumptions'!$O$42,0)</f>
        <v>0</v>
      </c>
      <c r="AU198" s="183">
        <f>IF(H198="Tarrant",(AD198/$AU$1)*'1. UC Assumptions'!$P$42,0)</f>
        <v>0</v>
      </c>
      <c r="AV198" s="183">
        <f>IF(H198="Travis",(AD198/$AV$1)*'1. UC Assumptions'!$Q$42,0)</f>
        <v>0</v>
      </c>
      <c r="AW198" s="183">
        <f>IF(H198="Bexar",(AC198/$AW$1)*'1. UC Assumptions'!$E$44,0)</f>
        <v>0</v>
      </c>
      <c r="AX198" s="183">
        <f>IF(H198="Dallas",(AC198/$AX$1)*'1. UC Assumptions'!$F$44,0)</f>
        <v>0</v>
      </c>
      <c r="AY198" s="183">
        <f>IF(H198="El Paso",(AC198/$AY$1)*'1. UC Assumptions'!$G$44,0)</f>
        <v>0</v>
      </c>
      <c r="AZ198" s="183">
        <f>IF(H198="Harris",(AC198/$AZ$1)*'1. UC Assumptions'!$H$44,0)</f>
        <v>0</v>
      </c>
      <c r="BA198" s="183">
        <f>IF(H198="Hidalgo",(AC198/$BA$1)*'1. UC Assumptions'!$I$44,0)</f>
        <v>0</v>
      </c>
      <c r="BB198" s="183">
        <f>IF(H198="Jefferson",(AC198/$BB$1)*'1. UC Assumptions'!$J$44,0)</f>
        <v>0</v>
      </c>
      <c r="BC198" s="183">
        <f>IF(H198="Lubbock",(AC198/$BC$1)*'1. UC Assumptions'!$K$44,0)</f>
        <v>0</v>
      </c>
      <c r="BD198" s="183">
        <f>IF(H198="MRSA Central",(AC198/$BD$1)*'1. UC Assumptions'!$L$44,0)</f>
        <v>0</v>
      </c>
      <c r="BE198" s="183">
        <f>IF(H198="MRSA Northeast",(AC198/$BE$1)*'1. UC Assumptions'!$M$44,0)</f>
        <v>0</v>
      </c>
      <c r="BF198" s="183">
        <f>IF(H198="MRSA West",(AC198/$BF$1)*'1. UC Assumptions'!$N$44,0)</f>
        <v>0</v>
      </c>
      <c r="BG198" s="183">
        <f>IF(H198="Nueces",(AC198/$BG$1)*'1. UC Assumptions'!$O$44,0)</f>
        <v>0</v>
      </c>
      <c r="BH198" s="183">
        <f>IF(H198="Tarrant",(AC198/$BH$1)*'1. UC Assumptions'!$P$44,0)</f>
        <v>0</v>
      </c>
      <c r="BI198" s="183">
        <f>IF(H198="Travis",(AC198/$BI$1)*'1. UC Assumptions'!$Q$44,0)</f>
        <v>0</v>
      </c>
      <c r="BJ198" s="183">
        <f t="shared" si="48"/>
        <v>0</v>
      </c>
      <c r="BK198" s="183">
        <f t="shared" si="49"/>
        <v>0</v>
      </c>
      <c r="BL198" s="183">
        <f t="shared" si="50"/>
        <v>902272.90399999998</v>
      </c>
      <c r="BM198" s="184">
        <f t="shared" si="51"/>
        <v>644635.31400000001</v>
      </c>
      <c r="BN198" s="184">
        <f>ROUNDDOWN(BM198*'1. UC Assumptions'!$C$23,2)</f>
        <v>212729.65</v>
      </c>
      <c r="BO198" s="184"/>
      <c r="BP198" s="185"/>
      <c r="BQ198" s="32"/>
      <c r="BR198" s="32"/>
    </row>
    <row r="199" spans="1:70">
      <c r="A199" s="177" t="s">
        <v>1562</v>
      </c>
      <c r="B199" s="178" t="s">
        <v>357</v>
      </c>
      <c r="C199" s="178" t="s">
        <v>357</v>
      </c>
      <c r="D199" s="179" t="s">
        <v>214</v>
      </c>
      <c r="E199" s="179" t="s">
        <v>149</v>
      </c>
      <c r="F199" s="177"/>
      <c r="G199" s="177" t="s">
        <v>358</v>
      </c>
      <c r="H199" s="178" t="s">
        <v>11</v>
      </c>
      <c r="I199" s="178" t="s">
        <v>359</v>
      </c>
      <c r="J199" s="131">
        <f>IFERROR(INDEX(#REF!,(MATCH('Old Calc Tab'!C:C,#REF!,0))),0)</f>
        <v>0</v>
      </c>
      <c r="K199" s="131">
        <f>IFERROR(INDEX(#REF!,(MATCH('Old Calc Tab'!$C:$C,#REF!,0))),0)</f>
        <v>0</v>
      </c>
      <c r="L199" s="131"/>
      <c r="M199" s="131">
        <v>196327.22</v>
      </c>
      <c r="N199" s="131">
        <f>IFERROR(INDEX(#REF!,(MATCH('Old Calc Tab'!$C:$C,#REF!,0))),0)</f>
        <v>0</v>
      </c>
      <c r="O199" s="131">
        <f t="shared" si="39"/>
        <v>0</v>
      </c>
      <c r="P199" s="131">
        <f t="shared" si="40"/>
        <v>196327.22</v>
      </c>
      <c r="Q199" s="131"/>
      <c r="R199" s="131"/>
      <c r="S199" s="131"/>
      <c r="T199" s="131"/>
      <c r="U199" s="131"/>
      <c r="V199" s="131">
        <v>148741</v>
      </c>
      <c r="W199" s="180">
        <v>0</v>
      </c>
      <c r="X199" s="180">
        <f t="shared" si="41"/>
        <v>345068.22</v>
      </c>
      <c r="Y199" s="181">
        <f>IF(D199="Physician Group Practice",(X199/$AE$369)*'1. UC Assumptions'!$C$15,IF(OR(E199="Rural Hospital",E199="Hosp - State"),X199,(X199/$X$369)*'1. UC Assumptions'!$C$9))</f>
        <v>345068.22</v>
      </c>
      <c r="Z199" s="181">
        <f t="shared" si="42"/>
        <v>0</v>
      </c>
      <c r="AA199" s="181">
        <f t="shared" si="43"/>
        <v>0</v>
      </c>
      <c r="AB199" s="182">
        <f t="shared" si="44"/>
        <v>0</v>
      </c>
      <c r="AC199" s="181">
        <f t="shared" si="45"/>
        <v>0</v>
      </c>
      <c r="AD199" s="181">
        <f t="shared" si="46"/>
        <v>345068.22</v>
      </c>
      <c r="AE199" s="131">
        <v>1220488.46</v>
      </c>
      <c r="AF199" s="131">
        <f>AE199*'1. UC Assumptions'!$C$23</f>
        <v>402761.19179999991</v>
      </c>
      <c r="AG199" s="183">
        <f>IF((((X199-W199-AE199)*'1. UC Assumptions'!$C$23)+AF199)&gt;0,((X199-W199-AE199)*'1. UC Assumptions'!$C$23)+AF199,0)</f>
        <v>113872.51259999996</v>
      </c>
      <c r="AH199" s="183">
        <f>IF(((X199-W199-AE199)*'1. UC Assumptions'!$C$23)&gt;0,(X199-W199-AE199)*'1. UC Assumptions'!$C$23,0)</f>
        <v>0</v>
      </c>
      <c r="AI199" s="183">
        <f t="shared" si="47"/>
        <v>402761.19179999991</v>
      </c>
      <c r="AJ199" s="183">
        <f>IF(H199="Bexar",(AD199/$AJ$1)*'1. UC Assumptions'!$E$42,0)</f>
        <v>0</v>
      </c>
      <c r="AK199" s="183">
        <f>IF(H199="Dallas",(AD199/$AK$1)*'1. UC Assumptions'!$F$42,0)</f>
        <v>0</v>
      </c>
      <c r="AL199" s="183">
        <f>IF(H199="El Paso",(AD199/$AL$1)*'1. UC Assumptions'!$G$42,0)</f>
        <v>0</v>
      </c>
      <c r="AM199" s="183">
        <f>IF(H199="Harris",(AD199/$AM$1)*'1. UC Assumptions'!$H$42,0)</f>
        <v>0</v>
      </c>
      <c r="AN199" s="183">
        <f>IF(H199="Hidalgo",(AD199/$AN$1)*'1. UC Assumptions'!$I$42,0)</f>
        <v>0</v>
      </c>
      <c r="AO199" s="183">
        <f>IF(H199="Jefferson",(AD199/$AO$1)*'1. UC Assumptions'!$J$42,0)</f>
        <v>0</v>
      </c>
      <c r="AP199" s="183">
        <f>IF(H199="Lubbock",(AD199/$AP$1)*'1. UC Assumptions'!$K$42,0)</f>
        <v>0</v>
      </c>
      <c r="AQ199" s="183">
        <f>IF(H199="MRSA Central",(AD199/$AQ$1)*'1. UC Assumptions'!$L$42,0)</f>
        <v>0</v>
      </c>
      <c r="AR199" s="183">
        <f>IF(H199="MRSA Northeast",(AD199/$AR$1)*'1. UC Assumptions'!$M$42,0)</f>
        <v>0</v>
      </c>
      <c r="AS199" s="183">
        <f>IF(H199="MRSA West",(AD199/$AS$1)*'1. UC Assumptions'!$N$42,0)</f>
        <v>0</v>
      </c>
      <c r="AT199" s="183">
        <f>IF(H199="Nueces",(AD199/$AT$1)*'1. UC Assumptions'!$O$42,0)</f>
        <v>0</v>
      </c>
      <c r="AU199" s="183">
        <f>IF(H199="Tarrant",(AD199/$AU$1)*'1. UC Assumptions'!$P$42,0)</f>
        <v>0</v>
      </c>
      <c r="AV199" s="183">
        <f>IF(H199="Travis",(AD199/$AV$1)*'1. UC Assumptions'!$Q$42,0)</f>
        <v>0</v>
      </c>
      <c r="AW199" s="183">
        <f>IF(H199="Bexar",(AC199/$AW$1)*'1. UC Assumptions'!$E$44,0)</f>
        <v>0</v>
      </c>
      <c r="AX199" s="183">
        <f>IF(H199="Dallas",(AC199/$AX$1)*'1. UC Assumptions'!$F$44,0)</f>
        <v>0</v>
      </c>
      <c r="AY199" s="183">
        <f>IF(H199="El Paso",(AC199/$AY$1)*'1. UC Assumptions'!$G$44,0)</f>
        <v>0</v>
      </c>
      <c r="AZ199" s="183">
        <f>IF(H199="Harris",(AC199/$AZ$1)*'1. UC Assumptions'!$H$44,0)</f>
        <v>0</v>
      </c>
      <c r="BA199" s="183">
        <f>IF(H199="Hidalgo",(AC199/$BA$1)*'1. UC Assumptions'!$I$44,0)</f>
        <v>0</v>
      </c>
      <c r="BB199" s="183">
        <f>IF(H199="Jefferson",(AC199/$BB$1)*'1. UC Assumptions'!$J$44,0)</f>
        <v>0</v>
      </c>
      <c r="BC199" s="183">
        <f>IF(H199="Lubbock",(AC199/$BC$1)*'1. UC Assumptions'!$K$44,0)</f>
        <v>0</v>
      </c>
      <c r="BD199" s="183">
        <f>IF(H199="MRSA Central",(AC199/$BD$1)*'1. UC Assumptions'!$L$44,0)</f>
        <v>0</v>
      </c>
      <c r="BE199" s="183">
        <f>IF(H199="MRSA Northeast",(AC199/$BE$1)*'1. UC Assumptions'!$M$44,0)</f>
        <v>0</v>
      </c>
      <c r="BF199" s="183">
        <f>IF(H199="MRSA West",(AC199/$BF$1)*'1. UC Assumptions'!$N$44,0)</f>
        <v>0</v>
      </c>
      <c r="BG199" s="183">
        <f>IF(H199="Nueces",(AC199/$BG$1)*'1. UC Assumptions'!$O$44,0)</f>
        <v>0</v>
      </c>
      <c r="BH199" s="183">
        <f>IF(H199="Tarrant",(AC199/$BH$1)*'1. UC Assumptions'!$P$44,0)</f>
        <v>0</v>
      </c>
      <c r="BI199" s="183">
        <f>IF(H199="Travis",(AC199/$BI$1)*'1. UC Assumptions'!$Q$44,0)</f>
        <v>0</v>
      </c>
      <c r="BJ199" s="183">
        <f t="shared" si="48"/>
        <v>0</v>
      </c>
      <c r="BK199" s="183">
        <f t="shared" si="49"/>
        <v>0</v>
      </c>
      <c r="BL199" s="183">
        <f t="shared" si="50"/>
        <v>345068.22</v>
      </c>
      <c r="BM199" s="184">
        <f t="shared" si="51"/>
        <v>-875420.24</v>
      </c>
      <c r="BN199" s="184">
        <f>ROUNDDOWN(BM199*'1. UC Assumptions'!$C$23,2)</f>
        <v>-288888.67</v>
      </c>
      <c r="BO199" s="184"/>
      <c r="BP199" s="185"/>
      <c r="BQ199" s="32"/>
      <c r="BR199" s="32"/>
    </row>
    <row r="200" spans="1:70">
      <c r="A200" s="177" t="s">
        <v>1563</v>
      </c>
      <c r="B200" s="178" t="s">
        <v>402</v>
      </c>
      <c r="C200" s="178" t="s">
        <v>402</v>
      </c>
      <c r="D200" s="179" t="s">
        <v>214</v>
      </c>
      <c r="E200" s="179"/>
      <c r="F200" s="177"/>
      <c r="G200" s="177" t="s">
        <v>403</v>
      </c>
      <c r="H200" s="178" t="s">
        <v>11</v>
      </c>
      <c r="I200" s="178" t="s">
        <v>404</v>
      </c>
      <c r="J200" s="131">
        <f>IFERROR(INDEX(#REF!,(MATCH('Old Calc Tab'!C:C,#REF!,0))),0)</f>
        <v>0</v>
      </c>
      <c r="K200" s="131">
        <f>IFERROR(INDEX(#REF!,(MATCH('Old Calc Tab'!$C:$C,#REF!,0))),0)</f>
        <v>0</v>
      </c>
      <c r="L200" s="131"/>
      <c r="M200" s="131">
        <v>681391.95</v>
      </c>
      <c r="N200" s="131">
        <f>IFERROR(INDEX(#REF!,(MATCH('Old Calc Tab'!$C:$C,#REF!,0))),0)</f>
        <v>0</v>
      </c>
      <c r="O200" s="131">
        <f t="shared" si="39"/>
        <v>0</v>
      </c>
      <c r="P200" s="131">
        <f t="shared" si="40"/>
        <v>681391.95</v>
      </c>
      <c r="Q200" s="131"/>
      <c r="R200" s="131"/>
      <c r="S200" s="131"/>
      <c r="T200" s="131"/>
      <c r="U200" s="131"/>
      <c r="V200" s="131">
        <v>491228</v>
      </c>
      <c r="W200" s="180">
        <v>0</v>
      </c>
      <c r="X200" s="180">
        <f t="shared" si="41"/>
        <v>1172619.95</v>
      </c>
      <c r="Y200" s="181">
        <f>IF(D200="Physician Group Practice",(X200/$AE$369)*'1. UC Assumptions'!$C$15,IF(OR(E200="Rural Hospital",E200="Hosp - State"),X200,(X200/$X$369)*'1. UC Assumptions'!$C$9))</f>
        <v>705756.59250512475</v>
      </c>
      <c r="Z200" s="181">
        <f t="shared" si="42"/>
        <v>0</v>
      </c>
      <c r="AA200" s="181">
        <f t="shared" si="43"/>
        <v>466863.35749487521</v>
      </c>
      <c r="AB200" s="182">
        <f t="shared" si="44"/>
        <v>250.72016304973278</v>
      </c>
      <c r="AC200" s="181">
        <f t="shared" si="45"/>
        <v>467114.07765792497</v>
      </c>
      <c r="AD200" s="181">
        <f t="shared" si="46"/>
        <v>706007.31266817451</v>
      </c>
      <c r="AE200" s="131">
        <v>3703347.74</v>
      </c>
      <c r="AF200" s="131">
        <f>AE200*'1. UC Assumptions'!$C$23</f>
        <v>1222104.7541999999</v>
      </c>
      <c r="AG200" s="183">
        <f>IF((((X200-W200-AE200)*'1. UC Assumptions'!$C$23)+AF200)&gt;0,((X200-W200-AE200)*'1. UC Assumptions'!$C$23)+AF200,0)</f>
        <v>386964.58349999995</v>
      </c>
      <c r="AH200" s="183">
        <f>IF(((X200-W200-AE200)*'1. UC Assumptions'!$C$23)&gt;0,(X200-W200-AE200)*'1. UC Assumptions'!$C$23,0)</f>
        <v>0</v>
      </c>
      <c r="AI200" s="183">
        <f t="shared" si="47"/>
        <v>1222104.7541999999</v>
      </c>
      <c r="AJ200" s="183">
        <f>IF(H200="Bexar",(AD200/$AJ$1)*'1. UC Assumptions'!$E$42,0)</f>
        <v>0</v>
      </c>
      <c r="AK200" s="183">
        <f>IF(H200="Dallas",(AD200/$AK$1)*'1. UC Assumptions'!$F$42,0)</f>
        <v>0</v>
      </c>
      <c r="AL200" s="183">
        <f>IF(H200="El Paso",(AD200/$AL$1)*'1. UC Assumptions'!$G$42,0)</f>
        <v>0</v>
      </c>
      <c r="AM200" s="183">
        <f>IF(H200="Harris",(AD200/$AM$1)*'1. UC Assumptions'!$H$42,0)</f>
        <v>0</v>
      </c>
      <c r="AN200" s="183">
        <f>IF(H200="Hidalgo",(AD200/$AN$1)*'1. UC Assumptions'!$I$42,0)</f>
        <v>0</v>
      </c>
      <c r="AO200" s="183">
        <f>IF(H200="Jefferson",(AD200/$AO$1)*'1. UC Assumptions'!$J$42,0)</f>
        <v>0</v>
      </c>
      <c r="AP200" s="183">
        <f>IF(H200="Lubbock",(AD200/$AP$1)*'1. UC Assumptions'!$K$42,0)</f>
        <v>0</v>
      </c>
      <c r="AQ200" s="183">
        <f>IF(H200="MRSA Central",(AD200/$AQ$1)*'1. UC Assumptions'!$L$42,0)</f>
        <v>0</v>
      </c>
      <c r="AR200" s="183">
        <f>IF(H200="MRSA Northeast",(AD200/$AR$1)*'1. UC Assumptions'!$M$42,0)</f>
        <v>0</v>
      </c>
      <c r="AS200" s="183">
        <f>IF(H200="MRSA West",(AD200/$AS$1)*'1. UC Assumptions'!$N$42,0)</f>
        <v>0</v>
      </c>
      <c r="AT200" s="183">
        <f>IF(H200="Nueces",(AD200/$AT$1)*'1. UC Assumptions'!$O$42,0)</f>
        <v>0</v>
      </c>
      <c r="AU200" s="183">
        <f>IF(H200="Tarrant",(AD200/$AU$1)*'1. UC Assumptions'!$P$42,0)</f>
        <v>0</v>
      </c>
      <c r="AV200" s="183">
        <f>IF(H200="Travis",(AD200/$AV$1)*'1. UC Assumptions'!$Q$42,0)</f>
        <v>0</v>
      </c>
      <c r="AW200" s="183">
        <f>IF(H200="Bexar",(AC200/$AW$1)*'1. UC Assumptions'!$E$44,0)</f>
        <v>0</v>
      </c>
      <c r="AX200" s="183">
        <f>IF(H200="Dallas",(AC200/$AX$1)*'1. UC Assumptions'!$F$44,0)</f>
        <v>0</v>
      </c>
      <c r="AY200" s="183">
        <f>IF(H200="El Paso",(AC200/$AY$1)*'1. UC Assumptions'!$G$44,0)</f>
        <v>0</v>
      </c>
      <c r="AZ200" s="183">
        <f>IF(H200="Harris",(AC200/$AZ$1)*'1. UC Assumptions'!$H$44,0)</f>
        <v>0</v>
      </c>
      <c r="BA200" s="183">
        <f>IF(H200="Hidalgo",(AC200/$BA$1)*'1. UC Assumptions'!$I$44,0)</f>
        <v>0</v>
      </c>
      <c r="BB200" s="183">
        <f>IF(H200="Jefferson",(AC200/$BB$1)*'1. UC Assumptions'!$J$44,0)</f>
        <v>0</v>
      </c>
      <c r="BC200" s="183">
        <f>IF(H200="Lubbock",(AC200/$BC$1)*'1. UC Assumptions'!$K$44,0)</f>
        <v>0</v>
      </c>
      <c r="BD200" s="183">
        <f>IF(H200="MRSA Central",(AC200/$BD$1)*'1. UC Assumptions'!$L$44,0)</f>
        <v>0</v>
      </c>
      <c r="BE200" s="183">
        <f>IF(H200="MRSA Northeast",(AC200/$BE$1)*'1. UC Assumptions'!$M$44,0)</f>
        <v>0</v>
      </c>
      <c r="BF200" s="183">
        <f>IF(H200="MRSA West",(AC200/$BF$1)*'1. UC Assumptions'!$N$44,0)</f>
        <v>0</v>
      </c>
      <c r="BG200" s="183">
        <f>IF(H200="Nueces",(AC200/$BG$1)*'1. UC Assumptions'!$O$44,0)</f>
        <v>0</v>
      </c>
      <c r="BH200" s="183">
        <f>IF(H200="Tarrant",(AC200/$BH$1)*'1. UC Assumptions'!$P$44,0)</f>
        <v>0</v>
      </c>
      <c r="BI200" s="183">
        <f>IF(H200="Travis",(AC200/$BI$1)*'1. UC Assumptions'!$Q$44,0)</f>
        <v>0</v>
      </c>
      <c r="BJ200" s="183">
        <f t="shared" si="48"/>
        <v>0</v>
      </c>
      <c r="BK200" s="183">
        <f t="shared" si="49"/>
        <v>0</v>
      </c>
      <c r="BL200" s="183">
        <f t="shared" si="50"/>
        <v>706007.31266817451</v>
      </c>
      <c r="BM200" s="184">
        <f t="shared" si="51"/>
        <v>-2997340.4273318257</v>
      </c>
      <c r="BN200" s="184">
        <f>ROUNDDOWN(BM200*'1. UC Assumptions'!$C$23,2)</f>
        <v>-989122.34</v>
      </c>
      <c r="BO200" s="184"/>
      <c r="BP200" s="185"/>
      <c r="BQ200" s="32"/>
      <c r="BR200" s="32"/>
    </row>
    <row r="201" spans="1:70">
      <c r="A201" s="177" t="s">
        <v>1564</v>
      </c>
      <c r="B201" s="178" t="s">
        <v>415</v>
      </c>
      <c r="C201" s="178" t="s">
        <v>415</v>
      </c>
      <c r="D201" s="179" t="s">
        <v>214</v>
      </c>
      <c r="E201" s="179"/>
      <c r="F201" s="177"/>
      <c r="G201" s="177" t="s">
        <v>1565</v>
      </c>
      <c r="H201" s="178" t="s">
        <v>11</v>
      </c>
      <c r="I201" s="178" t="s">
        <v>1566</v>
      </c>
      <c r="J201" s="131">
        <f>IFERROR(INDEX(#REF!,(MATCH('Old Calc Tab'!C:C,#REF!,0))),0)</f>
        <v>0</v>
      </c>
      <c r="K201" s="131">
        <f>IFERROR(INDEX(#REF!,(MATCH('Old Calc Tab'!$C:$C,#REF!,0))),0)</f>
        <v>0</v>
      </c>
      <c r="L201" s="131"/>
      <c r="M201" s="131">
        <v>1920859.6240743324</v>
      </c>
      <c r="N201" s="131">
        <f>IFERROR(INDEX(#REF!,(MATCH('Old Calc Tab'!$C:$C,#REF!,0))),0)</f>
        <v>0</v>
      </c>
      <c r="O201" s="131">
        <f t="shared" si="39"/>
        <v>0</v>
      </c>
      <c r="P201" s="131">
        <f t="shared" si="40"/>
        <v>1920859.6240743324</v>
      </c>
      <c r="Q201" s="131"/>
      <c r="R201" s="131"/>
      <c r="S201" s="131"/>
      <c r="T201" s="131"/>
      <c r="U201" s="131"/>
      <c r="V201" s="131">
        <v>1044312.5840743326</v>
      </c>
      <c r="W201" s="180">
        <v>0</v>
      </c>
      <c r="X201" s="180">
        <f t="shared" si="41"/>
        <v>2965172.2081486648</v>
      </c>
      <c r="Y201" s="181">
        <f>IF(D201="Physician Group Practice",(X201/$AE$369)*'1. UC Assumptions'!$C$15,IF(OR(E201="Rural Hospital",E201="Hosp - State"),X201,(X201/$X$369)*'1. UC Assumptions'!$C$9))</f>
        <v>1784627.5204629584</v>
      </c>
      <c r="Z201" s="181">
        <f t="shared" si="42"/>
        <v>0</v>
      </c>
      <c r="AA201" s="181">
        <f t="shared" si="43"/>
        <v>1180544.6876857064</v>
      </c>
      <c r="AB201" s="182">
        <f t="shared" si="44"/>
        <v>633.98926437979287</v>
      </c>
      <c r="AC201" s="181">
        <f t="shared" si="45"/>
        <v>1181178.6769500861</v>
      </c>
      <c r="AD201" s="181">
        <f t="shared" si="46"/>
        <v>1785261.5097273381</v>
      </c>
      <c r="AE201" s="131">
        <v>1534495.6400000001</v>
      </c>
      <c r="AF201" s="131">
        <f>AE201*'1. UC Assumptions'!$C$23</f>
        <v>506383.5612</v>
      </c>
      <c r="AG201" s="183">
        <f>IF((((X201-W201-AE201)*'1. UC Assumptions'!$C$23)+AF201)&gt;0,((X201-W201-AE201)*'1. UC Assumptions'!$C$23)+AF201,0)</f>
        <v>978506.82868905924</v>
      </c>
      <c r="AH201" s="183">
        <f>IF(((X201-W201-AE201)*'1. UC Assumptions'!$C$23)&gt;0,(X201-W201-AE201)*'1. UC Assumptions'!$C$23,0)</f>
        <v>472123.2674890593</v>
      </c>
      <c r="AI201" s="183">
        <f t="shared" si="47"/>
        <v>978506.82868905924</v>
      </c>
      <c r="AJ201" s="183">
        <f>IF(H201="Bexar",(AD201/$AJ$1)*'1. UC Assumptions'!$E$42,0)</f>
        <v>0</v>
      </c>
      <c r="AK201" s="183">
        <f>IF(H201="Dallas",(AD201/$AK$1)*'1. UC Assumptions'!$F$42,0)</f>
        <v>0</v>
      </c>
      <c r="AL201" s="183">
        <f>IF(H201="El Paso",(AD201/$AL$1)*'1. UC Assumptions'!$G$42,0)</f>
        <v>0</v>
      </c>
      <c r="AM201" s="183">
        <f>IF(H201="Harris",(AD201/$AM$1)*'1. UC Assumptions'!$H$42,0)</f>
        <v>0</v>
      </c>
      <c r="AN201" s="183">
        <f>IF(H201="Hidalgo",(AD201/$AN$1)*'1. UC Assumptions'!$I$42,0)</f>
        <v>0</v>
      </c>
      <c r="AO201" s="183">
        <f>IF(H201="Jefferson",(AD201/$AO$1)*'1. UC Assumptions'!$J$42,0)</f>
        <v>0</v>
      </c>
      <c r="AP201" s="183">
        <f>IF(H201="Lubbock",(AD201/$AP$1)*'1. UC Assumptions'!$K$42,0)</f>
        <v>0</v>
      </c>
      <c r="AQ201" s="183">
        <f>IF(H201="MRSA Central",(AD201/$AQ$1)*'1. UC Assumptions'!$L$42,0)</f>
        <v>0</v>
      </c>
      <c r="AR201" s="183">
        <f>IF(H201="MRSA Northeast",(AD201/$AR$1)*'1. UC Assumptions'!$M$42,0)</f>
        <v>0</v>
      </c>
      <c r="AS201" s="183">
        <f>IF(H201="MRSA West",(AD201/$AS$1)*'1. UC Assumptions'!$N$42,0)</f>
        <v>0</v>
      </c>
      <c r="AT201" s="183">
        <f>IF(H201="Nueces",(AD201/$AT$1)*'1. UC Assumptions'!$O$42,0)</f>
        <v>0</v>
      </c>
      <c r="AU201" s="183">
        <f>IF(H201="Tarrant",(AD201/$AU$1)*'1. UC Assumptions'!$P$42,0)</f>
        <v>0</v>
      </c>
      <c r="AV201" s="183">
        <f>IF(H201="Travis",(AD201/$AV$1)*'1. UC Assumptions'!$Q$42,0)</f>
        <v>0</v>
      </c>
      <c r="AW201" s="183">
        <f>IF(H201="Bexar",(AC201/$AW$1)*'1. UC Assumptions'!$E$44,0)</f>
        <v>0</v>
      </c>
      <c r="AX201" s="183">
        <f>IF(H201="Dallas",(AC201/$AX$1)*'1. UC Assumptions'!$F$44,0)</f>
        <v>0</v>
      </c>
      <c r="AY201" s="183">
        <f>IF(H201="El Paso",(AC201/$AY$1)*'1. UC Assumptions'!$G$44,0)</f>
        <v>0</v>
      </c>
      <c r="AZ201" s="183">
        <f>IF(H201="Harris",(AC201/$AZ$1)*'1. UC Assumptions'!$H$44,0)</f>
        <v>0</v>
      </c>
      <c r="BA201" s="183">
        <f>IF(H201="Hidalgo",(AC201/$BA$1)*'1. UC Assumptions'!$I$44,0)</f>
        <v>0</v>
      </c>
      <c r="BB201" s="183">
        <f>IF(H201="Jefferson",(AC201/$BB$1)*'1. UC Assumptions'!$J$44,0)</f>
        <v>0</v>
      </c>
      <c r="BC201" s="183">
        <f>IF(H201="Lubbock",(AC201/$BC$1)*'1. UC Assumptions'!$K$44,0)</f>
        <v>0</v>
      </c>
      <c r="BD201" s="183">
        <f>IF(H201="MRSA Central",(AC201/$BD$1)*'1. UC Assumptions'!$L$44,0)</f>
        <v>0</v>
      </c>
      <c r="BE201" s="183">
        <f>IF(H201="MRSA Northeast",(AC201/$BE$1)*'1. UC Assumptions'!$M$44,0)</f>
        <v>0</v>
      </c>
      <c r="BF201" s="183">
        <f>IF(H201="MRSA West",(AC201/$BF$1)*'1. UC Assumptions'!$N$44,0)</f>
        <v>0</v>
      </c>
      <c r="BG201" s="183">
        <f>IF(H201="Nueces",(AC201/$BG$1)*'1. UC Assumptions'!$O$44,0)</f>
        <v>0</v>
      </c>
      <c r="BH201" s="183">
        <f>IF(H201="Tarrant",(AC201/$BH$1)*'1. UC Assumptions'!$P$44,0)</f>
        <v>0</v>
      </c>
      <c r="BI201" s="183">
        <f>IF(H201="Travis",(AC201/$BI$1)*'1. UC Assumptions'!$Q$44,0)</f>
        <v>0</v>
      </c>
      <c r="BJ201" s="183">
        <f t="shared" si="48"/>
        <v>0</v>
      </c>
      <c r="BK201" s="183">
        <f t="shared" si="49"/>
        <v>0</v>
      </c>
      <c r="BL201" s="183">
        <f t="shared" si="50"/>
        <v>1785261.5097273381</v>
      </c>
      <c r="BM201" s="184">
        <f t="shared" si="51"/>
        <v>250765.86972733797</v>
      </c>
      <c r="BN201" s="184">
        <f>ROUNDDOWN(BM201*'1. UC Assumptions'!$C$23,2)</f>
        <v>82752.73</v>
      </c>
      <c r="BO201" s="184"/>
      <c r="BP201" s="185"/>
      <c r="BQ201" s="32"/>
      <c r="BR201" s="32"/>
    </row>
    <row r="202" spans="1:70">
      <c r="A202" s="177" t="s">
        <v>1567</v>
      </c>
      <c r="B202" s="177" t="s">
        <v>489</v>
      </c>
      <c r="C202" s="178" t="s">
        <v>489</v>
      </c>
      <c r="D202" s="179" t="s">
        <v>208</v>
      </c>
      <c r="E202" s="179" t="s">
        <v>149</v>
      </c>
      <c r="F202" s="177"/>
      <c r="G202" s="177" t="s">
        <v>490</v>
      </c>
      <c r="H202" s="178" t="s">
        <v>11</v>
      </c>
      <c r="I202" s="178" t="s">
        <v>491</v>
      </c>
      <c r="J202" s="131">
        <f>IFERROR(INDEX(#REF!,(MATCH('Old Calc Tab'!C:C,#REF!,0))),0)</f>
        <v>0</v>
      </c>
      <c r="K202" s="131">
        <f>IFERROR(INDEX(#REF!,(MATCH('Old Calc Tab'!$C:$C,#REF!,0))),0)</f>
        <v>0</v>
      </c>
      <c r="L202" s="131"/>
      <c r="M202" s="131">
        <v>0</v>
      </c>
      <c r="N202" s="131">
        <f>IFERROR(INDEX(#REF!,(MATCH('Old Calc Tab'!$C:$C,#REF!,0))),0)</f>
        <v>0</v>
      </c>
      <c r="O202" s="131">
        <f t="shared" si="39"/>
        <v>0</v>
      </c>
      <c r="P202" s="131">
        <f t="shared" si="40"/>
        <v>0</v>
      </c>
      <c r="Q202" s="131"/>
      <c r="R202" s="131"/>
      <c r="S202" s="131"/>
      <c r="T202" s="131"/>
      <c r="U202" s="131"/>
      <c r="V202" s="131">
        <v>0</v>
      </c>
      <c r="W202" s="180">
        <v>0</v>
      </c>
      <c r="X202" s="180">
        <f t="shared" si="41"/>
        <v>0</v>
      </c>
      <c r="Y202" s="181">
        <f>IF(D202="Physician Group Practice",(X202/$AE$369)*'1. UC Assumptions'!$C$15,IF(OR(E202="Rural Hospital",E202="Hosp - State"),X202,(X202/$X$369)*'1. UC Assumptions'!$C$9))</f>
        <v>0</v>
      </c>
      <c r="Z202" s="181">
        <f t="shared" si="42"/>
        <v>0</v>
      </c>
      <c r="AA202" s="181">
        <f t="shared" si="43"/>
        <v>0</v>
      </c>
      <c r="AB202" s="182">
        <f t="shared" si="44"/>
        <v>0</v>
      </c>
      <c r="AC202" s="181">
        <f t="shared" si="45"/>
        <v>0</v>
      </c>
      <c r="AD202" s="181">
        <f t="shared" si="46"/>
        <v>0</v>
      </c>
      <c r="AE202" s="131">
        <v>38828.71</v>
      </c>
      <c r="AF202" s="131">
        <f>AE202*'1. UC Assumptions'!$C$23</f>
        <v>12813.474299999998</v>
      </c>
      <c r="AG202" s="183">
        <f>IF((((X202-W202-AE202)*'1. UC Assumptions'!$C$23)+AF202)&gt;0,((X202-W202-AE202)*'1. UC Assumptions'!$C$23)+AF202,0)</f>
        <v>0</v>
      </c>
      <c r="AH202" s="183">
        <f>IF(((X202-W202-AE202)*'1. UC Assumptions'!$C$23)&gt;0,(X202-W202-AE202)*'1. UC Assumptions'!$C$23,0)</f>
        <v>0</v>
      </c>
      <c r="AI202" s="183">
        <f t="shared" si="47"/>
        <v>12813.474299999998</v>
      </c>
      <c r="AJ202" s="183">
        <f>IF(H202="Bexar",(AD202/$AJ$1)*'1. UC Assumptions'!$E$42,0)</f>
        <v>0</v>
      </c>
      <c r="AK202" s="183">
        <f>IF(H202="Dallas",(AD202/$AK$1)*'1. UC Assumptions'!$F$42,0)</f>
        <v>0</v>
      </c>
      <c r="AL202" s="183">
        <f>IF(H202="El Paso",(AD202/$AL$1)*'1. UC Assumptions'!$G$42,0)</f>
        <v>0</v>
      </c>
      <c r="AM202" s="183">
        <f>IF(H202="Harris",(AD202/$AM$1)*'1. UC Assumptions'!$H$42,0)</f>
        <v>0</v>
      </c>
      <c r="AN202" s="183">
        <f>IF(H202="Hidalgo",(AD202/$AN$1)*'1. UC Assumptions'!$I$42,0)</f>
        <v>0</v>
      </c>
      <c r="AO202" s="183">
        <f>IF(H202="Jefferson",(AD202/$AO$1)*'1. UC Assumptions'!$J$42,0)</f>
        <v>0</v>
      </c>
      <c r="AP202" s="183">
        <f>IF(H202="Lubbock",(AD202/$AP$1)*'1. UC Assumptions'!$K$42,0)</f>
        <v>0</v>
      </c>
      <c r="AQ202" s="183">
        <f>IF(H202="MRSA Central",(AD202/$AQ$1)*'1. UC Assumptions'!$L$42,0)</f>
        <v>0</v>
      </c>
      <c r="AR202" s="183">
        <f>IF(H202="MRSA Northeast",(AD202/$AR$1)*'1. UC Assumptions'!$M$42,0)</f>
        <v>0</v>
      </c>
      <c r="AS202" s="183">
        <f>IF(H202="MRSA West",(AD202/$AS$1)*'1. UC Assumptions'!$N$42,0)</f>
        <v>0</v>
      </c>
      <c r="AT202" s="183">
        <f>IF(H202="Nueces",(AD202/$AT$1)*'1. UC Assumptions'!$O$42,0)</f>
        <v>0</v>
      </c>
      <c r="AU202" s="183">
        <f>IF(H202="Tarrant",(AD202/$AU$1)*'1. UC Assumptions'!$P$42,0)</f>
        <v>0</v>
      </c>
      <c r="AV202" s="183">
        <f>IF(H202="Travis",(AD202/$AV$1)*'1. UC Assumptions'!$Q$42,0)</f>
        <v>0</v>
      </c>
      <c r="AW202" s="183">
        <f>IF(H202="Bexar",(AC202/$AW$1)*'1. UC Assumptions'!$E$44,0)</f>
        <v>0</v>
      </c>
      <c r="AX202" s="183">
        <f>IF(H202="Dallas",(AC202/$AX$1)*'1. UC Assumptions'!$F$44,0)</f>
        <v>0</v>
      </c>
      <c r="AY202" s="183">
        <f>IF(H202="El Paso",(AC202/$AY$1)*'1. UC Assumptions'!$G$44,0)</f>
        <v>0</v>
      </c>
      <c r="AZ202" s="183">
        <f>IF(H202="Harris",(AC202/$AZ$1)*'1. UC Assumptions'!$H$44,0)</f>
        <v>0</v>
      </c>
      <c r="BA202" s="183">
        <f>IF(H202="Hidalgo",(AC202/$BA$1)*'1. UC Assumptions'!$I$44,0)</f>
        <v>0</v>
      </c>
      <c r="BB202" s="183">
        <f>IF(H202="Jefferson",(AC202/$BB$1)*'1. UC Assumptions'!$J$44,0)</f>
        <v>0</v>
      </c>
      <c r="BC202" s="183">
        <f>IF(H202="Lubbock",(AC202/$BC$1)*'1. UC Assumptions'!$K$44,0)</f>
        <v>0</v>
      </c>
      <c r="BD202" s="183">
        <f>IF(H202="MRSA Central",(AC202/$BD$1)*'1. UC Assumptions'!$L$44,0)</f>
        <v>0</v>
      </c>
      <c r="BE202" s="183">
        <f>IF(H202="MRSA Northeast",(AC202/$BE$1)*'1. UC Assumptions'!$M$44,0)</f>
        <v>0</v>
      </c>
      <c r="BF202" s="183">
        <f>IF(H202="MRSA West",(AC202/$BF$1)*'1. UC Assumptions'!$N$44,0)</f>
        <v>0</v>
      </c>
      <c r="BG202" s="183">
        <f>IF(H202="Nueces",(AC202/$BG$1)*'1. UC Assumptions'!$O$44,0)</f>
        <v>0</v>
      </c>
      <c r="BH202" s="183">
        <f>IF(H202="Tarrant",(AC202/$BH$1)*'1. UC Assumptions'!$P$44,0)</f>
        <v>0</v>
      </c>
      <c r="BI202" s="183">
        <f>IF(H202="Travis",(AC202/$BI$1)*'1. UC Assumptions'!$Q$44,0)</f>
        <v>0</v>
      </c>
      <c r="BJ202" s="183">
        <f t="shared" si="48"/>
        <v>0</v>
      </c>
      <c r="BK202" s="183">
        <f t="shared" si="49"/>
        <v>0</v>
      </c>
      <c r="BL202" s="183">
        <f t="shared" si="50"/>
        <v>0</v>
      </c>
      <c r="BM202" s="184">
        <f t="shared" si="51"/>
        <v>-38828.71</v>
      </c>
      <c r="BN202" s="184">
        <f>ROUNDDOWN(BM202*'1. UC Assumptions'!$C$23,2)</f>
        <v>-12813.47</v>
      </c>
      <c r="BO202" s="184"/>
      <c r="BP202" s="185"/>
      <c r="BQ202" s="32"/>
      <c r="BR202" s="32"/>
    </row>
    <row r="203" spans="1:70">
      <c r="A203" s="177" t="s">
        <v>1568</v>
      </c>
      <c r="B203" s="178" t="s">
        <v>1569</v>
      </c>
      <c r="C203" s="178" t="s">
        <v>1569</v>
      </c>
      <c r="D203" s="179" t="s">
        <v>208</v>
      </c>
      <c r="E203" s="179" t="s">
        <v>149</v>
      </c>
      <c r="F203" s="177"/>
      <c r="G203" s="177" t="s">
        <v>1570</v>
      </c>
      <c r="H203" s="178" t="s">
        <v>11</v>
      </c>
      <c r="I203" s="178" t="s">
        <v>491</v>
      </c>
      <c r="J203" s="131">
        <f>IFERROR(INDEX(#REF!,(MATCH('Old Calc Tab'!C:C,#REF!,0))),0)</f>
        <v>0</v>
      </c>
      <c r="K203" s="131">
        <f>IFERROR(INDEX(#REF!,(MATCH('Old Calc Tab'!$C:$C,#REF!,0))),0)</f>
        <v>0</v>
      </c>
      <c r="L203" s="131"/>
      <c r="M203" s="131">
        <v>598853.4</v>
      </c>
      <c r="N203" s="131">
        <f>IFERROR(INDEX(#REF!,(MATCH('Old Calc Tab'!$C:$C,#REF!,0))),0)</f>
        <v>0</v>
      </c>
      <c r="O203" s="131">
        <f t="shared" si="39"/>
        <v>0</v>
      </c>
      <c r="P203" s="131">
        <f t="shared" si="40"/>
        <v>598853.4</v>
      </c>
      <c r="Q203" s="131"/>
      <c r="R203" s="131"/>
      <c r="S203" s="131"/>
      <c r="T203" s="131"/>
      <c r="U203" s="131"/>
      <c r="V203" s="131">
        <v>456520</v>
      </c>
      <c r="W203" s="180">
        <v>0</v>
      </c>
      <c r="X203" s="180">
        <f t="shared" si="41"/>
        <v>1055373.3999999999</v>
      </c>
      <c r="Y203" s="181">
        <f>IF(D203="Physician Group Practice",(X203/$AE$369)*'1. UC Assumptions'!$C$15,IF(OR(E203="Rural Hospital",E203="Hosp - State"),X203,(X203/$X$369)*'1. UC Assumptions'!$C$9))</f>
        <v>1055373.3999999999</v>
      </c>
      <c r="Z203" s="181">
        <f t="shared" si="42"/>
        <v>0</v>
      </c>
      <c r="AA203" s="181">
        <f t="shared" si="43"/>
        <v>0</v>
      </c>
      <c r="AB203" s="182">
        <f t="shared" si="44"/>
        <v>0</v>
      </c>
      <c r="AC203" s="181">
        <f t="shared" si="45"/>
        <v>0</v>
      </c>
      <c r="AD203" s="181">
        <f t="shared" si="46"/>
        <v>1055373.3999999999</v>
      </c>
      <c r="AE203" s="131">
        <v>944023.78</v>
      </c>
      <c r="AF203" s="131">
        <f>AE203*'1. UC Assumptions'!$C$23</f>
        <v>311527.84739999997</v>
      </c>
      <c r="AG203" s="183">
        <f>IF((((X203-W203-AE203)*'1. UC Assumptions'!$C$23)+AF203)&gt;0,((X203-W203-AE203)*'1. UC Assumptions'!$C$23)+AF203,0)</f>
        <v>348273.22199999995</v>
      </c>
      <c r="AH203" s="183">
        <f>IF(((X203-W203-AE203)*'1. UC Assumptions'!$C$23)&gt;0,(X203-W203-AE203)*'1. UC Assumptions'!$C$23,0)</f>
        <v>36745.374599999959</v>
      </c>
      <c r="AI203" s="183">
        <f t="shared" si="47"/>
        <v>348273.22199999995</v>
      </c>
      <c r="AJ203" s="183">
        <f>IF(H203="Bexar",(AD203/$AJ$1)*'1. UC Assumptions'!$E$42,0)</f>
        <v>0</v>
      </c>
      <c r="AK203" s="183">
        <f>IF(H203="Dallas",(AD203/$AK$1)*'1. UC Assumptions'!$F$42,0)</f>
        <v>0</v>
      </c>
      <c r="AL203" s="183">
        <f>IF(H203="El Paso",(AD203/$AL$1)*'1. UC Assumptions'!$G$42,0)</f>
        <v>0</v>
      </c>
      <c r="AM203" s="183">
        <f>IF(H203="Harris",(AD203/$AM$1)*'1. UC Assumptions'!$H$42,0)</f>
        <v>0</v>
      </c>
      <c r="AN203" s="183">
        <f>IF(H203="Hidalgo",(AD203/$AN$1)*'1. UC Assumptions'!$I$42,0)</f>
        <v>0</v>
      </c>
      <c r="AO203" s="183">
        <f>IF(H203="Jefferson",(AD203/$AO$1)*'1. UC Assumptions'!$J$42,0)</f>
        <v>0</v>
      </c>
      <c r="AP203" s="183">
        <f>IF(H203="Lubbock",(AD203/$AP$1)*'1. UC Assumptions'!$K$42,0)</f>
        <v>0</v>
      </c>
      <c r="AQ203" s="183">
        <f>IF(H203="MRSA Central",(AD203/$AQ$1)*'1. UC Assumptions'!$L$42,0)</f>
        <v>0</v>
      </c>
      <c r="AR203" s="183">
        <f>IF(H203="MRSA Northeast",(AD203/$AR$1)*'1. UC Assumptions'!$M$42,0)</f>
        <v>0</v>
      </c>
      <c r="AS203" s="183">
        <f>IF(H203="MRSA West",(AD203/$AS$1)*'1. UC Assumptions'!$N$42,0)</f>
        <v>0</v>
      </c>
      <c r="AT203" s="183">
        <f>IF(H203="Nueces",(AD203/$AT$1)*'1. UC Assumptions'!$O$42,0)</f>
        <v>0</v>
      </c>
      <c r="AU203" s="183">
        <f>IF(H203="Tarrant",(AD203/$AU$1)*'1. UC Assumptions'!$P$42,0)</f>
        <v>0</v>
      </c>
      <c r="AV203" s="183">
        <f>IF(H203="Travis",(AD203/$AV$1)*'1. UC Assumptions'!$Q$42,0)</f>
        <v>0</v>
      </c>
      <c r="AW203" s="183">
        <f>IF(H203="Bexar",(AC203/$AW$1)*'1. UC Assumptions'!$E$44,0)</f>
        <v>0</v>
      </c>
      <c r="AX203" s="183">
        <f>IF(H203="Dallas",(AC203/$AX$1)*'1. UC Assumptions'!$F$44,0)</f>
        <v>0</v>
      </c>
      <c r="AY203" s="183">
        <f>IF(H203="El Paso",(AC203/$AY$1)*'1. UC Assumptions'!$G$44,0)</f>
        <v>0</v>
      </c>
      <c r="AZ203" s="183">
        <f>IF(H203="Harris",(AC203/$AZ$1)*'1. UC Assumptions'!$H$44,0)</f>
        <v>0</v>
      </c>
      <c r="BA203" s="183">
        <f>IF(H203="Hidalgo",(AC203/$BA$1)*'1. UC Assumptions'!$I$44,0)</f>
        <v>0</v>
      </c>
      <c r="BB203" s="183">
        <f>IF(H203="Jefferson",(AC203/$BB$1)*'1. UC Assumptions'!$J$44,0)</f>
        <v>0</v>
      </c>
      <c r="BC203" s="183">
        <f>IF(H203="Lubbock",(AC203/$BC$1)*'1. UC Assumptions'!$K$44,0)</f>
        <v>0</v>
      </c>
      <c r="BD203" s="183">
        <f>IF(H203="MRSA Central",(AC203/$BD$1)*'1. UC Assumptions'!$L$44,0)</f>
        <v>0</v>
      </c>
      <c r="BE203" s="183">
        <f>IF(H203="MRSA Northeast",(AC203/$BE$1)*'1. UC Assumptions'!$M$44,0)</f>
        <v>0</v>
      </c>
      <c r="BF203" s="183">
        <f>IF(H203="MRSA West",(AC203/$BF$1)*'1. UC Assumptions'!$N$44,0)</f>
        <v>0</v>
      </c>
      <c r="BG203" s="183">
        <f>IF(H203="Nueces",(AC203/$BG$1)*'1. UC Assumptions'!$O$44,0)</f>
        <v>0</v>
      </c>
      <c r="BH203" s="183">
        <f>IF(H203="Tarrant",(AC203/$BH$1)*'1. UC Assumptions'!$P$44,0)</f>
        <v>0</v>
      </c>
      <c r="BI203" s="183">
        <f>IF(H203="Travis",(AC203/$BI$1)*'1. UC Assumptions'!$Q$44,0)</f>
        <v>0</v>
      </c>
      <c r="BJ203" s="183">
        <f t="shared" si="48"/>
        <v>0</v>
      </c>
      <c r="BK203" s="183">
        <f t="shared" si="49"/>
        <v>0</v>
      </c>
      <c r="BL203" s="183">
        <f t="shared" si="50"/>
        <v>1055373.3999999999</v>
      </c>
      <c r="BM203" s="184">
        <f t="shared" si="51"/>
        <v>111349.61999999988</v>
      </c>
      <c r="BN203" s="184">
        <f>ROUNDDOWN(BM203*'1. UC Assumptions'!$C$23,2)</f>
        <v>36745.370000000003</v>
      </c>
      <c r="BO203" s="184"/>
      <c r="BP203" s="185"/>
      <c r="BQ203" s="32"/>
      <c r="BR203" s="32"/>
    </row>
    <row r="204" spans="1:70">
      <c r="A204" s="177" t="s">
        <v>1571</v>
      </c>
      <c r="B204" s="178" t="s">
        <v>527</v>
      </c>
      <c r="C204" s="178" t="s">
        <v>527</v>
      </c>
      <c r="D204" s="179" t="s">
        <v>214</v>
      </c>
      <c r="E204" s="179" t="s">
        <v>149</v>
      </c>
      <c r="F204" s="177"/>
      <c r="G204" s="177" t="s">
        <v>1572</v>
      </c>
      <c r="H204" s="178" t="s">
        <v>11</v>
      </c>
      <c r="I204" s="178" t="s">
        <v>529</v>
      </c>
      <c r="J204" s="131">
        <f>IFERROR(INDEX(#REF!,(MATCH('Old Calc Tab'!C:C,#REF!,0))),0)</f>
        <v>0</v>
      </c>
      <c r="K204" s="131">
        <f>IFERROR(INDEX(#REF!,(MATCH('Old Calc Tab'!$C:$C,#REF!,0))),0)</f>
        <v>0</v>
      </c>
      <c r="L204" s="131"/>
      <c r="M204" s="131">
        <v>146296.75</v>
      </c>
      <c r="N204" s="131">
        <f>IFERROR(INDEX(#REF!,(MATCH('Old Calc Tab'!$C:$C,#REF!,0))),0)</f>
        <v>0</v>
      </c>
      <c r="O204" s="131">
        <f t="shared" si="39"/>
        <v>0</v>
      </c>
      <c r="P204" s="131">
        <f t="shared" si="40"/>
        <v>146296.75</v>
      </c>
      <c r="Q204" s="131"/>
      <c r="R204" s="131"/>
      <c r="S204" s="131"/>
      <c r="T204" s="131"/>
      <c r="U204" s="131"/>
      <c r="V204" s="131">
        <v>0</v>
      </c>
      <c r="W204" s="180">
        <v>0</v>
      </c>
      <c r="X204" s="180">
        <f t="shared" si="41"/>
        <v>146296.75</v>
      </c>
      <c r="Y204" s="181">
        <f>IF(D204="Physician Group Practice",(X204/$AE$369)*'1. UC Assumptions'!$C$15,IF(OR(E204="Rural Hospital",E204="Hosp - State"),X204,(X204/$X$369)*'1. UC Assumptions'!$C$9))</f>
        <v>146296.75</v>
      </c>
      <c r="Z204" s="181">
        <f t="shared" si="42"/>
        <v>0</v>
      </c>
      <c r="AA204" s="181">
        <f t="shared" si="43"/>
        <v>0</v>
      </c>
      <c r="AB204" s="182">
        <f t="shared" si="44"/>
        <v>0</v>
      </c>
      <c r="AC204" s="181">
        <f t="shared" si="45"/>
        <v>0</v>
      </c>
      <c r="AD204" s="181">
        <f t="shared" si="46"/>
        <v>146296.75</v>
      </c>
      <c r="AE204" s="131">
        <v>0</v>
      </c>
      <c r="AF204" s="131">
        <f>AE204*'1. UC Assumptions'!$C$23</f>
        <v>0</v>
      </c>
      <c r="AG204" s="183">
        <f>IF((((X204-W204-AE204)*'1. UC Assumptions'!$C$23)+AF204)&gt;0,((X204-W204-AE204)*'1. UC Assumptions'!$C$23)+AF204,0)</f>
        <v>48277.927499999991</v>
      </c>
      <c r="AH204" s="183">
        <f>IF(((X204-W204-AE204)*'1. UC Assumptions'!$C$23)&gt;0,(X204-W204-AE204)*'1. UC Assumptions'!$C$23,0)</f>
        <v>48277.927499999991</v>
      </c>
      <c r="AI204" s="183">
        <f t="shared" si="47"/>
        <v>48277.927499999991</v>
      </c>
      <c r="AJ204" s="183">
        <f>IF(H204="Bexar",(AD204/$AJ$1)*'1. UC Assumptions'!$E$42,0)</f>
        <v>0</v>
      </c>
      <c r="AK204" s="183">
        <f>IF(H204="Dallas",(AD204/$AK$1)*'1. UC Assumptions'!$F$42,0)</f>
        <v>0</v>
      </c>
      <c r="AL204" s="183">
        <f>IF(H204="El Paso",(AD204/$AL$1)*'1. UC Assumptions'!$G$42,0)</f>
        <v>0</v>
      </c>
      <c r="AM204" s="183">
        <f>IF(H204="Harris",(AD204/$AM$1)*'1. UC Assumptions'!$H$42,0)</f>
        <v>0</v>
      </c>
      <c r="AN204" s="183">
        <f>IF(H204="Hidalgo",(AD204/$AN$1)*'1. UC Assumptions'!$I$42,0)</f>
        <v>0</v>
      </c>
      <c r="AO204" s="183">
        <f>IF(H204="Jefferson",(AD204/$AO$1)*'1. UC Assumptions'!$J$42,0)</f>
        <v>0</v>
      </c>
      <c r="AP204" s="183">
        <f>IF(H204="Lubbock",(AD204/$AP$1)*'1. UC Assumptions'!$K$42,0)</f>
        <v>0</v>
      </c>
      <c r="AQ204" s="183">
        <f>IF(H204="MRSA Central",(AD204/$AQ$1)*'1. UC Assumptions'!$L$42,0)</f>
        <v>0</v>
      </c>
      <c r="AR204" s="183">
        <f>IF(H204="MRSA Northeast",(AD204/$AR$1)*'1. UC Assumptions'!$M$42,0)</f>
        <v>0</v>
      </c>
      <c r="AS204" s="183">
        <f>IF(H204="MRSA West",(AD204/$AS$1)*'1. UC Assumptions'!$N$42,0)</f>
        <v>0</v>
      </c>
      <c r="AT204" s="183">
        <f>IF(H204="Nueces",(AD204/$AT$1)*'1. UC Assumptions'!$O$42,0)</f>
        <v>0</v>
      </c>
      <c r="AU204" s="183">
        <f>IF(H204="Tarrant",(AD204/$AU$1)*'1. UC Assumptions'!$P$42,0)</f>
        <v>0</v>
      </c>
      <c r="AV204" s="183">
        <f>IF(H204="Travis",(AD204/$AV$1)*'1. UC Assumptions'!$Q$42,0)</f>
        <v>0</v>
      </c>
      <c r="AW204" s="183">
        <f>IF(H204="Bexar",(AC204/$AW$1)*'1. UC Assumptions'!$E$44,0)</f>
        <v>0</v>
      </c>
      <c r="AX204" s="183">
        <f>IF(H204="Dallas",(AC204/$AX$1)*'1. UC Assumptions'!$F$44,0)</f>
        <v>0</v>
      </c>
      <c r="AY204" s="183">
        <f>IF(H204="El Paso",(AC204/$AY$1)*'1. UC Assumptions'!$G$44,0)</f>
        <v>0</v>
      </c>
      <c r="AZ204" s="183">
        <f>IF(H204="Harris",(AC204/$AZ$1)*'1. UC Assumptions'!$H$44,0)</f>
        <v>0</v>
      </c>
      <c r="BA204" s="183">
        <f>IF(H204="Hidalgo",(AC204/$BA$1)*'1. UC Assumptions'!$I$44,0)</f>
        <v>0</v>
      </c>
      <c r="BB204" s="183">
        <f>IF(H204="Jefferson",(AC204/$BB$1)*'1. UC Assumptions'!$J$44,0)</f>
        <v>0</v>
      </c>
      <c r="BC204" s="183">
        <f>IF(H204="Lubbock",(AC204/$BC$1)*'1. UC Assumptions'!$K$44,0)</f>
        <v>0</v>
      </c>
      <c r="BD204" s="183">
        <f>IF(H204="MRSA Central",(AC204/$BD$1)*'1. UC Assumptions'!$L$44,0)</f>
        <v>0</v>
      </c>
      <c r="BE204" s="183">
        <f>IF(H204="MRSA Northeast",(AC204/$BE$1)*'1. UC Assumptions'!$M$44,0)</f>
        <v>0</v>
      </c>
      <c r="BF204" s="183">
        <f>IF(H204="MRSA West",(AC204/$BF$1)*'1. UC Assumptions'!$N$44,0)</f>
        <v>0</v>
      </c>
      <c r="BG204" s="183">
        <f>IF(H204="Nueces",(AC204/$BG$1)*'1. UC Assumptions'!$O$44,0)</f>
        <v>0</v>
      </c>
      <c r="BH204" s="183">
        <f>IF(H204="Tarrant",(AC204/$BH$1)*'1. UC Assumptions'!$P$44,0)</f>
        <v>0</v>
      </c>
      <c r="BI204" s="183">
        <f>IF(H204="Travis",(AC204/$BI$1)*'1. UC Assumptions'!$Q$44,0)</f>
        <v>0</v>
      </c>
      <c r="BJ204" s="183">
        <f t="shared" si="48"/>
        <v>0</v>
      </c>
      <c r="BK204" s="183">
        <f t="shared" si="49"/>
        <v>0</v>
      </c>
      <c r="BL204" s="183">
        <f t="shared" si="50"/>
        <v>146296.75</v>
      </c>
      <c r="BM204" s="184">
        <f t="shared" si="51"/>
        <v>146296.75</v>
      </c>
      <c r="BN204" s="184">
        <f>ROUNDDOWN(BM204*'1. UC Assumptions'!$C$23,2)</f>
        <v>48277.919999999998</v>
      </c>
      <c r="BO204" s="184"/>
      <c r="BP204" s="185"/>
      <c r="BQ204" s="32"/>
      <c r="BR204" s="32"/>
    </row>
    <row r="205" spans="1:70">
      <c r="A205" s="177" t="s">
        <v>1573</v>
      </c>
      <c r="B205" s="178" t="s">
        <v>1574</v>
      </c>
      <c r="C205" s="178" t="s">
        <v>1574</v>
      </c>
      <c r="D205" s="179" t="s">
        <v>214</v>
      </c>
      <c r="E205" s="179" t="s">
        <v>149</v>
      </c>
      <c r="F205" s="177"/>
      <c r="G205" s="177" t="s">
        <v>1575</v>
      </c>
      <c r="H205" s="178" t="s">
        <v>11</v>
      </c>
      <c r="I205" s="178" t="s">
        <v>1576</v>
      </c>
      <c r="J205" s="131">
        <f>IFERROR(INDEX(#REF!,(MATCH('Old Calc Tab'!C:C,#REF!,0))),0)</f>
        <v>0</v>
      </c>
      <c r="K205" s="131">
        <f>IFERROR(INDEX(#REF!,(MATCH('Old Calc Tab'!$C:$C,#REF!,0))),0)</f>
        <v>0</v>
      </c>
      <c r="L205" s="131"/>
      <c r="M205" s="131">
        <v>176715.5</v>
      </c>
      <c r="N205" s="131">
        <f>IFERROR(INDEX(#REF!,(MATCH('Old Calc Tab'!$C:$C,#REF!,0))),0)</f>
        <v>0</v>
      </c>
      <c r="O205" s="131">
        <f t="shared" si="39"/>
        <v>0</v>
      </c>
      <c r="P205" s="131">
        <f t="shared" si="40"/>
        <v>176715.5</v>
      </c>
      <c r="Q205" s="131"/>
      <c r="R205" s="131"/>
      <c r="S205" s="131"/>
      <c r="T205" s="131"/>
      <c r="U205" s="131"/>
      <c r="V205" s="131">
        <v>0</v>
      </c>
      <c r="W205" s="180">
        <v>0</v>
      </c>
      <c r="X205" s="180">
        <f>((P205+V205+W205)/12)*10</f>
        <v>147262.91666666666</v>
      </c>
      <c r="Y205" s="181">
        <f>IF(D205="Physician Group Practice",(X205/$AE$369)*'1. UC Assumptions'!$C$15,IF(OR(E205="Rural Hospital",E205="Hosp - State"),X205,(X205/$X$369)*'1. UC Assumptions'!$C$9))</f>
        <v>147262.91666666666</v>
      </c>
      <c r="Z205" s="181">
        <f t="shared" si="42"/>
        <v>0</v>
      </c>
      <c r="AA205" s="181">
        <f t="shared" si="43"/>
        <v>0</v>
      </c>
      <c r="AB205" s="182">
        <f t="shared" si="44"/>
        <v>0</v>
      </c>
      <c r="AC205" s="181">
        <f t="shared" si="45"/>
        <v>0</v>
      </c>
      <c r="AD205" s="181">
        <f t="shared" si="46"/>
        <v>147262.91666666666</v>
      </c>
      <c r="AE205" s="131">
        <v>258177.96</v>
      </c>
      <c r="AF205" s="131">
        <f>AE205*'1. UC Assumptions'!$C$23</f>
        <v>85198.726799999989</v>
      </c>
      <c r="AG205" s="183">
        <f>IF((((X205-W205-AE205)*'1. UC Assumptions'!$C$23)+AF205)&gt;0,((X205-W205-AE205)*'1. UC Assumptions'!$C$23)+AF205,0)</f>
        <v>48596.76249999999</v>
      </c>
      <c r="AH205" s="183">
        <f>IF(((X205-W205-AE205)*'1. UC Assumptions'!$C$23)&gt;0,(X205-W205-AE205)*'1. UC Assumptions'!$C$23,0)</f>
        <v>0</v>
      </c>
      <c r="AI205" s="183">
        <f t="shared" si="47"/>
        <v>85198.726799999989</v>
      </c>
      <c r="AJ205" s="183">
        <f>IF(H205="Bexar",(AD205/$AJ$1)*'1. UC Assumptions'!$E$42,0)</f>
        <v>0</v>
      </c>
      <c r="AK205" s="183">
        <f>IF(H205="Dallas",(AD205/$AK$1)*'1. UC Assumptions'!$F$42,0)</f>
        <v>0</v>
      </c>
      <c r="AL205" s="183">
        <f>IF(H205="El Paso",(AD205/$AL$1)*'1. UC Assumptions'!$G$42,0)</f>
        <v>0</v>
      </c>
      <c r="AM205" s="183">
        <f>IF(H205="Harris",(AD205/$AM$1)*'1. UC Assumptions'!$H$42,0)</f>
        <v>0</v>
      </c>
      <c r="AN205" s="183">
        <f>IF(H205="Hidalgo",(AD205/$AN$1)*'1. UC Assumptions'!$I$42,0)</f>
        <v>0</v>
      </c>
      <c r="AO205" s="183">
        <f>IF(H205="Jefferson",(AD205/$AO$1)*'1. UC Assumptions'!$J$42,0)</f>
        <v>0</v>
      </c>
      <c r="AP205" s="183">
        <f>IF(H205="Lubbock",(AD205/$AP$1)*'1. UC Assumptions'!$K$42,0)</f>
        <v>0</v>
      </c>
      <c r="AQ205" s="183">
        <f>IF(H205="MRSA Central",(AD205/$AQ$1)*'1. UC Assumptions'!$L$42,0)</f>
        <v>0</v>
      </c>
      <c r="AR205" s="183">
        <f>IF(H205="MRSA Northeast",(AD205/$AR$1)*'1. UC Assumptions'!$M$42,0)</f>
        <v>0</v>
      </c>
      <c r="AS205" s="183">
        <f>IF(H205="MRSA West",(AD205/$AS$1)*'1. UC Assumptions'!$N$42,0)</f>
        <v>0</v>
      </c>
      <c r="AT205" s="183">
        <f>IF(H205="Nueces",(AD205/$AT$1)*'1. UC Assumptions'!$O$42,0)</f>
        <v>0</v>
      </c>
      <c r="AU205" s="183">
        <f>IF(H205="Tarrant",(AD205/$AU$1)*'1. UC Assumptions'!$P$42,0)</f>
        <v>0</v>
      </c>
      <c r="AV205" s="183">
        <f>IF(H205="Travis",(AD205/$AV$1)*'1. UC Assumptions'!$Q$42,0)</f>
        <v>0</v>
      </c>
      <c r="AW205" s="183">
        <f>IF(H205="Bexar",(AC205/$AW$1)*'1. UC Assumptions'!$E$44,0)</f>
        <v>0</v>
      </c>
      <c r="AX205" s="183">
        <f>IF(H205="Dallas",(AC205/$AX$1)*'1. UC Assumptions'!$F$44,0)</f>
        <v>0</v>
      </c>
      <c r="AY205" s="183">
        <f>IF(H205="El Paso",(AC205/$AY$1)*'1. UC Assumptions'!$G$44,0)</f>
        <v>0</v>
      </c>
      <c r="AZ205" s="183">
        <f>IF(H205="Harris",(AC205/$AZ$1)*'1. UC Assumptions'!$H$44,0)</f>
        <v>0</v>
      </c>
      <c r="BA205" s="183">
        <f>IF(H205="Hidalgo",(AC205/$BA$1)*'1. UC Assumptions'!$I$44,0)</f>
        <v>0</v>
      </c>
      <c r="BB205" s="183">
        <f>IF(H205="Jefferson",(AC205/$BB$1)*'1. UC Assumptions'!$J$44,0)</f>
        <v>0</v>
      </c>
      <c r="BC205" s="183">
        <f>IF(H205="Lubbock",(AC205/$BC$1)*'1. UC Assumptions'!$K$44,0)</f>
        <v>0</v>
      </c>
      <c r="BD205" s="183">
        <f>IF(H205="MRSA Central",(AC205/$BD$1)*'1. UC Assumptions'!$L$44,0)</f>
        <v>0</v>
      </c>
      <c r="BE205" s="183">
        <f>IF(H205="MRSA Northeast",(AC205/$BE$1)*'1. UC Assumptions'!$M$44,0)</f>
        <v>0</v>
      </c>
      <c r="BF205" s="183">
        <f>IF(H205="MRSA West",(AC205/$BF$1)*'1. UC Assumptions'!$N$44,0)</f>
        <v>0</v>
      </c>
      <c r="BG205" s="183">
        <f>IF(H205="Nueces",(AC205/$BG$1)*'1. UC Assumptions'!$O$44,0)</f>
        <v>0</v>
      </c>
      <c r="BH205" s="183">
        <f>IF(H205="Tarrant",(AC205/$BH$1)*'1. UC Assumptions'!$P$44,0)</f>
        <v>0</v>
      </c>
      <c r="BI205" s="183">
        <f>IF(H205="Travis",(AC205/$BI$1)*'1. UC Assumptions'!$Q$44,0)</f>
        <v>0</v>
      </c>
      <c r="BJ205" s="183">
        <f t="shared" si="48"/>
        <v>0</v>
      </c>
      <c r="BK205" s="183">
        <f t="shared" si="49"/>
        <v>0</v>
      </c>
      <c r="BL205" s="183">
        <f t="shared" si="50"/>
        <v>147262.91666666666</v>
      </c>
      <c r="BM205" s="184">
        <f t="shared" si="51"/>
        <v>-110915.04333333333</v>
      </c>
      <c r="BN205" s="184">
        <f>ROUNDDOWN(BM205*'1. UC Assumptions'!$C$23,2)</f>
        <v>-36601.96</v>
      </c>
      <c r="BO205" s="184"/>
      <c r="BP205" s="185"/>
      <c r="BQ205" s="32"/>
      <c r="BR205" s="32"/>
    </row>
    <row r="206" spans="1:70">
      <c r="A206" s="177" t="s">
        <v>1577</v>
      </c>
      <c r="B206" s="178" t="s">
        <v>111</v>
      </c>
      <c r="C206" s="178" t="s">
        <v>111</v>
      </c>
      <c r="D206" s="179" t="s">
        <v>281</v>
      </c>
      <c r="E206" s="179"/>
      <c r="F206" s="177"/>
      <c r="G206" s="177" t="s">
        <v>1578</v>
      </c>
      <c r="H206" s="178" t="s">
        <v>11</v>
      </c>
      <c r="I206" s="178" t="s">
        <v>314</v>
      </c>
      <c r="J206" s="131">
        <f>IFERROR(INDEX(#REF!,(MATCH('Old Calc Tab'!C:C,#REF!,0))),0)</f>
        <v>0</v>
      </c>
      <c r="K206" s="131">
        <f>IFERROR(INDEX(#REF!,(MATCH('Old Calc Tab'!$C:$C,#REF!,0))),0)</f>
        <v>0</v>
      </c>
      <c r="L206" s="131"/>
      <c r="M206" s="131">
        <v>1275224</v>
      </c>
      <c r="N206" s="131">
        <f>IFERROR(INDEX(#REF!,(MATCH('Old Calc Tab'!$C:$C,#REF!,0))),0)</f>
        <v>0</v>
      </c>
      <c r="O206" s="131">
        <f t="shared" si="39"/>
        <v>0</v>
      </c>
      <c r="P206" s="131">
        <f t="shared" si="40"/>
        <v>1275224</v>
      </c>
      <c r="Q206" s="131"/>
      <c r="R206" s="131"/>
      <c r="S206" s="131"/>
      <c r="T206" s="131"/>
      <c r="U206" s="131"/>
      <c r="V206" s="131">
        <v>921955</v>
      </c>
      <c r="W206" s="180">
        <v>0</v>
      </c>
      <c r="X206" s="180">
        <f t="shared" ref="X206:X237" si="52">P206+V206+W206</f>
        <v>2197179</v>
      </c>
      <c r="Y206" s="181">
        <f>IF(D206="Physician Group Practice",(X206/$AE$369)*'1. UC Assumptions'!$C$15,IF(OR(E206="Rural Hospital",E206="Hosp - State"),X206,(X206/$X$369)*'1. UC Assumptions'!$C$9))</f>
        <v>1322400.8035713683</v>
      </c>
      <c r="Z206" s="181">
        <f t="shared" si="42"/>
        <v>0</v>
      </c>
      <c r="AA206" s="181">
        <f t="shared" si="43"/>
        <v>874778.19642863167</v>
      </c>
      <c r="AB206" s="182">
        <f t="shared" si="44"/>
        <v>469.78313572905591</v>
      </c>
      <c r="AC206" s="181">
        <f t="shared" si="45"/>
        <v>875247.97956436069</v>
      </c>
      <c r="AD206" s="181">
        <f t="shared" si="46"/>
        <v>1322870.5867070975</v>
      </c>
      <c r="AE206" s="131">
        <v>178467.07</v>
      </c>
      <c r="AF206" s="131">
        <f>AE206*'1. UC Assumptions'!$C$23</f>
        <v>58894.133099999992</v>
      </c>
      <c r="AG206" s="183">
        <f>IF((((X206-W206-AE206)*'1. UC Assumptions'!$C$23)+AF206)&gt;0,((X206-W206-AE206)*'1. UC Assumptions'!$C$23)+AF206,0)</f>
        <v>725069.06999999983</v>
      </c>
      <c r="AH206" s="183">
        <f>IF(((X206-W206-AE206)*'1. UC Assumptions'!$C$23)&gt;0,(X206-W206-AE206)*'1. UC Assumptions'!$C$23,0)</f>
        <v>666174.93689999986</v>
      </c>
      <c r="AI206" s="183">
        <f t="shared" si="47"/>
        <v>725069.06999999983</v>
      </c>
      <c r="AJ206" s="183">
        <f>IF(H206="Bexar",(AD206/$AJ$1)*'1. UC Assumptions'!$E$42,0)</f>
        <v>0</v>
      </c>
      <c r="AK206" s="183">
        <f>IF(H206="Dallas",(AD206/$AK$1)*'1. UC Assumptions'!$F$42,0)</f>
        <v>0</v>
      </c>
      <c r="AL206" s="183">
        <f>IF(H206="El Paso",(AD206/$AL$1)*'1. UC Assumptions'!$G$42,0)</f>
        <v>0</v>
      </c>
      <c r="AM206" s="183">
        <f>IF(H206="Harris",(AD206/$AM$1)*'1. UC Assumptions'!$H$42,0)</f>
        <v>0</v>
      </c>
      <c r="AN206" s="183">
        <f>IF(H206="Hidalgo",(AD206/$AN$1)*'1. UC Assumptions'!$I$42,0)</f>
        <v>0</v>
      </c>
      <c r="AO206" s="183">
        <f>IF(H206="Jefferson",(AD206/$AO$1)*'1. UC Assumptions'!$J$42,0)</f>
        <v>0</v>
      </c>
      <c r="AP206" s="183">
        <f>IF(H206="Lubbock",(AD206/$AP$1)*'1. UC Assumptions'!$K$42,0)</f>
        <v>0</v>
      </c>
      <c r="AQ206" s="183">
        <f>IF(H206="MRSA Central",(AD206/$AQ$1)*'1. UC Assumptions'!$L$42,0)</f>
        <v>0</v>
      </c>
      <c r="AR206" s="183">
        <f>IF(H206="MRSA Northeast",(AD206/$AR$1)*'1. UC Assumptions'!$M$42,0)</f>
        <v>0</v>
      </c>
      <c r="AS206" s="183">
        <f>IF(H206="MRSA West",(AD206/$AS$1)*'1. UC Assumptions'!$N$42,0)</f>
        <v>0</v>
      </c>
      <c r="AT206" s="183">
        <f>IF(H206="Nueces",(AD206/$AT$1)*'1. UC Assumptions'!$O$42,0)</f>
        <v>0</v>
      </c>
      <c r="AU206" s="183">
        <f>IF(H206="Tarrant",(AD206/$AU$1)*'1. UC Assumptions'!$P$42,0)</f>
        <v>0</v>
      </c>
      <c r="AV206" s="183">
        <f>IF(H206="Travis",(AD206/$AV$1)*'1. UC Assumptions'!$Q$42,0)</f>
        <v>0</v>
      </c>
      <c r="AW206" s="183">
        <f>IF(H206="Bexar",(AC206/$AW$1)*'1. UC Assumptions'!$E$44,0)</f>
        <v>0</v>
      </c>
      <c r="AX206" s="183">
        <f>IF(H206="Dallas",(AC206/$AX$1)*'1. UC Assumptions'!$F$44,0)</f>
        <v>0</v>
      </c>
      <c r="AY206" s="183">
        <f>IF(H206="El Paso",(AC206/$AY$1)*'1. UC Assumptions'!$G$44,0)</f>
        <v>0</v>
      </c>
      <c r="AZ206" s="183">
        <f>IF(H206="Harris",(AC206/$AZ$1)*'1. UC Assumptions'!$H$44,0)</f>
        <v>0</v>
      </c>
      <c r="BA206" s="183">
        <f>IF(H206="Hidalgo",(AC206/$BA$1)*'1. UC Assumptions'!$I$44,0)</f>
        <v>0</v>
      </c>
      <c r="BB206" s="183">
        <f>IF(H206="Jefferson",(AC206/$BB$1)*'1. UC Assumptions'!$J$44,0)</f>
        <v>0</v>
      </c>
      <c r="BC206" s="183">
        <f>IF(H206="Lubbock",(AC206/$BC$1)*'1. UC Assumptions'!$K$44,0)</f>
        <v>0</v>
      </c>
      <c r="BD206" s="183">
        <f>IF(H206="MRSA Central",(AC206/$BD$1)*'1. UC Assumptions'!$L$44,0)</f>
        <v>0</v>
      </c>
      <c r="BE206" s="183">
        <f>IF(H206="MRSA Northeast",(AC206/$BE$1)*'1. UC Assumptions'!$M$44,0)</f>
        <v>0</v>
      </c>
      <c r="BF206" s="183">
        <f>IF(H206="MRSA West",(AC206/$BF$1)*'1. UC Assumptions'!$N$44,0)</f>
        <v>0</v>
      </c>
      <c r="BG206" s="183">
        <f>IF(H206="Nueces",(AC206/$BG$1)*'1. UC Assumptions'!$O$44,0)</f>
        <v>0</v>
      </c>
      <c r="BH206" s="183">
        <f>IF(H206="Tarrant",(AC206/$BH$1)*'1. UC Assumptions'!$P$44,0)</f>
        <v>0</v>
      </c>
      <c r="BI206" s="183">
        <f>IF(H206="Travis",(AC206/$BI$1)*'1. UC Assumptions'!$Q$44,0)</f>
        <v>0</v>
      </c>
      <c r="BJ206" s="183">
        <f t="shared" si="48"/>
        <v>0</v>
      </c>
      <c r="BK206" s="183">
        <f t="shared" si="49"/>
        <v>0</v>
      </c>
      <c r="BL206" s="183">
        <f t="shared" si="50"/>
        <v>1322870.5867070975</v>
      </c>
      <c r="BM206" s="184">
        <f t="shared" si="51"/>
        <v>1144403.5167070974</v>
      </c>
      <c r="BN206" s="184">
        <f>ROUNDDOWN(BM206*'1. UC Assumptions'!$C$23,2)</f>
        <v>377653.16</v>
      </c>
      <c r="BO206" s="184"/>
      <c r="BP206" s="185"/>
      <c r="BQ206" s="32"/>
      <c r="BR206" s="32"/>
    </row>
    <row r="207" spans="1:70">
      <c r="A207" s="177" t="s">
        <v>1579</v>
      </c>
      <c r="B207" s="178" t="s">
        <v>565</v>
      </c>
      <c r="C207" s="178" t="s">
        <v>565</v>
      </c>
      <c r="D207" s="179" t="s">
        <v>214</v>
      </c>
      <c r="E207" s="179" t="s">
        <v>149</v>
      </c>
      <c r="F207" s="177"/>
      <c r="G207" s="177" t="s">
        <v>566</v>
      </c>
      <c r="H207" s="178" t="s">
        <v>11</v>
      </c>
      <c r="I207" s="178" t="s">
        <v>567</v>
      </c>
      <c r="J207" s="131">
        <f>IFERROR(INDEX(#REF!,(MATCH('Old Calc Tab'!C:C,#REF!,0))),0)</f>
        <v>0</v>
      </c>
      <c r="K207" s="131">
        <f>IFERROR(INDEX(#REF!,(MATCH('Old Calc Tab'!$C:$C,#REF!,0))),0)</f>
        <v>0</v>
      </c>
      <c r="L207" s="131"/>
      <c r="M207" s="131">
        <v>1126069</v>
      </c>
      <c r="N207" s="131">
        <f>IFERROR(INDEX(#REF!,(MATCH('Old Calc Tab'!$C:$C,#REF!,0))),0)</f>
        <v>0</v>
      </c>
      <c r="O207" s="131">
        <f t="shared" si="39"/>
        <v>0</v>
      </c>
      <c r="P207" s="131">
        <f t="shared" si="40"/>
        <v>1126069</v>
      </c>
      <c r="Q207" s="131"/>
      <c r="R207" s="131"/>
      <c r="S207" s="131"/>
      <c r="T207" s="131"/>
      <c r="U207" s="131"/>
      <c r="V207" s="131">
        <v>0</v>
      </c>
      <c r="W207" s="180">
        <v>0</v>
      </c>
      <c r="X207" s="180">
        <f t="shared" si="52"/>
        <v>1126069</v>
      </c>
      <c r="Y207" s="181">
        <f>IF(D207="Physician Group Practice",(X207/$AE$369)*'1. UC Assumptions'!$C$15,IF(OR(E207="Rural Hospital",E207="Hosp - State"),X207,(X207/$X$369)*'1. UC Assumptions'!$C$9))</f>
        <v>1126069</v>
      </c>
      <c r="Z207" s="181">
        <f t="shared" si="42"/>
        <v>0</v>
      </c>
      <c r="AA207" s="181">
        <f t="shared" si="43"/>
        <v>0</v>
      </c>
      <c r="AB207" s="182">
        <f t="shared" si="44"/>
        <v>0</v>
      </c>
      <c r="AC207" s="181">
        <f t="shared" si="45"/>
        <v>0</v>
      </c>
      <c r="AD207" s="181">
        <f t="shared" si="46"/>
        <v>1126069</v>
      </c>
      <c r="AE207" s="131">
        <v>533841.65</v>
      </c>
      <c r="AF207" s="131">
        <f>AE207*'1. UC Assumptions'!$C$23</f>
        <v>176167.7445</v>
      </c>
      <c r="AG207" s="183">
        <f>IF((((X207-W207-AE207)*'1. UC Assumptions'!$C$23)+AF207)&gt;0,((X207-W207-AE207)*'1. UC Assumptions'!$C$23)+AF207,0)</f>
        <v>371602.76999999996</v>
      </c>
      <c r="AH207" s="183">
        <f>IF(((X207-W207-AE207)*'1. UC Assumptions'!$C$23)&gt;0,(X207-W207-AE207)*'1. UC Assumptions'!$C$23,0)</f>
        <v>195435.02549999996</v>
      </c>
      <c r="AI207" s="183">
        <f t="shared" si="47"/>
        <v>371602.76999999996</v>
      </c>
      <c r="AJ207" s="183">
        <f>IF(H207="Bexar",(AD207/$AJ$1)*'1. UC Assumptions'!$E$42,0)</f>
        <v>0</v>
      </c>
      <c r="AK207" s="183">
        <f>IF(H207="Dallas",(AD207/$AK$1)*'1. UC Assumptions'!$F$42,0)</f>
        <v>0</v>
      </c>
      <c r="AL207" s="183">
        <f>IF(H207="El Paso",(AD207/$AL$1)*'1. UC Assumptions'!$G$42,0)</f>
        <v>0</v>
      </c>
      <c r="AM207" s="183">
        <f>IF(H207="Harris",(AD207/$AM$1)*'1. UC Assumptions'!$H$42,0)</f>
        <v>0</v>
      </c>
      <c r="AN207" s="183">
        <f>IF(H207="Hidalgo",(AD207/$AN$1)*'1. UC Assumptions'!$I$42,0)</f>
        <v>0</v>
      </c>
      <c r="AO207" s="183">
        <f>IF(H207="Jefferson",(AD207/$AO$1)*'1. UC Assumptions'!$J$42,0)</f>
        <v>0</v>
      </c>
      <c r="AP207" s="183">
        <f>IF(H207="Lubbock",(AD207/$AP$1)*'1. UC Assumptions'!$K$42,0)</f>
        <v>0</v>
      </c>
      <c r="AQ207" s="183">
        <f>IF(H207="MRSA Central",(AD207/$AQ$1)*'1. UC Assumptions'!$L$42,0)</f>
        <v>0</v>
      </c>
      <c r="AR207" s="183">
        <f>IF(H207="MRSA Northeast",(AD207/$AR$1)*'1. UC Assumptions'!$M$42,0)</f>
        <v>0</v>
      </c>
      <c r="AS207" s="183">
        <f>IF(H207="MRSA West",(AD207/$AS$1)*'1. UC Assumptions'!$N$42,0)</f>
        <v>0</v>
      </c>
      <c r="AT207" s="183">
        <f>IF(H207="Nueces",(AD207/$AT$1)*'1. UC Assumptions'!$O$42,0)</f>
        <v>0</v>
      </c>
      <c r="AU207" s="183">
        <f>IF(H207="Tarrant",(AD207/$AU$1)*'1. UC Assumptions'!$P$42,0)</f>
        <v>0</v>
      </c>
      <c r="AV207" s="183">
        <f>IF(H207="Travis",(AD207/$AV$1)*'1. UC Assumptions'!$Q$42,0)</f>
        <v>0</v>
      </c>
      <c r="AW207" s="183">
        <f>IF(H207="Bexar",(AC207/$AW$1)*'1. UC Assumptions'!$E$44,0)</f>
        <v>0</v>
      </c>
      <c r="AX207" s="183">
        <f>IF(H207="Dallas",(AC207/$AX$1)*'1. UC Assumptions'!$F$44,0)</f>
        <v>0</v>
      </c>
      <c r="AY207" s="183">
        <f>IF(H207="El Paso",(AC207/$AY$1)*'1. UC Assumptions'!$G$44,0)</f>
        <v>0</v>
      </c>
      <c r="AZ207" s="183">
        <f>IF(H207="Harris",(AC207/$AZ$1)*'1. UC Assumptions'!$H$44,0)</f>
        <v>0</v>
      </c>
      <c r="BA207" s="183">
        <f>IF(H207="Hidalgo",(AC207/$BA$1)*'1. UC Assumptions'!$I$44,0)</f>
        <v>0</v>
      </c>
      <c r="BB207" s="183">
        <f>IF(H207="Jefferson",(AC207/$BB$1)*'1. UC Assumptions'!$J$44,0)</f>
        <v>0</v>
      </c>
      <c r="BC207" s="183">
        <f>IF(H207="Lubbock",(AC207/$BC$1)*'1. UC Assumptions'!$K$44,0)</f>
        <v>0</v>
      </c>
      <c r="BD207" s="183">
        <f>IF(H207="MRSA Central",(AC207/$BD$1)*'1. UC Assumptions'!$L$44,0)</f>
        <v>0</v>
      </c>
      <c r="BE207" s="183">
        <f>IF(H207="MRSA Northeast",(AC207/$BE$1)*'1. UC Assumptions'!$M$44,0)</f>
        <v>0</v>
      </c>
      <c r="BF207" s="183">
        <f>IF(H207="MRSA West",(AC207/$BF$1)*'1. UC Assumptions'!$N$44,0)</f>
        <v>0</v>
      </c>
      <c r="BG207" s="183">
        <f>IF(H207="Nueces",(AC207/$BG$1)*'1. UC Assumptions'!$O$44,0)</f>
        <v>0</v>
      </c>
      <c r="BH207" s="183">
        <f>IF(H207="Tarrant",(AC207/$BH$1)*'1. UC Assumptions'!$P$44,0)</f>
        <v>0</v>
      </c>
      <c r="BI207" s="183">
        <f>IF(H207="Travis",(AC207/$BI$1)*'1. UC Assumptions'!$Q$44,0)</f>
        <v>0</v>
      </c>
      <c r="BJ207" s="183">
        <f t="shared" si="48"/>
        <v>0</v>
      </c>
      <c r="BK207" s="183">
        <f t="shared" si="49"/>
        <v>0</v>
      </c>
      <c r="BL207" s="183">
        <f t="shared" si="50"/>
        <v>1126069</v>
      </c>
      <c r="BM207" s="184">
        <f t="shared" si="51"/>
        <v>592227.35</v>
      </c>
      <c r="BN207" s="184">
        <f>ROUNDDOWN(BM207*'1. UC Assumptions'!$C$23,2)</f>
        <v>195435.02</v>
      </c>
      <c r="BO207" s="184"/>
      <c r="BP207" s="185"/>
      <c r="BQ207" s="32"/>
      <c r="BR207" s="32"/>
    </row>
    <row r="208" spans="1:70">
      <c r="A208" s="177" t="s">
        <v>1580</v>
      </c>
      <c r="B208" s="178" t="s">
        <v>572</v>
      </c>
      <c r="C208" s="178" t="s">
        <v>572</v>
      </c>
      <c r="D208" s="179" t="s">
        <v>208</v>
      </c>
      <c r="E208" s="179" t="s">
        <v>149</v>
      </c>
      <c r="F208" s="177"/>
      <c r="G208" s="177" t="s">
        <v>573</v>
      </c>
      <c r="H208" s="178" t="s">
        <v>11</v>
      </c>
      <c r="I208" s="178" t="s">
        <v>574</v>
      </c>
      <c r="J208" s="131">
        <f>IFERROR(INDEX(#REF!,(MATCH('Old Calc Tab'!C:C,#REF!,0))),0)</f>
        <v>0</v>
      </c>
      <c r="K208" s="131">
        <f>IFERROR(INDEX(#REF!,(MATCH('Old Calc Tab'!$C:$C,#REF!,0))),0)</f>
        <v>0</v>
      </c>
      <c r="L208" s="131"/>
      <c r="M208" s="131">
        <v>92231.2</v>
      </c>
      <c r="N208" s="131">
        <f>IFERROR(INDEX(#REF!,(MATCH('Old Calc Tab'!$C:$C,#REF!,0))),0)</f>
        <v>0</v>
      </c>
      <c r="O208" s="131">
        <f t="shared" si="39"/>
        <v>0</v>
      </c>
      <c r="P208" s="131">
        <f t="shared" si="40"/>
        <v>92231.2</v>
      </c>
      <c r="Q208" s="131"/>
      <c r="R208" s="131"/>
      <c r="S208" s="131"/>
      <c r="T208" s="131"/>
      <c r="U208" s="131"/>
      <c r="V208" s="131">
        <v>0</v>
      </c>
      <c r="W208" s="180">
        <v>0</v>
      </c>
      <c r="X208" s="180">
        <f t="shared" si="52"/>
        <v>92231.2</v>
      </c>
      <c r="Y208" s="181">
        <f>IF(D208="Physician Group Practice",(X208/$AE$369)*'1. UC Assumptions'!$C$15,IF(OR(E208="Rural Hospital",E208="Hosp - State"),X208,(X208/$X$369)*'1. UC Assumptions'!$C$9))</f>
        <v>92231.2</v>
      </c>
      <c r="Z208" s="181">
        <f t="shared" si="42"/>
        <v>0</v>
      </c>
      <c r="AA208" s="181">
        <f t="shared" si="43"/>
        <v>0</v>
      </c>
      <c r="AB208" s="182">
        <f t="shared" si="44"/>
        <v>0</v>
      </c>
      <c r="AC208" s="181">
        <f t="shared" si="45"/>
        <v>0</v>
      </c>
      <c r="AD208" s="181">
        <f t="shared" si="46"/>
        <v>92231.2</v>
      </c>
      <c r="AE208" s="131">
        <v>141092.26</v>
      </c>
      <c r="AF208" s="131">
        <f>AE208*'1. UC Assumptions'!$C$23</f>
        <v>46560.445799999994</v>
      </c>
      <c r="AG208" s="183">
        <f>IF((((X208-W208-AE208)*'1. UC Assumptions'!$C$23)+AF208)&gt;0,((X208-W208-AE208)*'1. UC Assumptions'!$C$23)+AF208,0)</f>
        <v>30436.295999999991</v>
      </c>
      <c r="AH208" s="183">
        <f>IF(((X208-W208-AE208)*'1. UC Assumptions'!$C$23)&gt;0,(X208-W208-AE208)*'1. UC Assumptions'!$C$23,0)</f>
        <v>0</v>
      </c>
      <c r="AI208" s="183">
        <f t="shared" si="47"/>
        <v>46560.445799999994</v>
      </c>
      <c r="AJ208" s="183">
        <f>IF(H208="Bexar",(AD208/$AJ$1)*'1. UC Assumptions'!$E$42,0)</f>
        <v>0</v>
      </c>
      <c r="AK208" s="183">
        <f>IF(H208="Dallas",(AD208/$AK$1)*'1. UC Assumptions'!$F$42,0)</f>
        <v>0</v>
      </c>
      <c r="AL208" s="183">
        <f>IF(H208="El Paso",(AD208/$AL$1)*'1. UC Assumptions'!$G$42,0)</f>
        <v>0</v>
      </c>
      <c r="AM208" s="183">
        <f>IF(H208="Harris",(AD208/$AM$1)*'1. UC Assumptions'!$H$42,0)</f>
        <v>0</v>
      </c>
      <c r="AN208" s="183">
        <f>IF(H208="Hidalgo",(AD208/$AN$1)*'1. UC Assumptions'!$I$42,0)</f>
        <v>0</v>
      </c>
      <c r="AO208" s="183">
        <f>IF(H208="Jefferson",(AD208/$AO$1)*'1. UC Assumptions'!$J$42,0)</f>
        <v>0</v>
      </c>
      <c r="AP208" s="183">
        <f>IF(H208="Lubbock",(AD208/$AP$1)*'1. UC Assumptions'!$K$42,0)</f>
        <v>0</v>
      </c>
      <c r="AQ208" s="183">
        <f>IF(H208="MRSA Central",(AD208/$AQ$1)*'1. UC Assumptions'!$L$42,0)</f>
        <v>0</v>
      </c>
      <c r="AR208" s="183">
        <f>IF(H208="MRSA Northeast",(AD208/$AR$1)*'1. UC Assumptions'!$M$42,0)</f>
        <v>0</v>
      </c>
      <c r="AS208" s="183">
        <f>IF(H208="MRSA West",(AD208/$AS$1)*'1. UC Assumptions'!$N$42,0)</f>
        <v>0</v>
      </c>
      <c r="AT208" s="183">
        <f>IF(H208="Nueces",(AD208/$AT$1)*'1. UC Assumptions'!$O$42,0)</f>
        <v>0</v>
      </c>
      <c r="AU208" s="183">
        <f>IF(H208="Tarrant",(AD208/$AU$1)*'1. UC Assumptions'!$P$42,0)</f>
        <v>0</v>
      </c>
      <c r="AV208" s="183">
        <f>IF(H208="Travis",(AD208/$AV$1)*'1. UC Assumptions'!$Q$42,0)</f>
        <v>0</v>
      </c>
      <c r="AW208" s="183">
        <f>IF(H208="Bexar",(AC208/$AW$1)*'1. UC Assumptions'!$E$44,0)</f>
        <v>0</v>
      </c>
      <c r="AX208" s="183">
        <f>IF(H208="Dallas",(AC208/$AX$1)*'1. UC Assumptions'!$F$44,0)</f>
        <v>0</v>
      </c>
      <c r="AY208" s="183">
        <f>IF(H208="El Paso",(AC208/$AY$1)*'1. UC Assumptions'!$G$44,0)</f>
        <v>0</v>
      </c>
      <c r="AZ208" s="183">
        <f>IF(H208="Harris",(AC208/$AZ$1)*'1. UC Assumptions'!$H$44,0)</f>
        <v>0</v>
      </c>
      <c r="BA208" s="183">
        <f>IF(H208="Hidalgo",(AC208/$BA$1)*'1. UC Assumptions'!$I$44,0)</f>
        <v>0</v>
      </c>
      <c r="BB208" s="183">
        <f>IF(H208="Jefferson",(AC208/$BB$1)*'1. UC Assumptions'!$J$44,0)</f>
        <v>0</v>
      </c>
      <c r="BC208" s="183">
        <f>IF(H208="Lubbock",(AC208/$BC$1)*'1. UC Assumptions'!$K$44,0)</f>
        <v>0</v>
      </c>
      <c r="BD208" s="183">
        <f>IF(H208="MRSA Central",(AC208/$BD$1)*'1. UC Assumptions'!$L$44,0)</f>
        <v>0</v>
      </c>
      <c r="BE208" s="183">
        <f>IF(H208="MRSA Northeast",(AC208/$BE$1)*'1. UC Assumptions'!$M$44,0)</f>
        <v>0</v>
      </c>
      <c r="BF208" s="183">
        <f>IF(H208="MRSA West",(AC208/$BF$1)*'1. UC Assumptions'!$N$44,0)</f>
        <v>0</v>
      </c>
      <c r="BG208" s="183">
        <f>IF(H208="Nueces",(AC208/$BG$1)*'1. UC Assumptions'!$O$44,0)</f>
        <v>0</v>
      </c>
      <c r="BH208" s="183">
        <f>IF(H208="Tarrant",(AC208/$BH$1)*'1. UC Assumptions'!$P$44,0)</f>
        <v>0</v>
      </c>
      <c r="BI208" s="183">
        <f>IF(H208="Travis",(AC208/$BI$1)*'1. UC Assumptions'!$Q$44,0)</f>
        <v>0</v>
      </c>
      <c r="BJ208" s="183">
        <f t="shared" si="48"/>
        <v>0</v>
      </c>
      <c r="BK208" s="183">
        <f t="shared" si="49"/>
        <v>0</v>
      </c>
      <c r="BL208" s="183">
        <f t="shared" si="50"/>
        <v>92231.2</v>
      </c>
      <c r="BM208" s="184">
        <f t="shared" si="51"/>
        <v>-48861.060000000012</v>
      </c>
      <c r="BN208" s="184">
        <f>ROUNDDOWN(BM208*'1. UC Assumptions'!$C$23,2)</f>
        <v>-16124.14</v>
      </c>
      <c r="BO208" s="184"/>
      <c r="BP208" s="185"/>
      <c r="BQ208" s="32"/>
      <c r="BR208" s="32"/>
    </row>
    <row r="209" spans="1:70">
      <c r="A209" s="177" t="s">
        <v>1581</v>
      </c>
      <c r="B209" s="178" t="s">
        <v>587</v>
      </c>
      <c r="C209" s="178" t="s">
        <v>587</v>
      </c>
      <c r="D209" s="179" t="s">
        <v>214</v>
      </c>
      <c r="E209" s="179" t="s">
        <v>149</v>
      </c>
      <c r="F209" s="177"/>
      <c r="G209" s="177" t="s">
        <v>588</v>
      </c>
      <c r="H209" s="178" t="s">
        <v>11</v>
      </c>
      <c r="I209" s="178" t="s">
        <v>589</v>
      </c>
      <c r="J209" s="131">
        <f>IFERROR(INDEX(#REF!,(MATCH('Old Calc Tab'!C:C,#REF!,0))),0)</f>
        <v>0</v>
      </c>
      <c r="K209" s="131">
        <f>IFERROR(INDEX(#REF!,(MATCH('Old Calc Tab'!$C:$C,#REF!,0))),0)</f>
        <v>0</v>
      </c>
      <c r="L209" s="131"/>
      <c r="M209" s="131">
        <v>3010621.7439999999</v>
      </c>
      <c r="N209" s="131">
        <f>IFERROR(INDEX(#REF!,(MATCH('Old Calc Tab'!$C:$C,#REF!,0))),0)</f>
        <v>0</v>
      </c>
      <c r="O209" s="131">
        <f t="shared" si="39"/>
        <v>0</v>
      </c>
      <c r="P209" s="131">
        <f t="shared" si="40"/>
        <v>3010621.7439999999</v>
      </c>
      <c r="Q209" s="131"/>
      <c r="R209" s="131"/>
      <c r="S209" s="131"/>
      <c r="T209" s="131"/>
      <c r="U209" s="131"/>
      <c r="V209" s="131">
        <v>0</v>
      </c>
      <c r="W209" s="180">
        <v>0</v>
      </c>
      <c r="X209" s="180">
        <f t="shared" si="52"/>
        <v>3010621.7439999999</v>
      </c>
      <c r="Y209" s="181">
        <f>IF(D209="Physician Group Practice",(X209/$AE$369)*'1. UC Assumptions'!$C$15,IF(OR(E209="Rural Hospital",E209="Hosp - State"),X209,(X209/$X$369)*'1. UC Assumptions'!$C$9))</f>
        <v>3010621.7439999999</v>
      </c>
      <c r="Z209" s="181">
        <f t="shared" si="42"/>
        <v>0</v>
      </c>
      <c r="AA209" s="181">
        <f t="shared" si="43"/>
        <v>0</v>
      </c>
      <c r="AB209" s="182">
        <f t="shared" si="44"/>
        <v>0</v>
      </c>
      <c r="AC209" s="181">
        <f t="shared" si="45"/>
        <v>0</v>
      </c>
      <c r="AD209" s="181">
        <f t="shared" si="46"/>
        <v>3010621.7439999999</v>
      </c>
      <c r="AE209" s="131">
        <v>144996.51</v>
      </c>
      <c r="AF209" s="131">
        <f>AE209*'1. UC Assumptions'!$C$23</f>
        <v>47848.848299999998</v>
      </c>
      <c r="AG209" s="183">
        <f>IF((((X209-W209-AE209)*'1. UC Assumptions'!$C$23)+AF209)&gt;0,((X209-W209-AE209)*'1. UC Assumptions'!$C$23)+AF209,0)</f>
        <v>993505.17551999993</v>
      </c>
      <c r="AH209" s="183">
        <f>IF(((X209-W209-AE209)*'1. UC Assumptions'!$C$23)&gt;0,(X209-W209-AE209)*'1. UC Assumptions'!$C$23,0)</f>
        <v>945656.32721999998</v>
      </c>
      <c r="AI209" s="183">
        <f t="shared" si="47"/>
        <v>993505.17551999993</v>
      </c>
      <c r="AJ209" s="183">
        <f>IF(H209="Bexar",(AD209/$AJ$1)*'1. UC Assumptions'!$E$42,0)</f>
        <v>0</v>
      </c>
      <c r="AK209" s="183">
        <f>IF(H209="Dallas",(AD209/$AK$1)*'1. UC Assumptions'!$F$42,0)</f>
        <v>0</v>
      </c>
      <c r="AL209" s="183">
        <f>IF(H209="El Paso",(AD209/$AL$1)*'1. UC Assumptions'!$G$42,0)</f>
        <v>0</v>
      </c>
      <c r="AM209" s="183">
        <f>IF(H209="Harris",(AD209/$AM$1)*'1. UC Assumptions'!$H$42,0)</f>
        <v>0</v>
      </c>
      <c r="AN209" s="183">
        <f>IF(H209="Hidalgo",(AD209/$AN$1)*'1. UC Assumptions'!$I$42,0)</f>
        <v>0</v>
      </c>
      <c r="AO209" s="183">
        <f>IF(H209="Jefferson",(AD209/$AO$1)*'1. UC Assumptions'!$J$42,0)</f>
        <v>0</v>
      </c>
      <c r="AP209" s="183">
        <f>IF(H209="Lubbock",(AD209/$AP$1)*'1. UC Assumptions'!$K$42,0)</f>
        <v>0</v>
      </c>
      <c r="AQ209" s="183">
        <f>IF(H209="MRSA Central",(AD209/$AQ$1)*'1. UC Assumptions'!$L$42,0)</f>
        <v>0</v>
      </c>
      <c r="AR209" s="183">
        <f>IF(H209="MRSA Northeast",(AD209/$AR$1)*'1. UC Assumptions'!$M$42,0)</f>
        <v>0</v>
      </c>
      <c r="AS209" s="183">
        <f>IF(H209="MRSA West",(AD209/$AS$1)*'1. UC Assumptions'!$N$42,0)</f>
        <v>0</v>
      </c>
      <c r="AT209" s="183">
        <f>IF(H209="Nueces",(AD209/$AT$1)*'1. UC Assumptions'!$O$42,0)</f>
        <v>0</v>
      </c>
      <c r="AU209" s="183">
        <f>IF(H209="Tarrant",(AD209/$AU$1)*'1. UC Assumptions'!$P$42,0)</f>
        <v>0</v>
      </c>
      <c r="AV209" s="183">
        <f>IF(H209="Travis",(AD209/$AV$1)*'1. UC Assumptions'!$Q$42,0)</f>
        <v>0</v>
      </c>
      <c r="AW209" s="183">
        <f>IF(H209="Bexar",(AC209/$AW$1)*'1. UC Assumptions'!$E$44,0)</f>
        <v>0</v>
      </c>
      <c r="AX209" s="183">
        <f>IF(H209="Dallas",(AC209/$AX$1)*'1. UC Assumptions'!$F$44,0)</f>
        <v>0</v>
      </c>
      <c r="AY209" s="183">
        <f>IF(H209="El Paso",(AC209/$AY$1)*'1. UC Assumptions'!$G$44,0)</f>
        <v>0</v>
      </c>
      <c r="AZ209" s="183">
        <f>IF(H209="Harris",(AC209/$AZ$1)*'1. UC Assumptions'!$H$44,0)</f>
        <v>0</v>
      </c>
      <c r="BA209" s="183">
        <f>IF(H209="Hidalgo",(AC209/$BA$1)*'1. UC Assumptions'!$I$44,0)</f>
        <v>0</v>
      </c>
      <c r="BB209" s="183">
        <f>IF(H209="Jefferson",(AC209/$BB$1)*'1. UC Assumptions'!$J$44,0)</f>
        <v>0</v>
      </c>
      <c r="BC209" s="183">
        <f>IF(H209="Lubbock",(AC209/$BC$1)*'1. UC Assumptions'!$K$44,0)</f>
        <v>0</v>
      </c>
      <c r="BD209" s="183">
        <f>IF(H209="MRSA Central",(AC209/$BD$1)*'1. UC Assumptions'!$L$44,0)</f>
        <v>0</v>
      </c>
      <c r="BE209" s="183">
        <f>IF(H209="MRSA Northeast",(AC209/$BE$1)*'1. UC Assumptions'!$M$44,0)</f>
        <v>0</v>
      </c>
      <c r="BF209" s="183">
        <f>IF(H209="MRSA West",(AC209/$BF$1)*'1. UC Assumptions'!$N$44,0)</f>
        <v>0</v>
      </c>
      <c r="BG209" s="183">
        <f>IF(H209="Nueces",(AC209/$BG$1)*'1. UC Assumptions'!$O$44,0)</f>
        <v>0</v>
      </c>
      <c r="BH209" s="183">
        <f>IF(H209="Tarrant",(AC209/$BH$1)*'1. UC Assumptions'!$P$44,0)</f>
        <v>0</v>
      </c>
      <c r="BI209" s="183">
        <f>IF(H209="Travis",(AC209/$BI$1)*'1. UC Assumptions'!$Q$44,0)</f>
        <v>0</v>
      </c>
      <c r="BJ209" s="183">
        <f t="shared" si="48"/>
        <v>0</v>
      </c>
      <c r="BK209" s="183">
        <f t="shared" si="49"/>
        <v>0</v>
      </c>
      <c r="BL209" s="183">
        <f t="shared" si="50"/>
        <v>3010621.7439999999</v>
      </c>
      <c r="BM209" s="184">
        <f t="shared" si="51"/>
        <v>2865625.2340000002</v>
      </c>
      <c r="BN209" s="184">
        <f>ROUNDDOWN(BM209*'1. UC Assumptions'!$C$23,2)</f>
        <v>945656.31999999995</v>
      </c>
      <c r="BO209" s="184"/>
      <c r="BP209" s="185"/>
      <c r="BQ209" s="32"/>
      <c r="BR209" s="32"/>
    </row>
    <row r="210" spans="1:70">
      <c r="A210" s="177" t="s">
        <v>1582</v>
      </c>
      <c r="B210" s="178" t="s">
        <v>1583</v>
      </c>
      <c r="C210" s="178" t="s">
        <v>1583</v>
      </c>
      <c r="D210" s="179" t="s">
        <v>214</v>
      </c>
      <c r="E210" s="179" t="s">
        <v>149</v>
      </c>
      <c r="F210" s="177"/>
      <c r="G210" s="177" t="s">
        <v>1584</v>
      </c>
      <c r="H210" s="178" t="s">
        <v>11</v>
      </c>
      <c r="I210" s="178" t="s">
        <v>634</v>
      </c>
      <c r="J210" s="131">
        <f>IFERROR(INDEX(#REF!,(MATCH('Old Calc Tab'!C:C,#REF!,0))),0)</f>
        <v>0</v>
      </c>
      <c r="K210" s="131">
        <f>IFERROR(INDEX(#REF!,(MATCH('Old Calc Tab'!$C:$C,#REF!,0))),0)</f>
        <v>0</v>
      </c>
      <c r="L210" s="131"/>
      <c r="M210" s="131">
        <v>837826.15</v>
      </c>
      <c r="N210" s="131">
        <f>IFERROR(INDEX(#REF!,(MATCH('Old Calc Tab'!$C:$C,#REF!,0))),0)</f>
        <v>0</v>
      </c>
      <c r="O210" s="131">
        <f t="shared" si="39"/>
        <v>0</v>
      </c>
      <c r="P210" s="131">
        <f t="shared" si="40"/>
        <v>837826.15</v>
      </c>
      <c r="Q210" s="131"/>
      <c r="R210" s="131"/>
      <c r="S210" s="131"/>
      <c r="T210" s="131"/>
      <c r="U210" s="131"/>
      <c r="V210" s="131">
        <v>0</v>
      </c>
      <c r="W210" s="180">
        <v>0</v>
      </c>
      <c r="X210" s="180">
        <f t="shared" si="52"/>
        <v>837826.15</v>
      </c>
      <c r="Y210" s="181">
        <f>IF(D210="Physician Group Practice",(X210/$AE$369)*'1. UC Assumptions'!$C$15,IF(OR(E210="Rural Hospital",E210="Hosp - State"),X210,(X210/$X$369)*'1. UC Assumptions'!$C$9))</f>
        <v>837826.15</v>
      </c>
      <c r="Z210" s="181">
        <f t="shared" si="42"/>
        <v>0</v>
      </c>
      <c r="AA210" s="181">
        <f t="shared" si="43"/>
        <v>0</v>
      </c>
      <c r="AB210" s="182">
        <f t="shared" si="44"/>
        <v>0</v>
      </c>
      <c r="AC210" s="181">
        <f t="shared" si="45"/>
        <v>0</v>
      </c>
      <c r="AD210" s="181">
        <f t="shared" si="46"/>
        <v>837826.15</v>
      </c>
      <c r="AE210" s="131">
        <v>384735.49</v>
      </c>
      <c r="AF210" s="131">
        <f>AE210*'1. UC Assumptions'!$C$23</f>
        <v>126962.71169999999</v>
      </c>
      <c r="AG210" s="183">
        <f>IF((((X210-W210-AE210)*'1. UC Assumptions'!$C$23)+AF210)&gt;0,((X210-W210-AE210)*'1. UC Assumptions'!$C$23)+AF210,0)</f>
        <v>276482.62949999998</v>
      </c>
      <c r="AH210" s="183">
        <f>IF(((X210-W210-AE210)*'1. UC Assumptions'!$C$23)&gt;0,(X210-W210-AE210)*'1. UC Assumptions'!$C$23,0)</f>
        <v>149519.9178</v>
      </c>
      <c r="AI210" s="183">
        <f t="shared" si="47"/>
        <v>276482.62949999998</v>
      </c>
      <c r="AJ210" s="183">
        <f>IF(H210="Bexar",(AD210/$AJ$1)*'1. UC Assumptions'!$E$42,0)</f>
        <v>0</v>
      </c>
      <c r="AK210" s="183">
        <f>IF(H210="Dallas",(AD210/$AK$1)*'1. UC Assumptions'!$F$42,0)</f>
        <v>0</v>
      </c>
      <c r="AL210" s="183">
        <f>IF(H210="El Paso",(AD210/$AL$1)*'1. UC Assumptions'!$G$42,0)</f>
        <v>0</v>
      </c>
      <c r="AM210" s="183">
        <f>IF(H210="Harris",(AD210/$AM$1)*'1. UC Assumptions'!$H$42,0)</f>
        <v>0</v>
      </c>
      <c r="AN210" s="183">
        <f>IF(H210="Hidalgo",(AD210/$AN$1)*'1. UC Assumptions'!$I$42,0)</f>
        <v>0</v>
      </c>
      <c r="AO210" s="183">
        <f>IF(H210="Jefferson",(AD210/$AO$1)*'1. UC Assumptions'!$J$42,0)</f>
        <v>0</v>
      </c>
      <c r="AP210" s="183">
        <f>IF(H210="Lubbock",(AD210/$AP$1)*'1. UC Assumptions'!$K$42,0)</f>
        <v>0</v>
      </c>
      <c r="AQ210" s="183">
        <f>IF(H210="MRSA Central",(AD210/$AQ$1)*'1. UC Assumptions'!$L$42,0)</f>
        <v>0</v>
      </c>
      <c r="AR210" s="183">
        <f>IF(H210="MRSA Northeast",(AD210/$AR$1)*'1. UC Assumptions'!$M$42,0)</f>
        <v>0</v>
      </c>
      <c r="AS210" s="183">
        <f>IF(H210="MRSA West",(AD210/$AS$1)*'1. UC Assumptions'!$N$42,0)</f>
        <v>0</v>
      </c>
      <c r="AT210" s="183">
        <f>IF(H210="Nueces",(AD210/$AT$1)*'1. UC Assumptions'!$O$42,0)</f>
        <v>0</v>
      </c>
      <c r="AU210" s="183">
        <f>IF(H210="Tarrant",(AD210/$AU$1)*'1. UC Assumptions'!$P$42,0)</f>
        <v>0</v>
      </c>
      <c r="AV210" s="183">
        <f>IF(H210="Travis",(AD210/$AV$1)*'1. UC Assumptions'!$Q$42,0)</f>
        <v>0</v>
      </c>
      <c r="AW210" s="183">
        <f>IF(H210="Bexar",(AC210/$AW$1)*'1. UC Assumptions'!$E$44,0)</f>
        <v>0</v>
      </c>
      <c r="AX210" s="183">
        <f>IF(H210="Dallas",(AC210/$AX$1)*'1. UC Assumptions'!$F$44,0)</f>
        <v>0</v>
      </c>
      <c r="AY210" s="183">
        <f>IF(H210="El Paso",(AC210/$AY$1)*'1. UC Assumptions'!$G$44,0)</f>
        <v>0</v>
      </c>
      <c r="AZ210" s="183">
        <f>IF(H210="Harris",(AC210/$AZ$1)*'1. UC Assumptions'!$H$44,0)</f>
        <v>0</v>
      </c>
      <c r="BA210" s="183">
        <f>IF(H210="Hidalgo",(AC210/$BA$1)*'1. UC Assumptions'!$I$44,0)</f>
        <v>0</v>
      </c>
      <c r="BB210" s="183">
        <f>IF(H210="Jefferson",(AC210/$BB$1)*'1. UC Assumptions'!$J$44,0)</f>
        <v>0</v>
      </c>
      <c r="BC210" s="183">
        <f>IF(H210="Lubbock",(AC210/$BC$1)*'1. UC Assumptions'!$K$44,0)</f>
        <v>0</v>
      </c>
      <c r="BD210" s="183">
        <f>IF(H210="MRSA Central",(AC210/$BD$1)*'1. UC Assumptions'!$L$44,0)</f>
        <v>0</v>
      </c>
      <c r="BE210" s="183">
        <f>IF(H210="MRSA Northeast",(AC210/$BE$1)*'1. UC Assumptions'!$M$44,0)</f>
        <v>0</v>
      </c>
      <c r="BF210" s="183">
        <f>IF(H210="MRSA West",(AC210/$BF$1)*'1. UC Assumptions'!$N$44,0)</f>
        <v>0</v>
      </c>
      <c r="BG210" s="183">
        <f>IF(H210="Nueces",(AC210/$BG$1)*'1. UC Assumptions'!$O$44,0)</f>
        <v>0</v>
      </c>
      <c r="BH210" s="183">
        <f>IF(H210="Tarrant",(AC210/$BH$1)*'1. UC Assumptions'!$P$44,0)</f>
        <v>0</v>
      </c>
      <c r="BI210" s="183">
        <f>IF(H210="Travis",(AC210/$BI$1)*'1. UC Assumptions'!$Q$44,0)</f>
        <v>0</v>
      </c>
      <c r="BJ210" s="183">
        <f t="shared" si="48"/>
        <v>0</v>
      </c>
      <c r="BK210" s="183">
        <f t="shared" si="49"/>
        <v>0</v>
      </c>
      <c r="BL210" s="183">
        <f t="shared" si="50"/>
        <v>837826.15</v>
      </c>
      <c r="BM210" s="184">
        <f t="shared" si="51"/>
        <v>453090.66000000003</v>
      </c>
      <c r="BN210" s="184">
        <f>ROUNDDOWN(BM210*'1. UC Assumptions'!$C$23,2)</f>
        <v>149519.91</v>
      </c>
      <c r="BO210" s="184"/>
      <c r="BP210" s="185"/>
      <c r="BQ210" s="32"/>
      <c r="BR210" s="32"/>
    </row>
    <row r="211" spans="1:70">
      <c r="A211" s="177" t="s">
        <v>1585</v>
      </c>
      <c r="B211" s="178" t="s">
        <v>600</v>
      </c>
      <c r="C211" s="178" t="s">
        <v>600</v>
      </c>
      <c r="D211" s="179" t="s">
        <v>214</v>
      </c>
      <c r="E211" s="179" t="s">
        <v>149</v>
      </c>
      <c r="F211" s="177"/>
      <c r="G211" s="177" t="s">
        <v>1586</v>
      </c>
      <c r="H211" s="178" t="s">
        <v>11</v>
      </c>
      <c r="I211" s="178" t="s">
        <v>602</v>
      </c>
      <c r="J211" s="131">
        <f>IFERROR(INDEX(#REF!,(MATCH('Old Calc Tab'!C:C,#REF!,0))),0)</f>
        <v>0</v>
      </c>
      <c r="K211" s="131">
        <f>IFERROR(INDEX(#REF!,(MATCH('Old Calc Tab'!$C:$C,#REF!,0))),0)</f>
        <v>0</v>
      </c>
      <c r="L211" s="131"/>
      <c r="M211" s="131">
        <v>274193.40000000002</v>
      </c>
      <c r="N211" s="131">
        <f>IFERROR(INDEX(#REF!,(MATCH('Old Calc Tab'!$C:$C,#REF!,0))),0)</f>
        <v>0</v>
      </c>
      <c r="O211" s="131">
        <f t="shared" si="39"/>
        <v>0</v>
      </c>
      <c r="P211" s="131">
        <f t="shared" si="40"/>
        <v>274193.40000000002</v>
      </c>
      <c r="Q211" s="131"/>
      <c r="R211" s="131"/>
      <c r="S211" s="131"/>
      <c r="T211" s="131"/>
      <c r="U211" s="131"/>
      <c r="V211" s="131">
        <v>0</v>
      </c>
      <c r="W211" s="180">
        <v>0</v>
      </c>
      <c r="X211" s="180">
        <f t="shared" si="52"/>
        <v>274193.40000000002</v>
      </c>
      <c r="Y211" s="181">
        <f>IF(D211="Physician Group Practice",(X211/$AE$369)*'1. UC Assumptions'!$C$15,IF(OR(E211="Rural Hospital",E211="Hosp - State"),X211,(X211/$X$369)*'1. UC Assumptions'!$C$9))</f>
        <v>274193.40000000002</v>
      </c>
      <c r="Z211" s="181">
        <f t="shared" si="42"/>
        <v>0</v>
      </c>
      <c r="AA211" s="181">
        <f t="shared" si="43"/>
        <v>0</v>
      </c>
      <c r="AB211" s="182">
        <f t="shared" si="44"/>
        <v>0</v>
      </c>
      <c r="AC211" s="181">
        <f t="shared" si="45"/>
        <v>0</v>
      </c>
      <c r="AD211" s="181">
        <f t="shared" si="46"/>
        <v>274193.40000000002</v>
      </c>
      <c r="AE211" s="131">
        <v>291503.27</v>
      </c>
      <c r="AF211" s="131">
        <f>AE211*'1. UC Assumptions'!$C$23</f>
        <v>96196.079099999988</v>
      </c>
      <c r="AG211" s="183">
        <f>IF((((X211-W211-AE211)*'1. UC Assumptions'!$C$23)+AF211)&gt;0,((X211-W211-AE211)*'1. UC Assumptions'!$C$23)+AF211,0)</f>
        <v>90483.821999999986</v>
      </c>
      <c r="AH211" s="183">
        <f>IF(((X211-W211-AE211)*'1. UC Assumptions'!$C$23)&gt;0,(X211-W211-AE211)*'1. UC Assumptions'!$C$23,0)</f>
        <v>0</v>
      </c>
      <c r="AI211" s="183">
        <f t="shared" si="47"/>
        <v>96196.079099999988</v>
      </c>
      <c r="AJ211" s="183">
        <f>IF(H211="Bexar",(AD211/$AJ$1)*'1. UC Assumptions'!$E$42,0)</f>
        <v>0</v>
      </c>
      <c r="AK211" s="183">
        <f>IF(H211="Dallas",(AD211/$AK$1)*'1. UC Assumptions'!$F$42,0)</f>
        <v>0</v>
      </c>
      <c r="AL211" s="183">
        <f>IF(H211="El Paso",(AD211/$AL$1)*'1. UC Assumptions'!$G$42,0)</f>
        <v>0</v>
      </c>
      <c r="AM211" s="183">
        <f>IF(H211="Harris",(AD211/$AM$1)*'1. UC Assumptions'!$H$42,0)</f>
        <v>0</v>
      </c>
      <c r="AN211" s="183">
        <f>IF(H211="Hidalgo",(AD211/$AN$1)*'1. UC Assumptions'!$I$42,0)</f>
        <v>0</v>
      </c>
      <c r="AO211" s="183">
        <f>IF(H211="Jefferson",(AD211/$AO$1)*'1. UC Assumptions'!$J$42,0)</f>
        <v>0</v>
      </c>
      <c r="AP211" s="183">
        <f>IF(H211="Lubbock",(AD211/$AP$1)*'1. UC Assumptions'!$K$42,0)</f>
        <v>0</v>
      </c>
      <c r="AQ211" s="183">
        <f>IF(H211="MRSA Central",(AD211/$AQ$1)*'1. UC Assumptions'!$L$42,0)</f>
        <v>0</v>
      </c>
      <c r="AR211" s="183">
        <f>IF(H211="MRSA Northeast",(AD211/$AR$1)*'1. UC Assumptions'!$M$42,0)</f>
        <v>0</v>
      </c>
      <c r="AS211" s="183">
        <f>IF(H211="MRSA West",(AD211/$AS$1)*'1. UC Assumptions'!$N$42,0)</f>
        <v>0</v>
      </c>
      <c r="AT211" s="183">
        <f>IF(H211="Nueces",(AD211/$AT$1)*'1. UC Assumptions'!$O$42,0)</f>
        <v>0</v>
      </c>
      <c r="AU211" s="183">
        <f>IF(H211="Tarrant",(AD211/$AU$1)*'1. UC Assumptions'!$P$42,0)</f>
        <v>0</v>
      </c>
      <c r="AV211" s="183">
        <f>IF(H211="Travis",(AD211/$AV$1)*'1. UC Assumptions'!$Q$42,0)</f>
        <v>0</v>
      </c>
      <c r="AW211" s="183">
        <f>IF(H211="Bexar",(AC211/$AW$1)*'1. UC Assumptions'!$E$44,0)</f>
        <v>0</v>
      </c>
      <c r="AX211" s="183">
        <f>IF(H211="Dallas",(AC211/$AX$1)*'1. UC Assumptions'!$F$44,0)</f>
        <v>0</v>
      </c>
      <c r="AY211" s="183">
        <f>IF(H211="El Paso",(AC211/$AY$1)*'1. UC Assumptions'!$G$44,0)</f>
        <v>0</v>
      </c>
      <c r="AZ211" s="183">
        <f>IF(H211="Harris",(AC211/$AZ$1)*'1. UC Assumptions'!$H$44,0)</f>
        <v>0</v>
      </c>
      <c r="BA211" s="183">
        <f>IF(H211="Hidalgo",(AC211/$BA$1)*'1. UC Assumptions'!$I$44,0)</f>
        <v>0</v>
      </c>
      <c r="BB211" s="183">
        <f>IF(H211="Jefferson",(AC211/$BB$1)*'1. UC Assumptions'!$J$44,0)</f>
        <v>0</v>
      </c>
      <c r="BC211" s="183">
        <f>IF(H211="Lubbock",(AC211/$BC$1)*'1. UC Assumptions'!$K$44,0)</f>
        <v>0</v>
      </c>
      <c r="BD211" s="183">
        <f>IF(H211="MRSA Central",(AC211/$BD$1)*'1. UC Assumptions'!$L$44,0)</f>
        <v>0</v>
      </c>
      <c r="BE211" s="183">
        <f>IF(H211="MRSA Northeast",(AC211/$BE$1)*'1. UC Assumptions'!$M$44,0)</f>
        <v>0</v>
      </c>
      <c r="BF211" s="183">
        <f>IF(H211="MRSA West",(AC211/$BF$1)*'1. UC Assumptions'!$N$44,0)</f>
        <v>0</v>
      </c>
      <c r="BG211" s="183">
        <f>IF(H211="Nueces",(AC211/$BG$1)*'1. UC Assumptions'!$O$44,0)</f>
        <v>0</v>
      </c>
      <c r="BH211" s="183">
        <f>IF(H211="Tarrant",(AC211/$BH$1)*'1. UC Assumptions'!$P$44,0)</f>
        <v>0</v>
      </c>
      <c r="BI211" s="183">
        <f>IF(H211="Travis",(AC211/$BI$1)*'1. UC Assumptions'!$Q$44,0)</f>
        <v>0</v>
      </c>
      <c r="BJ211" s="183">
        <f t="shared" si="48"/>
        <v>0</v>
      </c>
      <c r="BK211" s="183">
        <f t="shared" si="49"/>
        <v>0</v>
      </c>
      <c r="BL211" s="183">
        <f t="shared" si="50"/>
        <v>274193.40000000002</v>
      </c>
      <c r="BM211" s="184">
        <f t="shared" si="51"/>
        <v>-17309.869999999995</v>
      </c>
      <c r="BN211" s="184">
        <f>ROUNDDOWN(BM211*'1. UC Assumptions'!$C$23,2)</f>
        <v>-5712.25</v>
      </c>
      <c r="BO211" s="184"/>
      <c r="BP211" s="185"/>
      <c r="BQ211" s="32"/>
      <c r="BR211" s="32"/>
    </row>
    <row r="212" spans="1:70">
      <c r="A212" s="177" t="s">
        <v>1587</v>
      </c>
      <c r="B212" s="177" t="s">
        <v>609</v>
      </c>
      <c r="C212" s="178" t="s">
        <v>609</v>
      </c>
      <c r="D212" s="179" t="s">
        <v>208</v>
      </c>
      <c r="E212" s="179" t="s">
        <v>149</v>
      </c>
      <c r="F212" s="177"/>
      <c r="G212" s="177" t="s">
        <v>1588</v>
      </c>
      <c r="H212" s="178" t="s">
        <v>11</v>
      </c>
      <c r="I212" s="178" t="s">
        <v>589</v>
      </c>
      <c r="J212" s="131">
        <f>IFERROR(INDEX(#REF!,(MATCH('Old Calc Tab'!C:C,#REF!,0))),0)</f>
        <v>0</v>
      </c>
      <c r="K212" s="131">
        <f>IFERROR(INDEX(#REF!,(MATCH('Old Calc Tab'!$C:$C,#REF!,0))),0)</f>
        <v>0</v>
      </c>
      <c r="L212" s="131"/>
      <c r="M212" s="131">
        <v>4887977.3</v>
      </c>
      <c r="N212" s="131">
        <f>IFERROR(INDEX(#REF!,(MATCH('Old Calc Tab'!$C:$C,#REF!,0))),0)</f>
        <v>0</v>
      </c>
      <c r="O212" s="131">
        <f t="shared" si="39"/>
        <v>0</v>
      </c>
      <c r="P212" s="131">
        <f t="shared" si="40"/>
        <v>4887977.3</v>
      </c>
      <c r="Q212" s="131"/>
      <c r="R212" s="131"/>
      <c r="S212" s="131"/>
      <c r="T212" s="131"/>
      <c r="U212" s="131"/>
      <c r="V212" s="131">
        <v>617904</v>
      </c>
      <c r="W212" s="180">
        <v>0</v>
      </c>
      <c r="X212" s="180">
        <f t="shared" si="52"/>
        <v>5505881.2999999998</v>
      </c>
      <c r="Y212" s="181">
        <f>IF(D212="Physician Group Practice",(X212/$AE$369)*'1. UC Assumptions'!$C$15,IF(OR(E212="Rural Hospital",E212="Hosp - State"),X212,(X212/$X$369)*'1. UC Assumptions'!$C$9))</f>
        <v>5505881.2999999998</v>
      </c>
      <c r="Z212" s="181">
        <f t="shared" si="42"/>
        <v>0</v>
      </c>
      <c r="AA212" s="181">
        <f t="shared" si="43"/>
        <v>0</v>
      </c>
      <c r="AB212" s="182">
        <f t="shared" si="44"/>
        <v>0</v>
      </c>
      <c r="AC212" s="181">
        <f t="shared" si="45"/>
        <v>0</v>
      </c>
      <c r="AD212" s="181">
        <f t="shared" si="46"/>
        <v>5505881.2999999998</v>
      </c>
      <c r="AE212" s="131">
        <v>976766.39</v>
      </c>
      <c r="AF212" s="131">
        <f>AE212*'1. UC Assumptions'!$C$23</f>
        <v>322332.90869999997</v>
      </c>
      <c r="AG212" s="183">
        <f>IF((((X212-W212-AE212)*'1. UC Assumptions'!$C$23)+AF212)&gt;0,((X212-W212-AE212)*'1. UC Assumptions'!$C$23)+AF212,0)</f>
        <v>1816940.8289999999</v>
      </c>
      <c r="AH212" s="183">
        <f>IF(((X212-W212-AE212)*'1. UC Assumptions'!$C$23)&gt;0,(X212-W212-AE212)*'1. UC Assumptions'!$C$23,0)</f>
        <v>1494607.9202999999</v>
      </c>
      <c r="AI212" s="183">
        <f t="shared" si="47"/>
        <v>1816940.8289999999</v>
      </c>
      <c r="AJ212" s="183">
        <f>IF(H212="Bexar",(AD212/$AJ$1)*'1. UC Assumptions'!$E$42,0)</f>
        <v>0</v>
      </c>
      <c r="AK212" s="183">
        <f>IF(H212="Dallas",(AD212/$AK$1)*'1. UC Assumptions'!$F$42,0)</f>
        <v>0</v>
      </c>
      <c r="AL212" s="183">
        <f>IF(H212="El Paso",(AD212/$AL$1)*'1. UC Assumptions'!$G$42,0)</f>
        <v>0</v>
      </c>
      <c r="AM212" s="183">
        <f>IF(H212="Harris",(AD212/$AM$1)*'1. UC Assumptions'!$H$42,0)</f>
        <v>0</v>
      </c>
      <c r="AN212" s="183">
        <f>IF(H212="Hidalgo",(AD212/$AN$1)*'1. UC Assumptions'!$I$42,0)</f>
        <v>0</v>
      </c>
      <c r="AO212" s="183">
        <f>IF(H212="Jefferson",(AD212/$AO$1)*'1. UC Assumptions'!$J$42,0)</f>
        <v>0</v>
      </c>
      <c r="AP212" s="183">
        <f>IF(H212="Lubbock",(AD212/$AP$1)*'1. UC Assumptions'!$K$42,0)</f>
        <v>0</v>
      </c>
      <c r="AQ212" s="183">
        <f>IF(H212="MRSA Central",(AD212/$AQ$1)*'1. UC Assumptions'!$L$42,0)</f>
        <v>0</v>
      </c>
      <c r="AR212" s="183">
        <f>IF(H212="MRSA Northeast",(AD212/$AR$1)*'1. UC Assumptions'!$M$42,0)</f>
        <v>0</v>
      </c>
      <c r="AS212" s="183">
        <f>IF(H212="MRSA West",(AD212/$AS$1)*'1. UC Assumptions'!$N$42,0)</f>
        <v>0</v>
      </c>
      <c r="AT212" s="183">
        <f>IF(H212="Nueces",(AD212/$AT$1)*'1. UC Assumptions'!$O$42,0)</f>
        <v>0</v>
      </c>
      <c r="AU212" s="183">
        <f>IF(H212="Tarrant",(AD212/$AU$1)*'1. UC Assumptions'!$P$42,0)</f>
        <v>0</v>
      </c>
      <c r="AV212" s="183">
        <f>IF(H212="Travis",(AD212/$AV$1)*'1. UC Assumptions'!$Q$42,0)</f>
        <v>0</v>
      </c>
      <c r="AW212" s="183">
        <f>IF(H212="Bexar",(AC212/$AW$1)*'1. UC Assumptions'!$E$44,0)</f>
        <v>0</v>
      </c>
      <c r="AX212" s="183">
        <f>IF(H212="Dallas",(AC212/$AX$1)*'1. UC Assumptions'!$F$44,0)</f>
        <v>0</v>
      </c>
      <c r="AY212" s="183">
        <f>IF(H212="El Paso",(AC212/$AY$1)*'1. UC Assumptions'!$G$44,0)</f>
        <v>0</v>
      </c>
      <c r="AZ212" s="183">
        <f>IF(H212="Harris",(AC212/$AZ$1)*'1. UC Assumptions'!$H$44,0)</f>
        <v>0</v>
      </c>
      <c r="BA212" s="183">
        <f>IF(H212="Hidalgo",(AC212/$BA$1)*'1. UC Assumptions'!$I$44,0)</f>
        <v>0</v>
      </c>
      <c r="BB212" s="183">
        <f>IF(H212="Jefferson",(AC212/$BB$1)*'1. UC Assumptions'!$J$44,0)</f>
        <v>0</v>
      </c>
      <c r="BC212" s="183">
        <f>IF(H212="Lubbock",(AC212/$BC$1)*'1. UC Assumptions'!$K$44,0)</f>
        <v>0</v>
      </c>
      <c r="BD212" s="183">
        <f>IF(H212="MRSA Central",(AC212/$BD$1)*'1. UC Assumptions'!$L$44,0)</f>
        <v>0</v>
      </c>
      <c r="BE212" s="183">
        <f>IF(H212="MRSA Northeast",(AC212/$BE$1)*'1. UC Assumptions'!$M$44,0)</f>
        <v>0</v>
      </c>
      <c r="BF212" s="183">
        <f>IF(H212="MRSA West",(AC212/$BF$1)*'1. UC Assumptions'!$N$44,0)</f>
        <v>0</v>
      </c>
      <c r="BG212" s="183">
        <f>IF(H212="Nueces",(AC212/$BG$1)*'1. UC Assumptions'!$O$44,0)</f>
        <v>0</v>
      </c>
      <c r="BH212" s="183">
        <f>IF(H212="Tarrant",(AC212/$BH$1)*'1. UC Assumptions'!$P$44,0)</f>
        <v>0</v>
      </c>
      <c r="BI212" s="183">
        <f>IF(H212="Travis",(AC212/$BI$1)*'1. UC Assumptions'!$Q$44,0)</f>
        <v>0</v>
      </c>
      <c r="BJ212" s="183">
        <f t="shared" si="48"/>
        <v>0</v>
      </c>
      <c r="BK212" s="183">
        <f t="shared" si="49"/>
        <v>0</v>
      </c>
      <c r="BL212" s="183">
        <f t="shared" si="50"/>
        <v>5505881.2999999998</v>
      </c>
      <c r="BM212" s="184">
        <f t="shared" si="51"/>
        <v>4529114.91</v>
      </c>
      <c r="BN212" s="184">
        <f>ROUNDDOWN(BM212*'1. UC Assumptions'!$C$23,2)</f>
        <v>1494607.92</v>
      </c>
      <c r="BO212" s="184"/>
      <c r="BP212" s="185"/>
      <c r="BQ212" s="32"/>
      <c r="BR212" s="32"/>
    </row>
    <row r="213" spans="1:70">
      <c r="A213" s="177" t="s">
        <v>1589</v>
      </c>
      <c r="B213" s="178" t="s">
        <v>114</v>
      </c>
      <c r="C213" s="178" t="s">
        <v>114</v>
      </c>
      <c r="D213" s="179" t="s">
        <v>281</v>
      </c>
      <c r="E213" s="179"/>
      <c r="F213" s="177" t="s">
        <v>282</v>
      </c>
      <c r="G213" s="177" t="s">
        <v>1590</v>
      </c>
      <c r="H213" s="178" t="s">
        <v>11</v>
      </c>
      <c r="I213" s="178" t="s">
        <v>634</v>
      </c>
      <c r="J213" s="131">
        <f>IFERROR(INDEX(#REF!,(MATCH('Old Calc Tab'!C:C,#REF!,0))),0)</f>
        <v>0</v>
      </c>
      <c r="K213" s="131">
        <f>IFERROR(INDEX(#REF!,(MATCH('Old Calc Tab'!$C:$C,#REF!,0))),0)</f>
        <v>0</v>
      </c>
      <c r="L213" s="131"/>
      <c r="M213" s="131">
        <v>39061942</v>
      </c>
      <c r="N213" s="131">
        <f>IFERROR(INDEX(#REF!,(MATCH('Old Calc Tab'!$C:$C,#REF!,0))),0)</f>
        <v>0</v>
      </c>
      <c r="O213" s="131">
        <f t="shared" si="39"/>
        <v>0</v>
      </c>
      <c r="P213" s="131">
        <f t="shared" si="40"/>
        <v>39061942</v>
      </c>
      <c r="Q213" s="131"/>
      <c r="R213" s="131"/>
      <c r="S213" s="131"/>
      <c r="T213" s="131"/>
      <c r="U213" s="131"/>
      <c r="V213" s="131">
        <v>142668</v>
      </c>
      <c r="W213" s="180">
        <v>0</v>
      </c>
      <c r="X213" s="180">
        <f t="shared" si="52"/>
        <v>39204610</v>
      </c>
      <c r="Y213" s="181">
        <f>IF(D213="Physician Group Practice",(X213/$AE$369)*'1. UC Assumptions'!$C$15,IF(OR(E213="Rural Hospital",E213="Hosp - State"),X213,(X213/$X$369)*'1. UC Assumptions'!$C$9))</f>
        <v>23595805.242860094</v>
      </c>
      <c r="Z213" s="181">
        <f t="shared" si="42"/>
        <v>0</v>
      </c>
      <c r="AA213" s="181">
        <f t="shared" si="43"/>
        <v>15608804.757139906</v>
      </c>
      <c r="AB213" s="182">
        <f t="shared" si="44"/>
        <v>8382.4142779603771</v>
      </c>
      <c r="AC213" s="181">
        <f t="shared" si="45"/>
        <v>15617187.171417866</v>
      </c>
      <c r="AD213" s="181">
        <f t="shared" si="46"/>
        <v>23604187.657138053</v>
      </c>
      <c r="AE213" s="131">
        <v>28961.5</v>
      </c>
      <c r="AF213" s="131">
        <f>AE213*'1. UC Assumptions'!$C$23</f>
        <v>9557.2949999999983</v>
      </c>
      <c r="AG213" s="183">
        <f>IF((((X213-W213-AE213)*'1. UC Assumptions'!$C$23)+AF213)&gt;0,((X213-W213-AE213)*'1. UC Assumptions'!$C$23)+AF213,0)</f>
        <v>12937521.299999999</v>
      </c>
      <c r="AH213" s="183">
        <f>IF(((X213-W213-AE213)*'1. UC Assumptions'!$C$23)&gt;0,(X213-W213-AE213)*'1. UC Assumptions'!$C$23,0)</f>
        <v>12927964.004999999</v>
      </c>
      <c r="AI213" s="183">
        <f t="shared" si="47"/>
        <v>12937521.299999999</v>
      </c>
      <c r="AJ213" s="183">
        <f>IF(H213="Bexar",(AD213/$AJ$1)*'1. UC Assumptions'!$E$42,0)</f>
        <v>0</v>
      </c>
      <c r="AK213" s="183">
        <f>IF(H213="Dallas",(AD213/$AK$1)*'1. UC Assumptions'!$F$42,0)</f>
        <v>0</v>
      </c>
      <c r="AL213" s="183">
        <f>IF(H213="El Paso",(AD213/$AL$1)*'1. UC Assumptions'!$G$42,0)</f>
        <v>0</v>
      </c>
      <c r="AM213" s="183">
        <f>IF(H213="Harris",(AD213/$AM$1)*'1. UC Assumptions'!$H$42,0)</f>
        <v>0</v>
      </c>
      <c r="AN213" s="183">
        <f>IF(H213="Hidalgo",(AD213/$AN$1)*'1. UC Assumptions'!$I$42,0)</f>
        <v>0</v>
      </c>
      <c r="AO213" s="183">
        <f>IF(H213="Jefferson",(AD213/$AO$1)*'1. UC Assumptions'!$J$42,0)</f>
        <v>0</v>
      </c>
      <c r="AP213" s="183">
        <f>IF(H213="Lubbock",(AD213/$AP$1)*'1. UC Assumptions'!$K$42,0)</f>
        <v>0</v>
      </c>
      <c r="AQ213" s="183">
        <f>IF(H213="MRSA Central",(AD213/$AQ$1)*'1. UC Assumptions'!$L$42,0)</f>
        <v>0</v>
      </c>
      <c r="AR213" s="183">
        <f>IF(H213="MRSA Northeast",(AD213/$AR$1)*'1. UC Assumptions'!$M$42,0)</f>
        <v>0</v>
      </c>
      <c r="AS213" s="183">
        <f>IF(H213="MRSA West",(AD213/$AS$1)*'1. UC Assumptions'!$N$42,0)</f>
        <v>0</v>
      </c>
      <c r="AT213" s="183">
        <f>IF(H213="Nueces",(AD213/$AT$1)*'1. UC Assumptions'!$O$42,0)</f>
        <v>0</v>
      </c>
      <c r="AU213" s="183">
        <f>IF(H213="Tarrant",(AD213/$AU$1)*'1. UC Assumptions'!$P$42,0)</f>
        <v>0</v>
      </c>
      <c r="AV213" s="183">
        <f>IF(H213="Travis",(AD213/$AV$1)*'1. UC Assumptions'!$Q$42,0)</f>
        <v>0</v>
      </c>
      <c r="AW213" s="183">
        <f>IF(H213="Bexar",(AC213/$AW$1)*'1. UC Assumptions'!$E$44,0)</f>
        <v>0</v>
      </c>
      <c r="AX213" s="183">
        <f>IF(H213="Dallas",(AC213/$AX$1)*'1. UC Assumptions'!$F$44,0)</f>
        <v>0</v>
      </c>
      <c r="AY213" s="183">
        <f>IF(H213="El Paso",(AC213/$AY$1)*'1. UC Assumptions'!$G$44,0)</f>
        <v>0</v>
      </c>
      <c r="AZ213" s="183">
        <f>IF(H213="Harris",(AC213/$AZ$1)*'1. UC Assumptions'!$H$44,0)</f>
        <v>0</v>
      </c>
      <c r="BA213" s="183">
        <f>IF(H213="Hidalgo",(AC213/$BA$1)*'1. UC Assumptions'!$I$44,0)</f>
        <v>0</v>
      </c>
      <c r="BB213" s="183">
        <f>IF(H213="Jefferson",(AC213/$BB$1)*'1. UC Assumptions'!$J$44,0)</f>
        <v>0</v>
      </c>
      <c r="BC213" s="183">
        <f>IF(H213="Lubbock",(AC213/$BC$1)*'1. UC Assumptions'!$K$44,0)</f>
        <v>0</v>
      </c>
      <c r="BD213" s="183">
        <f>IF(H213="MRSA Central",(AC213/$BD$1)*'1. UC Assumptions'!$L$44,0)</f>
        <v>0</v>
      </c>
      <c r="BE213" s="183">
        <f>IF(H213="MRSA Northeast",(AC213/$BE$1)*'1. UC Assumptions'!$M$44,0)</f>
        <v>0</v>
      </c>
      <c r="BF213" s="183">
        <f>IF(H213="MRSA West",(AC213/$BF$1)*'1. UC Assumptions'!$N$44,0)</f>
        <v>0</v>
      </c>
      <c r="BG213" s="183">
        <f>IF(H213="Nueces",(AC213/$BG$1)*'1. UC Assumptions'!$O$44,0)</f>
        <v>0</v>
      </c>
      <c r="BH213" s="183">
        <f>IF(H213="Tarrant",(AC213/$BH$1)*'1. UC Assumptions'!$P$44,0)</f>
        <v>0</v>
      </c>
      <c r="BI213" s="183">
        <f>IF(H213="Travis",(AC213/$BI$1)*'1. UC Assumptions'!$Q$44,0)</f>
        <v>0</v>
      </c>
      <c r="BJ213" s="183">
        <f t="shared" si="48"/>
        <v>0</v>
      </c>
      <c r="BK213" s="183">
        <f t="shared" si="49"/>
        <v>0</v>
      </c>
      <c r="BL213" s="183">
        <f t="shared" si="50"/>
        <v>23604187.657138053</v>
      </c>
      <c r="BM213" s="184">
        <f t="shared" si="51"/>
        <v>23575226.157138053</v>
      </c>
      <c r="BN213" s="184">
        <f>ROUNDDOWN(BM213*'1. UC Assumptions'!$C$23,2)</f>
        <v>7779824.6299999999</v>
      </c>
      <c r="BO213" s="184"/>
      <c r="BP213" s="185"/>
      <c r="BQ213" s="32"/>
      <c r="BR213" s="32"/>
    </row>
    <row r="214" spans="1:70">
      <c r="A214" s="177" t="s">
        <v>1591</v>
      </c>
      <c r="B214" s="178" t="s">
        <v>1592</v>
      </c>
      <c r="C214" s="178" t="s">
        <v>1592</v>
      </c>
      <c r="D214" s="179" t="s">
        <v>214</v>
      </c>
      <c r="E214" s="179" t="s">
        <v>149</v>
      </c>
      <c r="F214" s="177"/>
      <c r="G214" s="177" t="s">
        <v>1593</v>
      </c>
      <c r="H214" s="178" t="s">
        <v>11</v>
      </c>
      <c r="I214" s="178" t="s">
        <v>1052</v>
      </c>
      <c r="J214" s="131">
        <f>IFERROR(INDEX(#REF!,(MATCH('Old Calc Tab'!C:C,#REF!,0))),0)</f>
        <v>0</v>
      </c>
      <c r="K214" s="131">
        <f>IFERROR(INDEX(#REF!,(MATCH('Old Calc Tab'!$C:$C,#REF!,0))),0)</f>
        <v>0</v>
      </c>
      <c r="L214" s="131"/>
      <c r="M214" s="131">
        <v>2554586</v>
      </c>
      <c r="N214" s="131">
        <f>IFERROR(INDEX(#REF!,(MATCH('Old Calc Tab'!$C:$C,#REF!,0))),0)</f>
        <v>0</v>
      </c>
      <c r="O214" s="131">
        <f t="shared" si="39"/>
        <v>0</v>
      </c>
      <c r="P214" s="131">
        <f t="shared" si="40"/>
        <v>2554586</v>
      </c>
      <c r="Q214" s="131"/>
      <c r="R214" s="131"/>
      <c r="S214" s="131"/>
      <c r="T214" s="131"/>
      <c r="U214" s="131"/>
      <c r="V214" s="131">
        <v>0</v>
      </c>
      <c r="W214" s="180">
        <v>0</v>
      </c>
      <c r="X214" s="180">
        <f t="shared" si="52"/>
        <v>2554586</v>
      </c>
      <c r="Y214" s="181">
        <f>IF(D214="Physician Group Practice",(X214/$AE$369)*'1. UC Assumptions'!$C$15,IF(OR(E214="Rural Hospital",E214="Hosp - State"),X214,(X214/$X$369)*'1. UC Assumptions'!$C$9))</f>
        <v>2554586</v>
      </c>
      <c r="Z214" s="181">
        <f t="shared" si="42"/>
        <v>0</v>
      </c>
      <c r="AA214" s="181">
        <f t="shared" si="43"/>
        <v>0</v>
      </c>
      <c r="AB214" s="182">
        <f t="shared" si="44"/>
        <v>0</v>
      </c>
      <c r="AC214" s="181">
        <f t="shared" si="45"/>
        <v>0</v>
      </c>
      <c r="AD214" s="181">
        <f t="shared" si="46"/>
        <v>2554586</v>
      </c>
      <c r="AE214" s="131">
        <v>389391.85</v>
      </c>
      <c r="AF214" s="131">
        <f>AE214*'1. UC Assumptions'!$C$23</f>
        <v>128499.31049999998</v>
      </c>
      <c r="AG214" s="183">
        <f>IF((((X214-W214-AE214)*'1. UC Assumptions'!$C$23)+AF214)&gt;0,((X214-W214-AE214)*'1. UC Assumptions'!$C$23)+AF214,0)</f>
        <v>843013.37999999989</v>
      </c>
      <c r="AH214" s="183">
        <f>IF(((X214-W214-AE214)*'1. UC Assumptions'!$C$23)&gt;0,(X214-W214-AE214)*'1. UC Assumptions'!$C$23,0)</f>
        <v>714514.06949999987</v>
      </c>
      <c r="AI214" s="183">
        <f t="shared" si="47"/>
        <v>843013.37999999989</v>
      </c>
      <c r="AJ214" s="183">
        <f>IF(H214="Bexar",(AD214/$AJ$1)*'1. UC Assumptions'!$E$42,0)</f>
        <v>0</v>
      </c>
      <c r="AK214" s="183">
        <f>IF(H214="Dallas",(AD214/$AK$1)*'1. UC Assumptions'!$F$42,0)</f>
        <v>0</v>
      </c>
      <c r="AL214" s="183">
        <f>IF(H214="El Paso",(AD214/$AL$1)*'1. UC Assumptions'!$G$42,0)</f>
        <v>0</v>
      </c>
      <c r="AM214" s="183">
        <f>IF(H214="Harris",(AD214/$AM$1)*'1. UC Assumptions'!$H$42,0)</f>
        <v>0</v>
      </c>
      <c r="AN214" s="183">
        <f>IF(H214="Hidalgo",(AD214/$AN$1)*'1. UC Assumptions'!$I$42,0)</f>
        <v>0</v>
      </c>
      <c r="AO214" s="183">
        <f>IF(H214="Jefferson",(AD214/$AO$1)*'1. UC Assumptions'!$J$42,0)</f>
        <v>0</v>
      </c>
      <c r="AP214" s="183">
        <f>IF(H214="Lubbock",(AD214/$AP$1)*'1. UC Assumptions'!$K$42,0)</f>
        <v>0</v>
      </c>
      <c r="AQ214" s="183">
        <f>IF(H214="MRSA Central",(AD214/$AQ$1)*'1. UC Assumptions'!$L$42,0)</f>
        <v>0</v>
      </c>
      <c r="AR214" s="183">
        <f>IF(H214="MRSA Northeast",(AD214/$AR$1)*'1. UC Assumptions'!$M$42,0)</f>
        <v>0</v>
      </c>
      <c r="AS214" s="183">
        <f>IF(H214="MRSA West",(AD214/$AS$1)*'1. UC Assumptions'!$N$42,0)</f>
        <v>0</v>
      </c>
      <c r="AT214" s="183">
        <f>IF(H214="Nueces",(AD214/$AT$1)*'1. UC Assumptions'!$O$42,0)</f>
        <v>0</v>
      </c>
      <c r="AU214" s="183">
        <f>IF(H214="Tarrant",(AD214/$AU$1)*'1. UC Assumptions'!$P$42,0)</f>
        <v>0</v>
      </c>
      <c r="AV214" s="183">
        <f>IF(H214="Travis",(AD214/$AV$1)*'1. UC Assumptions'!$Q$42,0)</f>
        <v>0</v>
      </c>
      <c r="AW214" s="183">
        <f>IF(H214="Bexar",(AC214/$AW$1)*'1. UC Assumptions'!$E$44,0)</f>
        <v>0</v>
      </c>
      <c r="AX214" s="183">
        <f>IF(H214="Dallas",(AC214/$AX$1)*'1. UC Assumptions'!$F$44,0)</f>
        <v>0</v>
      </c>
      <c r="AY214" s="183">
        <f>IF(H214="El Paso",(AC214/$AY$1)*'1. UC Assumptions'!$G$44,0)</f>
        <v>0</v>
      </c>
      <c r="AZ214" s="183">
        <f>IF(H214="Harris",(AC214/$AZ$1)*'1. UC Assumptions'!$H$44,0)</f>
        <v>0</v>
      </c>
      <c r="BA214" s="183">
        <f>IF(H214="Hidalgo",(AC214/$BA$1)*'1. UC Assumptions'!$I$44,0)</f>
        <v>0</v>
      </c>
      <c r="BB214" s="183">
        <f>IF(H214="Jefferson",(AC214/$BB$1)*'1. UC Assumptions'!$J$44,0)</f>
        <v>0</v>
      </c>
      <c r="BC214" s="183">
        <f>IF(H214="Lubbock",(AC214/$BC$1)*'1. UC Assumptions'!$K$44,0)</f>
        <v>0</v>
      </c>
      <c r="BD214" s="183">
        <f>IF(H214="MRSA Central",(AC214/$BD$1)*'1. UC Assumptions'!$L$44,0)</f>
        <v>0</v>
      </c>
      <c r="BE214" s="183">
        <f>IF(H214="MRSA Northeast",(AC214/$BE$1)*'1. UC Assumptions'!$M$44,0)</f>
        <v>0</v>
      </c>
      <c r="BF214" s="183">
        <f>IF(H214="MRSA West",(AC214/$BF$1)*'1. UC Assumptions'!$N$44,0)</f>
        <v>0</v>
      </c>
      <c r="BG214" s="183">
        <f>IF(H214="Nueces",(AC214/$BG$1)*'1. UC Assumptions'!$O$44,0)</f>
        <v>0</v>
      </c>
      <c r="BH214" s="183">
        <f>IF(H214="Tarrant",(AC214/$BH$1)*'1. UC Assumptions'!$P$44,0)</f>
        <v>0</v>
      </c>
      <c r="BI214" s="183">
        <f>IF(H214="Travis",(AC214/$BI$1)*'1. UC Assumptions'!$Q$44,0)</f>
        <v>0</v>
      </c>
      <c r="BJ214" s="183">
        <f t="shared" si="48"/>
        <v>0</v>
      </c>
      <c r="BK214" s="183">
        <f t="shared" si="49"/>
        <v>0</v>
      </c>
      <c r="BL214" s="183">
        <f t="shared" si="50"/>
        <v>2554586</v>
      </c>
      <c r="BM214" s="184">
        <f t="shared" si="51"/>
        <v>2165194.15</v>
      </c>
      <c r="BN214" s="184">
        <f>ROUNDDOWN(BM214*'1. UC Assumptions'!$C$23,2)</f>
        <v>714514.06</v>
      </c>
      <c r="BO214" s="184"/>
      <c r="BP214" s="185"/>
      <c r="BQ214" s="32"/>
      <c r="BR214" s="32"/>
    </row>
    <row r="215" spans="1:70">
      <c r="A215" s="177" t="s">
        <v>1594</v>
      </c>
      <c r="B215" s="178" t="s">
        <v>765</v>
      </c>
      <c r="C215" s="178" t="s">
        <v>765</v>
      </c>
      <c r="D215" s="179" t="s">
        <v>208</v>
      </c>
      <c r="E215" s="179" t="s">
        <v>149</v>
      </c>
      <c r="F215" s="177"/>
      <c r="G215" s="177" t="s">
        <v>1595</v>
      </c>
      <c r="H215" s="178" t="s">
        <v>11</v>
      </c>
      <c r="I215" s="178" t="s">
        <v>767</v>
      </c>
      <c r="J215" s="131">
        <f>IFERROR(INDEX(#REF!,(MATCH('Old Calc Tab'!C:C,#REF!,0))),0)</f>
        <v>0</v>
      </c>
      <c r="K215" s="131">
        <f>IFERROR(INDEX(#REF!,(MATCH('Old Calc Tab'!$C:$C,#REF!,0))),0)</f>
        <v>0</v>
      </c>
      <c r="L215" s="131"/>
      <c r="M215" s="131">
        <v>852133.37600000005</v>
      </c>
      <c r="N215" s="131">
        <f>IFERROR(INDEX(#REF!,(MATCH('Old Calc Tab'!$C:$C,#REF!,0))),0)</f>
        <v>0</v>
      </c>
      <c r="O215" s="131">
        <f t="shared" si="39"/>
        <v>0</v>
      </c>
      <c r="P215" s="131">
        <f t="shared" si="40"/>
        <v>852133.37600000005</v>
      </c>
      <c r="Q215" s="131"/>
      <c r="R215" s="131"/>
      <c r="S215" s="131"/>
      <c r="T215" s="131"/>
      <c r="U215" s="131"/>
      <c r="V215" s="131">
        <v>0</v>
      </c>
      <c r="W215" s="180">
        <v>0</v>
      </c>
      <c r="X215" s="180">
        <f t="shared" si="52"/>
        <v>852133.37600000005</v>
      </c>
      <c r="Y215" s="181">
        <f>IF(D215="Physician Group Practice",(X215/$AE$369)*'1. UC Assumptions'!$C$15,IF(OR(E215="Rural Hospital",E215="Hosp - State"),X215,(X215/$X$369)*'1. UC Assumptions'!$C$9))</f>
        <v>852133.37600000005</v>
      </c>
      <c r="Z215" s="181">
        <f t="shared" si="42"/>
        <v>0</v>
      </c>
      <c r="AA215" s="181">
        <f t="shared" si="43"/>
        <v>0</v>
      </c>
      <c r="AB215" s="182">
        <f t="shared" si="44"/>
        <v>0</v>
      </c>
      <c r="AC215" s="181">
        <f t="shared" si="45"/>
        <v>0</v>
      </c>
      <c r="AD215" s="181">
        <f t="shared" si="46"/>
        <v>852133.37600000005</v>
      </c>
      <c r="AE215" s="131">
        <v>197574.87</v>
      </c>
      <c r="AF215" s="131">
        <f>AE215*'1. UC Assumptions'!$C$23</f>
        <v>65199.707099999992</v>
      </c>
      <c r="AG215" s="183">
        <f>IF((((X215-W215-AE215)*'1. UC Assumptions'!$C$23)+AF215)&gt;0,((X215-W215-AE215)*'1. UC Assumptions'!$C$23)+AF215,0)</f>
        <v>281204.01407999999</v>
      </c>
      <c r="AH215" s="183">
        <f>IF(((X215-W215-AE215)*'1. UC Assumptions'!$C$23)&gt;0,(X215-W215-AE215)*'1. UC Assumptions'!$C$23,0)</f>
        <v>216004.30697999999</v>
      </c>
      <c r="AI215" s="183">
        <f t="shared" si="47"/>
        <v>281204.01407999999</v>
      </c>
      <c r="AJ215" s="183">
        <f>IF(H215="Bexar",(AD215/$AJ$1)*'1. UC Assumptions'!$E$42,0)</f>
        <v>0</v>
      </c>
      <c r="AK215" s="183">
        <f>IF(H215="Dallas",(AD215/$AK$1)*'1. UC Assumptions'!$F$42,0)</f>
        <v>0</v>
      </c>
      <c r="AL215" s="183">
        <f>IF(H215="El Paso",(AD215/$AL$1)*'1. UC Assumptions'!$G$42,0)</f>
        <v>0</v>
      </c>
      <c r="AM215" s="183">
        <f>IF(H215="Harris",(AD215/$AM$1)*'1. UC Assumptions'!$H$42,0)</f>
        <v>0</v>
      </c>
      <c r="AN215" s="183">
        <f>IF(H215="Hidalgo",(AD215/$AN$1)*'1. UC Assumptions'!$I$42,0)</f>
        <v>0</v>
      </c>
      <c r="AO215" s="183">
        <f>IF(H215="Jefferson",(AD215/$AO$1)*'1. UC Assumptions'!$J$42,0)</f>
        <v>0</v>
      </c>
      <c r="AP215" s="183">
        <f>IF(H215="Lubbock",(AD215/$AP$1)*'1. UC Assumptions'!$K$42,0)</f>
        <v>0</v>
      </c>
      <c r="AQ215" s="183">
        <f>IF(H215="MRSA Central",(AD215/$AQ$1)*'1. UC Assumptions'!$L$42,0)</f>
        <v>0</v>
      </c>
      <c r="AR215" s="183">
        <f>IF(H215="MRSA Northeast",(AD215/$AR$1)*'1. UC Assumptions'!$M$42,0)</f>
        <v>0</v>
      </c>
      <c r="AS215" s="183">
        <f>IF(H215="MRSA West",(AD215/$AS$1)*'1. UC Assumptions'!$N$42,0)</f>
        <v>0</v>
      </c>
      <c r="AT215" s="183">
        <f>IF(H215="Nueces",(AD215/$AT$1)*'1. UC Assumptions'!$O$42,0)</f>
        <v>0</v>
      </c>
      <c r="AU215" s="183">
        <f>IF(H215="Tarrant",(AD215/$AU$1)*'1. UC Assumptions'!$P$42,0)</f>
        <v>0</v>
      </c>
      <c r="AV215" s="183">
        <f>IF(H215="Travis",(AD215/$AV$1)*'1. UC Assumptions'!$Q$42,0)</f>
        <v>0</v>
      </c>
      <c r="AW215" s="183">
        <f>IF(H215="Bexar",(AC215/$AW$1)*'1. UC Assumptions'!$E$44,0)</f>
        <v>0</v>
      </c>
      <c r="AX215" s="183">
        <f>IF(H215="Dallas",(AC215/$AX$1)*'1. UC Assumptions'!$F$44,0)</f>
        <v>0</v>
      </c>
      <c r="AY215" s="183">
        <f>IF(H215="El Paso",(AC215/$AY$1)*'1. UC Assumptions'!$G$44,0)</f>
        <v>0</v>
      </c>
      <c r="AZ215" s="183">
        <f>IF(H215="Harris",(AC215/$AZ$1)*'1. UC Assumptions'!$H$44,0)</f>
        <v>0</v>
      </c>
      <c r="BA215" s="183">
        <f>IF(H215="Hidalgo",(AC215/$BA$1)*'1. UC Assumptions'!$I$44,0)</f>
        <v>0</v>
      </c>
      <c r="BB215" s="183">
        <f>IF(H215="Jefferson",(AC215/$BB$1)*'1. UC Assumptions'!$J$44,0)</f>
        <v>0</v>
      </c>
      <c r="BC215" s="183">
        <f>IF(H215="Lubbock",(AC215/$BC$1)*'1. UC Assumptions'!$K$44,0)</f>
        <v>0</v>
      </c>
      <c r="BD215" s="183">
        <f>IF(H215="MRSA Central",(AC215/$BD$1)*'1. UC Assumptions'!$L$44,0)</f>
        <v>0</v>
      </c>
      <c r="BE215" s="183">
        <f>IF(H215="MRSA Northeast",(AC215/$BE$1)*'1. UC Assumptions'!$M$44,0)</f>
        <v>0</v>
      </c>
      <c r="BF215" s="183">
        <f>IF(H215="MRSA West",(AC215/$BF$1)*'1. UC Assumptions'!$N$44,0)</f>
        <v>0</v>
      </c>
      <c r="BG215" s="183">
        <f>IF(H215="Nueces",(AC215/$BG$1)*'1. UC Assumptions'!$O$44,0)</f>
        <v>0</v>
      </c>
      <c r="BH215" s="183">
        <f>IF(H215="Tarrant",(AC215/$BH$1)*'1. UC Assumptions'!$P$44,0)</f>
        <v>0</v>
      </c>
      <c r="BI215" s="183">
        <f>IF(H215="Travis",(AC215/$BI$1)*'1. UC Assumptions'!$Q$44,0)</f>
        <v>0</v>
      </c>
      <c r="BJ215" s="183">
        <f t="shared" si="48"/>
        <v>0</v>
      </c>
      <c r="BK215" s="183">
        <f t="shared" si="49"/>
        <v>0</v>
      </c>
      <c r="BL215" s="183">
        <f t="shared" si="50"/>
        <v>852133.37600000005</v>
      </c>
      <c r="BM215" s="184">
        <f t="shared" si="51"/>
        <v>654558.50600000005</v>
      </c>
      <c r="BN215" s="184">
        <f>ROUNDDOWN(BM215*'1. UC Assumptions'!$C$23,2)</f>
        <v>216004.3</v>
      </c>
      <c r="BO215" s="184"/>
      <c r="BP215" s="185"/>
      <c r="BQ215" s="32"/>
      <c r="BR215" s="32"/>
    </row>
    <row r="216" spans="1:70">
      <c r="A216" s="177" t="s">
        <v>1596</v>
      </c>
      <c r="B216" s="178" t="s">
        <v>777</v>
      </c>
      <c r="C216" s="178" t="s">
        <v>777</v>
      </c>
      <c r="D216" s="179" t="s">
        <v>214</v>
      </c>
      <c r="E216" s="179" t="s">
        <v>149</v>
      </c>
      <c r="F216" s="177"/>
      <c r="G216" s="177" t="s">
        <v>1597</v>
      </c>
      <c r="H216" s="178" t="s">
        <v>11</v>
      </c>
      <c r="I216" s="178" t="s">
        <v>359</v>
      </c>
      <c r="J216" s="131">
        <f>IFERROR(INDEX(#REF!,(MATCH('Old Calc Tab'!C:C,#REF!,0))),0)</f>
        <v>0</v>
      </c>
      <c r="K216" s="131">
        <f>IFERROR(INDEX(#REF!,(MATCH('Old Calc Tab'!$C:$C,#REF!,0))),0)</f>
        <v>0</v>
      </c>
      <c r="L216" s="131"/>
      <c r="M216" s="131">
        <v>10687784.9</v>
      </c>
      <c r="N216" s="131">
        <f>IFERROR(INDEX(#REF!,(MATCH('Old Calc Tab'!$C:$C,#REF!,0))),0)</f>
        <v>0</v>
      </c>
      <c r="O216" s="131">
        <f t="shared" si="39"/>
        <v>0</v>
      </c>
      <c r="P216" s="131">
        <f t="shared" si="40"/>
        <v>10687784.9</v>
      </c>
      <c r="Q216" s="131"/>
      <c r="R216" s="131"/>
      <c r="S216" s="131"/>
      <c r="T216" s="131"/>
      <c r="U216" s="131"/>
      <c r="V216" s="131">
        <v>0</v>
      </c>
      <c r="W216" s="180">
        <v>0</v>
      </c>
      <c r="X216" s="180">
        <f t="shared" si="52"/>
        <v>10687784.9</v>
      </c>
      <c r="Y216" s="181">
        <f>IF(D216="Physician Group Practice",(X216/$AE$369)*'1. UC Assumptions'!$C$15,IF(OR(E216="Rural Hospital",E216="Hosp - State"),X216,(X216/$X$369)*'1. UC Assumptions'!$C$9))</f>
        <v>10687784.9</v>
      </c>
      <c r="Z216" s="181">
        <f t="shared" si="42"/>
        <v>0</v>
      </c>
      <c r="AA216" s="181">
        <f t="shared" si="43"/>
        <v>0</v>
      </c>
      <c r="AB216" s="182">
        <f t="shared" si="44"/>
        <v>0</v>
      </c>
      <c r="AC216" s="181">
        <f t="shared" si="45"/>
        <v>0</v>
      </c>
      <c r="AD216" s="181">
        <f t="shared" si="46"/>
        <v>10687784.9</v>
      </c>
      <c r="AE216" s="131">
        <v>3357864.83</v>
      </c>
      <c r="AF216" s="131">
        <f>AE216*'1. UC Assumptions'!$C$23</f>
        <v>1108095.3938999998</v>
      </c>
      <c r="AG216" s="183">
        <f>IF((((X216-W216-AE216)*'1. UC Assumptions'!$C$23)+AF216)&gt;0,((X216-W216-AE216)*'1. UC Assumptions'!$C$23)+AF216,0)</f>
        <v>3526969.017</v>
      </c>
      <c r="AH216" s="183">
        <f>IF(((X216-W216-AE216)*'1. UC Assumptions'!$C$23)&gt;0,(X216-W216-AE216)*'1. UC Assumptions'!$C$23,0)</f>
        <v>2418873.6231</v>
      </c>
      <c r="AI216" s="183">
        <f t="shared" si="47"/>
        <v>3526969.017</v>
      </c>
      <c r="AJ216" s="183">
        <f>IF(H216="Bexar",(AD216/$AJ$1)*'1. UC Assumptions'!$E$42,0)</f>
        <v>0</v>
      </c>
      <c r="AK216" s="183">
        <f>IF(H216="Dallas",(AD216/$AK$1)*'1. UC Assumptions'!$F$42,0)</f>
        <v>0</v>
      </c>
      <c r="AL216" s="183">
        <f>IF(H216="El Paso",(AD216/$AL$1)*'1. UC Assumptions'!$G$42,0)</f>
        <v>0</v>
      </c>
      <c r="AM216" s="183">
        <f>IF(H216="Harris",(AD216/$AM$1)*'1. UC Assumptions'!$H$42,0)</f>
        <v>0</v>
      </c>
      <c r="AN216" s="183">
        <f>IF(H216="Hidalgo",(AD216/$AN$1)*'1. UC Assumptions'!$I$42,0)</f>
        <v>0</v>
      </c>
      <c r="AO216" s="183">
        <f>IF(H216="Jefferson",(AD216/$AO$1)*'1. UC Assumptions'!$J$42,0)</f>
        <v>0</v>
      </c>
      <c r="AP216" s="183">
        <f>IF(H216="Lubbock",(AD216/$AP$1)*'1. UC Assumptions'!$K$42,0)</f>
        <v>0</v>
      </c>
      <c r="AQ216" s="183">
        <f>IF(H216="MRSA Central",(AD216/$AQ$1)*'1. UC Assumptions'!$L$42,0)</f>
        <v>0</v>
      </c>
      <c r="AR216" s="183">
        <f>IF(H216="MRSA Northeast",(AD216/$AR$1)*'1. UC Assumptions'!$M$42,0)</f>
        <v>0</v>
      </c>
      <c r="AS216" s="183">
        <f>IF(H216="MRSA West",(AD216/$AS$1)*'1. UC Assumptions'!$N$42,0)</f>
        <v>0</v>
      </c>
      <c r="AT216" s="183">
        <f>IF(H216="Nueces",(AD216/$AT$1)*'1. UC Assumptions'!$O$42,0)</f>
        <v>0</v>
      </c>
      <c r="AU216" s="183">
        <f>IF(H216="Tarrant",(AD216/$AU$1)*'1. UC Assumptions'!$P$42,0)</f>
        <v>0</v>
      </c>
      <c r="AV216" s="183">
        <f>IF(H216="Travis",(AD216/$AV$1)*'1. UC Assumptions'!$Q$42,0)</f>
        <v>0</v>
      </c>
      <c r="AW216" s="183">
        <f>IF(H216="Bexar",(AC216/$AW$1)*'1. UC Assumptions'!$E$44,0)</f>
        <v>0</v>
      </c>
      <c r="AX216" s="183">
        <f>IF(H216="Dallas",(AC216/$AX$1)*'1. UC Assumptions'!$F$44,0)</f>
        <v>0</v>
      </c>
      <c r="AY216" s="183">
        <f>IF(H216="El Paso",(AC216/$AY$1)*'1. UC Assumptions'!$G$44,0)</f>
        <v>0</v>
      </c>
      <c r="AZ216" s="183">
        <f>IF(H216="Harris",(AC216/$AZ$1)*'1. UC Assumptions'!$H$44,0)</f>
        <v>0</v>
      </c>
      <c r="BA216" s="183">
        <f>IF(H216="Hidalgo",(AC216/$BA$1)*'1. UC Assumptions'!$I$44,0)</f>
        <v>0</v>
      </c>
      <c r="BB216" s="183">
        <f>IF(H216="Jefferson",(AC216/$BB$1)*'1. UC Assumptions'!$J$44,0)</f>
        <v>0</v>
      </c>
      <c r="BC216" s="183">
        <f>IF(H216="Lubbock",(AC216/$BC$1)*'1. UC Assumptions'!$K$44,0)</f>
        <v>0</v>
      </c>
      <c r="BD216" s="183">
        <f>IF(H216="MRSA Central",(AC216/$BD$1)*'1. UC Assumptions'!$L$44,0)</f>
        <v>0</v>
      </c>
      <c r="BE216" s="183">
        <f>IF(H216="MRSA Northeast",(AC216/$BE$1)*'1. UC Assumptions'!$M$44,0)</f>
        <v>0</v>
      </c>
      <c r="BF216" s="183">
        <f>IF(H216="MRSA West",(AC216/$BF$1)*'1. UC Assumptions'!$N$44,0)</f>
        <v>0</v>
      </c>
      <c r="BG216" s="183">
        <f>IF(H216="Nueces",(AC216/$BG$1)*'1. UC Assumptions'!$O$44,0)</f>
        <v>0</v>
      </c>
      <c r="BH216" s="183">
        <f>IF(H216="Tarrant",(AC216/$BH$1)*'1. UC Assumptions'!$P$44,0)</f>
        <v>0</v>
      </c>
      <c r="BI216" s="183">
        <f>IF(H216="Travis",(AC216/$BI$1)*'1. UC Assumptions'!$Q$44,0)</f>
        <v>0</v>
      </c>
      <c r="BJ216" s="183">
        <f t="shared" si="48"/>
        <v>0</v>
      </c>
      <c r="BK216" s="183">
        <f t="shared" si="49"/>
        <v>0</v>
      </c>
      <c r="BL216" s="183">
        <f t="shared" si="50"/>
        <v>10687784.9</v>
      </c>
      <c r="BM216" s="184">
        <f t="shared" si="51"/>
        <v>7329920.0700000003</v>
      </c>
      <c r="BN216" s="184">
        <f>ROUNDDOWN(BM216*'1. UC Assumptions'!$C$23,2)</f>
        <v>2418873.62</v>
      </c>
      <c r="BO216" s="184"/>
      <c r="BP216" s="185"/>
      <c r="BQ216" s="32"/>
      <c r="BR216" s="32"/>
    </row>
    <row r="217" spans="1:70">
      <c r="A217" s="177" t="s">
        <v>1598</v>
      </c>
      <c r="B217" s="177" t="s">
        <v>1599</v>
      </c>
      <c r="C217" s="178" t="s">
        <v>1599</v>
      </c>
      <c r="D217" s="179" t="s">
        <v>208</v>
      </c>
      <c r="E217" s="179"/>
      <c r="F217" s="177"/>
      <c r="G217" s="177" t="s">
        <v>1600</v>
      </c>
      <c r="H217" s="178" t="s">
        <v>11</v>
      </c>
      <c r="I217" s="178" t="s">
        <v>1042</v>
      </c>
      <c r="J217" s="131">
        <f>IFERROR(INDEX(#REF!,(MATCH('Old Calc Tab'!C:C,#REF!,0))),0)</f>
        <v>0</v>
      </c>
      <c r="K217" s="131">
        <f>IFERROR(INDEX(#REF!,(MATCH('Old Calc Tab'!$C:$C,#REF!,0))),0)</f>
        <v>0</v>
      </c>
      <c r="L217" s="131"/>
      <c r="M217" s="131">
        <v>3043599.7409999999</v>
      </c>
      <c r="N217" s="131">
        <f>IFERROR(INDEX(#REF!,(MATCH('Old Calc Tab'!$C:$C,#REF!,0))),0)</f>
        <v>0</v>
      </c>
      <c r="O217" s="131">
        <f t="shared" si="39"/>
        <v>0</v>
      </c>
      <c r="P217" s="131">
        <f t="shared" si="40"/>
        <v>3043599.7409999999</v>
      </c>
      <c r="Q217" s="131"/>
      <c r="R217" s="131"/>
      <c r="S217" s="131"/>
      <c r="T217" s="131"/>
      <c r="U217" s="131"/>
      <c r="V217" s="131">
        <v>0</v>
      </c>
      <c r="W217" s="180">
        <v>0</v>
      </c>
      <c r="X217" s="180">
        <f t="shared" si="52"/>
        <v>3043599.7409999999</v>
      </c>
      <c r="Y217" s="181">
        <f>IF(D217="Physician Group Practice",(X217/$AE$369)*'1. UC Assumptions'!$C$15,IF(OR(E217="Rural Hospital",E217="Hosp - State"),X217,(X217/$X$369)*'1. UC Assumptions'!$C$9))</f>
        <v>1831830.1527768141</v>
      </c>
      <c r="Z217" s="181">
        <f t="shared" si="42"/>
        <v>0</v>
      </c>
      <c r="AA217" s="181">
        <f t="shared" si="43"/>
        <v>1211769.5882231859</v>
      </c>
      <c r="AB217" s="182">
        <f t="shared" si="44"/>
        <v>650.75800844224466</v>
      </c>
      <c r="AC217" s="181">
        <f t="shared" si="45"/>
        <v>1212420.3462316282</v>
      </c>
      <c r="AD217" s="181">
        <f t="shared" si="46"/>
        <v>1832480.9107852564</v>
      </c>
      <c r="AE217" s="131">
        <v>2080762.21</v>
      </c>
      <c r="AF217" s="131">
        <f>AE217*'1. UC Assumptions'!$C$23</f>
        <v>686651.52929999994</v>
      </c>
      <c r="AG217" s="183">
        <f>IF((((X217-W217-AE217)*'1. UC Assumptions'!$C$23)+AF217)&gt;0,((X217-W217-AE217)*'1. UC Assumptions'!$C$23)+AF217,0)</f>
        <v>1004387.91453</v>
      </c>
      <c r="AH217" s="183">
        <f>IF(((X217-W217-AE217)*'1. UC Assumptions'!$C$23)&gt;0,(X217-W217-AE217)*'1. UC Assumptions'!$C$23,0)</f>
        <v>317736.38522999996</v>
      </c>
      <c r="AI217" s="183">
        <f t="shared" si="47"/>
        <v>1004387.91453</v>
      </c>
      <c r="AJ217" s="183">
        <f>IF(H217="Bexar",(AD217/$AJ$1)*'1. UC Assumptions'!$E$42,0)</f>
        <v>0</v>
      </c>
      <c r="AK217" s="183">
        <f>IF(H217="Dallas",(AD217/$AK$1)*'1. UC Assumptions'!$F$42,0)</f>
        <v>0</v>
      </c>
      <c r="AL217" s="183">
        <f>IF(H217="El Paso",(AD217/$AL$1)*'1. UC Assumptions'!$G$42,0)</f>
        <v>0</v>
      </c>
      <c r="AM217" s="183">
        <f>IF(H217="Harris",(AD217/$AM$1)*'1. UC Assumptions'!$H$42,0)</f>
        <v>0</v>
      </c>
      <c r="AN217" s="183">
        <f>IF(H217="Hidalgo",(AD217/$AN$1)*'1. UC Assumptions'!$I$42,0)</f>
        <v>0</v>
      </c>
      <c r="AO217" s="183">
        <f>IF(H217="Jefferson",(AD217/$AO$1)*'1. UC Assumptions'!$J$42,0)</f>
        <v>0</v>
      </c>
      <c r="AP217" s="183">
        <f>IF(H217="Lubbock",(AD217/$AP$1)*'1. UC Assumptions'!$K$42,0)</f>
        <v>0</v>
      </c>
      <c r="AQ217" s="183">
        <f>IF(H217="MRSA Central",(AD217/$AQ$1)*'1. UC Assumptions'!$L$42,0)</f>
        <v>0</v>
      </c>
      <c r="AR217" s="183">
        <f>IF(H217="MRSA Northeast",(AD217/$AR$1)*'1. UC Assumptions'!$M$42,0)</f>
        <v>0</v>
      </c>
      <c r="AS217" s="183">
        <f>IF(H217="MRSA West",(AD217/$AS$1)*'1. UC Assumptions'!$N$42,0)</f>
        <v>0</v>
      </c>
      <c r="AT217" s="183">
        <f>IF(H217="Nueces",(AD217/$AT$1)*'1. UC Assumptions'!$O$42,0)</f>
        <v>0</v>
      </c>
      <c r="AU217" s="183">
        <f>IF(H217="Tarrant",(AD217/$AU$1)*'1. UC Assumptions'!$P$42,0)</f>
        <v>0</v>
      </c>
      <c r="AV217" s="183">
        <f>IF(H217="Travis",(AD217/$AV$1)*'1. UC Assumptions'!$Q$42,0)</f>
        <v>0</v>
      </c>
      <c r="AW217" s="183">
        <f>IF(H217="Bexar",(AC217/$AW$1)*'1. UC Assumptions'!$E$44,0)</f>
        <v>0</v>
      </c>
      <c r="AX217" s="183">
        <f>IF(H217="Dallas",(AC217/$AX$1)*'1. UC Assumptions'!$F$44,0)</f>
        <v>0</v>
      </c>
      <c r="AY217" s="183">
        <f>IF(H217="El Paso",(AC217/$AY$1)*'1. UC Assumptions'!$G$44,0)</f>
        <v>0</v>
      </c>
      <c r="AZ217" s="183">
        <f>IF(H217="Harris",(AC217/$AZ$1)*'1. UC Assumptions'!$H$44,0)</f>
        <v>0</v>
      </c>
      <c r="BA217" s="183">
        <f>IF(H217="Hidalgo",(AC217/$BA$1)*'1. UC Assumptions'!$I$44,0)</f>
        <v>0</v>
      </c>
      <c r="BB217" s="183">
        <f>IF(H217="Jefferson",(AC217/$BB$1)*'1. UC Assumptions'!$J$44,0)</f>
        <v>0</v>
      </c>
      <c r="BC217" s="183">
        <f>IF(H217="Lubbock",(AC217/$BC$1)*'1. UC Assumptions'!$K$44,0)</f>
        <v>0</v>
      </c>
      <c r="BD217" s="183">
        <f>IF(H217="MRSA Central",(AC217/$BD$1)*'1. UC Assumptions'!$L$44,0)</f>
        <v>0</v>
      </c>
      <c r="BE217" s="183">
        <f>IF(H217="MRSA Northeast",(AC217/$BE$1)*'1. UC Assumptions'!$M$44,0)</f>
        <v>0</v>
      </c>
      <c r="BF217" s="183">
        <f>IF(H217="MRSA West",(AC217/$BF$1)*'1. UC Assumptions'!$N$44,0)</f>
        <v>0</v>
      </c>
      <c r="BG217" s="183">
        <f>IF(H217="Nueces",(AC217/$BG$1)*'1. UC Assumptions'!$O$44,0)</f>
        <v>0</v>
      </c>
      <c r="BH217" s="183">
        <f>IF(H217="Tarrant",(AC217/$BH$1)*'1. UC Assumptions'!$P$44,0)</f>
        <v>0</v>
      </c>
      <c r="BI217" s="183">
        <f>IF(H217="Travis",(AC217/$BI$1)*'1. UC Assumptions'!$Q$44,0)</f>
        <v>0</v>
      </c>
      <c r="BJ217" s="183">
        <f t="shared" si="48"/>
        <v>0</v>
      </c>
      <c r="BK217" s="183">
        <f t="shared" si="49"/>
        <v>0</v>
      </c>
      <c r="BL217" s="183">
        <f t="shared" si="50"/>
        <v>1832480.9107852564</v>
      </c>
      <c r="BM217" s="184">
        <f t="shared" si="51"/>
        <v>-248281.29921474354</v>
      </c>
      <c r="BN217" s="184">
        <f>ROUNDDOWN(BM217*'1. UC Assumptions'!$C$23,2)</f>
        <v>-81932.820000000007</v>
      </c>
      <c r="BO217" s="184"/>
      <c r="BP217" s="185"/>
      <c r="BQ217" s="32"/>
      <c r="BR217" s="32"/>
    </row>
    <row r="218" spans="1:70">
      <c r="A218" s="177" t="s">
        <v>1601</v>
      </c>
      <c r="B218" s="178" t="s">
        <v>785</v>
      </c>
      <c r="C218" s="178" t="s">
        <v>785</v>
      </c>
      <c r="D218" s="179" t="s">
        <v>214</v>
      </c>
      <c r="E218" s="179" t="s">
        <v>149</v>
      </c>
      <c r="F218" s="177"/>
      <c r="G218" s="177" t="s">
        <v>1602</v>
      </c>
      <c r="H218" s="178" t="s">
        <v>11</v>
      </c>
      <c r="I218" s="178" t="s">
        <v>634</v>
      </c>
      <c r="J218" s="131">
        <f>IFERROR(INDEX(#REF!,(MATCH('Old Calc Tab'!C:C,#REF!,0))),0)</f>
        <v>0</v>
      </c>
      <c r="K218" s="131">
        <f>IFERROR(INDEX(#REF!,(MATCH('Old Calc Tab'!$C:$C,#REF!,0))),0)</f>
        <v>0</v>
      </c>
      <c r="L218" s="131"/>
      <c r="M218" s="131">
        <v>2084483</v>
      </c>
      <c r="N218" s="131">
        <f>IFERROR(INDEX(#REF!,(MATCH('Old Calc Tab'!$C:$C,#REF!,0))),0)</f>
        <v>0</v>
      </c>
      <c r="O218" s="131">
        <f t="shared" si="39"/>
        <v>0</v>
      </c>
      <c r="P218" s="131">
        <f t="shared" si="40"/>
        <v>2084483</v>
      </c>
      <c r="Q218" s="131"/>
      <c r="R218" s="131"/>
      <c r="S218" s="131"/>
      <c r="T218" s="131"/>
      <c r="U218" s="131"/>
      <c r="V218" s="131">
        <v>0</v>
      </c>
      <c r="W218" s="180">
        <v>0</v>
      </c>
      <c r="X218" s="180">
        <f t="shared" si="52"/>
        <v>2084483</v>
      </c>
      <c r="Y218" s="181">
        <f>IF(D218="Physician Group Practice",(X218/$AE$369)*'1. UC Assumptions'!$C$15,IF(OR(E218="Rural Hospital",E218="Hosp - State"),X218,(X218/$X$369)*'1. UC Assumptions'!$C$9))</f>
        <v>2084483</v>
      </c>
      <c r="Z218" s="181">
        <f t="shared" si="42"/>
        <v>0</v>
      </c>
      <c r="AA218" s="181">
        <f t="shared" si="43"/>
        <v>0</v>
      </c>
      <c r="AB218" s="182">
        <f t="shared" si="44"/>
        <v>0</v>
      </c>
      <c r="AC218" s="181">
        <f t="shared" si="45"/>
        <v>0</v>
      </c>
      <c r="AD218" s="181">
        <f t="shared" si="46"/>
        <v>2084483</v>
      </c>
      <c r="AE218" s="131">
        <v>1065255.3999999999</v>
      </c>
      <c r="AF218" s="131">
        <f>AE218*'1. UC Assumptions'!$C$23</f>
        <v>351534.28199999995</v>
      </c>
      <c r="AG218" s="183">
        <f>IF((((X218-W218-AE218)*'1. UC Assumptions'!$C$23)+AF218)&gt;0,((X218-W218-AE218)*'1. UC Assumptions'!$C$23)+AF218,0)</f>
        <v>687879.3899999999</v>
      </c>
      <c r="AH218" s="183">
        <f>IF(((X218-W218-AE218)*'1. UC Assumptions'!$C$23)&gt;0,(X218-W218-AE218)*'1. UC Assumptions'!$C$23,0)</f>
        <v>336345.10800000001</v>
      </c>
      <c r="AI218" s="183">
        <f t="shared" si="47"/>
        <v>687879.3899999999</v>
      </c>
      <c r="AJ218" s="183">
        <f>IF(H218="Bexar",(AD218/$AJ$1)*'1. UC Assumptions'!$E$42,0)</f>
        <v>0</v>
      </c>
      <c r="AK218" s="183">
        <f>IF(H218="Dallas",(AD218/$AK$1)*'1. UC Assumptions'!$F$42,0)</f>
        <v>0</v>
      </c>
      <c r="AL218" s="183">
        <f>IF(H218="El Paso",(AD218/$AL$1)*'1. UC Assumptions'!$G$42,0)</f>
        <v>0</v>
      </c>
      <c r="AM218" s="183">
        <f>IF(H218="Harris",(AD218/$AM$1)*'1. UC Assumptions'!$H$42,0)</f>
        <v>0</v>
      </c>
      <c r="AN218" s="183">
        <f>IF(H218="Hidalgo",(AD218/$AN$1)*'1. UC Assumptions'!$I$42,0)</f>
        <v>0</v>
      </c>
      <c r="AO218" s="183">
        <f>IF(H218="Jefferson",(AD218/$AO$1)*'1. UC Assumptions'!$J$42,0)</f>
        <v>0</v>
      </c>
      <c r="AP218" s="183">
        <f>IF(H218="Lubbock",(AD218/$AP$1)*'1. UC Assumptions'!$K$42,0)</f>
        <v>0</v>
      </c>
      <c r="AQ218" s="183">
        <f>IF(H218="MRSA Central",(AD218/$AQ$1)*'1. UC Assumptions'!$L$42,0)</f>
        <v>0</v>
      </c>
      <c r="AR218" s="183">
        <f>IF(H218="MRSA Northeast",(AD218/$AR$1)*'1. UC Assumptions'!$M$42,0)</f>
        <v>0</v>
      </c>
      <c r="AS218" s="183">
        <f>IF(H218="MRSA West",(AD218/$AS$1)*'1. UC Assumptions'!$N$42,0)</f>
        <v>0</v>
      </c>
      <c r="AT218" s="183">
        <f>IF(H218="Nueces",(AD218/$AT$1)*'1. UC Assumptions'!$O$42,0)</f>
        <v>0</v>
      </c>
      <c r="AU218" s="183">
        <f>IF(H218="Tarrant",(AD218/$AU$1)*'1. UC Assumptions'!$P$42,0)</f>
        <v>0</v>
      </c>
      <c r="AV218" s="183">
        <f>IF(H218="Travis",(AD218/$AV$1)*'1. UC Assumptions'!$Q$42,0)</f>
        <v>0</v>
      </c>
      <c r="AW218" s="183">
        <f>IF(H218="Bexar",(AC218/$AW$1)*'1. UC Assumptions'!$E$44,0)</f>
        <v>0</v>
      </c>
      <c r="AX218" s="183">
        <f>IF(H218="Dallas",(AC218/$AX$1)*'1. UC Assumptions'!$F$44,0)</f>
        <v>0</v>
      </c>
      <c r="AY218" s="183">
        <f>IF(H218="El Paso",(AC218/$AY$1)*'1. UC Assumptions'!$G$44,0)</f>
        <v>0</v>
      </c>
      <c r="AZ218" s="183">
        <f>IF(H218="Harris",(AC218/$AZ$1)*'1. UC Assumptions'!$H$44,0)</f>
        <v>0</v>
      </c>
      <c r="BA218" s="183">
        <f>IF(H218="Hidalgo",(AC218/$BA$1)*'1. UC Assumptions'!$I$44,0)</f>
        <v>0</v>
      </c>
      <c r="BB218" s="183">
        <f>IF(H218="Jefferson",(AC218/$BB$1)*'1. UC Assumptions'!$J$44,0)</f>
        <v>0</v>
      </c>
      <c r="BC218" s="183">
        <f>IF(H218="Lubbock",(AC218/$BC$1)*'1. UC Assumptions'!$K$44,0)</f>
        <v>0</v>
      </c>
      <c r="BD218" s="183">
        <f>IF(H218="MRSA Central",(AC218/$BD$1)*'1. UC Assumptions'!$L$44,0)</f>
        <v>0</v>
      </c>
      <c r="BE218" s="183">
        <f>IF(H218="MRSA Northeast",(AC218/$BE$1)*'1. UC Assumptions'!$M$44,0)</f>
        <v>0</v>
      </c>
      <c r="BF218" s="183">
        <f>IF(H218="MRSA West",(AC218/$BF$1)*'1. UC Assumptions'!$N$44,0)</f>
        <v>0</v>
      </c>
      <c r="BG218" s="183">
        <f>IF(H218="Nueces",(AC218/$BG$1)*'1. UC Assumptions'!$O$44,0)</f>
        <v>0</v>
      </c>
      <c r="BH218" s="183">
        <f>IF(H218="Tarrant",(AC218/$BH$1)*'1. UC Assumptions'!$P$44,0)</f>
        <v>0</v>
      </c>
      <c r="BI218" s="183">
        <f>IF(H218="Travis",(AC218/$BI$1)*'1. UC Assumptions'!$Q$44,0)</f>
        <v>0</v>
      </c>
      <c r="BJ218" s="183">
        <f t="shared" si="48"/>
        <v>0</v>
      </c>
      <c r="BK218" s="183">
        <f t="shared" si="49"/>
        <v>0</v>
      </c>
      <c r="BL218" s="183">
        <f t="shared" si="50"/>
        <v>2084483</v>
      </c>
      <c r="BM218" s="184">
        <f t="shared" si="51"/>
        <v>1019227.6000000001</v>
      </c>
      <c r="BN218" s="184">
        <f>ROUNDDOWN(BM218*'1. UC Assumptions'!$C$23,2)</f>
        <v>336345.1</v>
      </c>
      <c r="BO218" s="184"/>
      <c r="BP218" s="185"/>
      <c r="BQ218" s="32"/>
      <c r="BR218" s="32"/>
    </row>
    <row r="219" spans="1:70">
      <c r="A219" s="177" t="s">
        <v>1603</v>
      </c>
      <c r="B219" s="178" t="s">
        <v>814</v>
      </c>
      <c r="C219" s="178" t="s">
        <v>814</v>
      </c>
      <c r="D219" s="179" t="s">
        <v>214</v>
      </c>
      <c r="E219" s="179" t="s">
        <v>149</v>
      </c>
      <c r="F219" s="177"/>
      <c r="G219" s="177" t="s">
        <v>1604</v>
      </c>
      <c r="H219" s="178" t="s">
        <v>11</v>
      </c>
      <c r="I219" s="178" t="s">
        <v>816</v>
      </c>
      <c r="J219" s="131">
        <f>IFERROR(INDEX(#REF!,(MATCH('Old Calc Tab'!C:C,#REF!,0))),0)</f>
        <v>0</v>
      </c>
      <c r="K219" s="131">
        <f>IFERROR(INDEX(#REF!,(MATCH('Old Calc Tab'!$C:$C,#REF!,0))),0)</f>
        <v>0</v>
      </c>
      <c r="L219" s="131"/>
      <c r="M219" s="131">
        <v>2475232.2000000002</v>
      </c>
      <c r="N219" s="131">
        <f>IFERROR(INDEX(#REF!,(MATCH('Old Calc Tab'!$C:$C,#REF!,0))),0)</f>
        <v>0</v>
      </c>
      <c r="O219" s="131">
        <f t="shared" si="39"/>
        <v>0</v>
      </c>
      <c r="P219" s="131">
        <f t="shared" si="40"/>
        <v>2475232.2000000002</v>
      </c>
      <c r="Q219" s="131"/>
      <c r="R219" s="131"/>
      <c r="S219" s="131"/>
      <c r="T219" s="131"/>
      <c r="U219" s="131"/>
      <c r="V219" s="131">
        <v>0</v>
      </c>
      <c r="W219" s="180">
        <v>0</v>
      </c>
      <c r="X219" s="180">
        <f t="shared" si="52"/>
        <v>2475232.2000000002</v>
      </c>
      <c r="Y219" s="181">
        <f>IF(D219="Physician Group Practice",(X219/$AE$369)*'1. UC Assumptions'!$C$15,IF(OR(E219="Rural Hospital",E219="Hosp - State"),X219,(X219/$X$369)*'1. UC Assumptions'!$C$9))</f>
        <v>2475232.2000000002</v>
      </c>
      <c r="Z219" s="181">
        <f t="shared" si="42"/>
        <v>0</v>
      </c>
      <c r="AA219" s="181">
        <f t="shared" si="43"/>
        <v>0</v>
      </c>
      <c r="AB219" s="182">
        <f t="shared" si="44"/>
        <v>0</v>
      </c>
      <c r="AC219" s="181">
        <f t="shared" si="45"/>
        <v>0</v>
      </c>
      <c r="AD219" s="181">
        <f t="shared" si="46"/>
        <v>2475232.2000000002</v>
      </c>
      <c r="AE219" s="131">
        <v>820146.71</v>
      </c>
      <c r="AF219" s="131">
        <f>AE219*'1. UC Assumptions'!$C$23</f>
        <v>270648.41429999995</v>
      </c>
      <c r="AG219" s="183">
        <f>IF((((X219-W219-AE219)*'1. UC Assumptions'!$C$23)+AF219)&gt;0,((X219-W219-AE219)*'1. UC Assumptions'!$C$23)+AF219,0)</f>
        <v>816826.62599999993</v>
      </c>
      <c r="AH219" s="183">
        <f>IF(((X219-W219-AE219)*'1. UC Assumptions'!$C$23)&gt;0,(X219-W219-AE219)*'1. UC Assumptions'!$C$23,0)</f>
        <v>546178.21169999999</v>
      </c>
      <c r="AI219" s="183">
        <f t="shared" si="47"/>
        <v>816826.62599999993</v>
      </c>
      <c r="AJ219" s="183">
        <f>IF(H219="Bexar",(AD219/$AJ$1)*'1. UC Assumptions'!$E$42,0)</f>
        <v>0</v>
      </c>
      <c r="AK219" s="183">
        <f>IF(H219="Dallas",(AD219/$AK$1)*'1. UC Assumptions'!$F$42,0)</f>
        <v>0</v>
      </c>
      <c r="AL219" s="183">
        <f>IF(H219="El Paso",(AD219/$AL$1)*'1. UC Assumptions'!$G$42,0)</f>
        <v>0</v>
      </c>
      <c r="AM219" s="183">
        <f>IF(H219="Harris",(AD219/$AM$1)*'1. UC Assumptions'!$H$42,0)</f>
        <v>0</v>
      </c>
      <c r="AN219" s="183">
        <f>IF(H219="Hidalgo",(AD219/$AN$1)*'1. UC Assumptions'!$I$42,0)</f>
        <v>0</v>
      </c>
      <c r="AO219" s="183">
        <f>IF(H219="Jefferson",(AD219/$AO$1)*'1. UC Assumptions'!$J$42,0)</f>
        <v>0</v>
      </c>
      <c r="AP219" s="183">
        <f>IF(H219="Lubbock",(AD219/$AP$1)*'1. UC Assumptions'!$K$42,0)</f>
        <v>0</v>
      </c>
      <c r="AQ219" s="183">
        <f>IF(H219="MRSA Central",(AD219/$AQ$1)*'1. UC Assumptions'!$L$42,0)</f>
        <v>0</v>
      </c>
      <c r="AR219" s="183">
        <f>IF(H219="MRSA Northeast",(AD219/$AR$1)*'1. UC Assumptions'!$M$42,0)</f>
        <v>0</v>
      </c>
      <c r="AS219" s="183">
        <f>IF(H219="MRSA West",(AD219/$AS$1)*'1. UC Assumptions'!$N$42,0)</f>
        <v>0</v>
      </c>
      <c r="AT219" s="183">
        <f>IF(H219="Nueces",(AD219/$AT$1)*'1. UC Assumptions'!$O$42,0)</f>
        <v>0</v>
      </c>
      <c r="AU219" s="183">
        <f>IF(H219="Tarrant",(AD219/$AU$1)*'1. UC Assumptions'!$P$42,0)</f>
        <v>0</v>
      </c>
      <c r="AV219" s="183">
        <f>IF(H219="Travis",(AD219/$AV$1)*'1. UC Assumptions'!$Q$42,0)</f>
        <v>0</v>
      </c>
      <c r="AW219" s="183">
        <f>IF(H219="Bexar",(AC219/$AW$1)*'1. UC Assumptions'!$E$44,0)</f>
        <v>0</v>
      </c>
      <c r="AX219" s="183">
        <f>IF(H219="Dallas",(AC219/$AX$1)*'1. UC Assumptions'!$F$44,0)</f>
        <v>0</v>
      </c>
      <c r="AY219" s="183">
        <f>IF(H219="El Paso",(AC219/$AY$1)*'1. UC Assumptions'!$G$44,0)</f>
        <v>0</v>
      </c>
      <c r="AZ219" s="183">
        <f>IF(H219="Harris",(AC219/$AZ$1)*'1. UC Assumptions'!$H$44,0)</f>
        <v>0</v>
      </c>
      <c r="BA219" s="183">
        <f>IF(H219="Hidalgo",(AC219/$BA$1)*'1. UC Assumptions'!$I$44,0)</f>
        <v>0</v>
      </c>
      <c r="BB219" s="183">
        <f>IF(H219="Jefferson",(AC219/$BB$1)*'1. UC Assumptions'!$J$44,0)</f>
        <v>0</v>
      </c>
      <c r="BC219" s="183">
        <f>IF(H219="Lubbock",(AC219/$BC$1)*'1. UC Assumptions'!$K$44,0)</f>
        <v>0</v>
      </c>
      <c r="BD219" s="183">
        <f>IF(H219="MRSA Central",(AC219/$BD$1)*'1. UC Assumptions'!$L$44,0)</f>
        <v>0</v>
      </c>
      <c r="BE219" s="183">
        <f>IF(H219="MRSA Northeast",(AC219/$BE$1)*'1. UC Assumptions'!$M$44,0)</f>
        <v>0</v>
      </c>
      <c r="BF219" s="183">
        <f>IF(H219="MRSA West",(AC219/$BF$1)*'1. UC Assumptions'!$N$44,0)</f>
        <v>0</v>
      </c>
      <c r="BG219" s="183">
        <f>IF(H219="Nueces",(AC219/$BG$1)*'1. UC Assumptions'!$O$44,0)</f>
        <v>0</v>
      </c>
      <c r="BH219" s="183">
        <f>IF(H219="Tarrant",(AC219/$BH$1)*'1. UC Assumptions'!$P$44,0)</f>
        <v>0</v>
      </c>
      <c r="BI219" s="183">
        <f>IF(H219="Travis",(AC219/$BI$1)*'1. UC Assumptions'!$Q$44,0)</f>
        <v>0</v>
      </c>
      <c r="BJ219" s="183">
        <f t="shared" si="48"/>
        <v>0</v>
      </c>
      <c r="BK219" s="183">
        <f t="shared" si="49"/>
        <v>0</v>
      </c>
      <c r="BL219" s="183">
        <f t="shared" si="50"/>
        <v>2475232.2000000002</v>
      </c>
      <c r="BM219" s="184">
        <f t="shared" si="51"/>
        <v>1655085.4900000002</v>
      </c>
      <c r="BN219" s="184">
        <f>ROUNDDOWN(BM219*'1. UC Assumptions'!$C$23,2)</f>
        <v>546178.21</v>
      </c>
      <c r="BO219" s="184"/>
      <c r="BP219" s="185"/>
      <c r="BQ219" s="32"/>
      <c r="BR219" s="32"/>
    </row>
    <row r="220" spans="1:70">
      <c r="A220" s="177" t="s">
        <v>1605</v>
      </c>
      <c r="B220" s="178" t="s">
        <v>863</v>
      </c>
      <c r="C220" s="178" t="s">
        <v>863</v>
      </c>
      <c r="D220" s="179" t="s">
        <v>214</v>
      </c>
      <c r="E220" s="179"/>
      <c r="F220" s="177"/>
      <c r="G220" s="177" t="s">
        <v>864</v>
      </c>
      <c r="H220" s="178" t="s">
        <v>11</v>
      </c>
      <c r="I220" s="178" t="s">
        <v>865</v>
      </c>
      <c r="J220" s="131">
        <f>IFERROR(INDEX(#REF!,(MATCH('Old Calc Tab'!C:C,#REF!,0))),0)</f>
        <v>0</v>
      </c>
      <c r="K220" s="131">
        <f>IFERROR(INDEX(#REF!,(MATCH('Old Calc Tab'!$C:$C,#REF!,0))),0)</f>
        <v>0</v>
      </c>
      <c r="L220" s="131"/>
      <c r="M220" s="131">
        <v>7593346.9184491141</v>
      </c>
      <c r="N220" s="131">
        <f>IFERROR(INDEX(#REF!,(MATCH('Old Calc Tab'!$C:$C,#REF!,0))),0)</f>
        <v>0</v>
      </c>
      <c r="O220" s="131">
        <f t="shared" si="39"/>
        <v>0</v>
      </c>
      <c r="P220" s="131">
        <f t="shared" si="40"/>
        <v>7593346.9184491141</v>
      </c>
      <c r="Q220" s="131"/>
      <c r="R220" s="131"/>
      <c r="S220" s="131"/>
      <c r="T220" s="131"/>
      <c r="U220" s="131"/>
      <c r="V220" s="131">
        <v>78047</v>
      </c>
      <c r="W220" s="180">
        <v>0</v>
      </c>
      <c r="X220" s="180">
        <f t="shared" si="52"/>
        <v>7671393.9184491141</v>
      </c>
      <c r="Y220" s="181">
        <f>IF(D220="Physician Group Practice",(X220/$AE$369)*'1. UC Assumptions'!$C$15,IF(OR(E220="Rural Hospital",E220="Hosp - State"),X220,(X220/$X$369)*'1. UC Assumptions'!$C$9))</f>
        <v>4617128.3642660044</v>
      </c>
      <c r="Z220" s="181">
        <f t="shared" si="42"/>
        <v>0</v>
      </c>
      <c r="AA220" s="181">
        <f t="shared" si="43"/>
        <v>3054265.5541831097</v>
      </c>
      <c r="AB220" s="182">
        <f t="shared" si="44"/>
        <v>1640.235725182989</v>
      </c>
      <c r="AC220" s="181">
        <f t="shared" si="45"/>
        <v>3055905.7899082927</v>
      </c>
      <c r="AD220" s="181">
        <f t="shared" si="46"/>
        <v>4618768.5999911875</v>
      </c>
      <c r="AE220" s="131">
        <v>4832371.2699999996</v>
      </c>
      <c r="AF220" s="131">
        <f>AE220*'1. UC Assumptions'!$C$23</f>
        <v>1594682.5190999997</v>
      </c>
      <c r="AG220" s="183">
        <f>IF((((X220-W220-AE220)*'1. UC Assumptions'!$C$23)+AF220)&gt;0,((X220-W220-AE220)*'1. UC Assumptions'!$C$23)+AF220,0)</f>
        <v>2531559.9930882072</v>
      </c>
      <c r="AH220" s="183">
        <f>IF(((X220-W220-AE220)*'1. UC Assumptions'!$C$23)&gt;0,(X220-W220-AE220)*'1. UC Assumptions'!$C$23,0)</f>
        <v>936877.47398820764</v>
      </c>
      <c r="AI220" s="183">
        <f t="shared" si="47"/>
        <v>2531559.9930882072</v>
      </c>
      <c r="AJ220" s="183">
        <f>IF(H220="Bexar",(AD220/$AJ$1)*'1. UC Assumptions'!$E$42,0)</f>
        <v>0</v>
      </c>
      <c r="AK220" s="183">
        <f>IF(H220="Dallas",(AD220/$AK$1)*'1. UC Assumptions'!$F$42,0)</f>
        <v>0</v>
      </c>
      <c r="AL220" s="183">
        <f>IF(H220="El Paso",(AD220/$AL$1)*'1. UC Assumptions'!$G$42,0)</f>
        <v>0</v>
      </c>
      <c r="AM220" s="183">
        <f>IF(H220="Harris",(AD220/$AM$1)*'1. UC Assumptions'!$H$42,0)</f>
        <v>0</v>
      </c>
      <c r="AN220" s="183">
        <f>IF(H220="Hidalgo",(AD220/$AN$1)*'1. UC Assumptions'!$I$42,0)</f>
        <v>0</v>
      </c>
      <c r="AO220" s="183">
        <f>IF(H220="Jefferson",(AD220/$AO$1)*'1. UC Assumptions'!$J$42,0)</f>
        <v>0</v>
      </c>
      <c r="AP220" s="183">
        <f>IF(H220="Lubbock",(AD220/$AP$1)*'1. UC Assumptions'!$K$42,0)</f>
        <v>0</v>
      </c>
      <c r="AQ220" s="183">
        <f>IF(H220="MRSA Central",(AD220/$AQ$1)*'1. UC Assumptions'!$L$42,0)</f>
        <v>0</v>
      </c>
      <c r="AR220" s="183">
        <f>IF(H220="MRSA Northeast",(AD220/$AR$1)*'1. UC Assumptions'!$M$42,0)</f>
        <v>0</v>
      </c>
      <c r="AS220" s="183">
        <f>IF(H220="MRSA West",(AD220/$AS$1)*'1. UC Assumptions'!$N$42,0)</f>
        <v>0</v>
      </c>
      <c r="AT220" s="183">
        <f>IF(H220="Nueces",(AD220/$AT$1)*'1. UC Assumptions'!$O$42,0)</f>
        <v>0</v>
      </c>
      <c r="AU220" s="183">
        <f>IF(H220="Tarrant",(AD220/$AU$1)*'1. UC Assumptions'!$P$42,0)</f>
        <v>0</v>
      </c>
      <c r="AV220" s="183">
        <f>IF(H220="Travis",(AD220/$AV$1)*'1. UC Assumptions'!$Q$42,0)</f>
        <v>0</v>
      </c>
      <c r="AW220" s="183">
        <f>IF(H220="Bexar",(AC220/$AW$1)*'1. UC Assumptions'!$E$44,0)</f>
        <v>0</v>
      </c>
      <c r="AX220" s="183">
        <f>IF(H220="Dallas",(AC220/$AX$1)*'1. UC Assumptions'!$F$44,0)</f>
        <v>0</v>
      </c>
      <c r="AY220" s="183">
        <f>IF(H220="El Paso",(AC220/$AY$1)*'1. UC Assumptions'!$G$44,0)</f>
        <v>0</v>
      </c>
      <c r="AZ220" s="183">
        <f>IF(H220="Harris",(AC220/$AZ$1)*'1. UC Assumptions'!$H$44,0)</f>
        <v>0</v>
      </c>
      <c r="BA220" s="183">
        <f>IF(H220="Hidalgo",(AC220/$BA$1)*'1. UC Assumptions'!$I$44,0)</f>
        <v>0</v>
      </c>
      <c r="BB220" s="183">
        <f>IF(H220="Jefferson",(AC220/$BB$1)*'1. UC Assumptions'!$J$44,0)</f>
        <v>0</v>
      </c>
      <c r="BC220" s="183">
        <f>IF(H220="Lubbock",(AC220/$BC$1)*'1. UC Assumptions'!$K$44,0)</f>
        <v>0</v>
      </c>
      <c r="BD220" s="183">
        <f>IF(H220="MRSA Central",(AC220/$BD$1)*'1. UC Assumptions'!$L$44,0)</f>
        <v>0</v>
      </c>
      <c r="BE220" s="183">
        <f>IF(H220="MRSA Northeast",(AC220/$BE$1)*'1. UC Assumptions'!$M$44,0)</f>
        <v>0</v>
      </c>
      <c r="BF220" s="183">
        <f>IF(H220="MRSA West",(AC220/$BF$1)*'1. UC Assumptions'!$N$44,0)</f>
        <v>0</v>
      </c>
      <c r="BG220" s="183">
        <f>IF(H220="Nueces",(AC220/$BG$1)*'1. UC Assumptions'!$O$44,0)</f>
        <v>0</v>
      </c>
      <c r="BH220" s="183">
        <f>IF(H220="Tarrant",(AC220/$BH$1)*'1. UC Assumptions'!$P$44,0)</f>
        <v>0</v>
      </c>
      <c r="BI220" s="183">
        <f>IF(H220="Travis",(AC220/$BI$1)*'1. UC Assumptions'!$Q$44,0)</f>
        <v>0</v>
      </c>
      <c r="BJ220" s="183">
        <f t="shared" si="48"/>
        <v>0</v>
      </c>
      <c r="BK220" s="183">
        <f t="shared" si="49"/>
        <v>0</v>
      </c>
      <c r="BL220" s="183">
        <f t="shared" si="50"/>
        <v>4618768.5999911875</v>
      </c>
      <c r="BM220" s="184">
        <f t="shared" si="51"/>
        <v>-213602.6700088121</v>
      </c>
      <c r="BN220" s="184">
        <f>ROUNDDOWN(BM220*'1. UC Assumptions'!$C$23,2)</f>
        <v>-70488.88</v>
      </c>
      <c r="BO220" s="184"/>
      <c r="BP220" s="185"/>
      <c r="BQ220" s="32"/>
      <c r="BR220" s="32"/>
    </row>
    <row r="221" spans="1:70">
      <c r="A221" s="177" t="s">
        <v>1606</v>
      </c>
      <c r="B221" s="177" t="s">
        <v>874</v>
      </c>
      <c r="C221" s="178" t="s">
        <v>874</v>
      </c>
      <c r="D221" s="179" t="s">
        <v>214</v>
      </c>
      <c r="E221" s="179" t="s">
        <v>149</v>
      </c>
      <c r="F221" s="177"/>
      <c r="G221" s="177" t="s">
        <v>1607</v>
      </c>
      <c r="H221" s="178" t="s">
        <v>11</v>
      </c>
      <c r="I221" s="178" t="s">
        <v>876</v>
      </c>
      <c r="J221" s="131">
        <f>IFERROR(INDEX(#REF!,(MATCH('Old Calc Tab'!C:C,#REF!,0))),0)</f>
        <v>0</v>
      </c>
      <c r="K221" s="131">
        <f>IFERROR(INDEX(#REF!,(MATCH('Old Calc Tab'!$C:$C,#REF!,0))),0)</f>
        <v>0</v>
      </c>
      <c r="L221" s="131"/>
      <c r="M221" s="131">
        <v>56501.469975371685</v>
      </c>
      <c r="N221" s="131">
        <f>IFERROR(INDEX(#REF!,(MATCH('Old Calc Tab'!$C:$C,#REF!,0))),0)</f>
        <v>0</v>
      </c>
      <c r="O221" s="131">
        <f t="shared" si="39"/>
        <v>0</v>
      </c>
      <c r="P221" s="131">
        <f t="shared" si="40"/>
        <v>56501.469975371685</v>
      </c>
      <c r="Q221" s="131"/>
      <c r="R221" s="131"/>
      <c r="S221" s="131"/>
      <c r="T221" s="131"/>
      <c r="U221" s="131"/>
      <c r="V221" s="131">
        <v>6047</v>
      </c>
      <c r="W221" s="180">
        <v>0</v>
      </c>
      <c r="X221" s="180">
        <f t="shared" si="52"/>
        <v>62548.469975371685</v>
      </c>
      <c r="Y221" s="181">
        <f>IF(D221="Physician Group Practice",(X221/$AE$369)*'1. UC Assumptions'!$C$15,IF(OR(E221="Rural Hospital",E221="Hosp - State"),X221,(X221/$X$369)*'1. UC Assumptions'!$C$9))</f>
        <v>62548.469975371685</v>
      </c>
      <c r="Z221" s="181">
        <f t="shared" si="42"/>
        <v>0</v>
      </c>
      <c r="AA221" s="181">
        <f t="shared" si="43"/>
        <v>0</v>
      </c>
      <c r="AB221" s="182">
        <f t="shared" si="44"/>
        <v>0</v>
      </c>
      <c r="AC221" s="181">
        <f t="shared" si="45"/>
        <v>0</v>
      </c>
      <c r="AD221" s="181">
        <f t="shared" si="46"/>
        <v>62548.469975371685</v>
      </c>
      <c r="AE221" s="131">
        <v>0</v>
      </c>
      <c r="AF221" s="131">
        <f>AE221*'1. UC Assumptions'!$C$23</f>
        <v>0</v>
      </c>
      <c r="AG221" s="183">
        <f>IF((((X221-W221-AE221)*'1. UC Assumptions'!$C$23)+AF221)&gt;0,((X221-W221-AE221)*'1. UC Assumptions'!$C$23)+AF221,0)</f>
        <v>20640.995091872654</v>
      </c>
      <c r="AH221" s="183">
        <f>IF(((X221-W221-AE221)*'1. UC Assumptions'!$C$23)&gt;0,(X221-W221-AE221)*'1. UC Assumptions'!$C$23,0)</f>
        <v>20640.995091872654</v>
      </c>
      <c r="AI221" s="183">
        <f t="shared" si="47"/>
        <v>20640.995091872654</v>
      </c>
      <c r="AJ221" s="183">
        <f>IF(H221="Bexar",(AD221/$AJ$1)*'1. UC Assumptions'!$E$42,0)</f>
        <v>0</v>
      </c>
      <c r="AK221" s="183">
        <f>IF(H221="Dallas",(AD221/$AK$1)*'1. UC Assumptions'!$F$42,0)</f>
        <v>0</v>
      </c>
      <c r="AL221" s="183">
        <f>IF(H221="El Paso",(AD221/$AL$1)*'1. UC Assumptions'!$G$42,0)</f>
        <v>0</v>
      </c>
      <c r="AM221" s="183">
        <f>IF(H221="Harris",(AD221/$AM$1)*'1. UC Assumptions'!$H$42,0)</f>
        <v>0</v>
      </c>
      <c r="AN221" s="183">
        <f>IF(H221="Hidalgo",(AD221/$AN$1)*'1. UC Assumptions'!$I$42,0)</f>
        <v>0</v>
      </c>
      <c r="AO221" s="183">
        <f>IF(H221="Jefferson",(AD221/$AO$1)*'1. UC Assumptions'!$J$42,0)</f>
        <v>0</v>
      </c>
      <c r="AP221" s="183">
        <f>IF(H221="Lubbock",(AD221/$AP$1)*'1. UC Assumptions'!$K$42,0)</f>
        <v>0</v>
      </c>
      <c r="AQ221" s="183">
        <f>IF(H221="MRSA Central",(AD221/$AQ$1)*'1. UC Assumptions'!$L$42,0)</f>
        <v>0</v>
      </c>
      <c r="AR221" s="183">
        <f>IF(H221="MRSA Northeast",(AD221/$AR$1)*'1. UC Assumptions'!$M$42,0)</f>
        <v>0</v>
      </c>
      <c r="AS221" s="183">
        <f>IF(H221="MRSA West",(AD221/$AS$1)*'1. UC Assumptions'!$N$42,0)</f>
        <v>0</v>
      </c>
      <c r="AT221" s="183">
        <f>IF(H221="Nueces",(AD221/$AT$1)*'1. UC Assumptions'!$O$42,0)</f>
        <v>0</v>
      </c>
      <c r="AU221" s="183">
        <f>IF(H221="Tarrant",(AD221/$AU$1)*'1. UC Assumptions'!$P$42,0)</f>
        <v>0</v>
      </c>
      <c r="AV221" s="183">
        <f>IF(H221="Travis",(AD221/$AV$1)*'1. UC Assumptions'!$Q$42,0)</f>
        <v>0</v>
      </c>
      <c r="AW221" s="183">
        <f>IF(H221="Bexar",(AC221/$AW$1)*'1. UC Assumptions'!$E$44,0)</f>
        <v>0</v>
      </c>
      <c r="AX221" s="183">
        <f>IF(H221="Dallas",(AC221/$AX$1)*'1. UC Assumptions'!$F$44,0)</f>
        <v>0</v>
      </c>
      <c r="AY221" s="183">
        <f>IF(H221="El Paso",(AC221/$AY$1)*'1. UC Assumptions'!$G$44,0)</f>
        <v>0</v>
      </c>
      <c r="AZ221" s="183">
        <f>IF(H221="Harris",(AC221/$AZ$1)*'1. UC Assumptions'!$H$44,0)</f>
        <v>0</v>
      </c>
      <c r="BA221" s="183">
        <f>IF(H221="Hidalgo",(AC221/$BA$1)*'1. UC Assumptions'!$I$44,0)</f>
        <v>0</v>
      </c>
      <c r="BB221" s="183">
        <f>IF(H221="Jefferson",(AC221/$BB$1)*'1. UC Assumptions'!$J$44,0)</f>
        <v>0</v>
      </c>
      <c r="BC221" s="183">
        <f>IF(H221="Lubbock",(AC221/$BC$1)*'1. UC Assumptions'!$K$44,0)</f>
        <v>0</v>
      </c>
      <c r="BD221" s="183">
        <f>IF(H221="MRSA Central",(AC221/$BD$1)*'1. UC Assumptions'!$L$44,0)</f>
        <v>0</v>
      </c>
      <c r="BE221" s="183">
        <f>IF(H221="MRSA Northeast",(AC221/$BE$1)*'1. UC Assumptions'!$M$44,0)</f>
        <v>0</v>
      </c>
      <c r="BF221" s="183">
        <f>IF(H221="MRSA West",(AC221/$BF$1)*'1. UC Assumptions'!$N$44,0)</f>
        <v>0</v>
      </c>
      <c r="BG221" s="183">
        <f>IF(H221="Nueces",(AC221/$BG$1)*'1. UC Assumptions'!$O$44,0)</f>
        <v>0</v>
      </c>
      <c r="BH221" s="183">
        <f>IF(H221="Tarrant",(AC221/$BH$1)*'1. UC Assumptions'!$P$44,0)</f>
        <v>0</v>
      </c>
      <c r="BI221" s="183">
        <f>IF(H221="Travis",(AC221/$BI$1)*'1. UC Assumptions'!$Q$44,0)</f>
        <v>0</v>
      </c>
      <c r="BJ221" s="183">
        <f t="shared" si="48"/>
        <v>0</v>
      </c>
      <c r="BK221" s="183">
        <f t="shared" si="49"/>
        <v>0</v>
      </c>
      <c r="BL221" s="183">
        <f t="shared" si="50"/>
        <v>62548.469975371685</v>
      </c>
      <c r="BM221" s="184">
        <f t="shared" si="51"/>
        <v>62548.469975371685</v>
      </c>
      <c r="BN221" s="184">
        <f>ROUNDDOWN(BM221*'1. UC Assumptions'!$C$23,2)</f>
        <v>20640.990000000002</v>
      </c>
      <c r="BO221" s="184"/>
      <c r="BP221" s="185"/>
      <c r="BQ221" s="32"/>
      <c r="BR221" s="32"/>
    </row>
    <row r="222" spans="1:70">
      <c r="A222" s="177" t="s">
        <v>1608</v>
      </c>
      <c r="B222" s="187" t="s">
        <v>882</v>
      </c>
      <c r="C222" s="178" t="s">
        <v>882</v>
      </c>
      <c r="D222" s="179" t="s">
        <v>214</v>
      </c>
      <c r="E222" s="179"/>
      <c r="F222" s="177"/>
      <c r="G222" s="177" t="s">
        <v>883</v>
      </c>
      <c r="H222" s="178" t="s">
        <v>11</v>
      </c>
      <c r="I222" s="178" t="s">
        <v>253</v>
      </c>
      <c r="J222" s="131">
        <f>IFERROR(INDEX(#REF!,(MATCH('Old Calc Tab'!C:C,#REF!,0))),0)</f>
        <v>0</v>
      </c>
      <c r="K222" s="131">
        <f>IFERROR(INDEX(#REF!,(MATCH('Old Calc Tab'!$C:$C,#REF!,0))),0)</f>
        <v>0</v>
      </c>
      <c r="L222" s="131"/>
      <c r="M222" s="131">
        <v>52126.5</v>
      </c>
      <c r="N222" s="131">
        <f>IFERROR(INDEX(#REF!,(MATCH('Old Calc Tab'!$C:$C,#REF!,0))),0)</f>
        <v>0</v>
      </c>
      <c r="O222" s="131">
        <f t="shared" si="39"/>
        <v>0</v>
      </c>
      <c r="P222" s="131">
        <f t="shared" si="40"/>
        <v>52126.5</v>
      </c>
      <c r="Q222" s="131"/>
      <c r="R222" s="131"/>
      <c r="S222" s="131"/>
      <c r="T222" s="131"/>
      <c r="U222" s="131"/>
      <c r="V222" s="131">
        <v>0</v>
      </c>
      <c r="W222" s="180">
        <v>0</v>
      </c>
      <c r="X222" s="180">
        <f t="shared" si="52"/>
        <v>52126.5</v>
      </c>
      <c r="Y222" s="181">
        <f>IF(D222="Physician Group Practice",(X222/$AE$369)*'1. UC Assumptions'!$C$15,IF(OR(E222="Rural Hospital",E222="Hosp - State"),X222,(X222/$X$369)*'1. UC Assumptions'!$C$9))</f>
        <v>31373.013071471614</v>
      </c>
      <c r="Z222" s="181">
        <f t="shared" si="42"/>
        <v>0</v>
      </c>
      <c r="AA222" s="181">
        <f t="shared" si="43"/>
        <v>20753.486928528386</v>
      </c>
      <c r="AB222" s="182">
        <f t="shared" si="44"/>
        <v>11.145268830887531</v>
      </c>
      <c r="AC222" s="181">
        <f t="shared" si="45"/>
        <v>20764.632197359275</v>
      </c>
      <c r="AD222" s="181">
        <f t="shared" si="46"/>
        <v>31384.158340302503</v>
      </c>
      <c r="AE222" s="131">
        <v>2785485.19</v>
      </c>
      <c r="AF222" s="131">
        <f>AE222*'1. UC Assumptions'!$C$23</f>
        <v>919210.11269999982</v>
      </c>
      <c r="AG222" s="183">
        <f>IF((((X222-W222-AE222)*'1. UC Assumptions'!$C$23)+AF222)&gt;0,((X222-W222-AE222)*'1. UC Assumptions'!$C$23)+AF222,0)</f>
        <v>17201.744999999995</v>
      </c>
      <c r="AH222" s="183">
        <f>IF(((X222-W222-AE222)*'1. UC Assumptions'!$C$23)&gt;0,(X222-W222-AE222)*'1. UC Assumptions'!$C$23,0)</f>
        <v>0</v>
      </c>
      <c r="AI222" s="183">
        <f t="shared" si="47"/>
        <v>919210.11269999982</v>
      </c>
      <c r="AJ222" s="183">
        <f>IF(H222="Bexar",(AD222/$AJ$1)*'1. UC Assumptions'!$E$42,0)</f>
        <v>0</v>
      </c>
      <c r="AK222" s="183">
        <f>IF(H222="Dallas",(AD222/$AK$1)*'1. UC Assumptions'!$F$42,0)</f>
        <v>0</v>
      </c>
      <c r="AL222" s="183">
        <f>IF(H222="El Paso",(AD222/$AL$1)*'1. UC Assumptions'!$G$42,0)</f>
        <v>0</v>
      </c>
      <c r="AM222" s="183">
        <f>IF(H222="Harris",(AD222/$AM$1)*'1. UC Assumptions'!$H$42,0)</f>
        <v>0</v>
      </c>
      <c r="AN222" s="183">
        <f>IF(H222="Hidalgo",(AD222/$AN$1)*'1. UC Assumptions'!$I$42,0)</f>
        <v>0</v>
      </c>
      <c r="AO222" s="183">
        <f>IF(H222="Jefferson",(AD222/$AO$1)*'1. UC Assumptions'!$J$42,0)</f>
        <v>0</v>
      </c>
      <c r="AP222" s="183">
        <f>IF(H222="Lubbock",(AD222/$AP$1)*'1. UC Assumptions'!$K$42,0)</f>
        <v>0</v>
      </c>
      <c r="AQ222" s="183">
        <f>IF(H222="MRSA Central",(AD222/$AQ$1)*'1. UC Assumptions'!$L$42,0)</f>
        <v>0</v>
      </c>
      <c r="AR222" s="183">
        <f>IF(H222="MRSA Northeast",(AD222/$AR$1)*'1. UC Assumptions'!$M$42,0)</f>
        <v>0</v>
      </c>
      <c r="AS222" s="183">
        <f>IF(H222="MRSA West",(AD222/$AS$1)*'1. UC Assumptions'!$N$42,0)</f>
        <v>0</v>
      </c>
      <c r="AT222" s="183">
        <f>IF(H222="Nueces",(AD222/$AT$1)*'1. UC Assumptions'!$O$42,0)</f>
        <v>0</v>
      </c>
      <c r="AU222" s="183">
        <f>IF(H222="Tarrant",(AD222/$AU$1)*'1. UC Assumptions'!$P$42,0)</f>
        <v>0</v>
      </c>
      <c r="AV222" s="183">
        <f>IF(H222="Travis",(AD222/$AV$1)*'1. UC Assumptions'!$Q$42,0)</f>
        <v>0</v>
      </c>
      <c r="AW222" s="183">
        <f>IF(H222="Bexar",(AC222/$AW$1)*'1. UC Assumptions'!$E$44,0)</f>
        <v>0</v>
      </c>
      <c r="AX222" s="183">
        <f>IF(H222="Dallas",(AC222/$AX$1)*'1. UC Assumptions'!$F$44,0)</f>
        <v>0</v>
      </c>
      <c r="AY222" s="183">
        <f>IF(H222="El Paso",(AC222/$AY$1)*'1. UC Assumptions'!$G$44,0)</f>
        <v>0</v>
      </c>
      <c r="AZ222" s="183">
        <f>IF(H222="Harris",(AC222/$AZ$1)*'1. UC Assumptions'!$H$44,0)</f>
        <v>0</v>
      </c>
      <c r="BA222" s="183">
        <f>IF(H222="Hidalgo",(AC222/$BA$1)*'1. UC Assumptions'!$I$44,0)</f>
        <v>0</v>
      </c>
      <c r="BB222" s="183">
        <f>IF(H222="Jefferson",(AC222/$BB$1)*'1. UC Assumptions'!$J$44,0)</f>
        <v>0</v>
      </c>
      <c r="BC222" s="183">
        <f>IF(H222="Lubbock",(AC222/$BC$1)*'1. UC Assumptions'!$K$44,0)</f>
        <v>0</v>
      </c>
      <c r="BD222" s="183">
        <f>IF(H222="MRSA Central",(AC222/$BD$1)*'1. UC Assumptions'!$L$44,0)</f>
        <v>0</v>
      </c>
      <c r="BE222" s="183">
        <f>IF(H222="MRSA Northeast",(AC222/$BE$1)*'1. UC Assumptions'!$M$44,0)</f>
        <v>0</v>
      </c>
      <c r="BF222" s="183">
        <f>IF(H222="MRSA West",(AC222/$BF$1)*'1. UC Assumptions'!$N$44,0)</f>
        <v>0</v>
      </c>
      <c r="BG222" s="183">
        <f>IF(H222="Nueces",(AC222/$BG$1)*'1. UC Assumptions'!$O$44,0)</f>
        <v>0</v>
      </c>
      <c r="BH222" s="183">
        <f>IF(H222="Tarrant",(AC222/$BH$1)*'1. UC Assumptions'!$P$44,0)</f>
        <v>0</v>
      </c>
      <c r="BI222" s="183">
        <f>IF(H222="Travis",(AC222/$BI$1)*'1. UC Assumptions'!$Q$44,0)</f>
        <v>0</v>
      </c>
      <c r="BJ222" s="183">
        <f t="shared" si="48"/>
        <v>0</v>
      </c>
      <c r="BK222" s="183">
        <f t="shared" si="49"/>
        <v>0</v>
      </c>
      <c r="BL222" s="183">
        <f t="shared" si="50"/>
        <v>31384.158340302503</v>
      </c>
      <c r="BM222" s="184">
        <f t="shared" si="51"/>
        <v>-2754101.0316596976</v>
      </c>
      <c r="BN222" s="184">
        <f>ROUNDDOWN(BM222*'1. UC Assumptions'!$C$23,2)</f>
        <v>-908853.34</v>
      </c>
      <c r="BO222" s="184"/>
      <c r="BP222" s="185"/>
      <c r="BQ222" s="32"/>
      <c r="BR222" s="32"/>
    </row>
    <row r="223" spans="1:70">
      <c r="A223" s="177" t="s">
        <v>1609</v>
      </c>
      <c r="B223" s="177" t="s">
        <v>1610</v>
      </c>
      <c r="C223" s="178" t="s">
        <v>1610</v>
      </c>
      <c r="D223" s="179" t="s">
        <v>214</v>
      </c>
      <c r="E223" s="179" t="s">
        <v>149</v>
      </c>
      <c r="F223" s="177"/>
      <c r="G223" s="177" t="s">
        <v>1611</v>
      </c>
      <c r="H223" s="178" t="s">
        <v>11</v>
      </c>
      <c r="I223" s="178" t="s">
        <v>1037</v>
      </c>
      <c r="J223" s="131">
        <f>IFERROR(INDEX(#REF!,(MATCH('Old Calc Tab'!C:C,#REF!,0))),0)</f>
        <v>0</v>
      </c>
      <c r="K223" s="131">
        <f>IFERROR(INDEX(#REF!,(MATCH('Old Calc Tab'!$C:$C,#REF!,0))),0)</f>
        <v>0</v>
      </c>
      <c r="L223" s="131"/>
      <c r="M223" s="131">
        <v>921523.05</v>
      </c>
      <c r="N223" s="131">
        <f>IFERROR(INDEX(#REF!,(MATCH('Old Calc Tab'!$C:$C,#REF!,0))),0)</f>
        <v>0</v>
      </c>
      <c r="O223" s="131">
        <f t="shared" si="39"/>
        <v>0</v>
      </c>
      <c r="P223" s="131">
        <f t="shared" si="40"/>
        <v>921523.05</v>
      </c>
      <c r="Q223" s="131"/>
      <c r="R223" s="131"/>
      <c r="S223" s="131"/>
      <c r="T223" s="131"/>
      <c r="U223" s="131"/>
      <c r="V223" s="131">
        <v>0</v>
      </c>
      <c r="W223" s="180">
        <v>0</v>
      </c>
      <c r="X223" s="180">
        <f t="shared" si="52"/>
        <v>921523.05</v>
      </c>
      <c r="Y223" s="181">
        <f>IF(D223="Physician Group Practice",(X223/$AE$369)*'1. UC Assumptions'!$C$15,IF(OR(E223="Rural Hospital",E223="Hosp - State"),X223,(X223/$X$369)*'1. UC Assumptions'!$C$9))</f>
        <v>921523.05</v>
      </c>
      <c r="Z223" s="181">
        <f t="shared" si="42"/>
        <v>0</v>
      </c>
      <c r="AA223" s="181">
        <f t="shared" si="43"/>
        <v>0</v>
      </c>
      <c r="AB223" s="182">
        <f t="shared" si="44"/>
        <v>0</v>
      </c>
      <c r="AC223" s="181">
        <f t="shared" si="45"/>
        <v>0</v>
      </c>
      <c r="AD223" s="181">
        <f t="shared" si="46"/>
        <v>921523.05</v>
      </c>
      <c r="AE223" s="131">
        <v>389207.44</v>
      </c>
      <c r="AF223" s="131">
        <f>AE223*'1. UC Assumptions'!$C$23</f>
        <v>128438.45519999998</v>
      </c>
      <c r="AG223" s="183">
        <f>IF((((X223-W223-AE223)*'1. UC Assumptions'!$C$23)+AF223)&gt;0,((X223-W223-AE223)*'1. UC Assumptions'!$C$23)+AF223,0)</f>
        <v>304102.60649999999</v>
      </c>
      <c r="AH223" s="183">
        <f>IF(((X223-W223-AE223)*'1. UC Assumptions'!$C$23)&gt;0,(X223-W223-AE223)*'1. UC Assumptions'!$C$23,0)</f>
        <v>175664.15130000003</v>
      </c>
      <c r="AI223" s="183">
        <f t="shared" si="47"/>
        <v>304102.60649999999</v>
      </c>
      <c r="AJ223" s="183">
        <f>IF(H223="Bexar",(AD223/$AJ$1)*'1. UC Assumptions'!$E$42,0)</f>
        <v>0</v>
      </c>
      <c r="AK223" s="183">
        <f>IF(H223="Dallas",(AD223/$AK$1)*'1. UC Assumptions'!$F$42,0)</f>
        <v>0</v>
      </c>
      <c r="AL223" s="183">
        <f>IF(H223="El Paso",(AD223/$AL$1)*'1. UC Assumptions'!$G$42,0)</f>
        <v>0</v>
      </c>
      <c r="AM223" s="183">
        <f>IF(H223="Harris",(AD223/$AM$1)*'1. UC Assumptions'!$H$42,0)</f>
        <v>0</v>
      </c>
      <c r="AN223" s="183">
        <f>IF(H223="Hidalgo",(AD223/$AN$1)*'1. UC Assumptions'!$I$42,0)</f>
        <v>0</v>
      </c>
      <c r="AO223" s="183">
        <f>IF(H223="Jefferson",(AD223/$AO$1)*'1. UC Assumptions'!$J$42,0)</f>
        <v>0</v>
      </c>
      <c r="AP223" s="183">
        <f>IF(H223="Lubbock",(AD223/$AP$1)*'1. UC Assumptions'!$K$42,0)</f>
        <v>0</v>
      </c>
      <c r="AQ223" s="183">
        <f>IF(H223="MRSA Central",(AD223/$AQ$1)*'1. UC Assumptions'!$L$42,0)</f>
        <v>0</v>
      </c>
      <c r="AR223" s="183">
        <f>IF(H223="MRSA Northeast",(AD223/$AR$1)*'1. UC Assumptions'!$M$42,0)</f>
        <v>0</v>
      </c>
      <c r="AS223" s="183">
        <f>IF(H223="MRSA West",(AD223/$AS$1)*'1. UC Assumptions'!$N$42,0)</f>
        <v>0</v>
      </c>
      <c r="AT223" s="183">
        <f>IF(H223="Nueces",(AD223/$AT$1)*'1. UC Assumptions'!$O$42,0)</f>
        <v>0</v>
      </c>
      <c r="AU223" s="183">
        <f>IF(H223="Tarrant",(AD223/$AU$1)*'1. UC Assumptions'!$P$42,0)</f>
        <v>0</v>
      </c>
      <c r="AV223" s="183">
        <f>IF(H223="Travis",(AD223/$AV$1)*'1. UC Assumptions'!$Q$42,0)</f>
        <v>0</v>
      </c>
      <c r="AW223" s="183">
        <f>IF(H223="Bexar",(AC223/$AW$1)*'1. UC Assumptions'!$E$44,0)</f>
        <v>0</v>
      </c>
      <c r="AX223" s="183">
        <f>IF(H223="Dallas",(AC223/$AX$1)*'1. UC Assumptions'!$F$44,0)</f>
        <v>0</v>
      </c>
      <c r="AY223" s="183">
        <f>IF(H223="El Paso",(AC223/$AY$1)*'1. UC Assumptions'!$G$44,0)</f>
        <v>0</v>
      </c>
      <c r="AZ223" s="183">
        <f>IF(H223="Harris",(AC223/$AZ$1)*'1. UC Assumptions'!$H$44,0)</f>
        <v>0</v>
      </c>
      <c r="BA223" s="183">
        <f>IF(H223="Hidalgo",(AC223/$BA$1)*'1. UC Assumptions'!$I$44,0)</f>
        <v>0</v>
      </c>
      <c r="BB223" s="183">
        <f>IF(H223="Jefferson",(AC223/$BB$1)*'1. UC Assumptions'!$J$44,0)</f>
        <v>0</v>
      </c>
      <c r="BC223" s="183">
        <f>IF(H223="Lubbock",(AC223/$BC$1)*'1. UC Assumptions'!$K$44,0)</f>
        <v>0</v>
      </c>
      <c r="BD223" s="183">
        <f>IF(H223="MRSA Central",(AC223/$BD$1)*'1. UC Assumptions'!$L$44,0)</f>
        <v>0</v>
      </c>
      <c r="BE223" s="183">
        <f>IF(H223="MRSA Northeast",(AC223/$BE$1)*'1. UC Assumptions'!$M$44,0)</f>
        <v>0</v>
      </c>
      <c r="BF223" s="183">
        <f>IF(H223="MRSA West",(AC223/$BF$1)*'1. UC Assumptions'!$N$44,0)</f>
        <v>0</v>
      </c>
      <c r="BG223" s="183">
        <f>IF(H223="Nueces",(AC223/$BG$1)*'1. UC Assumptions'!$O$44,0)</f>
        <v>0</v>
      </c>
      <c r="BH223" s="183">
        <f>IF(H223="Tarrant",(AC223/$BH$1)*'1. UC Assumptions'!$P$44,0)</f>
        <v>0</v>
      </c>
      <c r="BI223" s="183">
        <f>IF(H223="Travis",(AC223/$BI$1)*'1. UC Assumptions'!$Q$44,0)</f>
        <v>0</v>
      </c>
      <c r="BJ223" s="183">
        <f t="shared" si="48"/>
        <v>0</v>
      </c>
      <c r="BK223" s="183">
        <f t="shared" si="49"/>
        <v>0</v>
      </c>
      <c r="BL223" s="183">
        <f t="shared" si="50"/>
        <v>921523.05</v>
      </c>
      <c r="BM223" s="184">
        <f t="shared" si="51"/>
        <v>532315.6100000001</v>
      </c>
      <c r="BN223" s="184">
        <f>ROUNDDOWN(BM223*'1. UC Assumptions'!$C$23,2)</f>
        <v>175664.15</v>
      </c>
      <c r="BO223" s="184"/>
      <c r="BP223" s="185"/>
      <c r="BQ223" s="32"/>
      <c r="BR223" s="32"/>
    </row>
    <row r="224" spans="1:70">
      <c r="A224" s="177" t="s">
        <v>1612</v>
      </c>
      <c r="B224" s="177" t="s">
        <v>908</v>
      </c>
      <c r="C224" s="178" t="s">
        <v>908</v>
      </c>
      <c r="D224" s="179" t="s">
        <v>214</v>
      </c>
      <c r="E224" s="179"/>
      <c r="F224" s="177"/>
      <c r="G224" s="177" t="s">
        <v>1613</v>
      </c>
      <c r="H224" s="178" t="s">
        <v>11</v>
      </c>
      <c r="I224" s="178" t="s">
        <v>865</v>
      </c>
      <c r="J224" s="131">
        <f>IFERROR(INDEX(#REF!,(MATCH('Old Calc Tab'!C:C,#REF!,0))),0)</f>
        <v>0</v>
      </c>
      <c r="K224" s="131">
        <f>IFERROR(INDEX(#REF!,(MATCH('Old Calc Tab'!$C:$C,#REF!,0))),0)</f>
        <v>0</v>
      </c>
      <c r="L224" s="131"/>
      <c r="M224" s="131">
        <v>370487.91379999998</v>
      </c>
      <c r="N224" s="131">
        <f>IFERROR(INDEX(#REF!,(MATCH('Old Calc Tab'!$C:$C,#REF!,0))),0)</f>
        <v>0</v>
      </c>
      <c r="O224" s="131">
        <f t="shared" si="39"/>
        <v>0</v>
      </c>
      <c r="P224" s="131">
        <f t="shared" si="40"/>
        <v>370487.91379999998</v>
      </c>
      <c r="Q224" s="131"/>
      <c r="R224" s="131"/>
      <c r="S224" s="131"/>
      <c r="T224" s="131"/>
      <c r="U224" s="131"/>
      <c r="V224" s="131">
        <v>237186</v>
      </c>
      <c r="W224" s="180">
        <v>0</v>
      </c>
      <c r="X224" s="180">
        <f t="shared" si="52"/>
        <v>607673.91379999998</v>
      </c>
      <c r="Y224" s="181">
        <f>IF(D224="Physician Group Practice",(X224/$AE$369)*'1. UC Assumptions'!$C$15,IF(OR(E224="Rural Hospital",E224="Hosp - State"),X224,(X224/$X$369)*'1. UC Assumptions'!$C$9))</f>
        <v>365736.461125142</v>
      </c>
      <c r="Z224" s="181">
        <f t="shared" si="42"/>
        <v>0</v>
      </c>
      <c r="AA224" s="181">
        <f t="shared" si="43"/>
        <v>241937.45267485798</v>
      </c>
      <c r="AB224" s="182">
        <f t="shared" si="44"/>
        <v>129.92794702921884</v>
      </c>
      <c r="AC224" s="181">
        <f t="shared" si="45"/>
        <v>242067.38062188719</v>
      </c>
      <c r="AD224" s="181">
        <f t="shared" si="46"/>
        <v>365866.38907217124</v>
      </c>
      <c r="AE224" s="131">
        <v>0</v>
      </c>
      <c r="AF224" s="131">
        <f>AE224*'1. UC Assumptions'!$C$23</f>
        <v>0</v>
      </c>
      <c r="AG224" s="183">
        <f>IF((((X224-W224-AE224)*'1. UC Assumptions'!$C$23)+AF224)&gt;0,((X224-W224-AE224)*'1. UC Assumptions'!$C$23)+AF224,0)</f>
        <v>200532.39155399997</v>
      </c>
      <c r="AH224" s="183">
        <f>IF(((X224-W224-AE224)*'1. UC Assumptions'!$C$23)&gt;0,(X224-W224-AE224)*'1. UC Assumptions'!$C$23,0)</f>
        <v>200532.39155399997</v>
      </c>
      <c r="AI224" s="183">
        <f t="shared" si="47"/>
        <v>200532.39155399997</v>
      </c>
      <c r="AJ224" s="183">
        <f>IF(H224="Bexar",(AD224/$AJ$1)*'1. UC Assumptions'!$E$42,0)</f>
        <v>0</v>
      </c>
      <c r="AK224" s="183">
        <f>IF(H224="Dallas",(AD224/$AK$1)*'1. UC Assumptions'!$F$42,0)</f>
        <v>0</v>
      </c>
      <c r="AL224" s="183">
        <f>IF(H224="El Paso",(AD224/$AL$1)*'1. UC Assumptions'!$G$42,0)</f>
        <v>0</v>
      </c>
      <c r="AM224" s="183">
        <f>IF(H224="Harris",(AD224/$AM$1)*'1. UC Assumptions'!$H$42,0)</f>
        <v>0</v>
      </c>
      <c r="AN224" s="183">
        <f>IF(H224="Hidalgo",(AD224/$AN$1)*'1. UC Assumptions'!$I$42,0)</f>
        <v>0</v>
      </c>
      <c r="AO224" s="183">
        <f>IF(H224="Jefferson",(AD224/$AO$1)*'1. UC Assumptions'!$J$42,0)</f>
        <v>0</v>
      </c>
      <c r="AP224" s="183">
        <f>IF(H224="Lubbock",(AD224/$AP$1)*'1. UC Assumptions'!$K$42,0)</f>
        <v>0</v>
      </c>
      <c r="AQ224" s="183">
        <f>IF(H224="MRSA Central",(AD224/$AQ$1)*'1. UC Assumptions'!$L$42,0)</f>
        <v>0</v>
      </c>
      <c r="AR224" s="183">
        <f>IF(H224="MRSA Northeast",(AD224/$AR$1)*'1. UC Assumptions'!$M$42,0)</f>
        <v>0</v>
      </c>
      <c r="AS224" s="183">
        <f>IF(H224="MRSA West",(AD224/$AS$1)*'1. UC Assumptions'!$N$42,0)</f>
        <v>0</v>
      </c>
      <c r="AT224" s="183">
        <f>IF(H224="Nueces",(AD224/$AT$1)*'1. UC Assumptions'!$O$42,0)</f>
        <v>0</v>
      </c>
      <c r="AU224" s="183">
        <f>IF(H224="Tarrant",(AD224/$AU$1)*'1. UC Assumptions'!$P$42,0)</f>
        <v>0</v>
      </c>
      <c r="AV224" s="183">
        <f>IF(H224="Travis",(AD224/$AV$1)*'1. UC Assumptions'!$Q$42,0)</f>
        <v>0</v>
      </c>
      <c r="AW224" s="183">
        <f>IF(H224="Bexar",(AC224/$AW$1)*'1. UC Assumptions'!$E$44,0)</f>
        <v>0</v>
      </c>
      <c r="AX224" s="183">
        <f>IF(H224="Dallas",(AC224/$AX$1)*'1. UC Assumptions'!$F$44,0)</f>
        <v>0</v>
      </c>
      <c r="AY224" s="183">
        <f>IF(H224="El Paso",(AC224/$AY$1)*'1. UC Assumptions'!$G$44,0)</f>
        <v>0</v>
      </c>
      <c r="AZ224" s="183">
        <f>IF(H224="Harris",(AC224/$AZ$1)*'1. UC Assumptions'!$H$44,0)</f>
        <v>0</v>
      </c>
      <c r="BA224" s="183">
        <f>IF(H224="Hidalgo",(AC224/$BA$1)*'1. UC Assumptions'!$I$44,0)</f>
        <v>0</v>
      </c>
      <c r="BB224" s="183">
        <f>IF(H224="Jefferson",(AC224/$BB$1)*'1. UC Assumptions'!$J$44,0)</f>
        <v>0</v>
      </c>
      <c r="BC224" s="183">
        <f>IF(H224="Lubbock",(AC224/$BC$1)*'1. UC Assumptions'!$K$44,0)</f>
        <v>0</v>
      </c>
      <c r="BD224" s="183">
        <f>IF(H224="MRSA Central",(AC224/$BD$1)*'1. UC Assumptions'!$L$44,0)</f>
        <v>0</v>
      </c>
      <c r="BE224" s="183">
        <f>IF(H224="MRSA Northeast",(AC224/$BE$1)*'1. UC Assumptions'!$M$44,0)</f>
        <v>0</v>
      </c>
      <c r="BF224" s="183">
        <f>IF(H224="MRSA West",(AC224/$BF$1)*'1. UC Assumptions'!$N$44,0)</f>
        <v>0</v>
      </c>
      <c r="BG224" s="183">
        <f>IF(H224="Nueces",(AC224/$BG$1)*'1. UC Assumptions'!$O$44,0)</f>
        <v>0</v>
      </c>
      <c r="BH224" s="183">
        <f>IF(H224="Tarrant",(AC224/$BH$1)*'1. UC Assumptions'!$P$44,0)</f>
        <v>0</v>
      </c>
      <c r="BI224" s="183">
        <f>IF(H224="Travis",(AC224/$BI$1)*'1. UC Assumptions'!$Q$44,0)</f>
        <v>0</v>
      </c>
      <c r="BJ224" s="183">
        <f t="shared" si="48"/>
        <v>0</v>
      </c>
      <c r="BK224" s="183">
        <f t="shared" si="49"/>
        <v>0</v>
      </c>
      <c r="BL224" s="183">
        <f t="shared" si="50"/>
        <v>365866.38907217124</v>
      </c>
      <c r="BM224" s="184">
        <f t="shared" si="51"/>
        <v>365866.38907217124</v>
      </c>
      <c r="BN224" s="184">
        <f>ROUNDDOWN(BM224*'1. UC Assumptions'!$C$23,2)</f>
        <v>120735.9</v>
      </c>
      <c r="BO224" s="184"/>
      <c r="BP224" s="185"/>
      <c r="BQ224" s="32"/>
      <c r="BR224" s="32"/>
    </row>
    <row r="225" spans="1:70">
      <c r="A225" s="177" t="s">
        <v>1614</v>
      </c>
      <c r="B225" s="177" t="s">
        <v>968</v>
      </c>
      <c r="C225" s="178" t="s">
        <v>968</v>
      </c>
      <c r="D225" s="179" t="s">
        <v>208</v>
      </c>
      <c r="E225" s="179" t="s">
        <v>149</v>
      </c>
      <c r="F225" s="177"/>
      <c r="G225" s="177" t="s">
        <v>969</v>
      </c>
      <c r="H225" s="178" t="s">
        <v>11</v>
      </c>
      <c r="I225" s="178" t="s">
        <v>970</v>
      </c>
      <c r="J225" s="131">
        <f>IFERROR(INDEX(#REF!,(MATCH('Old Calc Tab'!C:C,#REF!,0))),0)</f>
        <v>0</v>
      </c>
      <c r="K225" s="131">
        <f>IFERROR(INDEX(#REF!,(MATCH('Old Calc Tab'!$C:$C,#REF!,0))),0)</f>
        <v>0</v>
      </c>
      <c r="L225" s="131"/>
      <c r="M225" s="131">
        <v>107700.2</v>
      </c>
      <c r="N225" s="131">
        <f>IFERROR(INDEX(#REF!,(MATCH('Old Calc Tab'!$C:$C,#REF!,0))),0)</f>
        <v>0</v>
      </c>
      <c r="O225" s="131">
        <f t="shared" si="39"/>
        <v>0</v>
      </c>
      <c r="P225" s="131">
        <f t="shared" si="40"/>
        <v>107700.2</v>
      </c>
      <c r="Q225" s="131"/>
      <c r="R225" s="131"/>
      <c r="S225" s="131"/>
      <c r="T225" s="131"/>
      <c r="U225" s="131"/>
      <c r="V225" s="131">
        <v>0</v>
      </c>
      <c r="W225" s="180">
        <v>0</v>
      </c>
      <c r="X225" s="180">
        <f t="shared" si="52"/>
        <v>107700.2</v>
      </c>
      <c r="Y225" s="181">
        <f>IF(D225="Physician Group Practice",(X225/$AE$369)*'1. UC Assumptions'!$C$15,IF(OR(E225="Rural Hospital",E225="Hosp - State"),X225,(X225/$X$369)*'1. UC Assumptions'!$C$9))</f>
        <v>107700.2</v>
      </c>
      <c r="Z225" s="181">
        <f t="shared" si="42"/>
        <v>0</v>
      </c>
      <c r="AA225" s="181">
        <f t="shared" si="43"/>
        <v>0</v>
      </c>
      <c r="AB225" s="182">
        <f t="shared" si="44"/>
        <v>0</v>
      </c>
      <c r="AC225" s="181">
        <f t="shared" si="45"/>
        <v>0</v>
      </c>
      <c r="AD225" s="181">
        <f t="shared" si="46"/>
        <v>107700.2</v>
      </c>
      <c r="AE225" s="131">
        <v>549442.9</v>
      </c>
      <c r="AF225" s="131">
        <f>AE225*'1. UC Assumptions'!$C$23</f>
        <v>181316.15699999998</v>
      </c>
      <c r="AG225" s="183">
        <f>IF((((X225-W225-AE225)*'1. UC Assumptions'!$C$23)+AF225)&gt;0,((X225-W225-AE225)*'1. UC Assumptions'!$C$23)+AF225,0)</f>
        <v>35541.065999999992</v>
      </c>
      <c r="AH225" s="183">
        <f>IF(((X225-W225-AE225)*'1. UC Assumptions'!$C$23)&gt;0,(X225-W225-AE225)*'1. UC Assumptions'!$C$23,0)</f>
        <v>0</v>
      </c>
      <c r="AI225" s="183">
        <f t="shared" si="47"/>
        <v>181316.15699999998</v>
      </c>
      <c r="AJ225" s="183">
        <f>IF(H225="Bexar",(AD225/$AJ$1)*'1. UC Assumptions'!$E$42,0)</f>
        <v>0</v>
      </c>
      <c r="AK225" s="183">
        <f>IF(H225="Dallas",(AD225/$AK$1)*'1. UC Assumptions'!$F$42,0)</f>
        <v>0</v>
      </c>
      <c r="AL225" s="183">
        <f>IF(H225="El Paso",(AD225/$AL$1)*'1. UC Assumptions'!$G$42,0)</f>
        <v>0</v>
      </c>
      <c r="AM225" s="183">
        <f>IF(H225="Harris",(AD225/$AM$1)*'1. UC Assumptions'!$H$42,0)</f>
        <v>0</v>
      </c>
      <c r="AN225" s="183">
        <f>IF(H225="Hidalgo",(AD225/$AN$1)*'1. UC Assumptions'!$I$42,0)</f>
        <v>0</v>
      </c>
      <c r="AO225" s="183">
        <f>IF(H225="Jefferson",(AD225/$AO$1)*'1. UC Assumptions'!$J$42,0)</f>
        <v>0</v>
      </c>
      <c r="AP225" s="183">
        <f>IF(H225="Lubbock",(AD225/$AP$1)*'1. UC Assumptions'!$K$42,0)</f>
        <v>0</v>
      </c>
      <c r="AQ225" s="183">
        <f>IF(H225="MRSA Central",(AD225/$AQ$1)*'1. UC Assumptions'!$L$42,0)</f>
        <v>0</v>
      </c>
      <c r="AR225" s="183">
        <f>IF(H225="MRSA Northeast",(AD225/$AR$1)*'1. UC Assumptions'!$M$42,0)</f>
        <v>0</v>
      </c>
      <c r="AS225" s="183">
        <f>IF(H225="MRSA West",(AD225/$AS$1)*'1. UC Assumptions'!$N$42,0)</f>
        <v>0</v>
      </c>
      <c r="AT225" s="183">
        <f>IF(H225="Nueces",(AD225/$AT$1)*'1. UC Assumptions'!$O$42,0)</f>
        <v>0</v>
      </c>
      <c r="AU225" s="183">
        <f>IF(H225="Tarrant",(AD225/$AU$1)*'1. UC Assumptions'!$P$42,0)</f>
        <v>0</v>
      </c>
      <c r="AV225" s="183">
        <f>IF(H225="Travis",(AD225/$AV$1)*'1. UC Assumptions'!$Q$42,0)</f>
        <v>0</v>
      </c>
      <c r="AW225" s="183">
        <f>IF(H225="Bexar",(AC225/$AW$1)*'1. UC Assumptions'!$E$44,0)</f>
        <v>0</v>
      </c>
      <c r="AX225" s="183">
        <f>IF(H225="Dallas",(AC225/$AX$1)*'1. UC Assumptions'!$F$44,0)</f>
        <v>0</v>
      </c>
      <c r="AY225" s="183">
        <f>IF(H225="El Paso",(AC225/$AY$1)*'1. UC Assumptions'!$G$44,0)</f>
        <v>0</v>
      </c>
      <c r="AZ225" s="183">
        <f>IF(H225="Harris",(AC225/$AZ$1)*'1. UC Assumptions'!$H$44,0)</f>
        <v>0</v>
      </c>
      <c r="BA225" s="183">
        <f>IF(H225="Hidalgo",(AC225/$BA$1)*'1. UC Assumptions'!$I$44,0)</f>
        <v>0</v>
      </c>
      <c r="BB225" s="183">
        <f>IF(H225="Jefferson",(AC225/$BB$1)*'1. UC Assumptions'!$J$44,0)</f>
        <v>0</v>
      </c>
      <c r="BC225" s="183">
        <f>IF(H225="Lubbock",(AC225/$BC$1)*'1. UC Assumptions'!$K$44,0)</f>
        <v>0</v>
      </c>
      <c r="BD225" s="183">
        <f>IF(H225="MRSA Central",(AC225/$BD$1)*'1. UC Assumptions'!$L$44,0)</f>
        <v>0</v>
      </c>
      <c r="BE225" s="183">
        <f>IF(H225="MRSA Northeast",(AC225/$BE$1)*'1. UC Assumptions'!$M$44,0)</f>
        <v>0</v>
      </c>
      <c r="BF225" s="183">
        <f>IF(H225="MRSA West",(AC225/$BF$1)*'1. UC Assumptions'!$N$44,0)</f>
        <v>0</v>
      </c>
      <c r="BG225" s="183">
        <f>IF(H225="Nueces",(AC225/$BG$1)*'1. UC Assumptions'!$O$44,0)</f>
        <v>0</v>
      </c>
      <c r="BH225" s="183">
        <f>IF(H225="Tarrant",(AC225/$BH$1)*'1. UC Assumptions'!$P$44,0)</f>
        <v>0</v>
      </c>
      <c r="BI225" s="183">
        <f>IF(H225="Travis",(AC225/$BI$1)*'1. UC Assumptions'!$Q$44,0)</f>
        <v>0</v>
      </c>
      <c r="BJ225" s="183">
        <f t="shared" si="48"/>
        <v>0</v>
      </c>
      <c r="BK225" s="183">
        <f t="shared" si="49"/>
        <v>0</v>
      </c>
      <c r="BL225" s="183">
        <f t="shared" si="50"/>
        <v>107700.2</v>
      </c>
      <c r="BM225" s="184">
        <f t="shared" si="51"/>
        <v>-441742.7</v>
      </c>
      <c r="BN225" s="184">
        <f>ROUNDDOWN(BM225*'1. UC Assumptions'!$C$23,2)</f>
        <v>-145775.09</v>
      </c>
      <c r="BO225" s="184"/>
      <c r="BP225" s="185"/>
      <c r="BQ225" s="32"/>
      <c r="BR225" s="32"/>
    </row>
    <row r="226" spans="1:70">
      <c r="A226" s="177" t="s">
        <v>1615</v>
      </c>
      <c r="B226" s="178" t="s">
        <v>1013</v>
      </c>
      <c r="C226" s="178" t="s">
        <v>1013</v>
      </c>
      <c r="D226" s="179" t="s">
        <v>214</v>
      </c>
      <c r="E226" s="179" t="s">
        <v>149</v>
      </c>
      <c r="F226" s="177"/>
      <c r="G226" s="177" t="s">
        <v>1014</v>
      </c>
      <c r="H226" s="178" t="s">
        <v>11</v>
      </c>
      <c r="I226" s="178" t="s">
        <v>1015</v>
      </c>
      <c r="J226" s="131">
        <f>IFERROR(INDEX(#REF!,(MATCH('Old Calc Tab'!C:C,#REF!,0))),0)</f>
        <v>0</v>
      </c>
      <c r="K226" s="131">
        <f>IFERROR(INDEX(#REF!,(MATCH('Old Calc Tab'!$C:$C,#REF!,0))),0)</f>
        <v>0</v>
      </c>
      <c r="L226" s="131"/>
      <c r="M226" s="131">
        <v>1895921</v>
      </c>
      <c r="N226" s="131">
        <f>IFERROR(INDEX(#REF!,(MATCH('Old Calc Tab'!$C:$C,#REF!,0))),0)</f>
        <v>0</v>
      </c>
      <c r="O226" s="131">
        <f t="shared" si="39"/>
        <v>0</v>
      </c>
      <c r="P226" s="131">
        <f t="shared" si="40"/>
        <v>1895921</v>
      </c>
      <c r="Q226" s="131"/>
      <c r="R226" s="131"/>
      <c r="S226" s="131"/>
      <c r="T226" s="131"/>
      <c r="U226" s="131"/>
      <c r="V226" s="131">
        <v>0</v>
      </c>
      <c r="W226" s="180">
        <v>0</v>
      </c>
      <c r="X226" s="180">
        <f t="shared" si="52"/>
        <v>1895921</v>
      </c>
      <c r="Y226" s="181">
        <f>IF(D226="Physician Group Practice",(X226/$AE$369)*'1. UC Assumptions'!$C$15,IF(OR(E226="Rural Hospital",E226="Hosp - State"),X226,(X226/$X$369)*'1. UC Assumptions'!$C$9))</f>
        <v>1895921</v>
      </c>
      <c r="Z226" s="181">
        <f t="shared" si="42"/>
        <v>0</v>
      </c>
      <c r="AA226" s="181">
        <f t="shared" si="43"/>
        <v>0</v>
      </c>
      <c r="AB226" s="182">
        <f t="shared" si="44"/>
        <v>0</v>
      </c>
      <c r="AC226" s="181">
        <f t="shared" si="45"/>
        <v>0</v>
      </c>
      <c r="AD226" s="181">
        <f t="shared" si="46"/>
        <v>1895921</v>
      </c>
      <c r="AE226" s="131">
        <v>808873.36</v>
      </c>
      <c r="AF226" s="131">
        <f>AE226*'1. UC Assumptions'!$C$23</f>
        <v>266928.20879999996</v>
      </c>
      <c r="AG226" s="183">
        <f>IF((((X226-W226-AE226)*'1. UC Assumptions'!$C$23)+AF226)&gt;0,((X226-W226-AE226)*'1. UC Assumptions'!$C$23)+AF226,0)</f>
        <v>625653.92999999993</v>
      </c>
      <c r="AH226" s="183">
        <f>IF(((X226-W226-AE226)*'1. UC Assumptions'!$C$23)&gt;0,(X226-W226-AE226)*'1. UC Assumptions'!$C$23,0)</f>
        <v>358725.72119999997</v>
      </c>
      <c r="AI226" s="183">
        <f t="shared" si="47"/>
        <v>625653.92999999993</v>
      </c>
      <c r="AJ226" s="183">
        <f>IF(H226="Bexar",(AD226/$AJ$1)*'1. UC Assumptions'!$E$42,0)</f>
        <v>0</v>
      </c>
      <c r="AK226" s="183">
        <f>IF(H226="Dallas",(AD226/$AK$1)*'1. UC Assumptions'!$F$42,0)</f>
        <v>0</v>
      </c>
      <c r="AL226" s="183">
        <f>IF(H226="El Paso",(AD226/$AL$1)*'1. UC Assumptions'!$G$42,0)</f>
        <v>0</v>
      </c>
      <c r="AM226" s="183">
        <f>IF(H226="Harris",(AD226/$AM$1)*'1. UC Assumptions'!$H$42,0)</f>
        <v>0</v>
      </c>
      <c r="AN226" s="183">
        <f>IF(H226="Hidalgo",(AD226/$AN$1)*'1. UC Assumptions'!$I$42,0)</f>
        <v>0</v>
      </c>
      <c r="AO226" s="183">
        <f>IF(H226="Jefferson",(AD226/$AO$1)*'1. UC Assumptions'!$J$42,0)</f>
        <v>0</v>
      </c>
      <c r="AP226" s="183">
        <f>IF(H226="Lubbock",(AD226/$AP$1)*'1. UC Assumptions'!$K$42,0)</f>
        <v>0</v>
      </c>
      <c r="AQ226" s="183">
        <f>IF(H226="MRSA Central",(AD226/$AQ$1)*'1. UC Assumptions'!$L$42,0)</f>
        <v>0</v>
      </c>
      <c r="AR226" s="183">
        <f>IF(H226="MRSA Northeast",(AD226/$AR$1)*'1. UC Assumptions'!$M$42,0)</f>
        <v>0</v>
      </c>
      <c r="AS226" s="183">
        <f>IF(H226="MRSA West",(AD226/$AS$1)*'1. UC Assumptions'!$N$42,0)</f>
        <v>0</v>
      </c>
      <c r="AT226" s="183">
        <f>IF(H226="Nueces",(AD226/$AT$1)*'1. UC Assumptions'!$O$42,0)</f>
        <v>0</v>
      </c>
      <c r="AU226" s="183">
        <f>IF(H226="Tarrant",(AD226/$AU$1)*'1. UC Assumptions'!$P$42,0)</f>
        <v>0</v>
      </c>
      <c r="AV226" s="183">
        <f>IF(H226="Travis",(AD226/$AV$1)*'1. UC Assumptions'!$Q$42,0)</f>
        <v>0</v>
      </c>
      <c r="AW226" s="183">
        <f>IF(H226="Bexar",(AC226/$AW$1)*'1. UC Assumptions'!$E$44,0)</f>
        <v>0</v>
      </c>
      <c r="AX226" s="183">
        <f>IF(H226="Dallas",(AC226/$AX$1)*'1. UC Assumptions'!$F$44,0)</f>
        <v>0</v>
      </c>
      <c r="AY226" s="183">
        <f>IF(H226="El Paso",(AC226/$AY$1)*'1. UC Assumptions'!$G$44,0)</f>
        <v>0</v>
      </c>
      <c r="AZ226" s="183">
        <f>IF(H226="Harris",(AC226/$AZ$1)*'1. UC Assumptions'!$H$44,0)</f>
        <v>0</v>
      </c>
      <c r="BA226" s="183">
        <f>IF(H226="Hidalgo",(AC226/$BA$1)*'1. UC Assumptions'!$I$44,0)</f>
        <v>0</v>
      </c>
      <c r="BB226" s="183">
        <f>IF(H226="Jefferson",(AC226/$BB$1)*'1. UC Assumptions'!$J$44,0)</f>
        <v>0</v>
      </c>
      <c r="BC226" s="183">
        <f>IF(H226="Lubbock",(AC226/$BC$1)*'1. UC Assumptions'!$K$44,0)</f>
        <v>0</v>
      </c>
      <c r="BD226" s="183">
        <f>IF(H226="MRSA Central",(AC226/$BD$1)*'1. UC Assumptions'!$L$44,0)</f>
        <v>0</v>
      </c>
      <c r="BE226" s="183">
        <f>IF(H226="MRSA Northeast",(AC226/$BE$1)*'1. UC Assumptions'!$M$44,0)</f>
        <v>0</v>
      </c>
      <c r="BF226" s="183">
        <f>IF(H226="MRSA West",(AC226/$BF$1)*'1. UC Assumptions'!$N$44,0)</f>
        <v>0</v>
      </c>
      <c r="BG226" s="183">
        <f>IF(H226="Nueces",(AC226/$BG$1)*'1. UC Assumptions'!$O$44,0)</f>
        <v>0</v>
      </c>
      <c r="BH226" s="183">
        <f>IF(H226="Tarrant",(AC226/$BH$1)*'1. UC Assumptions'!$P$44,0)</f>
        <v>0</v>
      </c>
      <c r="BI226" s="183">
        <f>IF(H226="Travis",(AC226/$BI$1)*'1. UC Assumptions'!$Q$44,0)</f>
        <v>0</v>
      </c>
      <c r="BJ226" s="183">
        <f t="shared" si="48"/>
        <v>0</v>
      </c>
      <c r="BK226" s="183">
        <f t="shared" si="49"/>
        <v>0</v>
      </c>
      <c r="BL226" s="183">
        <f t="shared" si="50"/>
        <v>1895921</v>
      </c>
      <c r="BM226" s="184">
        <f t="shared" si="51"/>
        <v>1087047.6400000001</v>
      </c>
      <c r="BN226" s="184">
        <f>ROUNDDOWN(BM226*'1. UC Assumptions'!$C$23,2)</f>
        <v>358725.72</v>
      </c>
      <c r="BO226" s="184"/>
      <c r="BP226" s="185"/>
      <c r="BQ226" s="32"/>
      <c r="BR226" s="32"/>
    </row>
    <row r="227" spans="1:70">
      <c r="A227" s="177" t="s">
        <v>1616</v>
      </c>
      <c r="B227" s="178" t="s">
        <v>1617</v>
      </c>
      <c r="C227" s="178" t="s">
        <v>1617</v>
      </c>
      <c r="D227" s="179" t="s">
        <v>214</v>
      </c>
      <c r="E227" s="179" t="s">
        <v>149</v>
      </c>
      <c r="F227" s="177"/>
      <c r="G227" s="177" t="s">
        <v>1618</v>
      </c>
      <c r="H227" s="178" t="s">
        <v>12</v>
      </c>
      <c r="I227" s="178" t="s">
        <v>1092</v>
      </c>
      <c r="J227" s="131">
        <f>IFERROR(INDEX(#REF!,(MATCH('Old Calc Tab'!C:C,#REF!,0))),0)</f>
        <v>0</v>
      </c>
      <c r="K227" s="131">
        <f>IFERROR(INDEX(#REF!,(MATCH('Old Calc Tab'!$C:$C,#REF!,0))),0)</f>
        <v>0</v>
      </c>
      <c r="L227" s="131"/>
      <c r="M227" s="131">
        <v>415177.98</v>
      </c>
      <c r="N227" s="131">
        <f>IFERROR(INDEX(#REF!,(MATCH('Old Calc Tab'!$C:$C,#REF!,0))),0)</f>
        <v>0</v>
      </c>
      <c r="O227" s="131">
        <f t="shared" si="39"/>
        <v>0</v>
      </c>
      <c r="P227" s="131">
        <f t="shared" si="40"/>
        <v>415177.98</v>
      </c>
      <c r="Q227" s="131"/>
      <c r="R227" s="131"/>
      <c r="S227" s="131"/>
      <c r="T227" s="131"/>
      <c r="U227" s="131"/>
      <c r="V227" s="131">
        <v>329528</v>
      </c>
      <c r="W227" s="180">
        <v>0</v>
      </c>
      <c r="X227" s="180">
        <f t="shared" si="52"/>
        <v>744705.98</v>
      </c>
      <c r="Y227" s="181">
        <f>IF(D227="Physician Group Practice",(X227/$AE$369)*'1. UC Assumptions'!$C$15,IF(OR(E227="Rural Hospital",E227="Hosp - State"),X227,(X227/$X$369)*'1. UC Assumptions'!$C$9))</f>
        <v>744705.98</v>
      </c>
      <c r="Z227" s="181">
        <f t="shared" si="42"/>
        <v>0</v>
      </c>
      <c r="AA227" s="181">
        <f t="shared" si="43"/>
        <v>0</v>
      </c>
      <c r="AB227" s="182">
        <f t="shared" si="44"/>
        <v>0</v>
      </c>
      <c r="AC227" s="181">
        <f t="shared" si="45"/>
        <v>0</v>
      </c>
      <c r="AD227" s="181">
        <f t="shared" si="46"/>
        <v>744705.98</v>
      </c>
      <c r="AE227" s="131">
        <v>1233038.2</v>
      </c>
      <c r="AF227" s="131">
        <f>AE227*'1. UC Assumptions'!$C$23</f>
        <v>406902.60599999991</v>
      </c>
      <c r="AG227" s="183">
        <f>IF((((X227-W227-AE227)*'1. UC Assumptions'!$C$23)+AF227)&gt;0,((X227-W227-AE227)*'1. UC Assumptions'!$C$23)+AF227,0)</f>
        <v>245752.97339999993</v>
      </c>
      <c r="AH227" s="183">
        <f>IF(((X227-W227-AE227)*'1. UC Assumptions'!$C$23)&gt;0,(X227-W227-AE227)*'1. UC Assumptions'!$C$23,0)</f>
        <v>0</v>
      </c>
      <c r="AI227" s="183">
        <f t="shared" si="47"/>
        <v>406902.60599999991</v>
      </c>
      <c r="AJ227" s="183">
        <f>IF(H227="Bexar",(AD227/$AJ$1)*'1. UC Assumptions'!$E$42,0)</f>
        <v>0</v>
      </c>
      <c r="AK227" s="183">
        <f>IF(H227="Dallas",(AD227/$AK$1)*'1. UC Assumptions'!$F$42,0)</f>
        <v>0</v>
      </c>
      <c r="AL227" s="183">
        <f>IF(H227="El Paso",(AD227/$AL$1)*'1. UC Assumptions'!$G$42,0)</f>
        <v>0</v>
      </c>
      <c r="AM227" s="183">
        <f>IF(H227="Harris",(AD227/$AM$1)*'1. UC Assumptions'!$H$42,0)</f>
        <v>0</v>
      </c>
      <c r="AN227" s="183">
        <f>IF(H227="Hidalgo",(AD227/$AN$1)*'1. UC Assumptions'!$I$42,0)</f>
        <v>0</v>
      </c>
      <c r="AO227" s="183">
        <f>IF(H227="Jefferson",(AD227/$AO$1)*'1. UC Assumptions'!$J$42,0)</f>
        <v>0</v>
      </c>
      <c r="AP227" s="183">
        <f>IF(H227="Lubbock",(AD227/$AP$1)*'1. UC Assumptions'!$K$42,0)</f>
        <v>0</v>
      </c>
      <c r="AQ227" s="183">
        <f>IF(H227="MRSA Central",(AD227/$AQ$1)*'1. UC Assumptions'!$L$42,0)</f>
        <v>0</v>
      </c>
      <c r="AR227" s="183">
        <f>IF(H227="MRSA Northeast",(AD227/$AR$1)*'1. UC Assumptions'!$M$42,0)</f>
        <v>0</v>
      </c>
      <c r="AS227" s="183">
        <f>IF(H227="MRSA West",(AD227/$AS$1)*'1. UC Assumptions'!$N$42,0)</f>
        <v>0</v>
      </c>
      <c r="AT227" s="183">
        <f>IF(H227="Nueces",(AD227/$AT$1)*'1. UC Assumptions'!$O$42,0)</f>
        <v>0</v>
      </c>
      <c r="AU227" s="183">
        <f>IF(H227="Tarrant",(AD227/$AU$1)*'1. UC Assumptions'!$P$42,0)</f>
        <v>0</v>
      </c>
      <c r="AV227" s="183">
        <f>IF(H227="Travis",(AD227/$AV$1)*'1. UC Assumptions'!$Q$42,0)</f>
        <v>0</v>
      </c>
      <c r="AW227" s="183">
        <f>IF(H227="Bexar",(AC227/$AW$1)*'1. UC Assumptions'!$E$44,0)</f>
        <v>0</v>
      </c>
      <c r="AX227" s="183">
        <f>IF(H227="Dallas",(AC227/$AX$1)*'1. UC Assumptions'!$F$44,0)</f>
        <v>0</v>
      </c>
      <c r="AY227" s="183">
        <f>IF(H227="El Paso",(AC227/$AY$1)*'1. UC Assumptions'!$G$44,0)</f>
        <v>0</v>
      </c>
      <c r="AZ227" s="183">
        <f>IF(H227="Harris",(AC227/$AZ$1)*'1. UC Assumptions'!$H$44,0)</f>
        <v>0</v>
      </c>
      <c r="BA227" s="183">
        <f>IF(H227="Hidalgo",(AC227/$BA$1)*'1. UC Assumptions'!$I$44,0)</f>
        <v>0</v>
      </c>
      <c r="BB227" s="183">
        <f>IF(H227="Jefferson",(AC227/$BB$1)*'1. UC Assumptions'!$J$44,0)</f>
        <v>0</v>
      </c>
      <c r="BC227" s="183">
        <f>IF(H227="Lubbock",(AC227/$BC$1)*'1. UC Assumptions'!$K$44,0)</f>
        <v>0</v>
      </c>
      <c r="BD227" s="183">
        <f>IF(H227="MRSA Central",(AC227/$BD$1)*'1. UC Assumptions'!$L$44,0)</f>
        <v>0</v>
      </c>
      <c r="BE227" s="183">
        <f>IF(H227="MRSA Northeast",(AC227/$BE$1)*'1. UC Assumptions'!$M$44,0)</f>
        <v>0</v>
      </c>
      <c r="BF227" s="183">
        <f>IF(H227="MRSA West",(AC227/$BF$1)*'1. UC Assumptions'!$N$44,0)</f>
        <v>0</v>
      </c>
      <c r="BG227" s="183">
        <f>IF(H227="Nueces",(AC227/$BG$1)*'1. UC Assumptions'!$O$44,0)</f>
        <v>0</v>
      </c>
      <c r="BH227" s="183">
        <f>IF(H227="Tarrant",(AC227/$BH$1)*'1. UC Assumptions'!$P$44,0)</f>
        <v>0</v>
      </c>
      <c r="BI227" s="183">
        <f>IF(H227="Travis",(AC227/$BI$1)*'1. UC Assumptions'!$Q$44,0)</f>
        <v>0</v>
      </c>
      <c r="BJ227" s="183">
        <f t="shared" si="48"/>
        <v>0</v>
      </c>
      <c r="BK227" s="183">
        <f t="shared" si="49"/>
        <v>0</v>
      </c>
      <c r="BL227" s="183">
        <f t="shared" si="50"/>
        <v>744705.98</v>
      </c>
      <c r="BM227" s="184">
        <f t="shared" si="51"/>
        <v>-488332.22</v>
      </c>
      <c r="BN227" s="184">
        <f>ROUNDDOWN(BM227*'1. UC Assumptions'!$C$23,2)</f>
        <v>-161149.63</v>
      </c>
      <c r="BO227" s="184"/>
      <c r="BP227" s="185"/>
      <c r="BQ227" s="32"/>
      <c r="BR227" s="32"/>
    </row>
    <row r="228" spans="1:70">
      <c r="A228" s="177" t="s">
        <v>1619</v>
      </c>
      <c r="B228" s="177" t="s">
        <v>264</v>
      </c>
      <c r="C228" s="178" t="s">
        <v>264</v>
      </c>
      <c r="D228" s="179" t="s">
        <v>208</v>
      </c>
      <c r="E228" s="179" t="s">
        <v>149</v>
      </c>
      <c r="F228" s="177"/>
      <c r="G228" s="177" t="s">
        <v>265</v>
      </c>
      <c r="H228" s="178" t="s">
        <v>12</v>
      </c>
      <c r="I228" s="178" t="s">
        <v>266</v>
      </c>
      <c r="J228" s="131">
        <f>IFERROR(INDEX(#REF!,(MATCH('Old Calc Tab'!C:C,#REF!,0))),0)</f>
        <v>0</v>
      </c>
      <c r="K228" s="131">
        <f>IFERROR(INDEX(#REF!,(MATCH('Old Calc Tab'!$C:$C,#REF!,0))),0)</f>
        <v>0</v>
      </c>
      <c r="L228" s="131"/>
      <c r="M228" s="131">
        <v>71749.5</v>
      </c>
      <c r="N228" s="131">
        <f>IFERROR(INDEX(#REF!,(MATCH('Old Calc Tab'!$C:$C,#REF!,0))),0)</f>
        <v>0</v>
      </c>
      <c r="O228" s="131">
        <f t="shared" si="39"/>
        <v>0</v>
      </c>
      <c r="P228" s="131">
        <f t="shared" si="40"/>
        <v>71749.5</v>
      </c>
      <c r="Q228" s="131"/>
      <c r="R228" s="131"/>
      <c r="S228" s="131"/>
      <c r="T228" s="131"/>
      <c r="U228" s="131"/>
      <c r="V228" s="131">
        <v>0</v>
      </c>
      <c r="W228" s="180">
        <v>0</v>
      </c>
      <c r="X228" s="180">
        <f t="shared" si="52"/>
        <v>71749.5</v>
      </c>
      <c r="Y228" s="181">
        <f>IF(D228="Physician Group Practice",(X228/$AE$369)*'1. UC Assumptions'!$C$15,IF(OR(E228="Rural Hospital",E228="Hosp - State"),X228,(X228/$X$369)*'1. UC Assumptions'!$C$9))</f>
        <v>71749.5</v>
      </c>
      <c r="Z228" s="181">
        <f t="shared" si="42"/>
        <v>0</v>
      </c>
      <c r="AA228" s="181">
        <f t="shared" si="43"/>
        <v>0</v>
      </c>
      <c r="AB228" s="182">
        <f t="shared" si="44"/>
        <v>0</v>
      </c>
      <c r="AC228" s="181">
        <f t="shared" si="45"/>
        <v>0</v>
      </c>
      <c r="AD228" s="181">
        <f t="shared" si="46"/>
        <v>71749.5</v>
      </c>
      <c r="AE228" s="131">
        <v>43837.33</v>
      </c>
      <c r="AF228" s="131">
        <f>AE228*'1. UC Assumptions'!$C$23</f>
        <v>14466.318899999998</v>
      </c>
      <c r="AG228" s="183">
        <f>IF((((X228-W228-AE228)*'1. UC Assumptions'!$C$23)+AF228)&gt;0,((X228-W228-AE228)*'1. UC Assumptions'!$C$23)+AF228,0)</f>
        <v>23677.334999999999</v>
      </c>
      <c r="AH228" s="183">
        <f>IF(((X228-W228-AE228)*'1. UC Assumptions'!$C$23)&gt;0,(X228-W228-AE228)*'1. UC Assumptions'!$C$23,0)</f>
        <v>9211.0160999999989</v>
      </c>
      <c r="AI228" s="183">
        <f t="shared" si="47"/>
        <v>23677.334999999999</v>
      </c>
      <c r="AJ228" s="183">
        <f>IF(H228="Bexar",(AD228/$AJ$1)*'1. UC Assumptions'!$E$42,0)</f>
        <v>0</v>
      </c>
      <c r="AK228" s="183">
        <f>IF(H228="Dallas",(AD228/$AK$1)*'1. UC Assumptions'!$F$42,0)</f>
        <v>0</v>
      </c>
      <c r="AL228" s="183">
        <f>IF(H228="El Paso",(AD228/$AL$1)*'1. UC Assumptions'!$G$42,0)</f>
        <v>0</v>
      </c>
      <c r="AM228" s="183">
        <f>IF(H228="Harris",(AD228/$AM$1)*'1. UC Assumptions'!$H$42,0)</f>
        <v>0</v>
      </c>
      <c r="AN228" s="183">
        <f>IF(H228="Hidalgo",(AD228/$AN$1)*'1. UC Assumptions'!$I$42,0)</f>
        <v>0</v>
      </c>
      <c r="AO228" s="183">
        <f>IF(H228="Jefferson",(AD228/$AO$1)*'1. UC Assumptions'!$J$42,0)</f>
        <v>0</v>
      </c>
      <c r="AP228" s="183">
        <f>IF(H228="Lubbock",(AD228/$AP$1)*'1. UC Assumptions'!$K$42,0)</f>
        <v>0</v>
      </c>
      <c r="AQ228" s="183">
        <f>IF(H228="MRSA Central",(AD228/$AQ$1)*'1. UC Assumptions'!$L$42,0)</f>
        <v>0</v>
      </c>
      <c r="AR228" s="183">
        <f>IF(H228="MRSA Northeast",(AD228/$AR$1)*'1. UC Assumptions'!$M$42,0)</f>
        <v>0</v>
      </c>
      <c r="AS228" s="183">
        <f>IF(H228="MRSA West",(AD228/$AS$1)*'1. UC Assumptions'!$N$42,0)</f>
        <v>0</v>
      </c>
      <c r="AT228" s="183">
        <f>IF(H228="Nueces",(AD228/$AT$1)*'1. UC Assumptions'!$O$42,0)</f>
        <v>0</v>
      </c>
      <c r="AU228" s="183">
        <f>IF(H228="Tarrant",(AD228/$AU$1)*'1. UC Assumptions'!$P$42,0)</f>
        <v>0</v>
      </c>
      <c r="AV228" s="183">
        <f>IF(H228="Travis",(AD228/$AV$1)*'1. UC Assumptions'!$Q$42,0)</f>
        <v>0</v>
      </c>
      <c r="AW228" s="183">
        <f>IF(H228="Bexar",(AC228/$AW$1)*'1. UC Assumptions'!$E$44,0)</f>
        <v>0</v>
      </c>
      <c r="AX228" s="183">
        <f>IF(H228="Dallas",(AC228/$AX$1)*'1. UC Assumptions'!$F$44,0)</f>
        <v>0</v>
      </c>
      <c r="AY228" s="183">
        <f>IF(H228="El Paso",(AC228/$AY$1)*'1. UC Assumptions'!$G$44,0)</f>
        <v>0</v>
      </c>
      <c r="AZ228" s="183">
        <f>IF(H228="Harris",(AC228/$AZ$1)*'1. UC Assumptions'!$H$44,0)</f>
        <v>0</v>
      </c>
      <c r="BA228" s="183">
        <f>IF(H228="Hidalgo",(AC228/$BA$1)*'1. UC Assumptions'!$I$44,0)</f>
        <v>0</v>
      </c>
      <c r="BB228" s="183">
        <f>IF(H228="Jefferson",(AC228/$BB$1)*'1. UC Assumptions'!$J$44,0)</f>
        <v>0</v>
      </c>
      <c r="BC228" s="183">
        <f>IF(H228="Lubbock",(AC228/$BC$1)*'1. UC Assumptions'!$K$44,0)</f>
        <v>0</v>
      </c>
      <c r="BD228" s="183">
        <f>IF(H228="MRSA Central",(AC228/$BD$1)*'1. UC Assumptions'!$L$44,0)</f>
        <v>0</v>
      </c>
      <c r="BE228" s="183">
        <f>IF(H228="MRSA Northeast",(AC228/$BE$1)*'1. UC Assumptions'!$M$44,0)</f>
        <v>0</v>
      </c>
      <c r="BF228" s="183">
        <f>IF(H228="MRSA West",(AC228/$BF$1)*'1. UC Assumptions'!$N$44,0)</f>
        <v>0</v>
      </c>
      <c r="BG228" s="183">
        <f>IF(H228="Nueces",(AC228/$BG$1)*'1. UC Assumptions'!$O$44,0)</f>
        <v>0</v>
      </c>
      <c r="BH228" s="183">
        <f>IF(H228="Tarrant",(AC228/$BH$1)*'1. UC Assumptions'!$P$44,0)</f>
        <v>0</v>
      </c>
      <c r="BI228" s="183">
        <f>IF(H228="Travis",(AC228/$BI$1)*'1. UC Assumptions'!$Q$44,0)</f>
        <v>0</v>
      </c>
      <c r="BJ228" s="183">
        <f t="shared" si="48"/>
        <v>0</v>
      </c>
      <c r="BK228" s="183">
        <f t="shared" si="49"/>
        <v>0</v>
      </c>
      <c r="BL228" s="183">
        <f t="shared" si="50"/>
        <v>71749.5</v>
      </c>
      <c r="BM228" s="184">
        <f t="shared" si="51"/>
        <v>27912.17</v>
      </c>
      <c r="BN228" s="184">
        <f>ROUNDDOWN(BM228*'1. UC Assumptions'!$C$23,2)</f>
        <v>9211.01</v>
      </c>
      <c r="BO228" s="184"/>
      <c r="BP228" s="185"/>
      <c r="BQ228" s="32"/>
      <c r="BR228" s="32"/>
    </row>
    <row r="229" spans="1:70">
      <c r="A229" s="177" t="s">
        <v>1620</v>
      </c>
      <c r="B229" s="178" t="s">
        <v>273</v>
      </c>
      <c r="C229" s="178" t="s">
        <v>273</v>
      </c>
      <c r="D229" s="179" t="s">
        <v>208</v>
      </c>
      <c r="E229" s="179" t="s">
        <v>149</v>
      </c>
      <c r="F229" s="177"/>
      <c r="G229" s="177" t="s">
        <v>274</v>
      </c>
      <c r="H229" s="178" t="s">
        <v>12</v>
      </c>
      <c r="I229" s="178" t="s">
        <v>275</v>
      </c>
      <c r="J229" s="131">
        <f>IFERROR(INDEX(#REF!,(MATCH('Old Calc Tab'!C:C,#REF!,0))),0)</f>
        <v>0</v>
      </c>
      <c r="K229" s="131">
        <f>IFERROR(INDEX(#REF!,(MATCH('Old Calc Tab'!$C:$C,#REF!,0))),0)</f>
        <v>0</v>
      </c>
      <c r="L229" s="131"/>
      <c r="M229" s="131">
        <v>202000</v>
      </c>
      <c r="N229" s="131">
        <f>IFERROR(INDEX(#REF!,(MATCH('Old Calc Tab'!$C:$C,#REF!,0))),0)</f>
        <v>0</v>
      </c>
      <c r="O229" s="131">
        <f t="shared" si="39"/>
        <v>0</v>
      </c>
      <c r="P229" s="131">
        <f t="shared" si="40"/>
        <v>202000</v>
      </c>
      <c r="Q229" s="131"/>
      <c r="R229" s="131"/>
      <c r="S229" s="131"/>
      <c r="T229" s="131"/>
      <c r="U229" s="131"/>
      <c r="V229" s="131">
        <v>0</v>
      </c>
      <c r="W229" s="180">
        <v>0</v>
      </c>
      <c r="X229" s="180">
        <f t="shared" si="52"/>
        <v>202000</v>
      </c>
      <c r="Y229" s="181">
        <f>IF(D229="Physician Group Practice",(X229/$AE$369)*'1. UC Assumptions'!$C$15,IF(OR(E229="Rural Hospital",E229="Hosp - State"),X229,(X229/$X$369)*'1. UC Assumptions'!$C$9))</f>
        <v>202000</v>
      </c>
      <c r="Z229" s="181">
        <f t="shared" si="42"/>
        <v>0</v>
      </c>
      <c r="AA229" s="181">
        <f t="shared" si="43"/>
        <v>0</v>
      </c>
      <c r="AB229" s="182">
        <f t="shared" si="44"/>
        <v>0</v>
      </c>
      <c r="AC229" s="181">
        <f t="shared" si="45"/>
        <v>0</v>
      </c>
      <c r="AD229" s="181">
        <f t="shared" si="46"/>
        <v>202000</v>
      </c>
      <c r="AE229" s="131">
        <v>62474.46</v>
      </c>
      <c r="AF229" s="131">
        <f>AE229*'1. UC Assumptions'!$C$23</f>
        <v>20616.571799999998</v>
      </c>
      <c r="AG229" s="183">
        <f>IF((((X229-W229-AE229)*'1. UC Assumptions'!$C$23)+AF229)&gt;0,((X229-W229-AE229)*'1. UC Assumptions'!$C$23)+AF229,0)</f>
        <v>66660</v>
      </c>
      <c r="AH229" s="183">
        <f>IF(((X229-W229-AE229)*'1. UC Assumptions'!$C$23)&gt;0,(X229-W229-AE229)*'1. UC Assumptions'!$C$23,0)</f>
        <v>46043.428199999995</v>
      </c>
      <c r="AI229" s="183">
        <f t="shared" si="47"/>
        <v>66660</v>
      </c>
      <c r="AJ229" s="183">
        <f>IF(H229="Bexar",(AD229/$AJ$1)*'1. UC Assumptions'!$E$42,0)</f>
        <v>0</v>
      </c>
      <c r="AK229" s="183">
        <f>IF(H229="Dallas",(AD229/$AK$1)*'1. UC Assumptions'!$F$42,0)</f>
        <v>0</v>
      </c>
      <c r="AL229" s="183">
        <f>IF(H229="El Paso",(AD229/$AL$1)*'1. UC Assumptions'!$G$42,0)</f>
        <v>0</v>
      </c>
      <c r="AM229" s="183">
        <f>IF(H229="Harris",(AD229/$AM$1)*'1. UC Assumptions'!$H$42,0)</f>
        <v>0</v>
      </c>
      <c r="AN229" s="183">
        <f>IF(H229="Hidalgo",(AD229/$AN$1)*'1. UC Assumptions'!$I$42,0)</f>
        <v>0</v>
      </c>
      <c r="AO229" s="183">
        <f>IF(H229="Jefferson",(AD229/$AO$1)*'1. UC Assumptions'!$J$42,0)</f>
        <v>0</v>
      </c>
      <c r="AP229" s="183">
        <f>IF(H229="Lubbock",(AD229/$AP$1)*'1. UC Assumptions'!$K$42,0)</f>
        <v>0</v>
      </c>
      <c r="AQ229" s="183">
        <f>IF(H229="MRSA Central",(AD229/$AQ$1)*'1. UC Assumptions'!$L$42,0)</f>
        <v>0</v>
      </c>
      <c r="AR229" s="183">
        <f>IF(H229="MRSA Northeast",(AD229/$AR$1)*'1. UC Assumptions'!$M$42,0)</f>
        <v>0</v>
      </c>
      <c r="AS229" s="183">
        <f>IF(H229="MRSA West",(AD229/$AS$1)*'1. UC Assumptions'!$N$42,0)</f>
        <v>0</v>
      </c>
      <c r="AT229" s="183">
        <f>IF(H229="Nueces",(AD229/$AT$1)*'1. UC Assumptions'!$O$42,0)</f>
        <v>0</v>
      </c>
      <c r="AU229" s="183">
        <f>IF(H229="Tarrant",(AD229/$AU$1)*'1. UC Assumptions'!$P$42,0)</f>
        <v>0</v>
      </c>
      <c r="AV229" s="183">
        <f>IF(H229="Travis",(AD229/$AV$1)*'1. UC Assumptions'!$Q$42,0)</f>
        <v>0</v>
      </c>
      <c r="AW229" s="183">
        <f>IF(H229="Bexar",(AC229/$AW$1)*'1. UC Assumptions'!$E$44,0)</f>
        <v>0</v>
      </c>
      <c r="AX229" s="183">
        <f>IF(H229="Dallas",(AC229/$AX$1)*'1. UC Assumptions'!$F$44,0)</f>
        <v>0</v>
      </c>
      <c r="AY229" s="183">
        <f>IF(H229="El Paso",(AC229/$AY$1)*'1. UC Assumptions'!$G$44,0)</f>
        <v>0</v>
      </c>
      <c r="AZ229" s="183">
        <f>IF(H229="Harris",(AC229/$AZ$1)*'1. UC Assumptions'!$H$44,0)</f>
        <v>0</v>
      </c>
      <c r="BA229" s="183">
        <f>IF(H229="Hidalgo",(AC229/$BA$1)*'1. UC Assumptions'!$I$44,0)</f>
        <v>0</v>
      </c>
      <c r="BB229" s="183">
        <f>IF(H229="Jefferson",(AC229/$BB$1)*'1. UC Assumptions'!$J$44,0)</f>
        <v>0</v>
      </c>
      <c r="BC229" s="183">
        <f>IF(H229="Lubbock",(AC229/$BC$1)*'1. UC Assumptions'!$K$44,0)</f>
        <v>0</v>
      </c>
      <c r="BD229" s="183">
        <f>IF(H229="MRSA Central",(AC229/$BD$1)*'1. UC Assumptions'!$L$44,0)</f>
        <v>0</v>
      </c>
      <c r="BE229" s="183">
        <f>IF(H229="MRSA Northeast",(AC229/$BE$1)*'1. UC Assumptions'!$M$44,0)</f>
        <v>0</v>
      </c>
      <c r="BF229" s="183">
        <f>IF(H229="MRSA West",(AC229/$BF$1)*'1. UC Assumptions'!$N$44,0)</f>
        <v>0</v>
      </c>
      <c r="BG229" s="183">
        <f>IF(H229="Nueces",(AC229/$BG$1)*'1. UC Assumptions'!$O$44,0)</f>
        <v>0</v>
      </c>
      <c r="BH229" s="183">
        <f>IF(H229="Tarrant",(AC229/$BH$1)*'1. UC Assumptions'!$P$44,0)</f>
        <v>0</v>
      </c>
      <c r="BI229" s="183">
        <f>IF(H229="Travis",(AC229/$BI$1)*'1. UC Assumptions'!$Q$44,0)</f>
        <v>0</v>
      </c>
      <c r="BJ229" s="183">
        <f t="shared" si="48"/>
        <v>0</v>
      </c>
      <c r="BK229" s="183">
        <f t="shared" si="49"/>
        <v>0</v>
      </c>
      <c r="BL229" s="183">
        <f t="shared" si="50"/>
        <v>202000</v>
      </c>
      <c r="BM229" s="184">
        <f t="shared" si="51"/>
        <v>139525.54</v>
      </c>
      <c r="BN229" s="184">
        <f>ROUNDDOWN(BM229*'1. UC Assumptions'!$C$23,2)</f>
        <v>46043.42</v>
      </c>
      <c r="BO229" s="184"/>
      <c r="BP229" s="185"/>
      <c r="BQ229" s="32"/>
      <c r="BR229" s="32"/>
    </row>
    <row r="230" spans="1:70">
      <c r="A230" s="177" t="s">
        <v>1621</v>
      </c>
      <c r="B230" s="177" t="s">
        <v>104</v>
      </c>
      <c r="C230" s="178" t="s">
        <v>104</v>
      </c>
      <c r="D230" s="179" t="s">
        <v>281</v>
      </c>
      <c r="E230" s="179"/>
      <c r="F230" s="177" t="s">
        <v>282</v>
      </c>
      <c r="G230" s="177" t="s">
        <v>1622</v>
      </c>
      <c r="H230" s="178" t="s">
        <v>12</v>
      </c>
      <c r="I230" s="178" t="s">
        <v>291</v>
      </c>
      <c r="J230" s="131">
        <f>IFERROR(INDEX(#REF!,(MATCH('Old Calc Tab'!C:C,#REF!,0))),0)</f>
        <v>0</v>
      </c>
      <c r="K230" s="131">
        <f>IFERROR(INDEX(#REF!,(MATCH('Old Calc Tab'!$C:$C,#REF!,0))),0)</f>
        <v>0</v>
      </c>
      <c r="L230" s="131"/>
      <c r="M230" s="131">
        <v>32916939</v>
      </c>
      <c r="N230" s="131">
        <f>IFERROR(INDEX(#REF!,(MATCH('Old Calc Tab'!$C:$C,#REF!,0))),0)</f>
        <v>0</v>
      </c>
      <c r="O230" s="131">
        <f t="shared" si="39"/>
        <v>0</v>
      </c>
      <c r="P230" s="131">
        <f t="shared" si="40"/>
        <v>32916939</v>
      </c>
      <c r="Q230" s="131"/>
      <c r="R230" s="131"/>
      <c r="S230" s="131"/>
      <c r="T230" s="131"/>
      <c r="U230" s="131"/>
      <c r="V230" s="131">
        <v>249020</v>
      </c>
      <c r="W230" s="180">
        <v>0</v>
      </c>
      <c r="X230" s="180">
        <f t="shared" si="52"/>
        <v>33165959</v>
      </c>
      <c r="Y230" s="181">
        <f>IF(D230="Physician Group Practice",(X230/$AE$369)*'1. UC Assumptions'!$C$15,IF(OR(E230="Rural Hospital",E230="Hosp - State"),X230,(X230/$X$369)*'1. UC Assumptions'!$C$9))</f>
        <v>19961364.473634172</v>
      </c>
      <c r="Z230" s="181">
        <f t="shared" si="42"/>
        <v>0</v>
      </c>
      <c r="AA230" s="181">
        <f t="shared" si="43"/>
        <v>13204594.526365828</v>
      </c>
      <c r="AB230" s="182">
        <f t="shared" si="44"/>
        <v>7091.278506886013</v>
      </c>
      <c r="AC230" s="181">
        <f t="shared" si="45"/>
        <v>13211685.804872714</v>
      </c>
      <c r="AD230" s="181">
        <f t="shared" si="46"/>
        <v>19968455.752141058</v>
      </c>
      <c r="AE230" s="131">
        <v>47270.99</v>
      </c>
      <c r="AF230" s="131">
        <f>AE230*'1. UC Assumptions'!$C$23</f>
        <v>15599.426699999998</v>
      </c>
      <c r="AG230" s="183">
        <f>IF((((X230-W230-AE230)*'1. UC Assumptions'!$C$23)+AF230)&gt;0,((X230-W230-AE230)*'1. UC Assumptions'!$C$23)+AF230,0)</f>
        <v>10944766.469999999</v>
      </c>
      <c r="AH230" s="183">
        <f>IF(((X230-W230-AE230)*'1. UC Assumptions'!$C$23)&gt;0,(X230-W230-AE230)*'1. UC Assumptions'!$C$23,0)</f>
        <v>10929167.043299999</v>
      </c>
      <c r="AI230" s="183">
        <f t="shared" si="47"/>
        <v>10944766.469999999</v>
      </c>
      <c r="AJ230" s="183">
        <f>IF(H230="Bexar",(AD230/$AJ$1)*'1. UC Assumptions'!$E$42,0)</f>
        <v>0</v>
      </c>
      <c r="AK230" s="183">
        <f>IF(H230="Dallas",(AD230/$AK$1)*'1. UC Assumptions'!$F$42,0)</f>
        <v>0</v>
      </c>
      <c r="AL230" s="183">
        <f>IF(H230="El Paso",(AD230/$AL$1)*'1. UC Assumptions'!$G$42,0)</f>
        <v>0</v>
      </c>
      <c r="AM230" s="183">
        <f>IF(H230="Harris",(AD230/$AM$1)*'1. UC Assumptions'!$H$42,0)</f>
        <v>0</v>
      </c>
      <c r="AN230" s="183">
        <f>IF(H230="Hidalgo",(AD230/$AN$1)*'1. UC Assumptions'!$I$42,0)</f>
        <v>0</v>
      </c>
      <c r="AO230" s="183">
        <f>IF(H230="Jefferson",(AD230/$AO$1)*'1. UC Assumptions'!$J$42,0)</f>
        <v>0</v>
      </c>
      <c r="AP230" s="183">
        <f>IF(H230="Lubbock",(AD230/$AP$1)*'1. UC Assumptions'!$K$42,0)</f>
        <v>0</v>
      </c>
      <c r="AQ230" s="183">
        <f>IF(H230="MRSA Central",(AD230/$AQ$1)*'1. UC Assumptions'!$L$42,0)</f>
        <v>0</v>
      </c>
      <c r="AR230" s="183">
        <f>IF(H230="MRSA Northeast",(AD230/$AR$1)*'1. UC Assumptions'!$M$42,0)</f>
        <v>0</v>
      </c>
      <c r="AS230" s="183">
        <f>IF(H230="MRSA West",(AD230/$AS$1)*'1. UC Assumptions'!$N$42,0)</f>
        <v>0</v>
      </c>
      <c r="AT230" s="183">
        <f>IF(H230="Nueces",(AD230/$AT$1)*'1. UC Assumptions'!$O$42,0)</f>
        <v>0</v>
      </c>
      <c r="AU230" s="183">
        <f>IF(H230="Tarrant",(AD230/$AU$1)*'1. UC Assumptions'!$P$42,0)</f>
        <v>0</v>
      </c>
      <c r="AV230" s="183">
        <f>IF(H230="Travis",(AD230/$AV$1)*'1. UC Assumptions'!$Q$42,0)</f>
        <v>0</v>
      </c>
      <c r="AW230" s="183">
        <f>IF(H230="Bexar",(AC230/$AW$1)*'1. UC Assumptions'!$E$44,0)</f>
        <v>0</v>
      </c>
      <c r="AX230" s="183">
        <f>IF(H230="Dallas",(AC230/$AX$1)*'1. UC Assumptions'!$F$44,0)</f>
        <v>0</v>
      </c>
      <c r="AY230" s="183">
        <f>IF(H230="El Paso",(AC230/$AY$1)*'1. UC Assumptions'!$G$44,0)</f>
        <v>0</v>
      </c>
      <c r="AZ230" s="183">
        <f>IF(H230="Harris",(AC230/$AZ$1)*'1. UC Assumptions'!$H$44,0)</f>
        <v>0</v>
      </c>
      <c r="BA230" s="183">
        <f>IF(H230="Hidalgo",(AC230/$BA$1)*'1. UC Assumptions'!$I$44,0)</f>
        <v>0</v>
      </c>
      <c r="BB230" s="183">
        <f>IF(H230="Jefferson",(AC230/$BB$1)*'1. UC Assumptions'!$J$44,0)</f>
        <v>0</v>
      </c>
      <c r="BC230" s="183">
        <f>IF(H230="Lubbock",(AC230/$BC$1)*'1. UC Assumptions'!$K$44,0)</f>
        <v>0</v>
      </c>
      <c r="BD230" s="183">
        <f>IF(H230="MRSA Central",(AC230/$BD$1)*'1. UC Assumptions'!$L$44,0)</f>
        <v>0</v>
      </c>
      <c r="BE230" s="183">
        <f>IF(H230="MRSA Northeast",(AC230/$BE$1)*'1. UC Assumptions'!$M$44,0)</f>
        <v>0</v>
      </c>
      <c r="BF230" s="183">
        <f>IF(H230="MRSA West",(AC230/$BF$1)*'1. UC Assumptions'!$N$44,0)</f>
        <v>0</v>
      </c>
      <c r="BG230" s="183">
        <f>IF(H230="Nueces",(AC230/$BG$1)*'1. UC Assumptions'!$O$44,0)</f>
        <v>0</v>
      </c>
      <c r="BH230" s="183">
        <f>IF(H230="Tarrant",(AC230/$BH$1)*'1. UC Assumptions'!$P$44,0)</f>
        <v>0</v>
      </c>
      <c r="BI230" s="183">
        <f>IF(H230="Travis",(AC230/$BI$1)*'1. UC Assumptions'!$Q$44,0)</f>
        <v>0</v>
      </c>
      <c r="BJ230" s="183">
        <f t="shared" si="48"/>
        <v>0</v>
      </c>
      <c r="BK230" s="183">
        <f t="shared" si="49"/>
        <v>0</v>
      </c>
      <c r="BL230" s="183">
        <f t="shared" si="50"/>
        <v>19968455.752141058</v>
      </c>
      <c r="BM230" s="184">
        <f t="shared" si="51"/>
        <v>19921184.76214106</v>
      </c>
      <c r="BN230" s="184">
        <f>ROUNDDOWN(BM230*'1. UC Assumptions'!$C$23,2)</f>
        <v>6573990.9699999997</v>
      </c>
      <c r="BO230" s="184"/>
      <c r="BP230" s="185"/>
      <c r="BQ230" s="32"/>
      <c r="BR230" s="32"/>
    </row>
    <row r="231" spans="1:70">
      <c r="A231" s="177" t="s">
        <v>1623</v>
      </c>
      <c r="B231" s="177" t="s">
        <v>105</v>
      </c>
      <c r="C231" s="178" t="s">
        <v>105</v>
      </c>
      <c r="D231" s="179" t="s">
        <v>281</v>
      </c>
      <c r="E231" s="179"/>
      <c r="F231" s="177" t="s">
        <v>282</v>
      </c>
      <c r="G231" s="177" t="s">
        <v>1624</v>
      </c>
      <c r="H231" s="178" t="s">
        <v>12</v>
      </c>
      <c r="I231" s="178" t="s">
        <v>293</v>
      </c>
      <c r="J231" s="131">
        <f>IFERROR(INDEX(#REF!,(MATCH('Old Calc Tab'!C:C,#REF!,0))),0)</f>
        <v>0</v>
      </c>
      <c r="K231" s="131">
        <f>IFERROR(INDEX(#REF!,(MATCH('Old Calc Tab'!$C:$C,#REF!,0))),0)</f>
        <v>0</v>
      </c>
      <c r="L231" s="131"/>
      <c r="M231" s="131">
        <v>33631142</v>
      </c>
      <c r="N231" s="131">
        <f>IFERROR(INDEX(#REF!,(MATCH('Old Calc Tab'!$C:$C,#REF!,0))),0)</f>
        <v>0</v>
      </c>
      <c r="O231" s="131">
        <f t="shared" si="39"/>
        <v>0</v>
      </c>
      <c r="P231" s="131">
        <f t="shared" si="40"/>
        <v>33631142</v>
      </c>
      <c r="Q231" s="131"/>
      <c r="R231" s="131"/>
      <c r="S231" s="131"/>
      <c r="T231" s="131"/>
      <c r="U231" s="131"/>
      <c r="V231" s="131">
        <v>124154</v>
      </c>
      <c r="W231" s="180">
        <v>0</v>
      </c>
      <c r="X231" s="180">
        <f t="shared" si="52"/>
        <v>33755296</v>
      </c>
      <c r="Y231" s="181">
        <f>IF(D231="Physician Group Practice",(X231/$AE$369)*'1. UC Assumptions'!$C$15,IF(OR(E231="Rural Hospital",E231="Hosp - State"),X231,(X231/$X$369)*'1. UC Assumptions'!$C$9))</f>
        <v>20316064.62431572</v>
      </c>
      <c r="Z231" s="181">
        <f t="shared" si="42"/>
        <v>0</v>
      </c>
      <c r="AA231" s="181">
        <f t="shared" si="43"/>
        <v>13439231.37568428</v>
      </c>
      <c r="AB231" s="182">
        <f t="shared" si="44"/>
        <v>7217.2858025415599</v>
      </c>
      <c r="AC231" s="181">
        <f t="shared" si="45"/>
        <v>13446448.661486821</v>
      </c>
      <c r="AD231" s="181">
        <f t="shared" si="46"/>
        <v>20323281.910118263</v>
      </c>
      <c r="AE231" s="131">
        <v>71809.95</v>
      </c>
      <c r="AF231" s="131">
        <f>AE231*'1. UC Assumptions'!$C$23</f>
        <v>23697.283499999998</v>
      </c>
      <c r="AG231" s="183">
        <f>IF((((X231-W231-AE231)*'1. UC Assumptions'!$C$23)+AF231)&gt;0,((X231-W231-AE231)*'1. UC Assumptions'!$C$23)+AF231,0)</f>
        <v>11139247.679999998</v>
      </c>
      <c r="AH231" s="183">
        <f>IF(((X231-W231-AE231)*'1. UC Assumptions'!$C$23)&gt;0,(X231-W231-AE231)*'1. UC Assumptions'!$C$23,0)</f>
        <v>11115550.396499997</v>
      </c>
      <c r="AI231" s="183">
        <f t="shared" si="47"/>
        <v>11139247.679999998</v>
      </c>
      <c r="AJ231" s="183">
        <f>IF(H231="Bexar",(AD231/$AJ$1)*'1. UC Assumptions'!$E$42,0)</f>
        <v>0</v>
      </c>
      <c r="AK231" s="183">
        <f>IF(H231="Dallas",(AD231/$AK$1)*'1. UC Assumptions'!$F$42,0)</f>
        <v>0</v>
      </c>
      <c r="AL231" s="183">
        <f>IF(H231="El Paso",(AD231/$AL$1)*'1. UC Assumptions'!$G$42,0)</f>
        <v>0</v>
      </c>
      <c r="AM231" s="183">
        <f>IF(H231="Harris",(AD231/$AM$1)*'1. UC Assumptions'!$H$42,0)</f>
        <v>0</v>
      </c>
      <c r="AN231" s="183">
        <f>IF(H231="Hidalgo",(AD231/$AN$1)*'1. UC Assumptions'!$I$42,0)</f>
        <v>0</v>
      </c>
      <c r="AO231" s="183">
        <f>IF(H231="Jefferson",(AD231/$AO$1)*'1. UC Assumptions'!$J$42,0)</f>
        <v>0</v>
      </c>
      <c r="AP231" s="183">
        <f>IF(H231="Lubbock",(AD231/$AP$1)*'1. UC Assumptions'!$K$42,0)</f>
        <v>0</v>
      </c>
      <c r="AQ231" s="183">
        <f>IF(H231="MRSA Central",(AD231/$AQ$1)*'1. UC Assumptions'!$L$42,0)</f>
        <v>0</v>
      </c>
      <c r="AR231" s="183">
        <f>IF(H231="MRSA Northeast",(AD231/$AR$1)*'1. UC Assumptions'!$M$42,0)</f>
        <v>0</v>
      </c>
      <c r="AS231" s="183">
        <f>IF(H231="MRSA West",(AD231/$AS$1)*'1. UC Assumptions'!$N$42,0)</f>
        <v>0</v>
      </c>
      <c r="AT231" s="183">
        <f>IF(H231="Nueces",(AD231/$AT$1)*'1. UC Assumptions'!$O$42,0)</f>
        <v>0</v>
      </c>
      <c r="AU231" s="183">
        <f>IF(H231="Tarrant",(AD231/$AU$1)*'1. UC Assumptions'!$P$42,0)</f>
        <v>0</v>
      </c>
      <c r="AV231" s="183">
        <f>IF(H231="Travis",(AD231/$AV$1)*'1. UC Assumptions'!$Q$42,0)</f>
        <v>0</v>
      </c>
      <c r="AW231" s="183">
        <f>IF(H231="Bexar",(AC231/$AW$1)*'1. UC Assumptions'!$E$44,0)</f>
        <v>0</v>
      </c>
      <c r="AX231" s="183">
        <f>IF(H231="Dallas",(AC231/$AX$1)*'1. UC Assumptions'!$F$44,0)</f>
        <v>0</v>
      </c>
      <c r="AY231" s="183">
        <f>IF(H231="El Paso",(AC231/$AY$1)*'1. UC Assumptions'!$G$44,0)</f>
        <v>0</v>
      </c>
      <c r="AZ231" s="183">
        <f>IF(H231="Harris",(AC231/$AZ$1)*'1. UC Assumptions'!$H$44,0)</f>
        <v>0</v>
      </c>
      <c r="BA231" s="183">
        <f>IF(H231="Hidalgo",(AC231/$BA$1)*'1. UC Assumptions'!$I$44,0)</f>
        <v>0</v>
      </c>
      <c r="BB231" s="183">
        <f>IF(H231="Jefferson",(AC231/$BB$1)*'1. UC Assumptions'!$J$44,0)</f>
        <v>0</v>
      </c>
      <c r="BC231" s="183">
        <f>IF(H231="Lubbock",(AC231/$BC$1)*'1. UC Assumptions'!$K$44,0)</f>
        <v>0</v>
      </c>
      <c r="BD231" s="183">
        <f>IF(H231="MRSA Central",(AC231/$BD$1)*'1. UC Assumptions'!$L$44,0)</f>
        <v>0</v>
      </c>
      <c r="BE231" s="183">
        <f>IF(H231="MRSA Northeast",(AC231/$BE$1)*'1. UC Assumptions'!$M$44,0)</f>
        <v>0</v>
      </c>
      <c r="BF231" s="183">
        <f>IF(H231="MRSA West",(AC231/$BF$1)*'1. UC Assumptions'!$N$44,0)</f>
        <v>0</v>
      </c>
      <c r="BG231" s="183">
        <f>IF(H231="Nueces",(AC231/$BG$1)*'1. UC Assumptions'!$O$44,0)</f>
        <v>0</v>
      </c>
      <c r="BH231" s="183">
        <f>IF(H231="Tarrant",(AC231/$BH$1)*'1. UC Assumptions'!$P$44,0)</f>
        <v>0</v>
      </c>
      <c r="BI231" s="183">
        <f>IF(H231="Travis",(AC231/$BI$1)*'1. UC Assumptions'!$Q$44,0)</f>
        <v>0</v>
      </c>
      <c r="BJ231" s="183">
        <f t="shared" si="48"/>
        <v>0</v>
      </c>
      <c r="BK231" s="183">
        <f t="shared" si="49"/>
        <v>0</v>
      </c>
      <c r="BL231" s="183">
        <f t="shared" si="50"/>
        <v>20323281.910118263</v>
      </c>
      <c r="BM231" s="184">
        <f t="shared" si="51"/>
        <v>20251471.960118264</v>
      </c>
      <c r="BN231" s="184">
        <f>ROUNDDOWN(BM231*'1. UC Assumptions'!$C$23,2)</f>
        <v>6682985.7400000002</v>
      </c>
      <c r="BO231" s="184"/>
      <c r="BP231" s="185"/>
      <c r="BQ231" s="32"/>
      <c r="BR231" s="32"/>
    </row>
    <row r="232" spans="1:70">
      <c r="A232" s="177"/>
      <c r="B232" s="177" t="s">
        <v>1094</v>
      </c>
      <c r="C232" s="177" t="s">
        <v>1094</v>
      </c>
      <c r="D232" s="179" t="s">
        <v>36</v>
      </c>
      <c r="E232" s="179" t="s">
        <v>36</v>
      </c>
      <c r="F232" s="177"/>
      <c r="G232" s="177" t="s">
        <v>1625</v>
      </c>
      <c r="H232" s="178" t="s">
        <v>12</v>
      </c>
      <c r="I232" s="178" t="s">
        <v>457</v>
      </c>
      <c r="J232" s="131">
        <f>IFERROR(INDEX(#REF!,(MATCH('Old Calc Tab'!C:C,#REF!,0))),0)</f>
        <v>0</v>
      </c>
      <c r="K232" s="131">
        <f>IFERROR(INDEX(#REF!,(MATCH('Old Calc Tab'!$C:$C,#REF!,0))),0)</f>
        <v>0</v>
      </c>
      <c r="L232" s="131"/>
      <c r="M232" s="131">
        <v>4573600.9103770554</v>
      </c>
      <c r="N232" s="131">
        <f>IFERROR(INDEX(#REF!,(MATCH('Old Calc Tab'!$C:$C,#REF!,0))),0)</f>
        <v>0</v>
      </c>
      <c r="O232" s="131">
        <f t="shared" si="39"/>
        <v>0</v>
      </c>
      <c r="P232" s="131">
        <f t="shared" si="40"/>
        <v>4573600.9103770554</v>
      </c>
      <c r="Q232" s="131"/>
      <c r="R232" s="131"/>
      <c r="S232" s="131"/>
      <c r="T232" s="131"/>
      <c r="U232" s="131"/>
      <c r="V232" s="131">
        <v>0</v>
      </c>
      <c r="W232" s="180">
        <v>0</v>
      </c>
      <c r="X232" s="180">
        <f t="shared" si="52"/>
        <v>4573600.9103770554</v>
      </c>
      <c r="Y232" s="181">
        <f>IF(D232="Physician Group Practice",(X232/$AE$369)*'1. UC Assumptions'!$C$15,IF(OR(E232="Rural Hospital",E232="Hosp - State"),X232,(X232/$X$369)*'1. UC Assumptions'!$C$9))</f>
        <v>704321.36002050375</v>
      </c>
      <c r="Z232" s="181">
        <f t="shared" si="42"/>
        <v>0</v>
      </c>
      <c r="AA232" s="181">
        <f t="shared" si="43"/>
        <v>3869279.5503565515</v>
      </c>
      <c r="AB232" s="182">
        <f t="shared" si="44"/>
        <v>2077.9236240681844</v>
      </c>
      <c r="AC232" s="181">
        <f t="shared" si="45"/>
        <v>3871357.4739806196</v>
      </c>
      <c r="AD232" s="181">
        <f t="shared" si="46"/>
        <v>706399.2836445719</v>
      </c>
      <c r="AE232" s="131">
        <v>640128.02</v>
      </c>
      <c r="AF232" s="131">
        <f>AE232*'1. UC Assumptions'!$C$23</f>
        <v>211242.24659999998</v>
      </c>
      <c r="AG232" s="183">
        <f>IF((((X232-W232-AE232)*'1. UC Assumptions'!$C$23)+AF232)&gt;0,((X232-W232-AE232)*'1. UC Assumptions'!$C$23)+AF232,0)</f>
        <v>1509288.3004244282</v>
      </c>
      <c r="AH232" s="183">
        <f>IF(((X232-W232-AE232)*'1. UC Assumptions'!$C$23)&gt;0,(X232-W232-AE232)*'1. UC Assumptions'!$C$23,0)</f>
        <v>1298046.0538244282</v>
      </c>
      <c r="AI232" s="183">
        <f t="shared" si="47"/>
        <v>1509288.3004244282</v>
      </c>
      <c r="AJ232" s="183">
        <f>IF(H232="Bexar",(AD232/$AJ$1)*'1. UC Assumptions'!$E$42,0)</f>
        <v>0</v>
      </c>
      <c r="AK232" s="183">
        <f>IF(H232="Dallas",(AD232/$AK$1)*'1. UC Assumptions'!$F$42,0)</f>
        <v>0</v>
      </c>
      <c r="AL232" s="183">
        <f>IF(H232="El Paso",(AD232/$AL$1)*'1. UC Assumptions'!$G$42,0)</f>
        <v>0</v>
      </c>
      <c r="AM232" s="183">
        <f>IF(H232="Harris",(AD232/$AM$1)*'1. UC Assumptions'!$H$42,0)</f>
        <v>0</v>
      </c>
      <c r="AN232" s="183">
        <f>IF(H232="Hidalgo",(AD232/$AN$1)*'1. UC Assumptions'!$I$42,0)</f>
        <v>0</v>
      </c>
      <c r="AO232" s="183">
        <f>IF(H232="Jefferson",(AD232/$AO$1)*'1. UC Assumptions'!$J$42,0)</f>
        <v>0</v>
      </c>
      <c r="AP232" s="183">
        <f>IF(H232="Lubbock",(AD232/$AP$1)*'1. UC Assumptions'!$K$42,0)</f>
        <v>0</v>
      </c>
      <c r="AQ232" s="183">
        <f>IF(H232="MRSA Central",(AD232/$AQ$1)*'1. UC Assumptions'!$L$42,0)</f>
        <v>0</v>
      </c>
      <c r="AR232" s="183">
        <f>IF(H232="MRSA Northeast",(AD232/$AR$1)*'1. UC Assumptions'!$M$42,0)</f>
        <v>0</v>
      </c>
      <c r="AS232" s="183">
        <f>IF(H232="MRSA West",(AD232/$AS$1)*'1. UC Assumptions'!$N$42,0)</f>
        <v>0</v>
      </c>
      <c r="AT232" s="183">
        <f>IF(H232="Nueces",(AD232/$AT$1)*'1. UC Assumptions'!$O$42,0)</f>
        <v>0</v>
      </c>
      <c r="AU232" s="183">
        <f>IF(H232="Tarrant",(AD232/$AU$1)*'1. UC Assumptions'!$P$42,0)</f>
        <v>0</v>
      </c>
      <c r="AV232" s="183">
        <f>IF(H232="Travis",(AD232/$AV$1)*'1. UC Assumptions'!$Q$42,0)</f>
        <v>0</v>
      </c>
      <c r="AW232" s="183">
        <f>IF(H232="Bexar",(AC232/$AW$1)*'1. UC Assumptions'!$E$44,0)</f>
        <v>0</v>
      </c>
      <c r="AX232" s="183">
        <f>IF(H232="Dallas",(AC232/$AX$1)*'1. UC Assumptions'!$F$44,0)</f>
        <v>0</v>
      </c>
      <c r="AY232" s="183">
        <f>IF(H232="El Paso",(AC232/$AY$1)*'1. UC Assumptions'!$G$44,0)</f>
        <v>0</v>
      </c>
      <c r="AZ232" s="183">
        <f>IF(H232="Harris",(AC232/$AZ$1)*'1. UC Assumptions'!$H$44,0)</f>
        <v>0</v>
      </c>
      <c r="BA232" s="183">
        <f>IF(H232="Hidalgo",(AC232/$BA$1)*'1. UC Assumptions'!$I$44,0)</f>
        <v>0</v>
      </c>
      <c r="BB232" s="183">
        <f>IF(H232="Jefferson",(AC232/$BB$1)*'1. UC Assumptions'!$J$44,0)</f>
        <v>0</v>
      </c>
      <c r="BC232" s="183">
        <f>IF(H232="Lubbock",(AC232/$BC$1)*'1. UC Assumptions'!$K$44,0)</f>
        <v>0</v>
      </c>
      <c r="BD232" s="183">
        <f>IF(H232="MRSA Central",(AC232/$BD$1)*'1. UC Assumptions'!$L$44,0)</f>
        <v>0</v>
      </c>
      <c r="BE232" s="183">
        <f>IF(H232="MRSA Northeast",(AC232/$BE$1)*'1. UC Assumptions'!$M$44,0)</f>
        <v>0</v>
      </c>
      <c r="BF232" s="183">
        <f>IF(H232="MRSA West",(AC232/$BF$1)*'1. UC Assumptions'!$N$44,0)</f>
        <v>0</v>
      </c>
      <c r="BG232" s="183">
        <f>IF(H232="Nueces",(AC232/$BG$1)*'1. UC Assumptions'!$O$44,0)</f>
        <v>0</v>
      </c>
      <c r="BH232" s="183">
        <f>IF(H232="Tarrant",(AC232/$BH$1)*'1. UC Assumptions'!$P$44,0)</f>
        <v>0</v>
      </c>
      <c r="BI232" s="183">
        <f>IF(H232="Travis",(AC232/$BI$1)*'1. UC Assumptions'!$Q$44,0)</f>
        <v>0</v>
      </c>
      <c r="BJ232" s="183">
        <f t="shared" si="48"/>
        <v>0</v>
      </c>
      <c r="BK232" s="183">
        <f t="shared" si="49"/>
        <v>0</v>
      </c>
      <c r="BL232" s="183">
        <f t="shared" si="50"/>
        <v>706399.2836445719</v>
      </c>
      <c r="BM232" s="184">
        <f t="shared" si="51"/>
        <v>66271.263644571882</v>
      </c>
      <c r="BN232" s="184">
        <f>ROUNDDOWN(BM232*'1. UC Assumptions'!$C$23,2)</f>
        <v>21869.51</v>
      </c>
      <c r="BO232" s="184"/>
      <c r="BP232" s="185"/>
      <c r="BQ232" s="32"/>
      <c r="BR232" s="32"/>
    </row>
    <row r="233" spans="1:70">
      <c r="A233" s="177" t="s">
        <v>1626</v>
      </c>
      <c r="B233" s="177" t="s">
        <v>302</v>
      </c>
      <c r="C233" s="178" t="s">
        <v>302</v>
      </c>
      <c r="D233" s="179" t="s">
        <v>208</v>
      </c>
      <c r="E233" s="179" t="s">
        <v>149</v>
      </c>
      <c r="F233" s="177"/>
      <c r="G233" s="177" t="s">
        <v>303</v>
      </c>
      <c r="H233" s="178" t="s">
        <v>12</v>
      </c>
      <c r="I233" s="178" t="s">
        <v>304</v>
      </c>
      <c r="J233" s="131">
        <f>IFERROR(INDEX(#REF!,(MATCH('Old Calc Tab'!C:C,#REF!,0))),0)</f>
        <v>0</v>
      </c>
      <c r="K233" s="131">
        <f>IFERROR(INDEX(#REF!,(MATCH('Old Calc Tab'!$C:$C,#REF!,0))),0)</f>
        <v>0</v>
      </c>
      <c r="L233" s="131"/>
      <c r="M233" s="131">
        <v>159881</v>
      </c>
      <c r="N233" s="131">
        <f>IFERROR(INDEX(#REF!,(MATCH('Old Calc Tab'!$C:$C,#REF!,0))),0)</f>
        <v>0</v>
      </c>
      <c r="O233" s="131">
        <f t="shared" si="39"/>
        <v>0</v>
      </c>
      <c r="P233" s="131">
        <f t="shared" si="40"/>
        <v>159881</v>
      </c>
      <c r="Q233" s="131"/>
      <c r="R233" s="131"/>
      <c r="S233" s="131"/>
      <c r="T233" s="131"/>
      <c r="U233" s="131"/>
      <c r="V233" s="131">
        <v>2122</v>
      </c>
      <c r="W233" s="180">
        <v>0</v>
      </c>
      <c r="X233" s="180">
        <f t="shared" si="52"/>
        <v>162003</v>
      </c>
      <c r="Y233" s="181">
        <f>IF(D233="Physician Group Practice",(X233/$AE$369)*'1. UC Assumptions'!$C$15,IF(OR(E233="Rural Hospital",E233="Hosp - State"),X233,(X233/$X$369)*'1. UC Assumptions'!$C$9))</f>
        <v>162003</v>
      </c>
      <c r="Z233" s="181">
        <f t="shared" si="42"/>
        <v>0</v>
      </c>
      <c r="AA233" s="181">
        <f t="shared" si="43"/>
        <v>0</v>
      </c>
      <c r="AB233" s="182">
        <f t="shared" si="44"/>
        <v>0</v>
      </c>
      <c r="AC233" s="181">
        <f t="shared" si="45"/>
        <v>0</v>
      </c>
      <c r="AD233" s="181">
        <f t="shared" si="46"/>
        <v>162003</v>
      </c>
      <c r="AE233" s="131">
        <v>69625.919999999998</v>
      </c>
      <c r="AF233" s="131">
        <f>AE233*'1. UC Assumptions'!$C$23</f>
        <v>22976.553599999996</v>
      </c>
      <c r="AG233" s="183">
        <f>IF((((X233-W233-AE233)*'1. UC Assumptions'!$C$23)+AF233)&gt;0,((X233-W233-AE233)*'1. UC Assumptions'!$C$23)+AF233,0)</f>
        <v>53460.989999999991</v>
      </c>
      <c r="AH233" s="183">
        <f>IF(((X233-W233-AE233)*'1. UC Assumptions'!$C$23)&gt;0,(X233-W233-AE233)*'1. UC Assumptions'!$C$23,0)</f>
        <v>30484.436399999999</v>
      </c>
      <c r="AI233" s="183">
        <f t="shared" si="47"/>
        <v>53460.989999999991</v>
      </c>
      <c r="AJ233" s="183">
        <f>IF(H233="Bexar",(AD233/$AJ$1)*'1. UC Assumptions'!$E$42,0)</f>
        <v>0</v>
      </c>
      <c r="AK233" s="183">
        <f>IF(H233="Dallas",(AD233/$AK$1)*'1. UC Assumptions'!$F$42,0)</f>
        <v>0</v>
      </c>
      <c r="AL233" s="183">
        <f>IF(H233="El Paso",(AD233/$AL$1)*'1. UC Assumptions'!$G$42,0)</f>
        <v>0</v>
      </c>
      <c r="AM233" s="183">
        <f>IF(H233="Harris",(AD233/$AM$1)*'1. UC Assumptions'!$H$42,0)</f>
        <v>0</v>
      </c>
      <c r="AN233" s="183">
        <f>IF(H233="Hidalgo",(AD233/$AN$1)*'1. UC Assumptions'!$I$42,0)</f>
        <v>0</v>
      </c>
      <c r="AO233" s="183">
        <f>IF(H233="Jefferson",(AD233/$AO$1)*'1. UC Assumptions'!$J$42,0)</f>
        <v>0</v>
      </c>
      <c r="AP233" s="183">
        <f>IF(H233="Lubbock",(AD233/$AP$1)*'1. UC Assumptions'!$K$42,0)</f>
        <v>0</v>
      </c>
      <c r="AQ233" s="183">
        <f>IF(H233="MRSA Central",(AD233/$AQ$1)*'1. UC Assumptions'!$L$42,0)</f>
        <v>0</v>
      </c>
      <c r="AR233" s="183">
        <f>IF(H233="MRSA Northeast",(AD233/$AR$1)*'1. UC Assumptions'!$M$42,0)</f>
        <v>0</v>
      </c>
      <c r="AS233" s="183">
        <f>IF(H233="MRSA West",(AD233/$AS$1)*'1. UC Assumptions'!$N$42,0)</f>
        <v>0</v>
      </c>
      <c r="AT233" s="183">
        <f>IF(H233="Nueces",(AD233/$AT$1)*'1. UC Assumptions'!$O$42,0)</f>
        <v>0</v>
      </c>
      <c r="AU233" s="183">
        <f>IF(H233="Tarrant",(AD233/$AU$1)*'1. UC Assumptions'!$P$42,0)</f>
        <v>0</v>
      </c>
      <c r="AV233" s="183">
        <f>IF(H233="Travis",(AD233/$AV$1)*'1. UC Assumptions'!$Q$42,0)</f>
        <v>0</v>
      </c>
      <c r="AW233" s="183">
        <f>IF(H233="Bexar",(AC233/$AW$1)*'1. UC Assumptions'!$E$44,0)</f>
        <v>0</v>
      </c>
      <c r="AX233" s="183">
        <f>IF(H233="Dallas",(AC233/$AX$1)*'1. UC Assumptions'!$F$44,0)</f>
        <v>0</v>
      </c>
      <c r="AY233" s="183">
        <f>IF(H233="El Paso",(AC233/$AY$1)*'1. UC Assumptions'!$G$44,0)</f>
        <v>0</v>
      </c>
      <c r="AZ233" s="183">
        <f>IF(H233="Harris",(AC233/$AZ$1)*'1. UC Assumptions'!$H$44,0)</f>
        <v>0</v>
      </c>
      <c r="BA233" s="183">
        <f>IF(H233="Hidalgo",(AC233/$BA$1)*'1. UC Assumptions'!$I$44,0)</f>
        <v>0</v>
      </c>
      <c r="BB233" s="183">
        <f>IF(H233="Jefferson",(AC233/$BB$1)*'1. UC Assumptions'!$J$44,0)</f>
        <v>0</v>
      </c>
      <c r="BC233" s="183">
        <f>IF(H233="Lubbock",(AC233/$BC$1)*'1. UC Assumptions'!$K$44,0)</f>
        <v>0</v>
      </c>
      <c r="BD233" s="183">
        <f>IF(H233="MRSA Central",(AC233/$BD$1)*'1. UC Assumptions'!$L$44,0)</f>
        <v>0</v>
      </c>
      <c r="BE233" s="183">
        <f>IF(H233="MRSA Northeast",(AC233/$BE$1)*'1. UC Assumptions'!$M$44,0)</f>
        <v>0</v>
      </c>
      <c r="BF233" s="183">
        <f>IF(H233="MRSA West",(AC233/$BF$1)*'1. UC Assumptions'!$N$44,0)</f>
        <v>0</v>
      </c>
      <c r="BG233" s="183">
        <f>IF(H233="Nueces",(AC233/$BG$1)*'1. UC Assumptions'!$O$44,0)</f>
        <v>0</v>
      </c>
      <c r="BH233" s="183">
        <f>IF(H233="Tarrant",(AC233/$BH$1)*'1. UC Assumptions'!$P$44,0)</f>
        <v>0</v>
      </c>
      <c r="BI233" s="183">
        <f>IF(H233="Travis",(AC233/$BI$1)*'1. UC Assumptions'!$Q$44,0)</f>
        <v>0</v>
      </c>
      <c r="BJ233" s="183">
        <f t="shared" si="48"/>
        <v>0</v>
      </c>
      <c r="BK233" s="183">
        <f t="shared" si="49"/>
        <v>0</v>
      </c>
      <c r="BL233" s="183">
        <f t="shared" si="50"/>
        <v>162003</v>
      </c>
      <c r="BM233" s="184">
        <f t="shared" si="51"/>
        <v>92377.08</v>
      </c>
      <c r="BN233" s="184">
        <f>ROUNDDOWN(BM233*'1. UC Assumptions'!$C$23,2)</f>
        <v>30484.43</v>
      </c>
      <c r="BO233" s="184"/>
      <c r="BP233" s="185"/>
      <c r="BQ233" s="32"/>
      <c r="BR233" s="32"/>
    </row>
    <row r="234" spans="1:70">
      <c r="A234" s="177" t="s">
        <v>1627</v>
      </c>
      <c r="B234" s="177" t="s">
        <v>305</v>
      </c>
      <c r="C234" s="178" t="s">
        <v>305</v>
      </c>
      <c r="D234" s="179" t="s">
        <v>208</v>
      </c>
      <c r="E234" s="179" t="s">
        <v>149</v>
      </c>
      <c r="F234" s="177"/>
      <c r="G234" s="177" t="s">
        <v>306</v>
      </c>
      <c r="H234" s="178" t="s">
        <v>12</v>
      </c>
      <c r="I234" s="178" t="s">
        <v>307</v>
      </c>
      <c r="J234" s="131">
        <f>IFERROR(INDEX(#REF!,(MATCH('Old Calc Tab'!C:C,#REF!,0))),0)</f>
        <v>0</v>
      </c>
      <c r="K234" s="131">
        <f>IFERROR(INDEX(#REF!,(MATCH('Old Calc Tab'!$C:$C,#REF!,0))),0)</f>
        <v>0</v>
      </c>
      <c r="L234" s="131"/>
      <c r="M234" s="131">
        <v>115523.05</v>
      </c>
      <c r="N234" s="131">
        <f>IFERROR(INDEX(#REF!,(MATCH('Old Calc Tab'!$C:$C,#REF!,0))),0)</f>
        <v>0</v>
      </c>
      <c r="O234" s="131">
        <f t="shared" si="39"/>
        <v>0</v>
      </c>
      <c r="P234" s="131">
        <f t="shared" si="40"/>
        <v>115523.05</v>
      </c>
      <c r="Q234" s="131"/>
      <c r="R234" s="131"/>
      <c r="S234" s="131"/>
      <c r="T234" s="131"/>
      <c r="U234" s="131"/>
      <c r="V234" s="131">
        <v>0</v>
      </c>
      <c r="W234" s="180">
        <v>0</v>
      </c>
      <c r="X234" s="180">
        <f t="shared" si="52"/>
        <v>115523.05</v>
      </c>
      <c r="Y234" s="181">
        <f>IF(D234="Physician Group Practice",(X234/$AE$369)*'1. UC Assumptions'!$C$15,IF(OR(E234="Rural Hospital",E234="Hosp - State"),X234,(X234/$X$369)*'1. UC Assumptions'!$C$9))</f>
        <v>115523.05</v>
      </c>
      <c r="Z234" s="181">
        <f t="shared" si="42"/>
        <v>0</v>
      </c>
      <c r="AA234" s="181">
        <f t="shared" si="43"/>
        <v>0</v>
      </c>
      <c r="AB234" s="182">
        <f t="shared" si="44"/>
        <v>0</v>
      </c>
      <c r="AC234" s="181">
        <f t="shared" si="45"/>
        <v>0</v>
      </c>
      <c r="AD234" s="181">
        <f t="shared" si="46"/>
        <v>115523.05</v>
      </c>
      <c r="AE234" s="131">
        <v>101742.13</v>
      </c>
      <c r="AF234" s="131">
        <f>AE234*'1. UC Assumptions'!$C$23</f>
        <v>33574.902900000001</v>
      </c>
      <c r="AG234" s="183">
        <f>IF((((X234-W234-AE234)*'1. UC Assumptions'!$C$23)+AF234)&gt;0,((X234-W234-AE234)*'1. UC Assumptions'!$C$23)+AF234,0)</f>
        <v>38122.606500000002</v>
      </c>
      <c r="AH234" s="183">
        <f>IF(((X234-W234-AE234)*'1. UC Assumptions'!$C$23)&gt;0,(X234-W234-AE234)*'1. UC Assumptions'!$C$23,0)</f>
        <v>4547.7035999999989</v>
      </c>
      <c r="AI234" s="183">
        <f t="shared" si="47"/>
        <v>38122.606500000002</v>
      </c>
      <c r="AJ234" s="183">
        <f>IF(H234="Bexar",(AD234/$AJ$1)*'1. UC Assumptions'!$E$42,0)</f>
        <v>0</v>
      </c>
      <c r="AK234" s="183">
        <f>IF(H234="Dallas",(AD234/$AK$1)*'1. UC Assumptions'!$F$42,0)</f>
        <v>0</v>
      </c>
      <c r="AL234" s="183">
        <f>IF(H234="El Paso",(AD234/$AL$1)*'1. UC Assumptions'!$G$42,0)</f>
        <v>0</v>
      </c>
      <c r="AM234" s="183">
        <f>IF(H234="Harris",(AD234/$AM$1)*'1. UC Assumptions'!$H$42,0)</f>
        <v>0</v>
      </c>
      <c r="AN234" s="183">
        <f>IF(H234="Hidalgo",(AD234/$AN$1)*'1. UC Assumptions'!$I$42,0)</f>
        <v>0</v>
      </c>
      <c r="AO234" s="183">
        <f>IF(H234="Jefferson",(AD234/$AO$1)*'1. UC Assumptions'!$J$42,0)</f>
        <v>0</v>
      </c>
      <c r="AP234" s="183">
        <f>IF(H234="Lubbock",(AD234/$AP$1)*'1. UC Assumptions'!$K$42,0)</f>
        <v>0</v>
      </c>
      <c r="AQ234" s="183">
        <f>IF(H234="MRSA Central",(AD234/$AQ$1)*'1. UC Assumptions'!$L$42,0)</f>
        <v>0</v>
      </c>
      <c r="AR234" s="183">
        <f>IF(H234="MRSA Northeast",(AD234/$AR$1)*'1. UC Assumptions'!$M$42,0)</f>
        <v>0</v>
      </c>
      <c r="AS234" s="183">
        <f>IF(H234="MRSA West",(AD234/$AS$1)*'1. UC Assumptions'!$N$42,0)</f>
        <v>0</v>
      </c>
      <c r="AT234" s="183">
        <f>IF(H234="Nueces",(AD234/$AT$1)*'1. UC Assumptions'!$O$42,0)</f>
        <v>0</v>
      </c>
      <c r="AU234" s="183">
        <f>IF(H234="Tarrant",(AD234/$AU$1)*'1. UC Assumptions'!$P$42,0)</f>
        <v>0</v>
      </c>
      <c r="AV234" s="183">
        <f>IF(H234="Travis",(AD234/$AV$1)*'1. UC Assumptions'!$Q$42,0)</f>
        <v>0</v>
      </c>
      <c r="AW234" s="183">
        <f>IF(H234="Bexar",(AC234/$AW$1)*'1. UC Assumptions'!$E$44,0)</f>
        <v>0</v>
      </c>
      <c r="AX234" s="183">
        <f>IF(H234="Dallas",(AC234/$AX$1)*'1. UC Assumptions'!$F$44,0)</f>
        <v>0</v>
      </c>
      <c r="AY234" s="183">
        <f>IF(H234="El Paso",(AC234/$AY$1)*'1. UC Assumptions'!$G$44,0)</f>
        <v>0</v>
      </c>
      <c r="AZ234" s="183">
        <f>IF(H234="Harris",(AC234/$AZ$1)*'1. UC Assumptions'!$H$44,0)</f>
        <v>0</v>
      </c>
      <c r="BA234" s="183">
        <f>IF(H234="Hidalgo",(AC234/$BA$1)*'1. UC Assumptions'!$I$44,0)</f>
        <v>0</v>
      </c>
      <c r="BB234" s="183">
        <f>IF(H234="Jefferson",(AC234/$BB$1)*'1. UC Assumptions'!$J$44,0)</f>
        <v>0</v>
      </c>
      <c r="BC234" s="183">
        <f>IF(H234="Lubbock",(AC234/$BC$1)*'1. UC Assumptions'!$K$44,0)</f>
        <v>0</v>
      </c>
      <c r="BD234" s="183">
        <f>IF(H234="MRSA Central",(AC234/$BD$1)*'1. UC Assumptions'!$L$44,0)</f>
        <v>0</v>
      </c>
      <c r="BE234" s="183">
        <f>IF(H234="MRSA Northeast",(AC234/$BE$1)*'1. UC Assumptions'!$M$44,0)</f>
        <v>0</v>
      </c>
      <c r="BF234" s="183">
        <f>IF(H234="MRSA West",(AC234/$BF$1)*'1. UC Assumptions'!$N$44,0)</f>
        <v>0</v>
      </c>
      <c r="BG234" s="183">
        <f>IF(H234="Nueces",(AC234/$BG$1)*'1. UC Assumptions'!$O$44,0)</f>
        <v>0</v>
      </c>
      <c r="BH234" s="183">
        <f>IF(H234="Tarrant",(AC234/$BH$1)*'1. UC Assumptions'!$P$44,0)</f>
        <v>0</v>
      </c>
      <c r="BI234" s="183">
        <f>IF(H234="Travis",(AC234/$BI$1)*'1. UC Assumptions'!$Q$44,0)</f>
        <v>0</v>
      </c>
      <c r="BJ234" s="183">
        <f t="shared" si="48"/>
        <v>0</v>
      </c>
      <c r="BK234" s="183">
        <f t="shared" si="49"/>
        <v>0</v>
      </c>
      <c r="BL234" s="183">
        <f t="shared" si="50"/>
        <v>115523.05</v>
      </c>
      <c r="BM234" s="184">
        <f t="shared" si="51"/>
        <v>13780.919999999998</v>
      </c>
      <c r="BN234" s="184">
        <f>ROUNDDOWN(BM234*'1. UC Assumptions'!$C$23,2)</f>
        <v>4547.7</v>
      </c>
      <c r="BO234" s="184"/>
      <c r="BP234" s="185"/>
      <c r="BQ234" s="32"/>
      <c r="BR234" s="32"/>
    </row>
    <row r="235" spans="1:70">
      <c r="A235" s="177" t="s">
        <v>1628</v>
      </c>
      <c r="B235" s="178" t="s">
        <v>319</v>
      </c>
      <c r="C235" s="178" t="s">
        <v>319</v>
      </c>
      <c r="D235" s="179" t="s">
        <v>208</v>
      </c>
      <c r="E235" s="179" t="s">
        <v>149</v>
      </c>
      <c r="F235" s="177"/>
      <c r="G235" s="177" t="s">
        <v>1629</v>
      </c>
      <c r="H235" s="178" t="s">
        <v>12</v>
      </c>
      <c r="I235" s="178" t="s">
        <v>321</v>
      </c>
      <c r="J235" s="131">
        <f>IFERROR(INDEX(#REF!,(MATCH('Old Calc Tab'!C:C,#REF!,0))),0)</f>
        <v>0</v>
      </c>
      <c r="K235" s="131">
        <f>IFERROR(INDEX(#REF!,(MATCH('Old Calc Tab'!$C:$C,#REF!,0))),0)</f>
        <v>0</v>
      </c>
      <c r="L235" s="131"/>
      <c r="M235" s="131">
        <v>853927.55</v>
      </c>
      <c r="N235" s="131">
        <f>IFERROR(INDEX(#REF!,(MATCH('Old Calc Tab'!$C:$C,#REF!,0))),0)</f>
        <v>0</v>
      </c>
      <c r="O235" s="131">
        <f t="shared" si="39"/>
        <v>0</v>
      </c>
      <c r="P235" s="131">
        <f t="shared" si="40"/>
        <v>853927.55</v>
      </c>
      <c r="Q235" s="131"/>
      <c r="R235" s="131"/>
      <c r="S235" s="131"/>
      <c r="T235" s="131"/>
      <c r="U235" s="131"/>
      <c r="V235" s="131">
        <v>0</v>
      </c>
      <c r="W235" s="180">
        <v>0</v>
      </c>
      <c r="X235" s="180">
        <f t="shared" si="52"/>
        <v>853927.55</v>
      </c>
      <c r="Y235" s="181">
        <f>IF(D235="Physician Group Practice",(X235/$AE$369)*'1. UC Assumptions'!$C$15,IF(OR(E235="Rural Hospital",E235="Hosp - State"),X235,(X235/$X$369)*'1. UC Assumptions'!$C$9))</f>
        <v>853927.55</v>
      </c>
      <c r="Z235" s="181">
        <f t="shared" si="42"/>
        <v>0</v>
      </c>
      <c r="AA235" s="181">
        <f t="shared" si="43"/>
        <v>0</v>
      </c>
      <c r="AB235" s="182">
        <f t="shared" si="44"/>
        <v>0</v>
      </c>
      <c r="AC235" s="181">
        <f t="shared" si="45"/>
        <v>0</v>
      </c>
      <c r="AD235" s="181">
        <f t="shared" si="46"/>
        <v>853927.55</v>
      </c>
      <c r="AE235" s="131">
        <v>162425.07999999999</v>
      </c>
      <c r="AF235" s="131">
        <f>AE235*'1. UC Assumptions'!$C$23</f>
        <v>53600.276399999988</v>
      </c>
      <c r="AG235" s="183">
        <f>IF((((X235-W235-AE235)*'1. UC Assumptions'!$C$23)+AF235)&gt;0,((X235-W235-AE235)*'1. UC Assumptions'!$C$23)+AF235,0)</f>
        <v>281796.09149999998</v>
      </c>
      <c r="AH235" s="183">
        <f>IF(((X235-W235-AE235)*'1. UC Assumptions'!$C$23)&gt;0,(X235-W235-AE235)*'1. UC Assumptions'!$C$23,0)</f>
        <v>228195.81510000001</v>
      </c>
      <c r="AI235" s="183">
        <f t="shared" si="47"/>
        <v>281796.09149999998</v>
      </c>
      <c r="AJ235" s="183">
        <f>IF(H235="Bexar",(AD235/$AJ$1)*'1. UC Assumptions'!$E$42,0)</f>
        <v>0</v>
      </c>
      <c r="AK235" s="183">
        <f>IF(H235="Dallas",(AD235/$AK$1)*'1. UC Assumptions'!$F$42,0)</f>
        <v>0</v>
      </c>
      <c r="AL235" s="183">
        <f>IF(H235="El Paso",(AD235/$AL$1)*'1. UC Assumptions'!$G$42,0)</f>
        <v>0</v>
      </c>
      <c r="AM235" s="183">
        <f>IF(H235="Harris",(AD235/$AM$1)*'1. UC Assumptions'!$H$42,0)</f>
        <v>0</v>
      </c>
      <c r="AN235" s="183">
        <f>IF(H235="Hidalgo",(AD235/$AN$1)*'1. UC Assumptions'!$I$42,0)</f>
        <v>0</v>
      </c>
      <c r="AO235" s="183">
        <f>IF(H235="Jefferson",(AD235/$AO$1)*'1. UC Assumptions'!$J$42,0)</f>
        <v>0</v>
      </c>
      <c r="AP235" s="183">
        <f>IF(H235="Lubbock",(AD235/$AP$1)*'1. UC Assumptions'!$K$42,0)</f>
        <v>0</v>
      </c>
      <c r="AQ235" s="183">
        <f>IF(H235="MRSA Central",(AD235/$AQ$1)*'1. UC Assumptions'!$L$42,0)</f>
        <v>0</v>
      </c>
      <c r="AR235" s="183">
        <f>IF(H235="MRSA Northeast",(AD235/$AR$1)*'1. UC Assumptions'!$M$42,0)</f>
        <v>0</v>
      </c>
      <c r="AS235" s="183">
        <f>IF(H235="MRSA West",(AD235/$AS$1)*'1. UC Assumptions'!$N$42,0)</f>
        <v>0</v>
      </c>
      <c r="AT235" s="183">
        <f>IF(H235="Nueces",(AD235/$AT$1)*'1. UC Assumptions'!$O$42,0)</f>
        <v>0</v>
      </c>
      <c r="AU235" s="183">
        <f>IF(H235="Tarrant",(AD235/$AU$1)*'1. UC Assumptions'!$P$42,0)</f>
        <v>0</v>
      </c>
      <c r="AV235" s="183">
        <f>IF(H235="Travis",(AD235/$AV$1)*'1. UC Assumptions'!$Q$42,0)</f>
        <v>0</v>
      </c>
      <c r="AW235" s="183">
        <f>IF(H235="Bexar",(AC235/$AW$1)*'1. UC Assumptions'!$E$44,0)</f>
        <v>0</v>
      </c>
      <c r="AX235" s="183">
        <f>IF(H235="Dallas",(AC235/$AX$1)*'1. UC Assumptions'!$F$44,0)</f>
        <v>0</v>
      </c>
      <c r="AY235" s="183">
        <f>IF(H235="El Paso",(AC235/$AY$1)*'1. UC Assumptions'!$G$44,0)</f>
        <v>0</v>
      </c>
      <c r="AZ235" s="183">
        <f>IF(H235="Harris",(AC235/$AZ$1)*'1. UC Assumptions'!$H$44,0)</f>
        <v>0</v>
      </c>
      <c r="BA235" s="183">
        <f>IF(H235="Hidalgo",(AC235/$BA$1)*'1. UC Assumptions'!$I$44,0)</f>
        <v>0</v>
      </c>
      <c r="BB235" s="183">
        <f>IF(H235="Jefferson",(AC235/$BB$1)*'1. UC Assumptions'!$J$44,0)</f>
        <v>0</v>
      </c>
      <c r="BC235" s="183">
        <f>IF(H235="Lubbock",(AC235/$BC$1)*'1. UC Assumptions'!$K$44,0)</f>
        <v>0</v>
      </c>
      <c r="BD235" s="183">
        <f>IF(H235="MRSA Central",(AC235/$BD$1)*'1. UC Assumptions'!$L$44,0)</f>
        <v>0</v>
      </c>
      <c r="BE235" s="183">
        <f>IF(H235="MRSA Northeast",(AC235/$BE$1)*'1. UC Assumptions'!$M$44,0)</f>
        <v>0</v>
      </c>
      <c r="BF235" s="183">
        <f>IF(H235="MRSA West",(AC235/$BF$1)*'1. UC Assumptions'!$N$44,0)</f>
        <v>0</v>
      </c>
      <c r="BG235" s="183">
        <f>IF(H235="Nueces",(AC235/$BG$1)*'1. UC Assumptions'!$O$44,0)</f>
        <v>0</v>
      </c>
      <c r="BH235" s="183">
        <f>IF(H235="Tarrant",(AC235/$BH$1)*'1. UC Assumptions'!$P$44,0)</f>
        <v>0</v>
      </c>
      <c r="BI235" s="183">
        <f>IF(H235="Travis",(AC235/$BI$1)*'1. UC Assumptions'!$Q$44,0)</f>
        <v>0</v>
      </c>
      <c r="BJ235" s="183">
        <f t="shared" si="48"/>
        <v>0</v>
      </c>
      <c r="BK235" s="183">
        <f t="shared" si="49"/>
        <v>0</v>
      </c>
      <c r="BL235" s="183">
        <f t="shared" si="50"/>
        <v>853927.55</v>
      </c>
      <c r="BM235" s="184">
        <f t="shared" si="51"/>
        <v>691502.47000000009</v>
      </c>
      <c r="BN235" s="184">
        <f>ROUNDDOWN(BM235*'1. UC Assumptions'!$C$23,2)</f>
        <v>228195.81</v>
      </c>
      <c r="BO235" s="184"/>
      <c r="BP235" s="185"/>
      <c r="BQ235" s="32"/>
      <c r="BR235" s="32"/>
    </row>
    <row r="236" spans="1:70">
      <c r="A236" s="177">
        <v>451358</v>
      </c>
      <c r="B236" s="177" t="s">
        <v>328</v>
      </c>
      <c r="C236" s="178" t="s">
        <v>328</v>
      </c>
      <c r="D236" s="179" t="s">
        <v>208</v>
      </c>
      <c r="E236" s="179" t="s">
        <v>149</v>
      </c>
      <c r="F236" s="177"/>
      <c r="G236" s="177" t="s">
        <v>1630</v>
      </c>
      <c r="H236" s="178" t="s">
        <v>12</v>
      </c>
      <c r="I236" s="178" t="s">
        <v>330</v>
      </c>
      <c r="J236" s="131">
        <f>IFERROR(INDEX(#REF!,(MATCH('Old Calc Tab'!C:C,#REF!,0))),0)</f>
        <v>0</v>
      </c>
      <c r="K236" s="131">
        <f>IFERROR(INDEX(#REF!,(MATCH('Old Calc Tab'!$C:$C,#REF!,0))),0)</f>
        <v>0</v>
      </c>
      <c r="L236" s="131"/>
      <c r="M236" s="131">
        <v>1159595.3500000001</v>
      </c>
      <c r="N236" s="131">
        <f>IFERROR(INDEX(#REF!,(MATCH('Old Calc Tab'!$C:$C,#REF!,0))),0)</f>
        <v>0</v>
      </c>
      <c r="O236" s="131">
        <f t="shared" si="39"/>
        <v>0</v>
      </c>
      <c r="P236" s="131">
        <f t="shared" si="40"/>
        <v>1159595.3500000001</v>
      </c>
      <c r="Q236" s="131"/>
      <c r="R236" s="131"/>
      <c r="S236" s="131"/>
      <c r="T236" s="131"/>
      <c r="U236" s="131"/>
      <c r="V236" s="131">
        <v>353507</v>
      </c>
      <c r="W236" s="180">
        <v>0</v>
      </c>
      <c r="X236" s="180">
        <f t="shared" si="52"/>
        <v>1513102.35</v>
      </c>
      <c r="Y236" s="181">
        <f>IF(D236="Physician Group Practice",(X236/$AE$369)*'1. UC Assumptions'!$C$15,IF(OR(E236="Rural Hospital",E236="Hosp - State"),X236,(X236/$X$369)*'1. UC Assumptions'!$C$9))</f>
        <v>1513102.35</v>
      </c>
      <c r="Z236" s="181">
        <f t="shared" si="42"/>
        <v>0</v>
      </c>
      <c r="AA236" s="181">
        <f t="shared" si="43"/>
        <v>0</v>
      </c>
      <c r="AB236" s="182">
        <f t="shared" si="44"/>
        <v>0</v>
      </c>
      <c r="AC236" s="181">
        <f t="shared" si="45"/>
        <v>0</v>
      </c>
      <c r="AD236" s="181">
        <f t="shared" si="46"/>
        <v>1513102.35</v>
      </c>
      <c r="AE236" s="131">
        <v>0</v>
      </c>
      <c r="AF236" s="131">
        <f>AE236*'1. UC Assumptions'!$C$23</f>
        <v>0</v>
      </c>
      <c r="AG236" s="183">
        <f>IF((((X236-W236-AE236)*'1. UC Assumptions'!$C$23)+AF236)&gt;0,((X236-W236-AE236)*'1. UC Assumptions'!$C$23)+AF236,0)</f>
        <v>499323.77549999999</v>
      </c>
      <c r="AH236" s="183">
        <f>IF(((X236-W236-AE236)*'1. UC Assumptions'!$C$23)&gt;0,(X236-W236-AE236)*'1. UC Assumptions'!$C$23,0)</f>
        <v>499323.77549999999</v>
      </c>
      <c r="AI236" s="183">
        <f t="shared" si="47"/>
        <v>499323.77549999999</v>
      </c>
      <c r="AJ236" s="183">
        <f>IF(H236="Bexar",(AD236/$AJ$1)*'1. UC Assumptions'!$E$42,0)</f>
        <v>0</v>
      </c>
      <c r="AK236" s="183">
        <f>IF(H236="Dallas",(AD236/$AK$1)*'1. UC Assumptions'!$F$42,0)</f>
        <v>0</v>
      </c>
      <c r="AL236" s="183">
        <f>IF(H236="El Paso",(AD236/$AL$1)*'1. UC Assumptions'!$G$42,0)</f>
        <v>0</v>
      </c>
      <c r="AM236" s="183">
        <f>IF(H236="Harris",(AD236/$AM$1)*'1. UC Assumptions'!$H$42,0)</f>
        <v>0</v>
      </c>
      <c r="AN236" s="183">
        <f>IF(H236="Hidalgo",(AD236/$AN$1)*'1. UC Assumptions'!$I$42,0)</f>
        <v>0</v>
      </c>
      <c r="AO236" s="183">
        <f>IF(H236="Jefferson",(AD236/$AO$1)*'1. UC Assumptions'!$J$42,0)</f>
        <v>0</v>
      </c>
      <c r="AP236" s="183">
        <f>IF(H236="Lubbock",(AD236/$AP$1)*'1. UC Assumptions'!$K$42,0)</f>
        <v>0</v>
      </c>
      <c r="AQ236" s="183">
        <f>IF(H236="MRSA Central",(AD236/$AQ$1)*'1. UC Assumptions'!$L$42,0)</f>
        <v>0</v>
      </c>
      <c r="AR236" s="183">
        <f>IF(H236="MRSA Northeast",(AD236/$AR$1)*'1. UC Assumptions'!$M$42,0)</f>
        <v>0</v>
      </c>
      <c r="AS236" s="183">
        <f>IF(H236="MRSA West",(AD236/$AS$1)*'1. UC Assumptions'!$N$42,0)</f>
        <v>0</v>
      </c>
      <c r="AT236" s="183">
        <f>IF(H236="Nueces",(AD236/$AT$1)*'1. UC Assumptions'!$O$42,0)</f>
        <v>0</v>
      </c>
      <c r="AU236" s="183">
        <f>IF(H236="Tarrant",(AD236/$AU$1)*'1. UC Assumptions'!$P$42,0)</f>
        <v>0</v>
      </c>
      <c r="AV236" s="183">
        <f>IF(H236="Travis",(AD236/$AV$1)*'1. UC Assumptions'!$Q$42,0)</f>
        <v>0</v>
      </c>
      <c r="AW236" s="183">
        <f>IF(H236="Bexar",(AC236/$AW$1)*'1. UC Assumptions'!$E$44,0)</f>
        <v>0</v>
      </c>
      <c r="AX236" s="183">
        <f>IF(H236="Dallas",(AC236/$AX$1)*'1. UC Assumptions'!$F$44,0)</f>
        <v>0</v>
      </c>
      <c r="AY236" s="183">
        <f>IF(H236="El Paso",(AC236/$AY$1)*'1. UC Assumptions'!$G$44,0)</f>
        <v>0</v>
      </c>
      <c r="AZ236" s="183">
        <f>IF(H236="Harris",(AC236/$AZ$1)*'1. UC Assumptions'!$H$44,0)</f>
        <v>0</v>
      </c>
      <c r="BA236" s="183">
        <f>IF(H236="Hidalgo",(AC236/$BA$1)*'1. UC Assumptions'!$I$44,0)</f>
        <v>0</v>
      </c>
      <c r="BB236" s="183">
        <f>IF(H236="Jefferson",(AC236/$BB$1)*'1. UC Assumptions'!$J$44,0)</f>
        <v>0</v>
      </c>
      <c r="BC236" s="183">
        <f>IF(H236="Lubbock",(AC236/$BC$1)*'1. UC Assumptions'!$K$44,0)</f>
        <v>0</v>
      </c>
      <c r="BD236" s="183">
        <f>IF(H236="MRSA Central",(AC236/$BD$1)*'1. UC Assumptions'!$L$44,0)</f>
        <v>0</v>
      </c>
      <c r="BE236" s="183">
        <f>IF(H236="MRSA Northeast",(AC236/$BE$1)*'1. UC Assumptions'!$M$44,0)</f>
        <v>0</v>
      </c>
      <c r="BF236" s="183">
        <f>IF(H236="MRSA West",(AC236/$BF$1)*'1. UC Assumptions'!$N$44,0)</f>
        <v>0</v>
      </c>
      <c r="BG236" s="183">
        <f>IF(H236="Nueces",(AC236/$BG$1)*'1. UC Assumptions'!$O$44,0)</f>
        <v>0</v>
      </c>
      <c r="BH236" s="183">
        <f>IF(H236="Tarrant",(AC236/$BH$1)*'1. UC Assumptions'!$P$44,0)</f>
        <v>0</v>
      </c>
      <c r="BI236" s="183">
        <f>IF(H236="Travis",(AC236/$BI$1)*'1. UC Assumptions'!$Q$44,0)</f>
        <v>0</v>
      </c>
      <c r="BJ236" s="183">
        <f t="shared" si="48"/>
        <v>0</v>
      </c>
      <c r="BK236" s="183">
        <f t="shared" si="49"/>
        <v>0</v>
      </c>
      <c r="BL236" s="183">
        <f t="shared" si="50"/>
        <v>1513102.35</v>
      </c>
      <c r="BM236" s="184">
        <f t="shared" si="51"/>
        <v>1513102.35</v>
      </c>
      <c r="BN236" s="184">
        <f>ROUNDDOWN(BM236*'1. UC Assumptions'!$C$23,2)</f>
        <v>499323.77</v>
      </c>
      <c r="BO236" s="184"/>
      <c r="BP236" s="185"/>
      <c r="BQ236" s="32"/>
      <c r="BR236" s="32"/>
    </row>
    <row r="237" spans="1:70">
      <c r="A237" s="177" t="s">
        <v>1631</v>
      </c>
      <c r="B237" s="177" t="s">
        <v>331</v>
      </c>
      <c r="C237" s="178" t="s">
        <v>331</v>
      </c>
      <c r="D237" s="179" t="s">
        <v>208</v>
      </c>
      <c r="E237" s="179" t="s">
        <v>149</v>
      </c>
      <c r="F237" s="177"/>
      <c r="G237" s="177" t="s">
        <v>332</v>
      </c>
      <c r="H237" s="178" t="s">
        <v>12</v>
      </c>
      <c r="I237" s="178" t="s">
        <v>333</v>
      </c>
      <c r="J237" s="131">
        <f>IFERROR(INDEX(#REF!,(MATCH('Old Calc Tab'!C:C,#REF!,0))),0)</f>
        <v>0</v>
      </c>
      <c r="K237" s="131">
        <f>IFERROR(INDEX(#REF!,(MATCH('Old Calc Tab'!$C:$C,#REF!,0))),0)</f>
        <v>0</v>
      </c>
      <c r="L237" s="131"/>
      <c r="M237" s="131">
        <v>83374</v>
      </c>
      <c r="N237" s="131">
        <f>IFERROR(INDEX(#REF!,(MATCH('Old Calc Tab'!$C:$C,#REF!,0))),0)</f>
        <v>0</v>
      </c>
      <c r="O237" s="131">
        <f t="shared" si="39"/>
        <v>0</v>
      </c>
      <c r="P237" s="131">
        <f t="shared" si="40"/>
        <v>83374</v>
      </c>
      <c r="Q237" s="131"/>
      <c r="R237" s="131"/>
      <c r="S237" s="131"/>
      <c r="T237" s="131"/>
      <c r="U237" s="131"/>
      <c r="V237" s="131">
        <v>83374</v>
      </c>
      <c r="W237" s="180">
        <v>0</v>
      </c>
      <c r="X237" s="180">
        <f t="shared" si="52"/>
        <v>166748</v>
      </c>
      <c r="Y237" s="181">
        <f>IF(D237="Physician Group Practice",(X237/$AE$369)*'1. UC Assumptions'!$C$15,IF(OR(E237="Rural Hospital",E237="Hosp - State"),X237,(X237/$X$369)*'1. UC Assumptions'!$C$9))</f>
        <v>166748</v>
      </c>
      <c r="Z237" s="181">
        <f t="shared" si="42"/>
        <v>0</v>
      </c>
      <c r="AA237" s="181">
        <f t="shared" si="43"/>
        <v>0</v>
      </c>
      <c r="AB237" s="182">
        <f t="shared" si="44"/>
        <v>0</v>
      </c>
      <c r="AC237" s="181">
        <f t="shared" si="45"/>
        <v>0</v>
      </c>
      <c r="AD237" s="181">
        <f t="shared" si="46"/>
        <v>166748</v>
      </c>
      <c r="AE237" s="131">
        <v>358571.04</v>
      </c>
      <c r="AF237" s="131">
        <f>AE237*'1. UC Assumptions'!$C$23</f>
        <v>118328.44319999998</v>
      </c>
      <c r="AG237" s="183">
        <f>IF((((X237-W237-AE237)*'1. UC Assumptions'!$C$23)+AF237)&gt;0,((X237-W237-AE237)*'1. UC Assumptions'!$C$23)+AF237,0)</f>
        <v>55026.84</v>
      </c>
      <c r="AH237" s="183">
        <f>IF(((X237-W237-AE237)*'1. UC Assumptions'!$C$23)&gt;0,(X237-W237-AE237)*'1. UC Assumptions'!$C$23,0)</f>
        <v>0</v>
      </c>
      <c r="AI237" s="183">
        <f t="shared" si="47"/>
        <v>118328.44319999998</v>
      </c>
      <c r="AJ237" s="183">
        <f>IF(H237="Bexar",(AD237/$AJ$1)*'1. UC Assumptions'!$E$42,0)</f>
        <v>0</v>
      </c>
      <c r="AK237" s="183">
        <f>IF(H237="Dallas",(AD237/$AK$1)*'1. UC Assumptions'!$F$42,0)</f>
        <v>0</v>
      </c>
      <c r="AL237" s="183">
        <f>IF(H237="El Paso",(AD237/$AL$1)*'1. UC Assumptions'!$G$42,0)</f>
        <v>0</v>
      </c>
      <c r="AM237" s="183">
        <f>IF(H237="Harris",(AD237/$AM$1)*'1. UC Assumptions'!$H$42,0)</f>
        <v>0</v>
      </c>
      <c r="AN237" s="183">
        <f>IF(H237="Hidalgo",(AD237/$AN$1)*'1. UC Assumptions'!$I$42,0)</f>
        <v>0</v>
      </c>
      <c r="AO237" s="183">
        <f>IF(H237="Jefferson",(AD237/$AO$1)*'1. UC Assumptions'!$J$42,0)</f>
        <v>0</v>
      </c>
      <c r="AP237" s="183">
        <f>IF(H237="Lubbock",(AD237/$AP$1)*'1. UC Assumptions'!$K$42,0)</f>
        <v>0</v>
      </c>
      <c r="AQ237" s="183">
        <f>IF(H237="MRSA Central",(AD237/$AQ$1)*'1. UC Assumptions'!$L$42,0)</f>
        <v>0</v>
      </c>
      <c r="AR237" s="183">
        <f>IF(H237="MRSA Northeast",(AD237/$AR$1)*'1. UC Assumptions'!$M$42,0)</f>
        <v>0</v>
      </c>
      <c r="AS237" s="183">
        <f>IF(H237="MRSA West",(AD237/$AS$1)*'1. UC Assumptions'!$N$42,0)</f>
        <v>0</v>
      </c>
      <c r="AT237" s="183">
        <f>IF(H237="Nueces",(AD237/$AT$1)*'1. UC Assumptions'!$O$42,0)</f>
        <v>0</v>
      </c>
      <c r="AU237" s="183">
        <f>IF(H237="Tarrant",(AD237/$AU$1)*'1. UC Assumptions'!$P$42,0)</f>
        <v>0</v>
      </c>
      <c r="AV237" s="183">
        <f>IF(H237="Travis",(AD237/$AV$1)*'1. UC Assumptions'!$Q$42,0)</f>
        <v>0</v>
      </c>
      <c r="AW237" s="183">
        <f>IF(H237="Bexar",(AC237/$AW$1)*'1. UC Assumptions'!$E$44,0)</f>
        <v>0</v>
      </c>
      <c r="AX237" s="183">
        <f>IF(H237="Dallas",(AC237/$AX$1)*'1. UC Assumptions'!$F$44,0)</f>
        <v>0</v>
      </c>
      <c r="AY237" s="183">
        <f>IF(H237="El Paso",(AC237/$AY$1)*'1. UC Assumptions'!$G$44,0)</f>
        <v>0</v>
      </c>
      <c r="AZ237" s="183">
        <f>IF(H237="Harris",(AC237/$AZ$1)*'1. UC Assumptions'!$H$44,0)</f>
        <v>0</v>
      </c>
      <c r="BA237" s="183">
        <f>IF(H237="Hidalgo",(AC237/$BA$1)*'1. UC Assumptions'!$I$44,0)</f>
        <v>0</v>
      </c>
      <c r="BB237" s="183">
        <f>IF(H237="Jefferson",(AC237/$BB$1)*'1. UC Assumptions'!$J$44,0)</f>
        <v>0</v>
      </c>
      <c r="BC237" s="183">
        <f>IF(H237="Lubbock",(AC237/$BC$1)*'1. UC Assumptions'!$K$44,0)</f>
        <v>0</v>
      </c>
      <c r="BD237" s="183">
        <f>IF(H237="MRSA Central",(AC237/$BD$1)*'1. UC Assumptions'!$L$44,0)</f>
        <v>0</v>
      </c>
      <c r="BE237" s="183">
        <f>IF(H237="MRSA Northeast",(AC237/$BE$1)*'1. UC Assumptions'!$M$44,0)</f>
        <v>0</v>
      </c>
      <c r="BF237" s="183">
        <f>IF(H237="MRSA West",(AC237/$BF$1)*'1. UC Assumptions'!$N$44,0)</f>
        <v>0</v>
      </c>
      <c r="BG237" s="183">
        <f>IF(H237="Nueces",(AC237/$BG$1)*'1. UC Assumptions'!$O$44,0)</f>
        <v>0</v>
      </c>
      <c r="BH237" s="183">
        <f>IF(H237="Tarrant",(AC237/$BH$1)*'1. UC Assumptions'!$P$44,0)</f>
        <v>0</v>
      </c>
      <c r="BI237" s="183">
        <f>IF(H237="Travis",(AC237/$BI$1)*'1. UC Assumptions'!$Q$44,0)</f>
        <v>0</v>
      </c>
      <c r="BJ237" s="183">
        <f t="shared" si="48"/>
        <v>0</v>
      </c>
      <c r="BK237" s="183">
        <f t="shared" si="49"/>
        <v>0</v>
      </c>
      <c r="BL237" s="183">
        <f t="shared" si="50"/>
        <v>166748</v>
      </c>
      <c r="BM237" s="184">
        <f t="shared" si="51"/>
        <v>-191823.03999999998</v>
      </c>
      <c r="BN237" s="184">
        <f>ROUNDDOWN(BM237*'1. UC Assumptions'!$C$23,2)</f>
        <v>-63301.599999999999</v>
      </c>
      <c r="BO237" s="184"/>
      <c r="BP237" s="185"/>
      <c r="BQ237" s="32"/>
      <c r="BR237" s="32"/>
    </row>
    <row r="238" spans="1:70">
      <c r="A238" s="177" t="s">
        <v>1632</v>
      </c>
      <c r="B238" s="178" t="s">
        <v>1633</v>
      </c>
      <c r="C238" s="178" t="s">
        <v>1633</v>
      </c>
      <c r="D238" s="179" t="s">
        <v>208</v>
      </c>
      <c r="E238" s="179" t="s">
        <v>149</v>
      </c>
      <c r="F238" s="177"/>
      <c r="G238" s="177" t="s">
        <v>1634</v>
      </c>
      <c r="H238" s="178" t="s">
        <v>12</v>
      </c>
      <c r="I238" s="178" t="s">
        <v>1012</v>
      </c>
      <c r="J238" s="131">
        <f>IFERROR(INDEX(#REF!,(MATCH('Old Calc Tab'!C:C,#REF!,0))),0)</f>
        <v>0</v>
      </c>
      <c r="K238" s="131">
        <f>IFERROR(INDEX(#REF!,(MATCH('Old Calc Tab'!$C:$C,#REF!,0))),0)</f>
        <v>0</v>
      </c>
      <c r="L238" s="131"/>
      <c r="M238" s="131">
        <v>45490.5</v>
      </c>
      <c r="N238" s="131">
        <f>IFERROR(INDEX(#REF!,(MATCH('Old Calc Tab'!$C:$C,#REF!,0))),0)</f>
        <v>0</v>
      </c>
      <c r="O238" s="131">
        <f t="shared" si="39"/>
        <v>0</v>
      </c>
      <c r="P238" s="131">
        <f t="shared" si="40"/>
        <v>45490.5</v>
      </c>
      <c r="Q238" s="131"/>
      <c r="R238" s="131"/>
      <c r="S238" s="131"/>
      <c r="T238" s="131"/>
      <c r="U238" s="131"/>
      <c r="V238" s="131">
        <v>11189</v>
      </c>
      <c r="W238" s="180">
        <v>0</v>
      </c>
      <c r="X238" s="180">
        <f t="shared" ref="X238:X269" si="53">P238+V238+W238</f>
        <v>56679.5</v>
      </c>
      <c r="Y238" s="181">
        <f>IF(D238="Physician Group Practice",(X238/$AE$369)*'1. UC Assumptions'!$C$15,IF(OR(E238="Rural Hospital",E238="Hosp - State"),X238,(X238/$X$369)*'1. UC Assumptions'!$C$9))</f>
        <v>56679.5</v>
      </c>
      <c r="Z238" s="181">
        <f t="shared" si="42"/>
        <v>0</v>
      </c>
      <c r="AA238" s="181">
        <f t="shared" si="43"/>
        <v>0</v>
      </c>
      <c r="AB238" s="182">
        <f t="shared" si="44"/>
        <v>0</v>
      </c>
      <c r="AC238" s="181">
        <f t="shared" si="45"/>
        <v>0</v>
      </c>
      <c r="AD238" s="181">
        <f t="shared" si="46"/>
        <v>56679.5</v>
      </c>
      <c r="AE238" s="131">
        <v>101539.91</v>
      </c>
      <c r="AF238" s="131">
        <f>AE238*'1. UC Assumptions'!$C$23</f>
        <v>33508.170299999998</v>
      </c>
      <c r="AG238" s="183">
        <f>IF((((X238-W238-AE238)*'1. UC Assumptions'!$C$23)+AF238)&gt;0,((X238-W238-AE238)*'1. UC Assumptions'!$C$23)+AF238,0)</f>
        <v>18704.235000000001</v>
      </c>
      <c r="AH238" s="183">
        <f>IF(((X238-W238-AE238)*'1. UC Assumptions'!$C$23)&gt;0,(X238-W238-AE238)*'1. UC Assumptions'!$C$23,0)</f>
        <v>0</v>
      </c>
      <c r="AI238" s="183">
        <f t="shared" si="47"/>
        <v>33508.170299999998</v>
      </c>
      <c r="AJ238" s="183">
        <f>IF(H238="Bexar",(AD238/$AJ$1)*'1. UC Assumptions'!$E$42,0)</f>
        <v>0</v>
      </c>
      <c r="AK238" s="183">
        <f>IF(H238="Dallas",(AD238/$AK$1)*'1. UC Assumptions'!$F$42,0)</f>
        <v>0</v>
      </c>
      <c r="AL238" s="183">
        <f>IF(H238="El Paso",(AD238/$AL$1)*'1. UC Assumptions'!$G$42,0)</f>
        <v>0</v>
      </c>
      <c r="AM238" s="183">
        <f>IF(H238="Harris",(AD238/$AM$1)*'1. UC Assumptions'!$H$42,0)</f>
        <v>0</v>
      </c>
      <c r="AN238" s="183">
        <f>IF(H238="Hidalgo",(AD238/$AN$1)*'1. UC Assumptions'!$I$42,0)</f>
        <v>0</v>
      </c>
      <c r="AO238" s="183">
        <f>IF(H238="Jefferson",(AD238/$AO$1)*'1. UC Assumptions'!$J$42,0)</f>
        <v>0</v>
      </c>
      <c r="AP238" s="183">
        <f>IF(H238="Lubbock",(AD238/$AP$1)*'1. UC Assumptions'!$K$42,0)</f>
        <v>0</v>
      </c>
      <c r="AQ238" s="183">
        <f>IF(H238="MRSA Central",(AD238/$AQ$1)*'1. UC Assumptions'!$L$42,0)</f>
        <v>0</v>
      </c>
      <c r="AR238" s="183">
        <f>IF(H238="MRSA Northeast",(AD238/$AR$1)*'1. UC Assumptions'!$M$42,0)</f>
        <v>0</v>
      </c>
      <c r="AS238" s="183">
        <f>IF(H238="MRSA West",(AD238/$AS$1)*'1. UC Assumptions'!$N$42,0)</f>
        <v>0</v>
      </c>
      <c r="AT238" s="183">
        <f>IF(H238="Nueces",(AD238/$AT$1)*'1. UC Assumptions'!$O$42,0)</f>
        <v>0</v>
      </c>
      <c r="AU238" s="183">
        <f>IF(H238="Tarrant",(AD238/$AU$1)*'1. UC Assumptions'!$P$42,0)</f>
        <v>0</v>
      </c>
      <c r="AV238" s="183">
        <f>IF(H238="Travis",(AD238/$AV$1)*'1. UC Assumptions'!$Q$42,0)</f>
        <v>0</v>
      </c>
      <c r="AW238" s="183">
        <f>IF(H238="Bexar",(AC238/$AW$1)*'1. UC Assumptions'!$E$44,0)</f>
        <v>0</v>
      </c>
      <c r="AX238" s="183">
        <f>IF(H238="Dallas",(AC238/$AX$1)*'1. UC Assumptions'!$F$44,0)</f>
        <v>0</v>
      </c>
      <c r="AY238" s="183">
        <f>IF(H238="El Paso",(AC238/$AY$1)*'1. UC Assumptions'!$G$44,0)</f>
        <v>0</v>
      </c>
      <c r="AZ238" s="183">
        <f>IF(H238="Harris",(AC238/$AZ$1)*'1. UC Assumptions'!$H$44,0)</f>
        <v>0</v>
      </c>
      <c r="BA238" s="183">
        <f>IF(H238="Hidalgo",(AC238/$BA$1)*'1. UC Assumptions'!$I$44,0)</f>
        <v>0</v>
      </c>
      <c r="BB238" s="183">
        <f>IF(H238="Jefferson",(AC238/$BB$1)*'1. UC Assumptions'!$J$44,0)</f>
        <v>0</v>
      </c>
      <c r="BC238" s="183">
        <f>IF(H238="Lubbock",(AC238/$BC$1)*'1. UC Assumptions'!$K$44,0)</f>
        <v>0</v>
      </c>
      <c r="BD238" s="183">
        <f>IF(H238="MRSA Central",(AC238/$BD$1)*'1. UC Assumptions'!$L$44,0)</f>
        <v>0</v>
      </c>
      <c r="BE238" s="183">
        <f>IF(H238="MRSA Northeast",(AC238/$BE$1)*'1. UC Assumptions'!$M$44,0)</f>
        <v>0</v>
      </c>
      <c r="BF238" s="183">
        <f>IF(H238="MRSA West",(AC238/$BF$1)*'1. UC Assumptions'!$N$44,0)</f>
        <v>0</v>
      </c>
      <c r="BG238" s="183">
        <f>IF(H238="Nueces",(AC238/$BG$1)*'1. UC Assumptions'!$O$44,0)</f>
        <v>0</v>
      </c>
      <c r="BH238" s="183">
        <f>IF(H238="Tarrant",(AC238/$BH$1)*'1. UC Assumptions'!$P$44,0)</f>
        <v>0</v>
      </c>
      <c r="BI238" s="183">
        <f>IF(H238="Travis",(AC238/$BI$1)*'1. UC Assumptions'!$Q$44,0)</f>
        <v>0</v>
      </c>
      <c r="BJ238" s="183">
        <f t="shared" si="48"/>
        <v>0</v>
      </c>
      <c r="BK238" s="183">
        <f t="shared" si="49"/>
        <v>0</v>
      </c>
      <c r="BL238" s="183">
        <f t="shared" si="50"/>
        <v>56679.5</v>
      </c>
      <c r="BM238" s="184">
        <f t="shared" si="51"/>
        <v>-44860.41</v>
      </c>
      <c r="BN238" s="184">
        <f>ROUNDDOWN(BM238*'1. UC Assumptions'!$C$23,2)</f>
        <v>-14803.93</v>
      </c>
      <c r="BO238" s="184"/>
      <c r="BP238" s="185"/>
      <c r="BQ238" s="32"/>
      <c r="BR238" s="32"/>
    </row>
    <row r="239" spans="1:70">
      <c r="A239" s="177" t="s">
        <v>1635</v>
      </c>
      <c r="B239" s="177" t="s">
        <v>334</v>
      </c>
      <c r="C239" s="178" t="s">
        <v>334</v>
      </c>
      <c r="D239" s="179" t="s">
        <v>208</v>
      </c>
      <c r="E239" s="179" t="s">
        <v>149</v>
      </c>
      <c r="F239" s="177"/>
      <c r="G239" s="177" t="s">
        <v>335</v>
      </c>
      <c r="H239" s="178" t="s">
        <v>12</v>
      </c>
      <c r="I239" s="178" t="s">
        <v>336</v>
      </c>
      <c r="J239" s="131">
        <f>IFERROR(INDEX(#REF!,(MATCH('Old Calc Tab'!C:C,#REF!,0))),0)</f>
        <v>0</v>
      </c>
      <c r="K239" s="131">
        <f>IFERROR(INDEX(#REF!,(MATCH('Old Calc Tab'!$C:$C,#REF!,0))),0)</f>
        <v>0</v>
      </c>
      <c r="L239" s="131"/>
      <c r="M239" s="131">
        <v>530952.5</v>
      </c>
      <c r="N239" s="131">
        <f>IFERROR(INDEX(#REF!,(MATCH('Old Calc Tab'!$C:$C,#REF!,0))),0)</f>
        <v>0</v>
      </c>
      <c r="O239" s="131">
        <f t="shared" si="39"/>
        <v>0</v>
      </c>
      <c r="P239" s="131">
        <f t="shared" si="40"/>
        <v>530952.5</v>
      </c>
      <c r="Q239" s="131"/>
      <c r="R239" s="131"/>
      <c r="S239" s="131"/>
      <c r="T239" s="131"/>
      <c r="U239" s="131"/>
      <c r="V239" s="131">
        <v>0</v>
      </c>
      <c r="W239" s="180">
        <v>0</v>
      </c>
      <c r="X239" s="180">
        <f t="shared" si="53"/>
        <v>530952.5</v>
      </c>
      <c r="Y239" s="181">
        <f>IF(D239="Physician Group Practice",(X239/$AE$369)*'1. UC Assumptions'!$C$15,IF(OR(E239="Rural Hospital",E239="Hosp - State"),X239,(X239/$X$369)*'1. UC Assumptions'!$C$9))</f>
        <v>530952.5</v>
      </c>
      <c r="Z239" s="181">
        <f t="shared" si="42"/>
        <v>0</v>
      </c>
      <c r="AA239" s="181">
        <f t="shared" si="43"/>
        <v>0</v>
      </c>
      <c r="AB239" s="182">
        <f t="shared" si="44"/>
        <v>0</v>
      </c>
      <c r="AC239" s="181">
        <f t="shared" si="45"/>
        <v>0</v>
      </c>
      <c r="AD239" s="181">
        <f t="shared" si="46"/>
        <v>530952.5</v>
      </c>
      <c r="AE239" s="131">
        <v>144512.41</v>
      </c>
      <c r="AF239" s="131">
        <f>AE239*'1. UC Assumptions'!$C$23</f>
        <v>47689.095299999994</v>
      </c>
      <c r="AG239" s="183">
        <f>IF((((X239-W239-AE239)*'1. UC Assumptions'!$C$23)+AF239)&gt;0,((X239-W239-AE239)*'1. UC Assumptions'!$C$23)+AF239,0)</f>
        <v>175214.32499999995</v>
      </c>
      <c r="AH239" s="183">
        <f>IF(((X239-W239-AE239)*'1. UC Assumptions'!$C$23)&gt;0,(X239-W239-AE239)*'1. UC Assumptions'!$C$23,0)</f>
        <v>127525.22969999997</v>
      </c>
      <c r="AI239" s="183">
        <f t="shared" si="47"/>
        <v>175214.32499999995</v>
      </c>
      <c r="AJ239" s="183">
        <f>IF(H239="Bexar",(AD239/$AJ$1)*'1. UC Assumptions'!$E$42,0)</f>
        <v>0</v>
      </c>
      <c r="AK239" s="183">
        <f>IF(H239="Dallas",(AD239/$AK$1)*'1. UC Assumptions'!$F$42,0)</f>
        <v>0</v>
      </c>
      <c r="AL239" s="183">
        <f>IF(H239="El Paso",(AD239/$AL$1)*'1. UC Assumptions'!$G$42,0)</f>
        <v>0</v>
      </c>
      <c r="AM239" s="183">
        <f>IF(H239="Harris",(AD239/$AM$1)*'1. UC Assumptions'!$H$42,0)</f>
        <v>0</v>
      </c>
      <c r="AN239" s="183">
        <f>IF(H239="Hidalgo",(AD239/$AN$1)*'1. UC Assumptions'!$I$42,0)</f>
        <v>0</v>
      </c>
      <c r="AO239" s="183">
        <f>IF(H239="Jefferson",(AD239/$AO$1)*'1. UC Assumptions'!$J$42,0)</f>
        <v>0</v>
      </c>
      <c r="AP239" s="183">
        <f>IF(H239="Lubbock",(AD239/$AP$1)*'1. UC Assumptions'!$K$42,0)</f>
        <v>0</v>
      </c>
      <c r="AQ239" s="183">
        <f>IF(H239="MRSA Central",(AD239/$AQ$1)*'1. UC Assumptions'!$L$42,0)</f>
        <v>0</v>
      </c>
      <c r="AR239" s="183">
        <f>IF(H239="MRSA Northeast",(AD239/$AR$1)*'1. UC Assumptions'!$M$42,0)</f>
        <v>0</v>
      </c>
      <c r="AS239" s="183">
        <f>IF(H239="MRSA West",(AD239/$AS$1)*'1. UC Assumptions'!$N$42,0)</f>
        <v>0</v>
      </c>
      <c r="AT239" s="183">
        <f>IF(H239="Nueces",(AD239/$AT$1)*'1. UC Assumptions'!$O$42,0)</f>
        <v>0</v>
      </c>
      <c r="AU239" s="183">
        <f>IF(H239="Tarrant",(AD239/$AU$1)*'1. UC Assumptions'!$P$42,0)</f>
        <v>0</v>
      </c>
      <c r="AV239" s="183">
        <f>IF(H239="Travis",(AD239/$AV$1)*'1. UC Assumptions'!$Q$42,0)</f>
        <v>0</v>
      </c>
      <c r="AW239" s="183">
        <f>IF(H239="Bexar",(AC239/$AW$1)*'1. UC Assumptions'!$E$44,0)</f>
        <v>0</v>
      </c>
      <c r="AX239" s="183">
        <f>IF(H239="Dallas",(AC239/$AX$1)*'1. UC Assumptions'!$F$44,0)</f>
        <v>0</v>
      </c>
      <c r="AY239" s="183">
        <f>IF(H239="El Paso",(AC239/$AY$1)*'1. UC Assumptions'!$G$44,0)</f>
        <v>0</v>
      </c>
      <c r="AZ239" s="183">
        <f>IF(H239="Harris",(AC239/$AZ$1)*'1. UC Assumptions'!$H$44,0)</f>
        <v>0</v>
      </c>
      <c r="BA239" s="183">
        <f>IF(H239="Hidalgo",(AC239/$BA$1)*'1. UC Assumptions'!$I$44,0)</f>
        <v>0</v>
      </c>
      <c r="BB239" s="183">
        <f>IF(H239="Jefferson",(AC239/$BB$1)*'1. UC Assumptions'!$J$44,0)</f>
        <v>0</v>
      </c>
      <c r="BC239" s="183">
        <f>IF(H239="Lubbock",(AC239/$BC$1)*'1. UC Assumptions'!$K$44,0)</f>
        <v>0</v>
      </c>
      <c r="BD239" s="183">
        <f>IF(H239="MRSA Central",(AC239/$BD$1)*'1. UC Assumptions'!$L$44,0)</f>
        <v>0</v>
      </c>
      <c r="BE239" s="183">
        <f>IF(H239="MRSA Northeast",(AC239/$BE$1)*'1. UC Assumptions'!$M$44,0)</f>
        <v>0</v>
      </c>
      <c r="BF239" s="183">
        <f>IF(H239="MRSA West",(AC239/$BF$1)*'1. UC Assumptions'!$N$44,0)</f>
        <v>0</v>
      </c>
      <c r="BG239" s="183">
        <f>IF(H239="Nueces",(AC239/$BG$1)*'1. UC Assumptions'!$O$44,0)</f>
        <v>0</v>
      </c>
      <c r="BH239" s="183">
        <f>IF(H239="Tarrant",(AC239/$BH$1)*'1. UC Assumptions'!$P$44,0)</f>
        <v>0</v>
      </c>
      <c r="BI239" s="183">
        <f>IF(H239="Travis",(AC239/$BI$1)*'1. UC Assumptions'!$Q$44,0)</f>
        <v>0</v>
      </c>
      <c r="BJ239" s="183">
        <f t="shared" si="48"/>
        <v>0</v>
      </c>
      <c r="BK239" s="183">
        <f t="shared" si="49"/>
        <v>0</v>
      </c>
      <c r="BL239" s="183">
        <f t="shared" si="50"/>
        <v>530952.5</v>
      </c>
      <c r="BM239" s="184">
        <f t="shared" si="51"/>
        <v>386440.08999999997</v>
      </c>
      <c r="BN239" s="184">
        <f>ROUNDDOWN(BM239*'1. UC Assumptions'!$C$23,2)</f>
        <v>127525.22</v>
      </c>
      <c r="BO239" s="184"/>
      <c r="BP239" s="185"/>
      <c r="BQ239" s="32"/>
      <c r="BR239" s="32"/>
    </row>
    <row r="240" spans="1:70">
      <c r="A240" s="177" t="s">
        <v>1636</v>
      </c>
      <c r="B240" s="177" t="s">
        <v>348</v>
      </c>
      <c r="C240" s="178" t="s">
        <v>348</v>
      </c>
      <c r="D240" s="179" t="s">
        <v>208</v>
      </c>
      <c r="E240" s="179" t="s">
        <v>149</v>
      </c>
      <c r="F240" s="177"/>
      <c r="G240" s="177" t="s">
        <v>349</v>
      </c>
      <c r="H240" s="178" t="s">
        <v>12</v>
      </c>
      <c r="I240" s="178" t="s">
        <v>350</v>
      </c>
      <c r="J240" s="131">
        <f>IFERROR(INDEX(#REF!,(MATCH('Old Calc Tab'!C:C,#REF!,0))),0)</f>
        <v>0</v>
      </c>
      <c r="K240" s="131">
        <f>IFERROR(INDEX(#REF!,(MATCH('Old Calc Tab'!$C:$C,#REF!,0))),0)</f>
        <v>0</v>
      </c>
      <c r="L240" s="131"/>
      <c r="M240" s="131">
        <v>148325.35</v>
      </c>
      <c r="N240" s="131">
        <f>IFERROR(INDEX(#REF!,(MATCH('Old Calc Tab'!$C:$C,#REF!,0))),0)</f>
        <v>0</v>
      </c>
      <c r="O240" s="131">
        <f t="shared" si="39"/>
        <v>0</v>
      </c>
      <c r="P240" s="131">
        <f t="shared" si="40"/>
        <v>148325.35</v>
      </c>
      <c r="Q240" s="131"/>
      <c r="R240" s="131"/>
      <c r="S240" s="131"/>
      <c r="T240" s="131"/>
      <c r="U240" s="131"/>
      <c r="V240" s="131">
        <v>2847</v>
      </c>
      <c r="W240" s="180">
        <v>0</v>
      </c>
      <c r="X240" s="180">
        <f t="shared" si="53"/>
        <v>151172.35</v>
      </c>
      <c r="Y240" s="181">
        <f>IF(D240="Physician Group Practice",(X240/$AE$369)*'1. UC Assumptions'!$C$15,IF(OR(E240="Rural Hospital",E240="Hosp - State"),X240,(X240/$X$369)*'1. UC Assumptions'!$C$9))</f>
        <v>151172.35</v>
      </c>
      <c r="Z240" s="181">
        <f t="shared" si="42"/>
        <v>0</v>
      </c>
      <c r="AA240" s="181">
        <f t="shared" si="43"/>
        <v>0</v>
      </c>
      <c r="AB240" s="182">
        <f t="shared" si="44"/>
        <v>0</v>
      </c>
      <c r="AC240" s="181">
        <f t="shared" si="45"/>
        <v>0</v>
      </c>
      <c r="AD240" s="181">
        <f t="shared" si="46"/>
        <v>151172.35</v>
      </c>
      <c r="AE240" s="131">
        <v>150917.01999999999</v>
      </c>
      <c r="AF240" s="131">
        <f>AE240*'1. UC Assumptions'!$C$23</f>
        <v>49802.616599999994</v>
      </c>
      <c r="AG240" s="183">
        <f>IF((((X240-W240-AE240)*'1. UC Assumptions'!$C$23)+AF240)&gt;0,((X240-W240-AE240)*'1. UC Assumptions'!$C$23)+AF240,0)</f>
        <v>49886.875500000002</v>
      </c>
      <c r="AH240" s="183">
        <f>IF(((X240-W240-AE240)*'1. UC Assumptions'!$C$23)&gt;0,(X240-W240-AE240)*'1. UC Assumptions'!$C$23,0)</f>
        <v>84.258900000005369</v>
      </c>
      <c r="AI240" s="183">
        <f t="shared" si="47"/>
        <v>49886.875500000002</v>
      </c>
      <c r="AJ240" s="183">
        <f>IF(H240="Bexar",(AD240/$AJ$1)*'1. UC Assumptions'!$E$42,0)</f>
        <v>0</v>
      </c>
      <c r="AK240" s="183">
        <f>IF(H240="Dallas",(AD240/$AK$1)*'1. UC Assumptions'!$F$42,0)</f>
        <v>0</v>
      </c>
      <c r="AL240" s="183">
        <f>IF(H240="El Paso",(AD240/$AL$1)*'1. UC Assumptions'!$G$42,0)</f>
        <v>0</v>
      </c>
      <c r="AM240" s="183">
        <f>IF(H240="Harris",(AD240/$AM$1)*'1. UC Assumptions'!$H$42,0)</f>
        <v>0</v>
      </c>
      <c r="AN240" s="183">
        <f>IF(H240="Hidalgo",(AD240/$AN$1)*'1. UC Assumptions'!$I$42,0)</f>
        <v>0</v>
      </c>
      <c r="AO240" s="183">
        <f>IF(H240="Jefferson",(AD240/$AO$1)*'1. UC Assumptions'!$J$42,0)</f>
        <v>0</v>
      </c>
      <c r="AP240" s="183">
        <f>IF(H240="Lubbock",(AD240/$AP$1)*'1. UC Assumptions'!$K$42,0)</f>
        <v>0</v>
      </c>
      <c r="AQ240" s="183">
        <f>IF(H240="MRSA Central",(AD240/$AQ$1)*'1. UC Assumptions'!$L$42,0)</f>
        <v>0</v>
      </c>
      <c r="AR240" s="183">
        <f>IF(H240="MRSA Northeast",(AD240/$AR$1)*'1. UC Assumptions'!$M$42,0)</f>
        <v>0</v>
      </c>
      <c r="AS240" s="183">
        <f>IF(H240="MRSA West",(AD240/$AS$1)*'1. UC Assumptions'!$N$42,0)</f>
        <v>0</v>
      </c>
      <c r="AT240" s="183">
        <f>IF(H240="Nueces",(AD240/$AT$1)*'1. UC Assumptions'!$O$42,0)</f>
        <v>0</v>
      </c>
      <c r="AU240" s="183">
        <f>IF(H240="Tarrant",(AD240/$AU$1)*'1. UC Assumptions'!$P$42,0)</f>
        <v>0</v>
      </c>
      <c r="AV240" s="183">
        <f>IF(H240="Travis",(AD240/$AV$1)*'1. UC Assumptions'!$Q$42,0)</f>
        <v>0</v>
      </c>
      <c r="AW240" s="183">
        <f>IF(H240="Bexar",(AC240/$AW$1)*'1. UC Assumptions'!$E$44,0)</f>
        <v>0</v>
      </c>
      <c r="AX240" s="183">
        <f>IF(H240="Dallas",(AC240/$AX$1)*'1. UC Assumptions'!$F$44,0)</f>
        <v>0</v>
      </c>
      <c r="AY240" s="183">
        <f>IF(H240="El Paso",(AC240/$AY$1)*'1. UC Assumptions'!$G$44,0)</f>
        <v>0</v>
      </c>
      <c r="AZ240" s="183">
        <f>IF(H240="Harris",(AC240/$AZ$1)*'1. UC Assumptions'!$H$44,0)</f>
        <v>0</v>
      </c>
      <c r="BA240" s="183">
        <f>IF(H240="Hidalgo",(AC240/$BA$1)*'1. UC Assumptions'!$I$44,0)</f>
        <v>0</v>
      </c>
      <c r="BB240" s="183">
        <f>IF(H240="Jefferson",(AC240/$BB$1)*'1. UC Assumptions'!$J$44,0)</f>
        <v>0</v>
      </c>
      <c r="BC240" s="183">
        <f>IF(H240="Lubbock",(AC240/$BC$1)*'1. UC Assumptions'!$K$44,0)</f>
        <v>0</v>
      </c>
      <c r="BD240" s="183">
        <f>IF(H240="MRSA Central",(AC240/$BD$1)*'1. UC Assumptions'!$L$44,0)</f>
        <v>0</v>
      </c>
      <c r="BE240" s="183">
        <f>IF(H240="MRSA Northeast",(AC240/$BE$1)*'1. UC Assumptions'!$M$44,0)</f>
        <v>0</v>
      </c>
      <c r="BF240" s="183">
        <f>IF(H240="MRSA West",(AC240/$BF$1)*'1. UC Assumptions'!$N$44,0)</f>
        <v>0</v>
      </c>
      <c r="BG240" s="183">
        <f>IF(H240="Nueces",(AC240/$BG$1)*'1. UC Assumptions'!$O$44,0)</f>
        <v>0</v>
      </c>
      <c r="BH240" s="183">
        <f>IF(H240="Tarrant",(AC240/$BH$1)*'1. UC Assumptions'!$P$44,0)</f>
        <v>0</v>
      </c>
      <c r="BI240" s="183">
        <f>IF(H240="Travis",(AC240/$BI$1)*'1. UC Assumptions'!$Q$44,0)</f>
        <v>0</v>
      </c>
      <c r="BJ240" s="183">
        <f t="shared" si="48"/>
        <v>0</v>
      </c>
      <c r="BK240" s="183">
        <f t="shared" si="49"/>
        <v>0</v>
      </c>
      <c r="BL240" s="183">
        <f t="shared" si="50"/>
        <v>151172.35</v>
      </c>
      <c r="BM240" s="184">
        <f t="shared" si="51"/>
        <v>255.3300000000163</v>
      </c>
      <c r="BN240" s="184">
        <f>ROUNDDOWN(BM240*'1. UC Assumptions'!$C$23,2)</f>
        <v>84.25</v>
      </c>
      <c r="BO240" s="184"/>
      <c r="BP240" s="185"/>
      <c r="BQ240" s="32"/>
      <c r="BR240" s="32"/>
    </row>
    <row r="241" spans="1:70">
      <c r="A241" s="177" t="s">
        <v>1637</v>
      </c>
      <c r="B241" s="178" t="s">
        <v>360</v>
      </c>
      <c r="C241" s="178" t="s">
        <v>360</v>
      </c>
      <c r="D241" s="179" t="s">
        <v>208</v>
      </c>
      <c r="E241" s="179" t="s">
        <v>149</v>
      </c>
      <c r="F241" s="177"/>
      <c r="G241" s="177" t="s">
        <v>1638</v>
      </c>
      <c r="H241" s="178" t="s">
        <v>12</v>
      </c>
      <c r="I241" s="178" t="s">
        <v>362</v>
      </c>
      <c r="J241" s="131">
        <f>IFERROR(INDEX(#REF!,(MATCH('Old Calc Tab'!C:C,#REF!,0))),0)</f>
        <v>0</v>
      </c>
      <c r="K241" s="131">
        <f>IFERROR(INDEX(#REF!,(MATCH('Old Calc Tab'!$C:$C,#REF!,0))),0)</f>
        <v>0</v>
      </c>
      <c r="L241" s="131"/>
      <c r="M241" s="131">
        <v>1878559.7</v>
      </c>
      <c r="N241" s="131">
        <f>IFERROR(INDEX(#REF!,(MATCH('Old Calc Tab'!$C:$C,#REF!,0))),0)</f>
        <v>0</v>
      </c>
      <c r="O241" s="131">
        <f t="shared" si="39"/>
        <v>0</v>
      </c>
      <c r="P241" s="131">
        <f t="shared" si="40"/>
        <v>1878559.7</v>
      </c>
      <c r="Q241" s="131"/>
      <c r="R241" s="131"/>
      <c r="S241" s="131"/>
      <c r="T241" s="131"/>
      <c r="U241" s="131"/>
      <c r="V241" s="131">
        <v>0</v>
      </c>
      <c r="W241" s="180">
        <v>0</v>
      </c>
      <c r="X241" s="180">
        <f t="shared" si="53"/>
        <v>1878559.7</v>
      </c>
      <c r="Y241" s="181">
        <f>IF(D241="Physician Group Practice",(X241/$AE$369)*'1. UC Assumptions'!$C$15,IF(OR(E241="Rural Hospital",E241="Hosp - State"),X241,(X241/$X$369)*'1. UC Assumptions'!$C$9))</f>
        <v>1878559.7</v>
      </c>
      <c r="Z241" s="181">
        <f t="shared" si="42"/>
        <v>0</v>
      </c>
      <c r="AA241" s="181">
        <f t="shared" si="43"/>
        <v>0</v>
      </c>
      <c r="AB241" s="182">
        <f t="shared" si="44"/>
        <v>0</v>
      </c>
      <c r="AC241" s="181">
        <f t="shared" si="45"/>
        <v>0</v>
      </c>
      <c r="AD241" s="181">
        <f t="shared" si="46"/>
        <v>1878559.7</v>
      </c>
      <c r="AE241" s="131">
        <v>114327.25</v>
      </c>
      <c r="AF241" s="131">
        <f>AE241*'1. UC Assumptions'!$C$23</f>
        <v>37727.992499999993</v>
      </c>
      <c r="AG241" s="183">
        <f>IF((((X241-W241-AE241)*'1. UC Assumptions'!$C$23)+AF241)&gt;0,((X241-W241-AE241)*'1. UC Assumptions'!$C$23)+AF241,0)</f>
        <v>619924.70099999988</v>
      </c>
      <c r="AH241" s="183">
        <f>IF(((X241-W241-AE241)*'1. UC Assumptions'!$C$23)&gt;0,(X241-W241-AE241)*'1. UC Assumptions'!$C$23,0)</f>
        <v>582196.70849999995</v>
      </c>
      <c r="AI241" s="183">
        <f t="shared" si="47"/>
        <v>619924.70099999988</v>
      </c>
      <c r="AJ241" s="183">
        <f>IF(H241="Bexar",(AD241/$AJ$1)*'1. UC Assumptions'!$E$42,0)</f>
        <v>0</v>
      </c>
      <c r="AK241" s="183">
        <f>IF(H241="Dallas",(AD241/$AK$1)*'1. UC Assumptions'!$F$42,0)</f>
        <v>0</v>
      </c>
      <c r="AL241" s="183">
        <f>IF(H241="El Paso",(AD241/$AL$1)*'1. UC Assumptions'!$G$42,0)</f>
        <v>0</v>
      </c>
      <c r="AM241" s="183">
        <f>IF(H241="Harris",(AD241/$AM$1)*'1. UC Assumptions'!$H$42,0)</f>
        <v>0</v>
      </c>
      <c r="AN241" s="183">
        <f>IF(H241="Hidalgo",(AD241/$AN$1)*'1. UC Assumptions'!$I$42,0)</f>
        <v>0</v>
      </c>
      <c r="AO241" s="183">
        <f>IF(H241="Jefferson",(AD241/$AO$1)*'1. UC Assumptions'!$J$42,0)</f>
        <v>0</v>
      </c>
      <c r="AP241" s="183">
        <f>IF(H241="Lubbock",(AD241/$AP$1)*'1. UC Assumptions'!$K$42,0)</f>
        <v>0</v>
      </c>
      <c r="AQ241" s="183">
        <f>IF(H241="MRSA Central",(AD241/$AQ$1)*'1. UC Assumptions'!$L$42,0)</f>
        <v>0</v>
      </c>
      <c r="AR241" s="183">
        <f>IF(H241="MRSA Northeast",(AD241/$AR$1)*'1. UC Assumptions'!$M$42,0)</f>
        <v>0</v>
      </c>
      <c r="AS241" s="183">
        <f>IF(H241="MRSA West",(AD241/$AS$1)*'1. UC Assumptions'!$N$42,0)</f>
        <v>0</v>
      </c>
      <c r="AT241" s="183">
        <f>IF(H241="Nueces",(AD241/$AT$1)*'1. UC Assumptions'!$O$42,0)</f>
        <v>0</v>
      </c>
      <c r="AU241" s="183">
        <f>IF(H241="Tarrant",(AD241/$AU$1)*'1. UC Assumptions'!$P$42,0)</f>
        <v>0</v>
      </c>
      <c r="AV241" s="183">
        <f>IF(H241="Travis",(AD241/$AV$1)*'1. UC Assumptions'!$Q$42,0)</f>
        <v>0</v>
      </c>
      <c r="AW241" s="183">
        <f>IF(H241="Bexar",(AC241/$AW$1)*'1. UC Assumptions'!$E$44,0)</f>
        <v>0</v>
      </c>
      <c r="AX241" s="183">
        <f>IF(H241="Dallas",(AC241/$AX$1)*'1. UC Assumptions'!$F$44,0)</f>
        <v>0</v>
      </c>
      <c r="AY241" s="183">
        <f>IF(H241="El Paso",(AC241/$AY$1)*'1. UC Assumptions'!$G$44,0)</f>
        <v>0</v>
      </c>
      <c r="AZ241" s="183">
        <f>IF(H241="Harris",(AC241/$AZ$1)*'1. UC Assumptions'!$H$44,0)</f>
        <v>0</v>
      </c>
      <c r="BA241" s="183">
        <f>IF(H241="Hidalgo",(AC241/$BA$1)*'1. UC Assumptions'!$I$44,0)</f>
        <v>0</v>
      </c>
      <c r="BB241" s="183">
        <f>IF(H241="Jefferson",(AC241/$BB$1)*'1. UC Assumptions'!$J$44,0)</f>
        <v>0</v>
      </c>
      <c r="BC241" s="183">
        <f>IF(H241="Lubbock",(AC241/$BC$1)*'1. UC Assumptions'!$K$44,0)</f>
        <v>0</v>
      </c>
      <c r="BD241" s="183">
        <f>IF(H241="MRSA Central",(AC241/$BD$1)*'1. UC Assumptions'!$L$44,0)</f>
        <v>0</v>
      </c>
      <c r="BE241" s="183">
        <f>IF(H241="MRSA Northeast",(AC241/$BE$1)*'1. UC Assumptions'!$M$44,0)</f>
        <v>0</v>
      </c>
      <c r="BF241" s="183">
        <f>IF(H241="MRSA West",(AC241/$BF$1)*'1. UC Assumptions'!$N$44,0)</f>
        <v>0</v>
      </c>
      <c r="BG241" s="183">
        <f>IF(H241="Nueces",(AC241/$BG$1)*'1. UC Assumptions'!$O$44,0)</f>
        <v>0</v>
      </c>
      <c r="BH241" s="183">
        <f>IF(H241="Tarrant",(AC241/$BH$1)*'1. UC Assumptions'!$P$44,0)</f>
        <v>0</v>
      </c>
      <c r="BI241" s="183">
        <f>IF(H241="Travis",(AC241/$BI$1)*'1. UC Assumptions'!$Q$44,0)</f>
        <v>0</v>
      </c>
      <c r="BJ241" s="183">
        <f t="shared" si="48"/>
        <v>0</v>
      </c>
      <c r="BK241" s="183">
        <f t="shared" si="49"/>
        <v>0</v>
      </c>
      <c r="BL241" s="183">
        <f t="shared" si="50"/>
        <v>1878559.7</v>
      </c>
      <c r="BM241" s="184">
        <f t="shared" si="51"/>
        <v>1764232.45</v>
      </c>
      <c r="BN241" s="184">
        <f>ROUNDDOWN(BM241*'1. UC Assumptions'!$C$23,2)</f>
        <v>582196.69999999995</v>
      </c>
      <c r="BO241" s="184"/>
      <c r="BP241" s="185"/>
      <c r="BQ241" s="32"/>
      <c r="BR241" s="32"/>
    </row>
    <row r="242" spans="1:70">
      <c r="A242" s="177" t="s">
        <v>1639</v>
      </c>
      <c r="B242" s="177" t="s">
        <v>1640</v>
      </c>
      <c r="C242" s="178" t="s">
        <v>1640</v>
      </c>
      <c r="D242" s="179" t="s">
        <v>208</v>
      </c>
      <c r="E242" s="179" t="s">
        <v>149</v>
      </c>
      <c r="F242" s="177"/>
      <c r="G242" s="177" t="s">
        <v>1641</v>
      </c>
      <c r="H242" s="178" t="s">
        <v>12</v>
      </c>
      <c r="I242" s="178" t="s">
        <v>1073</v>
      </c>
      <c r="J242" s="131">
        <f>IFERROR(INDEX(#REF!,(MATCH('Old Calc Tab'!C:C,#REF!,0))),0)</f>
        <v>0</v>
      </c>
      <c r="K242" s="131">
        <f>IFERROR(INDEX(#REF!,(MATCH('Old Calc Tab'!$C:$C,#REF!,0))),0)</f>
        <v>0</v>
      </c>
      <c r="L242" s="131"/>
      <c r="M242" s="131">
        <v>212117.54120069521</v>
      </c>
      <c r="N242" s="131">
        <f>IFERROR(INDEX(#REF!,(MATCH('Old Calc Tab'!$C:$C,#REF!,0))),0)</f>
        <v>0</v>
      </c>
      <c r="O242" s="131">
        <f t="shared" si="39"/>
        <v>0</v>
      </c>
      <c r="P242" s="131">
        <f t="shared" si="40"/>
        <v>212117.54120069521</v>
      </c>
      <c r="Q242" s="131"/>
      <c r="R242" s="131"/>
      <c r="S242" s="131"/>
      <c r="T242" s="131"/>
      <c r="U242" s="131"/>
      <c r="V242" s="131">
        <v>41539</v>
      </c>
      <c r="W242" s="180">
        <v>0</v>
      </c>
      <c r="X242" s="180">
        <f t="shared" si="53"/>
        <v>253656.54120069521</v>
      </c>
      <c r="Y242" s="181">
        <f>IF(D242="Physician Group Practice",(X242/$AE$369)*'1. UC Assumptions'!$C$15,IF(OR(E242="Rural Hospital",E242="Hosp - State"),X242,(X242/$X$369)*'1. UC Assumptions'!$C$9))</f>
        <v>253656.54120069521</v>
      </c>
      <c r="Z242" s="181">
        <f t="shared" si="42"/>
        <v>0</v>
      </c>
      <c r="AA242" s="181">
        <f t="shared" si="43"/>
        <v>0</v>
      </c>
      <c r="AB242" s="182">
        <f t="shared" si="44"/>
        <v>0</v>
      </c>
      <c r="AC242" s="181">
        <f t="shared" si="45"/>
        <v>0</v>
      </c>
      <c r="AD242" s="181">
        <f t="shared" si="46"/>
        <v>253656.54120069521</v>
      </c>
      <c r="AE242" s="131">
        <v>387478.91</v>
      </c>
      <c r="AF242" s="131">
        <f>AE242*'1. UC Assumptions'!$C$23</f>
        <v>127868.04029999998</v>
      </c>
      <c r="AG242" s="183">
        <f>IF((((X242-W242-AE242)*'1. UC Assumptions'!$C$23)+AF242)&gt;0,((X242-W242-AE242)*'1. UC Assumptions'!$C$23)+AF242,0)</f>
        <v>83706.658596229419</v>
      </c>
      <c r="AH242" s="183">
        <f>IF(((X242-W242-AE242)*'1. UC Assumptions'!$C$23)&gt;0,(X242-W242-AE242)*'1. UC Assumptions'!$C$23,0)</f>
        <v>0</v>
      </c>
      <c r="AI242" s="183">
        <f t="shared" si="47"/>
        <v>127868.04029999998</v>
      </c>
      <c r="AJ242" s="183">
        <f>IF(H242="Bexar",(AD242/$AJ$1)*'1. UC Assumptions'!$E$42,0)</f>
        <v>0</v>
      </c>
      <c r="AK242" s="183">
        <f>IF(H242="Dallas",(AD242/$AK$1)*'1. UC Assumptions'!$F$42,0)</f>
        <v>0</v>
      </c>
      <c r="AL242" s="183">
        <f>IF(H242="El Paso",(AD242/$AL$1)*'1. UC Assumptions'!$G$42,0)</f>
        <v>0</v>
      </c>
      <c r="AM242" s="183">
        <f>IF(H242="Harris",(AD242/$AM$1)*'1. UC Assumptions'!$H$42,0)</f>
        <v>0</v>
      </c>
      <c r="AN242" s="183">
        <f>IF(H242="Hidalgo",(AD242/$AN$1)*'1. UC Assumptions'!$I$42,0)</f>
        <v>0</v>
      </c>
      <c r="AO242" s="183">
        <f>IF(H242="Jefferson",(AD242/$AO$1)*'1. UC Assumptions'!$J$42,0)</f>
        <v>0</v>
      </c>
      <c r="AP242" s="183">
        <f>IF(H242="Lubbock",(AD242/$AP$1)*'1. UC Assumptions'!$K$42,0)</f>
        <v>0</v>
      </c>
      <c r="AQ242" s="183">
        <f>IF(H242="MRSA Central",(AD242/$AQ$1)*'1. UC Assumptions'!$L$42,0)</f>
        <v>0</v>
      </c>
      <c r="AR242" s="183">
        <f>IF(H242="MRSA Northeast",(AD242/$AR$1)*'1. UC Assumptions'!$M$42,0)</f>
        <v>0</v>
      </c>
      <c r="AS242" s="183">
        <f>IF(H242="MRSA West",(AD242/$AS$1)*'1. UC Assumptions'!$N$42,0)</f>
        <v>0</v>
      </c>
      <c r="AT242" s="183">
        <f>IF(H242="Nueces",(AD242/$AT$1)*'1. UC Assumptions'!$O$42,0)</f>
        <v>0</v>
      </c>
      <c r="AU242" s="183">
        <f>IF(H242="Tarrant",(AD242/$AU$1)*'1. UC Assumptions'!$P$42,0)</f>
        <v>0</v>
      </c>
      <c r="AV242" s="183">
        <f>IF(H242="Travis",(AD242/$AV$1)*'1. UC Assumptions'!$Q$42,0)</f>
        <v>0</v>
      </c>
      <c r="AW242" s="183">
        <f>IF(H242="Bexar",(AC242/$AW$1)*'1. UC Assumptions'!$E$44,0)</f>
        <v>0</v>
      </c>
      <c r="AX242" s="183">
        <f>IF(H242="Dallas",(AC242/$AX$1)*'1. UC Assumptions'!$F$44,0)</f>
        <v>0</v>
      </c>
      <c r="AY242" s="183">
        <f>IF(H242="El Paso",(AC242/$AY$1)*'1. UC Assumptions'!$G$44,0)</f>
        <v>0</v>
      </c>
      <c r="AZ242" s="183">
        <f>IF(H242="Harris",(AC242/$AZ$1)*'1. UC Assumptions'!$H$44,0)</f>
        <v>0</v>
      </c>
      <c r="BA242" s="183">
        <f>IF(H242="Hidalgo",(AC242/$BA$1)*'1. UC Assumptions'!$I$44,0)</f>
        <v>0</v>
      </c>
      <c r="BB242" s="183">
        <f>IF(H242="Jefferson",(AC242/$BB$1)*'1. UC Assumptions'!$J$44,0)</f>
        <v>0</v>
      </c>
      <c r="BC242" s="183">
        <f>IF(H242="Lubbock",(AC242/$BC$1)*'1. UC Assumptions'!$K$44,0)</f>
        <v>0</v>
      </c>
      <c r="BD242" s="183">
        <f>IF(H242="MRSA Central",(AC242/$BD$1)*'1. UC Assumptions'!$L$44,0)</f>
        <v>0</v>
      </c>
      <c r="BE242" s="183">
        <f>IF(H242="MRSA Northeast",(AC242/$BE$1)*'1. UC Assumptions'!$M$44,0)</f>
        <v>0</v>
      </c>
      <c r="BF242" s="183">
        <f>IF(H242="MRSA West",(AC242/$BF$1)*'1. UC Assumptions'!$N$44,0)</f>
        <v>0</v>
      </c>
      <c r="BG242" s="183">
        <f>IF(H242="Nueces",(AC242/$BG$1)*'1. UC Assumptions'!$O$44,0)</f>
        <v>0</v>
      </c>
      <c r="BH242" s="183">
        <f>IF(H242="Tarrant",(AC242/$BH$1)*'1. UC Assumptions'!$P$44,0)</f>
        <v>0</v>
      </c>
      <c r="BI242" s="183">
        <f>IF(H242="Travis",(AC242/$BI$1)*'1. UC Assumptions'!$Q$44,0)</f>
        <v>0</v>
      </c>
      <c r="BJ242" s="183">
        <f t="shared" si="48"/>
        <v>0</v>
      </c>
      <c r="BK242" s="183">
        <f t="shared" si="49"/>
        <v>0</v>
      </c>
      <c r="BL242" s="183">
        <f t="shared" si="50"/>
        <v>253656.54120069521</v>
      </c>
      <c r="BM242" s="184">
        <f t="shared" si="51"/>
        <v>-133822.36879930476</v>
      </c>
      <c r="BN242" s="184">
        <f>ROUNDDOWN(BM242*'1. UC Assumptions'!$C$23,2)</f>
        <v>-44161.38</v>
      </c>
      <c r="BO242" s="184"/>
      <c r="BP242" s="185"/>
      <c r="BQ242" s="32"/>
      <c r="BR242" s="32"/>
    </row>
    <row r="243" spans="1:70">
      <c r="A243" s="177" t="s">
        <v>1642</v>
      </c>
      <c r="B243" s="178" t="s">
        <v>388</v>
      </c>
      <c r="C243" s="178" t="s">
        <v>388</v>
      </c>
      <c r="D243" s="179" t="s">
        <v>214</v>
      </c>
      <c r="E243" s="179" t="s">
        <v>149</v>
      </c>
      <c r="F243" s="177"/>
      <c r="G243" s="177" t="s">
        <v>389</v>
      </c>
      <c r="H243" s="178" t="s">
        <v>12</v>
      </c>
      <c r="I243" s="178" t="s">
        <v>390</v>
      </c>
      <c r="J243" s="131">
        <f>IFERROR(INDEX(#REF!,(MATCH('Old Calc Tab'!C:C,#REF!,0))),0)</f>
        <v>0</v>
      </c>
      <c r="K243" s="131">
        <f>IFERROR(INDEX(#REF!,(MATCH('Old Calc Tab'!$C:$C,#REF!,0))),0)</f>
        <v>0</v>
      </c>
      <c r="L243" s="131"/>
      <c r="M243" s="131">
        <v>795038.65</v>
      </c>
      <c r="N243" s="131">
        <f>IFERROR(INDEX(#REF!,(MATCH('Old Calc Tab'!$C:$C,#REF!,0))),0)</f>
        <v>0</v>
      </c>
      <c r="O243" s="131">
        <f t="shared" si="39"/>
        <v>0</v>
      </c>
      <c r="P243" s="131">
        <f t="shared" si="40"/>
        <v>795038.65</v>
      </c>
      <c r="Q243" s="131"/>
      <c r="R243" s="131"/>
      <c r="S243" s="131"/>
      <c r="T243" s="131"/>
      <c r="U243" s="131"/>
      <c r="V243" s="131">
        <v>118800</v>
      </c>
      <c r="W243" s="180">
        <v>0</v>
      </c>
      <c r="X243" s="180">
        <f t="shared" si="53"/>
        <v>913838.65</v>
      </c>
      <c r="Y243" s="181">
        <f>IF(D243="Physician Group Practice",(X243/$AE$369)*'1. UC Assumptions'!$C$15,IF(OR(E243="Rural Hospital",E243="Hosp - State"),X243,(X243/$X$369)*'1. UC Assumptions'!$C$9))</f>
        <v>913838.65</v>
      </c>
      <c r="Z243" s="181">
        <f t="shared" si="42"/>
        <v>0</v>
      </c>
      <c r="AA243" s="181">
        <f t="shared" si="43"/>
        <v>0</v>
      </c>
      <c r="AB243" s="182">
        <f t="shared" si="44"/>
        <v>0</v>
      </c>
      <c r="AC243" s="181">
        <f t="shared" si="45"/>
        <v>0</v>
      </c>
      <c r="AD243" s="181">
        <f t="shared" si="46"/>
        <v>913838.65</v>
      </c>
      <c r="AE243" s="131">
        <v>730075.01</v>
      </c>
      <c r="AF243" s="131">
        <f>AE243*'1. UC Assumptions'!$C$23</f>
        <v>240924.75329999998</v>
      </c>
      <c r="AG243" s="183">
        <f>IF((((X243-W243-AE243)*'1. UC Assumptions'!$C$23)+AF243)&gt;0,((X243-W243-AE243)*'1. UC Assumptions'!$C$23)+AF243,0)</f>
        <v>301566.75449999998</v>
      </c>
      <c r="AH243" s="183">
        <f>IF(((X243-W243-AE243)*'1. UC Assumptions'!$C$23)&gt;0,(X243-W243-AE243)*'1. UC Assumptions'!$C$23,0)</f>
        <v>60642.001199999999</v>
      </c>
      <c r="AI243" s="183">
        <f t="shared" si="47"/>
        <v>301566.75449999998</v>
      </c>
      <c r="AJ243" s="183">
        <f>IF(H243="Bexar",(AD243/$AJ$1)*'1. UC Assumptions'!$E$42,0)</f>
        <v>0</v>
      </c>
      <c r="AK243" s="183">
        <f>IF(H243="Dallas",(AD243/$AK$1)*'1. UC Assumptions'!$F$42,0)</f>
        <v>0</v>
      </c>
      <c r="AL243" s="183">
        <f>IF(H243="El Paso",(AD243/$AL$1)*'1. UC Assumptions'!$G$42,0)</f>
        <v>0</v>
      </c>
      <c r="AM243" s="183">
        <f>IF(H243="Harris",(AD243/$AM$1)*'1. UC Assumptions'!$H$42,0)</f>
        <v>0</v>
      </c>
      <c r="AN243" s="183">
        <f>IF(H243="Hidalgo",(AD243/$AN$1)*'1. UC Assumptions'!$I$42,0)</f>
        <v>0</v>
      </c>
      <c r="AO243" s="183">
        <f>IF(H243="Jefferson",(AD243/$AO$1)*'1. UC Assumptions'!$J$42,0)</f>
        <v>0</v>
      </c>
      <c r="AP243" s="183">
        <f>IF(H243="Lubbock",(AD243/$AP$1)*'1. UC Assumptions'!$K$42,0)</f>
        <v>0</v>
      </c>
      <c r="AQ243" s="183">
        <f>IF(H243="MRSA Central",(AD243/$AQ$1)*'1. UC Assumptions'!$L$42,0)</f>
        <v>0</v>
      </c>
      <c r="AR243" s="183">
        <f>IF(H243="MRSA Northeast",(AD243/$AR$1)*'1. UC Assumptions'!$M$42,0)</f>
        <v>0</v>
      </c>
      <c r="AS243" s="183">
        <f>IF(H243="MRSA West",(AD243/$AS$1)*'1. UC Assumptions'!$N$42,0)</f>
        <v>0</v>
      </c>
      <c r="AT243" s="183">
        <f>IF(H243="Nueces",(AD243/$AT$1)*'1. UC Assumptions'!$O$42,0)</f>
        <v>0</v>
      </c>
      <c r="AU243" s="183">
        <f>IF(H243="Tarrant",(AD243/$AU$1)*'1. UC Assumptions'!$P$42,0)</f>
        <v>0</v>
      </c>
      <c r="AV243" s="183">
        <f>IF(H243="Travis",(AD243/$AV$1)*'1. UC Assumptions'!$Q$42,0)</f>
        <v>0</v>
      </c>
      <c r="AW243" s="183">
        <f>IF(H243="Bexar",(AC243/$AW$1)*'1. UC Assumptions'!$E$44,0)</f>
        <v>0</v>
      </c>
      <c r="AX243" s="183">
        <f>IF(H243="Dallas",(AC243/$AX$1)*'1. UC Assumptions'!$F$44,0)</f>
        <v>0</v>
      </c>
      <c r="AY243" s="183">
        <f>IF(H243="El Paso",(AC243/$AY$1)*'1. UC Assumptions'!$G$44,0)</f>
        <v>0</v>
      </c>
      <c r="AZ243" s="183">
        <f>IF(H243="Harris",(AC243/$AZ$1)*'1. UC Assumptions'!$H$44,0)</f>
        <v>0</v>
      </c>
      <c r="BA243" s="183">
        <f>IF(H243="Hidalgo",(AC243/$BA$1)*'1. UC Assumptions'!$I$44,0)</f>
        <v>0</v>
      </c>
      <c r="BB243" s="183">
        <f>IF(H243="Jefferson",(AC243/$BB$1)*'1. UC Assumptions'!$J$44,0)</f>
        <v>0</v>
      </c>
      <c r="BC243" s="183">
        <f>IF(H243="Lubbock",(AC243/$BC$1)*'1. UC Assumptions'!$K$44,0)</f>
        <v>0</v>
      </c>
      <c r="BD243" s="183">
        <f>IF(H243="MRSA Central",(AC243/$BD$1)*'1. UC Assumptions'!$L$44,0)</f>
        <v>0</v>
      </c>
      <c r="BE243" s="183">
        <f>IF(H243="MRSA Northeast",(AC243/$BE$1)*'1. UC Assumptions'!$M$44,0)</f>
        <v>0</v>
      </c>
      <c r="BF243" s="183">
        <f>IF(H243="MRSA West",(AC243/$BF$1)*'1. UC Assumptions'!$N$44,0)</f>
        <v>0</v>
      </c>
      <c r="BG243" s="183">
        <f>IF(H243="Nueces",(AC243/$BG$1)*'1. UC Assumptions'!$O$44,0)</f>
        <v>0</v>
      </c>
      <c r="BH243" s="183">
        <f>IF(H243="Tarrant",(AC243/$BH$1)*'1. UC Assumptions'!$P$44,0)</f>
        <v>0</v>
      </c>
      <c r="BI243" s="183">
        <f>IF(H243="Travis",(AC243/$BI$1)*'1. UC Assumptions'!$Q$44,0)</f>
        <v>0</v>
      </c>
      <c r="BJ243" s="183">
        <f t="shared" si="48"/>
        <v>0</v>
      </c>
      <c r="BK243" s="183">
        <f t="shared" si="49"/>
        <v>0</v>
      </c>
      <c r="BL243" s="183">
        <f t="shared" si="50"/>
        <v>913838.65</v>
      </c>
      <c r="BM243" s="184">
        <f t="shared" si="51"/>
        <v>183763.64</v>
      </c>
      <c r="BN243" s="184">
        <f>ROUNDDOWN(BM243*'1. UC Assumptions'!$C$23,2)</f>
        <v>60642</v>
      </c>
      <c r="BO243" s="184"/>
      <c r="BP243" s="185"/>
      <c r="BQ243" s="32"/>
      <c r="BR243" s="32"/>
    </row>
    <row r="244" spans="1:70">
      <c r="A244" s="177" t="s">
        <v>1643</v>
      </c>
      <c r="B244" s="177" t="s">
        <v>394</v>
      </c>
      <c r="C244" s="178" t="s">
        <v>394</v>
      </c>
      <c r="D244" s="179" t="s">
        <v>208</v>
      </c>
      <c r="E244" s="179" t="s">
        <v>149</v>
      </c>
      <c r="F244" s="177"/>
      <c r="G244" s="177" t="s">
        <v>395</v>
      </c>
      <c r="H244" s="178" t="s">
        <v>12</v>
      </c>
      <c r="I244" s="178" t="s">
        <v>396</v>
      </c>
      <c r="J244" s="131">
        <f>IFERROR(INDEX(#REF!,(MATCH('Old Calc Tab'!C:C,#REF!,0))),0)</f>
        <v>0</v>
      </c>
      <c r="K244" s="131">
        <f>IFERROR(INDEX(#REF!,(MATCH('Old Calc Tab'!$C:$C,#REF!,0))),0)</f>
        <v>0</v>
      </c>
      <c r="L244" s="131"/>
      <c r="M244" s="131">
        <v>149661.90000000002</v>
      </c>
      <c r="N244" s="131">
        <f>IFERROR(INDEX(#REF!,(MATCH('Old Calc Tab'!$C:$C,#REF!,0))),0)</f>
        <v>0</v>
      </c>
      <c r="O244" s="131">
        <f t="shared" si="39"/>
        <v>0</v>
      </c>
      <c r="P244" s="131">
        <f t="shared" si="40"/>
        <v>149661.90000000002</v>
      </c>
      <c r="Q244" s="131"/>
      <c r="R244" s="131"/>
      <c r="S244" s="131"/>
      <c r="T244" s="131"/>
      <c r="U244" s="131"/>
      <c r="V244" s="131">
        <v>32702</v>
      </c>
      <c r="W244" s="180">
        <v>0</v>
      </c>
      <c r="X244" s="180">
        <f t="shared" si="53"/>
        <v>182363.90000000002</v>
      </c>
      <c r="Y244" s="181">
        <f>IF(D244="Physician Group Practice",(X244/$AE$369)*'1. UC Assumptions'!$C$15,IF(OR(E244="Rural Hospital",E244="Hosp - State"),X244,(X244/$X$369)*'1. UC Assumptions'!$C$9))</f>
        <v>182363.90000000002</v>
      </c>
      <c r="Z244" s="181">
        <f t="shared" si="42"/>
        <v>0</v>
      </c>
      <c r="AA244" s="181">
        <f t="shared" si="43"/>
        <v>0</v>
      </c>
      <c r="AB244" s="182">
        <f t="shared" si="44"/>
        <v>0</v>
      </c>
      <c r="AC244" s="181">
        <f t="shared" si="45"/>
        <v>0</v>
      </c>
      <c r="AD244" s="181">
        <f t="shared" si="46"/>
        <v>182363.90000000002</v>
      </c>
      <c r="AE244" s="131">
        <v>108764.08</v>
      </c>
      <c r="AF244" s="131">
        <f>AE244*'1. UC Assumptions'!$C$23</f>
        <v>35892.146399999998</v>
      </c>
      <c r="AG244" s="183">
        <f>IF((((X244-W244-AE244)*'1. UC Assumptions'!$C$23)+AF244)&gt;0,((X244-W244-AE244)*'1. UC Assumptions'!$C$23)+AF244,0)</f>
        <v>60180.087</v>
      </c>
      <c r="AH244" s="183">
        <f>IF(((X244-W244-AE244)*'1. UC Assumptions'!$C$23)&gt;0,(X244-W244-AE244)*'1. UC Assumptions'!$C$23,0)</f>
        <v>24287.940600000005</v>
      </c>
      <c r="AI244" s="183">
        <f t="shared" si="47"/>
        <v>60180.087</v>
      </c>
      <c r="AJ244" s="183">
        <f>IF(H244="Bexar",(AD244/$AJ$1)*'1. UC Assumptions'!$E$42,0)</f>
        <v>0</v>
      </c>
      <c r="AK244" s="183">
        <f>IF(H244="Dallas",(AD244/$AK$1)*'1. UC Assumptions'!$F$42,0)</f>
        <v>0</v>
      </c>
      <c r="AL244" s="183">
        <f>IF(H244="El Paso",(AD244/$AL$1)*'1. UC Assumptions'!$G$42,0)</f>
        <v>0</v>
      </c>
      <c r="AM244" s="183">
        <f>IF(H244="Harris",(AD244/$AM$1)*'1. UC Assumptions'!$H$42,0)</f>
        <v>0</v>
      </c>
      <c r="AN244" s="183">
        <f>IF(H244="Hidalgo",(AD244/$AN$1)*'1. UC Assumptions'!$I$42,0)</f>
        <v>0</v>
      </c>
      <c r="AO244" s="183">
        <f>IF(H244="Jefferson",(AD244/$AO$1)*'1. UC Assumptions'!$J$42,0)</f>
        <v>0</v>
      </c>
      <c r="AP244" s="183">
        <f>IF(H244="Lubbock",(AD244/$AP$1)*'1. UC Assumptions'!$K$42,0)</f>
        <v>0</v>
      </c>
      <c r="AQ244" s="183">
        <f>IF(H244="MRSA Central",(AD244/$AQ$1)*'1. UC Assumptions'!$L$42,0)</f>
        <v>0</v>
      </c>
      <c r="AR244" s="183">
        <f>IF(H244="MRSA Northeast",(AD244/$AR$1)*'1. UC Assumptions'!$M$42,0)</f>
        <v>0</v>
      </c>
      <c r="AS244" s="183">
        <f>IF(H244="MRSA West",(AD244/$AS$1)*'1. UC Assumptions'!$N$42,0)</f>
        <v>0</v>
      </c>
      <c r="AT244" s="183">
        <f>IF(H244="Nueces",(AD244/$AT$1)*'1. UC Assumptions'!$O$42,0)</f>
        <v>0</v>
      </c>
      <c r="AU244" s="183">
        <f>IF(H244="Tarrant",(AD244/$AU$1)*'1. UC Assumptions'!$P$42,0)</f>
        <v>0</v>
      </c>
      <c r="AV244" s="183">
        <f>IF(H244="Travis",(AD244/$AV$1)*'1. UC Assumptions'!$Q$42,0)</f>
        <v>0</v>
      </c>
      <c r="AW244" s="183">
        <f>IF(H244="Bexar",(AC244/$AW$1)*'1. UC Assumptions'!$E$44,0)</f>
        <v>0</v>
      </c>
      <c r="AX244" s="183">
        <f>IF(H244="Dallas",(AC244/$AX$1)*'1. UC Assumptions'!$F$44,0)</f>
        <v>0</v>
      </c>
      <c r="AY244" s="183">
        <f>IF(H244="El Paso",(AC244/$AY$1)*'1. UC Assumptions'!$G$44,0)</f>
        <v>0</v>
      </c>
      <c r="AZ244" s="183">
        <f>IF(H244="Harris",(AC244/$AZ$1)*'1. UC Assumptions'!$H$44,0)</f>
        <v>0</v>
      </c>
      <c r="BA244" s="183">
        <f>IF(H244="Hidalgo",(AC244/$BA$1)*'1. UC Assumptions'!$I$44,0)</f>
        <v>0</v>
      </c>
      <c r="BB244" s="183">
        <f>IF(H244="Jefferson",(AC244/$BB$1)*'1. UC Assumptions'!$J$44,0)</f>
        <v>0</v>
      </c>
      <c r="BC244" s="183">
        <f>IF(H244="Lubbock",(AC244/$BC$1)*'1. UC Assumptions'!$K$44,0)</f>
        <v>0</v>
      </c>
      <c r="BD244" s="183">
        <f>IF(H244="MRSA Central",(AC244/$BD$1)*'1. UC Assumptions'!$L$44,0)</f>
        <v>0</v>
      </c>
      <c r="BE244" s="183">
        <f>IF(H244="MRSA Northeast",(AC244/$BE$1)*'1. UC Assumptions'!$M$44,0)</f>
        <v>0</v>
      </c>
      <c r="BF244" s="183">
        <f>IF(H244="MRSA West",(AC244/$BF$1)*'1. UC Assumptions'!$N$44,0)</f>
        <v>0</v>
      </c>
      <c r="BG244" s="183">
        <f>IF(H244="Nueces",(AC244/$BG$1)*'1. UC Assumptions'!$O$44,0)</f>
        <v>0</v>
      </c>
      <c r="BH244" s="183">
        <f>IF(H244="Tarrant",(AC244/$BH$1)*'1. UC Assumptions'!$P$44,0)</f>
        <v>0</v>
      </c>
      <c r="BI244" s="183">
        <f>IF(H244="Travis",(AC244/$BI$1)*'1. UC Assumptions'!$Q$44,0)</f>
        <v>0</v>
      </c>
      <c r="BJ244" s="183">
        <f t="shared" si="48"/>
        <v>0</v>
      </c>
      <c r="BK244" s="183">
        <f t="shared" si="49"/>
        <v>0</v>
      </c>
      <c r="BL244" s="183">
        <f t="shared" si="50"/>
        <v>182363.90000000002</v>
      </c>
      <c r="BM244" s="184">
        <f t="shared" si="51"/>
        <v>73599.820000000022</v>
      </c>
      <c r="BN244" s="184">
        <f>ROUNDDOWN(BM244*'1. UC Assumptions'!$C$23,2)</f>
        <v>24287.94</v>
      </c>
      <c r="BO244" s="184"/>
      <c r="BP244" s="185"/>
      <c r="BQ244" s="32"/>
      <c r="BR244" s="32"/>
    </row>
    <row r="245" spans="1:70">
      <c r="A245" s="177" t="s">
        <v>1644</v>
      </c>
      <c r="B245" s="177" t="s">
        <v>405</v>
      </c>
      <c r="C245" s="178" t="s">
        <v>405</v>
      </c>
      <c r="D245" s="179" t="s">
        <v>208</v>
      </c>
      <c r="E245" s="179" t="s">
        <v>149</v>
      </c>
      <c r="F245" s="177"/>
      <c r="G245" s="177" t="s">
        <v>1645</v>
      </c>
      <c r="H245" s="178" t="s">
        <v>12</v>
      </c>
      <c r="I245" s="178" t="s">
        <v>407</v>
      </c>
      <c r="J245" s="131">
        <f>IFERROR(INDEX(#REF!,(MATCH('Old Calc Tab'!C:C,#REF!,0))),0)</f>
        <v>0</v>
      </c>
      <c r="K245" s="131">
        <f>IFERROR(INDEX(#REF!,(MATCH('Old Calc Tab'!$C:$C,#REF!,0))),0)</f>
        <v>0</v>
      </c>
      <c r="L245" s="131"/>
      <c r="M245" s="131">
        <v>0</v>
      </c>
      <c r="N245" s="131">
        <f>IFERROR(INDEX(#REF!,(MATCH('Old Calc Tab'!$C:$C,#REF!,0))),0)</f>
        <v>0</v>
      </c>
      <c r="O245" s="131">
        <f t="shared" si="39"/>
        <v>0</v>
      </c>
      <c r="P245" s="131">
        <f t="shared" si="40"/>
        <v>0</v>
      </c>
      <c r="Q245" s="131"/>
      <c r="R245" s="131"/>
      <c r="S245" s="131"/>
      <c r="T245" s="131"/>
      <c r="U245" s="131"/>
      <c r="V245" s="131">
        <v>0</v>
      </c>
      <c r="W245" s="180">
        <v>0</v>
      </c>
      <c r="X245" s="180">
        <f t="shared" si="53"/>
        <v>0</v>
      </c>
      <c r="Y245" s="181">
        <f>IF(D245="Physician Group Practice",(X245/$AE$369)*'1. UC Assumptions'!$C$15,IF(OR(E245="Rural Hospital",E245="Hosp - State"),X245,(X245/$X$369)*'1. UC Assumptions'!$C$9))</f>
        <v>0</v>
      </c>
      <c r="Z245" s="181">
        <f t="shared" si="42"/>
        <v>0</v>
      </c>
      <c r="AA245" s="181">
        <f t="shared" si="43"/>
        <v>0</v>
      </c>
      <c r="AB245" s="182">
        <f t="shared" si="44"/>
        <v>0</v>
      </c>
      <c r="AC245" s="181">
        <f t="shared" si="45"/>
        <v>0</v>
      </c>
      <c r="AD245" s="181">
        <f t="shared" si="46"/>
        <v>0</v>
      </c>
      <c r="AE245" s="131">
        <v>33030.69</v>
      </c>
      <c r="AF245" s="131">
        <f>AE245*'1. UC Assumptions'!$C$23</f>
        <v>10900.127699999999</v>
      </c>
      <c r="AG245" s="183">
        <f>IF((((X245-W245-AE245)*'1. UC Assumptions'!$C$23)+AF245)&gt;0,((X245-W245-AE245)*'1. UC Assumptions'!$C$23)+AF245,0)</f>
        <v>0</v>
      </c>
      <c r="AH245" s="183">
        <f>IF(((X245-W245-AE245)*'1. UC Assumptions'!$C$23)&gt;0,(X245-W245-AE245)*'1. UC Assumptions'!$C$23,0)</f>
        <v>0</v>
      </c>
      <c r="AI245" s="183">
        <f t="shared" si="47"/>
        <v>10900.127699999999</v>
      </c>
      <c r="AJ245" s="183">
        <f>IF(H245="Bexar",(AD245/$AJ$1)*'1. UC Assumptions'!$E$42,0)</f>
        <v>0</v>
      </c>
      <c r="AK245" s="183">
        <f>IF(H245="Dallas",(AD245/$AK$1)*'1. UC Assumptions'!$F$42,0)</f>
        <v>0</v>
      </c>
      <c r="AL245" s="183">
        <f>IF(H245="El Paso",(AD245/$AL$1)*'1. UC Assumptions'!$G$42,0)</f>
        <v>0</v>
      </c>
      <c r="AM245" s="183">
        <f>IF(H245="Harris",(AD245/$AM$1)*'1. UC Assumptions'!$H$42,0)</f>
        <v>0</v>
      </c>
      <c r="AN245" s="183">
        <f>IF(H245="Hidalgo",(AD245/$AN$1)*'1. UC Assumptions'!$I$42,0)</f>
        <v>0</v>
      </c>
      <c r="AO245" s="183">
        <f>IF(H245="Jefferson",(AD245/$AO$1)*'1. UC Assumptions'!$J$42,0)</f>
        <v>0</v>
      </c>
      <c r="AP245" s="183">
        <f>IF(H245="Lubbock",(AD245/$AP$1)*'1. UC Assumptions'!$K$42,0)</f>
        <v>0</v>
      </c>
      <c r="AQ245" s="183">
        <f>IF(H245="MRSA Central",(AD245/$AQ$1)*'1. UC Assumptions'!$L$42,0)</f>
        <v>0</v>
      </c>
      <c r="AR245" s="183">
        <f>IF(H245="MRSA Northeast",(AD245/$AR$1)*'1. UC Assumptions'!$M$42,0)</f>
        <v>0</v>
      </c>
      <c r="AS245" s="183">
        <f>IF(H245="MRSA West",(AD245/$AS$1)*'1. UC Assumptions'!$N$42,0)</f>
        <v>0</v>
      </c>
      <c r="AT245" s="183">
        <f>IF(H245="Nueces",(AD245/$AT$1)*'1. UC Assumptions'!$O$42,0)</f>
        <v>0</v>
      </c>
      <c r="AU245" s="183">
        <f>IF(H245="Tarrant",(AD245/$AU$1)*'1. UC Assumptions'!$P$42,0)</f>
        <v>0</v>
      </c>
      <c r="AV245" s="183">
        <f>IF(H245="Travis",(AD245/$AV$1)*'1. UC Assumptions'!$Q$42,0)</f>
        <v>0</v>
      </c>
      <c r="AW245" s="183">
        <f>IF(H245="Bexar",(AC245/$AW$1)*'1. UC Assumptions'!$E$44,0)</f>
        <v>0</v>
      </c>
      <c r="AX245" s="183">
        <f>IF(H245="Dallas",(AC245/$AX$1)*'1. UC Assumptions'!$F$44,0)</f>
        <v>0</v>
      </c>
      <c r="AY245" s="183">
        <f>IF(H245="El Paso",(AC245/$AY$1)*'1. UC Assumptions'!$G$44,0)</f>
        <v>0</v>
      </c>
      <c r="AZ245" s="183">
        <f>IF(H245="Harris",(AC245/$AZ$1)*'1. UC Assumptions'!$H$44,0)</f>
        <v>0</v>
      </c>
      <c r="BA245" s="183">
        <f>IF(H245="Hidalgo",(AC245/$BA$1)*'1. UC Assumptions'!$I$44,0)</f>
        <v>0</v>
      </c>
      <c r="BB245" s="183">
        <f>IF(H245="Jefferson",(AC245/$BB$1)*'1. UC Assumptions'!$J$44,0)</f>
        <v>0</v>
      </c>
      <c r="BC245" s="183">
        <f>IF(H245="Lubbock",(AC245/$BC$1)*'1. UC Assumptions'!$K$44,0)</f>
        <v>0</v>
      </c>
      <c r="BD245" s="183">
        <f>IF(H245="MRSA Central",(AC245/$BD$1)*'1. UC Assumptions'!$L$44,0)</f>
        <v>0</v>
      </c>
      <c r="BE245" s="183">
        <f>IF(H245="MRSA Northeast",(AC245/$BE$1)*'1. UC Assumptions'!$M$44,0)</f>
        <v>0</v>
      </c>
      <c r="BF245" s="183">
        <f>IF(H245="MRSA West",(AC245/$BF$1)*'1. UC Assumptions'!$N$44,0)</f>
        <v>0</v>
      </c>
      <c r="BG245" s="183">
        <f>IF(H245="Nueces",(AC245/$BG$1)*'1. UC Assumptions'!$O$44,0)</f>
        <v>0</v>
      </c>
      <c r="BH245" s="183">
        <f>IF(H245="Tarrant",(AC245/$BH$1)*'1. UC Assumptions'!$P$44,0)</f>
        <v>0</v>
      </c>
      <c r="BI245" s="183">
        <f>IF(H245="Travis",(AC245/$BI$1)*'1. UC Assumptions'!$Q$44,0)</f>
        <v>0</v>
      </c>
      <c r="BJ245" s="183">
        <f t="shared" si="48"/>
        <v>0</v>
      </c>
      <c r="BK245" s="183">
        <f t="shared" si="49"/>
        <v>0</v>
      </c>
      <c r="BL245" s="183">
        <f t="shared" si="50"/>
        <v>0</v>
      </c>
      <c r="BM245" s="184">
        <f t="shared" si="51"/>
        <v>-33030.69</v>
      </c>
      <c r="BN245" s="184">
        <f>ROUNDDOWN(BM245*'1. UC Assumptions'!$C$23,2)</f>
        <v>-10900.12</v>
      </c>
      <c r="BO245" s="184"/>
      <c r="BP245" s="185"/>
      <c r="BQ245" s="32"/>
      <c r="BR245" s="32"/>
    </row>
    <row r="246" spans="1:70">
      <c r="A246" s="177" t="s">
        <v>1646</v>
      </c>
      <c r="B246" s="178" t="s">
        <v>427</v>
      </c>
      <c r="C246" s="178" t="s">
        <v>427</v>
      </c>
      <c r="D246" s="179" t="s">
        <v>208</v>
      </c>
      <c r="E246" s="179" t="s">
        <v>149</v>
      </c>
      <c r="F246" s="177"/>
      <c r="G246" s="177" t="s">
        <v>428</v>
      </c>
      <c r="H246" s="178" t="s">
        <v>12</v>
      </c>
      <c r="I246" s="178" t="s">
        <v>429</v>
      </c>
      <c r="J246" s="131">
        <f>IFERROR(INDEX(#REF!,(MATCH('Old Calc Tab'!C:C,#REF!,0))),0)</f>
        <v>0</v>
      </c>
      <c r="K246" s="131">
        <f>IFERROR(INDEX(#REF!,(MATCH('Old Calc Tab'!$C:$C,#REF!,0))),0)</f>
        <v>0</v>
      </c>
      <c r="L246" s="131"/>
      <c r="M246" s="131">
        <v>548790.04</v>
      </c>
      <c r="N246" s="131">
        <f>IFERROR(INDEX(#REF!,(MATCH('Old Calc Tab'!$C:$C,#REF!,0))),0)</f>
        <v>0</v>
      </c>
      <c r="O246" s="131">
        <f t="shared" si="39"/>
        <v>0</v>
      </c>
      <c r="P246" s="131">
        <f t="shared" si="40"/>
        <v>548790.04</v>
      </c>
      <c r="Q246" s="131"/>
      <c r="R246" s="131"/>
      <c r="S246" s="131"/>
      <c r="T246" s="131"/>
      <c r="U246" s="131"/>
      <c r="V246" s="131">
        <v>114241.34</v>
      </c>
      <c r="W246" s="180">
        <v>0</v>
      </c>
      <c r="X246" s="180">
        <f t="shared" si="53"/>
        <v>663031.38</v>
      </c>
      <c r="Y246" s="181">
        <f>IF(D246="Physician Group Practice",(X246/$AE$369)*'1. UC Assumptions'!$C$15,IF(OR(E246="Rural Hospital",E246="Hosp - State"),X246,(X246/$X$369)*'1. UC Assumptions'!$C$9))</f>
        <v>663031.38</v>
      </c>
      <c r="Z246" s="181">
        <f t="shared" si="42"/>
        <v>0</v>
      </c>
      <c r="AA246" s="181">
        <f t="shared" si="43"/>
        <v>0</v>
      </c>
      <c r="AB246" s="182">
        <f t="shared" si="44"/>
        <v>0</v>
      </c>
      <c r="AC246" s="181">
        <f t="shared" si="45"/>
        <v>0</v>
      </c>
      <c r="AD246" s="181">
        <f t="shared" si="46"/>
        <v>663031.38</v>
      </c>
      <c r="AE246" s="131">
        <v>225479.9</v>
      </c>
      <c r="AF246" s="131">
        <f>AE246*'1. UC Assumptions'!$C$23</f>
        <v>74408.366999999984</v>
      </c>
      <c r="AG246" s="183">
        <f>IF((((X246-W246-AE246)*'1. UC Assumptions'!$C$23)+AF246)&gt;0,((X246-W246-AE246)*'1. UC Assumptions'!$C$23)+AF246,0)</f>
        <v>218800.35539999994</v>
      </c>
      <c r="AH246" s="183"/>
      <c r="AI246" s="183">
        <f t="shared" si="47"/>
        <v>74408.366999999984</v>
      </c>
      <c r="AJ246" s="183">
        <f>IF(H246="Bexar",(AD246/$AJ$1)*'1. UC Assumptions'!$E$42,0)</f>
        <v>0</v>
      </c>
      <c r="AK246" s="183">
        <f>IF(H246="Dallas",(AD246/$AK$1)*'1. UC Assumptions'!$F$42,0)</f>
        <v>0</v>
      </c>
      <c r="AL246" s="183">
        <f>IF(H246="El Paso",(AD246/$AL$1)*'1. UC Assumptions'!$G$42,0)</f>
        <v>0</v>
      </c>
      <c r="AM246" s="183">
        <f>IF(H246="Harris",(AD246/$AM$1)*'1. UC Assumptions'!$H$42,0)</f>
        <v>0</v>
      </c>
      <c r="AN246" s="183">
        <f>IF(H246="Hidalgo",(AD246/$AN$1)*'1. UC Assumptions'!$I$42,0)</f>
        <v>0</v>
      </c>
      <c r="AO246" s="183">
        <f>IF(H246="Jefferson",(AD246/$AO$1)*'1. UC Assumptions'!$J$42,0)</f>
        <v>0</v>
      </c>
      <c r="AP246" s="183">
        <f>IF(H246="Lubbock",(AD246/$AP$1)*'1. UC Assumptions'!$K$42,0)</f>
        <v>0</v>
      </c>
      <c r="AQ246" s="183">
        <f>IF(H246="MRSA Central",(AD246/$AQ$1)*'1. UC Assumptions'!$L$42,0)</f>
        <v>0</v>
      </c>
      <c r="AR246" s="183">
        <f>IF(H246="MRSA Northeast",(AD246/$AR$1)*'1. UC Assumptions'!$M$42,0)</f>
        <v>0</v>
      </c>
      <c r="AS246" s="183">
        <f>IF(H246="MRSA West",(AD246/$AS$1)*'1. UC Assumptions'!$N$42,0)</f>
        <v>0</v>
      </c>
      <c r="AT246" s="183">
        <f>IF(H246="Nueces",(AD246/$AT$1)*'1. UC Assumptions'!$O$42,0)</f>
        <v>0</v>
      </c>
      <c r="AU246" s="183">
        <f>IF(H246="Tarrant",(AD246/$AU$1)*'1. UC Assumptions'!$P$42,0)</f>
        <v>0</v>
      </c>
      <c r="AV246" s="183">
        <f>IF(H246="Travis",(AD246/$AV$1)*'1. UC Assumptions'!$Q$42,0)</f>
        <v>0</v>
      </c>
      <c r="AW246" s="183">
        <f>IF(H246="Bexar",(AC246/$AW$1)*'1. UC Assumptions'!$E$44,0)</f>
        <v>0</v>
      </c>
      <c r="AX246" s="183">
        <f>IF(H246="Dallas",(AC246/$AX$1)*'1. UC Assumptions'!$F$44,0)</f>
        <v>0</v>
      </c>
      <c r="AY246" s="183">
        <f>IF(H246="El Paso",(AC246/$AY$1)*'1. UC Assumptions'!$G$44,0)</f>
        <v>0</v>
      </c>
      <c r="AZ246" s="183">
        <f>IF(H246="Harris",(AC246/$AZ$1)*'1. UC Assumptions'!$H$44,0)</f>
        <v>0</v>
      </c>
      <c r="BA246" s="183">
        <f>IF(H246="Hidalgo",(AC246/$BA$1)*'1. UC Assumptions'!$I$44,0)</f>
        <v>0</v>
      </c>
      <c r="BB246" s="183">
        <f>IF(H246="Jefferson",(AC246/$BB$1)*'1. UC Assumptions'!$J$44,0)</f>
        <v>0</v>
      </c>
      <c r="BC246" s="183">
        <f>IF(H246="Lubbock",(AC246/$BC$1)*'1. UC Assumptions'!$K$44,0)</f>
        <v>0</v>
      </c>
      <c r="BD246" s="183">
        <f>IF(H246="MRSA Central",(AC246/$BD$1)*'1. UC Assumptions'!$L$44,0)</f>
        <v>0</v>
      </c>
      <c r="BE246" s="183">
        <f>IF(H246="MRSA Northeast",(AC246/$BE$1)*'1. UC Assumptions'!$M$44,0)</f>
        <v>0</v>
      </c>
      <c r="BF246" s="183">
        <f>IF(H246="MRSA West",(AC246/$BF$1)*'1. UC Assumptions'!$N$44,0)</f>
        <v>0</v>
      </c>
      <c r="BG246" s="183">
        <f>IF(H246="Nueces",(AC246/$BG$1)*'1. UC Assumptions'!$O$44,0)</f>
        <v>0</v>
      </c>
      <c r="BH246" s="183">
        <f>IF(H246="Tarrant",(AC246/$BH$1)*'1. UC Assumptions'!$P$44,0)</f>
        <v>0</v>
      </c>
      <c r="BI246" s="183">
        <f>IF(H246="Travis",(AC246/$BI$1)*'1. UC Assumptions'!$Q$44,0)</f>
        <v>0</v>
      </c>
      <c r="BJ246" s="183">
        <f t="shared" si="48"/>
        <v>0</v>
      </c>
      <c r="BK246" s="183">
        <f t="shared" si="49"/>
        <v>0</v>
      </c>
      <c r="BL246" s="183">
        <f t="shared" si="50"/>
        <v>663031.38</v>
      </c>
      <c r="BM246" s="184">
        <f t="shared" si="51"/>
        <v>437551.48</v>
      </c>
      <c r="BN246" s="184">
        <f>ROUNDDOWN(BM246*'1. UC Assumptions'!$C$23,2)</f>
        <v>144391.98000000001</v>
      </c>
      <c r="BO246" s="184"/>
      <c r="BP246" s="185"/>
      <c r="BQ246" s="32"/>
      <c r="BR246" s="32"/>
    </row>
    <row r="247" spans="1:70">
      <c r="A247" s="177" t="s">
        <v>1647</v>
      </c>
      <c r="B247" s="177" t="s">
        <v>1648</v>
      </c>
      <c r="C247" s="178" t="s">
        <v>1648</v>
      </c>
      <c r="D247" s="179" t="s">
        <v>214</v>
      </c>
      <c r="E247" s="179" t="s">
        <v>149</v>
      </c>
      <c r="F247" s="177"/>
      <c r="G247" s="177" t="s">
        <v>1649</v>
      </c>
      <c r="H247" s="178" t="s">
        <v>12</v>
      </c>
      <c r="I247" s="178" t="s">
        <v>432</v>
      </c>
      <c r="J247" s="131">
        <f>IFERROR(INDEX(#REF!,(MATCH('Old Calc Tab'!C:C,#REF!,0))),0)</f>
        <v>0</v>
      </c>
      <c r="K247" s="131">
        <f>IFERROR(INDEX(#REF!,(MATCH('Old Calc Tab'!$C:$C,#REF!,0))),0)</f>
        <v>0</v>
      </c>
      <c r="L247" s="131"/>
      <c r="M247" s="131">
        <v>436466.05</v>
      </c>
      <c r="N247" s="131">
        <f>IFERROR(INDEX(#REF!,(MATCH('Old Calc Tab'!$C:$C,#REF!,0))),0)</f>
        <v>0</v>
      </c>
      <c r="O247" s="131">
        <f t="shared" si="39"/>
        <v>0</v>
      </c>
      <c r="P247" s="131">
        <f t="shared" si="40"/>
        <v>436466.05</v>
      </c>
      <c r="Q247" s="131"/>
      <c r="R247" s="131"/>
      <c r="S247" s="131"/>
      <c r="T247" s="131"/>
      <c r="U247" s="131"/>
      <c r="V247" s="131">
        <v>0</v>
      </c>
      <c r="W247" s="180">
        <v>0</v>
      </c>
      <c r="X247" s="180">
        <f t="shared" si="53"/>
        <v>436466.05</v>
      </c>
      <c r="Y247" s="181">
        <f>IF(D247="Physician Group Practice",(X247/$AE$369)*'1. UC Assumptions'!$C$15,IF(OR(E247="Rural Hospital",E247="Hosp - State"),X247,(X247/$X$369)*'1. UC Assumptions'!$C$9))</f>
        <v>436466.05</v>
      </c>
      <c r="Z247" s="181">
        <f t="shared" si="42"/>
        <v>0</v>
      </c>
      <c r="AA247" s="181">
        <f t="shared" si="43"/>
        <v>0</v>
      </c>
      <c r="AB247" s="182">
        <f t="shared" si="44"/>
        <v>0</v>
      </c>
      <c r="AC247" s="181">
        <f t="shared" si="45"/>
        <v>0</v>
      </c>
      <c r="AD247" s="181">
        <f t="shared" si="46"/>
        <v>436466.05</v>
      </c>
      <c r="AE247" s="131">
        <v>530776.44999999995</v>
      </c>
      <c r="AF247" s="131">
        <f>AE247*'1. UC Assumptions'!$C$23</f>
        <v>175156.22849999997</v>
      </c>
      <c r="AG247" s="183">
        <f>IF((((X247-W247-AE247)*'1. UC Assumptions'!$C$23)+AF247)&gt;0,((X247-W247-AE247)*'1. UC Assumptions'!$C$23)+AF247,0)</f>
        <v>144033.7965</v>
      </c>
      <c r="AH247" s="183"/>
      <c r="AI247" s="183">
        <f t="shared" si="47"/>
        <v>175156.22849999997</v>
      </c>
      <c r="AJ247" s="183">
        <f>IF(H247="Bexar",(AD247/$AJ$1)*'1. UC Assumptions'!$E$42,0)</f>
        <v>0</v>
      </c>
      <c r="AK247" s="183">
        <f>IF(H247="Dallas",(AD247/$AK$1)*'1. UC Assumptions'!$F$42,0)</f>
        <v>0</v>
      </c>
      <c r="AL247" s="183">
        <f>IF(H247="El Paso",(AD247/$AL$1)*'1. UC Assumptions'!$G$42,0)</f>
        <v>0</v>
      </c>
      <c r="AM247" s="183">
        <f>IF(H247="Harris",(AD247/$AM$1)*'1. UC Assumptions'!$H$42,0)</f>
        <v>0</v>
      </c>
      <c r="AN247" s="183">
        <f>IF(H247="Hidalgo",(AD247/$AN$1)*'1. UC Assumptions'!$I$42,0)</f>
        <v>0</v>
      </c>
      <c r="AO247" s="183">
        <f>IF(H247="Jefferson",(AD247/$AO$1)*'1. UC Assumptions'!$J$42,0)</f>
        <v>0</v>
      </c>
      <c r="AP247" s="183">
        <f>IF(H247="Lubbock",(AD247/$AP$1)*'1. UC Assumptions'!$K$42,0)</f>
        <v>0</v>
      </c>
      <c r="AQ247" s="183">
        <f>IF(H247="MRSA Central",(AD247/$AQ$1)*'1. UC Assumptions'!$L$42,0)</f>
        <v>0</v>
      </c>
      <c r="AR247" s="183">
        <f>IF(H247="MRSA Northeast",(AD247/$AR$1)*'1. UC Assumptions'!$M$42,0)</f>
        <v>0</v>
      </c>
      <c r="AS247" s="183">
        <f>IF(H247="MRSA West",(AD247/$AS$1)*'1. UC Assumptions'!$N$42,0)</f>
        <v>0</v>
      </c>
      <c r="AT247" s="183">
        <f>IF(H247="Nueces",(AD247/$AT$1)*'1. UC Assumptions'!$O$42,0)</f>
        <v>0</v>
      </c>
      <c r="AU247" s="183">
        <f>IF(H247="Tarrant",(AD247/$AU$1)*'1. UC Assumptions'!$P$42,0)</f>
        <v>0</v>
      </c>
      <c r="AV247" s="183">
        <f>IF(H247="Travis",(AD247/$AV$1)*'1. UC Assumptions'!$Q$42,0)</f>
        <v>0</v>
      </c>
      <c r="AW247" s="183">
        <f>IF(H247="Bexar",(AC247/$AW$1)*'1. UC Assumptions'!$E$44,0)</f>
        <v>0</v>
      </c>
      <c r="AX247" s="183">
        <f>IF(H247="Dallas",(AC247/$AX$1)*'1. UC Assumptions'!$F$44,0)</f>
        <v>0</v>
      </c>
      <c r="AY247" s="183">
        <f>IF(H247="El Paso",(AC247/$AY$1)*'1. UC Assumptions'!$G$44,0)</f>
        <v>0</v>
      </c>
      <c r="AZ247" s="183">
        <f>IF(H247="Harris",(AC247/$AZ$1)*'1. UC Assumptions'!$H$44,0)</f>
        <v>0</v>
      </c>
      <c r="BA247" s="183">
        <f>IF(H247="Hidalgo",(AC247/$BA$1)*'1. UC Assumptions'!$I$44,0)</f>
        <v>0</v>
      </c>
      <c r="BB247" s="183">
        <f>IF(H247="Jefferson",(AC247/$BB$1)*'1. UC Assumptions'!$J$44,0)</f>
        <v>0</v>
      </c>
      <c r="BC247" s="183">
        <f>IF(H247="Lubbock",(AC247/$BC$1)*'1. UC Assumptions'!$K$44,0)</f>
        <v>0</v>
      </c>
      <c r="BD247" s="183">
        <f>IF(H247="MRSA Central",(AC247/$BD$1)*'1. UC Assumptions'!$L$44,0)</f>
        <v>0</v>
      </c>
      <c r="BE247" s="183">
        <f>IF(H247="MRSA Northeast",(AC247/$BE$1)*'1. UC Assumptions'!$M$44,0)</f>
        <v>0</v>
      </c>
      <c r="BF247" s="183">
        <f>IF(H247="MRSA West",(AC247/$BF$1)*'1. UC Assumptions'!$N$44,0)</f>
        <v>0</v>
      </c>
      <c r="BG247" s="183">
        <f>IF(H247="Nueces",(AC247/$BG$1)*'1. UC Assumptions'!$O$44,0)</f>
        <v>0</v>
      </c>
      <c r="BH247" s="183">
        <f>IF(H247="Tarrant",(AC247/$BH$1)*'1. UC Assumptions'!$P$44,0)</f>
        <v>0</v>
      </c>
      <c r="BI247" s="183">
        <f>IF(H247="Travis",(AC247/$BI$1)*'1. UC Assumptions'!$Q$44,0)</f>
        <v>0</v>
      </c>
      <c r="BJ247" s="183">
        <f t="shared" si="48"/>
        <v>0</v>
      </c>
      <c r="BK247" s="183">
        <f t="shared" si="49"/>
        <v>0</v>
      </c>
      <c r="BL247" s="183">
        <f t="shared" si="50"/>
        <v>436466.05</v>
      </c>
      <c r="BM247" s="184">
        <f t="shared" si="51"/>
        <v>-94310.399999999965</v>
      </c>
      <c r="BN247" s="184">
        <f>ROUNDDOWN(BM247*'1. UC Assumptions'!$C$23,2)</f>
        <v>-31122.43</v>
      </c>
      <c r="BO247" s="184"/>
      <c r="BP247" s="185"/>
      <c r="BQ247" s="32"/>
      <c r="BR247" s="32"/>
    </row>
    <row r="248" spans="1:70">
      <c r="A248" s="177" t="s">
        <v>1650</v>
      </c>
      <c r="B248" s="178" t="s">
        <v>433</v>
      </c>
      <c r="C248" s="178" t="s">
        <v>433</v>
      </c>
      <c r="D248" s="179" t="s">
        <v>208</v>
      </c>
      <c r="E248" s="179" t="s">
        <v>149</v>
      </c>
      <c r="F248" s="177"/>
      <c r="G248" s="177" t="s">
        <v>434</v>
      </c>
      <c r="H248" s="178" t="s">
        <v>12</v>
      </c>
      <c r="I248" s="178" t="s">
        <v>435</v>
      </c>
      <c r="J248" s="131">
        <f>IFERROR(INDEX(#REF!,(MATCH('Old Calc Tab'!C:C,#REF!,0))),0)</f>
        <v>0</v>
      </c>
      <c r="K248" s="131">
        <f>IFERROR(INDEX(#REF!,(MATCH('Old Calc Tab'!$C:$C,#REF!,0))),0)</f>
        <v>0</v>
      </c>
      <c r="L248" s="131"/>
      <c r="M248" s="131">
        <v>758991.6</v>
      </c>
      <c r="N248" s="131">
        <f>IFERROR(INDEX(#REF!,(MATCH('Old Calc Tab'!$C:$C,#REF!,0))),0)</f>
        <v>0</v>
      </c>
      <c r="O248" s="131">
        <f t="shared" si="39"/>
        <v>0</v>
      </c>
      <c r="P248" s="131">
        <f t="shared" si="40"/>
        <v>758991.6</v>
      </c>
      <c r="Q248" s="131"/>
      <c r="R248" s="131"/>
      <c r="S248" s="131"/>
      <c r="T248" s="131"/>
      <c r="U248" s="131"/>
      <c r="V248" s="131">
        <v>0</v>
      </c>
      <c r="W248" s="180">
        <v>0</v>
      </c>
      <c r="X248" s="180">
        <f t="shared" si="53"/>
        <v>758991.6</v>
      </c>
      <c r="Y248" s="181">
        <f>IF(D248="Physician Group Practice",(X248/$AE$369)*'1. UC Assumptions'!$C$15,IF(OR(E248="Rural Hospital",E248="Hosp - State"),X248,(X248/$X$369)*'1. UC Assumptions'!$C$9))</f>
        <v>758991.6</v>
      </c>
      <c r="Z248" s="181">
        <f t="shared" si="42"/>
        <v>0</v>
      </c>
      <c r="AA248" s="181">
        <f t="shared" si="43"/>
        <v>0</v>
      </c>
      <c r="AB248" s="182">
        <f t="shared" si="44"/>
        <v>0</v>
      </c>
      <c r="AC248" s="181">
        <f t="shared" si="45"/>
        <v>0</v>
      </c>
      <c r="AD248" s="181">
        <f t="shared" si="46"/>
        <v>758991.6</v>
      </c>
      <c r="AE248" s="131">
        <v>105555.13</v>
      </c>
      <c r="AF248" s="131">
        <f>AE248*'1. UC Assumptions'!$C$23</f>
        <v>34833.192899999995</v>
      </c>
      <c r="AG248" s="183">
        <f>IF((((X248-W248-AE248)*'1. UC Assumptions'!$C$23)+AF248)&gt;0,((X248-W248-AE248)*'1. UC Assumptions'!$C$23)+AF248,0)</f>
        <v>250467.22799999997</v>
      </c>
      <c r="AH248" s="183"/>
      <c r="AI248" s="183">
        <f t="shared" si="47"/>
        <v>34833.192899999995</v>
      </c>
      <c r="AJ248" s="183">
        <f>IF(H248="Bexar",(AD248/$AJ$1)*'1. UC Assumptions'!$E$42,0)</f>
        <v>0</v>
      </c>
      <c r="AK248" s="183">
        <f>IF(H248="Dallas",(AD248/$AK$1)*'1. UC Assumptions'!$F$42,0)</f>
        <v>0</v>
      </c>
      <c r="AL248" s="183">
        <f>IF(H248="El Paso",(AD248/$AL$1)*'1. UC Assumptions'!$G$42,0)</f>
        <v>0</v>
      </c>
      <c r="AM248" s="183">
        <f>IF(H248="Harris",(AD248/$AM$1)*'1. UC Assumptions'!$H$42,0)</f>
        <v>0</v>
      </c>
      <c r="AN248" s="183">
        <f>IF(H248="Hidalgo",(AD248/$AN$1)*'1. UC Assumptions'!$I$42,0)</f>
        <v>0</v>
      </c>
      <c r="AO248" s="183">
        <f>IF(H248="Jefferson",(AD248/$AO$1)*'1. UC Assumptions'!$J$42,0)</f>
        <v>0</v>
      </c>
      <c r="AP248" s="183">
        <f>IF(H248="Lubbock",(AD248/$AP$1)*'1. UC Assumptions'!$K$42,0)</f>
        <v>0</v>
      </c>
      <c r="AQ248" s="183">
        <f>IF(H248="MRSA Central",(AD248/$AQ$1)*'1. UC Assumptions'!$L$42,0)</f>
        <v>0</v>
      </c>
      <c r="AR248" s="183">
        <f>IF(H248="MRSA Northeast",(AD248/$AR$1)*'1. UC Assumptions'!$M$42,0)</f>
        <v>0</v>
      </c>
      <c r="AS248" s="183">
        <f>IF(H248="MRSA West",(AD248/$AS$1)*'1. UC Assumptions'!$N$42,0)</f>
        <v>0</v>
      </c>
      <c r="AT248" s="183">
        <f>IF(H248="Nueces",(AD248/$AT$1)*'1. UC Assumptions'!$O$42,0)</f>
        <v>0</v>
      </c>
      <c r="AU248" s="183">
        <f>IF(H248="Tarrant",(AD248/$AU$1)*'1. UC Assumptions'!$P$42,0)</f>
        <v>0</v>
      </c>
      <c r="AV248" s="183">
        <f>IF(H248="Travis",(AD248/$AV$1)*'1. UC Assumptions'!$Q$42,0)</f>
        <v>0</v>
      </c>
      <c r="AW248" s="183">
        <f>IF(H248="Bexar",(AC248/$AW$1)*'1. UC Assumptions'!$E$44,0)</f>
        <v>0</v>
      </c>
      <c r="AX248" s="183">
        <f>IF(H248="Dallas",(AC248/$AX$1)*'1. UC Assumptions'!$F$44,0)</f>
        <v>0</v>
      </c>
      <c r="AY248" s="183">
        <f>IF(H248="El Paso",(AC248/$AY$1)*'1. UC Assumptions'!$G$44,0)</f>
        <v>0</v>
      </c>
      <c r="AZ248" s="183">
        <f>IF(H248="Harris",(AC248/$AZ$1)*'1. UC Assumptions'!$H$44,0)</f>
        <v>0</v>
      </c>
      <c r="BA248" s="183">
        <f>IF(H248="Hidalgo",(AC248/$BA$1)*'1. UC Assumptions'!$I$44,0)</f>
        <v>0</v>
      </c>
      <c r="BB248" s="183">
        <f>IF(H248="Jefferson",(AC248/$BB$1)*'1. UC Assumptions'!$J$44,0)</f>
        <v>0</v>
      </c>
      <c r="BC248" s="183">
        <f>IF(H248="Lubbock",(AC248/$BC$1)*'1. UC Assumptions'!$K$44,0)</f>
        <v>0</v>
      </c>
      <c r="BD248" s="183">
        <f>IF(H248="MRSA Central",(AC248/$BD$1)*'1. UC Assumptions'!$L$44,0)</f>
        <v>0</v>
      </c>
      <c r="BE248" s="183">
        <f>IF(H248="MRSA Northeast",(AC248/$BE$1)*'1. UC Assumptions'!$M$44,0)</f>
        <v>0</v>
      </c>
      <c r="BF248" s="183">
        <f>IF(H248="MRSA West",(AC248/$BF$1)*'1. UC Assumptions'!$N$44,0)</f>
        <v>0</v>
      </c>
      <c r="BG248" s="183">
        <f>IF(H248="Nueces",(AC248/$BG$1)*'1. UC Assumptions'!$O$44,0)</f>
        <v>0</v>
      </c>
      <c r="BH248" s="183">
        <f>IF(H248="Tarrant",(AC248/$BH$1)*'1. UC Assumptions'!$P$44,0)</f>
        <v>0</v>
      </c>
      <c r="BI248" s="183">
        <f>IF(H248="Travis",(AC248/$BI$1)*'1. UC Assumptions'!$Q$44,0)</f>
        <v>0</v>
      </c>
      <c r="BJ248" s="183">
        <f t="shared" si="48"/>
        <v>0</v>
      </c>
      <c r="BK248" s="183">
        <f t="shared" si="49"/>
        <v>0</v>
      </c>
      <c r="BL248" s="183">
        <f t="shared" si="50"/>
        <v>758991.6</v>
      </c>
      <c r="BM248" s="184">
        <f t="shared" si="51"/>
        <v>653436.47</v>
      </c>
      <c r="BN248" s="184">
        <f>ROUNDDOWN(BM248*'1. UC Assumptions'!$C$23,2)</f>
        <v>215634.03</v>
      </c>
      <c r="BO248" s="184"/>
      <c r="BP248" s="185"/>
      <c r="BQ248" s="32"/>
      <c r="BR248" s="32"/>
    </row>
    <row r="249" spans="1:70">
      <c r="A249" s="177" t="s">
        <v>1651</v>
      </c>
      <c r="B249" s="178" t="s">
        <v>1652</v>
      </c>
      <c r="C249" s="178" t="s">
        <v>1652</v>
      </c>
      <c r="D249" s="179" t="s">
        <v>214</v>
      </c>
      <c r="E249" s="179"/>
      <c r="F249" s="177"/>
      <c r="G249" s="177" t="s">
        <v>1653</v>
      </c>
      <c r="H249" s="178" t="s">
        <v>12</v>
      </c>
      <c r="I249" s="178" t="s">
        <v>476</v>
      </c>
      <c r="J249" s="131">
        <f>IFERROR(INDEX(#REF!,(MATCH('Old Calc Tab'!C:C,#REF!,0))),0)</f>
        <v>0</v>
      </c>
      <c r="K249" s="131">
        <f>IFERROR(INDEX(#REF!,(MATCH('Old Calc Tab'!$C:$C,#REF!,0))),0)</f>
        <v>0</v>
      </c>
      <c r="L249" s="131"/>
      <c r="M249" s="131">
        <v>267015.7732</v>
      </c>
      <c r="N249" s="131">
        <f>IFERROR(INDEX(#REF!,(MATCH('Old Calc Tab'!$C:$C,#REF!,0))),0)</f>
        <v>0</v>
      </c>
      <c r="O249" s="131">
        <f t="shared" si="39"/>
        <v>0</v>
      </c>
      <c r="P249" s="131">
        <f t="shared" si="40"/>
        <v>267015.7732</v>
      </c>
      <c r="Q249" s="131"/>
      <c r="R249" s="131"/>
      <c r="S249" s="131"/>
      <c r="T249" s="131"/>
      <c r="U249" s="131"/>
      <c r="V249" s="131">
        <v>247005</v>
      </c>
      <c r="W249" s="180">
        <v>0</v>
      </c>
      <c r="X249" s="180">
        <f t="shared" si="53"/>
        <v>514020.7732</v>
      </c>
      <c r="Y249" s="181">
        <f>IF(D249="Physician Group Practice",(X249/$AE$369)*'1. UC Assumptions'!$C$15,IF(OR(E249="Rural Hospital",E249="Hosp - State"),X249,(X249/$X$369)*'1. UC Assumptions'!$C$9))</f>
        <v>309370.09844535013</v>
      </c>
      <c r="Z249" s="181">
        <f t="shared" si="42"/>
        <v>0</v>
      </c>
      <c r="AA249" s="181">
        <f t="shared" si="43"/>
        <v>204650.67475464987</v>
      </c>
      <c r="AB249" s="182">
        <f t="shared" si="44"/>
        <v>109.90378602006024</v>
      </c>
      <c r="AC249" s="181">
        <f t="shared" si="45"/>
        <v>204760.57854066993</v>
      </c>
      <c r="AD249" s="181">
        <f t="shared" si="46"/>
        <v>309480.00223137019</v>
      </c>
      <c r="AE249" s="131">
        <v>2842336.74</v>
      </c>
      <c r="AF249" s="131">
        <f>AE249*'1. UC Assumptions'!$C$23</f>
        <v>937971.12419999996</v>
      </c>
      <c r="AG249" s="183">
        <f>IF((((X249-W249-AE249)*'1. UC Assumptions'!$C$23)+AF249)&gt;0,((X249-W249-AE249)*'1. UC Assumptions'!$C$23)+AF249,0)</f>
        <v>169626.85515600001</v>
      </c>
      <c r="AH249" s="183"/>
      <c r="AI249" s="183">
        <f t="shared" si="47"/>
        <v>937971.12419999996</v>
      </c>
      <c r="AJ249" s="183">
        <f>IF(H249="Bexar",(AD249/$AJ$1)*'1. UC Assumptions'!$E$42,0)</f>
        <v>0</v>
      </c>
      <c r="AK249" s="183">
        <f>IF(H249="Dallas",(AD249/$AK$1)*'1. UC Assumptions'!$F$42,0)</f>
        <v>0</v>
      </c>
      <c r="AL249" s="183">
        <f>IF(H249="El Paso",(AD249/$AL$1)*'1. UC Assumptions'!$G$42,0)</f>
        <v>0</v>
      </c>
      <c r="AM249" s="183">
        <f>IF(H249="Harris",(AD249/$AM$1)*'1. UC Assumptions'!$H$42,0)</f>
        <v>0</v>
      </c>
      <c r="AN249" s="183">
        <f>IF(H249="Hidalgo",(AD249/$AN$1)*'1. UC Assumptions'!$I$42,0)</f>
        <v>0</v>
      </c>
      <c r="AO249" s="183">
        <f>IF(H249="Jefferson",(AD249/$AO$1)*'1. UC Assumptions'!$J$42,0)</f>
        <v>0</v>
      </c>
      <c r="AP249" s="183">
        <f>IF(H249="Lubbock",(AD249/$AP$1)*'1. UC Assumptions'!$K$42,0)</f>
        <v>0</v>
      </c>
      <c r="AQ249" s="183">
        <f>IF(H249="MRSA Central",(AD249/$AQ$1)*'1. UC Assumptions'!$L$42,0)</f>
        <v>0</v>
      </c>
      <c r="AR249" s="183">
        <f>IF(H249="MRSA Northeast",(AD249/$AR$1)*'1. UC Assumptions'!$M$42,0)</f>
        <v>0</v>
      </c>
      <c r="AS249" s="183">
        <f>IF(H249="MRSA West",(AD249/$AS$1)*'1. UC Assumptions'!$N$42,0)</f>
        <v>0</v>
      </c>
      <c r="AT249" s="183">
        <f>IF(H249="Nueces",(AD249/$AT$1)*'1. UC Assumptions'!$O$42,0)</f>
        <v>0</v>
      </c>
      <c r="AU249" s="183">
        <f>IF(H249="Tarrant",(AD249/$AU$1)*'1. UC Assumptions'!$P$42,0)</f>
        <v>0</v>
      </c>
      <c r="AV249" s="183">
        <f>IF(H249="Travis",(AD249/$AV$1)*'1. UC Assumptions'!$Q$42,0)</f>
        <v>0</v>
      </c>
      <c r="AW249" s="183">
        <f>IF(H249="Bexar",(AC249/$AW$1)*'1. UC Assumptions'!$E$44,0)</f>
        <v>0</v>
      </c>
      <c r="AX249" s="183">
        <f>IF(H249="Dallas",(AC249/$AX$1)*'1. UC Assumptions'!$F$44,0)</f>
        <v>0</v>
      </c>
      <c r="AY249" s="183">
        <f>IF(H249="El Paso",(AC249/$AY$1)*'1. UC Assumptions'!$G$44,0)</f>
        <v>0</v>
      </c>
      <c r="AZ249" s="183">
        <f>IF(H249="Harris",(AC249/$AZ$1)*'1. UC Assumptions'!$H$44,0)</f>
        <v>0</v>
      </c>
      <c r="BA249" s="183">
        <f>IF(H249="Hidalgo",(AC249/$BA$1)*'1. UC Assumptions'!$I$44,0)</f>
        <v>0</v>
      </c>
      <c r="BB249" s="183">
        <f>IF(H249="Jefferson",(AC249/$BB$1)*'1. UC Assumptions'!$J$44,0)</f>
        <v>0</v>
      </c>
      <c r="BC249" s="183">
        <f>IF(H249="Lubbock",(AC249/$BC$1)*'1. UC Assumptions'!$K$44,0)</f>
        <v>0</v>
      </c>
      <c r="BD249" s="183">
        <f>IF(H249="MRSA Central",(AC249/$BD$1)*'1. UC Assumptions'!$L$44,0)</f>
        <v>0</v>
      </c>
      <c r="BE249" s="183">
        <f>IF(H249="MRSA Northeast",(AC249/$BE$1)*'1. UC Assumptions'!$M$44,0)</f>
        <v>0</v>
      </c>
      <c r="BF249" s="183">
        <f>IF(H249="MRSA West",(AC249/$BF$1)*'1. UC Assumptions'!$N$44,0)</f>
        <v>0</v>
      </c>
      <c r="BG249" s="183">
        <f>IF(H249="Nueces",(AC249/$BG$1)*'1. UC Assumptions'!$O$44,0)</f>
        <v>0</v>
      </c>
      <c r="BH249" s="183">
        <f>IF(H249="Tarrant",(AC249/$BH$1)*'1. UC Assumptions'!$P$44,0)</f>
        <v>0</v>
      </c>
      <c r="BI249" s="183">
        <f>IF(H249="Travis",(AC249/$BI$1)*'1. UC Assumptions'!$Q$44,0)</f>
        <v>0</v>
      </c>
      <c r="BJ249" s="183">
        <f t="shared" si="48"/>
        <v>0</v>
      </c>
      <c r="BK249" s="183">
        <f t="shared" si="49"/>
        <v>0</v>
      </c>
      <c r="BL249" s="183">
        <f t="shared" si="50"/>
        <v>309480.00223137019</v>
      </c>
      <c r="BM249" s="184">
        <f t="shared" si="51"/>
        <v>-2532856.73776863</v>
      </c>
      <c r="BN249" s="184">
        <f>ROUNDDOWN(BM249*'1. UC Assumptions'!$C$23,2)</f>
        <v>-835842.72</v>
      </c>
      <c r="BO249" s="184"/>
      <c r="BP249" s="185"/>
      <c r="BQ249" s="32"/>
      <c r="BR249" s="32"/>
    </row>
    <row r="250" spans="1:70">
      <c r="A250" s="177" t="s">
        <v>1654</v>
      </c>
      <c r="B250" s="178" t="s">
        <v>444</v>
      </c>
      <c r="C250" s="178" t="s">
        <v>444</v>
      </c>
      <c r="D250" s="179" t="s">
        <v>208</v>
      </c>
      <c r="E250" s="179" t="s">
        <v>149</v>
      </c>
      <c r="F250" s="177"/>
      <c r="G250" s="177" t="s">
        <v>445</v>
      </c>
      <c r="H250" s="178" t="s">
        <v>12</v>
      </c>
      <c r="I250" s="178" t="s">
        <v>446</v>
      </c>
      <c r="J250" s="131">
        <f>IFERROR(INDEX(#REF!,(MATCH('Old Calc Tab'!C:C,#REF!,0))),0)</f>
        <v>0</v>
      </c>
      <c r="K250" s="131">
        <f>IFERROR(INDEX(#REF!,(MATCH('Old Calc Tab'!$C:$C,#REF!,0))),0)</f>
        <v>0</v>
      </c>
      <c r="L250" s="131"/>
      <c r="M250" s="131">
        <v>46075.3</v>
      </c>
      <c r="N250" s="131">
        <f>IFERROR(INDEX(#REF!,(MATCH('Old Calc Tab'!$C:$C,#REF!,0))),0)</f>
        <v>0</v>
      </c>
      <c r="O250" s="131">
        <f t="shared" si="39"/>
        <v>0</v>
      </c>
      <c r="P250" s="131">
        <f t="shared" si="40"/>
        <v>46075.3</v>
      </c>
      <c r="Q250" s="131"/>
      <c r="R250" s="131"/>
      <c r="S250" s="131"/>
      <c r="T250" s="131"/>
      <c r="U250" s="131"/>
      <c r="V250" s="131">
        <v>0</v>
      </c>
      <c r="W250" s="180">
        <v>0</v>
      </c>
      <c r="X250" s="180">
        <f t="shared" si="53"/>
        <v>46075.3</v>
      </c>
      <c r="Y250" s="181">
        <f>IF(D250="Physician Group Practice",(X250/$AE$369)*'1. UC Assumptions'!$C$15,IF(OR(E250="Rural Hospital",E250="Hosp - State"),X250,(X250/$X$369)*'1. UC Assumptions'!$C$9))</f>
        <v>46075.3</v>
      </c>
      <c r="Z250" s="181">
        <f t="shared" si="42"/>
        <v>0</v>
      </c>
      <c r="AA250" s="181">
        <f t="shared" si="43"/>
        <v>0</v>
      </c>
      <c r="AB250" s="182">
        <f t="shared" si="44"/>
        <v>0</v>
      </c>
      <c r="AC250" s="181">
        <f t="shared" si="45"/>
        <v>0</v>
      </c>
      <c r="AD250" s="181">
        <f t="shared" si="46"/>
        <v>46075.3</v>
      </c>
      <c r="AE250" s="131">
        <v>147811.84</v>
      </c>
      <c r="AF250" s="131">
        <f>AE250*'1. UC Assumptions'!$C$23</f>
        <v>48777.907199999994</v>
      </c>
      <c r="AG250" s="183">
        <f>IF((((X250-W250-AE250)*'1. UC Assumptions'!$C$23)+AF250)&gt;0,((X250-W250-AE250)*'1. UC Assumptions'!$C$23)+AF250,0)</f>
        <v>15204.849000000002</v>
      </c>
      <c r="AH250" s="183"/>
      <c r="AI250" s="183">
        <f t="shared" si="47"/>
        <v>48777.907199999994</v>
      </c>
      <c r="AJ250" s="183">
        <f>IF(H250="Bexar",(AD250/$AJ$1)*'1. UC Assumptions'!$E$42,0)</f>
        <v>0</v>
      </c>
      <c r="AK250" s="183">
        <f>IF(H250="Dallas",(AD250/$AK$1)*'1. UC Assumptions'!$F$42,0)</f>
        <v>0</v>
      </c>
      <c r="AL250" s="183">
        <f>IF(H250="El Paso",(AD250/$AL$1)*'1. UC Assumptions'!$G$42,0)</f>
        <v>0</v>
      </c>
      <c r="AM250" s="183">
        <f>IF(H250="Harris",(AD250/$AM$1)*'1. UC Assumptions'!$H$42,0)</f>
        <v>0</v>
      </c>
      <c r="AN250" s="183">
        <f>IF(H250="Hidalgo",(AD250/$AN$1)*'1. UC Assumptions'!$I$42,0)</f>
        <v>0</v>
      </c>
      <c r="AO250" s="183">
        <f>IF(H250="Jefferson",(AD250/$AO$1)*'1. UC Assumptions'!$J$42,0)</f>
        <v>0</v>
      </c>
      <c r="AP250" s="183">
        <f>IF(H250="Lubbock",(AD250/$AP$1)*'1. UC Assumptions'!$K$42,0)</f>
        <v>0</v>
      </c>
      <c r="AQ250" s="183">
        <f>IF(H250="MRSA Central",(AD250/$AQ$1)*'1. UC Assumptions'!$L$42,0)</f>
        <v>0</v>
      </c>
      <c r="AR250" s="183">
        <f>IF(H250="MRSA Northeast",(AD250/$AR$1)*'1. UC Assumptions'!$M$42,0)</f>
        <v>0</v>
      </c>
      <c r="AS250" s="183">
        <f>IF(H250="MRSA West",(AD250/$AS$1)*'1. UC Assumptions'!$N$42,0)</f>
        <v>0</v>
      </c>
      <c r="AT250" s="183">
        <f>IF(H250="Nueces",(AD250/$AT$1)*'1. UC Assumptions'!$O$42,0)</f>
        <v>0</v>
      </c>
      <c r="AU250" s="183">
        <f>IF(H250="Tarrant",(AD250/$AU$1)*'1. UC Assumptions'!$P$42,0)</f>
        <v>0</v>
      </c>
      <c r="AV250" s="183">
        <f>IF(H250="Travis",(AD250/$AV$1)*'1. UC Assumptions'!$Q$42,0)</f>
        <v>0</v>
      </c>
      <c r="AW250" s="183">
        <f>IF(H250="Bexar",(AC250/$AW$1)*'1. UC Assumptions'!$E$44,0)</f>
        <v>0</v>
      </c>
      <c r="AX250" s="183">
        <f>IF(H250="Dallas",(AC250/$AX$1)*'1. UC Assumptions'!$F$44,0)</f>
        <v>0</v>
      </c>
      <c r="AY250" s="183">
        <f>IF(H250="El Paso",(AC250/$AY$1)*'1. UC Assumptions'!$G$44,0)</f>
        <v>0</v>
      </c>
      <c r="AZ250" s="183">
        <f>IF(H250="Harris",(AC250/$AZ$1)*'1. UC Assumptions'!$H$44,0)</f>
        <v>0</v>
      </c>
      <c r="BA250" s="183">
        <f>IF(H250="Hidalgo",(AC250/$BA$1)*'1. UC Assumptions'!$I$44,0)</f>
        <v>0</v>
      </c>
      <c r="BB250" s="183">
        <f>IF(H250="Jefferson",(AC250/$BB$1)*'1. UC Assumptions'!$J$44,0)</f>
        <v>0</v>
      </c>
      <c r="BC250" s="183">
        <f>IF(H250="Lubbock",(AC250/$BC$1)*'1. UC Assumptions'!$K$44,0)</f>
        <v>0</v>
      </c>
      <c r="BD250" s="183">
        <f>IF(H250="MRSA Central",(AC250/$BD$1)*'1. UC Assumptions'!$L$44,0)</f>
        <v>0</v>
      </c>
      <c r="BE250" s="183">
        <f>IF(H250="MRSA Northeast",(AC250/$BE$1)*'1. UC Assumptions'!$M$44,0)</f>
        <v>0</v>
      </c>
      <c r="BF250" s="183">
        <f>IF(H250="MRSA West",(AC250/$BF$1)*'1. UC Assumptions'!$N$44,0)</f>
        <v>0</v>
      </c>
      <c r="BG250" s="183">
        <f>IF(H250="Nueces",(AC250/$BG$1)*'1. UC Assumptions'!$O$44,0)</f>
        <v>0</v>
      </c>
      <c r="BH250" s="183">
        <f>IF(H250="Tarrant",(AC250/$BH$1)*'1. UC Assumptions'!$P$44,0)</f>
        <v>0</v>
      </c>
      <c r="BI250" s="183">
        <f>IF(H250="Travis",(AC250/$BI$1)*'1. UC Assumptions'!$Q$44,0)</f>
        <v>0</v>
      </c>
      <c r="BJ250" s="183">
        <f t="shared" si="48"/>
        <v>0</v>
      </c>
      <c r="BK250" s="183">
        <f t="shared" si="49"/>
        <v>0</v>
      </c>
      <c r="BL250" s="183">
        <f t="shared" si="50"/>
        <v>46075.3</v>
      </c>
      <c r="BM250" s="184">
        <f t="shared" si="51"/>
        <v>-101736.54</v>
      </c>
      <c r="BN250" s="184">
        <f>ROUNDDOWN(BM250*'1. UC Assumptions'!$C$23,2)</f>
        <v>-33573.050000000003</v>
      </c>
      <c r="BO250" s="184"/>
      <c r="BP250" s="185"/>
      <c r="BQ250" s="32"/>
      <c r="BR250" s="32"/>
    </row>
    <row r="251" spans="1:70">
      <c r="A251" s="177" t="s">
        <v>1655</v>
      </c>
      <c r="B251" s="178" t="s">
        <v>447</v>
      </c>
      <c r="C251" s="178" t="s">
        <v>447</v>
      </c>
      <c r="D251" s="179" t="s">
        <v>208</v>
      </c>
      <c r="E251" s="179" t="s">
        <v>149</v>
      </c>
      <c r="F251" s="177"/>
      <c r="G251" s="177" t="s">
        <v>448</v>
      </c>
      <c r="H251" s="178" t="s">
        <v>12</v>
      </c>
      <c r="I251" s="178" t="s">
        <v>449</v>
      </c>
      <c r="J251" s="131">
        <f>IFERROR(INDEX(#REF!,(MATCH('Old Calc Tab'!C:C,#REF!,0))),0)</f>
        <v>0</v>
      </c>
      <c r="K251" s="131">
        <f>IFERROR(INDEX(#REF!,(MATCH('Old Calc Tab'!$C:$C,#REF!,0))),0)</f>
        <v>0</v>
      </c>
      <c r="L251" s="131"/>
      <c r="M251" s="131">
        <v>905745.12000000011</v>
      </c>
      <c r="N251" s="131">
        <f>IFERROR(INDEX(#REF!,(MATCH('Old Calc Tab'!$C:$C,#REF!,0))),0)</f>
        <v>0</v>
      </c>
      <c r="O251" s="131">
        <f t="shared" si="39"/>
        <v>0</v>
      </c>
      <c r="P251" s="131">
        <f t="shared" si="40"/>
        <v>905745.12000000011</v>
      </c>
      <c r="Q251" s="131"/>
      <c r="R251" s="131"/>
      <c r="S251" s="131"/>
      <c r="T251" s="131"/>
      <c r="U251" s="131"/>
      <c r="V251" s="131">
        <v>0</v>
      </c>
      <c r="W251" s="180">
        <v>0</v>
      </c>
      <c r="X251" s="180">
        <f t="shared" si="53"/>
        <v>905745.12000000011</v>
      </c>
      <c r="Y251" s="181">
        <f>IF(D251="Physician Group Practice",(X251/$AE$369)*'1. UC Assumptions'!$C$15,IF(OR(E251="Rural Hospital",E251="Hosp - State"),X251,(X251/$X$369)*'1. UC Assumptions'!$C$9))</f>
        <v>905745.12000000011</v>
      </c>
      <c r="Z251" s="181">
        <f t="shared" si="42"/>
        <v>0</v>
      </c>
      <c r="AA251" s="181">
        <f t="shared" si="43"/>
        <v>0</v>
      </c>
      <c r="AB251" s="182">
        <f t="shared" si="44"/>
        <v>0</v>
      </c>
      <c r="AC251" s="181">
        <f t="shared" si="45"/>
        <v>0</v>
      </c>
      <c r="AD251" s="181">
        <f t="shared" si="46"/>
        <v>905745.12000000011</v>
      </c>
      <c r="AE251" s="131">
        <v>73725.600000000006</v>
      </c>
      <c r="AF251" s="131">
        <f>AE251*'1. UC Assumptions'!$C$23</f>
        <v>24329.448</v>
      </c>
      <c r="AG251" s="183">
        <f>IF((((X251-W251-AE251)*'1. UC Assumptions'!$C$23)+AF251)&gt;0,((X251-W251-AE251)*'1. UC Assumptions'!$C$23)+AF251,0)</f>
        <v>298895.88959999999</v>
      </c>
      <c r="AH251" s="183"/>
      <c r="AI251" s="183">
        <f t="shared" si="47"/>
        <v>24329.448</v>
      </c>
      <c r="AJ251" s="183">
        <f>IF(H251="Bexar",(AD251/$AJ$1)*'1. UC Assumptions'!$E$42,0)</f>
        <v>0</v>
      </c>
      <c r="AK251" s="183">
        <f>IF(H251="Dallas",(AD251/$AK$1)*'1. UC Assumptions'!$F$42,0)</f>
        <v>0</v>
      </c>
      <c r="AL251" s="183">
        <f>IF(H251="El Paso",(AD251/$AL$1)*'1. UC Assumptions'!$G$42,0)</f>
        <v>0</v>
      </c>
      <c r="AM251" s="183">
        <f>IF(H251="Harris",(AD251/$AM$1)*'1. UC Assumptions'!$H$42,0)</f>
        <v>0</v>
      </c>
      <c r="AN251" s="183">
        <f>IF(H251="Hidalgo",(AD251/$AN$1)*'1. UC Assumptions'!$I$42,0)</f>
        <v>0</v>
      </c>
      <c r="AO251" s="183">
        <f>IF(H251="Jefferson",(AD251/$AO$1)*'1. UC Assumptions'!$J$42,0)</f>
        <v>0</v>
      </c>
      <c r="AP251" s="183">
        <f>IF(H251="Lubbock",(AD251/$AP$1)*'1. UC Assumptions'!$K$42,0)</f>
        <v>0</v>
      </c>
      <c r="AQ251" s="183">
        <f>IF(H251="MRSA Central",(AD251/$AQ$1)*'1. UC Assumptions'!$L$42,0)</f>
        <v>0</v>
      </c>
      <c r="AR251" s="183">
        <f>IF(H251="MRSA Northeast",(AD251/$AR$1)*'1. UC Assumptions'!$M$42,0)</f>
        <v>0</v>
      </c>
      <c r="AS251" s="183">
        <f>IF(H251="MRSA West",(AD251/$AS$1)*'1. UC Assumptions'!$N$42,0)</f>
        <v>0</v>
      </c>
      <c r="AT251" s="183">
        <f>IF(H251="Nueces",(AD251/$AT$1)*'1. UC Assumptions'!$O$42,0)</f>
        <v>0</v>
      </c>
      <c r="AU251" s="183">
        <f>IF(H251="Tarrant",(AD251/$AU$1)*'1. UC Assumptions'!$P$42,0)</f>
        <v>0</v>
      </c>
      <c r="AV251" s="183">
        <f>IF(H251="Travis",(AD251/$AV$1)*'1. UC Assumptions'!$Q$42,0)</f>
        <v>0</v>
      </c>
      <c r="AW251" s="183">
        <f>IF(H251="Bexar",(AC251/$AW$1)*'1. UC Assumptions'!$E$44,0)</f>
        <v>0</v>
      </c>
      <c r="AX251" s="183">
        <f>IF(H251="Dallas",(AC251/$AX$1)*'1. UC Assumptions'!$F$44,0)</f>
        <v>0</v>
      </c>
      <c r="AY251" s="183">
        <f>IF(H251="El Paso",(AC251/$AY$1)*'1. UC Assumptions'!$G$44,0)</f>
        <v>0</v>
      </c>
      <c r="AZ251" s="183">
        <f>IF(H251="Harris",(AC251/$AZ$1)*'1. UC Assumptions'!$H$44,0)</f>
        <v>0</v>
      </c>
      <c r="BA251" s="183">
        <f>IF(H251="Hidalgo",(AC251/$BA$1)*'1. UC Assumptions'!$I$44,0)</f>
        <v>0</v>
      </c>
      <c r="BB251" s="183">
        <f>IF(H251="Jefferson",(AC251/$BB$1)*'1. UC Assumptions'!$J$44,0)</f>
        <v>0</v>
      </c>
      <c r="BC251" s="183">
        <f>IF(H251="Lubbock",(AC251/$BC$1)*'1. UC Assumptions'!$K$44,0)</f>
        <v>0</v>
      </c>
      <c r="BD251" s="183">
        <f>IF(H251="MRSA Central",(AC251/$BD$1)*'1. UC Assumptions'!$L$44,0)</f>
        <v>0</v>
      </c>
      <c r="BE251" s="183">
        <f>IF(H251="MRSA Northeast",(AC251/$BE$1)*'1. UC Assumptions'!$M$44,0)</f>
        <v>0</v>
      </c>
      <c r="BF251" s="183">
        <f>IF(H251="MRSA West",(AC251/$BF$1)*'1. UC Assumptions'!$N$44,0)</f>
        <v>0</v>
      </c>
      <c r="BG251" s="183">
        <f>IF(H251="Nueces",(AC251/$BG$1)*'1. UC Assumptions'!$O$44,0)</f>
        <v>0</v>
      </c>
      <c r="BH251" s="183">
        <f>IF(H251="Tarrant",(AC251/$BH$1)*'1. UC Assumptions'!$P$44,0)</f>
        <v>0</v>
      </c>
      <c r="BI251" s="183">
        <f>IF(H251="Travis",(AC251/$BI$1)*'1. UC Assumptions'!$Q$44,0)</f>
        <v>0</v>
      </c>
      <c r="BJ251" s="183">
        <f t="shared" si="48"/>
        <v>0</v>
      </c>
      <c r="BK251" s="183">
        <f t="shared" si="49"/>
        <v>0</v>
      </c>
      <c r="BL251" s="183">
        <f t="shared" si="50"/>
        <v>905745.12000000011</v>
      </c>
      <c r="BM251" s="184">
        <f t="shared" si="51"/>
        <v>832019.52000000014</v>
      </c>
      <c r="BN251" s="184">
        <f>ROUNDDOWN(BM251*'1. UC Assumptions'!$C$23,2)</f>
        <v>274566.44</v>
      </c>
      <c r="BO251" s="184"/>
      <c r="BP251" s="185"/>
      <c r="BQ251" s="32"/>
      <c r="BR251" s="32"/>
    </row>
    <row r="252" spans="1:70">
      <c r="A252" s="177" t="s">
        <v>1656</v>
      </c>
      <c r="B252" s="178" t="s">
        <v>1657</v>
      </c>
      <c r="C252" s="178" t="s">
        <v>1657</v>
      </c>
      <c r="D252" s="179" t="s">
        <v>214</v>
      </c>
      <c r="E252" s="179"/>
      <c r="F252" s="177"/>
      <c r="G252" s="177" t="s">
        <v>1658</v>
      </c>
      <c r="H252" s="178" t="s">
        <v>12</v>
      </c>
      <c r="I252" s="178" t="s">
        <v>758</v>
      </c>
      <c r="J252" s="131">
        <f>IFERROR(INDEX(#REF!,(MATCH('Old Calc Tab'!C:C,#REF!,0))),0)</f>
        <v>0</v>
      </c>
      <c r="K252" s="131">
        <f>IFERROR(INDEX(#REF!,(MATCH('Old Calc Tab'!$C:$C,#REF!,0))),0)</f>
        <v>0</v>
      </c>
      <c r="L252" s="131"/>
      <c r="M252" s="131">
        <v>700468.6399999999</v>
      </c>
      <c r="N252" s="131">
        <f>IFERROR(INDEX(#REF!,(MATCH('Old Calc Tab'!$C:$C,#REF!,0))),0)</f>
        <v>0</v>
      </c>
      <c r="O252" s="131">
        <f t="shared" si="39"/>
        <v>0</v>
      </c>
      <c r="P252" s="131">
        <f t="shared" si="40"/>
        <v>700468.6399999999</v>
      </c>
      <c r="Q252" s="131"/>
      <c r="R252" s="131"/>
      <c r="S252" s="131"/>
      <c r="T252" s="131"/>
      <c r="U252" s="131"/>
      <c r="V252" s="131">
        <v>185017</v>
      </c>
      <c r="W252" s="180">
        <v>0</v>
      </c>
      <c r="X252" s="180">
        <f t="shared" si="53"/>
        <v>885485.6399999999</v>
      </c>
      <c r="Y252" s="181">
        <f>IF(D252="Physician Group Practice",(X252/$AE$369)*'1. UC Assumptions'!$C$15,IF(OR(E252="Rural Hospital",E252="Hosp - State"),X252,(X252/$X$369)*'1. UC Assumptions'!$C$9))</f>
        <v>532941.06756295555</v>
      </c>
      <c r="Z252" s="181">
        <f t="shared" si="42"/>
        <v>0</v>
      </c>
      <c r="AA252" s="181">
        <f t="shared" si="43"/>
        <v>352544.57243704435</v>
      </c>
      <c r="AB252" s="182">
        <f t="shared" si="44"/>
        <v>189.32741510921502</v>
      </c>
      <c r="AC252" s="181">
        <f t="shared" si="45"/>
        <v>352733.89985215355</v>
      </c>
      <c r="AD252" s="181">
        <f t="shared" si="46"/>
        <v>533130.39497806481</v>
      </c>
      <c r="AE252" s="131">
        <v>2104335.14</v>
      </c>
      <c r="AF252" s="131">
        <f>AE252*'1. UC Assumptions'!$C$23</f>
        <v>694430.59619999991</v>
      </c>
      <c r="AG252" s="183">
        <f>IF((((X252-W252-AE252)*'1. UC Assumptions'!$C$23)+AF252)&gt;0,((X252-W252-AE252)*'1. UC Assumptions'!$C$23)+AF252,0)</f>
        <v>292210.26119999989</v>
      </c>
      <c r="AH252" s="183"/>
      <c r="AI252" s="183">
        <f t="shared" si="47"/>
        <v>694430.59619999991</v>
      </c>
      <c r="AJ252" s="183">
        <f>IF(H252="Bexar",(AD252/$AJ$1)*'1. UC Assumptions'!$E$42,0)</f>
        <v>0</v>
      </c>
      <c r="AK252" s="183">
        <f>IF(H252="Dallas",(AD252/$AK$1)*'1. UC Assumptions'!$F$42,0)</f>
        <v>0</v>
      </c>
      <c r="AL252" s="183">
        <f>IF(H252="El Paso",(AD252/$AL$1)*'1. UC Assumptions'!$G$42,0)</f>
        <v>0</v>
      </c>
      <c r="AM252" s="183">
        <f>IF(H252="Harris",(AD252/$AM$1)*'1. UC Assumptions'!$H$42,0)</f>
        <v>0</v>
      </c>
      <c r="AN252" s="183">
        <f>IF(H252="Hidalgo",(AD252/$AN$1)*'1. UC Assumptions'!$I$42,0)</f>
        <v>0</v>
      </c>
      <c r="AO252" s="183">
        <f>IF(H252="Jefferson",(AD252/$AO$1)*'1. UC Assumptions'!$J$42,0)</f>
        <v>0</v>
      </c>
      <c r="AP252" s="183">
        <f>IF(H252="Lubbock",(AD252/$AP$1)*'1. UC Assumptions'!$K$42,0)</f>
        <v>0</v>
      </c>
      <c r="AQ252" s="183">
        <f>IF(H252="MRSA Central",(AD252/$AQ$1)*'1. UC Assumptions'!$L$42,0)</f>
        <v>0</v>
      </c>
      <c r="AR252" s="183">
        <f>IF(H252="MRSA Northeast",(AD252/$AR$1)*'1. UC Assumptions'!$M$42,0)</f>
        <v>0</v>
      </c>
      <c r="AS252" s="183">
        <f>IF(H252="MRSA West",(AD252/$AS$1)*'1. UC Assumptions'!$N$42,0)</f>
        <v>0</v>
      </c>
      <c r="AT252" s="183">
        <f>IF(H252="Nueces",(AD252/$AT$1)*'1. UC Assumptions'!$O$42,0)</f>
        <v>0</v>
      </c>
      <c r="AU252" s="183">
        <f>IF(H252="Tarrant",(AD252/$AU$1)*'1. UC Assumptions'!$P$42,0)</f>
        <v>0</v>
      </c>
      <c r="AV252" s="183">
        <f>IF(H252="Travis",(AD252/$AV$1)*'1. UC Assumptions'!$Q$42,0)</f>
        <v>0</v>
      </c>
      <c r="AW252" s="183">
        <f>IF(H252="Bexar",(AC252/$AW$1)*'1. UC Assumptions'!$E$44,0)</f>
        <v>0</v>
      </c>
      <c r="AX252" s="183">
        <f>IF(H252="Dallas",(AC252/$AX$1)*'1. UC Assumptions'!$F$44,0)</f>
        <v>0</v>
      </c>
      <c r="AY252" s="183">
        <f>IF(H252="El Paso",(AC252/$AY$1)*'1. UC Assumptions'!$G$44,0)</f>
        <v>0</v>
      </c>
      <c r="AZ252" s="183">
        <f>IF(H252="Harris",(AC252/$AZ$1)*'1. UC Assumptions'!$H$44,0)</f>
        <v>0</v>
      </c>
      <c r="BA252" s="183">
        <f>IF(H252="Hidalgo",(AC252/$BA$1)*'1. UC Assumptions'!$I$44,0)</f>
        <v>0</v>
      </c>
      <c r="BB252" s="183">
        <f>IF(H252="Jefferson",(AC252/$BB$1)*'1. UC Assumptions'!$J$44,0)</f>
        <v>0</v>
      </c>
      <c r="BC252" s="183">
        <f>IF(H252="Lubbock",(AC252/$BC$1)*'1. UC Assumptions'!$K$44,0)</f>
        <v>0</v>
      </c>
      <c r="BD252" s="183">
        <f>IF(H252="MRSA Central",(AC252/$BD$1)*'1. UC Assumptions'!$L$44,0)</f>
        <v>0</v>
      </c>
      <c r="BE252" s="183">
        <f>IF(H252="MRSA Northeast",(AC252/$BE$1)*'1. UC Assumptions'!$M$44,0)</f>
        <v>0</v>
      </c>
      <c r="BF252" s="183">
        <f>IF(H252="MRSA West",(AC252/$BF$1)*'1. UC Assumptions'!$N$44,0)</f>
        <v>0</v>
      </c>
      <c r="BG252" s="183">
        <f>IF(H252="Nueces",(AC252/$BG$1)*'1. UC Assumptions'!$O$44,0)</f>
        <v>0</v>
      </c>
      <c r="BH252" s="183">
        <f>IF(H252="Tarrant",(AC252/$BH$1)*'1. UC Assumptions'!$P$44,0)</f>
        <v>0</v>
      </c>
      <c r="BI252" s="183">
        <f>IF(H252="Travis",(AC252/$BI$1)*'1. UC Assumptions'!$Q$44,0)</f>
        <v>0</v>
      </c>
      <c r="BJ252" s="183">
        <f t="shared" si="48"/>
        <v>0</v>
      </c>
      <c r="BK252" s="183">
        <f t="shared" si="49"/>
        <v>0</v>
      </c>
      <c r="BL252" s="183">
        <f t="shared" si="50"/>
        <v>533130.39497806481</v>
      </c>
      <c r="BM252" s="184">
        <f t="shared" si="51"/>
        <v>-1571204.7450219353</v>
      </c>
      <c r="BN252" s="184">
        <f>ROUNDDOWN(BM252*'1. UC Assumptions'!$C$23,2)</f>
        <v>-518497.56</v>
      </c>
      <c r="BO252" s="184"/>
      <c r="BP252" s="185"/>
      <c r="BQ252" s="32"/>
      <c r="BR252" s="32"/>
    </row>
    <row r="253" spans="1:70">
      <c r="A253" s="177" t="s">
        <v>1659</v>
      </c>
      <c r="B253" s="177" t="s">
        <v>453</v>
      </c>
      <c r="C253" s="178" t="s">
        <v>453</v>
      </c>
      <c r="D253" s="179" t="s">
        <v>208</v>
      </c>
      <c r="E253" s="179" t="s">
        <v>149</v>
      </c>
      <c r="F253" s="177"/>
      <c r="G253" s="177" t="s">
        <v>454</v>
      </c>
      <c r="H253" s="178" t="s">
        <v>12</v>
      </c>
      <c r="I253" s="178" t="s">
        <v>293</v>
      </c>
      <c r="J253" s="131">
        <f>IFERROR(INDEX(#REF!,(MATCH('Old Calc Tab'!C:C,#REF!,0))),0)</f>
        <v>0</v>
      </c>
      <c r="K253" s="131">
        <f>IFERROR(INDEX(#REF!,(MATCH('Old Calc Tab'!$C:$C,#REF!,0))),0)</f>
        <v>0</v>
      </c>
      <c r="L253" s="131"/>
      <c r="M253" s="131">
        <v>189117.24</v>
      </c>
      <c r="N253" s="131">
        <f>IFERROR(INDEX(#REF!,(MATCH('Old Calc Tab'!$C:$C,#REF!,0))),0)</f>
        <v>0</v>
      </c>
      <c r="O253" s="131">
        <f t="shared" si="39"/>
        <v>0</v>
      </c>
      <c r="P253" s="131">
        <f t="shared" si="40"/>
        <v>189117.24</v>
      </c>
      <c r="Q253" s="131"/>
      <c r="R253" s="131"/>
      <c r="S253" s="131"/>
      <c r="T253" s="131"/>
      <c r="U253" s="131"/>
      <c r="V253" s="131">
        <v>70667.790000000008</v>
      </c>
      <c r="W253" s="180">
        <v>0</v>
      </c>
      <c r="X253" s="180">
        <f t="shared" si="53"/>
        <v>259785.03</v>
      </c>
      <c r="Y253" s="181">
        <f>IF(D253="Physician Group Practice",(X253/$AE$369)*'1. UC Assumptions'!$C$15,IF(OR(E253="Rural Hospital",E253="Hosp - State"),X253,(X253/$X$369)*'1. UC Assumptions'!$C$9))</f>
        <v>259785.03</v>
      </c>
      <c r="Z253" s="181">
        <f t="shared" si="42"/>
        <v>0</v>
      </c>
      <c r="AA253" s="181">
        <f t="shared" si="43"/>
        <v>0</v>
      </c>
      <c r="AB253" s="182">
        <f t="shared" si="44"/>
        <v>0</v>
      </c>
      <c r="AC253" s="181">
        <f t="shared" si="45"/>
        <v>0</v>
      </c>
      <c r="AD253" s="181">
        <f t="shared" si="46"/>
        <v>259785.03</v>
      </c>
      <c r="AE253" s="131">
        <v>272803.74</v>
      </c>
      <c r="AF253" s="131">
        <f>AE253*'1. UC Assumptions'!$C$23</f>
        <v>90025.234199999992</v>
      </c>
      <c r="AG253" s="183">
        <f>IF((((X253-W253-AE253)*'1. UC Assumptions'!$C$23)+AF253)&gt;0,((X253-W253-AE253)*'1. UC Assumptions'!$C$23)+AF253,0)</f>
        <v>85729.059899999993</v>
      </c>
      <c r="AH253" s="183"/>
      <c r="AI253" s="183">
        <f t="shared" si="47"/>
        <v>90025.234199999992</v>
      </c>
      <c r="AJ253" s="183">
        <f>IF(H253="Bexar",(AD253/$AJ$1)*'1. UC Assumptions'!$E$42,0)</f>
        <v>0</v>
      </c>
      <c r="AK253" s="183">
        <f>IF(H253="Dallas",(AD253/$AK$1)*'1. UC Assumptions'!$F$42,0)</f>
        <v>0</v>
      </c>
      <c r="AL253" s="183">
        <f>IF(H253="El Paso",(AD253/$AL$1)*'1. UC Assumptions'!$G$42,0)</f>
        <v>0</v>
      </c>
      <c r="AM253" s="183">
        <f>IF(H253="Harris",(AD253/$AM$1)*'1. UC Assumptions'!$H$42,0)</f>
        <v>0</v>
      </c>
      <c r="AN253" s="183">
        <f>IF(H253="Hidalgo",(AD253/$AN$1)*'1. UC Assumptions'!$I$42,0)</f>
        <v>0</v>
      </c>
      <c r="AO253" s="183">
        <f>IF(H253="Jefferson",(AD253/$AO$1)*'1. UC Assumptions'!$J$42,0)</f>
        <v>0</v>
      </c>
      <c r="AP253" s="183">
        <f>IF(H253="Lubbock",(AD253/$AP$1)*'1. UC Assumptions'!$K$42,0)</f>
        <v>0</v>
      </c>
      <c r="AQ253" s="183">
        <f>IF(H253="MRSA Central",(AD253/$AQ$1)*'1. UC Assumptions'!$L$42,0)</f>
        <v>0</v>
      </c>
      <c r="AR253" s="183">
        <f>IF(H253="MRSA Northeast",(AD253/$AR$1)*'1. UC Assumptions'!$M$42,0)</f>
        <v>0</v>
      </c>
      <c r="AS253" s="183">
        <f>IF(H253="MRSA West",(AD253/$AS$1)*'1. UC Assumptions'!$N$42,0)</f>
        <v>0</v>
      </c>
      <c r="AT253" s="183">
        <f>IF(H253="Nueces",(AD253/$AT$1)*'1. UC Assumptions'!$O$42,0)</f>
        <v>0</v>
      </c>
      <c r="AU253" s="183">
        <f>IF(H253="Tarrant",(AD253/$AU$1)*'1. UC Assumptions'!$P$42,0)</f>
        <v>0</v>
      </c>
      <c r="AV253" s="183">
        <f>IF(H253="Travis",(AD253/$AV$1)*'1. UC Assumptions'!$Q$42,0)</f>
        <v>0</v>
      </c>
      <c r="AW253" s="183">
        <f>IF(H253="Bexar",(AC253/$AW$1)*'1. UC Assumptions'!$E$44,0)</f>
        <v>0</v>
      </c>
      <c r="AX253" s="183">
        <f>IF(H253="Dallas",(AC253/$AX$1)*'1. UC Assumptions'!$F$44,0)</f>
        <v>0</v>
      </c>
      <c r="AY253" s="183">
        <f>IF(H253="El Paso",(AC253/$AY$1)*'1. UC Assumptions'!$G$44,0)</f>
        <v>0</v>
      </c>
      <c r="AZ253" s="183">
        <f>IF(H253="Harris",(AC253/$AZ$1)*'1. UC Assumptions'!$H$44,0)</f>
        <v>0</v>
      </c>
      <c r="BA253" s="183">
        <f>IF(H253="Hidalgo",(AC253/$BA$1)*'1. UC Assumptions'!$I$44,0)</f>
        <v>0</v>
      </c>
      <c r="BB253" s="183">
        <f>IF(H253="Jefferson",(AC253/$BB$1)*'1. UC Assumptions'!$J$44,0)</f>
        <v>0</v>
      </c>
      <c r="BC253" s="183">
        <f>IF(H253="Lubbock",(AC253/$BC$1)*'1. UC Assumptions'!$K$44,0)</f>
        <v>0</v>
      </c>
      <c r="BD253" s="183">
        <f>IF(H253="MRSA Central",(AC253/$BD$1)*'1. UC Assumptions'!$L$44,0)</f>
        <v>0</v>
      </c>
      <c r="BE253" s="183">
        <f>IF(H253="MRSA Northeast",(AC253/$BE$1)*'1. UC Assumptions'!$M$44,0)</f>
        <v>0</v>
      </c>
      <c r="BF253" s="183">
        <f>IF(H253="MRSA West",(AC253/$BF$1)*'1. UC Assumptions'!$N$44,0)</f>
        <v>0</v>
      </c>
      <c r="BG253" s="183">
        <f>IF(H253="Nueces",(AC253/$BG$1)*'1. UC Assumptions'!$O$44,0)</f>
        <v>0</v>
      </c>
      <c r="BH253" s="183">
        <f>IF(H253="Tarrant",(AC253/$BH$1)*'1. UC Assumptions'!$P$44,0)</f>
        <v>0</v>
      </c>
      <c r="BI253" s="183">
        <f>IF(H253="Travis",(AC253/$BI$1)*'1. UC Assumptions'!$Q$44,0)</f>
        <v>0</v>
      </c>
      <c r="BJ253" s="183">
        <f t="shared" si="48"/>
        <v>0</v>
      </c>
      <c r="BK253" s="183">
        <f t="shared" si="49"/>
        <v>0</v>
      </c>
      <c r="BL253" s="183">
        <f t="shared" si="50"/>
        <v>259785.03</v>
      </c>
      <c r="BM253" s="184">
        <f t="shared" si="51"/>
        <v>-13018.709999999992</v>
      </c>
      <c r="BN253" s="184">
        <f>ROUNDDOWN(BM253*'1. UC Assumptions'!$C$23,2)</f>
        <v>-4296.17</v>
      </c>
      <c r="BO253" s="184"/>
      <c r="BP253" s="185"/>
      <c r="BQ253" s="32"/>
      <c r="BR253" s="32"/>
    </row>
    <row r="254" spans="1:70">
      <c r="A254" s="177" t="s">
        <v>1660</v>
      </c>
      <c r="B254" s="178" t="s">
        <v>455</v>
      </c>
      <c r="C254" s="178" t="s">
        <v>455</v>
      </c>
      <c r="D254" s="179" t="s">
        <v>214</v>
      </c>
      <c r="E254" s="179"/>
      <c r="F254" s="177"/>
      <c r="G254" s="177" t="s">
        <v>456</v>
      </c>
      <c r="H254" s="178" t="s">
        <v>12</v>
      </c>
      <c r="I254" s="178" t="s">
        <v>457</v>
      </c>
      <c r="J254" s="131">
        <f>IFERROR(INDEX(#REF!,(MATCH('Old Calc Tab'!C:C,#REF!,0))),0)</f>
        <v>0</v>
      </c>
      <c r="K254" s="131">
        <f>IFERROR(INDEX(#REF!,(MATCH('Old Calc Tab'!$C:$C,#REF!,0))),0)</f>
        <v>0</v>
      </c>
      <c r="L254" s="131"/>
      <c r="M254" s="131">
        <v>288844.36</v>
      </c>
      <c r="N254" s="131">
        <f>IFERROR(INDEX(#REF!,(MATCH('Old Calc Tab'!$C:$C,#REF!,0))),0)</f>
        <v>0</v>
      </c>
      <c r="O254" s="131">
        <f t="shared" si="39"/>
        <v>0</v>
      </c>
      <c r="P254" s="131">
        <f t="shared" si="40"/>
        <v>288844.36</v>
      </c>
      <c r="Q254" s="131"/>
      <c r="R254" s="131"/>
      <c r="S254" s="131"/>
      <c r="T254" s="131"/>
      <c r="U254" s="131"/>
      <c r="V254" s="131">
        <v>0</v>
      </c>
      <c r="W254" s="180">
        <v>0</v>
      </c>
      <c r="X254" s="180">
        <f t="shared" si="53"/>
        <v>288844.36</v>
      </c>
      <c r="Y254" s="181">
        <f>IF(D254="Physician Group Practice",(X254/$AE$369)*'1. UC Assumptions'!$C$15,IF(OR(E254="Rural Hospital",E254="Hosp - State"),X254,(X254/$X$369)*'1. UC Assumptions'!$C$9))</f>
        <v>173844.74081131196</v>
      </c>
      <c r="Z254" s="181">
        <f t="shared" si="42"/>
        <v>0</v>
      </c>
      <c r="AA254" s="181">
        <f t="shared" si="43"/>
        <v>114999.61918868803</v>
      </c>
      <c r="AB254" s="182">
        <f t="shared" si="44"/>
        <v>61.75837707280666</v>
      </c>
      <c r="AC254" s="181">
        <f t="shared" si="45"/>
        <v>115061.37756576083</v>
      </c>
      <c r="AD254" s="181">
        <f t="shared" si="46"/>
        <v>173906.49918838477</v>
      </c>
      <c r="AE254" s="131">
        <v>3460760.59</v>
      </c>
      <c r="AF254" s="131">
        <f>AE254*'1. UC Assumptions'!$C$23</f>
        <v>1142050.9946999999</v>
      </c>
      <c r="AG254" s="183">
        <f>IF((((X254-W254-AE254)*'1. UC Assumptions'!$C$23)+AF254)&gt;0,((X254-W254-AE254)*'1. UC Assumptions'!$C$23)+AF254,0)</f>
        <v>95318.638800000073</v>
      </c>
      <c r="AH254" s="183"/>
      <c r="AI254" s="183">
        <f t="shared" si="47"/>
        <v>1142050.9946999999</v>
      </c>
      <c r="AJ254" s="183">
        <f>IF(H254="Bexar",(AD254/$AJ$1)*'1. UC Assumptions'!$E$42,0)</f>
        <v>0</v>
      </c>
      <c r="AK254" s="183">
        <f>IF(H254="Dallas",(AD254/$AK$1)*'1. UC Assumptions'!$F$42,0)</f>
        <v>0</v>
      </c>
      <c r="AL254" s="183">
        <f>IF(H254="El Paso",(AD254/$AL$1)*'1. UC Assumptions'!$G$42,0)</f>
        <v>0</v>
      </c>
      <c r="AM254" s="183">
        <f>IF(H254="Harris",(AD254/$AM$1)*'1. UC Assumptions'!$H$42,0)</f>
        <v>0</v>
      </c>
      <c r="AN254" s="183">
        <f>IF(H254="Hidalgo",(AD254/$AN$1)*'1. UC Assumptions'!$I$42,0)</f>
        <v>0</v>
      </c>
      <c r="AO254" s="183">
        <f>IF(H254="Jefferson",(AD254/$AO$1)*'1. UC Assumptions'!$J$42,0)</f>
        <v>0</v>
      </c>
      <c r="AP254" s="183">
        <f>IF(H254="Lubbock",(AD254/$AP$1)*'1. UC Assumptions'!$K$42,0)</f>
        <v>0</v>
      </c>
      <c r="AQ254" s="183">
        <f>IF(H254="MRSA Central",(AD254/$AQ$1)*'1. UC Assumptions'!$L$42,0)</f>
        <v>0</v>
      </c>
      <c r="AR254" s="183">
        <f>IF(H254="MRSA Northeast",(AD254/$AR$1)*'1. UC Assumptions'!$M$42,0)</f>
        <v>0</v>
      </c>
      <c r="AS254" s="183">
        <f>IF(H254="MRSA West",(AD254/$AS$1)*'1. UC Assumptions'!$N$42,0)</f>
        <v>0</v>
      </c>
      <c r="AT254" s="183">
        <f>IF(H254="Nueces",(AD254/$AT$1)*'1. UC Assumptions'!$O$42,0)</f>
        <v>0</v>
      </c>
      <c r="AU254" s="183">
        <f>IF(H254="Tarrant",(AD254/$AU$1)*'1. UC Assumptions'!$P$42,0)</f>
        <v>0</v>
      </c>
      <c r="AV254" s="183">
        <f>IF(H254="Travis",(AD254/$AV$1)*'1. UC Assumptions'!$Q$42,0)</f>
        <v>0</v>
      </c>
      <c r="AW254" s="183">
        <f>IF(H254="Bexar",(AC254/$AW$1)*'1. UC Assumptions'!$E$44,0)</f>
        <v>0</v>
      </c>
      <c r="AX254" s="183">
        <f>IF(H254="Dallas",(AC254/$AX$1)*'1. UC Assumptions'!$F$44,0)</f>
        <v>0</v>
      </c>
      <c r="AY254" s="183">
        <f>IF(H254="El Paso",(AC254/$AY$1)*'1. UC Assumptions'!$G$44,0)</f>
        <v>0</v>
      </c>
      <c r="AZ254" s="183">
        <f>IF(H254="Harris",(AC254/$AZ$1)*'1. UC Assumptions'!$H$44,0)</f>
        <v>0</v>
      </c>
      <c r="BA254" s="183">
        <f>IF(H254="Hidalgo",(AC254/$BA$1)*'1. UC Assumptions'!$I$44,0)</f>
        <v>0</v>
      </c>
      <c r="BB254" s="183">
        <f>IF(H254="Jefferson",(AC254/$BB$1)*'1. UC Assumptions'!$J$44,0)</f>
        <v>0</v>
      </c>
      <c r="BC254" s="183">
        <f>IF(H254="Lubbock",(AC254/$BC$1)*'1. UC Assumptions'!$K$44,0)</f>
        <v>0</v>
      </c>
      <c r="BD254" s="183">
        <f>IF(H254="MRSA Central",(AC254/$BD$1)*'1. UC Assumptions'!$L$44,0)</f>
        <v>0</v>
      </c>
      <c r="BE254" s="183">
        <f>IF(H254="MRSA Northeast",(AC254/$BE$1)*'1. UC Assumptions'!$M$44,0)</f>
        <v>0</v>
      </c>
      <c r="BF254" s="183">
        <f>IF(H254="MRSA West",(AC254/$BF$1)*'1. UC Assumptions'!$N$44,0)</f>
        <v>0</v>
      </c>
      <c r="BG254" s="183">
        <f>IF(H254="Nueces",(AC254/$BG$1)*'1. UC Assumptions'!$O$44,0)</f>
        <v>0</v>
      </c>
      <c r="BH254" s="183">
        <f>IF(H254="Tarrant",(AC254/$BH$1)*'1. UC Assumptions'!$P$44,0)</f>
        <v>0</v>
      </c>
      <c r="BI254" s="183">
        <f>IF(H254="Travis",(AC254/$BI$1)*'1. UC Assumptions'!$Q$44,0)</f>
        <v>0</v>
      </c>
      <c r="BJ254" s="183">
        <f t="shared" si="48"/>
        <v>0</v>
      </c>
      <c r="BK254" s="183">
        <f t="shared" si="49"/>
        <v>0</v>
      </c>
      <c r="BL254" s="183">
        <f t="shared" si="50"/>
        <v>173906.49918838477</v>
      </c>
      <c r="BM254" s="184">
        <f t="shared" si="51"/>
        <v>-3286854.0908116149</v>
      </c>
      <c r="BN254" s="184">
        <f>ROUNDDOWN(BM254*'1. UC Assumptions'!$C$23,2)</f>
        <v>-1084661.8400000001</v>
      </c>
      <c r="BO254" s="184"/>
      <c r="BP254" s="185"/>
      <c r="BQ254" s="32"/>
      <c r="BR254" s="32"/>
    </row>
    <row r="255" spans="1:70">
      <c r="A255" s="177" t="s">
        <v>1661</v>
      </c>
      <c r="B255" s="177" t="s">
        <v>469</v>
      </c>
      <c r="C255" s="178" t="s">
        <v>469</v>
      </c>
      <c r="D255" s="179" t="s">
        <v>208</v>
      </c>
      <c r="E255" s="179" t="s">
        <v>149</v>
      </c>
      <c r="F255" s="177"/>
      <c r="G255" s="177" t="s">
        <v>1662</v>
      </c>
      <c r="H255" s="178" t="s">
        <v>12</v>
      </c>
      <c r="I255" s="178" t="s">
        <v>471</v>
      </c>
      <c r="J255" s="131">
        <f>IFERROR(INDEX(#REF!,(MATCH('Old Calc Tab'!C:C,#REF!,0))),0)</f>
        <v>0</v>
      </c>
      <c r="K255" s="131">
        <f>IFERROR(INDEX(#REF!,(MATCH('Old Calc Tab'!$C:$C,#REF!,0))),0)</f>
        <v>0</v>
      </c>
      <c r="L255" s="131"/>
      <c r="M255" s="131">
        <v>110000</v>
      </c>
      <c r="N255" s="131">
        <f>IFERROR(INDEX(#REF!,(MATCH('Old Calc Tab'!$C:$C,#REF!,0))),0)</f>
        <v>0</v>
      </c>
      <c r="O255" s="131">
        <f t="shared" si="39"/>
        <v>0</v>
      </c>
      <c r="P255" s="131">
        <f t="shared" si="40"/>
        <v>110000</v>
      </c>
      <c r="Q255" s="131"/>
      <c r="R255" s="131"/>
      <c r="S255" s="131"/>
      <c r="T255" s="131"/>
      <c r="U255" s="131"/>
      <c r="V255" s="131">
        <v>0</v>
      </c>
      <c r="W255" s="180">
        <v>0</v>
      </c>
      <c r="X255" s="180">
        <f t="shared" si="53"/>
        <v>110000</v>
      </c>
      <c r="Y255" s="181">
        <f>IF(D255="Physician Group Practice",(X255/$AE$369)*'1. UC Assumptions'!$C$15,IF(OR(E255="Rural Hospital",E255="Hosp - State"),X255,(X255/$X$369)*'1. UC Assumptions'!$C$9))</f>
        <v>110000</v>
      </c>
      <c r="Z255" s="181">
        <f t="shared" si="42"/>
        <v>0</v>
      </c>
      <c r="AA255" s="181">
        <f t="shared" si="43"/>
        <v>0</v>
      </c>
      <c r="AB255" s="182">
        <f t="shared" si="44"/>
        <v>0</v>
      </c>
      <c r="AC255" s="181">
        <f t="shared" si="45"/>
        <v>0</v>
      </c>
      <c r="AD255" s="181">
        <f t="shared" si="46"/>
        <v>110000</v>
      </c>
      <c r="AE255" s="131">
        <v>100313.78</v>
      </c>
      <c r="AF255" s="131">
        <f>AE255*'1. UC Assumptions'!$C$23</f>
        <v>33103.547399999996</v>
      </c>
      <c r="AG255" s="183">
        <f>IF((((X255-W255-AE255)*'1. UC Assumptions'!$C$23)+AF255)&gt;0,((X255-W255-AE255)*'1. UC Assumptions'!$C$23)+AF255,0)</f>
        <v>36299.999999999993</v>
      </c>
      <c r="AH255" s="183"/>
      <c r="AI255" s="183">
        <f t="shared" si="47"/>
        <v>33103.547399999996</v>
      </c>
      <c r="AJ255" s="183">
        <f>IF(H255="Bexar",(AD255/$AJ$1)*'1. UC Assumptions'!$E$42,0)</f>
        <v>0</v>
      </c>
      <c r="AK255" s="183">
        <f>IF(H255="Dallas",(AD255/$AK$1)*'1. UC Assumptions'!$F$42,0)</f>
        <v>0</v>
      </c>
      <c r="AL255" s="183">
        <f>IF(H255="El Paso",(AD255/$AL$1)*'1. UC Assumptions'!$G$42,0)</f>
        <v>0</v>
      </c>
      <c r="AM255" s="183">
        <f>IF(H255="Harris",(AD255/$AM$1)*'1. UC Assumptions'!$H$42,0)</f>
        <v>0</v>
      </c>
      <c r="AN255" s="183">
        <f>IF(H255="Hidalgo",(AD255/$AN$1)*'1. UC Assumptions'!$I$42,0)</f>
        <v>0</v>
      </c>
      <c r="AO255" s="183">
        <f>IF(H255="Jefferson",(AD255/$AO$1)*'1. UC Assumptions'!$J$42,0)</f>
        <v>0</v>
      </c>
      <c r="AP255" s="183">
        <f>IF(H255="Lubbock",(AD255/$AP$1)*'1. UC Assumptions'!$K$42,0)</f>
        <v>0</v>
      </c>
      <c r="AQ255" s="183">
        <f>IF(H255="MRSA Central",(AD255/$AQ$1)*'1. UC Assumptions'!$L$42,0)</f>
        <v>0</v>
      </c>
      <c r="AR255" s="183">
        <f>IF(H255="MRSA Northeast",(AD255/$AR$1)*'1. UC Assumptions'!$M$42,0)</f>
        <v>0</v>
      </c>
      <c r="AS255" s="183">
        <f>IF(H255="MRSA West",(AD255/$AS$1)*'1. UC Assumptions'!$N$42,0)</f>
        <v>0</v>
      </c>
      <c r="AT255" s="183">
        <f>IF(H255="Nueces",(AD255/$AT$1)*'1. UC Assumptions'!$O$42,0)</f>
        <v>0</v>
      </c>
      <c r="AU255" s="183">
        <f>IF(H255="Tarrant",(AD255/$AU$1)*'1. UC Assumptions'!$P$42,0)</f>
        <v>0</v>
      </c>
      <c r="AV255" s="183">
        <f>IF(H255="Travis",(AD255/$AV$1)*'1. UC Assumptions'!$Q$42,0)</f>
        <v>0</v>
      </c>
      <c r="AW255" s="183">
        <f>IF(H255="Bexar",(AC255/$AW$1)*'1. UC Assumptions'!$E$44,0)</f>
        <v>0</v>
      </c>
      <c r="AX255" s="183">
        <f>IF(H255="Dallas",(AC255/$AX$1)*'1. UC Assumptions'!$F$44,0)</f>
        <v>0</v>
      </c>
      <c r="AY255" s="183">
        <f>IF(H255="El Paso",(AC255/$AY$1)*'1. UC Assumptions'!$G$44,0)</f>
        <v>0</v>
      </c>
      <c r="AZ255" s="183">
        <f>IF(H255="Harris",(AC255/$AZ$1)*'1. UC Assumptions'!$H$44,0)</f>
        <v>0</v>
      </c>
      <c r="BA255" s="183">
        <f>IF(H255="Hidalgo",(AC255/$BA$1)*'1. UC Assumptions'!$I$44,0)</f>
        <v>0</v>
      </c>
      <c r="BB255" s="183">
        <f>IF(H255="Jefferson",(AC255/$BB$1)*'1. UC Assumptions'!$J$44,0)</f>
        <v>0</v>
      </c>
      <c r="BC255" s="183">
        <f>IF(H255="Lubbock",(AC255/$BC$1)*'1. UC Assumptions'!$K$44,0)</f>
        <v>0</v>
      </c>
      <c r="BD255" s="183">
        <f>IF(H255="MRSA Central",(AC255/$BD$1)*'1. UC Assumptions'!$L$44,0)</f>
        <v>0</v>
      </c>
      <c r="BE255" s="183">
        <f>IF(H255="MRSA Northeast",(AC255/$BE$1)*'1. UC Assumptions'!$M$44,0)</f>
        <v>0</v>
      </c>
      <c r="BF255" s="183">
        <f>IF(H255="MRSA West",(AC255/$BF$1)*'1. UC Assumptions'!$N$44,0)</f>
        <v>0</v>
      </c>
      <c r="BG255" s="183">
        <f>IF(H255="Nueces",(AC255/$BG$1)*'1. UC Assumptions'!$O$44,0)</f>
        <v>0</v>
      </c>
      <c r="BH255" s="183">
        <f>IF(H255="Tarrant",(AC255/$BH$1)*'1. UC Assumptions'!$P$44,0)</f>
        <v>0</v>
      </c>
      <c r="BI255" s="183">
        <f>IF(H255="Travis",(AC255/$BI$1)*'1. UC Assumptions'!$Q$44,0)</f>
        <v>0</v>
      </c>
      <c r="BJ255" s="183">
        <f t="shared" si="48"/>
        <v>0</v>
      </c>
      <c r="BK255" s="183">
        <f t="shared" si="49"/>
        <v>0</v>
      </c>
      <c r="BL255" s="183">
        <f t="shared" si="50"/>
        <v>110000</v>
      </c>
      <c r="BM255" s="184">
        <f t="shared" si="51"/>
        <v>9686.2200000000012</v>
      </c>
      <c r="BN255" s="184">
        <f>ROUNDDOWN(BM255*'1. UC Assumptions'!$C$23,2)</f>
        <v>3196.45</v>
      </c>
      <c r="BO255" s="184"/>
      <c r="BP255" s="185"/>
      <c r="BQ255" s="32"/>
      <c r="BR255" s="32"/>
    </row>
    <row r="256" spans="1:70">
      <c r="A256" s="177" t="s">
        <v>1663</v>
      </c>
      <c r="B256" s="178" t="s">
        <v>481</v>
      </c>
      <c r="C256" s="178" t="s">
        <v>481</v>
      </c>
      <c r="D256" s="179" t="s">
        <v>208</v>
      </c>
      <c r="E256" s="179" t="s">
        <v>149</v>
      </c>
      <c r="F256" s="177"/>
      <c r="G256" s="177" t="s">
        <v>482</v>
      </c>
      <c r="H256" s="178" t="s">
        <v>12</v>
      </c>
      <c r="I256" s="178" t="s">
        <v>483</v>
      </c>
      <c r="J256" s="131">
        <f>IFERROR(INDEX(#REF!,(MATCH('Old Calc Tab'!C:C,#REF!,0))),0)</f>
        <v>0</v>
      </c>
      <c r="K256" s="131">
        <f>IFERROR(INDEX(#REF!,(MATCH('Old Calc Tab'!$C:$C,#REF!,0))),0)</f>
        <v>0</v>
      </c>
      <c r="L256" s="131"/>
      <c r="M256" s="131">
        <v>753061.3</v>
      </c>
      <c r="N256" s="131">
        <f>IFERROR(INDEX(#REF!,(MATCH('Old Calc Tab'!$C:$C,#REF!,0))),0)</f>
        <v>0</v>
      </c>
      <c r="O256" s="131">
        <f t="shared" si="39"/>
        <v>0</v>
      </c>
      <c r="P256" s="131">
        <f t="shared" si="40"/>
        <v>753061.3</v>
      </c>
      <c r="Q256" s="131"/>
      <c r="R256" s="131"/>
      <c r="S256" s="131"/>
      <c r="T256" s="131"/>
      <c r="U256" s="131"/>
      <c r="V256" s="131">
        <v>0</v>
      </c>
      <c r="W256" s="180">
        <v>0</v>
      </c>
      <c r="X256" s="180">
        <f t="shared" si="53"/>
        <v>753061.3</v>
      </c>
      <c r="Y256" s="181">
        <f>IF(D256="Physician Group Practice",(X256/$AE$369)*'1. UC Assumptions'!$C$15,IF(OR(E256="Rural Hospital",E256="Hosp - State"),X256,(X256/$X$369)*'1. UC Assumptions'!$C$9))</f>
        <v>753061.3</v>
      </c>
      <c r="Z256" s="181">
        <f t="shared" si="42"/>
        <v>0</v>
      </c>
      <c r="AA256" s="181">
        <f t="shared" si="43"/>
        <v>0</v>
      </c>
      <c r="AB256" s="182">
        <f t="shared" si="44"/>
        <v>0</v>
      </c>
      <c r="AC256" s="181">
        <f t="shared" si="45"/>
        <v>0</v>
      </c>
      <c r="AD256" s="181">
        <f t="shared" si="46"/>
        <v>753061.3</v>
      </c>
      <c r="AE256" s="131">
        <v>306755.32</v>
      </c>
      <c r="AF256" s="131">
        <f>AE256*'1. UC Assumptions'!$C$23</f>
        <v>101229.25559999999</v>
      </c>
      <c r="AG256" s="183">
        <f>IF((((X256-W256-AE256)*'1. UC Assumptions'!$C$23)+AF256)&gt;0,((X256-W256-AE256)*'1. UC Assumptions'!$C$23)+AF256,0)</f>
        <v>248510.22899999999</v>
      </c>
      <c r="AH256" s="183"/>
      <c r="AI256" s="183">
        <f t="shared" si="47"/>
        <v>101229.25559999999</v>
      </c>
      <c r="AJ256" s="183">
        <f>IF(H256="Bexar",(AD256/$AJ$1)*'1. UC Assumptions'!$E$42,0)</f>
        <v>0</v>
      </c>
      <c r="AK256" s="183">
        <f>IF(H256="Dallas",(AD256/$AK$1)*'1. UC Assumptions'!$F$42,0)</f>
        <v>0</v>
      </c>
      <c r="AL256" s="183">
        <f>IF(H256="El Paso",(AD256/$AL$1)*'1. UC Assumptions'!$G$42,0)</f>
        <v>0</v>
      </c>
      <c r="AM256" s="183">
        <f>IF(H256="Harris",(AD256/$AM$1)*'1. UC Assumptions'!$H$42,0)</f>
        <v>0</v>
      </c>
      <c r="AN256" s="183">
        <f>IF(H256="Hidalgo",(AD256/$AN$1)*'1. UC Assumptions'!$I$42,0)</f>
        <v>0</v>
      </c>
      <c r="AO256" s="183">
        <f>IF(H256="Jefferson",(AD256/$AO$1)*'1. UC Assumptions'!$J$42,0)</f>
        <v>0</v>
      </c>
      <c r="AP256" s="183">
        <f>IF(H256="Lubbock",(AD256/$AP$1)*'1. UC Assumptions'!$K$42,0)</f>
        <v>0</v>
      </c>
      <c r="AQ256" s="183">
        <f>IF(H256="MRSA Central",(AD256/$AQ$1)*'1. UC Assumptions'!$L$42,0)</f>
        <v>0</v>
      </c>
      <c r="AR256" s="183">
        <f>IF(H256="MRSA Northeast",(AD256/$AR$1)*'1. UC Assumptions'!$M$42,0)</f>
        <v>0</v>
      </c>
      <c r="AS256" s="183">
        <f>IF(H256="MRSA West",(AD256/$AS$1)*'1. UC Assumptions'!$N$42,0)</f>
        <v>0</v>
      </c>
      <c r="AT256" s="183">
        <f>IF(H256="Nueces",(AD256/$AT$1)*'1. UC Assumptions'!$O$42,0)</f>
        <v>0</v>
      </c>
      <c r="AU256" s="183">
        <f>IF(H256="Tarrant",(AD256/$AU$1)*'1. UC Assumptions'!$P$42,0)</f>
        <v>0</v>
      </c>
      <c r="AV256" s="183">
        <f>IF(H256="Travis",(AD256/$AV$1)*'1. UC Assumptions'!$Q$42,0)</f>
        <v>0</v>
      </c>
      <c r="AW256" s="183">
        <f>IF(H256="Bexar",(AC256/$AW$1)*'1. UC Assumptions'!$E$44,0)</f>
        <v>0</v>
      </c>
      <c r="AX256" s="183">
        <f>IF(H256="Dallas",(AC256/$AX$1)*'1. UC Assumptions'!$F$44,0)</f>
        <v>0</v>
      </c>
      <c r="AY256" s="183">
        <f>IF(H256="El Paso",(AC256/$AY$1)*'1. UC Assumptions'!$G$44,0)</f>
        <v>0</v>
      </c>
      <c r="AZ256" s="183">
        <f>IF(H256="Harris",(AC256/$AZ$1)*'1. UC Assumptions'!$H$44,0)</f>
        <v>0</v>
      </c>
      <c r="BA256" s="183">
        <f>IF(H256="Hidalgo",(AC256/$BA$1)*'1. UC Assumptions'!$I$44,0)</f>
        <v>0</v>
      </c>
      <c r="BB256" s="183">
        <f>IF(H256="Jefferson",(AC256/$BB$1)*'1. UC Assumptions'!$J$44,0)</f>
        <v>0</v>
      </c>
      <c r="BC256" s="183">
        <f>IF(H256="Lubbock",(AC256/$BC$1)*'1. UC Assumptions'!$K$44,0)</f>
        <v>0</v>
      </c>
      <c r="BD256" s="183">
        <f>IF(H256="MRSA Central",(AC256/$BD$1)*'1. UC Assumptions'!$L$44,0)</f>
        <v>0</v>
      </c>
      <c r="BE256" s="183">
        <f>IF(H256="MRSA Northeast",(AC256/$BE$1)*'1. UC Assumptions'!$M$44,0)</f>
        <v>0</v>
      </c>
      <c r="BF256" s="183">
        <f>IF(H256="MRSA West",(AC256/$BF$1)*'1. UC Assumptions'!$N$44,0)</f>
        <v>0</v>
      </c>
      <c r="BG256" s="183">
        <f>IF(H256="Nueces",(AC256/$BG$1)*'1. UC Assumptions'!$O$44,0)</f>
        <v>0</v>
      </c>
      <c r="BH256" s="183">
        <f>IF(H256="Tarrant",(AC256/$BH$1)*'1. UC Assumptions'!$P$44,0)</f>
        <v>0</v>
      </c>
      <c r="BI256" s="183">
        <f>IF(H256="Travis",(AC256/$BI$1)*'1. UC Assumptions'!$Q$44,0)</f>
        <v>0</v>
      </c>
      <c r="BJ256" s="183">
        <f t="shared" si="48"/>
        <v>0</v>
      </c>
      <c r="BK256" s="183">
        <f t="shared" si="49"/>
        <v>0</v>
      </c>
      <c r="BL256" s="183">
        <f t="shared" si="50"/>
        <v>753061.3</v>
      </c>
      <c r="BM256" s="184">
        <f t="shared" si="51"/>
        <v>446305.98000000004</v>
      </c>
      <c r="BN256" s="184">
        <f>ROUNDDOWN(BM256*'1. UC Assumptions'!$C$23,2)</f>
        <v>147280.97</v>
      </c>
      <c r="BO256" s="184"/>
      <c r="BP256" s="185"/>
      <c r="BQ256" s="32"/>
      <c r="BR256" s="32"/>
    </row>
    <row r="257" spans="1:70">
      <c r="A257" s="177" t="s">
        <v>1664</v>
      </c>
      <c r="B257" s="177" t="s">
        <v>484</v>
      </c>
      <c r="C257" s="178" t="s">
        <v>484</v>
      </c>
      <c r="D257" s="179" t="s">
        <v>208</v>
      </c>
      <c r="E257" s="179" t="s">
        <v>149</v>
      </c>
      <c r="F257" s="177"/>
      <c r="G257" s="177" t="s">
        <v>485</v>
      </c>
      <c r="H257" s="178" t="s">
        <v>12</v>
      </c>
      <c r="I257" s="178" t="s">
        <v>486</v>
      </c>
      <c r="J257" s="131">
        <f>IFERROR(INDEX(#REF!,(MATCH('Old Calc Tab'!C:C,#REF!,0))),0)</f>
        <v>0</v>
      </c>
      <c r="K257" s="131">
        <f>IFERROR(INDEX(#REF!,(MATCH('Old Calc Tab'!$C:$C,#REF!,0))),0)</f>
        <v>0</v>
      </c>
      <c r="L257" s="131"/>
      <c r="M257" s="131">
        <v>1710417.5</v>
      </c>
      <c r="N257" s="131">
        <f>IFERROR(INDEX(#REF!,(MATCH('Old Calc Tab'!$C:$C,#REF!,0))),0)</f>
        <v>0</v>
      </c>
      <c r="O257" s="131">
        <f t="shared" si="39"/>
        <v>0</v>
      </c>
      <c r="P257" s="131">
        <f t="shared" si="40"/>
        <v>1710417.5</v>
      </c>
      <c r="Q257" s="131"/>
      <c r="R257" s="131"/>
      <c r="S257" s="131"/>
      <c r="T257" s="131"/>
      <c r="U257" s="131"/>
      <c r="V257" s="131">
        <v>417206</v>
      </c>
      <c r="W257" s="180">
        <v>0</v>
      </c>
      <c r="X257" s="180">
        <f t="shared" si="53"/>
        <v>2127623.5</v>
      </c>
      <c r="Y257" s="181">
        <f>IF(D257="Physician Group Practice",(X257/$AE$369)*'1. UC Assumptions'!$C$15,IF(OR(E257="Rural Hospital",E257="Hosp - State"),X257,(X257/$X$369)*'1. UC Assumptions'!$C$9))</f>
        <v>2127623.5</v>
      </c>
      <c r="Z257" s="181">
        <f t="shared" si="42"/>
        <v>0</v>
      </c>
      <c r="AA257" s="181">
        <f t="shared" si="43"/>
        <v>0</v>
      </c>
      <c r="AB257" s="182">
        <f t="shared" si="44"/>
        <v>0</v>
      </c>
      <c r="AC257" s="181">
        <f t="shared" si="45"/>
        <v>0</v>
      </c>
      <c r="AD257" s="181">
        <f t="shared" si="46"/>
        <v>2127623.5</v>
      </c>
      <c r="AE257" s="131">
        <v>1967549.36</v>
      </c>
      <c r="AF257" s="131">
        <f>AE257*'1. UC Assumptions'!$C$23</f>
        <v>649291.28879999998</v>
      </c>
      <c r="AG257" s="183">
        <f>IF((((X257-W257-AE257)*'1. UC Assumptions'!$C$23)+AF257)&gt;0,((X257-W257-AE257)*'1. UC Assumptions'!$C$23)+AF257,0)</f>
        <v>702115.75499999989</v>
      </c>
      <c r="AH257" s="183"/>
      <c r="AI257" s="183">
        <f t="shared" si="47"/>
        <v>649291.28879999998</v>
      </c>
      <c r="AJ257" s="183">
        <f>IF(H257="Bexar",(AD257/$AJ$1)*'1. UC Assumptions'!$E$42,0)</f>
        <v>0</v>
      </c>
      <c r="AK257" s="183">
        <f>IF(H257="Dallas",(AD257/$AK$1)*'1. UC Assumptions'!$F$42,0)</f>
        <v>0</v>
      </c>
      <c r="AL257" s="183">
        <f>IF(H257="El Paso",(AD257/$AL$1)*'1. UC Assumptions'!$G$42,0)</f>
        <v>0</v>
      </c>
      <c r="AM257" s="183">
        <f>IF(H257="Harris",(AD257/$AM$1)*'1. UC Assumptions'!$H$42,0)</f>
        <v>0</v>
      </c>
      <c r="AN257" s="183">
        <f>IF(H257="Hidalgo",(AD257/$AN$1)*'1. UC Assumptions'!$I$42,0)</f>
        <v>0</v>
      </c>
      <c r="AO257" s="183">
        <f>IF(H257="Jefferson",(AD257/$AO$1)*'1. UC Assumptions'!$J$42,0)</f>
        <v>0</v>
      </c>
      <c r="AP257" s="183">
        <f>IF(H257="Lubbock",(AD257/$AP$1)*'1. UC Assumptions'!$K$42,0)</f>
        <v>0</v>
      </c>
      <c r="AQ257" s="183">
        <f>IF(H257="MRSA Central",(AD257/$AQ$1)*'1. UC Assumptions'!$L$42,0)</f>
        <v>0</v>
      </c>
      <c r="AR257" s="183">
        <f>IF(H257="MRSA Northeast",(AD257/$AR$1)*'1. UC Assumptions'!$M$42,0)</f>
        <v>0</v>
      </c>
      <c r="AS257" s="183">
        <f>IF(H257="MRSA West",(AD257/$AS$1)*'1. UC Assumptions'!$N$42,0)</f>
        <v>0</v>
      </c>
      <c r="AT257" s="183">
        <f>IF(H257="Nueces",(AD257/$AT$1)*'1. UC Assumptions'!$O$42,0)</f>
        <v>0</v>
      </c>
      <c r="AU257" s="183">
        <f>IF(H257="Tarrant",(AD257/$AU$1)*'1. UC Assumptions'!$P$42,0)</f>
        <v>0</v>
      </c>
      <c r="AV257" s="183">
        <f>IF(H257="Travis",(AD257/$AV$1)*'1. UC Assumptions'!$Q$42,0)</f>
        <v>0</v>
      </c>
      <c r="AW257" s="183">
        <f>IF(H257="Bexar",(AC257/$AW$1)*'1. UC Assumptions'!$E$44,0)</f>
        <v>0</v>
      </c>
      <c r="AX257" s="183">
        <f>IF(H257="Dallas",(AC257/$AX$1)*'1. UC Assumptions'!$F$44,0)</f>
        <v>0</v>
      </c>
      <c r="AY257" s="183">
        <f>IF(H257="El Paso",(AC257/$AY$1)*'1. UC Assumptions'!$G$44,0)</f>
        <v>0</v>
      </c>
      <c r="AZ257" s="183">
        <f>IF(H257="Harris",(AC257/$AZ$1)*'1. UC Assumptions'!$H$44,0)</f>
        <v>0</v>
      </c>
      <c r="BA257" s="183">
        <f>IF(H257="Hidalgo",(AC257/$BA$1)*'1. UC Assumptions'!$I$44,0)</f>
        <v>0</v>
      </c>
      <c r="BB257" s="183">
        <f>IF(H257="Jefferson",(AC257/$BB$1)*'1. UC Assumptions'!$J$44,0)</f>
        <v>0</v>
      </c>
      <c r="BC257" s="183">
        <f>IF(H257="Lubbock",(AC257/$BC$1)*'1. UC Assumptions'!$K$44,0)</f>
        <v>0</v>
      </c>
      <c r="BD257" s="183">
        <f>IF(H257="MRSA Central",(AC257/$BD$1)*'1. UC Assumptions'!$L$44,0)</f>
        <v>0</v>
      </c>
      <c r="BE257" s="183">
        <f>IF(H257="MRSA Northeast",(AC257/$BE$1)*'1. UC Assumptions'!$M$44,0)</f>
        <v>0</v>
      </c>
      <c r="BF257" s="183">
        <f>IF(H257="MRSA West",(AC257/$BF$1)*'1. UC Assumptions'!$N$44,0)</f>
        <v>0</v>
      </c>
      <c r="BG257" s="183">
        <f>IF(H257="Nueces",(AC257/$BG$1)*'1. UC Assumptions'!$O$44,0)</f>
        <v>0</v>
      </c>
      <c r="BH257" s="183">
        <f>IF(H257="Tarrant",(AC257/$BH$1)*'1. UC Assumptions'!$P$44,0)</f>
        <v>0</v>
      </c>
      <c r="BI257" s="183">
        <f>IF(H257="Travis",(AC257/$BI$1)*'1. UC Assumptions'!$Q$44,0)</f>
        <v>0</v>
      </c>
      <c r="BJ257" s="183">
        <f t="shared" si="48"/>
        <v>0</v>
      </c>
      <c r="BK257" s="183">
        <f t="shared" si="49"/>
        <v>0</v>
      </c>
      <c r="BL257" s="183">
        <f t="shared" si="50"/>
        <v>2127623.5</v>
      </c>
      <c r="BM257" s="184">
        <f t="shared" si="51"/>
        <v>160074.1399999999</v>
      </c>
      <c r="BN257" s="184">
        <f>ROUNDDOWN(BM257*'1. UC Assumptions'!$C$23,2)</f>
        <v>52824.46</v>
      </c>
      <c r="BO257" s="184"/>
      <c r="BP257" s="185"/>
      <c r="BQ257" s="32"/>
      <c r="BR257" s="32"/>
    </row>
    <row r="258" spans="1:70">
      <c r="A258" s="177" t="s">
        <v>1665</v>
      </c>
      <c r="B258" s="178" t="s">
        <v>1666</v>
      </c>
      <c r="C258" s="178" t="s">
        <v>1666</v>
      </c>
      <c r="D258" s="179" t="s">
        <v>208</v>
      </c>
      <c r="E258" s="179" t="s">
        <v>149</v>
      </c>
      <c r="F258" s="177"/>
      <c r="G258" s="177" t="s">
        <v>493</v>
      </c>
      <c r="H258" s="178" t="s">
        <v>12</v>
      </c>
      <c r="I258" s="178" t="s">
        <v>494</v>
      </c>
      <c r="J258" s="131">
        <f>IFERROR(INDEX(#REF!,(MATCH('Old Calc Tab'!C:C,#REF!,0))),0)</f>
        <v>0</v>
      </c>
      <c r="K258" s="131">
        <f>IFERROR(INDEX(#REF!,(MATCH('Old Calc Tab'!$C:$C,#REF!,0))),0)</f>
        <v>0</v>
      </c>
      <c r="L258" s="131"/>
      <c r="M258" s="131">
        <v>427187.9</v>
      </c>
      <c r="N258" s="131">
        <f>IFERROR(INDEX(#REF!,(MATCH('Old Calc Tab'!$C:$C,#REF!,0))),0)</f>
        <v>0</v>
      </c>
      <c r="O258" s="131">
        <f t="shared" si="39"/>
        <v>0</v>
      </c>
      <c r="P258" s="131">
        <f t="shared" si="40"/>
        <v>427187.9</v>
      </c>
      <c r="Q258" s="131"/>
      <c r="R258" s="131"/>
      <c r="S258" s="131"/>
      <c r="T258" s="131"/>
      <c r="U258" s="131"/>
      <c r="V258" s="131">
        <v>4041</v>
      </c>
      <c r="W258" s="180">
        <v>0</v>
      </c>
      <c r="X258" s="180">
        <f t="shared" si="53"/>
        <v>431228.9</v>
      </c>
      <c r="Y258" s="181">
        <f>IF(D258="Physician Group Practice",(X258/$AE$369)*'1. UC Assumptions'!$C$15,IF(OR(E258="Rural Hospital",E258="Hosp - State"),X258,(X258/$X$369)*'1. UC Assumptions'!$C$9))</f>
        <v>431228.9</v>
      </c>
      <c r="Z258" s="181">
        <f t="shared" si="42"/>
        <v>0</v>
      </c>
      <c r="AA258" s="181">
        <f t="shared" si="43"/>
        <v>0</v>
      </c>
      <c r="AB258" s="182">
        <f t="shared" si="44"/>
        <v>0</v>
      </c>
      <c r="AC258" s="181">
        <f t="shared" si="45"/>
        <v>0</v>
      </c>
      <c r="AD258" s="181">
        <f t="shared" si="46"/>
        <v>431228.9</v>
      </c>
      <c r="AE258" s="131">
        <v>143381.13</v>
      </c>
      <c r="AF258" s="131">
        <f>AE258*'1. UC Assumptions'!$C$23</f>
        <v>47315.772899999996</v>
      </c>
      <c r="AG258" s="183">
        <f>IF((((X258-W258-AE258)*'1. UC Assumptions'!$C$23)+AF258)&gt;0,((X258-W258-AE258)*'1. UC Assumptions'!$C$23)+AF258,0)</f>
        <v>142305.53700000001</v>
      </c>
      <c r="AH258" s="183"/>
      <c r="AI258" s="183">
        <f t="shared" si="47"/>
        <v>47315.772899999996</v>
      </c>
      <c r="AJ258" s="183">
        <f>IF(H258="Bexar",(AD258/$AJ$1)*'1. UC Assumptions'!$E$42,0)</f>
        <v>0</v>
      </c>
      <c r="AK258" s="183">
        <f>IF(H258="Dallas",(AD258/$AK$1)*'1. UC Assumptions'!$F$42,0)</f>
        <v>0</v>
      </c>
      <c r="AL258" s="183">
        <f>IF(H258="El Paso",(AD258/$AL$1)*'1. UC Assumptions'!$G$42,0)</f>
        <v>0</v>
      </c>
      <c r="AM258" s="183">
        <f>IF(H258="Harris",(AD258/$AM$1)*'1. UC Assumptions'!$H$42,0)</f>
        <v>0</v>
      </c>
      <c r="AN258" s="183">
        <f>IF(H258="Hidalgo",(AD258/$AN$1)*'1. UC Assumptions'!$I$42,0)</f>
        <v>0</v>
      </c>
      <c r="AO258" s="183">
        <f>IF(H258="Jefferson",(AD258/$AO$1)*'1. UC Assumptions'!$J$42,0)</f>
        <v>0</v>
      </c>
      <c r="AP258" s="183">
        <f>IF(H258="Lubbock",(AD258/$AP$1)*'1. UC Assumptions'!$K$42,0)</f>
        <v>0</v>
      </c>
      <c r="AQ258" s="183">
        <f>IF(H258="MRSA Central",(AD258/$AQ$1)*'1. UC Assumptions'!$L$42,0)</f>
        <v>0</v>
      </c>
      <c r="AR258" s="183">
        <f>IF(H258="MRSA Northeast",(AD258/$AR$1)*'1. UC Assumptions'!$M$42,0)</f>
        <v>0</v>
      </c>
      <c r="AS258" s="183">
        <f>IF(H258="MRSA West",(AD258/$AS$1)*'1. UC Assumptions'!$N$42,0)</f>
        <v>0</v>
      </c>
      <c r="AT258" s="183">
        <f>IF(H258="Nueces",(AD258/$AT$1)*'1. UC Assumptions'!$O$42,0)</f>
        <v>0</v>
      </c>
      <c r="AU258" s="183">
        <f>IF(H258="Tarrant",(AD258/$AU$1)*'1. UC Assumptions'!$P$42,0)</f>
        <v>0</v>
      </c>
      <c r="AV258" s="183">
        <f>IF(H258="Travis",(AD258/$AV$1)*'1. UC Assumptions'!$Q$42,0)</f>
        <v>0</v>
      </c>
      <c r="AW258" s="183">
        <f>IF(H258="Bexar",(AC258/$AW$1)*'1. UC Assumptions'!$E$44,0)</f>
        <v>0</v>
      </c>
      <c r="AX258" s="183">
        <f>IF(H258="Dallas",(AC258/$AX$1)*'1. UC Assumptions'!$F$44,0)</f>
        <v>0</v>
      </c>
      <c r="AY258" s="183">
        <f>IF(H258="El Paso",(AC258/$AY$1)*'1. UC Assumptions'!$G$44,0)</f>
        <v>0</v>
      </c>
      <c r="AZ258" s="183">
        <f>IF(H258="Harris",(AC258/$AZ$1)*'1. UC Assumptions'!$H$44,0)</f>
        <v>0</v>
      </c>
      <c r="BA258" s="183">
        <f>IF(H258="Hidalgo",(AC258/$BA$1)*'1. UC Assumptions'!$I$44,0)</f>
        <v>0</v>
      </c>
      <c r="BB258" s="183">
        <f>IF(H258="Jefferson",(AC258/$BB$1)*'1. UC Assumptions'!$J$44,0)</f>
        <v>0</v>
      </c>
      <c r="BC258" s="183">
        <f>IF(H258="Lubbock",(AC258/$BC$1)*'1. UC Assumptions'!$K$44,0)</f>
        <v>0</v>
      </c>
      <c r="BD258" s="183">
        <f>IF(H258="MRSA Central",(AC258/$BD$1)*'1. UC Assumptions'!$L$44,0)</f>
        <v>0</v>
      </c>
      <c r="BE258" s="183">
        <f>IF(H258="MRSA Northeast",(AC258/$BE$1)*'1. UC Assumptions'!$M$44,0)</f>
        <v>0</v>
      </c>
      <c r="BF258" s="183">
        <f>IF(H258="MRSA West",(AC258/$BF$1)*'1. UC Assumptions'!$N$44,0)</f>
        <v>0</v>
      </c>
      <c r="BG258" s="183">
        <f>IF(H258="Nueces",(AC258/$BG$1)*'1. UC Assumptions'!$O$44,0)</f>
        <v>0</v>
      </c>
      <c r="BH258" s="183">
        <f>IF(H258="Tarrant",(AC258/$BH$1)*'1. UC Assumptions'!$P$44,0)</f>
        <v>0</v>
      </c>
      <c r="BI258" s="183">
        <f>IF(H258="Travis",(AC258/$BI$1)*'1. UC Assumptions'!$Q$44,0)</f>
        <v>0</v>
      </c>
      <c r="BJ258" s="183">
        <f t="shared" si="48"/>
        <v>0</v>
      </c>
      <c r="BK258" s="183">
        <f t="shared" si="49"/>
        <v>0</v>
      </c>
      <c r="BL258" s="183">
        <f t="shared" si="50"/>
        <v>431228.9</v>
      </c>
      <c r="BM258" s="184">
        <f t="shared" si="51"/>
        <v>287847.77</v>
      </c>
      <c r="BN258" s="184">
        <f>ROUNDDOWN(BM258*'1. UC Assumptions'!$C$23,2)</f>
        <v>94989.759999999995</v>
      </c>
      <c r="BO258" s="184"/>
      <c r="BP258" s="185"/>
      <c r="BQ258" s="32"/>
      <c r="BR258" s="32"/>
    </row>
    <row r="259" spans="1:70">
      <c r="A259" s="177" t="s">
        <v>1667</v>
      </c>
      <c r="B259" s="178" t="s">
        <v>495</v>
      </c>
      <c r="C259" s="178" t="s">
        <v>495</v>
      </c>
      <c r="D259" s="179" t="s">
        <v>208</v>
      </c>
      <c r="E259" s="179" t="s">
        <v>149</v>
      </c>
      <c r="F259" s="177"/>
      <c r="G259" s="177" t="s">
        <v>496</v>
      </c>
      <c r="H259" s="178" t="s">
        <v>12</v>
      </c>
      <c r="I259" s="178" t="s">
        <v>497</v>
      </c>
      <c r="J259" s="131">
        <f>IFERROR(INDEX(#REF!,(MATCH('Old Calc Tab'!C:C,#REF!,0))),0)</f>
        <v>0</v>
      </c>
      <c r="K259" s="131">
        <f>IFERROR(INDEX(#REF!,(MATCH('Old Calc Tab'!$C:$C,#REF!,0))),0)</f>
        <v>0</v>
      </c>
      <c r="L259" s="131"/>
      <c r="M259" s="131">
        <v>174094.45</v>
      </c>
      <c r="N259" s="131">
        <f>IFERROR(INDEX(#REF!,(MATCH('Old Calc Tab'!$C:$C,#REF!,0))),0)</f>
        <v>0</v>
      </c>
      <c r="O259" s="131">
        <f t="shared" ref="O259:O322" si="54">IF(N259-J259+L259&gt;0,N259-J259+L259,0)</f>
        <v>0</v>
      </c>
      <c r="P259" s="131">
        <f t="shared" ref="P259:P322" si="55">IF(AND(D259="Hosp - State",N259&gt;0),0,IF(M259-O259&gt;0,M259-O259,0))</f>
        <v>174094.45</v>
      </c>
      <c r="Q259" s="131"/>
      <c r="R259" s="131"/>
      <c r="S259" s="131"/>
      <c r="T259" s="131"/>
      <c r="U259" s="131"/>
      <c r="V259" s="131">
        <v>0</v>
      </c>
      <c r="W259" s="180">
        <v>0</v>
      </c>
      <c r="X259" s="180">
        <f t="shared" si="53"/>
        <v>174094.45</v>
      </c>
      <c r="Y259" s="181">
        <f>IF(D259="Physician Group Practice",(X259/$AE$369)*'1. UC Assumptions'!$C$15,IF(OR(E259="Rural Hospital",E259="Hosp - State"),X259,(X259/$X$369)*'1. UC Assumptions'!$C$9))</f>
        <v>174094.45</v>
      </c>
      <c r="Z259" s="181">
        <f t="shared" ref="Z259:Z322" si="56">IF(Y259&gt;X259-W259,Y259-(X259-W259),0)</f>
        <v>0</v>
      </c>
      <c r="AA259" s="181">
        <f t="shared" ref="AA259:AA322" si="57">X259-W259-Y259+Z259</f>
        <v>0</v>
      </c>
      <c r="AB259" s="182">
        <f t="shared" ref="AB259:AB322" si="58">(AA259/$AA$367)*$Z$367</f>
        <v>0</v>
      </c>
      <c r="AC259" s="181">
        <f t="shared" ref="AC259:AC322" si="59">AA259+AB259</f>
        <v>0</v>
      </c>
      <c r="AD259" s="181">
        <f t="shared" ref="AD259:AD322" si="60">Y259-Z259+AB259</f>
        <v>174094.45</v>
      </c>
      <c r="AE259" s="131">
        <v>66028.3</v>
      </c>
      <c r="AF259" s="131">
        <f>AE259*'1. UC Assumptions'!$C$23</f>
        <v>21789.339</v>
      </c>
      <c r="AG259" s="183">
        <f>IF((((X259-W259-AE259)*'1. UC Assumptions'!$C$23)+AF259)&gt;0,((X259-W259-AE259)*'1. UC Assumptions'!$C$23)+AF259,0)</f>
        <v>57451.1685</v>
      </c>
      <c r="AH259" s="183"/>
      <c r="AI259" s="183">
        <f t="shared" ref="AI259:AI322" si="61">AH259+AF259</f>
        <v>21789.339</v>
      </c>
      <c r="AJ259" s="183">
        <f>IF(H259="Bexar",(AD259/$AJ$1)*'1. UC Assumptions'!$E$42,0)</f>
        <v>0</v>
      </c>
      <c r="AK259" s="183">
        <f>IF(H259="Dallas",(AD259/$AK$1)*'1. UC Assumptions'!$F$42,0)</f>
        <v>0</v>
      </c>
      <c r="AL259" s="183">
        <f>IF(H259="El Paso",(AD259/$AL$1)*'1. UC Assumptions'!$G$42,0)</f>
        <v>0</v>
      </c>
      <c r="AM259" s="183">
        <f>IF(H259="Harris",(AD259/$AM$1)*'1. UC Assumptions'!$H$42,0)</f>
        <v>0</v>
      </c>
      <c r="AN259" s="183">
        <f>IF(H259="Hidalgo",(AD259/$AN$1)*'1. UC Assumptions'!$I$42,0)</f>
        <v>0</v>
      </c>
      <c r="AO259" s="183">
        <f>IF(H259="Jefferson",(AD259/$AO$1)*'1. UC Assumptions'!$J$42,0)</f>
        <v>0</v>
      </c>
      <c r="AP259" s="183">
        <f>IF(H259="Lubbock",(AD259/$AP$1)*'1. UC Assumptions'!$K$42,0)</f>
        <v>0</v>
      </c>
      <c r="AQ259" s="183">
        <f>IF(H259="MRSA Central",(AD259/$AQ$1)*'1. UC Assumptions'!$L$42,0)</f>
        <v>0</v>
      </c>
      <c r="AR259" s="183">
        <f>IF(H259="MRSA Northeast",(AD259/$AR$1)*'1. UC Assumptions'!$M$42,0)</f>
        <v>0</v>
      </c>
      <c r="AS259" s="183">
        <f>IF(H259="MRSA West",(AD259/$AS$1)*'1. UC Assumptions'!$N$42,0)</f>
        <v>0</v>
      </c>
      <c r="AT259" s="183">
        <f>IF(H259="Nueces",(AD259/$AT$1)*'1. UC Assumptions'!$O$42,0)</f>
        <v>0</v>
      </c>
      <c r="AU259" s="183">
        <f>IF(H259="Tarrant",(AD259/$AU$1)*'1. UC Assumptions'!$P$42,0)</f>
        <v>0</v>
      </c>
      <c r="AV259" s="183">
        <f>IF(H259="Travis",(AD259/$AV$1)*'1. UC Assumptions'!$Q$42,0)</f>
        <v>0</v>
      </c>
      <c r="AW259" s="183">
        <f>IF(H259="Bexar",(AC259/$AW$1)*'1. UC Assumptions'!$E$44,0)</f>
        <v>0</v>
      </c>
      <c r="AX259" s="183">
        <f>IF(H259="Dallas",(AC259/$AX$1)*'1. UC Assumptions'!$F$44,0)</f>
        <v>0</v>
      </c>
      <c r="AY259" s="183">
        <f>IF(H259="El Paso",(AC259/$AY$1)*'1. UC Assumptions'!$G$44,0)</f>
        <v>0</v>
      </c>
      <c r="AZ259" s="183">
        <f>IF(H259="Harris",(AC259/$AZ$1)*'1. UC Assumptions'!$H$44,0)</f>
        <v>0</v>
      </c>
      <c r="BA259" s="183">
        <f>IF(H259="Hidalgo",(AC259/$BA$1)*'1. UC Assumptions'!$I$44,0)</f>
        <v>0</v>
      </c>
      <c r="BB259" s="183">
        <f>IF(H259="Jefferson",(AC259/$BB$1)*'1. UC Assumptions'!$J$44,0)</f>
        <v>0</v>
      </c>
      <c r="BC259" s="183">
        <f>IF(H259="Lubbock",(AC259/$BC$1)*'1. UC Assumptions'!$K$44,0)</f>
        <v>0</v>
      </c>
      <c r="BD259" s="183">
        <f>IF(H259="MRSA Central",(AC259/$BD$1)*'1. UC Assumptions'!$L$44,0)</f>
        <v>0</v>
      </c>
      <c r="BE259" s="183">
        <f>IF(H259="MRSA Northeast",(AC259/$BE$1)*'1. UC Assumptions'!$M$44,0)</f>
        <v>0</v>
      </c>
      <c r="BF259" s="183">
        <f>IF(H259="MRSA West",(AC259/$BF$1)*'1. UC Assumptions'!$N$44,0)</f>
        <v>0</v>
      </c>
      <c r="BG259" s="183">
        <f>IF(H259="Nueces",(AC259/$BG$1)*'1. UC Assumptions'!$O$44,0)</f>
        <v>0</v>
      </c>
      <c r="BH259" s="183">
        <f>IF(H259="Tarrant",(AC259/$BH$1)*'1. UC Assumptions'!$P$44,0)</f>
        <v>0</v>
      </c>
      <c r="BI259" s="183">
        <f>IF(H259="Travis",(AC259/$BI$1)*'1. UC Assumptions'!$Q$44,0)</f>
        <v>0</v>
      </c>
      <c r="BJ259" s="183">
        <f t="shared" ref="BJ259:BJ322" si="62">SUM(AJ259:AV259)</f>
        <v>0</v>
      </c>
      <c r="BK259" s="183">
        <f t="shared" ref="BK259:BK322" si="63">SUM(AW259:BI259)</f>
        <v>0</v>
      </c>
      <c r="BL259" s="183">
        <f t="shared" ref="BL259:BL322" si="64">AD259+BK259-BJ259</f>
        <v>174094.45</v>
      </c>
      <c r="BM259" s="184">
        <f t="shared" ref="BM259:BM322" si="65">BL259-AE259</f>
        <v>108066.15000000001</v>
      </c>
      <c r="BN259" s="184">
        <f>ROUNDDOWN(BM259*'1. UC Assumptions'!$C$23,2)</f>
        <v>35661.82</v>
      </c>
      <c r="BO259" s="184"/>
      <c r="BP259" s="185"/>
      <c r="BQ259" s="32"/>
      <c r="BR259" s="32"/>
    </row>
    <row r="260" spans="1:70">
      <c r="A260" s="177" t="s">
        <v>1668</v>
      </c>
      <c r="B260" s="178" t="s">
        <v>502</v>
      </c>
      <c r="C260" s="178" t="s">
        <v>502</v>
      </c>
      <c r="D260" s="179" t="s">
        <v>208</v>
      </c>
      <c r="E260" s="179" t="s">
        <v>149</v>
      </c>
      <c r="F260" s="177"/>
      <c r="G260" s="177" t="s">
        <v>1669</v>
      </c>
      <c r="H260" s="178" t="s">
        <v>12</v>
      </c>
      <c r="I260" s="178" t="s">
        <v>504</v>
      </c>
      <c r="J260" s="131">
        <f>IFERROR(INDEX(#REF!,(MATCH('Old Calc Tab'!C:C,#REF!,0))),0)</f>
        <v>0</v>
      </c>
      <c r="K260" s="131">
        <f>IFERROR(INDEX(#REF!,(MATCH('Old Calc Tab'!$C:$C,#REF!,0))),0)</f>
        <v>0</v>
      </c>
      <c r="L260" s="131"/>
      <c r="M260" s="131">
        <v>367715</v>
      </c>
      <c r="N260" s="131">
        <f>IFERROR(INDEX(#REF!,(MATCH('Old Calc Tab'!$C:$C,#REF!,0))),0)</f>
        <v>0</v>
      </c>
      <c r="O260" s="131">
        <f t="shared" si="54"/>
        <v>0</v>
      </c>
      <c r="P260" s="131">
        <f t="shared" si="55"/>
        <v>367715</v>
      </c>
      <c r="Q260" s="131"/>
      <c r="R260" s="131"/>
      <c r="S260" s="131"/>
      <c r="T260" s="131"/>
      <c r="U260" s="131"/>
      <c r="V260" s="131">
        <v>0</v>
      </c>
      <c r="W260" s="180">
        <v>0</v>
      </c>
      <c r="X260" s="180">
        <f t="shared" si="53"/>
        <v>367715</v>
      </c>
      <c r="Y260" s="181">
        <f>IF(D260="Physician Group Practice",(X260/$AE$369)*'1. UC Assumptions'!$C$15,IF(OR(E260="Rural Hospital",E260="Hosp - State"),X260,(X260/$X$369)*'1. UC Assumptions'!$C$9))</f>
        <v>367715</v>
      </c>
      <c r="Z260" s="181">
        <f t="shared" si="56"/>
        <v>0</v>
      </c>
      <c r="AA260" s="181">
        <f t="shared" si="57"/>
        <v>0</v>
      </c>
      <c r="AB260" s="182">
        <f t="shared" si="58"/>
        <v>0</v>
      </c>
      <c r="AC260" s="181">
        <f t="shared" si="59"/>
        <v>0</v>
      </c>
      <c r="AD260" s="181">
        <f t="shared" si="60"/>
        <v>367715</v>
      </c>
      <c r="AE260" s="131">
        <v>202472.68</v>
      </c>
      <c r="AF260" s="131">
        <f>AE260*'1. UC Assumptions'!$C$23</f>
        <v>66815.984399999987</v>
      </c>
      <c r="AG260" s="183">
        <f>IF((((X260-W260-AE260)*'1. UC Assumptions'!$C$23)+AF260)&gt;0,((X260-W260-AE260)*'1. UC Assumptions'!$C$23)+AF260,0)</f>
        <v>121345.94999999998</v>
      </c>
      <c r="AH260" s="183"/>
      <c r="AI260" s="183">
        <f t="shared" si="61"/>
        <v>66815.984399999987</v>
      </c>
      <c r="AJ260" s="183">
        <f>IF(H260="Bexar",(AD260/$AJ$1)*'1. UC Assumptions'!$E$42,0)</f>
        <v>0</v>
      </c>
      <c r="AK260" s="183">
        <f>IF(H260="Dallas",(AD260/$AK$1)*'1. UC Assumptions'!$F$42,0)</f>
        <v>0</v>
      </c>
      <c r="AL260" s="183">
        <f>IF(H260="El Paso",(AD260/$AL$1)*'1. UC Assumptions'!$G$42,0)</f>
        <v>0</v>
      </c>
      <c r="AM260" s="183">
        <f>IF(H260="Harris",(AD260/$AM$1)*'1. UC Assumptions'!$H$42,0)</f>
        <v>0</v>
      </c>
      <c r="AN260" s="183">
        <f>IF(H260="Hidalgo",(AD260/$AN$1)*'1. UC Assumptions'!$I$42,0)</f>
        <v>0</v>
      </c>
      <c r="AO260" s="183">
        <f>IF(H260="Jefferson",(AD260/$AO$1)*'1. UC Assumptions'!$J$42,0)</f>
        <v>0</v>
      </c>
      <c r="AP260" s="183">
        <f>IF(H260="Lubbock",(AD260/$AP$1)*'1. UC Assumptions'!$K$42,0)</f>
        <v>0</v>
      </c>
      <c r="AQ260" s="183">
        <f>IF(H260="MRSA Central",(AD260/$AQ$1)*'1. UC Assumptions'!$L$42,0)</f>
        <v>0</v>
      </c>
      <c r="AR260" s="183">
        <f>IF(H260="MRSA Northeast",(AD260/$AR$1)*'1. UC Assumptions'!$M$42,0)</f>
        <v>0</v>
      </c>
      <c r="AS260" s="183">
        <f>IF(H260="MRSA West",(AD260/$AS$1)*'1. UC Assumptions'!$N$42,0)</f>
        <v>0</v>
      </c>
      <c r="AT260" s="183">
        <f>IF(H260="Nueces",(AD260/$AT$1)*'1. UC Assumptions'!$O$42,0)</f>
        <v>0</v>
      </c>
      <c r="AU260" s="183">
        <f>IF(H260="Tarrant",(AD260/$AU$1)*'1. UC Assumptions'!$P$42,0)</f>
        <v>0</v>
      </c>
      <c r="AV260" s="183">
        <f>IF(H260="Travis",(AD260/$AV$1)*'1. UC Assumptions'!$Q$42,0)</f>
        <v>0</v>
      </c>
      <c r="AW260" s="183">
        <f>IF(H260="Bexar",(AC260/$AW$1)*'1. UC Assumptions'!$E$44,0)</f>
        <v>0</v>
      </c>
      <c r="AX260" s="183">
        <f>IF(H260="Dallas",(AC260/$AX$1)*'1. UC Assumptions'!$F$44,0)</f>
        <v>0</v>
      </c>
      <c r="AY260" s="183">
        <f>IF(H260="El Paso",(AC260/$AY$1)*'1. UC Assumptions'!$G$44,0)</f>
        <v>0</v>
      </c>
      <c r="AZ260" s="183">
        <f>IF(H260="Harris",(AC260/$AZ$1)*'1. UC Assumptions'!$H$44,0)</f>
        <v>0</v>
      </c>
      <c r="BA260" s="183">
        <f>IF(H260="Hidalgo",(AC260/$BA$1)*'1. UC Assumptions'!$I$44,0)</f>
        <v>0</v>
      </c>
      <c r="BB260" s="183">
        <f>IF(H260="Jefferson",(AC260/$BB$1)*'1. UC Assumptions'!$J$44,0)</f>
        <v>0</v>
      </c>
      <c r="BC260" s="183">
        <f>IF(H260="Lubbock",(AC260/$BC$1)*'1. UC Assumptions'!$K$44,0)</f>
        <v>0</v>
      </c>
      <c r="BD260" s="183">
        <f>IF(H260="MRSA Central",(AC260/$BD$1)*'1. UC Assumptions'!$L$44,0)</f>
        <v>0</v>
      </c>
      <c r="BE260" s="183">
        <f>IF(H260="MRSA Northeast",(AC260/$BE$1)*'1. UC Assumptions'!$M$44,0)</f>
        <v>0</v>
      </c>
      <c r="BF260" s="183">
        <f>IF(H260="MRSA West",(AC260/$BF$1)*'1. UC Assumptions'!$N$44,0)</f>
        <v>0</v>
      </c>
      <c r="BG260" s="183">
        <f>IF(H260="Nueces",(AC260/$BG$1)*'1. UC Assumptions'!$O$44,0)</f>
        <v>0</v>
      </c>
      <c r="BH260" s="183">
        <f>IF(H260="Tarrant",(AC260/$BH$1)*'1. UC Assumptions'!$P$44,0)</f>
        <v>0</v>
      </c>
      <c r="BI260" s="183">
        <f>IF(H260="Travis",(AC260/$BI$1)*'1. UC Assumptions'!$Q$44,0)</f>
        <v>0</v>
      </c>
      <c r="BJ260" s="183">
        <f t="shared" si="62"/>
        <v>0</v>
      </c>
      <c r="BK260" s="183">
        <f t="shared" si="63"/>
        <v>0</v>
      </c>
      <c r="BL260" s="183">
        <f t="shared" si="64"/>
        <v>367715</v>
      </c>
      <c r="BM260" s="184">
        <f t="shared" si="65"/>
        <v>165242.32</v>
      </c>
      <c r="BN260" s="184">
        <f>ROUNDDOWN(BM260*'1. UC Assumptions'!$C$23,2)</f>
        <v>54529.96</v>
      </c>
      <c r="BO260" s="184"/>
      <c r="BP260" s="185"/>
      <c r="BQ260" s="32"/>
      <c r="BR260" s="32"/>
    </row>
    <row r="261" spans="1:70">
      <c r="A261" s="177" t="s">
        <v>1670</v>
      </c>
      <c r="B261" s="177" t="s">
        <v>1671</v>
      </c>
      <c r="C261" s="178" t="s">
        <v>1671</v>
      </c>
      <c r="D261" s="179" t="s">
        <v>208</v>
      </c>
      <c r="E261" s="179" t="s">
        <v>149</v>
      </c>
      <c r="F261" s="177"/>
      <c r="G261" s="177" t="s">
        <v>506</v>
      </c>
      <c r="H261" s="178" t="s">
        <v>12</v>
      </c>
      <c r="I261" s="178" t="s">
        <v>507</v>
      </c>
      <c r="J261" s="131">
        <f>IFERROR(INDEX(#REF!,(MATCH('Old Calc Tab'!C:C,#REF!,0))),0)</f>
        <v>0</v>
      </c>
      <c r="K261" s="131">
        <f>IFERROR(INDEX(#REF!,(MATCH('Old Calc Tab'!$C:$C,#REF!,0))),0)</f>
        <v>0</v>
      </c>
      <c r="L261" s="131"/>
      <c r="M261" s="131">
        <v>3873677.41</v>
      </c>
      <c r="N261" s="131">
        <f>IFERROR(INDEX(#REF!,(MATCH('Old Calc Tab'!$C:$C,#REF!,0))),0)</f>
        <v>0</v>
      </c>
      <c r="O261" s="131">
        <f t="shared" si="54"/>
        <v>0</v>
      </c>
      <c r="P261" s="131">
        <f t="shared" si="55"/>
        <v>3873677.41</v>
      </c>
      <c r="Q261" s="131"/>
      <c r="R261" s="131"/>
      <c r="S261" s="131"/>
      <c r="T261" s="131"/>
      <c r="U261" s="131"/>
      <c r="V261" s="131">
        <v>672688.71</v>
      </c>
      <c r="W261" s="180">
        <v>0</v>
      </c>
      <c r="X261" s="180">
        <f t="shared" si="53"/>
        <v>4546366.12</v>
      </c>
      <c r="Y261" s="181">
        <f>IF(D261="Physician Group Practice",(X261/$AE$369)*'1. UC Assumptions'!$C$15,IF(OR(E261="Rural Hospital",E261="Hosp - State"),X261,(X261/$X$369)*'1. UC Assumptions'!$C$9))</f>
        <v>4546366.12</v>
      </c>
      <c r="Z261" s="181">
        <f t="shared" si="56"/>
        <v>0</v>
      </c>
      <c r="AA261" s="181">
        <f t="shared" si="57"/>
        <v>0</v>
      </c>
      <c r="AB261" s="182">
        <f t="shared" si="58"/>
        <v>0</v>
      </c>
      <c r="AC261" s="181">
        <f t="shared" si="59"/>
        <v>0</v>
      </c>
      <c r="AD261" s="181">
        <f t="shared" si="60"/>
        <v>4546366.12</v>
      </c>
      <c r="AE261" s="131">
        <v>1678260.5</v>
      </c>
      <c r="AF261" s="131">
        <f>AE261*'1. UC Assumptions'!$C$23</f>
        <v>553825.96499999997</v>
      </c>
      <c r="AG261" s="183">
        <f>IF((((X261-W261-AE261)*'1. UC Assumptions'!$C$23)+AF261)&gt;0,((X261-W261-AE261)*'1. UC Assumptions'!$C$23)+AF261,0)</f>
        <v>1500300.8196</v>
      </c>
      <c r="AH261" s="183"/>
      <c r="AI261" s="183">
        <f t="shared" si="61"/>
        <v>553825.96499999997</v>
      </c>
      <c r="AJ261" s="183">
        <f>IF(H261="Bexar",(AD261/$AJ$1)*'1. UC Assumptions'!$E$42,0)</f>
        <v>0</v>
      </c>
      <c r="AK261" s="183">
        <f>IF(H261="Dallas",(AD261/$AK$1)*'1. UC Assumptions'!$F$42,0)</f>
        <v>0</v>
      </c>
      <c r="AL261" s="183">
        <f>IF(H261="El Paso",(AD261/$AL$1)*'1. UC Assumptions'!$G$42,0)</f>
        <v>0</v>
      </c>
      <c r="AM261" s="183">
        <f>IF(H261="Harris",(AD261/$AM$1)*'1. UC Assumptions'!$H$42,0)</f>
        <v>0</v>
      </c>
      <c r="AN261" s="183">
        <f>IF(H261="Hidalgo",(AD261/$AN$1)*'1. UC Assumptions'!$I$42,0)</f>
        <v>0</v>
      </c>
      <c r="AO261" s="183">
        <f>IF(H261="Jefferson",(AD261/$AO$1)*'1. UC Assumptions'!$J$42,0)</f>
        <v>0</v>
      </c>
      <c r="AP261" s="183">
        <f>IF(H261="Lubbock",(AD261/$AP$1)*'1. UC Assumptions'!$K$42,0)</f>
        <v>0</v>
      </c>
      <c r="AQ261" s="183">
        <f>IF(H261="MRSA Central",(AD261/$AQ$1)*'1. UC Assumptions'!$L$42,0)</f>
        <v>0</v>
      </c>
      <c r="AR261" s="183">
        <f>IF(H261="MRSA Northeast",(AD261/$AR$1)*'1. UC Assumptions'!$M$42,0)</f>
        <v>0</v>
      </c>
      <c r="AS261" s="183">
        <f>IF(H261="MRSA West",(AD261/$AS$1)*'1. UC Assumptions'!$N$42,0)</f>
        <v>0</v>
      </c>
      <c r="AT261" s="183">
        <f>IF(H261="Nueces",(AD261/$AT$1)*'1. UC Assumptions'!$O$42,0)</f>
        <v>0</v>
      </c>
      <c r="AU261" s="183">
        <f>IF(H261="Tarrant",(AD261/$AU$1)*'1. UC Assumptions'!$P$42,0)</f>
        <v>0</v>
      </c>
      <c r="AV261" s="183">
        <f>IF(H261="Travis",(AD261/$AV$1)*'1. UC Assumptions'!$Q$42,0)</f>
        <v>0</v>
      </c>
      <c r="AW261" s="183">
        <f>IF(H261="Bexar",(AC261/$AW$1)*'1. UC Assumptions'!$E$44,0)</f>
        <v>0</v>
      </c>
      <c r="AX261" s="183">
        <f>IF(H261="Dallas",(AC261/$AX$1)*'1. UC Assumptions'!$F$44,0)</f>
        <v>0</v>
      </c>
      <c r="AY261" s="183">
        <f>IF(H261="El Paso",(AC261/$AY$1)*'1. UC Assumptions'!$G$44,0)</f>
        <v>0</v>
      </c>
      <c r="AZ261" s="183">
        <f>IF(H261="Harris",(AC261/$AZ$1)*'1. UC Assumptions'!$H$44,0)</f>
        <v>0</v>
      </c>
      <c r="BA261" s="183">
        <f>IF(H261="Hidalgo",(AC261/$BA$1)*'1. UC Assumptions'!$I$44,0)</f>
        <v>0</v>
      </c>
      <c r="BB261" s="183">
        <f>IF(H261="Jefferson",(AC261/$BB$1)*'1. UC Assumptions'!$J$44,0)</f>
        <v>0</v>
      </c>
      <c r="BC261" s="183">
        <f>IF(H261="Lubbock",(AC261/$BC$1)*'1. UC Assumptions'!$K$44,0)</f>
        <v>0</v>
      </c>
      <c r="BD261" s="183">
        <f>IF(H261="MRSA Central",(AC261/$BD$1)*'1. UC Assumptions'!$L$44,0)</f>
        <v>0</v>
      </c>
      <c r="BE261" s="183">
        <f>IF(H261="MRSA Northeast",(AC261/$BE$1)*'1. UC Assumptions'!$M$44,0)</f>
        <v>0</v>
      </c>
      <c r="BF261" s="183">
        <f>IF(H261="MRSA West",(AC261/$BF$1)*'1. UC Assumptions'!$N$44,0)</f>
        <v>0</v>
      </c>
      <c r="BG261" s="183">
        <f>IF(H261="Nueces",(AC261/$BG$1)*'1. UC Assumptions'!$O$44,0)</f>
        <v>0</v>
      </c>
      <c r="BH261" s="183">
        <f>IF(H261="Tarrant",(AC261/$BH$1)*'1. UC Assumptions'!$P$44,0)</f>
        <v>0</v>
      </c>
      <c r="BI261" s="183">
        <f>IF(H261="Travis",(AC261/$BI$1)*'1. UC Assumptions'!$Q$44,0)</f>
        <v>0</v>
      </c>
      <c r="BJ261" s="183">
        <f t="shared" si="62"/>
        <v>0</v>
      </c>
      <c r="BK261" s="183">
        <f t="shared" si="63"/>
        <v>0</v>
      </c>
      <c r="BL261" s="183">
        <f t="shared" si="64"/>
        <v>4546366.12</v>
      </c>
      <c r="BM261" s="184">
        <f t="shared" si="65"/>
        <v>2868105.62</v>
      </c>
      <c r="BN261" s="184">
        <f>ROUNDDOWN(BM261*'1. UC Assumptions'!$C$23,2)</f>
        <v>946474.85</v>
      </c>
      <c r="BO261" s="184"/>
      <c r="BP261" s="185"/>
      <c r="BQ261" s="32"/>
      <c r="BR261" s="32"/>
    </row>
    <row r="262" spans="1:70">
      <c r="A262" s="177" t="s">
        <v>1672</v>
      </c>
      <c r="B262" s="178" t="s">
        <v>511</v>
      </c>
      <c r="C262" s="178" t="s">
        <v>511</v>
      </c>
      <c r="D262" s="179" t="s">
        <v>208</v>
      </c>
      <c r="E262" s="179" t="s">
        <v>149</v>
      </c>
      <c r="F262" s="177"/>
      <c r="G262" s="177" t="s">
        <v>1673</v>
      </c>
      <c r="H262" s="178" t="s">
        <v>12</v>
      </c>
      <c r="I262" s="178" t="s">
        <v>513</v>
      </c>
      <c r="J262" s="131">
        <f>IFERROR(INDEX(#REF!,(MATCH('Old Calc Tab'!C:C,#REF!,0))),0)</f>
        <v>0</v>
      </c>
      <c r="K262" s="131">
        <f>IFERROR(INDEX(#REF!,(MATCH('Old Calc Tab'!$C:$C,#REF!,0))),0)</f>
        <v>0</v>
      </c>
      <c r="L262" s="131"/>
      <c r="M262" s="131">
        <v>112147.15000000001</v>
      </c>
      <c r="N262" s="131">
        <f>IFERROR(INDEX(#REF!,(MATCH('Old Calc Tab'!$C:$C,#REF!,0))),0)</f>
        <v>0</v>
      </c>
      <c r="O262" s="131">
        <f t="shared" si="54"/>
        <v>0</v>
      </c>
      <c r="P262" s="131">
        <f t="shared" si="55"/>
        <v>112147.15000000001</v>
      </c>
      <c r="Q262" s="131"/>
      <c r="R262" s="131"/>
      <c r="S262" s="131"/>
      <c r="T262" s="131"/>
      <c r="U262" s="131"/>
      <c r="V262" s="131">
        <v>0</v>
      </c>
      <c r="W262" s="180">
        <v>0</v>
      </c>
      <c r="X262" s="180">
        <f t="shared" si="53"/>
        <v>112147.15000000001</v>
      </c>
      <c r="Y262" s="181">
        <f>IF(D262="Physician Group Practice",(X262/$AE$369)*'1. UC Assumptions'!$C$15,IF(OR(E262="Rural Hospital",E262="Hosp - State"),X262,(X262/$X$369)*'1. UC Assumptions'!$C$9))</f>
        <v>112147.15000000001</v>
      </c>
      <c r="Z262" s="181">
        <f t="shared" si="56"/>
        <v>0</v>
      </c>
      <c r="AA262" s="181">
        <f t="shared" si="57"/>
        <v>0</v>
      </c>
      <c r="AB262" s="182">
        <f t="shared" si="58"/>
        <v>0</v>
      </c>
      <c r="AC262" s="181">
        <f t="shared" si="59"/>
        <v>0</v>
      </c>
      <c r="AD262" s="181">
        <f t="shared" si="60"/>
        <v>112147.15000000001</v>
      </c>
      <c r="AE262" s="131">
        <v>47956.18</v>
      </c>
      <c r="AF262" s="131">
        <f>AE262*'1. UC Assumptions'!$C$23</f>
        <v>15825.539399999998</v>
      </c>
      <c r="AG262" s="183">
        <f>IF((((X262-W262-AE262)*'1. UC Assumptions'!$C$23)+AF262)&gt;0,((X262-W262-AE262)*'1. UC Assumptions'!$C$23)+AF262,0)</f>
        <v>37008.559500000003</v>
      </c>
      <c r="AH262" s="183"/>
      <c r="AI262" s="183">
        <f t="shared" si="61"/>
        <v>15825.539399999998</v>
      </c>
      <c r="AJ262" s="183">
        <f>IF(H262="Bexar",(AD262/$AJ$1)*'1. UC Assumptions'!$E$42,0)</f>
        <v>0</v>
      </c>
      <c r="AK262" s="183">
        <f>IF(H262="Dallas",(AD262/$AK$1)*'1. UC Assumptions'!$F$42,0)</f>
        <v>0</v>
      </c>
      <c r="AL262" s="183">
        <f>IF(H262="El Paso",(AD262/$AL$1)*'1. UC Assumptions'!$G$42,0)</f>
        <v>0</v>
      </c>
      <c r="AM262" s="183">
        <f>IF(H262="Harris",(AD262/$AM$1)*'1. UC Assumptions'!$H$42,0)</f>
        <v>0</v>
      </c>
      <c r="AN262" s="183">
        <f>IF(H262="Hidalgo",(AD262/$AN$1)*'1. UC Assumptions'!$I$42,0)</f>
        <v>0</v>
      </c>
      <c r="AO262" s="183">
        <f>IF(H262="Jefferson",(AD262/$AO$1)*'1. UC Assumptions'!$J$42,0)</f>
        <v>0</v>
      </c>
      <c r="AP262" s="183">
        <f>IF(H262="Lubbock",(AD262/$AP$1)*'1. UC Assumptions'!$K$42,0)</f>
        <v>0</v>
      </c>
      <c r="AQ262" s="183">
        <f>IF(H262="MRSA Central",(AD262/$AQ$1)*'1. UC Assumptions'!$L$42,0)</f>
        <v>0</v>
      </c>
      <c r="AR262" s="183">
        <f>IF(H262="MRSA Northeast",(AD262/$AR$1)*'1. UC Assumptions'!$M$42,0)</f>
        <v>0</v>
      </c>
      <c r="AS262" s="183">
        <f>IF(H262="MRSA West",(AD262/$AS$1)*'1. UC Assumptions'!$N$42,0)</f>
        <v>0</v>
      </c>
      <c r="AT262" s="183">
        <f>IF(H262="Nueces",(AD262/$AT$1)*'1. UC Assumptions'!$O$42,0)</f>
        <v>0</v>
      </c>
      <c r="AU262" s="183">
        <f>IF(H262="Tarrant",(AD262/$AU$1)*'1. UC Assumptions'!$P$42,0)</f>
        <v>0</v>
      </c>
      <c r="AV262" s="183">
        <f>IF(H262="Travis",(AD262/$AV$1)*'1. UC Assumptions'!$Q$42,0)</f>
        <v>0</v>
      </c>
      <c r="AW262" s="183">
        <f>IF(H262="Bexar",(AC262/$AW$1)*'1. UC Assumptions'!$E$44,0)</f>
        <v>0</v>
      </c>
      <c r="AX262" s="183">
        <f>IF(H262="Dallas",(AC262/$AX$1)*'1. UC Assumptions'!$F$44,0)</f>
        <v>0</v>
      </c>
      <c r="AY262" s="183">
        <f>IF(H262="El Paso",(AC262/$AY$1)*'1. UC Assumptions'!$G$44,0)</f>
        <v>0</v>
      </c>
      <c r="AZ262" s="183">
        <f>IF(H262="Harris",(AC262/$AZ$1)*'1. UC Assumptions'!$H$44,0)</f>
        <v>0</v>
      </c>
      <c r="BA262" s="183">
        <f>IF(H262="Hidalgo",(AC262/$BA$1)*'1. UC Assumptions'!$I$44,0)</f>
        <v>0</v>
      </c>
      <c r="BB262" s="183">
        <f>IF(H262="Jefferson",(AC262/$BB$1)*'1. UC Assumptions'!$J$44,0)</f>
        <v>0</v>
      </c>
      <c r="BC262" s="183">
        <f>IF(H262="Lubbock",(AC262/$BC$1)*'1. UC Assumptions'!$K$44,0)</f>
        <v>0</v>
      </c>
      <c r="BD262" s="183">
        <f>IF(H262="MRSA Central",(AC262/$BD$1)*'1. UC Assumptions'!$L$44,0)</f>
        <v>0</v>
      </c>
      <c r="BE262" s="183">
        <f>IF(H262="MRSA Northeast",(AC262/$BE$1)*'1. UC Assumptions'!$M$44,0)</f>
        <v>0</v>
      </c>
      <c r="BF262" s="183">
        <f>IF(H262="MRSA West",(AC262/$BF$1)*'1. UC Assumptions'!$N$44,0)</f>
        <v>0</v>
      </c>
      <c r="BG262" s="183">
        <f>IF(H262="Nueces",(AC262/$BG$1)*'1. UC Assumptions'!$O$44,0)</f>
        <v>0</v>
      </c>
      <c r="BH262" s="183">
        <f>IF(H262="Tarrant",(AC262/$BH$1)*'1. UC Assumptions'!$P$44,0)</f>
        <v>0</v>
      </c>
      <c r="BI262" s="183">
        <f>IF(H262="Travis",(AC262/$BI$1)*'1. UC Assumptions'!$Q$44,0)</f>
        <v>0</v>
      </c>
      <c r="BJ262" s="183">
        <f t="shared" si="62"/>
        <v>0</v>
      </c>
      <c r="BK262" s="183">
        <f t="shared" si="63"/>
        <v>0</v>
      </c>
      <c r="BL262" s="183">
        <f t="shared" si="64"/>
        <v>112147.15000000001</v>
      </c>
      <c r="BM262" s="184">
        <f t="shared" si="65"/>
        <v>64190.970000000008</v>
      </c>
      <c r="BN262" s="184">
        <f>ROUNDDOWN(BM262*'1. UC Assumptions'!$C$23,2)</f>
        <v>21183.02</v>
      </c>
      <c r="BO262" s="184"/>
      <c r="BP262" s="185"/>
      <c r="BQ262" s="32"/>
      <c r="BR262" s="32"/>
    </row>
    <row r="263" spans="1:70">
      <c r="A263" s="177" t="s">
        <v>1674</v>
      </c>
      <c r="B263" s="178" t="s">
        <v>517</v>
      </c>
      <c r="C263" s="178" t="s">
        <v>517</v>
      </c>
      <c r="D263" s="179" t="s">
        <v>208</v>
      </c>
      <c r="E263" s="179" t="s">
        <v>149</v>
      </c>
      <c r="F263" s="177"/>
      <c r="G263" s="177" t="s">
        <v>518</v>
      </c>
      <c r="H263" s="178" t="s">
        <v>12</v>
      </c>
      <c r="I263" s="178" t="s">
        <v>362</v>
      </c>
      <c r="J263" s="131">
        <f>IFERROR(INDEX(#REF!,(MATCH('Old Calc Tab'!C:C,#REF!,0))),0)</f>
        <v>0</v>
      </c>
      <c r="K263" s="131">
        <f>IFERROR(INDEX(#REF!,(MATCH('Old Calc Tab'!$C:$C,#REF!,0))),0)</f>
        <v>0</v>
      </c>
      <c r="L263" s="131"/>
      <c r="M263" s="131">
        <v>113539.05</v>
      </c>
      <c r="N263" s="131">
        <f>IFERROR(INDEX(#REF!,(MATCH('Old Calc Tab'!$C:$C,#REF!,0))),0)</f>
        <v>0</v>
      </c>
      <c r="O263" s="131">
        <f t="shared" si="54"/>
        <v>0</v>
      </c>
      <c r="P263" s="131">
        <f t="shared" si="55"/>
        <v>113539.05</v>
      </c>
      <c r="Q263" s="131"/>
      <c r="R263" s="131"/>
      <c r="S263" s="131"/>
      <c r="T263" s="131"/>
      <c r="U263" s="131"/>
      <c r="V263" s="131">
        <v>0</v>
      </c>
      <c r="W263" s="180">
        <v>0</v>
      </c>
      <c r="X263" s="180">
        <f t="shared" si="53"/>
        <v>113539.05</v>
      </c>
      <c r="Y263" s="181">
        <f>IF(D263="Physician Group Practice",(X263/$AE$369)*'1. UC Assumptions'!$C$15,IF(OR(E263="Rural Hospital",E263="Hosp - State"),X263,(X263/$X$369)*'1. UC Assumptions'!$C$9))</f>
        <v>113539.05</v>
      </c>
      <c r="Z263" s="181">
        <f t="shared" si="56"/>
        <v>0</v>
      </c>
      <c r="AA263" s="181">
        <f t="shared" si="57"/>
        <v>0</v>
      </c>
      <c r="AB263" s="182">
        <f t="shared" si="58"/>
        <v>0</v>
      </c>
      <c r="AC263" s="181">
        <f t="shared" si="59"/>
        <v>0</v>
      </c>
      <c r="AD263" s="181">
        <f t="shared" si="60"/>
        <v>113539.05</v>
      </c>
      <c r="AE263" s="131">
        <v>806025.7</v>
      </c>
      <c r="AF263" s="131">
        <f>AE263*'1. UC Assumptions'!$C$23</f>
        <v>265988.48099999997</v>
      </c>
      <c r="AG263" s="183">
        <f>IF((((X263-W263-AE263)*'1. UC Assumptions'!$C$23)+AF263)&gt;0,((X263-W263-AE263)*'1. UC Assumptions'!$C$23)+AF263,0)</f>
        <v>37467.886500000022</v>
      </c>
      <c r="AH263" s="183"/>
      <c r="AI263" s="183">
        <f t="shared" si="61"/>
        <v>265988.48099999997</v>
      </c>
      <c r="AJ263" s="183">
        <f>IF(H263="Bexar",(AD263/$AJ$1)*'1. UC Assumptions'!$E$42,0)</f>
        <v>0</v>
      </c>
      <c r="AK263" s="183">
        <f>IF(H263="Dallas",(AD263/$AK$1)*'1. UC Assumptions'!$F$42,0)</f>
        <v>0</v>
      </c>
      <c r="AL263" s="183">
        <f>IF(H263="El Paso",(AD263/$AL$1)*'1. UC Assumptions'!$G$42,0)</f>
        <v>0</v>
      </c>
      <c r="AM263" s="183">
        <f>IF(H263="Harris",(AD263/$AM$1)*'1. UC Assumptions'!$H$42,0)</f>
        <v>0</v>
      </c>
      <c r="AN263" s="183">
        <f>IF(H263="Hidalgo",(AD263/$AN$1)*'1. UC Assumptions'!$I$42,0)</f>
        <v>0</v>
      </c>
      <c r="AO263" s="183">
        <f>IF(H263="Jefferson",(AD263/$AO$1)*'1. UC Assumptions'!$J$42,0)</f>
        <v>0</v>
      </c>
      <c r="AP263" s="183">
        <f>IF(H263="Lubbock",(AD263/$AP$1)*'1. UC Assumptions'!$K$42,0)</f>
        <v>0</v>
      </c>
      <c r="AQ263" s="183">
        <f>IF(H263="MRSA Central",(AD263/$AQ$1)*'1. UC Assumptions'!$L$42,0)</f>
        <v>0</v>
      </c>
      <c r="AR263" s="183">
        <f>IF(H263="MRSA Northeast",(AD263/$AR$1)*'1. UC Assumptions'!$M$42,0)</f>
        <v>0</v>
      </c>
      <c r="AS263" s="183">
        <f>IF(H263="MRSA West",(AD263/$AS$1)*'1. UC Assumptions'!$N$42,0)</f>
        <v>0</v>
      </c>
      <c r="AT263" s="183">
        <f>IF(H263="Nueces",(AD263/$AT$1)*'1. UC Assumptions'!$O$42,0)</f>
        <v>0</v>
      </c>
      <c r="AU263" s="183">
        <f>IF(H263="Tarrant",(AD263/$AU$1)*'1. UC Assumptions'!$P$42,0)</f>
        <v>0</v>
      </c>
      <c r="AV263" s="183">
        <f>IF(H263="Travis",(AD263/$AV$1)*'1. UC Assumptions'!$Q$42,0)</f>
        <v>0</v>
      </c>
      <c r="AW263" s="183">
        <f>IF(H263="Bexar",(AC263/$AW$1)*'1. UC Assumptions'!$E$44,0)</f>
        <v>0</v>
      </c>
      <c r="AX263" s="183">
        <f>IF(H263="Dallas",(AC263/$AX$1)*'1. UC Assumptions'!$F$44,0)</f>
        <v>0</v>
      </c>
      <c r="AY263" s="183">
        <f>IF(H263="El Paso",(AC263/$AY$1)*'1. UC Assumptions'!$G$44,0)</f>
        <v>0</v>
      </c>
      <c r="AZ263" s="183">
        <f>IF(H263="Harris",(AC263/$AZ$1)*'1. UC Assumptions'!$H$44,0)</f>
        <v>0</v>
      </c>
      <c r="BA263" s="183">
        <f>IF(H263="Hidalgo",(AC263/$BA$1)*'1. UC Assumptions'!$I$44,0)</f>
        <v>0</v>
      </c>
      <c r="BB263" s="183">
        <f>IF(H263="Jefferson",(AC263/$BB$1)*'1. UC Assumptions'!$J$44,0)</f>
        <v>0</v>
      </c>
      <c r="BC263" s="183">
        <f>IF(H263="Lubbock",(AC263/$BC$1)*'1. UC Assumptions'!$K$44,0)</f>
        <v>0</v>
      </c>
      <c r="BD263" s="183">
        <f>IF(H263="MRSA Central",(AC263/$BD$1)*'1. UC Assumptions'!$L$44,0)</f>
        <v>0</v>
      </c>
      <c r="BE263" s="183">
        <f>IF(H263="MRSA Northeast",(AC263/$BE$1)*'1. UC Assumptions'!$M$44,0)</f>
        <v>0</v>
      </c>
      <c r="BF263" s="183">
        <f>IF(H263="MRSA West",(AC263/$BF$1)*'1. UC Assumptions'!$N$44,0)</f>
        <v>0</v>
      </c>
      <c r="BG263" s="183">
        <f>IF(H263="Nueces",(AC263/$BG$1)*'1. UC Assumptions'!$O$44,0)</f>
        <v>0</v>
      </c>
      <c r="BH263" s="183">
        <f>IF(H263="Tarrant",(AC263/$BH$1)*'1. UC Assumptions'!$P$44,0)</f>
        <v>0</v>
      </c>
      <c r="BI263" s="183">
        <f>IF(H263="Travis",(AC263/$BI$1)*'1. UC Assumptions'!$Q$44,0)</f>
        <v>0</v>
      </c>
      <c r="BJ263" s="183">
        <f t="shared" si="62"/>
        <v>0</v>
      </c>
      <c r="BK263" s="183">
        <f t="shared" si="63"/>
        <v>0</v>
      </c>
      <c r="BL263" s="183">
        <f t="shared" si="64"/>
        <v>113539.05</v>
      </c>
      <c r="BM263" s="184">
        <f t="shared" si="65"/>
        <v>-692486.64999999991</v>
      </c>
      <c r="BN263" s="184">
        <f>ROUNDDOWN(BM263*'1. UC Assumptions'!$C$23,2)</f>
        <v>-228520.59</v>
      </c>
      <c r="BO263" s="184"/>
      <c r="BP263" s="185"/>
      <c r="BQ263" s="32"/>
      <c r="BR263" s="32"/>
    </row>
    <row r="264" spans="1:70">
      <c r="A264" s="177" t="s">
        <v>1675</v>
      </c>
      <c r="B264" s="178" t="s">
        <v>519</v>
      </c>
      <c r="C264" s="178" t="s">
        <v>519</v>
      </c>
      <c r="D264" s="179" t="s">
        <v>208</v>
      </c>
      <c r="E264" s="179" t="s">
        <v>149</v>
      </c>
      <c r="F264" s="177"/>
      <c r="G264" s="177" t="s">
        <v>520</v>
      </c>
      <c r="H264" s="178" t="s">
        <v>12</v>
      </c>
      <c r="I264" s="178" t="s">
        <v>521</v>
      </c>
      <c r="J264" s="131">
        <f>IFERROR(INDEX(#REF!,(MATCH('Old Calc Tab'!C:C,#REF!,0))),0)</f>
        <v>0</v>
      </c>
      <c r="K264" s="131">
        <f>IFERROR(INDEX(#REF!,(MATCH('Old Calc Tab'!$C:$C,#REF!,0))),0)</f>
        <v>0</v>
      </c>
      <c r="L264" s="131"/>
      <c r="M264" s="131">
        <v>0</v>
      </c>
      <c r="N264" s="131">
        <f>IFERROR(INDEX(#REF!,(MATCH('Old Calc Tab'!$C:$C,#REF!,0))),0)</f>
        <v>0</v>
      </c>
      <c r="O264" s="131">
        <f t="shared" si="54"/>
        <v>0</v>
      </c>
      <c r="P264" s="131">
        <f t="shared" si="55"/>
        <v>0</v>
      </c>
      <c r="Q264" s="131"/>
      <c r="R264" s="131"/>
      <c r="S264" s="131"/>
      <c r="T264" s="131"/>
      <c r="U264" s="131"/>
      <c r="V264" s="131">
        <v>0</v>
      </c>
      <c r="W264" s="180">
        <v>0</v>
      </c>
      <c r="X264" s="180">
        <f t="shared" si="53"/>
        <v>0</v>
      </c>
      <c r="Y264" s="181">
        <f>IF(D264="Physician Group Practice",(X264/$AE$369)*'1. UC Assumptions'!$C$15,IF(OR(E264="Rural Hospital",E264="Hosp - State"),X264,(X264/$X$369)*'1. UC Assumptions'!$C$9))</f>
        <v>0</v>
      </c>
      <c r="Z264" s="181">
        <f t="shared" si="56"/>
        <v>0</v>
      </c>
      <c r="AA264" s="181">
        <f t="shared" si="57"/>
        <v>0</v>
      </c>
      <c r="AB264" s="182">
        <f t="shared" si="58"/>
        <v>0</v>
      </c>
      <c r="AC264" s="181">
        <f t="shared" si="59"/>
        <v>0</v>
      </c>
      <c r="AD264" s="181">
        <f t="shared" si="60"/>
        <v>0</v>
      </c>
      <c r="AE264" s="131">
        <v>245692.01</v>
      </c>
      <c r="AF264" s="131">
        <f>AE264*'1. UC Assumptions'!$C$23</f>
        <v>81078.363299999997</v>
      </c>
      <c r="AG264" s="183">
        <f>IF((((X264-W264-AE264)*'1. UC Assumptions'!$C$23)+AF264)&gt;0,((X264-W264-AE264)*'1. UC Assumptions'!$C$23)+AF264,0)</f>
        <v>0</v>
      </c>
      <c r="AH264" s="183"/>
      <c r="AI264" s="183">
        <f t="shared" si="61"/>
        <v>81078.363299999997</v>
      </c>
      <c r="AJ264" s="183">
        <f>IF(H264="Bexar",(AD264/$AJ$1)*'1. UC Assumptions'!$E$42,0)</f>
        <v>0</v>
      </c>
      <c r="AK264" s="183">
        <f>IF(H264="Dallas",(AD264/$AK$1)*'1. UC Assumptions'!$F$42,0)</f>
        <v>0</v>
      </c>
      <c r="AL264" s="183">
        <f>IF(H264="El Paso",(AD264/$AL$1)*'1. UC Assumptions'!$G$42,0)</f>
        <v>0</v>
      </c>
      <c r="AM264" s="183">
        <f>IF(H264="Harris",(AD264/$AM$1)*'1. UC Assumptions'!$H$42,0)</f>
        <v>0</v>
      </c>
      <c r="AN264" s="183">
        <f>IF(H264="Hidalgo",(AD264/$AN$1)*'1. UC Assumptions'!$I$42,0)</f>
        <v>0</v>
      </c>
      <c r="AO264" s="183">
        <f>IF(H264="Jefferson",(AD264/$AO$1)*'1. UC Assumptions'!$J$42,0)</f>
        <v>0</v>
      </c>
      <c r="AP264" s="183">
        <f>IF(H264="Lubbock",(AD264/$AP$1)*'1. UC Assumptions'!$K$42,0)</f>
        <v>0</v>
      </c>
      <c r="AQ264" s="183">
        <f>IF(H264="MRSA Central",(AD264/$AQ$1)*'1. UC Assumptions'!$L$42,0)</f>
        <v>0</v>
      </c>
      <c r="AR264" s="183">
        <f>IF(H264="MRSA Northeast",(AD264/$AR$1)*'1. UC Assumptions'!$M$42,0)</f>
        <v>0</v>
      </c>
      <c r="AS264" s="183">
        <f>IF(H264="MRSA West",(AD264/$AS$1)*'1. UC Assumptions'!$N$42,0)</f>
        <v>0</v>
      </c>
      <c r="AT264" s="183">
        <f>IF(H264="Nueces",(AD264/$AT$1)*'1. UC Assumptions'!$O$42,0)</f>
        <v>0</v>
      </c>
      <c r="AU264" s="183">
        <f>IF(H264="Tarrant",(AD264/$AU$1)*'1. UC Assumptions'!$P$42,0)</f>
        <v>0</v>
      </c>
      <c r="AV264" s="183">
        <f>IF(H264="Travis",(AD264/$AV$1)*'1. UC Assumptions'!$Q$42,0)</f>
        <v>0</v>
      </c>
      <c r="AW264" s="183">
        <f>IF(H264="Bexar",(AC264/$AW$1)*'1. UC Assumptions'!$E$44,0)</f>
        <v>0</v>
      </c>
      <c r="AX264" s="183">
        <f>IF(H264="Dallas",(AC264/$AX$1)*'1. UC Assumptions'!$F$44,0)</f>
        <v>0</v>
      </c>
      <c r="AY264" s="183">
        <f>IF(H264="El Paso",(AC264/$AY$1)*'1. UC Assumptions'!$G$44,0)</f>
        <v>0</v>
      </c>
      <c r="AZ264" s="183">
        <f>IF(H264="Harris",(AC264/$AZ$1)*'1. UC Assumptions'!$H$44,0)</f>
        <v>0</v>
      </c>
      <c r="BA264" s="183">
        <f>IF(H264="Hidalgo",(AC264/$BA$1)*'1. UC Assumptions'!$I$44,0)</f>
        <v>0</v>
      </c>
      <c r="BB264" s="183">
        <f>IF(H264="Jefferson",(AC264/$BB$1)*'1. UC Assumptions'!$J$44,0)</f>
        <v>0</v>
      </c>
      <c r="BC264" s="183">
        <f>IF(H264="Lubbock",(AC264/$BC$1)*'1. UC Assumptions'!$K$44,0)</f>
        <v>0</v>
      </c>
      <c r="BD264" s="183">
        <f>IF(H264="MRSA Central",(AC264/$BD$1)*'1. UC Assumptions'!$L$44,0)</f>
        <v>0</v>
      </c>
      <c r="BE264" s="183">
        <f>IF(H264="MRSA Northeast",(AC264/$BE$1)*'1. UC Assumptions'!$M$44,0)</f>
        <v>0</v>
      </c>
      <c r="BF264" s="183">
        <f>IF(H264="MRSA West",(AC264/$BF$1)*'1. UC Assumptions'!$N$44,0)</f>
        <v>0</v>
      </c>
      <c r="BG264" s="183">
        <f>IF(H264="Nueces",(AC264/$BG$1)*'1. UC Assumptions'!$O$44,0)</f>
        <v>0</v>
      </c>
      <c r="BH264" s="183">
        <f>IF(H264="Tarrant",(AC264/$BH$1)*'1. UC Assumptions'!$P$44,0)</f>
        <v>0</v>
      </c>
      <c r="BI264" s="183">
        <f>IF(H264="Travis",(AC264/$BI$1)*'1. UC Assumptions'!$Q$44,0)</f>
        <v>0</v>
      </c>
      <c r="BJ264" s="183">
        <f t="shared" si="62"/>
        <v>0</v>
      </c>
      <c r="BK264" s="183">
        <f t="shared" si="63"/>
        <v>0</v>
      </c>
      <c r="BL264" s="183">
        <f t="shared" si="64"/>
        <v>0</v>
      </c>
      <c r="BM264" s="184">
        <f t="shared" si="65"/>
        <v>-245692.01</v>
      </c>
      <c r="BN264" s="184">
        <f>ROUNDDOWN(BM264*'1. UC Assumptions'!$C$23,2)</f>
        <v>-81078.36</v>
      </c>
      <c r="BO264" s="184"/>
      <c r="BP264" s="185"/>
      <c r="BQ264" s="32"/>
      <c r="BR264" s="32"/>
    </row>
    <row r="265" spans="1:70">
      <c r="A265" s="177" t="s">
        <v>1676</v>
      </c>
      <c r="B265" s="178" t="s">
        <v>543</v>
      </c>
      <c r="C265" s="178" t="s">
        <v>543</v>
      </c>
      <c r="D265" s="179" t="s">
        <v>214</v>
      </c>
      <c r="E265" s="179" t="s">
        <v>149</v>
      </c>
      <c r="F265" s="177"/>
      <c r="G265" s="177" t="s">
        <v>1677</v>
      </c>
      <c r="H265" s="178" t="s">
        <v>12</v>
      </c>
      <c r="I265" s="178" t="s">
        <v>545</v>
      </c>
      <c r="J265" s="131">
        <f>IFERROR(INDEX(#REF!,(MATCH('Old Calc Tab'!C:C,#REF!,0))),0)</f>
        <v>0</v>
      </c>
      <c r="K265" s="131">
        <f>IFERROR(INDEX(#REF!,(MATCH('Old Calc Tab'!$C:$C,#REF!,0))),0)</f>
        <v>0</v>
      </c>
      <c r="L265" s="131"/>
      <c r="M265" s="131">
        <v>79773.102990266445</v>
      </c>
      <c r="N265" s="131">
        <f>IFERROR(INDEX(#REF!,(MATCH('Old Calc Tab'!$C:$C,#REF!,0))),0)</f>
        <v>0</v>
      </c>
      <c r="O265" s="131">
        <f t="shared" si="54"/>
        <v>0</v>
      </c>
      <c r="P265" s="131">
        <f t="shared" si="55"/>
        <v>79773.102990266445</v>
      </c>
      <c r="Q265" s="131"/>
      <c r="R265" s="131"/>
      <c r="S265" s="131"/>
      <c r="T265" s="131"/>
      <c r="U265" s="131"/>
      <c r="V265" s="131">
        <v>1383</v>
      </c>
      <c r="W265" s="180">
        <v>0</v>
      </c>
      <c r="X265" s="180">
        <f t="shared" si="53"/>
        <v>81156.102990266445</v>
      </c>
      <c r="Y265" s="181">
        <f>IF(D265="Physician Group Practice",(X265/$AE$369)*'1. UC Assumptions'!$C$15,IF(OR(E265="Rural Hospital",E265="Hosp - State"),X265,(X265/$X$369)*'1. UC Assumptions'!$C$9))</f>
        <v>81156.102990266445</v>
      </c>
      <c r="Z265" s="181">
        <f t="shared" si="56"/>
        <v>0</v>
      </c>
      <c r="AA265" s="181">
        <f t="shared" si="57"/>
        <v>0</v>
      </c>
      <c r="AB265" s="182">
        <f t="shared" si="58"/>
        <v>0</v>
      </c>
      <c r="AC265" s="181">
        <f t="shared" si="59"/>
        <v>0</v>
      </c>
      <c r="AD265" s="181">
        <f t="shared" si="60"/>
        <v>81156.102990266445</v>
      </c>
      <c r="AE265" s="131">
        <v>146637.76999999999</v>
      </c>
      <c r="AF265" s="131">
        <f>AE265*'1. UC Assumptions'!$C$23</f>
        <v>48390.46409999999</v>
      </c>
      <c r="AG265" s="183">
        <f>IF((((X265-W265-AE265)*'1. UC Assumptions'!$C$23)+AF265)&gt;0,((X265-W265-AE265)*'1. UC Assumptions'!$C$23)+AF265,0)</f>
        <v>26781.513986787922</v>
      </c>
      <c r="AH265" s="183"/>
      <c r="AI265" s="183">
        <f t="shared" si="61"/>
        <v>48390.46409999999</v>
      </c>
      <c r="AJ265" s="183">
        <f>IF(H265="Bexar",(AD265/$AJ$1)*'1. UC Assumptions'!$E$42,0)</f>
        <v>0</v>
      </c>
      <c r="AK265" s="183">
        <f>IF(H265="Dallas",(AD265/$AK$1)*'1. UC Assumptions'!$F$42,0)</f>
        <v>0</v>
      </c>
      <c r="AL265" s="183">
        <f>IF(H265="El Paso",(AD265/$AL$1)*'1. UC Assumptions'!$G$42,0)</f>
        <v>0</v>
      </c>
      <c r="AM265" s="183">
        <f>IF(H265="Harris",(AD265/$AM$1)*'1. UC Assumptions'!$H$42,0)</f>
        <v>0</v>
      </c>
      <c r="AN265" s="183">
        <f>IF(H265="Hidalgo",(AD265/$AN$1)*'1. UC Assumptions'!$I$42,0)</f>
        <v>0</v>
      </c>
      <c r="AO265" s="183">
        <f>IF(H265="Jefferson",(AD265/$AO$1)*'1. UC Assumptions'!$J$42,0)</f>
        <v>0</v>
      </c>
      <c r="AP265" s="183">
        <f>IF(H265="Lubbock",(AD265/$AP$1)*'1. UC Assumptions'!$K$42,0)</f>
        <v>0</v>
      </c>
      <c r="AQ265" s="183">
        <f>IF(H265="MRSA Central",(AD265/$AQ$1)*'1. UC Assumptions'!$L$42,0)</f>
        <v>0</v>
      </c>
      <c r="AR265" s="183">
        <f>IF(H265="MRSA Northeast",(AD265/$AR$1)*'1. UC Assumptions'!$M$42,0)</f>
        <v>0</v>
      </c>
      <c r="AS265" s="183">
        <f>IF(H265="MRSA West",(AD265/$AS$1)*'1. UC Assumptions'!$N$42,0)</f>
        <v>0</v>
      </c>
      <c r="AT265" s="183">
        <f>IF(H265="Nueces",(AD265/$AT$1)*'1. UC Assumptions'!$O$42,0)</f>
        <v>0</v>
      </c>
      <c r="AU265" s="183">
        <f>IF(H265="Tarrant",(AD265/$AU$1)*'1. UC Assumptions'!$P$42,0)</f>
        <v>0</v>
      </c>
      <c r="AV265" s="183">
        <f>IF(H265="Travis",(AD265/$AV$1)*'1. UC Assumptions'!$Q$42,0)</f>
        <v>0</v>
      </c>
      <c r="AW265" s="183">
        <f>IF(H265="Bexar",(AC265/$AW$1)*'1. UC Assumptions'!$E$44,0)</f>
        <v>0</v>
      </c>
      <c r="AX265" s="183">
        <f>IF(H265="Dallas",(AC265/$AX$1)*'1. UC Assumptions'!$F$44,0)</f>
        <v>0</v>
      </c>
      <c r="AY265" s="183">
        <f>IF(H265="El Paso",(AC265/$AY$1)*'1. UC Assumptions'!$G$44,0)</f>
        <v>0</v>
      </c>
      <c r="AZ265" s="183">
        <f>IF(H265="Harris",(AC265/$AZ$1)*'1. UC Assumptions'!$H$44,0)</f>
        <v>0</v>
      </c>
      <c r="BA265" s="183">
        <f>IF(H265="Hidalgo",(AC265/$BA$1)*'1. UC Assumptions'!$I$44,0)</f>
        <v>0</v>
      </c>
      <c r="BB265" s="183">
        <f>IF(H265="Jefferson",(AC265/$BB$1)*'1. UC Assumptions'!$J$44,0)</f>
        <v>0</v>
      </c>
      <c r="BC265" s="183">
        <f>IF(H265="Lubbock",(AC265/$BC$1)*'1. UC Assumptions'!$K$44,0)</f>
        <v>0</v>
      </c>
      <c r="BD265" s="183">
        <f>IF(H265="MRSA Central",(AC265/$BD$1)*'1. UC Assumptions'!$L$44,0)</f>
        <v>0</v>
      </c>
      <c r="BE265" s="183">
        <f>IF(H265="MRSA Northeast",(AC265/$BE$1)*'1. UC Assumptions'!$M$44,0)</f>
        <v>0</v>
      </c>
      <c r="BF265" s="183">
        <f>IF(H265="MRSA West",(AC265/$BF$1)*'1. UC Assumptions'!$N$44,0)</f>
        <v>0</v>
      </c>
      <c r="BG265" s="183">
        <f>IF(H265="Nueces",(AC265/$BG$1)*'1. UC Assumptions'!$O$44,0)</f>
        <v>0</v>
      </c>
      <c r="BH265" s="183">
        <f>IF(H265="Tarrant",(AC265/$BH$1)*'1. UC Assumptions'!$P$44,0)</f>
        <v>0</v>
      </c>
      <c r="BI265" s="183">
        <f>IF(H265="Travis",(AC265/$BI$1)*'1. UC Assumptions'!$Q$44,0)</f>
        <v>0</v>
      </c>
      <c r="BJ265" s="183">
        <f t="shared" si="62"/>
        <v>0</v>
      </c>
      <c r="BK265" s="183">
        <f t="shared" si="63"/>
        <v>0</v>
      </c>
      <c r="BL265" s="183">
        <f t="shared" si="64"/>
        <v>81156.102990266445</v>
      </c>
      <c r="BM265" s="184">
        <f t="shared" si="65"/>
        <v>-65481.667009733545</v>
      </c>
      <c r="BN265" s="184">
        <f>ROUNDDOWN(BM265*'1. UC Assumptions'!$C$23,2)</f>
        <v>-21608.95</v>
      </c>
      <c r="BO265" s="184"/>
      <c r="BP265" s="185"/>
      <c r="BQ265" s="32"/>
      <c r="BR265" s="32"/>
    </row>
    <row r="266" spans="1:70">
      <c r="A266" s="177" t="s">
        <v>1678</v>
      </c>
      <c r="B266" s="178" t="s">
        <v>1679</v>
      </c>
      <c r="C266" s="178" t="s">
        <v>1679</v>
      </c>
      <c r="D266" s="179" t="s">
        <v>214</v>
      </c>
      <c r="E266" s="179" t="s">
        <v>149</v>
      </c>
      <c r="F266" s="177"/>
      <c r="G266" s="177" t="s">
        <v>1680</v>
      </c>
      <c r="H266" s="178" t="s">
        <v>12</v>
      </c>
      <c r="I266" s="178" t="s">
        <v>1012</v>
      </c>
      <c r="J266" s="131">
        <f>IFERROR(INDEX(#REF!,(MATCH('Old Calc Tab'!C:C,#REF!,0))),0)</f>
        <v>0</v>
      </c>
      <c r="K266" s="131">
        <f>IFERROR(INDEX(#REF!,(MATCH('Old Calc Tab'!$C:$C,#REF!,0))),0)</f>
        <v>0</v>
      </c>
      <c r="L266" s="131"/>
      <c r="M266" s="131">
        <v>28123.489999999998</v>
      </c>
      <c r="N266" s="131">
        <f>IFERROR(INDEX(#REF!,(MATCH('Old Calc Tab'!$C:$C,#REF!,0))),0)</f>
        <v>0</v>
      </c>
      <c r="O266" s="131">
        <f t="shared" si="54"/>
        <v>0</v>
      </c>
      <c r="P266" s="131">
        <f t="shared" si="55"/>
        <v>28123.489999999998</v>
      </c>
      <c r="Q266" s="131"/>
      <c r="R266" s="131"/>
      <c r="S266" s="131"/>
      <c r="T266" s="131"/>
      <c r="U266" s="131"/>
      <c r="V266" s="131">
        <v>18752.189999999999</v>
      </c>
      <c r="W266" s="180">
        <v>0</v>
      </c>
      <c r="X266" s="180">
        <f t="shared" si="53"/>
        <v>46875.679999999993</v>
      </c>
      <c r="Y266" s="181">
        <f>IF(D266="Physician Group Practice",(X266/$AE$369)*'1. UC Assumptions'!$C$15,IF(OR(E266="Rural Hospital",E266="Hosp - State"),X266,(X266/$X$369)*'1. UC Assumptions'!$C$9))</f>
        <v>46875.679999999993</v>
      </c>
      <c r="Z266" s="181">
        <f t="shared" si="56"/>
        <v>0</v>
      </c>
      <c r="AA266" s="181">
        <f t="shared" si="57"/>
        <v>0</v>
      </c>
      <c r="AB266" s="182">
        <f t="shared" si="58"/>
        <v>0</v>
      </c>
      <c r="AC266" s="181">
        <f t="shared" si="59"/>
        <v>0</v>
      </c>
      <c r="AD266" s="181">
        <f t="shared" si="60"/>
        <v>46875.679999999993</v>
      </c>
      <c r="AE266" s="131">
        <v>276641.91999999998</v>
      </c>
      <c r="AF266" s="131">
        <f>AE266*'1. UC Assumptions'!$C$23</f>
        <v>91291.833599999984</v>
      </c>
      <c r="AG266" s="183">
        <f>IF((((X266-W266-AE266)*'1. UC Assumptions'!$C$23)+AF266)&gt;0,((X266-W266-AE266)*'1. UC Assumptions'!$C$23)+AF266,0)</f>
        <v>15468.974399999992</v>
      </c>
      <c r="AH266" s="183"/>
      <c r="AI266" s="183">
        <f t="shared" si="61"/>
        <v>91291.833599999984</v>
      </c>
      <c r="AJ266" s="183">
        <f>IF(H266="Bexar",(AD266/$AJ$1)*'1. UC Assumptions'!$E$42,0)</f>
        <v>0</v>
      </c>
      <c r="AK266" s="183">
        <f>IF(H266="Dallas",(AD266/$AK$1)*'1. UC Assumptions'!$F$42,0)</f>
        <v>0</v>
      </c>
      <c r="AL266" s="183">
        <f>IF(H266="El Paso",(AD266/$AL$1)*'1. UC Assumptions'!$G$42,0)</f>
        <v>0</v>
      </c>
      <c r="AM266" s="183">
        <f>IF(H266="Harris",(AD266/$AM$1)*'1. UC Assumptions'!$H$42,0)</f>
        <v>0</v>
      </c>
      <c r="AN266" s="183">
        <f>IF(H266="Hidalgo",(AD266/$AN$1)*'1. UC Assumptions'!$I$42,0)</f>
        <v>0</v>
      </c>
      <c r="AO266" s="183">
        <f>IF(H266="Jefferson",(AD266/$AO$1)*'1. UC Assumptions'!$J$42,0)</f>
        <v>0</v>
      </c>
      <c r="AP266" s="183">
        <f>IF(H266="Lubbock",(AD266/$AP$1)*'1. UC Assumptions'!$K$42,0)</f>
        <v>0</v>
      </c>
      <c r="AQ266" s="183">
        <f>IF(H266="MRSA Central",(AD266/$AQ$1)*'1. UC Assumptions'!$L$42,0)</f>
        <v>0</v>
      </c>
      <c r="AR266" s="183">
        <f>IF(H266="MRSA Northeast",(AD266/$AR$1)*'1. UC Assumptions'!$M$42,0)</f>
        <v>0</v>
      </c>
      <c r="AS266" s="183">
        <f>IF(H266="MRSA West",(AD266/$AS$1)*'1. UC Assumptions'!$N$42,0)</f>
        <v>0</v>
      </c>
      <c r="AT266" s="183">
        <f>IF(H266="Nueces",(AD266/$AT$1)*'1. UC Assumptions'!$O$42,0)</f>
        <v>0</v>
      </c>
      <c r="AU266" s="183">
        <f>IF(H266="Tarrant",(AD266/$AU$1)*'1. UC Assumptions'!$P$42,0)</f>
        <v>0</v>
      </c>
      <c r="AV266" s="183">
        <f>IF(H266="Travis",(AD266/$AV$1)*'1. UC Assumptions'!$Q$42,0)</f>
        <v>0</v>
      </c>
      <c r="AW266" s="183">
        <f>IF(H266="Bexar",(AC266/$AW$1)*'1. UC Assumptions'!$E$44,0)</f>
        <v>0</v>
      </c>
      <c r="AX266" s="183">
        <f>IF(H266="Dallas",(AC266/$AX$1)*'1. UC Assumptions'!$F$44,0)</f>
        <v>0</v>
      </c>
      <c r="AY266" s="183">
        <f>IF(H266="El Paso",(AC266/$AY$1)*'1. UC Assumptions'!$G$44,0)</f>
        <v>0</v>
      </c>
      <c r="AZ266" s="183">
        <f>IF(H266="Harris",(AC266/$AZ$1)*'1. UC Assumptions'!$H$44,0)</f>
        <v>0</v>
      </c>
      <c r="BA266" s="183">
        <f>IF(H266="Hidalgo",(AC266/$BA$1)*'1. UC Assumptions'!$I$44,0)</f>
        <v>0</v>
      </c>
      <c r="BB266" s="183">
        <f>IF(H266="Jefferson",(AC266/$BB$1)*'1. UC Assumptions'!$J$44,0)</f>
        <v>0</v>
      </c>
      <c r="BC266" s="183">
        <f>IF(H266="Lubbock",(AC266/$BC$1)*'1. UC Assumptions'!$K$44,0)</f>
        <v>0</v>
      </c>
      <c r="BD266" s="183">
        <f>IF(H266="MRSA Central",(AC266/$BD$1)*'1. UC Assumptions'!$L$44,0)</f>
        <v>0</v>
      </c>
      <c r="BE266" s="183">
        <f>IF(H266="MRSA Northeast",(AC266/$BE$1)*'1. UC Assumptions'!$M$44,0)</f>
        <v>0</v>
      </c>
      <c r="BF266" s="183">
        <f>IF(H266="MRSA West",(AC266/$BF$1)*'1. UC Assumptions'!$N$44,0)</f>
        <v>0</v>
      </c>
      <c r="BG266" s="183">
        <f>IF(H266="Nueces",(AC266/$BG$1)*'1. UC Assumptions'!$O$44,0)</f>
        <v>0</v>
      </c>
      <c r="BH266" s="183">
        <f>IF(H266="Tarrant",(AC266/$BH$1)*'1. UC Assumptions'!$P$44,0)</f>
        <v>0</v>
      </c>
      <c r="BI266" s="183">
        <f>IF(H266="Travis",(AC266/$BI$1)*'1. UC Assumptions'!$Q$44,0)</f>
        <v>0</v>
      </c>
      <c r="BJ266" s="183">
        <f t="shared" si="62"/>
        <v>0</v>
      </c>
      <c r="BK266" s="183">
        <f t="shared" si="63"/>
        <v>0</v>
      </c>
      <c r="BL266" s="183">
        <f t="shared" si="64"/>
        <v>46875.679999999993</v>
      </c>
      <c r="BM266" s="184">
        <f t="shared" si="65"/>
        <v>-229766.24</v>
      </c>
      <c r="BN266" s="184">
        <f>ROUNDDOWN(BM266*'1. UC Assumptions'!$C$23,2)</f>
        <v>-75822.850000000006</v>
      </c>
      <c r="BO266" s="184"/>
      <c r="BP266" s="185"/>
      <c r="BQ266" s="32"/>
      <c r="BR266" s="32"/>
    </row>
    <row r="267" spans="1:70">
      <c r="A267" s="177" t="s">
        <v>1681</v>
      </c>
      <c r="B267" s="178" t="s">
        <v>555</v>
      </c>
      <c r="C267" s="178" t="s">
        <v>555</v>
      </c>
      <c r="D267" s="179" t="s">
        <v>214</v>
      </c>
      <c r="E267" s="179" t="s">
        <v>149</v>
      </c>
      <c r="F267" s="177"/>
      <c r="G267" s="177" t="s">
        <v>556</v>
      </c>
      <c r="H267" s="178" t="s">
        <v>12</v>
      </c>
      <c r="I267" s="178" t="s">
        <v>557</v>
      </c>
      <c r="J267" s="131">
        <f>IFERROR(INDEX(#REF!,(MATCH('Old Calc Tab'!C:C,#REF!,0))),0)</f>
        <v>0</v>
      </c>
      <c r="K267" s="131">
        <f>IFERROR(INDEX(#REF!,(MATCH('Old Calc Tab'!$C:$C,#REF!,0))),0)</f>
        <v>0</v>
      </c>
      <c r="L267" s="131"/>
      <c r="M267" s="131">
        <v>3766422.75</v>
      </c>
      <c r="N267" s="131">
        <f>IFERROR(INDEX(#REF!,(MATCH('Old Calc Tab'!$C:$C,#REF!,0))),0)</f>
        <v>0</v>
      </c>
      <c r="O267" s="131">
        <f t="shared" si="54"/>
        <v>0</v>
      </c>
      <c r="P267" s="131">
        <f t="shared" si="55"/>
        <v>3766422.75</v>
      </c>
      <c r="Q267" s="131"/>
      <c r="R267" s="131"/>
      <c r="S267" s="131"/>
      <c r="T267" s="131"/>
      <c r="U267" s="131"/>
      <c r="V267" s="131">
        <v>531658</v>
      </c>
      <c r="W267" s="180">
        <v>0</v>
      </c>
      <c r="X267" s="180">
        <f t="shared" si="53"/>
        <v>4298080.75</v>
      </c>
      <c r="Y267" s="181">
        <f>IF(D267="Physician Group Practice",(X267/$AE$369)*'1. UC Assumptions'!$C$15,IF(OR(E267="Rural Hospital",E267="Hosp - State"),X267,(X267/$X$369)*'1. UC Assumptions'!$C$9))</f>
        <v>4298080.75</v>
      </c>
      <c r="Z267" s="181">
        <f t="shared" si="56"/>
        <v>0</v>
      </c>
      <c r="AA267" s="181">
        <f t="shared" si="57"/>
        <v>0</v>
      </c>
      <c r="AB267" s="182">
        <f t="shared" si="58"/>
        <v>0</v>
      </c>
      <c r="AC267" s="181">
        <f t="shared" si="59"/>
        <v>0</v>
      </c>
      <c r="AD267" s="181">
        <f t="shared" si="60"/>
        <v>4298080.75</v>
      </c>
      <c r="AE267" s="131">
        <v>1531327.52</v>
      </c>
      <c r="AF267" s="131">
        <f>AE267*'1. UC Assumptions'!$C$23</f>
        <v>505338.08159999992</v>
      </c>
      <c r="AG267" s="183">
        <f>IF((((X267-W267-AE267)*'1. UC Assumptions'!$C$23)+AF267)&gt;0,((X267-W267-AE267)*'1. UC Assumptions'!$C$23)+AF267,0)</f>
        <v>1418366.6475</v>
      </c>
      <c r="AH267" s="183"/>
      <c r="AI267" s="183">
        <f t="shared" si="61"/>
        <v>505338.08159999992</v>
      </c>
      <c r="AJ267" s="183">
        <f>IF(H267="Bexar",(AD267/$AJ$1)*'1. UC Assumptions'!$E$42,0)</f>
        <v>0</v>
      </c>
      <c r="AK267" s="183">
        <f>IF(H267="Dallas",(AD267/$AK$1)*'1. UC Assumptions'!$F$42,0)</f>
        <v>0</v>
      </c>
      <c r="AL267" s="183">
        <f>IF(H267="El Paso",(AD267/$AL$1)*'1. UC Assumptions'!$G$42,0)</f>
        <v>0</v>
      </c>
      <c r="AM267" s="183">
        <f>IF(H267="Harris",(AD267/$AM$1)*'1. UC Assumptions'!$H$42,0)</f>
        <v>0</v>
      </c>
      <c r="AN267" s="183">
        <f>IF(H267="Hidalgo",(AD267/$AN$1)*'1. UC Assumptions'!$I$42,0)</f>
        <v>0</v>
      </c>
      <c r="AO267" s="183">
        <f>IF(H267="Jefferson",(AD267/$AO$1)*'1. UC Assumptions'!$J$42,0)</f>
        <v>0</v>
      </c>
      <c r="AP267" s="183">
        <f>IF(H267="Lubbock",(AD267/$AP$1)*'1. UC Assumptions'!$K$42,0)</f>
        <v>0</v>
      </c>
      <c r="AQ267" s="183">
        <f>IF(H267="MRSA Central",(AD267/$AQ$1)*'1. UC Assumptions'!$L$42,0)</f>
        <v>0</v>
      </c>
      <c r="AR267" s="183">
        <f>IF(H267="MRSA Northeast",(AD267/$AR$1)*'1. UC Assumptions'!$M$42,0)</f>
        <v>0</v>
      </c>
      <c r="AS267" s="183">
        <f>IF(H267="MRSA West",(AD267/$AS$1)*'1. UC Assumptions'!$N$42,0)</f>
        <v>0</v>
      </c>
      <c r="AT267" s="183">
        <f>IF(H267="Nueces",(AD267/$AT$1)*'1. UC Assumptions'!$O$42,0)</f>
        <v>0</v>
      </c>
      <c r="AU267" s="183">
        <f>IF(H267="Tarrant",(AD267/$AU$1)*'1. UC Assumptions'!$P$42,0)</f>
        <v>0</v>
      </c>
      <c r="AV267" s="183">
        <f>IF(H267="Travis",(AD267/$AV$1)*'1. UC Assumptions'!$Q$42,0)</f>
        <v>0</v>
      </c>
      <c r="AW267" s="183">
        <f>IF(H267="Bexar",(AC267/$AW$1)*'1. UC Assumptions'!$E$44,0)</f>
        <v>0</v>
      </c>
      <c r="AX267" s="183">
        <f>IF(H267="Dallas",(AC267/$AX$1)*'1. UC Assumptions'!$F$44,0)</f>
        <v>0</v>
      </c>
      <c r="AY267" s="183">
        <f>IF(H267="El Paso",(AC267/$AY$1)*'1. UC Assumptions'!$G$44,0)</f>
        <v>0</v>
      </c>
      <c r="AZ267" s="183">
        <f>IF(H267="Harris",(AC267/$AZ$1)*'1. UC Assumptions'!$H$44,0)</f>
        <v>0</v>
      </c>
      <c r="BA267" s="183">
        <f>IF(H267="Hidalgo",(AC267/$BA$1)*'1. UC Assumptions'!$I$44,0)</f>
        <v>0</v>
      </c>
      <c r="BB267" s="183">
        <f>IF(H267="Jefferson",(AC267/$BB$1)*'1. UC Assumptions'!$J$44,0)</f>
        <v>0</v>
      </c>
      <c r="BC267" s="183">
        <f>IF(H267="Lubbock",(AC267/$BC$1)*'1. UC Assumptions'!$K$44,0)</f>
        <v>0</v>
      </c>
      <c r="BD267" s="183">
        <f>IF(H267="MRSA Central",(AC267/$BD$1)*'1. UC Assumptions'!$L$44,0)</f>
        <v>0</v>
      </c>
      <c r="BE267" s="183">
        <f>IF(H267="MRSA Northeast",(AC267/$BE$1)*'1. UC Assumptions'!$M$44,0)</f>
        <v>0</v>
      </c>
      <c r="BF267" s="183">
        <f>IF(H267="MRSA West",(AC267/$BF$1)*'1. UC Assumptions'!$N$44,0)</f>
        <v>0</v>
      </c>
      <c r="BG267" s="183">
        <f>IF(H267="Nueces",(AC267/$BG$1)*'1. UC Assumptions'!$O$44,0)</f>
        <v>0</v>
      </c>
      <c r="BH267" s="183">
        <f>IF(H267="Tarrant",(AC267/$BH$1)*'1. UC Assumptions'!$P$44,0)</f>
        <v>0</v>
      </c>
      <c r="BI267" s="183">
        <f>IF(H267="Travis",(AC267/$BI$1)*'1. UC Assumptions'!$Q$44,0)</f>
        <v>0</v>
      </c>
      <c r="BJ267" s="183">
        <f t="shared" si="62"/>
        <v>0</v>
      </c>
      <c r="BK267" s="183">
        <f t="shared" si="63"/>
        <v>0</v>
      </c>
      <c r="BL267" s="183">
        <f t="shared" si="64"/>
        <v>4298080.75</v>
      </c>
      <c r="BM267" s="184">
        <f t="shared" si="65"/>
        <v>2766753.23</v>
      </c>
      <c r="BN267" s="184">
        <f>ROUNDDOWN(BM267*'1. UC Assumptions'!$C$23,2)</f>
        <v>913028.56</v>
      </c>
      <c r="BO267" s="184"/>
      <c r="BP267" s="185"/>
      <c r="BQ267" s="32"/>
      <c r="BR267" s="32"/>
    </row>
    <row r="268" spans="1:70">
      <c r="A268" s="177" t="s">
        <v>1682</v>
      </c>
      <c r="B268" s="177" t="s">
        <v>560</v>
      </c>
      <c r="C268" s="178" t="s">
        <v>560</v>
      </c>
      <c r="D268" s="179" t="s">
        <v>208</v>
      </c>
      <c r="E268" s="179" t="s">
        <v>149</v>
      </c>
      <c r="F268" s="177"/>
      <c r="G268" s="177" t="s">
        <v>561</v>
      </c>
      <c r="H268" s="178" t="s">
        <v>12</v>
      </c>
      <c r="I268" s="178" t="s">
        <v>562</v>
      </c>
      <c r="J268" s="131">
        <f>IFERROR(INDEX(#REF!,(MATCH('Old Calc Tab'!C:C,#REF!,0))),0)</f>
        <v>0</v>
      </c>
      <c r="K268" s="131">
        <f>IFERROR(INDEX(#REF!,(MATCH('Old Calc Tab'!$C:$C,#REF!,0))),0)</f>
        <v>0</v>
      </c>
      <c r="L268" s="131"/>
      <c r="M268" s="131">
        <v>3749931.9</v>
      </c>
      <c r="N268" s="131">
        <f>IFERROR(INDEX(#REF!,(MATCH('Old Calc Tab'!$C:$C,#REF!,0))),0)</f>
        <v>0</v>
      </c>
      <c r="O268" s="131">
        <f t="shared" si="54"/>
        <v>0</v>
      </c>
      <c r="P268" s="131">
        <f t="shared" si="55"/>
        <v>3749931.9</v>
      </c>
      <c r="Q268" s="131"/>
      <c r="R268" s="131"/>
      <c r="S268" s="131"/>
      <c r="T268" s="131"/>
      <c r="U268" s="131"/>
      <c r="V268" s="131">
        <v>60656</v>
      </c>
      <c r="W268" s="180">
        <v>0</v>
      </c>
      <c r="X268" s="180">
        <f t="shared" si="53"/>
        <v>3810587.9</v>
      </c>
      <c r="Y268" s="181">
        <f>IF(D268="Physician Group Practice",(X268/$AE$369)*'1. UC Assumptions'!$C$15,IF(OR(E268="Rural Hospital",E268="Hosp - State"),X268,(X268/$X$369)*'1. UC Assumptions'!$C$9))</f>
        <v>3810587.9</v>
      </c>
      <c r="Z268" s="181">
        <f t="shared" si="56"/>
        <v>0</v>
      </c>
      <c r="AA268" s="181">
        <f t="shared" si="57"/>
        <v>0</v>
      </c>
      <c r="AB268" s="182">
        <f t="shared" si="58"/>
        <v>0</v>
      </c>
      <c r="AC268" s="181">
        <f t="shared" si="59"/>
        <v>0</v>
      </c>
      <c r="AD268" s="181">
        <f t="shared" si="60"/>
        <v>3810587.9</v>
      </c>
      <c r="AE268" s="131">
        <v>164661.84</v>
      </c>
      <c r="AF268" s="131">
        <f>AE268*'1. UC Assumptions'!$C$23</f>
        <v>54338.407199999994</v>
      </c>
      <c r="AG268" s="183">
        <f>IF((((X268-W268-AE268)*'1. UC Assumptions'!$C$23)+AF268)&gt;0,((X268-W268-AE268)*'1. UC Assumptions'!$C$23)+AF268,0)</f>
        <v>1257494.007</v>
      </c>
      <c r="AH268" s="183"/>
      <c r="AI268" s="183">
        <f t="shared" si="61"/>
        <v>54338.407199999994</v>
      </c>
      <c r="AJ268" s="183">
        <f>IF(H268="Bexar",(AD268/$AJ$1)*'1. UC Assumptions'!$E$42,0)</f>
        <v>0</v>
      </c>
      <c r="AK268" s="183">
        <f>IF(H268="Dallas",(AD268/$AK$1)*'1. UC Assumptions'!$F$42,0)</f>
        <v>0</v>
      </c>
      <c r="AL268" s="183">
        <f>IF(H268="El Paso",(AD268/$AL$1)*'1. UC Assumptions'!$G$42,0)</f>
        <v>0</v>
      </c>
      <c r="AM268" s="183">
        <f>IF(H268="Harris",(AD268/$AM$1)*'1. UC Assumptions'!$H$42,0)</f>
        <v>0</v>
      </c>
      <c r="AN268" s="183">
        <f>IF(H268="Hidalgo",(AD268/$AN$1)*'1. UC Assumptions'!$I$42,0)</f>
        <v>0</v>
      </c>
      <c r="AO268" s="183">
        <f>IF(H268="Jefferson",(AD268/$AO$1)*'1. UC Assumptions'!$J$42,0)</f>
        <v>0</v>
      </c>
      <c r="AP268" s="183">
        <f>IF(H268="Lubbock",(AD268/$AP$1)*'1. UC Assumptions'!$K$42,0)</f>
        <v>0</v>
      </c>
      <c r="AQ268" s="183">
        <f>IF(H268="MRSA Central",(AD268/$AQ$1)*'1. UC Assumptions'!$L$42,0)</f>
        <v>0</v>
      </c>
      <c r="AR268" s="183">
        <f>IF(H268="MRSA Northeast",(AD268/$AR$1)*'1. UC Assumptions'!$M$42,0)</f>
        <v>0</v>
      </c>
      <c r="AS268" s="183">
        <f>IF(H268="MRSA West",(AD268/$AS$1)*'1. UC Assumptions'!$N$42,0)</f>
        <v>0</v>
      </c>
      <c r="AT268" s="183">
        <f>IF(H268="Nueces",(AD268/$AT$1)*'1. UC Assumptions'!$O$42,0)</f>
        <v>0</v>
      </c>
      <c r="AU268" s="183">
        <f>IF(H268="Tarrant",(AD268/$AU$1)*'1. UC Assumptions'!$P$42,0)</f>
        <v>0</v>
      </c>
      <c r="AV268" s="183">
        <f>IF(H268="Travis",(AD268/$AV$1)*'1. UC Assumptions'!$Q$42,0)</f>
        <v>0</v>
      </c>
      <c r="AW268" s="183">
        <f>IF(H268="Bexar",(AC268/$AW$1)*'1. UC Assumptions'!$E$44,0)</f>
        <v>0</v>
      </c>
      <c r="AX268" s="183">
        <f>IF(H268="Dallas",(AC268/$AX$1)*'1. UC Assumptions'!$F$44,0)</f>
        <v>0</v>
      </c>
      <c r="AY268" s="183">
        <f>IF(H268="El Paso",(AC268/$AY$1)*'1. UC Assumptions'!$G$44,0)</f>
        <v>0</v>
      </c>
      <c r="AZ268" s="183">
        <f>IF(H268="Harris",(AC268/$AZ$1)*'1. UC Assumptions'!$H$44,0)</f>
        <v>0</v>
      </c>
      <c r="BA268" s="183">
        <f>IF(H268="Hidalgo",(AC268/$BA$1)*'1. UC Assumptions'!$I$44,0)</f>
        <v>0</v>
      </c>
      <c r="BB268" s="183">
        <f>IF(H268="Jefferson",(AC268/$BB$1)*'1. UC Assumptions'!$J$44,0)</f>
        <v>0</v>
      </c>
      <c r="BC268" s="183">
        <f>IF(H268="Lubbock",(AC268/$BC$1)*'1. UC Assumptions'!$K$44,0)</f>
        <v>0</v>
      </c>
      <c r="BD268" s="183">
        <f>IF(H268="MRSA Central",(AC268/$BD$1)*'1. UC Assumptions'!$L$44,0)</f>
        <v>0</v>
      </c>
      <c r="BE268" s="183">
        <f>IF(H268="MRSA Northeast",(AC268/$BE$1)*'1. UC Assumptions'!$M$44,0)</f>
        <v>0</v>
      </c>
      <c r="BF268" s="183">
        <f>IF(H268="MRSA West",(AC268/$BF$1)*'1. UC Assumptions'!$N$44,0)</f>
        <v>0</v>
      </c>
      <c r="BG268" s="183">
        <f>IF(H268="Nueces",(AC268/$BG$1)*'1. UC Assumptions'!$O$44,0)</f>
        <v>0</v>
      </c>
      <c r="BH268" s="183">
        <f>IF(H268="Tarrant",(AC268/$BH$1)*'1. UC Assumptions'!$P$44,0)</f>
        <v>0</v>
      </c>
      <c r="BI268" s="183">
        <f>IF(H268="Travis",(AC268/$BI$1)*'1. UC Assumptions'!$Q$44,0)</f>
        <v>0</v>
      </c>
      <c r="BJ268" s="183">
        <f t="shared" si="62"/>
        <v>0</v>
      </c>
      <c r="BK268" s="183">
        <f t="shared" si="63"/>
        <v>0</v>
      </c>
      <c r="BL268" s="183">
        <f t="shared" si="64"/>
        <v>3810587.9</v>
      </c>
      <c r="BM268" s="184">
        <f t="shared" si="65"/>
        <v>3645926.06</v>
      </c>
      <c r="BN268" s="184">
        <f>ROUNDDOWN(BM268*'1. UC Assumptions'!$C$23,2)</f>
        <v>1203155.5900000001</v>
      </c>
      <c r="BO268" s="184"/>
      <c r="BP268" s="185"/>
      <c r="BQ268" s="32"/>
      <c r="BR268" s="32"/>
    </row>
    <row r="269" spans="1:70">
      <c r="A269" s="177" t="s">
        <v>1683</v>
      </c>
      <c r="B269" s="178" t="s">
        <v>583</v>
      </c>
      <c r="C269" s="178" t="s">
        <v>583</v>
      </c>
      <c r="D269" s="179" t="s">
        <v>208</v>
      </c>
      <c r="E269" s="179" t="s">
        <v>149</v>
      </c>
      <c r="F269" s="177"/>
      <c r="G269" s="177" t="s">
        <v>1684</v>
      </c>
      <c r="H269" s="178" t="s">
        <v>12</v>
      </c>
      <c r="I269" s="178" t="s">
        <v>266</v>
      </c>
      <c r="J269" s="131">
        <f>IFERROR(INDEX(#REF!,(MATCH('Old Calc Tab'!C:C,#REF!,0))),0)</f>
        <v>0</v>
      </c>
      <c r="K269" s="131">
        <f>IFERROR(INDEX(#REF!,(MATCH('Old Calc Tab'!$C:$C,#REF!,0))),0)</f>
        <v>0</v>
      </c>
      <c r="L269" s="131"/>
      <c r="M269" s="131">
        <v>16569.5</v>
      </c>
      <c r="N269" s="131">
        <f>IFERROR(INDEX(#REF!,(MATCH('Old Calc Tab'!$C:$C,#REF!,0))),0)</f>
        <v>0</v>
      </c>
      <c r="O269" s="131">
        <f t="shared" si="54"/>
        <v>0</v>
      </c>
      <c r="P269" s="131">
        <f t="shared" si="55"/>
        <v>16569.5</v>
      </c>
      <c r="Q269" s="131"/>
      <c r="R269" s="131"/>
      <c r="S269" s="131"/>
      <c r="T269" s="131"/>
      <c r="U269" s="131"/>
      <c r="V269" s="131">
        <v>0</v>
      </c>
      <c r="W269" s="180">
        <v>0</v>
      </c>
      <c r="X269" s="180">
        <f t="shared" si="53"/>
        <v>16569.5</v>
      </c>
      <c r="Y269" s="181">
        <f>IF(D269="Physician Group Practice",(X269/$AE$369)*'1. UC Assumptions'!$C$15,IF(OR(E269="Rural Hospital",E269="Hosp - State"),X269,(X269/$X$369)*'1. UC Assumptions'!$C$9))</f>
        <v>16569.5</v>
      </c>
      <c r="Z269" s="181">
        <f t="shared" si="56"/>
        <v>0</v>
      </c>
      <c r="AA269" s="181">
        <f t="shared" si="57"/>
        <v>0</v>
      </c>
      <c r="AB269" s="182">
        <f t="shared" si="58"/>
        <v>0</v>
      </c>
      <c r="AC269" s="181">
        <f t="shared" si="59"/>
        <v>0</v>
      </c>
      <c r="AD269" s="181">
        <f t="shared" si="60"/>
        <v>16569.5</v>
      </c>
      <c r="AE269" s="131">
        <v>138455.18</v>
      </c>
      <c r="AF269" s="131">
        <f>AE269*'1. UC Assumptions'!$C$23</f>
        <v>45690.209399999992</v>
      </c>
      <c r="AG269" s="183">
        <f>IF((((X269-W269-AE269)*'1. UC Assumptions'!$C$23)+AF269)&gt;0,((X269-W269-AE269)*'1. UC Assumptions'!$C$23)+AF269,0)</f>
        <v>5467.9349999999977</v>
      </c>
      <c r="AH269" s="183"/>
      <c r="AI269" s="183">
        <f t="shared" si="61"/>
        <v>45690.209399999992</v>
      </c>
      <c r="AJ269" s="183">
        <f>IF(H269="Bexar",(AD269/$AJ$1)*'1. UC Assumptions'!$E$42,0)</f>
        <v>0</v>
      </c>
      <c r="AK269" s="183">
        <f>IF(H269="Dallas",(AD269/$AK$1)*'1. UC Assumptions'!$F$42,0)</f>
        <v>0</v>
      </c>
      <c r="AL269" s="183">
        <f>IF(H269="El Paso",(AD269/$AL$1)*'1. UC Assumptions'!$G$42,0)</f>
        <v>0</v>
      </c>
      <c r="AM269" s="183">
        <f>IF(H269="Harris",(AD269/$AM$1)*'1. UC Assumptions'!$H$42,0)</f>
        <v>0</v>
      </c>
      <c r="AN269" s="183">
        <f>IF(H269="Hidalgo",(AD269/$AN$1)*'1. UC Assumptions'!$I$42,0)</f>
        <v>0</v>
      </c>
      <c r="AO269" s="183">
        <f>IF(H269="Jefferson",(AD269/$AO$1)*'1. UC Assumptions'!$J$42,0)</f>
        <v>0</v>
      </c>
      <c r="AP269" s="183">
        <f>IF(H269="Lubbock",(AD269/$AP$1)*'1. UC Assumptions'!$K$42,0)</f>
        <v>0</v>
      </c>
      <c r="AQ269" s="183">
        <f>IF(H269="MRSA Central",(AD269/$AQ$1)*'1. UC Assumptions'!$L$42,0)</f>
        <v>0</v>
      </c>
      <c r="AR269" s="183">
        <f>IF(H269="MRSA Northeast",(AD269/$AR$1)*'1. UC Assumptions'!$M$42,0)</f>
        <v>0</v>
      </c>
      <c r="AS269" s="183">
        <f>IF(H269="MRSA West",(AD269/$AS$1)*'1. UC Assumptions'!$N$42,0)</f>
        <v>0</v>
      </c>
      <c r="AT269" s="183">
        <f>IF(H269="Nueces",(AD269/$AT$1)*'1. UC Assumptions'!$O$42,0)</f>
        <v>0</v>
      </c>
      <c r="AU269" s="183">
        <f>IF(H269="Tarrant",(AD269/$AU$1)*'1. UC Assumptions'!$P$42,0)</f>
        <v>0</v>
      </c>
      <c r="AV269" s="183">
        <f>IF(H269="Travis",(AD269/$AV$1)*'1. UC Assumptions'!$Q$42,0)</f>
        <v>0</v>
      </c>
      <c r="AW269" s="183">
        <f>IF(H269="Bexar",(AC269/$AW$1)*'1. UC Assumptions'!$E$44,0)</f>
        <v>0</v>
      </c>
      <c r="AX269" s="183">
        <f>IF(H269="Dallas",(AC269/$AX$1)*'1. UC Assumptions'!$F$44,0)</f>
        <v>0</v>
      </c>
      <c r="AY269" s="183">
        <f>IF(H269="El Paso",(AC269/$AY$1)*'1. UC Assumptions'!$G$44,0)</f>
        <v>0</v>
      </c>
      <c r="AZ269" s="183">
        <f>IF(H269="Harris",(AC269/$AZ$1)*'1. UC Assumptions'!$H$44,0)</f>
        <v>0</v>
      </c>
      <c r="BA269" s="183">
        <f>IF(H269="Hidalgo",(AC269/$BA$1)*'1. UC Assumptions'!$I$44,0)</f>
        <v>0</v>
      </c>
      <c r="BB269" s="183">
        <f>IF(H269="Jefferson",(AC269/$BB$1)*'1. UC Assumptions'!$J$44,0)</f>
        <v>0</v>
      </c>
      <c r="BC269" s="183">
        <f>IF(H269="Lubbock",(AC269/$BC$1)*'1. UC Assumptions'!$K$44,0)</f>
        <v>0</v>
      </c>
      <c r="BD269" s="183">
        <f>IF(H269="MRSA Central",(AC269/$BD$1)*'1. UC Assumptions'!$L$44,0)</f>
        <v>0</v>
      </c>
      <c r="BE269" s="183">
        <f>IF(H269="MRSA Northeast",(AC269/$BE$1)*'1. UC Assumptions'!$M$44,0)</f>
        <v>0</v>
      </c>
      <c r="BF269" s="183">
        <f>IF(H269="MRSA West",(AC269/$BF$1)*'1. UC Assumptions'!$N$44,0)</f>
        <v>0</v>
      </c>
      <c r="BG269" s="183">
        <f>IF(H269="Nueces",(AC269/$BG$1)*'1. UC Assumptions'!$O$44,0)</f>
        <v>0</v>
      </c>
      <c r="BH269" s="183">
        <f>IF(H269="Tarrant",(AC269/$BH$1)*'1. UC Assumptions'!$P$44,0)</f>
        <v>0</v>
      </c>
      <c r="BI269" s="183">
        <f>IF(H269="Travis",(AC269/$BI$1)*'1. UC Assumptions'!$Q$44,0)</f>
        <v>0</v>
      </c>
      <c r="BJ269" s="183">
        <f t="shared" si="62"/>
        <v>0</v>
      </c>
      <c r="BK269" s="183">
        <f t="shared" si="63"/>
        <v>0</v>
      </c>
      <c r="BL269" s="183">
        <f t="shared" si="64"/>
        <v>16569.5</v>
      </c>
      <c r="BM269" s="184">
        <f t="shared" si="65"/>
        <v>-121885.68</v>
      </c>
      <c r="BN269" s="184">
        <f>ROUNDDOWN(BM269*'1. UC Assumptions'!$C$23,2)</f>
        <v>-40222.269999999997</v>
      </c>
      <c r="BO269" s="184"/>
      <c r="BP269" s="185"/>
      <c r="BQ269" s="32"/>
      <c r="BR269" s="32"/>
    </row>
    <row r="270" spans="1:70">
      <c r="A270" s="177" t="s">
        <v>1685</v>
      </c>
      <c r="B270" s="178" t="s">
        <v>1686</v>
      </c>
      <c r="C270" s="178" t="s">
        <v>595</v>
      </c>
      <c r="D270" s="179" t="s">
        <v>208</v>
      </c>
      <c r="E270" s="179" t="s">
        <v>149</v>
      </c>
      <c r="F270" s="177"/>
      <c r="G270" s="177" t="s">
        <v>1687</v>
      </c>
      <c r="H270" s="178" t="s">
        <v>12</v>
      </c>
      <c r="I270" s="178" t="s">
        <v>471</v>
      </c>
      <c r="J270" s="131">
        <f>IFERROR(INDEX(#REF!,(MATCH('Old Calc Tab'!C:C,#REF!,0))),0)</f>
        <v>0</v>
      </c>
      <c r="K270" s="131">
        <f>IFERROR(INDEX(#REF!,(MATCH('Old Calc Tab'!$C:$C,#REF!,0))),0)</f>
        <v>0</v>
      </c>
      <c r="L270" s="131"/>
      <c r="M270" s="131">
        <v>0</v>
      </c>
      <c r="N270" s="131">
        <f>IFERROR(INDEX(#REF!,(MATCH('Old Calc Tab'!$C:$C,#REF!,0))),0)</f>
        <v>0</v>
      </c>
      <c r="O270" s="131">
        <f t="shared" si="54"/>
        <v>0</v>
      </c>
      <c r="P270" s="131">
        <f t="shared" si="55"/>
        <v>0</v>
      </c>
      <c r="Q270" s="131"/>
      <c r="R270" s="131"/>
      <c r="S270" s="131"/>
      <c r="T270" s="131"/>
      <c r="U270" s="131"/>
      <c r="V270" s="131">
        <v>0</v>
      </c>
      <c r="W270" s="180">
        <v>0</v>
      </c>
      <c r="X270" s="180">
        <f t="shared" ref="X270:X301" si="66">P270+V270+W270</f>
        <v>0</v>
      </c>
      <c r="Y270" s="181">
        <f>IF(D270="Physician Group Practice",(X270/$AE$369)*'1. UC Assumptions'!$C$15,IF(OR(E270="Rural Hospital",E270="Hosp - State"),X270,(X270/$X$369)*'1. UC Assumptions'!$C$9))</f>
        <v>0</v>
      </c>
      <c r="Z270" s="181">
        <f t="shared" si="56"/>
        <v>0</v>
      </c>
      <c r="AA270" s="181">
        <f t="shared" si="57"/>
        <v>0</v>
      </c>
      <c r="AB270" s="182">
        <f t="shared" si="58"/>
        <v>0</v>
      </c>
      <c r="AC270" s="181">
        <f t="shared" si="59"/>
        <v>0</v>
      </c>
      <c r="AD270" s="181">
        <f t="shared" si="60"/>
        <v>0</v>
      </c>
      <c r="AE270" s="131">
        <v>514280.88</v>
      </c>
      <c r="AF270" s="131">
        <f>AE270*'1. UC Assumptions'!$C$23</f>
        <v>169712.69039999999</v>
      </c>
      <c r="AG270" s="183">
        <f>IF((((X270-W270-AE270)*'1. UC Assumptions'!$C$23)+AF270)&gt;0,((X270-W270-AE270)*'1. UC Assumptions'!$C$23)+AF270,0)</f>
        <v>0</v>
      </c>
      <c r="AH270" s="183"/>
      <c r="AI270" s="183">
        <f t="shared" si="61"/>
        <v>169712.69039999999</v>
      </c>
      <c r="AJ270" s="183">
        <f>IF(H270="Bexar",(AD270/$AJ$1)*'1. UC Assumptions'!$E$42,0)</f>
        <v>0</v>
      </c>
      <c r="AK270" s="183">
        <f>IF(H270="Dallas",(AD270/$AK$1)*'1. UC Assumptions'!$F$42,0)</f>
        <v>0</v>
      </c>
      <c r="AL270" s="183">
        <f>IF(H270="El Paso",(AD270/$AL$1)*'1. UC Assumptions'!$G$42,0)</f>
        <v>0</v>
      </c>
      <c r="AM270" s="183">
        <f>IF(H270="Harris",(AD270/$AM$1)*'1. UC Assumptions'!$H$42,0)</f>
        <v>0</v>
      </c>
      <c r="AN270" s="183">
        <f>IF(H270="Hidalgo",(AD270/$AN$1)*'1. UC Assumptions'!$I$42,0)</f>
        <v>0</v>
      </c>
      <c r="AO270" s="183">
        <f>IF(H270="Jefferson",(AD270/$AO$1)*'1. UC Assumptions'!$J$42,0)</f>
        <v>0</v>
      </c>
      <c r="AP270" s="183">
        <f>IF(H270="Lubbock",(AD270/$AP$1)*'1. UC Assumptions'!$K$42,0)</f>
        <v>0</v>
      </c>
      <c r="AQ270" s="183">
        <f>IF(H270="MRSA Central",(AD270/$AQ$1)*'1. UC Assumptions'!$L$42,0)</f>
        <v>0</v>
      </c>
      <c r="AR270" s="183">
        <f>IF(H270="MRSA Northeast",(AD270/$AR$1)*'1. UC Assumptions'!$M$42,0)</f>
        <v>0</v>
      </c>
      <c r="AS270" s="183">
        <f>IF(H270="MRSA West",(AD270/$AS$1)*'1. UC Assumptions'!$N$42,0)</f>
        <v>0</v>
      </c>
      <c r="AT270" s="183">
        <f>IF(H270="Nueces",(AD270/$AT$1)*'1. UC Assumptions'!$O$42,0)</f>
        <v>0</v>
      </c>
      <c r="AU270" s="183">
        <f>IF(H270="Tarrant",(AD270/$AU$1)*'1. UC Assumptions'!$P$42,0)</f>
        <v>0</v>
      </c>
      <c r="AV270" s="183">
        <f>IF(H270="Travis",(AD270/$AV$1)*'1. UC Assumptions'!$Q$42,0)</f>
        <v>0</v>
      </c>
      <c r="AW270" s="183">
        <f>IF(H270="Bexar",(AC270/$AW$1)*'1. UC Assumptions'!$E$44,0)</f>
        <v>0</v>
      </c>
      <c r="AX270" s="183">
        <f>IF(H270="Dallas",(AC270/$AX$1)*'1. UC Assumptions'!$F$44,0)</f>
        <v>0</v>
      </c>
      <c r="AY270" s="183">
        <f>IF(H270="El Paso",(AC270/$AY$1)*'1. UC Assumptions'!$G$44,0)</f>
        <v>0</v>
      </c>
      <c r="AZ270" s="183">
        <f>IF(H270="Harris",(AC270/$AZ$1)*'1. UC Assumptions'!$H$44,0)</f>
        <v>0</v>
      </c>
      <c r="BA270" s="183">
        <f>IF(H270="Hidalgo",(AC270/$BA$1)*'1. UC Assumptions'!$I$44,0)</f>
        <v>0</v>
      </c>
      <c r="BB270" s="183">
        <f>IF(H270="Jefferson",(AC270/$BB$1)*'1. UC Assumptions'!$J$44,0)</f>
        <v>0</v>
      </c>
      <c r="BC270" s="183">
        <f>IF(H270="Lubbock",(AC270/$BC$1)*'1. UC Assumptions'!$K$44,0)</f>
        <v>0</v>
      </c>
      <c r="BD270" s="183">
        <f>IF(H270="MRSA Central",(AC270/$BD$1)*'1. UC Assumptions'!$L$44,0)</f>
        <v>0</v>
      </c>
      <c r="BE270" s="183">
        <f>IF(H270="MRSA Northeast",(AC270/$BE$1)*'1. UC Assumptions'!$M$44,0)</f>
        <v>0</v>
      </c>
      <c r="BF270" s="183">
        <f>IF(H270="MRSA West",(AC270/$BF$1)*'1. UC Assumptions'!$N$44,0)</f>
        <v>0</v>
      </c>
      <c r="BG270" s="183">
        <f>IF(H270="Nueces",(AC270/$BG$1)*'1. UC Assumptions'!$O$44,0)</f>
        <v>0</v>
      </c>
      <c r="BH270" s="183">
        <f>IF(H270="Tarrant",(AC270/$BH$1)*'1. UC Assumptions'!$P$44,0)</f>
        <v>0</v>
      </c>
      <c r="BI270" s="183">
        <f>IF(H270="Travis",(AC270/$BI$1)*'1. UC Assumptions'!$Q$44,0)</f>
        <v>0</v>
      </c>
      <c r="BJ270" s="183">
        <f t="shared" si="62"/>
        <v>0</v>
      </c>
      <c r="BK270" s="183">
        <f t="shared" si="63"/>
        <v>0</v>
      </c>
      <c r="BL270" s="183">
        <f t="shared" si="64"/>
        <v>0</v>
      </c>
      <c r="BM270" s="184">
        <f t="shared" si="65"/>
        <v>-514280.88</v>
      </c>
      <c r="BN270" s="184">
        <f>ROUNDDOWN(BM270*'1. UC Assumptions'!$C$23,2)</f>
        <v>-169712.69</v>
      </c>
      <c r="BO270" s="184"/>
      <c r="BP270" s="185"/>
      <c r="BQ270" s="32"/>
      <c r="BR270" s="32"/>
    </row>
    <row r="271" spans="1:70">
      <c r="A271" s="177" t="s">
        <v>1688</v>
      </c>
      <c r="B271" s="178" t="s">
        <v>603</v>
      </c>
      <c r="C271" s="178" t="s">
        <v>603</v>
      </c>
      <c r="D271" s="179" t="s">
        <v>208</v>
      </c>
      <c r="E271" s="179" t="s">
        <v>149</v>
      </c>
      <c r="F271" s="177"/>
      <c r="G271" s="177" t="s">
        <v>604</v>
      </c>
      <c r="H271" s="178" t="s">
        <v>12</v>
      </c>
      <c r="I271" s="178" t="s">
        <v>605</v>
      </c>
      <c r="J271" s="131">
        <f>IFERROR(INDEX(#REF!,(MATCH('Old Calc Tab'!C:C,#REF!,0))),0)</f>
        <v>0</v>
      </c>
      <c r="K271" s="131">
        <f>IFERROR(INDEX(#REF!,(MATCH('Old Calc Tab'!$C:$C,#REF!,0))),0)</f>
        <v>0</v>
      </c>
      <c r="L271" s="131"/>
      <c r="M271" s="131">
        <v>365448.15</v>
      </c>
      <c r="N271" s="131">
        <f>IFERROR(INDEX(#REF!,(MATCH('Old Calc Tab'!$C:$C,#REF!,0))),0)</f>
        <v>0</v>
      </c>
      <c r="O271" s="131">
        <f t="shared" si="54"/>
        <v>0</v>
      </c>
      <c r="P271" s="131">
        <f t="shared" si="55"/>
        <v>365448.15</v>
      </c>
      <c r="Q271" s="131"/>
      <c r="R271" s="131"/>
      <c r="S271" s="131"/>
      <c r="T271" s="131"/>
      <c r="U271" s="131"/>
      <c r="V271" s="131">
        <v>0</v>
      </c>
      <c r="W271" s="180">
        <v>0</v>
      </c>
      <c r="X271" s="180">
        <f t="shared" si="66"/>
        <v>365448.15</v>
      </c>
      <c r="Y271" s="181">
        <f>IF(D271="Physician Group Practice",(X271/$AE$369)*'1. UC Assumptions'!$C$15,IF(OR(E271="Rural Hospital",E271="Hosp - State"),X271,(X271/$X$369)*'1. UC Assumptions'!$C$9))</f>
        <v>365448.15</v>
      </c>
      <c r="Z271" s="181">
        <f t="shared" si="56"/>
        <v>0</v>
      </c>
      <c r="AA271" s="181">
        <f t="shared" si="57"/>
        <v>0</v>
      </c>
      <c r="AB271" s="182">
        <f t="shared" si="58"/>
        <v>0</v>
      </c>
      <c r="AC271" s="181">
        <f t="shared" si="59"/>
        <v>0</v>
      </c>
      <c r="AD271" s="181">
        <f t="shared" si="60"/>
        <v>365448.15</v>
      </c>
      <c r="AE271" s="131">
        <v>276151.76</v>
      </c>
      <c r="AF271" s="131">
        <f>AE271*'1. UC Assumptions'!$C$23</f>
        <v>91130.080799999996</v>
      </c>
      <c r="AG271" s="183">
        <f>IF((((X271-W271-AE271)*'1. UC Assumptions'!$C$23)+AF271)&gt;0,((X271-W271-AE271)*'1. UC Assumptions'!$C$23)+AF271,0)</f>
        <v>120597.88949999999</v>
      </c>
      <c r="AH271" s="183"/>
      <c r="AI271" s="183">
        <f t="shared" si="61"/>
        <v>91130.080799999996</v>
      </c>
      <c r="AJ271" s="183">
        <f>IF(H271="Bexar",(AD271/$AJ$1)*'1. UC Assumptions'!$E$42,0)</f>
        <v>0</v>
      </c>
      <c r="AK271" s="183">
        <f>IF(H271="Dallas",(AD271/$AK$1)*'1. UC Assumptions'!$F$42,0)</f>
        <v>0</v>
      </c>
      <c r="AL271" s="183">
        <f>IF(H271="El Paso",(AD271/$AL$1)*'1. UC Assumptions'!$G$42,0)</f>
        <v>0</v>
      </c>
      <c r="AM271" s="183">
        <f>IF(H271="Harris",(AD271/$AM$1)*'1. UC Assumptions'!$H$42,0)</f>
        <v>0</v>
      </c>
      <c r="AN271" s="183">
        <f>IF(H271="Hidalgo",(AD271/$AN$1)*'1. UC Assumptions'!$I$42,0)</f>
        <v>0</v>
      </c>
      <c r="AO271" s="183">
        <f>IF(H271="Jefferson",(AD271/$AO$1)*'1. UC Assumptions'!$J$42,0)</f>
        <v>0</v>
      </c>
      <c r="AP271" s="183">
        <f>IF(H271="Lubbock",(AD271/$AP$1)*'1. UC Assumptions'!$K$42,0)</f>
        <v>0</v>
      </c>
      <c r="AQ271" s="183">
        <f>IF(H271="MRSA Central",(AD271/$AQ$1)*'1. UC Assumptions'!$L$42,0)</f>
        <v>0</v>
      </c>
      <c r="AR271" s="183">
        <f>IF(H271="MRSA Northeast",(AD271/$AR$1)*'1. UC Assumptions'!$M$42,0)</f>
        <v>0</v>
      </c>
      <c r="AS271" s="183">
        <f>IF(H271="MRSA West",(AD271/$AS$1)*'1. UC Assumptions'!$N$42,0)</f>
        <v>0</v>
      </c>
      <c r="AT271" s="183">
        <f>IF(H271="Nueces",(AD271/$AT$1)*'1. UC Assumptions'!$O$42,0)</f>
        <v>0</v>
      </c>
      <c r="AU271" s="183">
        <f>IF(H271="Tarrant",(AD271/$AU$1)*'1. UC Assumptions'!$P$42,0)</f>
        <v>0</v>
      </c>
      <c r="AV271" s="183">
        <f>IF(H271="Travis",(AD271/$AV$1)*'1. UC Assumptions'!$Q$42,0)</f>
        <v>0</v>
      </c>
      <c r="AW271" s="183">
        <f>IF(H271="Bexar",(AC271/$AW$1)*'1. UC Assumptions'!$E$44,0)</f>
        <v>0</v>
      </c>
      <c r="AX271" s="183">
        <f>IF(H271="Dallas",(AC271/$AX$1)*'1. UC Assumptions'!$F$44,0)</f>
        <v>0</v>
      </c>
      <c r="AY271" s="183">
        <f>IF(H271="El Paso",(AC271/$AY$1)*'1. UC Assumptions'!$G$44,0)</f>
        <v>0</v>
      </c>
      <c r="AZ271" s="183">
        <f>IF(H271="Harris",(AC271/$AZ$1)*'1. UC Assumptions'!$H$44,0)</f>
        <v>0</v>
      </c>
      <c r="BA271" s="183">
        <f>IF(H271="Hidalgo",(AC271/$BA$1)*'1. UC Assumptions'!$I$44,0)</f>
        <v>0</v>
      </c>
      <c r="BB271" s="183">
        <f>IF(H271="Jefferson",(AC271/$BB$1)*'1. UC Assumptions'!$J$44,0)</f>
        <v>0</v>
      </c>
      <c r="BC271" s="183">
        <f>IF(H271="Lubbock",(AC271/$BC$1)*'1. UC Assumptions'!$K$44,0)</f>
        <v>0</v>
      </c>
      <c r="BD271" s="183">
        <f>IF(H271="MRSA Central",(AC271/$BD$1)*'1. UC Assumptions'!$L$44,0)</f>
        <v>0</v>
      </c>
      <c r="BE271" s="183">
        <f>IF(H271="MRSA Northeast",(AC271/$BE$1)*'1. UC Assumptions'!$M$44,0)</f>
        <v>0</v>
      </c>
      <c r="BF271" s="183">
        <f>IF(H271="MRSA West",(AC271/$BF$1)*'1. UC Assumptions'!$N$44,0)</f>
        <v>0</v>
      </c>
      <c r="BG271" s="183">
        <f>IF(H271="Nueces",(AC271/$BG$1)*'1. UC Assumptions'!$O$44,0)</f>
        <v>0</v>
      </c>
      <c r="BH271" s="183">
        <f>IF(H271="Tarrant",(AC271/$BH$1)*'1. UC Assumptions'!$P$44,0)</f>
        <v>0</v>
      </c>
      <c r="BI271" s="183">
        <f>IF(H271="Travis",(AC271/$BI$1)*'1. UC Assumptions'!$Q$44,0)</f>
        <v>0</v>
      </c>
      <c r="BJ271" s="183">
        <f t="shared" si="62"/>
        <v>0</v>
      </c>
      <c r="BK271" s="183">
        <f t="shared" si="63"/>
        <v>0</v>
      </c>
      <c r="BL271" s="183">
        <f t="shared" si="64"/>
        <v>365448.15</v>
      </c>
      <c r="BM271" s="184">
        <f t="shared" si="65"/>
        <v>89296.390000000014</v>
      </c>
      <c r="BN271" s="184">
        <f>ROUNDDOWN(BM271*'1. UC Assumptions'!$C$23,2)</f>
        <v>29467.8</v>
      </c>
      <c r="BO271" s="184"/>
      <c r="BP271" s="185"/>
      <c r="BQ271" s="32"/>
      <c r="BR271" s="32"/>
    </row>
    <row r="272" spans="1:70">
      <c r="A272" s="177" t="s">
        <v>1689</v>
      </c>
      <c r="B272" s="178" t="s">
        <v>1690</v>
      </c>
      <c r="C272" s="178" t="s">
        <v>1690</v>
      </c>
      <c r="D272" s="179" t="s">
        <v>214</v>
      </c>
      <c r="E272" s="179" t="s">
        <v>149</v>
      </c>
      <c r="F272" s="177"/>
      <c r="G272" s="177" t="s">
        <v>1075</v>
      </c>
      <c r="H272" s="178" t="s">
        <v>12</v>
      </c>
      <c r="I272" s="178" t="s">
        <v>740</v>
      </c>
      <c r="J272" s="131">
        <f>IFERROR(INDEX(#REF!,(MATCH('Old Calc Tab'!C:C,#REF!,0))),0)</f>
        <v>0</v>
      </c>
      <c r="K272" s="131">
        <f>IFERROR(INDEX(#REF!,(MATCH('Old Calc Tab'!$C:$C,#REF!,0))),0)</f>
        <v>0</v>
      </c>
      <c r="L272" s="131"/>
      <c r="M272" s="131">
        <v>137933</v>
      </c>
      <c r="N272" s="131">
        <f>IFERROR(INDEX(#REF!,(MATCH('Old Calc Tab'!$C:$C,#REF!,0))),0)</f>
        <v>0</v>
      </c>
      <c r="O272" s="131">
        <f t="shared" si="54"/>
        <v>0</v>
      </c>
      <c r="P272" s="131">
        <f t="shared" si="55"/>
        <v>137933</v>
      </c>
      <c r="Q272" s="131"/>
      <c r="R272" s="131"/>
      <c r="S272" s="131"/>
      <c r="T272" s="131"/>
      <c r="U272" s="131"/>
      <c r="V272" s="131">
        <v>137871</v>
      </c>
      <c r="W272" s="180">
        <v>0</v>
      </c>
      <c r="X272" s="180">
        <f t="shared" si="66"/>
        <v>275804</v>
      </c>
      <c r="Y272" s="181">
        <f>IF(D272="Physician Group Practice",(X272/$AE$369)*'1. UC Assumptions'!$C$15,IF(OR(E272="Rural Hospital",E272="Hosp - State"),X272,(X272/$X$369)*'1. UC Assumptions'!$C$9))</f>
        <v>275804</v>
      </c>
      <c r="Z272" s="181">
        <f t="shared" si="56"/>
        <v>0</v>
      </c>
      <c r="AA272" s="181">
        <f t="shared" si="57"/>
        <v>0</v>
      </c>
      <c r="AB272" s="182">
        <f t="shared" si="58"/>
        <v>0</v>
      </c>
      <c r="AC272" s="181">
        <f t="shared" si="59"/>
        <v>0</v>
      </c>
      <c r="AD272" s="181">
        <f t="shared" si="60"/>
        <v>275804</v>
      </c>
      <c r="AE272" s="131">
        <v>923708.49</v>
      </c>
      <c r="AF272" s="131">
        <f>AE272*'1. UC Assumptions'!$C$23</f>
        <v>304823.80169999995</v>
      </c>
      <c r="AG272" s="183">
        <f>IF((((X272-W272-AE272)*'1. UC Assumptions'!$C$23)+AF272)&gt;0,((X272-W272-AE272)*'1. UC Assumptions'!$C$23)+AF272,0)</f>
        <v>91015.319999999978</v>
      </c>
      <c r="AH272" s="183"/>
      <c r="AI272" s="183">
        <f t="shared" si="61"/>
        <v>304823.80169999995</v>
      </c>
      <c r="AJ272" s="183">
        <f>IF(H272="Bexar",(AD272/$AJ$1)*'1. UC Assumptions'!$E$42,0)</f>
        <v>0</v>
      </c>
      <c r="AK272" s="183">
        <f>IF(H272="Dallas",(AD272/$AK$1)*'1. UC Assumptions'!$F$42,0)</f>
        <v>0</v>
      </c>
      <c r="AL272" s="183">
        <f>IF(H272="El Paso",(AD272/$AL$1)*'1. UC Assumptions'!$G$42,0)</f>
        <v>0</v>
      </c>
      <c r="AM272" s="183">
        <f>IF(H272="Harris",(AD272/$AM$1)*'1. UC Assumptions'!$H$42,0)</f>
        <v>0</v>
      </c>
      <c r="AN272" s="183">
        <f>IF(H272="Hidalgo",(AD272/$AN$1)*'1. UC Assumptions'!$I$42,0)</f>
        <v>0</v>
      </c>
      <c r="AO272" s="183">
        <f>IF(H272="Jefferson",(AD272/$AO$1)*'1. UC Assumptions'!$J$42,0)</f>
        <v>0</v>
      </c>
      <c r="AP272" s="183">
        <f>IF(H272="Lubbock",(AD272/$AP$1)*'1. UC Assumptions'!$K$42,0)</f>
        <v>0</v>
      </c>
      <c r="AQ272" s="183">
        <f>IF(H272="MRSA Central",(AD272/$AQ$1)*'1. UC Assumptions'!$L$42,0)</f>
        <v>0</v>
      </c>
      <c r="AR272" s="183">
        <f>IF(H272="MRSA Northeast",(AD272/$AR$1)*'1. UC Assumptions'!$M$42,0)</f>
        <v>0</v>
      </c>
      <c r="AS272" s="183">
        <f>IF(H272="MRSA West",(AD272/$AS$1)*'1. UC Assumptions'!$N$42,0)</f>
        <v>0</v>
      </c>
      <c r="AT272" s="183">
        <f>IF(H272="Nueces",(AD272/$AT$1)*'1. UC Assumptions'!$O$42,0)</f>
        <v>0</v>
      </c>
      <c r="AU272" s="183">
        <f>IF(H272="Tarrant",(AD272/$AU$1)*'1. UC Assumptions'!$P$42,0)</f>
        <v>0</v>
      </c>
      <c r="AV272" s="183">
        <f>IF(H272="Travis",(AD272/$AV$1)*'1. UC Assumptions'!$Q$42,0)</f>
        <v>0</v>
      </c>
      <c r="AW272" s="183">
        <f>IF(H272="Bexar",(AC272/$AW$1)*'1. UC Assumptions'!$E$44,0)</f>
        <v>0</v>
      </c>
      <c r="AX272" s="183">
        <f>IF(H272="Dallas",(AC272/$AX$1)*'1. UC Assumptions'!$F$44,0)</f>
        <v>0</v>
      </c>
      <c r="AY272" s="183">
        <f>IF(H272="El Paso",(AC272/$AY$1)*'1. UC Assumptions'!$G$44,0)</f>
        <v>0</v>
      </c>
      <c r="AZ272" s="183">
        <f>IF(H272="Harris",(AC272/$AZ$1)*'1. UC Assumptions'!$H$44,0)</f>
        <v>0</v>
      </c>
      <c r="BA272" s="183">
        <f>IF(H272="Hidalgo",(AC272/$BA$1)*'1. UC Assumptions'!$I$44,0)</f>
        <v>0</v>
      </c>
      <c r="BB272" s="183">
        <f>IF(H272="Jefferson",(AC272/$BB$1)*'1. UC Assumptions'!$J$44,0)</f>
        <v>0</v>
      </c>
      <c r="BC272" s="183">
        <f>IF(H272="Lubbock",(AC272/$BC$1)*'1. UC Assumptions'!$K$44,0)</f>
        <v>0</v>
      </c>
      <c r="BD272" s="183">
        <f>IF(H272="MRSA Central",(AC272/$BD$1)*'1. UC Assumptions'!$L$44,0)</f>
        <v>0</v>
      </c>
      <c r="BE272" s="183">
        <f>IF(H272="MRSA Northeast",(AC272/$BE$1)*'1. UC Assumptions'!$M$44,0)</f>
        <v>0</v>
      </c>
      <c r="BF272" s="183">
        <f>IF(H272="MRSA West",(AC272/$BF$1)*'1. UC Assumptions'!$N$44,0)</f>
        <v>0</v>
      </c>
      <c r="BG272" s="183">
        <f>IF(H272="Nueces",(AC272/$BG$1)*'1. UC Assumptions'!$O$44,0)</f>
        <v>0</v>
      </c>
      <c r="BH272" s="183">
        <f>IF(H272="Tarrant",(AC272/$BH$1)*'1. UC Assumptions'!$P$44,0)</f>
        <v>0</v>
      </c>
      <c r="BI272" s="183">
        <f>IF(H272="Travis",(AC272/$BI$1)*'1. UC Assumptions'!$Q$44,0)</f>
        <v>0</v>
      </c>
      <c r="BJ272" s="183">
        <f t="shared" si="62"/>
        <v>0</v>
      </c>
      <c r="BK272" s="183">
        <f t="shared" si="63"/>
        <v>0</v>
      </c>
      <c r="BL272" s="183">
        <f t="shared" si="64"/>
        <v>275804</v>
      </c>
      <c r="BM272" s="184">
        <f t="shared" si="65"/>
        <v>-647904.49</v>
      </c>
      <c r="BN272" s="184">
        <f>ROUNDDOWN(BM272*'1. UC Assumptions'!$C$23,2)</f>
        <v>-213808.48</v>
      </c>
      <c r="BO272" s="184"/>
      <c r="BP272" s="185"/>
      <c r="BQ272" s="32"/>
      <c r="BR272" s="32"/>
    </row>
    <row r="273" spans="1:70">
      <c r="A273" s="177" t="s">
        <v>1691</v>
      </c>
      <c r="B273" s="178" t="s">
        <v>618</v>
      </c>
      <c r="C273" s="178" t="s">
        <v>618</v>
      </c>
      <c r="D273" s="179" t="s">
        <v>208</v>
      </c>
      <c r="E273" s="179" t="s">
        <v>149</v>
      </c>
      <c r="F273" s="177"/>
      <c r="G273" s="177" t="s">
        <v>1692</v>
      </c>
      <c r="H273" s="178" t="s">
        <v>12</v>
      </c>
      <c r="I273" s="178" t="s">
        <v>620</v>
      </c>
      <c r="J273" s="131">
        <f>IFERROR(INDEX(#REF!,(MATCH('Old Calc Tab'!C:C,#REF!,0))),0)</f>
        <v>0</v>
      </c>
      <c r="K273" s="131">
        <f>IFERROR(INDEX(#REF!,(MATCH('Old Calc Tab'!$C:$C,#REF!,0))),0)</f>
        <v>0</v>
      </c>
      <c r="L273" s="131"/>
      <c r="M273" s="131">
        <v>544668.45000000007</v>
      </c>
      <c r="N273" s="131">
        <f>IFERROR(INDEX(#REF!,(MATCH('Old Calc Tab'!$C:$C,#REF!,0))),0)</f>
        <v>0</v>
      </c>
      <c r="O273" s="131">
        <f t="shared" si="54"/>
        <v>0</v>
      </c>
      <c r="P273" s="131">
        <f t="shared" si="55"/>
        <v>544668.45000000007</v>
      </c>
      <c r="Q273" s="131"/>
      <c r="R273" s="131"/>
      <c r="S273" s="131"/>
      <c r="T273" s="131"/>
      <c r="U273" s="131"/>
      <c r="V273" s="131">
        <v>0</v>
      </c>
      <c r="W273" s="180">
        <v>0</v>
      </c>
      <c r="X273" s="180">
        <f t="shared" si="66"/>
        <v>544668.45000000007</v>
      </c>
      <c r="Y273" s="181">
        <f>IF(D273="Physician Group Practice",(X273/$AE$369)*'1. UC Assumptions'!$C$15,IF(OR(E273="Rural Hospital",E273="Hosp - State"),X273,(X273/$X$369)*'1. UC Assumptions'!$C$9))</f>
        <v>544668.45000000007</v>
      </c>
      <c r="Z273" s="181">
        <f t="shared" si="56"/>
        <v>0</v>
      </c>
      <c r="AA273" s="181">
        <f t="shared" si="57"/>
        <v>0</v>
      </c>
      <c r="AB273" s="182">
        <f t="shared" si="58"/>
        <v>0</v>
      </c>
      <c r="AC273" s="181">
        <f t="shared" si="59"/>
        <v>0</v>
      </c>
      <c r="AD273" s="181">
        <f t="shared" si="60"/>
        <v>544668.45000000007</v>
      </c>
      <c r="AE273" s="131">
        <v>579555.25</v>
      </c>
      <c r="AF273" s="131">
        <f>AE273*'1. UC Assumptions'!$C$23</f>
        <v>191253.23249999998</v>
      </c>
      <c r="AG273" s="183">
        <f>IF((((X273-W273-AE273)*'1. UC Assumptions'!$C$23)+AF273)&gt;0,((X273-W273-AE273)*'1. UC Assumptions'!$C$23)+AF273,0)</f>
        <v>179740.58850000001</v>
      </c>
      <c r="AH273" s="183"/>
      <c r="AI273" s="183">
        <f t="shared" si="61"/>
        <v>191253.23249999998</v>
      </c>
      <c r="AJ273" s="183">
        <f>IF(H273="Bexar",(AD273/$AJ$1)*'1. UC Assumptions'!$E$42,0)</f>
        <v>0</v>
      </c>
      <c r="AK273" s="183">
        <f>IF(H273="Dallas",(AD273/$AK$1)*'1. UC Assumptions'!$F$42,0)</f>
        <v>0</v>
      </c>
      <c r="AL273" s="183">
        <f>IF(H273="El Paso",(AD273/$AL$1)*'1. UC Assumptions'!$G$42,0)</f>
        <v>0</v>
      </c>
      <c r="AM273" s="183">
        <f>IF(H273="Harris",(AD273/$AM$1)*'1. UC Assumptions'!$H$42,0)</f>
        <v>0</v>
      </c>
      <c r="AN273" s="183">
        <f>IF(H273="Hidalgo",(AD273/$AN$1)*'1. UC Assumptions'!$I$42,0)</f>
        <v>0</v>
      </c>
      <c r="AO273" s="183">
        <f>IF(H273="Jefferson",(AD273/$AO$1)*'1. UC Assumptions'!$J$42,0)</f>
        <v>0</v>
      </c>
      <c r="AP273" s="183">
        <f>IF(H273="Lubbock",(AD273/$AP$1)*'1. UC Assumptions'!$K$42,0)</f>
        <v>0</v>
      </c>
      <c r="AQ273" s="183">
        <f>IF(H273="MRSA Central",(AD273/$AQ$1)*'1. UC Assumptions'!$L$42,0)</f>
        <v>0</v>
      </c>
      <c r="AR273" s="183">
        <f>IF(H273="MRSA Northeast",(AD273/$AR$1)*'1. UC Assumptions'!$M$42,0)</f>
        <v>0</v>
      </c>
      <c r="AS273" s="183">
        <f>IF(H273="MRSA West",(AD273/$AS$1)*'1. UC Assumptions'!$N$42,0)</f>
        <v>0</v>
      </c>
      <c r="AT273" s="183">
        <f>IF(H273="Nueces",(AD273/$AT$1)*'1. UC Assumptions'!$O$42,0)</f>
        <v>0</v>
      </c>
      <c r="AU273" s="183">
        <f>IF(H273="Tarrant",(AD273/$AU$1)*'1. UC Assumptions'!$P$42,0)</f>
        <v>0</v>
      </c>
      <c r="AV273" s="183">
        <f>IF(H273="Travis",(AD273/$AV$1)*'1. UC Assumptions'!$Q$42,0)</f>
        <v>0</v>
      </c>
      <c r="AW273" s="183">
        <f>IF(H273="Bexar",(AC273/$AW$1)*'1. UC Assumptions'!$E$44,0)</f>
        <v>0</v>
      </c>
      <c r="AX273" s="183">
        <f>IF(H273="Dallas",(AC273/$AX$1)*'1. UC Assumptions'!$F$44,0)</f>
        <v>0</v>
      </c>
      <c r="AY273" s="183">
        <f>IF(H273="El Paso",(AC273/$AY$1)*'1. UC Assumptions'!$G$44,0)</f>
        <v>0</v>
      </c>
      <c r="AZ273" s="183">
        <f>IF(H273="Harris",(AC273/$AZ$1)*'1. UC Assumptions'!$H$44,0)</f>
        <v>0</v>
      </c>
      <c r="BA273" s="183">
        <f>IF(H273="Hidalgo",(AC273/$BA$1)*'1. UC Assumptions'!$I$44,0)</f>
        <v>0</v>
      </c>
      <c r="BB273" s="183">
        <f>IF(H273="Jefferson",(AC273/$BB$1)*'1. UC Assumptions'!$J$44,0)</f>
        <v>0</v>
      </c>
      <c r="BC273" s="183">
        <f>IF(H273="Lubbock",(AC273/$BC$1)*'1. UC Assumptions'!$K$44,0)</f>
        <v>0</v>
      </c>
      <c r="BD273" s="183">
        <f>IF(H273="MRSA Central",(AC273/$BD$1)*'1. UC Assumptions'!$L$44,0)</f>
        <v>0</v>
      </c>
      <c r="BE273" s="183">
        <f>IF(H273="MRSA Northeast",(AC273/$BE$1)*'1. UC Assumptions'!$M$44,0)</f>
        <v>0</v>
      </c>
      <c r="BF273" s="183">
        <f>IF(H273="MRSA West",(AC273/$BF$1)*'1. UC Assumptions'!$N$44,0)</f>
        <v>0</v>
      </c>
      <c r="BG273" s="183">
        <f>IF(H273="Nueces",(AC273/$BG$1)*'1. UC Assumptions'!$O$44,0)</f>
        <v>0</v>
      </c>
      <c r="BH273" s="183">
        <f>IF(H273="Tarrant",(AC273/$BH$1)*'1. UC Assumptions'!$P$44,0)</f>
        <v>0</v>
      </c>
      <c r="BI273" s="183">
        <f>IF(H273="Travis",(AC273/$BI$1)*'1. UC Assumptions'!$Q$44,0)</f>
        <v>0</v>
      </c>
      <c r="BJ273" s="183">
        <f t="shared" si="62"/>
        <v>0</v>
      </c>
      <c r="BK273" s="183">
        <f t="shared" si="63"/>
        <v>0</v>
      </c>
      <c r="BL273" s="183">
        <f t="shared" si="64"/>
        <v>544668.45000000007</v>
      </c>
      <c r="BM273" s="184">
        <f t="shared" si="65"/>
        <v>-34886.79999999993</v>
      </c>
      <c r="BN273" s="184">
        <f>ROUNDDOWN(BM273*'1. UC Assumptions'!$C$23,2)</f>
        <v>-11512.64</v>
      </c>
      <c r="BO273" s="184"/>
      <c r="BP273" s="185"/>
      <c r="BQ273" s="32"/>
      <c r="BR273" s="32"/>
    </row>
    <row r="274" spans="1:70">
      <c r="A274" s="177" t="s">
        <v>1693</v>
      </c>
      <c r="B274" s="178" t="s">
        <v>623</v>
      </c>
      <c r="C274" s="178" t="s">
        <v>623</v>
      </c>
      <c r="D274" s="179" t="s">
        <v>208</v>
      </c>
      <c r="E274" s="179" t="s">
        <v>149</v>
      </c>
      <c r="F274" s="177"/>
      <c r="G274" s="177" t="s">
        <v>624</v>
      </c>
      <c r="H274" s="178" t="s">
        <v>12</v>
      </c>
      <c r="I274" s="178" t="s">
        <v>625</v>
      </c>
      <c r="J274" s="131">
        <f>IFERROR(INDEX(#REF!,(MATCH('Old Calc Tab'!C:C,#REF!,0))),0)</f>
        <v>0</v>
      </c>
      <c r="K274" s="131">
        <f>IFERROR(INDEX(#REF!,(MATCH('Old Calc Tab'!$C:$C,#REF!,0))),0)</f>
        <v>0</v>
      </c>
      <c r="L274" s="131"/>
      <c r="M274" s="131">
        <v>1816851.1</v>
      </c>
      <c r="N274" s="131">
        <f>IFERROR(INDEX(#REF!,(MATCH('Old Calc Tab'!$C:$C,#REF!,0))),0)</f>
        <v>0</v>
      </c>
      <c r="O274" s="131">
        <f t="shared" si="54"/>
        <v>0</v>
      </c>
      <c r="P274" s="131">
        <f t="shared" si="55"/>
        <v>1816851.1</v>
      </c>
      <c r="Q274" s="131"/>
      <c r="R274" s="131"/>
      <c r="S274" s="131"/>
      <c r="T274" s="131"/>
      <c r="U274" s="131"/>
      <c r="V274" s="131">
        <v>0</v>
      </c>
      <c r="W274" s="180">
        <v>0</v>
      </c>
      <c r="X274" s="180">
        <f t="shared" si="66"/>
        <v>1816851.1</v>
      </c>
      <c r="Y274" s="181">
        <f>IF(D274="Physician Group Practice",(X274/$AE$369)*'1. UC Assumptions'!$C$15,IF(OR(E274="Rural Hospital",E274="Hosp - State"),X274,(X274/$X$369)*'1. UC Assumptions'!$C$9))</f>
        <v>1816851.1</v>
      </c>
      <c r="Z274" s="181">
        <f t="shared" si="56"/>
        <v>0</v>
      </c>
      <c r="AA274" s="181">
        <f t="shared" si="57"/>
        <v>0</v>
      </c>
      <c r="AB274" s="182">
        <f t="shared" si="58"/>
        <v>0</v>
      </c>
      <c r="AC274" s="181">
        <f t="shared" si="59"/>
        <v>0</v>
      </c>
      <c r="AD274" s="181">
        <f t="shared" si="60"/>
        <v>1816851.1</v>
      </c>
      <c r="AE274" s="131">
        <v>155739.32</v>
      </c>
      <c r="AF274" s="131">
        <f>AE274*'1. UC Assumptions'!$C$23</f>
        <v>51393.975599999998</v>
      </c>
      <c r="AG274" s="183">
        <f>IF((((X274-W274-AE274)*'1. UC Assumptions'!$C$23)+AF274)&gt;0,((X274-W274-AE274)*'1. UC Assumptions'!$C$23)+AF274,0)</f>
        <v>599560.8629999999</v>
      </c>
      <c r="AH274" s="183"/>
      <c r="AI274" s="183">
        <f t="shared" si="61"/>
        <v>51393.975599999998</v>
      </c>
      <c r="AJ274" s="183">
        <f>IF(H274="Bexar",(AD274/$AJ$1)*'1. UC Assumptions'!$E$42,0)</f>
        <v>0</v>
      </c>
      <c r="AK274" s="183">
        <f>IF(H274="Dallas",(AD274/$AK$1)*'1. UC Assumptions'!$F$42,0)</f>
        <v>0</v>
      </c>
      <c r="AL274" s="183">
        <f>IF(H274="El Paso",(AD274/$AL$1)*'1. UC Assumptions'!$G$42,0)</f>
        <v>0</v>
      </c>
      <c r="AM274" s="183">
        <f>IF(H274="Harris",(AD274/$AM$1)*'1. UC Assumptions'!$H$42,0)</f>
        <v>0</v>
      </c>
      <c r="AN274" s="183">
        <f>IF(H274="Hidalgo",(AD274/$AN$1)*'1. UC Assumptions'!$I$42,0)</f>
        <v>0</v>
      </c>
      <c r="AO274" s="183">
        <f>IF(H274="Jefferson",(AD274/$AO$1)*'1. UC Assumptions'!$J$42,0)</f>
        <v>0</v>
      </c>
      <c r="AP274" s="183">
        <f>IF(H274="Lubbock",(AD274/$AP$1)*'1. UC Assumptions'!$K$42,0)</f>
        <v>0</v>
      </c>
      <c r="AQ274" s="183">
        <f>IF(H274="MRSA Central",(AD274/$AQ$1)*'1. UC Assumptions'!$L$42,0)</f>
        <v>0</v>
      </c>
      <c r="AR274" s="183">
        <f>IF(H274="MRSA Northeast",(AD274/$AR$1)*'1. UC Assumptions'!$M$42,0)</f>
        <v>0</v>
      </c>
      <c r="AS274" s="183">
        <f>IF(H274="MRSA West",(AD274/$AS$1)*'1. UC Assumptions'!$N$42,0)</f>
        <v>0</v>
      </c>
      <c r="AT274" s="183">
        <f>IF(H274="Nueces",(AD274/$AT$1)*'1. UC Assumptions'!$O$42,0)</f>
        <v>0</v>
      </c>
      <c r="AU274" s="183">
        <f>IF(H274="Tarrant",(AD274/$AU$1)*'1. UC Assumptions'!$P$42,0)</f>
        <v>0</v>
      </c>
      <c r="AV274" s="183">
        <f>IF(H274="Travis",(AD274/$AV$1)*'1. UC Assumptions'!$Q$42,0)</f>
        <v>0</v>
      </c>
      <c r="AW274" s="183">
        <f>IF(H274="Bexar",(AC274/$AW$1)*'1. UC Assumptions'!$E$44,0)</f>
        <v>0</v>
      </c>
      <c r="AX274" s="183">
        <f>IF(H274="Dallas",(AC274/$AX$1)*'1. UC Assumptions'!$F$44,0)</f>
        <v>0</v>
      </c>
      <c r="AY274" s="183">
        <f>IF(H274="El Paso",(AC274/$AY$1)*'1. UC Assumptions'!$G$44,0)</f>
        <v>0</v>
      </c>
      <c r="AZ274" s="183">
        <f>IF(H274="Harris",(AC274/$AZ$1)*'1. UC Assumptions'!$H$44,0)</f>
        <v>0</v>
      </c>
      <c r="BA274" s="183">
        <f>IF(H274="Hidalgo",(AC274/$BA$1)*'1. UC Assumptions'!$I$44,0)</f>
        <v>0</v>
      </c>
      <c r="BB274" s="183">
        <f>IF(H274="Jefferson",(AC274/$BB$1)*'1. UC Assumptions'!$J$44,0)</f>
        <v>0</v>
      </c>
      <c r="BC274" s="183">
        <f>IF(H274="Lubbock",(AC274/$BC$1)*'1. UC Assumptions'!$K$44,0)</f>
        <v>0</v>
      </c>
      <c r="BD274" s="183">
        <f>IF(H274="MRSA Central",(AC274/$BD$1)*'1. UC Assumptions'!$L$44,0)</f>
        <v>0</v>
      </c>
      <c r="BE274" s="183">
        <f>IF(H274="MRSA Northeast",(AC274/$BE$1)*'1. UC Assumptions'!$M$44,0)</f>
        <v>0</v>
      </c>
      <c r="BF274" s="183">
        <f>IF(H274="MRSA West",(AC274/$BF$1)*'1. UC Assumptions'!$N$44,0)</f>
        <v>0</v>
      </c>
      <c r="BG274" s="183">
        <f>IF(H274="Nueces",(AC274/$BG$1)*'1. UC Assumptions'!$O$44,0)</f>
        <v>0</v>
      </c>
      <c r="BH274" s="183">
        <f>IF(H274="Tarrant",(AC274/$BH$1)*'1. UC Assumptions'!$P$44,0)</f>
        <v>0</v>
      </c>
      <c r="BI274" s="183">
        <f>IF(H274="Travis",(AC274/$BI$1)*'1. UC Assumptions'!$Q$44,0)</f>
        <v>0</v>
      </c>
      <c r="BJ274" s="183">
        <f t="shared" si="62"/>
        <v>0</v>
      </c>
      <c r="BK274" s="183">
        <f t="shared" si="63"/>
        <v>0</v>
      </c>
      <c r="BL274" s="183">
        <f t="shared" si="64"/>
        <v>1816851.1</v>
      </c>
      <c r="BM274" s="184">
        <f t="shared" si="65"/>
        <v>1661111.78</v>
      </c>
      <c r="BN274" s="184">
        <f>ROUNDDOWN(BM274*'1. UC Assumptions'!$C$23,2)</f>
        <v>548166.88</v>
      </c>
      <c r="BO274" s="184"/>
      <c r="BP274" s="185"/>
      <c r="BQ274" s="32"/>
      <c r="BR274" s="32"/>
    </row>
    <row r="275" spans="1:70">
      <c r="A275" s="177" t="s">
        <v>1694</v>
      </c>
      <c r="B275" s="178" t="s">
        <v>651</v>
      </c>
      <c r="C275" s="178" t="s">
        <v>651</v>
      </c>
      <c r="D275" s="179" t="s">
        <v>208</v>
      </c>
      <c r="E275" s="179" t="s">
        <v>149</v>
      </c>
      <c r="F275" s="177"/>
      <c r="G275" s="177" t="s">
        <v>652</v>
      </c>
      <c r="H275" s="178" t="s">
        <v>12</v>
      </c>
      <c r="I275" s="178" t="s">
        <v>291</v>
      </c>
      <c r="J275" s="131">
        <f>IFERROR(INDEX(#REF!,(MATCH('Old Calc Tab'!C:C,#REF!,0))),0)</f>
        <v>0</v>
      </c>
      <c r="K275" s="131">
        <f>IFERROR(INDEX(#REF!,(MATCH('Old Calc Tab'!$C:$C,#REF!,0))),0)</f>
        <v>0</v>
      </c>
      <c r="L275" s="131"/>
      <c r="M275" s="131">
        <v>413175</v>
      </c>
      <c r="N275" s="131">
        <f>IFERROR(INDEX(#REF!,(MATCH('Old Calc Tab'!$C:$C,#REF!,0))),0)</f>
        <v>0</v>
      </c>
      <c r="O275" s="131">
        <f t="shared" si="54"/>
        <v>0</v>
      </c>
      <c r="P275" s="131">
        <f t="shared" si="55"/>
        <v>413175</v>
      </c>
      <c r="Q275" s="131"/>
      <c r="R275" s="131"/>
      <c r="S275" s="131"/>
      <c r="T275" s="131"/>
      <c r="U275" s="131"/>
      <c r="V275" s="131">
        <v>0</v>
      </c>
      <c r="W275" s="180">
        <v>0</v>
      </c>
      <c r="X275" s="180">
        <f t="shared" si="66"/>
        <v>413175</v>
      </c>
      <c r="Y275" s="181">
        <f>IF(D275="Physician Group Practice",(X275/$AE$369)*'1. UC Assumptions'!$C$15,IF(OR(E275="Rural Hospital",E275="Hosp - State"),X275,(X275/$X$369)*'1. UC Assumptions'!$C$9))</f>
        <v>413175</v>
      </c>
      <c r="Z275" s="181">
        <f t="shared" si="56"/>
        <v>0</v>
      </c>
      <c r="AA275" s="181">
        <f t="shared" si="57"/>
        <v>0</v>
      </c>
      <c r="AB275" s="182">
        <f t="shared" si="58"/>
        <v>0</v>
      </c>
      <c r="AC275" s="181">
        <f t="shared" si="59"/>
        <v>0</v>
      </c>
      <c r="AD275" s="181">
        <f t="shared" si="60"/>
        <v>413175</v>
      </c>
      <c r="AE275" s="131">
        <v>212751.19</v>
      </c>
      <c r="AF275" s="131">
        <f>AE275*'1. UC Assumptions'!$C$23</f>
        <v>70207.892699999997</v>
      </c>
      <c r="AG275" s="183">
        <f>IF((((X275-W275-AE275)*'1. UC Assumptions'!$C$23)+AF275)&gt;0,((X275-W275-AE275)*'1. UC Assumptions'!$C$23)+AF275,0)</f>
        <v>136347.75</v>
      </c>
      <c r="AH275" s="183"/>
      <c r="AI275" s="183">
        <f t="shared" si="61"/>
        <v>70207.892699999997</v>
      </c>
      <c r="AJ275" s="183">
        <f>IF(H275="Bexar",(AD275/$AJ$1)*'1. UC Assumptions'!$E$42,0)</f>
        <v>0</v>
      </c>
      <c r="AK275" s="183">
        <f>IF(H275="Dallas",(AD275/$AK$1)*'1. UC Assumptions'!$F$42,0)</f>
        <v>0</v>
      </c>
      <c r="AL275" s="183">
        <f>IF(H275="El Paso",(AD275/$AL$1)*'1. UC Assumptions'!$G$42,0)</f>
        <v>0</v>
      </c>
      <c r="AM275" s="183">
        <f>IF(H275="Harris",(AD275/$AM$1)*'1. UC Assumptions'!$H$42,0)</f>
        <v>0</v>
      </c>
      <c r="AN275" s="183">
        <f>IF(H275="Hidalgo",(AD275/$AN$1)*'1. UC Assumptions'!$I$42,0)</f>
        <v>0</v>
      </c>
      <c r="AO275" s="183">
        <f>IF(H275="Jefferson",(AD275/$AO$1)*'1. UC Assumptions'!$J$42,0)</f>
        <v>0</v>
      </c>
      <c r="AP275" s="183">
        <f>IF(H275="Lubbock",(AD275/$AP$1)*'1. UC Assumptions'!$K$42,0)</f>
        <v>0</v>
      </c>
      <c r="AQ275" s="183">
        <f>IF(H275="MRSA Central",(AD275/$AQ$1)*'1. UC Assumptions'!$L$42,0)</f>
        <v>0</v>
      </c>
      <c r="AR275" s="183">
        <f>IF(H275="MRSA Northeast",(AD275/$AR$1)*'1. UC Assumptions'!$M$42,0)</f>
        <v>0</v>
      </c>
      <c r="AS275" s="183">
        <f>IF(H275="MRSA West",(AD275/$AS$1)*'1. UC Assumptions'!$N$42,0)</f>
        <v>0</v>
      </c>
      <c r="AT275" s="183">
        <f>IF(H275="Nueces",(AD275/$AT$1)*'1. UC Assumptions'!$O$42,0)</f>
        <v>0</v>
      </c>
      <c r="AU275" s="183">
        <f>IF(H275="Tarrant",(AD275/$AU$1)*'1. UC Assumptions'!$P$42,0)</f>
        <v>0</v>
      </c>
      <c r="AV275" s="183">
        <f>IF(H275="Travis",(AD275/$AV$1)*'1. UC Assumptions'!$Q$42,0)</f>
        <v>0</v>
      </c>
      <c r="AW275" s="183">
        <f>IF(H275="Bexar",(AC275/$AW$1)*'1. UC Assumptions'!$E$44,0)</f>
        <v>0</v>
      </c>
      <c r="AX275" s="183">
        <f>IF(H275="Dallas",(AC275/$AX$1)*'1. UC Assumptions'!$F$44,0)</f>
        <v>0</v>
      </c>
      <c r="AY275" s="183">
        <f>IF(H275="El Paso",(AC275/$AY$1)*'1. UC Assumptions'!$G$44,0)</f>
        <v>0</v>
      </c>
      <c r="AZ275" s="183">
        <f>IF(H275="Harris",(AC275/$AZ$1)*'1. UC Assumptions'!$H$44,0)</f>
        <v>0</v>
      </c>
      <c r="BA275" s="183">
        <f>IF(H275="Hidalgo",(AC275/$BA$1)*'1. UC Assumptions'!$I$44,0)</f>
        <v>0</v>
      </c>
      <c r="BB275" s="183">
        <f>IF(H275="Jefferson",(AC275/$BB$1)*'1. UC Assumptions'!$J$44,0)</f>
        <v>0</v>
      </c>
      <c r="BC275" s="183">
        <f>IF(H275="Lubbock",(AC275/$BC$1)*'1. UC Assumptions'!$K$44,0)</f>
        <v>0</v>
      </c>
      <c r="BD275" s="183">
        <f>IF(H275="MRSA Central",(AC275/$BD$1)*'1. UC Assumptions'!$L$44,0)</f>
        <v>0</v>
      </c>
      <c r="BE275" s="183">
        <f>IF(H275="MRSA Northeast",(AC275/$BE$1)*'1. UC Assumptions'!$M$44,0)</f>
        <v>0</v>
      </c>
      <c r="BF275" s="183">
        <f>IF(H275="MRSA West",(AC275/$BF$1)*'1. UC Assumptions'!$N$44,0)</f>
        <v>0</v>
      </c>
      <c r="BG275" s="183">
        <f>IF(H275="Nueces",(AC275/$BG$1)*'1. UC Assumptions'!$O$44,0)</f>
        <v>0</v>
      </c>
      <c r="BH275" s="183">
        <f>IF(H275="Tarrant",(AC275/$BH$1)*'1. UC Assumptions'!$P$44,0)</f>
        <v>0</v>
      </c>
      <c r="BI275" s="183">
        <f>IF(H275="Travis",(AC275/$BI$1)*'1. UC Assumptions'!$Q$44,0)</f>
        <v>0</v>
      </c>
      <c r="BJ275" s="183">
        <f t="shared" si="62"/>
        <v>0</v>
      </c>
      <c r="BK275" s="183">
        <f t="shared" si="63"/>
        <v>0</v>
      </c>
      <c r="BL275" s="183">
        <f t="shared" si="64"/>
        <v>413175</v>
      </c>
      <c r="BM275" s="184">
        <f t="shared" si="65"/>
        <v>200423.81</v>
      </c>
      <c r="BN275" s="184">
        <f>ROUNDDOWN(BM275*'1. UC Assumptions'!$C$23,2)</f>
        <v>66139.850000000006</v>
      </c>
      <c r="BO275" s="184"/>
      <c r="BP275" s="185"/>
      <c r="BQ275" s="32"/>
      <c r="BR275" s="32"/>
    </row>
    <row r="276" spans="1:70">
      <c r="A276" s="177" t="s">
        <v>1695</v>
      </c>
      <c r="B276" s="178" t="s">
        <v>668</v>
      </c>
      <c r="C276" s="178" t="s">
        <v>668</v>
      </c>
      <c r="D276" s="179" t="s">
        <v>208</v>
      </c>
      <c r="E276" s="179"/>
      <c r="F276" s="177"/>
      <c r="G276" s="177" t="s">
        <v>669</v>
      </c>
      <c r="H276" s="178" t="s">
        <v>12</v>
      </c>
      <c r="I276" s="178" t="s">
        <v>457</v>
      </c>
      <c r="J276" s="131">
        <f>IFERROR(INDEX(#REF!,(MATCH('Old Calc Tab'!C:C,#REF!,0))),0)</f>
        <v>0</v>
      </c>
      <c r="K276" s="131">
        <f>IFERROR(INDEX(#REF!,(MATCH('Old Calc Tab'!$C:$C,#REF!,0))),0)</f>
        <v>0</v>
      </c>
      <c r="L276" s="131"/>
      <c r="M276" s="131">
        <v>6545984</v>
      </c>
      <c r="N276" s="131">
        <f>IFERROR(INDEX(#REF!,(MATCH('Old Calc Tab'!$C:$C,#REF!,0))),0)</f>
        <v>0</v>
      </c>
      <c r="O276" s="131">
        <f t="shared" si="54"/>
        <v>0</v>
      </c>
      <c r="P276" s="131">
        <f t="shared" si="55"/>
        <v>6545984</v>
      </c>
      <c r="Q276" s="131"/>
      <c r="R276" s="131"/>
      <c r="S276" s="131"/>
      <c r="T276" s="131"/>
      <c r="U276" s="131"/>
      <c r="V276" s="131">
        <v>4989</v>
      </c>
      <c r="W276" s="180">
        <v>0</v>
      </c>
      <c r="X276" s="180">
        <f t="shared" si="66"/>
        <v>6550973</v>
      </c>
      <c r="Y276" s="181">
        <f>IF(D276="Physician Group Practice",(X276/$AE$369)*'1. UC Assumptions'!$C$15,IF(OR(E276="Rural Hospital",E276="Hosp - State"),X276,(X276/$X$369)*'1. UC Assumptions'!$C$9))</f>
        <v>3942788.4388911128</v>
      </c>
      <c r="Z276" s="181">
        <f t="shared" si="56"/>
        <v>0</v>
      </c>
      <c r="AA276" s="181">
        <f t="shared" si="57"/>
        <v>2608184.5611088872</v>
      </c>
      <c r="AB276" s="182">
        <f t="shared" si="58"/>
        <v>1400.6763390767803</v>
      </c>
      <c r="AC276" s="181">
        <f t="shared" si="59"/>
        <v>2609585.237447964</v>
      </c>
      <c r="AD276" s="181">
        <f t="shared" si="60"/>
        <v>3944189.1152301896</v>
      </c>
      <c r="AE276" s="131">
        <v>5106157.3</v>
      </c>
      <c r="AF276" s="131">
        <f>AE276*'1. UC Assumptions'!$C$23</f>
        <v>1685031.9089999998</v>
      </c>
      <c r="AG276" s="183">
        <f>IF((((X276-W276-AE276)*'1. UC Assumptions'!$C$23)+AF276)&gt;0,((X276-W276-AE276)*'1. UC Assumptions'!$C$23)+AF276,0)</f>
        <v>2161821.09</v>
      </c>
      <c r="AH276" s="183"/>
      <c r="AI276" s="183">
        <f t="shared" si="61"/>
        <v>1685031.9089999998</v>
      </c>
      <c r="AJ276" s="183">
        <f>IF(H276="Bexar",(AD276/$AJ$1)*'1. UC Assumptions'!$E$42,0)</f>
        <v>0</v>
      </c>
      <c r="AK276" s="183">
        <f>IF(H276="Dallas",(AD276/$AK$1)*'1. UC Assumptions'!$F$42,0)</f>
        <v>0</v>
      </c>
      <c r="AL276" s="183">
        <f>IF(H276="El Paso",(AD276/$AL$1)*'1. UC Assumptions'!$G$42,0)</f>
        <v>0</v>
      </c>
      <c r="AM276" s="183">
        <f>IF(H276="Harris",(AD276/$AM$1)*'1. UC Assumptions'!$H$42,0)</f>
        <v>0</v>
      </c>
      <c r="AN276" s="183">
        <f>IF(H276="Hidalgo",(AD276/$AN$1)*'1. UC Assumptions'!$I$42,0)</f>
        <v>0</v>
      </c>
      <c r="AO276" s="183">
        <f>IF(H276="Jefferson",(AD276/$AO$1)*'1. UC Assumptions'!$J$42,0)</f>
        <v>0</v>
      </c>
      <c r="AP276" s="183">
        <f>IF(H276="Lubbock",(AD276/$AP$1)*'1. UC Assumptions'!$K$42,0)</f>
        <v>0</v>
      </c>
      <c r="AQ276" s="183">
        <f>IF(H276="MRSA Central",(AD276/$AQ$1)*'1. UC Assumptions'!$L$42,0)</f>
        <v>0</v>
      </c>
      <c r="AR276" s="183">
        <f>IF(H276="MRSA Northeast",(AD276/$AR$1)*'1. UC Assumptions'!$M$42,0)</f>
        <v>0</v>
      </c>
      <c r="AS276" s="183">
        <f>IF(H276="MRSA West",(AD276/$AS$1)*'1. UC Assumptions'!$N$42,0)</f>
        <v>0</v>
      </c>
      <c r="AT276" s="183">
        <f>IF(H276="Nueces",(AD276/$AT$1)*'1. UC Assumptions'!$O$42,0)</f>
        <v>0</v>
      </c>
      <c r="AU276" s="183">
        <f>IF(H276="Tarrant",(AD276/$AU$1)*'1. UC Assumptions'!$P$42,0)</f>
        <v>0</v>
      </c>
      <c r="AV276" s="183">
        <f>IF(H276="Travis",(AD276/$AV$1)*'1. UC Assumptions'!$Q$42,0)</f>
        <v>0</v>
      </c>
      <c r="AW276" s="183">
        <f>IF(H276="Bexar",(AC276/$AW$1)*'1. UC Assumptions'!$E$44,0)</f>
        <v>0</v>
      </c>
      <c r="AX276" s="183">
        <f>IF(H276="Dallas",(AC276/$AX$1)*'1. UC Assumptions'!$F$44,0)</f>
        <v>0</v>
      </c>
      <c r="AY276" s="183">
        <f>IF(H276="El Paso",(AC276/$AY$1)*'1. UC Assumptions'!$G$44,0)</f>
        <v>0</v>
      </c>
      <c r="AZ276" s="183">
        <f>IF(H276="Harris",(AC276/$AZ$1)*'1. UC Assumptions'!$H$44,0)</f>
        <v>0</v>
      </c>
      <c r="BA276" s="183">
        <f>IF(H276="Hidalgo",(AC276/$BA$1)*'1. UC Assumptions'!$I$44,0)</f>
        <v>0</v>
      </c>
      <c r="BB276" s="183">
        <f>IF(H276="Jefferson",(AC276/$BB$1)*'1. UC Assumptions'!$J$44,0)</f>
        <v>0</v>
      </c>
      <c r="BC276" s="183">
        <f>IF(H276="Lubbock",(AC276/$BC$1)*'1. UC Assumptions'!$K$44,0)</f>
        <v>0</v>
      </c>
      <c r="BD276" s="183">
        <f>IF(H276="MRSA Central",(AC276/$BD$1)*'1. UC Assumptions'!$L$44,0)</f>
        <v>0</v>
      </c>
      <c r="BE276" s="183">
        <f>IF(H276="MRSA Northeast",(AC276/$BE$1)*'1. UC Assumptions'!$M$44,0)</f>
        <v>0</v>
      </c>
      <c r="BF276" s="183">
        <f>IF(H276="MRSA West",(AC276/$BF$1)*'1. UC Assumptions'!$N$44,0)</f>
        <v>0</v>
      </c>
      <c r="BG276" s="183">
        <f>IF(H276="Nueces",(AC276/$BG$1)*'1. UC Assumptions'!$O$44,0)</f>
        <v>0</v>
      </c>
      <c r="BH276" s="183">
        <f>IF(H276="Tarrant",(AC276/$BH$1)*'1. UC Assumptions'!$P$44,0)</f>
        <v>0</v>
      </c>
      <c r="BI276" s="183">
        <f>IF(H276="Travis",(AC276/$BI$1)*'1. UC Assumptions'!$Q$44,0)</f>
        <v>0</v>
      </c>
      <c r="BJ276" s="183">
        <f t="shared" si="62"/>
        <v>0</v>
      </c>
      <c r="BK276" s="183">
        <f t="shared" si="63"/>
        <v>0</v>
      </c>
      <c r="BL276" s="183">
        <f t="shared" si="64"/>
        <v>3944189.1152301896</v>
      </c>
      <c r="BM276" s="184">
        <f t="shared" si="65"/>
        <v>-1161968.1847698102</v>
      </c>
      <c r="BN276" s="184">
        <f>ROUNDDOWN(BM276*'1. UC Assumptions'!$C$23,2)</f>
        <v>-383449.5</v>
      </c>
      <c r="BO276" s="184"/>
      <c r="BP276" s="185"/>
      <c r="BQ276" s="32"/>
      <c r="BR276" s="32"/>
    </row>
    <row r="277" spans="1:70">
      <c r="A277" s="177" t="s">
        <v>1696</v>
      </c>
      <c r="B277" s="187" t="s">
        <v>670</v>
      </c>
      <c r="C277" s="178" t="s">
        <v>670</v>
      </c>
      <c r="D277" s="179" t="s">
        <v>214</v>
      </c>
      <c r="E277" s="179" t="s">
        <v>149</v>
      </c>
      <c r="F277" s="177"/>
      <c r="G277" s="177" t="s">
        <v>1697</v>
      </c>
      <c r="H277" s="178" t="s">
        <v>12</v>
      </c>
      <c r="I277" s="178" t="s">
        <v>291</v>
      </c>
      <c r="J277" s="131">
        <f>IFERROR(INDEX(#REF!,(MATCH('Old Calc Tab'!C:C,#REF!,0))),0)</f>
        <v>0</v>
      </c>
      <c r="K277" s="131">
        <f>IFERROR(INDEX(#REF!,(MATCH('Old Calc Tab'!$C:$C,#REF!,0))),0)</f>
        <v>0</v>
      </c>
      <c r="L277" s="131"/>
      <c r="M277" s="131">
        <v>20047053.650000002</v>
      </c>
      <c r="N277" s="131">
        <f>IFERROR(INDEX(#REF!,(MATCH('Old Calc Tab'!$C:$C,#REF!,0))),0)</f>
        <v>0</v>
      </c>
      <c r="O277" s="131">
        <f t="shared" si="54"/>
        <v>0</v>
      </c>
      <c r="P277" s="131">
        <f t="shared" si="55"/>
        <v>20047053.650000002</v>
      </c>
      <c r="Q277" s="131"/>
      <c r="R277" s="131"/>
      <c r="S277" s="131"/>
      <c r="T277" s="131"/>
      <c r="U277" s="131"/>
      <c r="V277" s="131">
        <v>0</v>
      </c>
      <c r="W277" s="180">
        <v>0</v>
      </c>
      <c r="X277" s="180">
        <f t="shared" si="66"/>
        <v>20047053.650000002</v>
      </c>
      <c r="Y277" s="181">
        <f>IF(D277="Physician Group Practice",(X277/$AE$369)*'1. UC Assumptions'!$C$15,IF(OR(E277="Rural Hospital",E277="Hosp - State"),X277,(X277/$X$369)*'1. UC Assumptions'!$C$9))</f>
        <v>20047053.650000002</v>
      </c>
      <c r="Z277" s="181">
        <f t="shared" si="56"/>
        <v>0</v>
      </c>
      <c r="AA277" s="181">
        <f t="shared" si="57"/>
        <v>0</v>
      </c>
      <c r="AB277" s="182">
        <f t="shared" si="58"/>
        <v>0</v>
      </c>
      <c r="AC277" s="181">
        <f t="shared" si="59"/>
        <v>0</v>
      </c>
      <c r="AD277" s="181">
        <f t="shared" si="60"/>
        <v>20047053.650000002</v>
      </c>
      <c r="AE277" s="131">
        <v>8940864.7899999991</v>
      </c>
      <c r="AF277" s="131">
        <f>AE277*'1. UC Assumptions'!$C$23</f>
        <v>2950485.3806999992</v>
      </c>
      <c r="AG277" s="183">
        <f>IF((((X277-W277-AE277)*'1. UC Assumptions'!$C$23)+AF277)&gt;0,((X277-W277-AE277)*'1. UC Assumptions'!$C$23)+AF277,0)</f>
        <v>6615527.7044999991</v>
      </c>
      <c r="AH277" s="183"/>
      <c r="AI277" s="183">
        <f t="shared" si="61"/>
        <v>2950485.3806999992</v>
      </c>
      <c r="AJ277" s="183">
        <f>IF(H277="Bexar",(AD277/$AJ$1)*'1. UC Assumptions'!$E$42,0)</f>
        <v>0</v>
      </c>
      <c r="AK277" s="183">
        <f>IF(H277="Dallas",(AD277/$AK$1)*'1. UC Assumptions'!$F$42,0)</f>
        <v>0</v>
      </c>
      <c r="AL277" s="183">
        <f>IF(H277="El Paso",(AD277/$AL$1)*'1. UC Assumptions'!$G$42,0)</f>
        <v>0</v>
      </c>
      <c r="AM277" s="183">
        <f>IF(H277="Harris",(AD277/$AM$1)*'1. UC Assumptions'!$H$42,0)</f>
        <v>0</v>
      </c>
      <c r="AN277" s="183">
        <f>IF(H277="Hidalgo",(AD277/$AN$1)*'1. UC Assumptions'!$I$42,0)</f>
        <v>0</v>
      </c>
      <c r="AO277" s="183">
        <f>IF(H277="Jefferson",(AD277/$AO$1)*'1. UC Assumptions'!$J$42,0)</f>
        <v>0</v>
      </c>
      <c r="AP277" s="183">
        <f>IF(H277="Lubbock",(AD277/$AP$1)*'1. UC Assumptions'!$K$42,0)</f>
        <v>0</v>
      </c>
      <c r="AQ277" s="183">
        <f>IF(H277="MRSA Central",(AD277/$AQ$1)*'1. UC Assumptions'!$L$42,0)</f>
        <v>0</v>
      </c>
      <c r="AR277" s="183">
        <f>IF(H277="MRSA Northeast",(AD277/$AR$1)*'1. UC Assumptions'!$M$42,0)</f>
        <v>0</v>
      </c>
      <c r="AS277" s="183">
        <f>IF(H277="MRSA West",(AD277/$AS$1)*'1. UC Assumptions'!$N$42,0)</f>
        <v>0</v>
      </c>
      <c r="AT277" s="183">
        <f>IF(H277="Nueces",(AD277/$AT$1)*'1. UC Assumptions'!$O$42,0)</f>
        <v>0</v>
      </c>
      <c r="AU277" s="183">
        <f>IF(H277="Tarrant",(AD277/$AU$1)*'1. UC Assumptions'!$P$42,0)</f>
        <v>0</v>
      </c>
      <c r="AV277" s="183">
        <f>IF(H277="Travis",(AD277/$AV$1)*'1. UC Assumptions'!$Q$42,0)</f>
        <v>0</v>
      </c>
      <c r="AW277" s="183">
        <f>IF(H277="Bexar",(AC277/$AW$1)*'1. UC Assumptions'!$E$44,0)</f>
        <v>0</v>
      </c>
      <c r="AX277" s="183">
        <f>IF(H277="Dallas",(AC277/$AX$1)*'1. UC Assumptions'!$F$44,0)</f>
        <v>0</v>
      </c>
      <c r="AY277" s="183">
        <f>IF(H277="El Paso",(AC277/$AY$1)*'1. UC Assumptions'!$G$44,0)</f>
        <v>0</v>
      </c>
      <c r="AZ277" s="183">
        <f>IF(H277="Harris",(AC277/$AZ$1)*'1. UC Assumptions'!$H$44,0)</f>
        <v>0</v>
      </c>
      <c r="BA277" s="183">
        <f>IF(H277="Hidalgo",(AC277/$BA$1)*'1. UC Assumptions'!$I$44,0)</f>
        <v>0</v>
      </c>
      <c r="BB277" s="183">
        <f>IF(H277="Jefferson",(AC277/$BB$1)*'1. UC Assumptions'!$J$44,0)</f>
        <v>0</v>
      </c>
      <c r="BC277" s="183">
        <f>IF(H277="Lubbock",(AC277/$BC$1)*'1. UC Assumptions'!$K$44,0)</f>
        <v>0</v>
      </c>
      <c r="BD277" s="183">
        <f>IF(H277="MRSA Central",(AC277/$BD$1)*'1. UC Assumptions'!$L$44,0)</f>
        <v>0</v>
      </c>
      <c r="BE277" s="183">
        <f>IF(H277="MRSA Northeast",(AC277/$BE$1)*'1. UC Assumptions'!$M$44,0)</f>
        <v>0</v>
      </c>
      <c r="BF277" s="183">
        <f>IF(H277="MRSA West",(AC277/$BF$1)*'1. UC Assumptions'!$N$44,0)</f>
        <v>0</v>
      </c>
      <c r="BG277" s="183">
        <f>IF(H277="Nueces",(AC277/$BG$1)*'1. UC Assumptions'!$O$44,0)</f>
        <v>0</v>
      </c>
      <c r="BH277" s="183">
        <f>IF(H277="Tarrant",(AC277/$BH$1)*'1. UC Assumptions'!$P$44,0)</f>
        <v>0</v>
      </c>
      <c r="BI277" s="183">
        <f>IF(H277="Travis",(AC277/$BI$1)*'1. UC Assumptions'!$Q$44,0)</f>
        <v>0</v>
      </c>
      <c r="BJ277" s="183">
        <f t="shared" si="62"/>
        <v>0</v>
      </c>
      <c r="BK277" s="183">
        <f t="shared" si="63"/>
        <v>0</v>
      </c>
      <c r="BL277" s="183">
        <f t="shared" si="64"/>
        <v>20047053.650000002</v>
      </c>
      <c r="BM277" s="184">
        <f t="shared" si="65"/>
        <v>11106188.860000003</v>
      </c>
      <c r="BN277" s="184">
        <f>ROUNDDOWN(BM277*'1. UC Assumptions'!$C$23,2)</f>
        <v>3665042.32</v>
      </c>
      <c r="BO277" s="184"/>
      <c r="BP277" s="185"/>
      <c r="BQ277" s="32"/>
      <c r="BR277" s="32"/>
    </row>
    <row r="278" spans="1:70">
      <c r="A278" s="177" t="s">
        <v>1698</v>
      </c>
      <c r="B278" s="178" t="s">
        <v>674</v>
      </c>
      <c r="C278" s="178" t="s">
        <v>674</v>
      </c>
      <c r="D278" s="179" t="s">
        <v>208</v>
      </c>
      <c r="E278" s="179" t="s">
        <v>149</v>
      </c>
      <c r="F278" s="177"/>
      <c r="G278" s="177" t="s">
        <v>1699</v>
      </c>
      <c r="H278" s="178" t="s">
        <v>12</v>
      </c>
      <c r="I278" s="178" t="s">
        <v>676</v>
      </c>
      <c r="J278" s="131">
        <f>IFERROR(INDEX(#REF!,(MATCH('Old Calc Tab'!C:C,#REF!,0))),0)</f>
        <v>0</v>
      </c>
      <c r="K278" s="131">
        <f>IFERROR(INDEX(#REF!,(MATCH('Old Calc Tab'!$C:$C,#REF!,0))),0)</f>
        <v>0</v>
      </c>
      <c r="L278" s="131"/>
      <c r="M278" s="131">
        <v>877825.3</v>
      </c>
      <c r="N278" s="131">
        <f>IFERROR(INDEX(#REF!,(MATCH('Old Calc Tab'!$C:$C,#REF!,0))),0)</f>
        <v>0</v>
      </c>
      <c r="O278" s="131">
        <f t="shared" si="54"/>
        <v>0</v>
      </c>
      <c r="P278" s="131">
        <f t="shared" si="55"/>
        <v>877825.3</v>
      </c>
      <c r="Q278" s="131"/>
      <c r="R278" s="131"/>
      <c r="S278" s="131"/>
      <c r="T278" s="131"/>
      <c r="U278" s="131"/>
      <c r="V278" s="131">
        <v>3647</v>
      </c>
      <c r="W278" s="180">
        <v>0</v>
      </c>
      <c r="X278" s="180">
        <f t="shared" si="66"/>
        <v>881472.3</v>
      </c>
      <c r="Y278" s="181">
        <f>IF(D278="Physician Group Practice",(X278/$AE$369)*'1. UC Assumptions'!$C$15,IF(OR(E278="Rural Hospital",E278="Hosp - State"),X278,(X278/$X$369)*'1. UC Assumptions'!$C$9))</f>
        <v>881472.3</v>
      </c>
      <c r="Z278" s="181">
        <f t="shared" si="56"/>
        <v>0</v>
      </c>
      <c r="AA278" s="181">
        <f t="shared" si="57"/>
        <v>0</v>
      </c>
      <c r="AB278" s="182">
        <f t="shared" si="58"/>
        <v>0</v>
      </c>
      <c r="AC278" s="181">
        <f t="shared" si="59"/>
        <v>0</v>
      </c>
      <c r="AD278" s="181">
        <f t="shared" si="60"/>
        <v>881472.3</v>
      </c>
      <c r="AE278" s="131">
        <v>280573</v>
      </c>
      <c r="AF278" s="131">
        <f>AE278*'1. UC Assumptions'!$C$23</f>
        <v>92589.089999999982</v>
      </c>
      <c r="AG278" s="183">
        <f>IF((((X278-W278-AE278)*'1. UC Assumptions'!$C$23)+AF278)&gt;0,((X278-W278-AE278)*'1. UC Assumptions'!$C$23)+AF278,0)</f>
        <v>290885.859</v>
      </c>
      <c r="AH278" s="183"/>
      <c r="AI278" s="183">
        <f t="shared" si="61"/>
        <v>92589.089999999982</v>
      </c>
      <c r="AJ278" s="183">
        <f>IF(H278="Bexar",(AD278/$AJ$1)*'1. UC Assumptions'!$E$42,0)</f>
        <v>0</v>
      </c>
      <c r="AK278" s="183">
        <f>IF(H278="Dallas",(AD278/$AK$1)*'1. UC Assumptions'!$F$42,0)</f>
        <v>0</v>
      </c>
      <c r="AL278" s="183">
        <f>IF(H278="El Paso",(AD278/$AL$1)*'1. UC Assumptions'!$G$42,0)</f>
        <v>0</v>
      </c>
      <c r="AM278" s="183">
        <f>IF(H278="Harris",(AD278/$AM$1)*'1. UC Assumptions'!$H$42,0)</f>
        <v>0</v>
      </c>
      <c r="AN278" s="183">
        <f>IF(H278="Hidalgo",(AD278/$AN$1)*'1. UC Assumptions'!$I$42,0)</f>
        <v>0</v>
      </c>
      <c r="AO278" s="183">
        <f>IF(H278="Jefferson",(AD278/$AO$1)*'1. UC Assumptions'!$J$42,0)</f>
        <v>0</v>
      </c>
      <c r="AP278" s="183">
        <f>IF(H278="Lubbock",(AD278/$AP$1)*'1. UC Assumptions'!$K$42,0)</f>
        <v>0</v>
      </c>
      <c r="AQ278" s="183">
        <f>IF(H278="MRSA Central",(AD278/$AQ$1)*'1. UC Assumptions'!$L$42,0)</f>
        <v>0</v>
      </c>
      <c r="AR278" s="183">
        <f>IF(H278="MRSA Northeast",(AD278/$AR$1)*'1. UC Assumptions'!$M$42,0)</f>
        <v>0</v>
      </c>
      <c r="AS278" s="183">
        <f>IF(H278="MRSA West",(AD278/$AS$1)*'1. UC Assumptions'!$N$42,0)</f>
        <v>0</v>
      </c>
      <c r="AT278" s="183">
        <f>IF(H278="Nueces",(AD278/$AT$1)*'1. UC Assumptions'!$O$42,0)</f>
        <v>0</v>
      </c>
      <c r="AU278" s="183">
        <f>IF(H278="Tarrant",(AD278/$AU$1)*'1. UC Assumptions'!$P$42,0)</f>
        <v>0</v>
      </c>
      <c r="AV278" s="183">
        <f>IF(H278="Travis",(AD278/$AV$1)*'1. UC Assumptions'!$Q$42,0)</f>
        <v>0</v>
      </c>
      <c r="AW278" s="183">
        <f>IF(H278="Bexar",(AC278/$AW$1)*'1. UC Assumptions'!$E$44,0)</f>
        <v>0</v>
      </c>
      <c r="AX278" s="183">
        <f>IF(H278="Dallas",(AC278/$AX$1)*'1. UC Assumptions'!$F$44,0)</f>
        <v>0</v>
      </c>
      <c r="AY278" s="183">
        <f>IF(H278="El Paso",(AC278/$AY$1)*'1. UC Assumptions'!$G$44,0)</f>
        <v>0</v>
      </c>
      <c r="AZ278" s="183">
        <f>IF(H278="Harris",(AC278/$AZ$1)*'1. UC Assumptions'!$H$44,0)</f>
        <v>0</v>
      </c>
      <c r="BA278" s="183">
        <f>IF(H278="Hidalgo",(AC278/$BA$1)*'1. UC Assumptions'!$I$44,0)</f>
        <v>0</v>
      </c>
      <c r="BB278" s="183">
        <f>IF(H278="Jefferson",(AC278/$BB$1)*'1. UC Assumptions'!$J$44,0)</f>
        <v>0</v>
      </c>
      <c r="BC278" s="183">
        <f>IF(H278="Lubbock",(AC278/$BC$1)*'1. UC Assumptions'!$K$44,0)</f>
        <v>0</v>
      </c>
      <c r="BD278" s="183">
        <f>IF(H278="MRSA Central",(AC278/$BD$1)*'1. UC Assumptions'!$L$44,0)</f>
        <v>0</v>
      </c>
      <c r="BE278" s="183">
        <f>IF(H278="MRSA Northeast",(AC278/$BE$1)*'1. UC Assumptions'!$M$44,0)</f>
        <v>0</v>
      </c>
      <c r="BF278" s="183">
        <f>IF(H278="MRSA West",(AC278/$BF$1)*'1. UC Assumptions'!$N$44,0)</f>
        <v>0</v>
      </c>
      <c r="BG278" s="183">
        <f>IF(H278="Nueces",(AC278/$BG$1)*'1. UC Assumptions'!$O$44,0)</f>
        <v>0</v>
      </c>
      <c r="BH278" s="183">
        <f>IF(H278="Tarrant",(AC278/$BH$1)*'1. UC Assumptions'!$P$44,0)</f>
        <v>0</v>
      </c>
      <c r="BI278" s="183">
        <f>IF(H278="Travis",(AC278/$BI$1)*'1. UC Assumptions'!$Q$44,0)</f>
        <v>0</v>
      </c>
      <c r="BJ278" s="183">
        <f t="shared" si="62"/>
        <v>0</v>
      </c>
      <c r="BK278" s="183">
        <f t="shared" si="63"/>
        <v>0</v>
      </c>
      <c r="BL278" s="183">
        <f t="shared" si="64"/>
        <v>881472.3</v>
      </c>
      <c r="BM278" s="184">
        <f t="shared" si="65"/>
        <v>600899.30000000005</v>
      </c>
      <c r="BN278" s="184">
        <f>ROUNDDOWN(BM278*'1. UC Assumptions'!$C$23,2)</f>
        <v>198296.76</v>
      </c>
      <c r="BO278" s="184"/>
      <c r="BP278" s="185"/>
      <c r="BQ278" s="32"/>
      <c r="BR278" s="32"/>
    </row>
    <row r="279" spans="1:70">
      <c r="A279" s="177" t="s">
        <v>1700</v>
      </c>
      <c r="B279" s="178" t="s">
        <v>677</v>
      </c>
      <c r="C279" s="178" t="s">
        <v>677</v>
      </c>
      <c r="D279" s="179" t="s">
        <v>208</v>
      </c>
      <c r="E279" s="179"/>
      <c r="F279" s="177"/>
      <c r="G279" s="177" t="s">
        <v>1701</v>
      </c>
      <c r="H279" s="178" t="s">
        <v>12</v>
      </c>
      <c r="I279" s="178" t="s">
        <v>679</v>
      </c>
      <c r="J279" s="131">
        <f>IFERROR(INDEX(#REF!,(MATCH('Old Calc Tab'!C:C,#REF!,0))),0)</f>
        <v>0</v>
      </c>
      <c r="K279" s="131">
        <f>IFERROR(INDEX(#REF!,(MATCH('Old Calc Tab'!$C:$C,#REF!,0))),0)</f>
        <v>0</v>
      </c>
      <c r="L279" s="131"/>
      <c r="M279" s="131">
        <v>3226776</v>
      </c>
      <c r="N279" s="131">
        <f>IFERROR(INDEX(#REF!,(MATCH('Old Calc Tab'!$C:$C,#REF!,0))),0)</f>
        <v>0</v>
      </c>
      <c r="O279" s="131">
        <f t="shared" si="54"/>
        <v>0</v>
      </c>
      <c r="P279" s="131">
        <f t="shared" si="55"/>
        <v>3226776</v>
      </c>
      <c r="Q279" s="131"/>
      <c r="R279" s="131"/>
      <c r="S279" s="131"/>
      <c r="T279" s="131"/>
      <c r="U279" s="131"/>
      <c r="V279" s="131">
        <v>0</v>
      </c>
      <c r="W279" s="180">
        <v>0</v>
      </c>
      <c r="X279" s="180">
        <f t="shared" si="66"/>
        <v>3226776</v>
      </c>
      <c r="Y279" s="181">
        <f>IF(D279="Physician Group Practice",(X279/$AE$369)*'1. UC Assumptions'!$C$15,IF(OR(E279="Rural Hospital",E279="Hosp - State"),X279,(X279/$X$369)*'1. UC Assumptions'!$C$9))</f>
        <v>1942077.1704739602</v>
      </c>
      <c r="Z279" s="181">
        <f t="shared" si="56"/>
        <v>0</v>
      </c>
      <c r="AA279" s="181">
        <f t="shared" si="57"/>
        <v>1284698.8295260398</v>
      </c>
      <c r="AB279" s="182">
        <f t="shared" si="58"/>
        <v>689.92328234306808</v>
      </c>
      <c r="AC279" s="181">
        <f t="shared" si="59"/>
        <v>1285388.7528083827</v>
      </c>
      <c r="AD279" s="181">
        <f t="shared" si="60"/>
        <v>1942767.0937563032</v>
      </c>
      <c r="AE279" s="131">
        <v>0</v>
      </c>
      <c r="AF279" s="131">
        <f>AE279*'1. UC Assumptions'!$C$23</f>
        <v>0</v>
      </c>
      <c r="AG279" s="183">
        <f>IF((((X279-W279-AE279)*'1. UC Assumptions'!$C$23)+AF279)&gt;0,((X279-W279-AE279)*'1. UC Assumptions'!$C$23)+AF279,0)</f>
        <v>1064836.0799999998</v>
      </c>
      <c r="AH279" s="183"/>
      <c r="AI279" s="183">
        <f t="shared" si="61"/>
        <v>0</v>
      </c>
      <c r="AJ279" s="183">
        <f>IF(H279="Bexar",(AD279/$AJ$1)*'1. UC Assumptions'!$E$42,0)</f>
        <v>0</v>
      </c>
      <c r="AK279" s="183">
        <f>IF(H279="Dallas",(AD279/$AK$1)*'1. UC Assumptions'!$F$42,0)</f>
        <v>0</v>
      </c>
      <c r="AL279" s="183">
        <f>IF(H279="El Paso",(AD279/$AL$1)*'1. UC Assumptions'!$G$42,0)</f>
        <v>0</v>
      </c>
      <c r="AM279" s="183">
        <f>IF(H279="Harris",(AD279/$AM$1)*'1. UC Assumptions'!$H$42,0)</f>
        <v>0</v>
      </c>
      <c r="AN279" s="183">
        <f>IF(H279="Hidalgo",(AD279/$AN$1)*'1. UC Assumptions'!$I$42,0)</f>
        <v>0</v>
      </c>
      <c r="AO279" s="183">
        <f>IF(H279="Jefferson",(AD279/$AO$1)*'1. UC Assumptions'!$J$42,0)</f>
        <v>0</v>
      </c>
      <c r="AP279" s="183">
        <f>IF(H279="Lubbock",(AD279/$AP$1)*'1. UC Assumptions'!$K$42,0)</f>
        <v>0</v>
      </c>
      <c r="AQ279" s="183">
        <f>IF(H279="MRSA Central",(AD279/$AQ$1)*'1. UC Assumptions'!$L$42,0)</f>
        <v>0</v>
      </c>
      <c r="AR279" s="183">
        <f>IF(H279="MRSA Northeast",(AD279/$AR$1)*'1. UC Assumptions'!$M$42,0)</f>
        <v>0</v>
      </c>
      <c r="AS279" s="183">
        <f>IF(H279="MRSA West",(AD279/$AS$1)*'1. UC Assumptions'!$N$42,0)</f>
        <v>0</v>
      </c>
      <c r="AT279" s="183">
        <f>IF(H279="Nueces",(AD279/$AT$1)*'1. UC Assumptions'!$O$42,0)</f>
        <v>0</v>
      </c>
      <c r="AU279" s="183">
        <f>IF(H279="Tarrant",(AD279/$AU$1)*'1. UC Assumptions'!$P$42,0)</f>
        <v>0</v>
      </c>
      <c r="AV279" s="183">
        <f>IF(H279="Travis",(AD279/$AV$1)*'1. UC Assumptions'!$Q$42,0)</f>
        <v>0</v>
      </c>
      <c r="AW279" s="183">
        <f>IF(H279="Bexar",(AC279/$AW$1)*'1. UC Assumptions'!$E$44,0)</f>
        <v>0</v>
      </c>
      <c r="AX279" s="183">
        <f>IF(H279="Dallas",(AC279/$AX$1)*'1. UC Assumptions'!$F$44,0)</f>
        <v>0</v>
      </c>
      <c r="AY279" s="183">
        <f>IF(H279="El Paso",(AC279/$AY$1)*'1. UC Assumptions'!$G$44,0)</f>
        <v>0</v>
      </c>
      <c r="AZ279" s="183">
        <f>IF(H279="Harris",(AC279/$AZ$1)*'1. UC Assumptions'!$H$44,0)</f>
        <v>0</v>
      </c>
      <c r="BA279" s="183">
        <f>IF(H279="Hidalgo",(AC279/$BA$1)*'1. UC Assumptions'!$I$44,0)</f>
        <v>0</v>
      </c>
      <c r="BB279" s="183">
        <f>IF(H279="Jefferson",(AC279/$BB$1)*'1. UC Assumptions'!$J$44,0)</f>
        <v>0</v>
      </c>
      <c r="BC279" s="183">
        <f>IF(H279="Lubbock",(AC279/$BC$1)*'1. UC Assumptions'!$K$44,0)</f>
        <v>0</v>
      </c>
      <c r="BD279" s="183">
        <f>IF(H279="MRSA Central",(AC279/$BD$1)*'1. UC Assumptions'!$L$44,0)</f>
        <v>0</v>
      </c>
      <c r="BE279" s="183">
        <f>IF(H279="MRSA Northeast",(AC279/$BE$1)*'1. UC Assumptions'!$M$44,0)</f>
        <v>0</v>
      </c>
      <c r="BF279" s="183">
        <f>IF(H279="MRSA West",(AC279/$BF$1)*'1. UC Assumptions'!$N$44,0)</f>
        <v>0</v>
      </c>
      <c r="BG279" s="183">
        <f>IF(H279="Nueces",(AC279/$BG$1)*'1. UC Assumptions'!$O$44,0)</f>
        <v>0</v>
      </c>
      <c r="BH279" s="183">
        <f>IF(H279="Tarrant",(AC279/$BH$1)*'1. UC Assumptions'!$P$44,0)</f>
        <v>0</v>
      </c>
      <c r="BI279" s="183">
        <f>IF(H279="Travis",(AC279/$BI$1)*'1. UC Assumptions'!$Q$44,0)</f>
        <v>0</v>
      </c>
      <c r="BJ279" s="183">
        <f t="shared" si="62"/>
        <v>0</v>
      </c>
      <c r="BK279" s="183">
        <f t="shared" si="63"/>
        <v>0</v>
      </c>
      <c r="BL279" s="183">
        <f t="shared" si="64"/>
        <v>1942767.0937563032</v>
      </c>
      <c r="BM279" s="184">
        <f t="shared" si="65"/>
        <v>1942767.0937563032</v>
      </c>
      <c r="BN279" s="184">
        <f>ROUNDDOWN(BM279*'1. UC Assumptions'!$C$23,2)</f>
        <v>641113.14</v>
      </c>
      <c r="BO279" s="184"/>
      <c r="BP279" s="185"/>
      <c r="BQ279" s="32"/>
      <c r="BR279" s="32"/>
    </row>
    <row r="280" spans="1:70">
      <c r="A280" s="177" t="s">
        <v>1702</v>
      </c>
      <c r="B280" s="178" t="s">
        <v>680</v>
      </c>
      <c r="C280" s="178" t="s">
        <v>680</v>
      </c>
      <c r="D280" s="179" t="s">
        <v>208</v>
      </c>
      <c r="E280" s="179" t="s">
        <v>149</v>
      </c>
      <c r="F280" s="177"/>
      <c r="G280" s="177" t="s">
        <v>681</v>
      </c>
      <c r="H280" s="178" t="s">
        <v>12</v>
      </c>
      <c r="I280" s="178" t="s">
        <v>682</v>
      </c>
      <c r="J280" s="131">
        <f>IFERROR(INDEX(#REF!,(MATCH('Old Calc Tab'!C:C,#REF!,0))),0)</f>
        <v>0</v>
      </c>
      <c r="K280" s="131">
        <f>IFERROR(INDEX(#REF!,(MATCH('Old Calc Tab'!$C:$C,#REF!,0))),0)</f>
        <v>0</v>
      </c>
      <c r="L280" s="131"/>
      <c r="M280" s="131">
        <v>41844.350000000006</v>
      </c>
      <c r="N280" s="131">
        <f>IFERROR(INDEX(#REF!,(MATCH('Old Calc Tab'!$C:$C,#REF!,0))),0)</f>
        <v>0</v>
      </c>
      <c r="O280" s="131">
        <f t="shared" si="54"/>
        <v>0</v>
      </c>
      <c r="P280" s="131">
        <f t="shared" si="55"/>
        <v>41844.350000000006</v>
      </c>
      <c r="Q280" s="131"/>
      <c r="R280" s="131"/>
      <c r="S280" s="131"/>
      <c r="T280" s="131"/>
      <c r="U280" s="131"/>
      <c r="V280" s="131">
        <v>10508</v>
      </c>
      <c r="W280" s="180">
        <v>0</v>
      </c>
      <c r="X280" s="180">
        <f t="shared" si="66"/>
        <v>52352.350000000006</v>
      </c>
      <c r="Y280" s="181">
        <f>IF(D280="Physician Group Practice",(X280/$AE$369)*'1. UC Assumptions'!$C$15,IF(OR(E280="Rural Hospital",E280="Hosp - State"),X280,(X280/$X$369)*'1. UC Assumptions'!$C$9))</f>
        <v>52352.350000000006</v>
      </c>
      <c r="Z280" s="181">
        <f t="shared" si="56"/>
        <v>0</v>
      </c>
      <c r="AA280" s="181">
        <f t="shared" si="57"/>
        <v>0</v>
      </c>
      <c r="AB280" s="182">
        <f t="shared" si="58"/>
        <v>0</v>
      </c>
      <c r="AC280" s="181">
        <f t="shared" si="59"/>
        <v>0</v>
      </c>
      <c r="AD280" s="181">
        <f t="shared" si="60"/>
        <v>52352.350000000006</v>
      </c>
      <c r="AE280" s="131">
        <v>542896.12</v>
      </c>
      <c r="AF280" s="131">
        <f>AE280*'1. UC Assumptions'!$C$23</f>
        <v>179155.71959999998</v>
      </c>
      <c r="AG280" s="183">
        <f>IF((((X280-W280-AE280)*'1. UC Assumptions'!$C$23)+AF280)&gt;0,((X280-W280-AE280)*'1. UC Assumptions'!$C$23)+AF280,0)</f>
        <v>17276.275499999989</v>
      </c>
      <c r="AH280" s="183"/>
      <c r="AI280" s="183">
        <f t="shared" si="61"/>
        <v>179155.71959999998</v>
      </c>
      <c r="AJ280" s="183">
        <f>IF(H280="Bexar",(AD280/$AJ$1)*'1. UC Assumptions'!$E$42,0)</f>
        <v>0</v>
      </c>
      <c r="AK280" s="183">
        <f>IF(H280="Dallas",(AD280/$AK$1)*'1. UC Assumptions'!$F$42,0)</f>
        <v>0</v>
      </c>
      <c r="AL280" s="183">
        <f>IF(H280="El Paso",(AD280/$AL$1)*'1. UC Assumptions'!$G$42,0)</f>
        <v>0</v>
      </c>
      <c r="AM280" s="183">
        <f>IF(H280="Harris",(AD280/$AM$1)*'1. UC Assumptions'!$H$42,0)</f>
        <v>0</v>
      </c>
      <c r="AN280" s="183">
        <f>IF(H280="Hidalgo",(AD280/$AN$1)*'1. UC Assumptions'!$I$42,0)</f>
        <v>0</v>
      </c>
      <c r="AO280" s="183">
        <f>IF(H280="Jefferson",(AD280/$AO$1)*'1. UC Assumptions'!$J$42,0)</f>
        <v>0</v>
      </c>
      <c r="AP280" s="183">
        <f>IF(H280="Lubbock",(AD280/$AP$1)*'1. UC Assumptions'!$K$42,0)</f>
        <v>0</v>
      </c>
      <c r="AQ280" s="183">
        <f>IF(H280="MRSA Central",(AD280/$AQ$1)*'1. UC Assumptions'!$L$42,0)</f>
        <v>0</v>
      </c>
      <c r="AR280" s="183">
        <f>IF(H280="MRSA Northeast",(AD280/$AR$1)*'1. UC Assumptions'!$M$42,0)</f>
        <v>0</v>
      </c>
      <c r="AS280" s="183">
        <f>IF(H280="MRSA West",(AD280/$AS$1)*'1. UC Assumptions'!$N$42,0)</f>
        <v>0</v>
      </c>
      <c r="AT280" s="183">
        <f>IF(H280="Nueces",(AD280/$AT$1)*'1. UC Assumptions'!$O$42,0)</f>
        <v>0</v>
      </c>
      <c r="AU280" s="183">
        <f>IF(H280="Tarrant",(AD280/$AU$1)*'1. UC Assumptions'!$P$42,0)</f>
        <v>0</v>
      </c>
      <c r="AV280" s="183">
        <f>IF(H280="Travis",(AD280/$AV$1)*'1. UC Assumptions'!$Q$42,0)</f>
        <v>0</v>
      </c>
      <c r="AW280" s="183">
        <f>IF(H280="Bexar",(AC280/$AW$1)*'1. UC Assumptions'!$E$44,0)</f>
        <v>0</v>
      </c>
      <c r="AX280" s="183">
        <f>IF(H280="Dallas",(AC280/$AX$1)*'1. UC Assumptions'!$F$44,0)</f>
        <v>0</v>
      </c>
      <c r="AY280" s="183">
        <f>IF(H280="El Paso",(AC280/$AY$1)*'1. UC Assumptions'!$G$44,0)</f>
        <v>0</v>
      </c>
      <c r="AZ280" s="183">
        <f>IF(H280="Harris",(AC280/$AZ$1)*'1. UC Assumptions'!$H$44,0)</f>
        <v>0</v>
      </c>
      <c r="BA280" s="183">
        <f>IF(H280="Hidalgo",(AC280/$BA$1)*'1. UC Assumptions'!$I$44,0)</f>
        <v>0</v>
      </c>
      <c r="BB280" s="183">
        <f>IF(H280="Jefferson",(AC280/$BB$1)*'1. UC Assumptions'!$J$44,0)</f>
        <v>0</v>
      </c>
      <c r="BC280" s="183">
        <f>IF(H280="Lubbock",(AC280/$BC$1)*'1. UC Assumptions'!$K$44,0)</f>
        <v>0</v>
      </c>
      <c r="BD280" s="183">
        <f>IF(H280="MRSA Central",(AC280/$BD$1)*'1. UC Assumptions'!$L$44,0)</f>
        <v>0</v>
      </c>
      <c r="BE280" s="183">
        <f>IF(H280="MRSA Northeast",(AC280/$BE$1)*'1. UC Assumptions'!$M$44,0)</f>
        <v>0</v>
      </c>
      <c r="BF280" s="183">
        <f>IF(H280="MRSA West",(AC280/$BF$1)*'1. UC Assumptions'!$N$44,0)</f>
        <v>0</v>
      </c>
      <c r="BG280" s="183">
        <f>IF(H280="Nueces",(AC280/$BG$1)*'1. UC Assumptions'!$O$44,0)</f>
        <v>0</v>
      </c>
      <c r="BH280" s="183">
        <f>IF(H280="Tarrant",(AC280/$BH$1)*'1. UC Assumptions'!$P$44,0)</f>
        <v>0</v>
      </c>
      <c r="BI280" s="183">
        <f>IF(H280="Travis",(AC280/$BI$1)*'1. UC Assumptions'!$Q$44,0)</f>
        <v>0</v>
      </c>
      <c r="BJ280" s="183">
        <f t="shared" si="62"/>
        <v>0</v>
      </c>
      <c r="BK280" s="183">
        <f t="shared" si="63"/>
        <v>0</v>
      </c>
      <c r="BL280" s="183">
        <f t="shared" si="64"/>
        <v>52352.350000000006</v>
      </c>
      <c r="BM280" s="184">
        <f t="shared" si="65"/>
        <v>-490543.77</v>
      </c>
      <c r="BN280" s="184">
        <f>ROUNDDOWN(BM280*'1. UC Assumptions'!$C$23,2)</f>
        <v>-161879.44</v>
      </c>
      <c r="BO280" s="184"/>
      <c r="BP280" s="185"/>
      <c r="BQ280" s="32"/>
      <c r="BR280" s="32"/>
    </row>
    <row r="281" spans="1:70">
      <c r="A281" s="177" t="s">
        <v>1703</v>
      </c>
      <c r="B281" s="178" t="s">
        <v>683</v>
      </c>
      <c r="C281" s="178" t="s">
        <v>683</v>
      </c>
      <c r="D281" s="179" t="s">
        <v>208</v>
      </c>
      <c r="E281" s="179" t="s">
        <v>149</v>
      </c>
      <c r="F281" s="177"/>
      <c r="G281" s="177" t="s">
        <v>684</v>
      </c>
      <c r="H281" s="178" t="s">
        <v>12</v>
      </c>
      <c r="I281" s="178" t="s">
        <v>685</v>
      </c>
      <c r="J281" s="131">
        <f>IFERROR(INDEX(#REF!,(MATCH('Old Calc Tab'!C:C,#REF!,0))),0)</f>
        <v>0</v>
      </c>
      <c r="K281" s="131">
        <f>IFERROR(INDEX(#REF!,(MATCH('Old Calc Tab'!$C:$C,#REF!,0))),0)</f>
        <v>0</v>
      </c>
      <c r="L281" s="131"/>
      <c r="M281" s="131">
        <v>847591.15</v>
      </c>
      <c r="N281" s="131">
        <f>IFERROR(INDEX(#REF!,(MATCH('Old Calc Tab'!$C:$C,#REF!,0))),0)</f>
        <v>0</v>
      </c>
      <c r="O281" s="131">
        <f t="shared" si="54"/>
        <v>0</v>
      </c>
      <c r="P281" s="131">
        <f t="shared" si="55"/>
        <v>847591.15</v>
      </c>
      <c r="Q281" s="131"/>
      <c r="R281" s="131"/>
      <c r="S281" s="131"/>
      <c r="T281" s="131"/>
      <c r="U281" s="131"/>
      <c r="V281" s="131">
        <v>0</v>
      </c>
      <c r="W281" s="180">
        <v>0</v>
      </c>
      <c r="X281" s="180">
        <f t="shared" si="66"/>
        <v>847591.15</v>
      </c>
      <c r="Y281" s="181">
        <f>IF(D281="Physician Group Practice",(X281/$AE$369)*'1. UC Assumptions'!$C$15,IF(OR(E281="Rural Hospital",E281="Hosp - State"),X281,(X281/$X$369)*'1. UC Assumptions'!$C$9))</f>
        <v>847591.15</v>
      </c>
      <c r="Z281" s="181">
        <f t="shared" si="56"/>
        <v>0</v>
      </c>
      <c r="AA281" s="181">
        <f t="shared" si="57"/>
        <v>0</v>
      </c>
      <c r="AB281" s="182">
        <f t="shared" si="58"/>
        <v>0</v>
      </c>
      <c r="AC281" s="181">
        <f t="shared" si="59"/>
        <v>0</v>
      </c>
      <c r="AD281" s="181">
        <f t="shared" si="60"/>
        <v>847591.15</v>
      </c>
      <c r="AE281" s="131">
        <v>443422.62</v>
      </c>
      <c r="AF281" s="131">
        <f>AE281*'1. UC Assumptions'!$C$23</f>
        <v>146329.46459999998</v>
      </c>
      <c r="AG281" s="183">
        <f>IF((((X281-W281-AE281)*'1. UC Assumptions'!$C$23)+AF281)&gt;0,((X281-W281-AE281)*'1. UC Assumptions'!$C$23)+AF281,0)</f>
        <v>279705.07949999999</v>
      </c>
      <c r="AH281" s="183"/>
      <c r="AI281" s="183">
        <f t="shared" si="61"/>
        <v>146329.46459999998</v>
      </c>
      <c r="AJ281" s="183">
        <f>IF(H281="Bexar",(AD281/$AJ$1)*'1. UC Assumptions'!$E$42,0)</f>
        <v>0</v>
      </c>
      <c r="AK281" s="183">
        <f>IF(H281="Dallas",(AD281/$AK$1)*'1. UC Assumptions'!$F$42,0)</f>
        <v>0</v>
      </c>
      <c r="AL281" s="183">
        <f>IF(H281="El Paso",(AD281/$AL$1)*'1. UC Assumptions'!$G$42,0)</f>
        <v>0</v>
      </c>
      <c r="AM281" s="183">
        <f>IF(H281="Harris",(AD281/$AM$1)*'1. UC Assumptions'!$H$42,0)</f>
        <v>0</v>
      </c>
      <c r="AN281" s="183">
        <f>IF(H281="Hidalgo",(AD281/$AN$1)*'1. UC Assumptions'!$I$42,0)</f>
        <v>0</v>
      </c>
      <c r="AO281" s="183">
        <f>IF(H281="Jefferson",(AD281/$AO$1)*'1. UC Assumptions'!$J$42,0)</f>
        <v>0</v>
      </c>
      <c r="AP281" s="183">
        <f>IF(H281="Lubbock",(AD281/$AP$1)*'1. UC Assumptions'!$K$42,0)</f>
        <v>0</v>
      </c>
      <c r="AQ281" s="183">
        <f>IF(H281="MRSA Central",(AD281/$AQ$1)*'1. UC Assumptions'!$L$42,0)</f>
        <v>0</v>
      </c>
      <c r="AR281" s="183">
        <f>IF(H281="MRSA Northeast",(AD281/$AR$1)*'1. UC Assumptions'!$M$42,0)</f>
        <v>0</v>
      </c>
      <c r="AS281" s="183">
        <f>IF(H281="MRSA West",(AD281/$AS$1)*'1. UC Assumptions'!$N$42,0)</f>
        <v>0</v>
      </c>
      <c r="AT281" s="183">
        <f>IF(H281="Nueces",(AD281/$AT$1)*'1. UC Assumptions'!$O$42,0)</f>
        <v>0</v>
      </c>
      <c r="AU281" s="183">
        <f>IF(H281="Tarrant",(AD281/$AU$1)*'1. UC Assumptions'!$P$42,0)</f>
        <v>0</v>
      </c>
      <c r="AV281" s="183">
        <f>IF(H281="Travis",(AD281/$AV$1)*'1. UC Assumptions'!$Q$42,0)</f>
        <v>0</v>
      </c>
      <c r="AW281" s="183">
        <f>IF(H281="Bexar",(AC281/$AW$1)*'1. UC Assumptions'!$E$44,0)</f>
        <v>0</v>
      </c>
      <c r="AX281" s="183">
        <f>IF(H281="Dallas",(AC281/$AX$1)*'1. UC Assumptions'!$F$44,0)</f>
        <v>0</v>
      </c>
      <c r="AY281" s="183">
        <f>IF(H281="El Paso",(AC281/$AY$1)*'1. UC Assumptions'!$G$44,0)</f>
        <v>0</v>
      </c>
      <c r="AZ281" s="183">
        <f>IF(H281="Harris",(AC281/$AZ$1)*'1. UC Assumptions'!$H$44,0)</f>
        <v>0</v>
      </c>
      <c r="BA281" s="183">
        <f>IF(H281="Hidalgo",(AC281/$BA$1)*'1. UC Assumptions'!$I$44,0)</f>
        <v>0</v>
      </c>
      <c r="BB281" s="183">
        <f>IF(H281="Jefferson",(AC281/$BB$1)*'1. UC Assumptions'!$J$44,0)</f>
        <v>0</v>
      </c>
      <c r="BC281" s="183">
        <f>IF(H281="Lubbock",(AC281/$BC$1)*'1. UC Assumptions'!$K$44,0)</f>
        <v>0</v>
      </c>
      <c r="BD281" s="183">
        <f>IF(H281="MRSA Central",(AC281/$BD$1)*'1. UC Assumptions'!$L$44,0)</f>
        <v>0</v>
      </c>
      <c r="BE281" s="183">
        <f>IF(H281="MRSA Northeast",(AC281/$BE$1)*'1. UC Assumptions'!$M$44,0)</f>
        <v>0</v>
      </c>
      <c r="BF281" s="183">
        <f>IF(H281="MRSA West",(AC281/$BF$1)*'1. UC Assumptions'!$N$44,0)</f>
        <v>0</v>
      </c>
      <c r="BG281" s="183">
        <f>IF(H281="Nueces",(AC281/$BG$1)*'1. UC Assumptions'!$O$44,0)</f>
        <v>0</v>
      </c>
      <c r="BH281" s="183">
        <f>IF(H281="Tarrant",(AC281/$BH$1)*'1. UC Assumptions'!$P$44,0)</f>
        <v>0</v>
      </c>
      <c r="BI281" s="183">
        <f>IF(H281="Travis",(AC281/$BI$1)*'1. UC Assumptions'!$Q$44,0)</f>
        <v>0</v>
      </c>
      <c r="BJ281" s="183">
        <f t="shared" si="62"/>
        <v>0</v>
      </c>
      <c r="BK281" s="183">
        <f t="shared" si="63"/>
        <v>0</v>
      </c>
      <c r="BL281" s="183">
        <f t="shared" si="64"/>
        <v>847591.15</v>
      </c>
      <c r="BM281" s="184">
        <f t="shared" si="65"/>
        <v>404168.53</v>
      </c>
      <c r="BN281" s="184">
        <f>ROUNDDOWN(BM281*'1. UC Assumptions'!$C$23,2)</f>
        <v>133375.60999999999</v>
      </c>
      <c r="BO281" s="184"/>
      <c r="BP281" s="185"/>
      <c r="BQ281" s="32"/>
      <c r="BR281" s="32"/>
    </row>
    <row r="282" spans="1:70">
      <c r="A282" s="177" t="s">
        <v>1704</v>
      </c>
      <c r="B282" s="178" t="s">
        <v>690</v>
      </c>
      <c r="C282" s="178" t="s">
        <v>690</v>
      </c>
      <c r="D282" s="179" t="s">
        <v>208</v>
      </c>
      <c r="E282" s="179" t="s">
        <v>149</v>
      </c>
      <c r="F282" s="177"/>
      <c r="G282" s="177" t="s">
        <v>691</v>
      </c>
      <c r="H282" s="178" t="s">
        <v>12</v>
      </c>
      <c r="I282" s="178" t="s">
        <v>692</v>
      </c>
      <c r="J282" s="131">
        <f>IFERROR(INDEX(#REF!,(MATCH('Old Calc Tab'!C:C,#REF!,0))),0)</f>
        <v>0</v>
      </c>
      <c r="K282" s="131">
        <f>IFERROR(INDEX(#REF!,(MATCH('Old Calc Tab'!$C:$C,#REF!,0))),0)</f>
        <v>0</v>
      </c>
      <c r="L282" s="131"/>
      <c r="M282" s="131">
        <v>2074104.5</v>
      </c>
      <c r="N282" s="131">
        <f>IFERROR(INDEX(#REF!,(MATCH('Old Calc Tab'!$C:$C,#REF!,0))),0)</f>
        <v>0</v>
      </c>
      <c r="O282" s="131">
        <f t="shared" si="54"/>
        <v>0</v>
      </c>
      <c r="P282" s="131">
        <f t="shared" si="55"/>
        <v>2074104.5</v>
      </c>
      <c r="Q282" s="131"/>
      <c r="R282" s="131"/>
      <c r="S282" s="131"/>
      <c r="T282" s="131"/>
      <c r="U282" s="131"/>
      <c r="V282" s="131">
        <v>6203</v>
      </c>
      <c r="W282" s="180">
        <v>0</v>
      </c>
      <c r="X282" s="180">
        <f t="shared" si="66"/>
        <v>2080307.5</v>
      </c>
      <c r="Y282" s="181">
        <f>IF(D282="Physician Group Practice",(X282/$AE$369)*'1. UC Assumptions'!$C$15,IF(OR(E282="Rural Hospital",E282="Hosp - State"),X282,(X282/$X$369)*'1. UC Assumptions'!$C$9))</f>
        <v>2080307.5</v>
      </c>
      <c r="Z282" s="181">
        <f t="shared" si="56"/>
        <v>0</v>
      </c>
      <c r="AA282" s="181">
        <f t="shared" si="57"/>
        <v>0</v>
      </c>
      <c r="AB282" s="182">
        <f t="shared" si="58"/>
        <v>0</v>
      </c>
      <c r="AC282" s="181">
        <f t="shared" si="59"/>
        <v>0</v>
      </c>
      <c r="AD282" s="181">
        <f t="shared" si="60"/>
        <v>2080307.5</v>
      </c>
      <c r="AE282" s="131">
        <v>442793.2</v>
      </c>
      <c r="AF282" s="131">
        <f>AE282*'1. UC Assumptions'!$C$23</f>
        <v>146121.75599999999</v>
      </c>
      <c r="AG282" s="183">
        <f>IF((((X282-W282-AE282)*'1. UC Assumptions'!$C$23)+AF282)&gt;0,((X282-W282-AE282)*'1. UC Assumptions'!$C$23)+AF282,0)</f>
        <v>686501.47499999986</v>
      </c>
      <c r="AH282" s="183"/>
      <c r="AI282" s="183">
        <f t="shared" si="61"/>
        <v>146121.75599999999</v>
      </c>
      <c r="AJ282" s="183">
        <f>IF(H282="Bexar",(AD282/$AJ$1)*'1. UC Assumptions'!$E$42,0)</f>
        <v>0</v>
      </c>
      <c r="AK282" s="183">
        <f>IF(H282="Dallas",(AD282/$AK$1)*'1. UC Assumptions'!$F$42,0)</f>
        <v>0</v>
      </c>
      <c r="AL282" s="183">
        <f>IF(H282="El Paso",(AD282/$AL$1)*'1. UC Assumptions'!$G$42,0)</f>
        <v>0</v>
      </c>
      <c r="AM282" s="183">
        <f>IF(H282="Harris",(AD282/$AM$1)*'1. UC Assumptions'!$H$42,0)</f>
        <v>0</v>
      </c>
      <c r="AN282" s="183">
        <f>IF(H282="Hidalgo",(AD282/$AN$1)*'1. UC Assumptions'!$I$42,0)</f>
        <v>0</v>
      </c>
      <c r="AO282" s="183">
        <f>IF(H282="Jefferson",(AD282/$AO$1)*'1. UC Assumptions'!$J$42,0)</f>
        <v>0</v>
      </c>
      <c r="AP282" s="183">
        <f>IF(H282="Lubbock",(AD282/$AP$1)*'1. UC Assumptions'!$K$42,0)</f>
        <v>0</v>
      </c>
      <c r="AQ282" s="183">
        <f>IF(H282="MRSA Central",(AD282/$AQ$1)*'1. UC Assumptions'!$L$42,0)</f>
        <v>0</v>
      </c>
      <c r="AR282" s="183">
        <f>IF(H282="MRSA Northeast",(AD282/$AR$1)*'1. UC Assumptions'!$M$42,0)</f>
        <v>0</v>
      </c>
      <c r="AS282" s="183">
        <f>IF(H282="MRSA West",(AD282/$AS$1)*'1. UC Assumptions'!$N$42,0)</f>
        <v>0</v>
      </c>
      <c r="AT282" s="183">
        <f>IF(H282="Nueces",(AD282/$AT$1)*'1. UC Assumptions'!$O$42,0)</f>
        <v>0</v>
      </c>
      <c r="AU282" s="183">
        <f>IF(H282="Tarrant",(AD282/$AU$1)*'1. UC Assumptions'!$P$42,0)</f>
        <v>0</v>
      </c>
      <c r="AV282" s="183">
        <f>IF(H282="Travis",(AD282/$AV$1)*'1. UC Assumptions'!$Q$42,0)</f>
        <v>0</v>
      </c>
      <c r="AW282" s="183">
        <f>IF(H282="Bexar",(AC282/$AW$1)*'1. UC Assumptions'!$E$44,0)</f>
        <v>0</v>
      </c>
      <c r="AX282" s="183">
        <f>IF(H282="Dallas",(AC282/$AX$1)*'1. UC Assumptions'!$F$44,0)</f>
        <v>0</v>
      </c>
      <c r="AY282" s="183">
        <f>IF(H282="El Paso",(AC282/$AY$1)*'1. UC Assumptions'!$G$44,0)</f>
        <v>0</v>
      </c>
      <c r="AZ282" s="183">
        <f>IF(H282="Harris",(AC282/$AZ$1)*'1. UC Assumptions'!$H$44,0)</f>
        <v>0</v>
      </c>
      <c r="BA282" s="183">
        <f>IF(H282="Hidalgo",(AC282/$BA$1)*'1. UC Assumptions'!$I$44,0)</f>
        <v>0</v>
      </c>
      <c r="BB282" s="183">
        <f>IF(H282="Jefferson",(AC282/$BB$1)*'1. UC Assumptions'!$J$44,0)</f>
        <v>0</v>
      </c>
      <c r="BC282" s="183">
        <f>IF(H282="Lubbock",(AC282/$BC$1)*'1. UC Assumptions'!$K$44,0)</f>
        <v>0</v>
      </c>
      <c r="BD282" s="183">
        <f>IF(H282="MRSA Central",(AC282/$BD$1)*'1. UC Assumptions'!$L$44,0)</f>
        <v>0</v>
      </c>
      <c r="BE282" s="183">
        <f>IF(H282="MRSA Northeast",(AC282/$BE$1)*'1. UC Assumptions'!$M$44,0)</f>
        <v>0</v>
      </c>
      <c r="BF282" s="183">
        <f>IF(H282="MRSA West",(AC282/$BF$1)*'1. UC Assumptions'!$N$44,0)</f>
        <v>0</v>
      </c>
      <c r="BG282" s="183">
        <f>IF(H282="Nueces",(AC282/$BG$1)*'1. UC Assumptions'!$O$44,0)</f>
        <v>0</v>
      </c>
      <c r="BH282" s="183">
        <f>IF(H282="Tarrant",(AC282/$BH$1)*'1. UC Assumptions'!$P$44,0)</f>
        <v>0</v>
      </c>
      <c r="BI282" s="183">
        <f>IF(H282="Travis",(AC282/$BI$1)*'1. UC Assumptions'!$Q$44,0)</f>
        <v>0</v>
      </c>
      <c r="BJ282" s="183">
        <f t="shared" si="62"/>
        <v>0</v>
      </c>
      <c r="BK282" s="183">
        <f t="shared" si="63"/>
        <v>0</v>
      </c>
      <c r="BL282" s="183">
        <f t="shared" si="64"/>
        <v>2080307.5</v>
      </c>
      <c r="BM282" s="184">
        <f t="shared" si="65"/>
        <v>1637514.3</v>
      </c>
      <c r="BN282" s="184">
        <f>ROUNDDOWN(BM282*'1. UC Assumptions'!$C$23,2)</f>
        <v>540379.71</v>
      </c>
      <c r="BO282" s="184"/>
      <c r="BP282" s="185"/>
      <c r="BQ282" s="32"/>
      <c r="BR282" s="32"/>
    </row>
    <row r="283" spans="1:70">
      <c r="A283" s="177" t="s">
        <v>1705</v>
      </c>
      <c r="B283" s="178" t="s">
        <v>693</v>
      </c>
      <c r="C283" s="178" t="s">
        <v>693</v>
      </c>
      <c r="D283" s="179" t="s">
        <v>208</v>
      </c>
      <c r="E283" s="179" t="s">
        <v>149</v>
      </c>
      <c r="F283" s="177"/>
      <c r="G283" s="177" t="s">
        <v>1706</v>
      </c>
      <c r="H283" s="178" t="s">
        <v>12</v>
      </c>
      <c r="I283" s="178" t="s">
        <v>695</v>
      </c>
      <c r="J283" s="131">
        <f>IFERROR(INDEX(#REF!,(MATCH('Old Calc Tab'!C:C,#REF!,0))),0)</f>
        <v>0</v>
      </c>
      <c r="K283" s="131">
        <f>IFERROR(INDEX(#REF!,(MATCH('Old Calc Tab'!$C:$C,#REF!,0))),0)</f>
        <v>0</v>
      </c>
      <c r="L283" s="131"/>
      <c r="M283" s="131">
        <v>362561.20000000007</v>
      </c>
      <c r="N283" s="131">
        <f>IFERROR(INDEX(#REF!,(MATCH('Old Calc Tab'!$C:$C,#REF!,0))),0)</f>
        <v>0</v>
      </c>
      <c r="O283" s="131">
        <f t="shared" si="54"/>
        <v>0</v>
      </c>
      <c r="P283" s="131">
        <f t="shared" si="55"/>
        <v>362561.20000000007</v>
      </c>
      <c r="Q283" s="131"/>
      <c r="R283" s="131"/>
      <c r="S283" s="131"/>
      <c r="T283" s="131"/>
      <c r="U283" s="131"/>
      <c r="V283" s="131">
        <v>7341.4</v>
      </c>
      <c r="W283" s="180">
        <v>0</v>
      </c>
      <c r="X283" s="180">
        <f t="shared" si="66"/>
        <v>369902.60000000009</v>
      </c>
      <c r="Y283" s="181">
        <f>IF(D283="Physician Group Practice",(X283/$AE$369)*'1. UC Assumptions'!$C$15,IF(OR(E283="Rural Hospital",E283="Hosp - State"),X283,(X283/$X$369)*'1. UC Assumptions'!$C$9))</f>
        <v>369902.60000000009</v>
      </c>
      <c r="Z283" s="181">
        <f t="shared" si="56"/>
        <v>0</v>
      </c>
      <c r="AA283" s="181">
        <f t="shared" si="57"/>
        <v>0</v>
      </c>
      <c r="AB283" s="182">
        <f t="shared" si="58"/>
        <v>0</v>
      </c>
      <c r="AC283" s="181">
        <f t="shared" si="59"/>
        <v>0</v>
      </c>
      <c r="AD283" s="181">
        <f t="shared" si="60"/>
        <v>369902.60000000009</v>
      </c>
      <c r="AE283" s="131">
        <v>501582.91</v>
      </c>
      <c r="AF283" s="131">
        <f>AE283*'1. UC Assumptions'!$C$23</f>
        <v>165522.36029999997</v>
      </c>
      <c r="AG283" s="183">
        <f>IF((((X283-W283-AE283)*'1. UC Assumptions'!$C$23)+AF283)&gt;0,((X283-W283-AE283)*'1. UC Assumptions'!$C$23)+AF283,0)</f>
        <v>122067.85800000001</v>
      </c>
      <c r="AH283" s="183"/>
      <c r="AI283" s="183">
        <f t="shared" si="61"/>
        <v>165522.36029999997</v>
      </c>
      <c r="AJ283" s="183">
        <f>IF(H283="Bexar",(AD283/$AJ$1)*'1. UC Assumptions'!$E$42,0)</f>
        <v>0</v>
      </c>
      <c r="AK283" s="183">
        <f>IF(H283="Dallas",(AD283/$AK$1)*'1. UC Assumptions'!$F$42,0)</f>
        <v>0</v>
      </c>
      <c r="AL283" s="183">
        <f>IF(H283="El Paso",(AD283/$AL$1)*'1. UC Assumptions'!$G$42,0)</f>
        <v>0</v>
      </c>
      <c r="AM283" s="183">
        <f>IF(H283="Harris",(AD283/$AM$1)*'1. UC Assumptions'!$H$42,0)</f>
        <v>0</v>
      </c>
      <c r="AN283" s="183">
        <f>IF(H283="Hidalgo",(AD283/$AN$1)*'1. UC Assumptions'!$I$42,0)</f>
        <v>0</v>
      </c>
      <c r="AO283" s="183">
        <f>IF(H283="Jefferson",(AD283/$AO$1)*'1. UC Assumptions'!$J$42,0)</f>
        <v>0</v>
      </c>
      <c r="AP283" s="183">
        <f>IF(H283="Lubbock",(AD283/$AP$1)*'1. UC Assumptions'!$K$42,0)</f>
        <v>0</v>
      </c>
      <c r="AQ283" s="183">
        <f>IF(H283="MRSA Central",(AD283/$AQ$1)*'1. UC Assumptions'!$L$42,0)</f>
        <v>0</v>
      </c>
      <c r="AR283" s="183">
        <f>IF(H283="MRSA Northeast",(AD283/$AR$1)*'1. UC Assumptions'!$M$42,0)</f>
        <v>0</v>
      </c>
      <c r="AS283" s="183">
        <f>IF(H283="MRSA West",(AD283/$AS$1)*'1. UC Assumptions'!$N$42,0)</f>
        <v>0</v>
      </c>
      <c r="AT283" s="183">
        <f>IF(H283="Nueces",(AD283/$AT$1)*'1. UC Assumptions'!$O$42,0)</f>
        <v>0</v>
      </c>
      <c r="AU283" s="183">
        <f>IF(H283="Tarrant",(AD283/$AU$1)*'1. UC Assumptions'!$P$42,0)</f>
        <v>0</v>
      </c>
      <c r="AV283" s="183">
        <f>IF(H283="Travis",(AD283/$AV$1)*'1. UC Assumptions'!$Q$42,0)</f>
        <v>0</v>
      </c>
      <c r="AW283" s="183">
        <f>IF(H283="Bexar",(AC283/$AW$1)*'1. UC Assumptions'!$E$44,0)</f>
        <v>0</v>
      </c>
      <c r="AX283" s="183">
        <f>IF(H283="Dallas",(AC283/$AX$1)*'1. UC Assumptions'!$F$44,0)</f>
        <v>0</v>
      </c>
      <c r="AY283" s="183">
        <f>IF(H283="El Paso",(AC283/$AY$1)*'1. UC Assumptions'!$G$44,0)</f>
        <v>0</v>
      </c>
      <c r="AZ283" s="183">
        <f>IF(H283="Harris",(AC283/$AZ$1)*'1. UC Assumptions'!$H$44,0)</f>
        <v>0</v>
      </c>
      <c r="BA283" s="183">
        <f>IF(H283="Hidalgo",(AC283/$BA$1)*'1. UC Assumptions'!$I$44,0)</f>
        <v>0</v>
      </c>
      <c r="BB283" s="183">
        <f>IF(H283="Jefferson",(AC283/$BB$1)*'1. UC Assumptions'!$J$44,0)</f>
        <v>0</v>
      </c>
      <c r="BC283" s="183">
        <f>IF(H283="Lubbock",(AC283/$BC$1)*'1. UC Assumptions'!$K$44,0)</f>
        <v>0</v>
      </c>
      <c r="BD283" s="183">
        <f>IF(H283="MRSA Central",(AC283/$BD$1)*'1. UC Assumptions'!$L$44,0)</f>
        <v>0</v>
      </c>
      <c r="BE283" s="183">
        <f>IF(H283="MRSA Northeast",(AC283/$BE$1)*'1. UC Assumptions'!$M$44,0)</f>
        <v>0</v>
      </c>
      <c r="BF283" s="183">
        <f>IF(H283="MRSA West",(AC283/$BF$1)*'1. UC Assumptions'!$N$44,0)</f>
        <v>0</v>
      </c>
      <c r="BG283" s="183">
        <f>IF(H283="Nueces",(AC283/$BG$1)*'1. UC Assumptions'!$O$44,0)</f>
        <v>0</v>
      </c>
      <c r="BH283" s="183">
        <f>IF(H283="Tarrant",(AC283/$BH$1)*'1. UC Assumptions'!$P$44,0)</f>
        <v>0</v>
      </c>
      <c r="BI283" s="183">
        <f>IF(H283="Travis",(AC283/$BI$1)*'1. UC Assumptions'!$Q$44,0)</f>
        <v>0</v>
      </c>
      <c r="BJ283" s="183">
        <f t="shared" si="62"/>
        <v>0</v>
      </c>
      <c r="BK283" s="183">
        <f t="shared" si="63"/>
        <v>0</v>
      </c>
      <c r="BL283" s="183">
        <f t="shared" si="64"/>
        <v>369902.60000000009</v>
      </c>
      <c r="BM283" s="184">
        <f t="shared" si="65"/>
        <v>-131680.30999999988</v>
      </c>
      <c r="BN283" s="184">
        <f>ROUNDDOWN(BM283*'1. UC Assumptions'!$C$23,2)</f>
        <v>-43454.5</v>
      </c>
      <c r="BO283" s="184"/>
      <c r="BP283" s="185"/>
      <c r="BQ283" s="32"/>
      <c r="BR283" s="32"/>
    </row>
    <row r="284" spans="1:70">
      <c r="A284" s="177" t="s">
        <v>1707</v>
      </c>
      <c r="B284" s="177" t="s">
        <v>715</v>
      </c>
      <c r="C284" s="178" t="s">
        <v>715</v>
      </c>
      <c r="D284" s="179" t="s">
        <v>208</v>
      </c>
      <c r="E284" s="179" t="s">
        <v>149</v>
      </c>
      <c r="F284" s="177"/>
      <c r="G284" s="177" t="s">
        <v>716</v>
      </c>
      <c r="H284" s="178" t="s">
        <v>12</v>
      </c>
      <c r="I284" s="178" t="s">
        <v>717</v>
      </c>
      <c r="J284" s="131">
        <f>IFERROR(INDEX(#REF!,(MATCH('Old Calc Tab'!C:C,#REF!,0))),0)</f>
        <v>0</v>
      </c>
      <c r="K284" s="131">
        <f>IFERROR(INDEX(#REF!,(MATCH('Old Calc Tab'!$C:$C,#REF!,0))),0)</f>
        <v>0</v>
      </c>
      <c r="L284" s="131"/>
      <c r="M284" s="131">
        <v>513982.5</v>
      </c>
      <c r="N284" s="131">
        <f>IFERROR(INDEX(#REF!,(MATCH('Old Calc Tab'!$C:$C,#REF!,0))),0)</f>
        <v>0</v>
      </c>
      <c r="O284" s="131">
        <f t="shared" si="54"/>
        <v>0</v>
      </c>
      <c r="P284" s="131">
        <f t="shared" si="55"/>
        <v>513982.5</v>
      </c>
      <c r="Q284" s="131"/>
      <c r="R284" s="131"/>
      <c r="S284" s="131"/>
      <c r="T284" s="131"/>
      <c r="U284" s="131"/>
      <c r="V284" s="131">
        <v>29592</v>
      </c>
      <c r="W284" s="180">
        <v>0</v>
      </c>
      <c r="X284" s="180">
        <f t="shared" si="66"/>
        <v>543574.5</v>
      </c>
      <c r="Y284" s="181">
        <f>IF(D284="Physician Group Practice",(X284/$AE$369)*'1. UC Assumptions'!$C$15,IF(OR(E284="Rural Hospital",E284="Hosp - State"),X284,(X284/$X$369)*'1. UC Assumptions'!$C$9))</f>
        <v>543574.5</v>
      </c>
      <c r="Z284" s="181">
        <f t="shared" si="56"/>
        <v>0</v>
      </c>
      <c r="AA284" s="181">
        <f t="shared" si="57"/>
        <v>0</v>
      </c>
      <c r="AB284" s="182">
        <f t="shared" si="58"/>
        <v>0</v>
      </c>
      <c r="AC284" s="181">
        <f t="shared" si="59"/>
        <v>0</v>
      </c>
      <c r="AD284" s="181">
        <f t="shared" si="60"/>
        <v>543574.5</v>
      </c>
      <c r="AE284" s="131">
        <v>326112.14</v>
      </c>
      <c r="AF284" s="131">
        <f>AE284*'1. UC Assumptions'!$C$23</f>
        <v>107617.00619999999</v>
      </c>
      <c r="AG284" s="183">
        <f>IF((((X284-W284-AE284)*'1. UC Assumptions'!$C$23)+AF284)&gt;0,((X284-W284-AE284)*'1. UC Assumptions'!$C$23)+AF284,0)</f>
        <v>179379.58499999996</v>
      </c>
      <c r="AH284" s="183"/>
      <c r="AI284" s="183">
        <f t="shared" si="61"/>
        <v>107617.00619999999</v>
      </c>
      <c r="AJ284" s="183">
        <f>IF(H284="Bexar",(AD284/$AJ$1)*'1. UC Assumptions'!$E$42,0)</f>
        <v>0</v>
      </c>
      <c r="AK284" s="183">
        <f>IF(H284="Dallas",(AD284/$AK$1)*'1. UC Assumptions'!$F$42,0)</f>
        <v>0</v>
      </c>
      <c r="AL284" s="183">
        <f>IF(H284="El Paso",(AD284/$AL$1)*'1. UC Assumptions'!$G$42,0)</f>
        <v>0</v>
      </c>
      <c r="AM284" s="183">
        <f>IF(H284="Harris",(AD284/$AM$1)*'1. UC Assumptions'!$H$42,0)</f>
        <v>0</v>
      </c>
      <c r="AN284" s="183">
        <f>IF(H284="Hidalgo",(AD284/$AN$1)*'1. UC Assumptions'!$I$42,0)</f>
        <v>0</v>
      </c>
      <c r="AO284" s="183">
        <f>IF(H284="Jefferson",(AD284/$AO$1)*'1. UC Assumptions'!$J$42,0)</f>
        <v>0</v>
      </c>
      <c r="AP284" s="183">
        <f>IF(H284="Lubbock",(AD284/$AP$1)*'1. UC Assumptions'!$K$42,0)</f>
        <v>0</v>
      </c>
      <c r="AQ284" s="183">
        <f>IF(H284="MRSA Central",(AD284/$AQ$1)*'1. UC Assumptions'!$L$42,0)</f>
        <v>0</v>
      </c>
      <c r="AR284" s="183">
        <f>IF(H284="MRSA Northeast",(AD284/$AR$1)*'1. UC Assumptions'!$M$42,0)</f>
        <v>0</v>
      </c>
      <c r="AS284" s="183">
        <f>IF(H284="MRSA West",(AD284/$AS$1)*'1. UC Assumptions'!$N$42,0)</f>
        <v>0</v>
      </c>
      <c r="AT284" s="183">
        <f>IF(H284="Nueces",(AD284/$AT$1)*'1. UC Assumptions'!$O$42,0)</f>
        <v>0</v>
      </c>
      <c r="AU284" s="183">
        <f>IF(H284="Tarrant",(AD284/$AU$1)*'1. UC Assumptions'!$P$42,0)</f>
        <v>0</v>
      </c>
      <c r="AV284" s="183">
        <f>IF(H284="Travis",(AD284/$AV$1)*'1. UC Assumptions'!$Q$42,0)</f>
        <v>0</v>
      </c>
      <c r="AW284" s="183">
        <f>IF(H284="Bexar",(AC284/$AW$1)*'1. UC Assumptions'!$E$44,0)</f>
        <v>0</v>
      </c>
      <c r="AX284" s="183">
        <f>IF(H284="Dallas",(AC284/$AX$1)*'1. UC Assumptions'!$F$44,0)</f>
        <v>0</v>
      </c>
      <c r="AY284" s="183">
        <f>IF(H284="El Paso",(AC284/$AY$1)*'1. UC Assumptions'!$G$44,0)</f>
        <v>0</v>
      </c>
      <c r="AZ284" s="183">
        <f>IF(H284="Harris",(AC284/$AZ$1)*'1. UC Assumptions'!$H$44,0)</f>
        <v>0</v>
      </c>
      <c r="BA284" s="183">
        <f>IF(H284="Hidalgo",(AC284/$BA$1)*'1. UC Assumptions'!$I$44,0)</f>
        <v>0</v>
      </c>
      <c r="BB284" s="183">
        <f>IF(H284="Jefferson",(AC284/$BB$1)*'1. UC Assumptions'!$J$44,0)</f>
        <v>0</v>
      </c>
      <c r="BC284" s="183">
        <f>IF(H284="Lubbock",(AC284/$BC$1)*'1. UC Assumptions'!$K$44,0)</f>
        <v>0</v>
      </c>
      <c r="BD284" s="183">
        <f>IF(H284="MRSA Central",(AC284/$BD$1)*'1. UC Assumptions'!$L$44,0)</f>
        <v>0</v>
      </c>
      <c r="BE284" s="183">
        <f>IF(H284="MRSA Northeast",(AC284/$BE$1)*'1. UC Assumptions'!$M$44,0)</f>
        <v>0</v>
      </c>
      <c r="BF284" s="183">
        <f>IF(H284="MRSA West",(AC284/$BF$1)*'1. UC Assumptions'!$N$44,0)</f>
        <v>0</v>
      </c>
      <c r="BG284" s="183">
        <f>IF(H284="Nueces",(AC284/$BG$1)*'1. UC Assumptions'!$O$44,0)</f>
        <v>0</v>
      </c>
      <c r="BH284" s="183">
        <f>IF(H284="Tarrant",(AC284/$BH$1)*'1. UC Assumptions'!$P$44,0)</f>
        <v>0</v>
      </c>
      <c r="BI284" s="183">
        <f>IF(H284="Travis",(AC284/$BI$1)*'1. UC Assumptions'!$Q$44,0)</f>
        <v>0</v>
      </c>
      <c r="BJ284" s="183">
        <f t="shared" si="62"/>
        <v>0</v>
      </c>
      <c r="BK284" s="183">
        <f t="shared" si="63"/>
        <v>0</v>
      </c>
      <c r="BL284" s="183">
        <f t="shared" si="64"/>
        <v>543574.5</v>
      </c>
      <c r="BM284" s="184">
        <f t="shared" si="65"/>
        <v>217462.36</v>
      </c>
      <c r="BN284" s="184">
        <f>ROUNDDOWN(BM284*'1. UC Assumptions'!$C$23,2)</f>
        <v>71762.570000000007</v>
      </c>
      <c r="BO284" s="184"/>
      <c r="BP284" s="185"/>
      <c r="BQ284" s="32"/>
      <c r="BR284" s="32"/>
    </row>
    <row r="285" spans="1:70">
      <c r="A285" s="177" t="s">
        <v>1708</v>
      </c>
      <c r="B285" s="178" t="s">
        <v>718</v>
      </c>
      <c r="C285" s="178" t="s">
        <v>718</v>
      </c>
      <c r="D285" s="179" t="s">
        <v>214</v>
      </c>
      <c r="E285" s="179"/>
      <c r="F285" s="177"/>
      <c r="G285" s="177" t="s">
        <v>719</v>
      </c>
      <c r="H285" s="178" t="s">
        <v>12</v>
      </c>
      <c r="I285" s="178" t="s">
        <v>476</v>
      </c>
      <c r="J285" s="131">
        <f>IFERROR(INDEX(#REF!,(MATCH('Old Calc Tab'!C:C,#REF!,0))),0)</f>
        <v>0</v>
      </c>
      <c r="K285" s="131">
        <f>IFERROR(INDEX(#REF!,(MATCH('Old Calc Tab'!$C:$C,#REF!,0))),0)</f>
        <v>0</v>
      </c>
      <c r="L285" s="131"/>
      <c r="M285" s="131">
        <v>12918810.852</v>
      </c>
      <c r="N285" s="131">
        <f>IFERROR(INDEX(#REF!,(MATCH('Old Calc Tab'!$C:$C,#REF!,0))),0)</f>
        <v>0</v>
      </c>
      <c r="O285" s="131">
        <f t="shared" si="54"/>
        <v>0</v>
      </c>
      <c r="P285" s="131">
        <f t="shared" si="55"/>
        <v>12918810.852</v>
      </c>
      <c r="Q285" s="131"/>
      <c r="R285" s="131"/>
      <c r="S285" s="131"/>
      <c r="T285" s="131"/>
      <c r="U285" s="131"/>
      <c r="V285" s="131">
        <v>680410</v>
      </c>
      <c r="W285" s="180">
        <v>0</v>
      </c>
      <c r="X285" s="180">
        <f t="shared" si="66"/>
        <v>13599220.852</v>
      </c>
      <c r="Y285" s="181">
        <f>IF(D285="Physician Group Practice",(X285/$AE$369)*'1. UC Assumptions'!$C$15,IF(OR(E285="Rural Hospital",E285="Hosp - State"),X285,(X285/$X$369)*'1. UC Assumptions'!$C$9))</f>
        <v>8184868.2254059901</v>
      </c>
      <c r="Z285" s="181">
        <f t="shared" si="56"/>
        <v>0</v>
      </c>
      <c r="AA285" s="181">
        <f t="shared" si="57"/>
        <v>5414352.6265940098</v>
      </c>
      <c r="AB285" s="182">
        <f t="shared" si="58"/>
        <v>2907.6759860368788</v>
      </c>
      <c r="AC285" s="181">
        <f t="shared" si="59"/>
        <v>5417260.3025800465</v>
      </c>
      <c r="AD285" s="181">
        <f t="shared" si="60"/>
        <v>8187775.9013920268</v>
      </c>
      <c r="AE285" s="131">
        <v>6419260.6199999992</v>
      </c>
      <c r="AF285" s="131">
        <f>AE285*'1. UC Assumptions'!$C$23</f>
        <v>2118356.0045999996</v>
      </c>
      <c r="AG285" s="183">
        <f>IF((((X285-W285-AE285)*'1. UC Assumptions'!$C$23)+AF285)&gt;0,((X285-W285-AE285)*'1. UC Assumptions'!$C$23)+AF285,0)</f>
        <v>4487742.8811599994</v>
      </c>
      <c r="AH285" s="183"/>
      <c r="AI285" s="183">
        <f t="shared" si="61"/>
        <v>2118356.0045999996</v>
      </c>
      <c r="AJ285" s="183">
        <f>IF(H285="Bexar",(AD285/$AJ$1)*'1. UC Assumptions'!$E$42,0)</f>
        <v>0</v>
      </c>
      <c r="AK285" s="183">
        <f>IF(H285="Dallas",(AD285/$AK$1)*'1. UC Assumptions'!$F$42,0)</f>
        <v>0</v>
      </c>
      <c r="AL285" s="183">
        <f>IF(H285="El Paso",(AD285/$AL$1)*'1. UC Assumptions'!$G$42,0)</f>
        <v>0</v>
      </c>
      <c r="AM285" s="183">
        <f>IF(H285="Harris",(AD285/$AM$1)*'1. UC Assumptions'!$H$42,0)</f>
        <v>0</v>
      </c>
      <c r="AN285" s="183">
        <f>IF(H285="Hidalgo",(AD285/$AN$1)*'1. UC Assumptions'!$I$42,0)</f>
        <v>0</v>
      </c>
      <c r="AO285" s="183">
        <f>IF(H285="Jefferson",(AD285/$AO$1)*'1. UC Assumptions'!$J$42,0)</f>
        <v>0</v>
      </c>
      <c r="AP285" s="183">
        <f>IF(H285="Lubbock",(AD285/$AP$1)*'1. UC Assumptions'!$K$42,0)</f>
        <v>0</v>
      </c>
      <c r="AQ285" s="183">
        <f>IF(H285="MRSA Central",(AD285/$AQ$1)*'1. UC Assumptions'!$L$42,0)</f>
        <v>0</v>
      </c>
      <c r="AR285" s="183">
        <f>IF(H285="MRSA Northeast",(AD285/$AR$1)*'1. UC Assumptions'!$M$42,0)</f>
        <v>0</v>
      </c>
      <c r="AS285" s="183">
        <f>IF(H285="MRSA West",(AD285/$AS$1)*'1. UC Assumptions'!$N$42,0)</f>
        <v>0</v>
      </c>
      <c r="AT285" s="183">
        <f>IF(H285="Nueces",(AD285/$AT$1)*'1. UC Assumptions'!$O$42,0)</f>
        <v>0</v>
      </c>
      <c r="AU285" s="183">
        <f>IF(H285="Tarrant",(AD285/$AU$1)*'1. UC Assumptions'!$P$42,0)</f>
        <v>0</v>
      </c>
      <c r="AV285" s="183">
        <f>IF(H285="Travis",(AD285/$AV$1)*'1. UC Assumptions'!$Q$42,0)</f>
        <v>0</v>
      </c>
      <c r="AW285" s="183">
        <f>IF(H285="Bexar",(AC285/$AW$1)*'1. UC Assumptions'!$E$44,0)</f>
        <v>0</v>
      </c>
      <c r="AX285" s="183">
        <f>IF(H285="Dallas",(AC285/$AX$1)*'1. UC Assumptions'!$F$44,0)</f>
        <v>0</v>
      </c>
      <c r="AY285" s="183">
        <f>IF(H285="El Paso",(AC285/$AY$1)*'1. UC Assumptions'!$G$44,0)</f>
        <v>0</v>
      </c>
      <c r="AZ285" s="183">
        <f>IF(H285="Harris",(AC285/$AZ$1)*'1. UC Assumptions'!$H$44,0)</f>
        <v>0</v>
      </c>
      <c r="BA285" s="183">
        <f>IF(H285="Hidalgo",(AC285/$BA$1)*'1. UC Assumptions'!$I$44,0)</f>
        <v>0</v>
      </c>
      <c r="BB285" s="183">
        <f>IF(H285="Jefferson",(AC285/$BB$1)*'1. UC Assumptions'!$J$44,0)</f>
        <v>0</v>
      </c>
      <c r="BC285" s="183">
        <f>IF(H285="Lubbock",(AC285/$BC$1)*'1. UC Assumptions'!$K$44,0)</f>
        <v>0</v>
      </c>
      <c r="BD285" s="183">
        <f>IF(H285="MRSA Central",(AC285/$BD$1)*'1. UC Assumptions'!$L$44,0)</f>
        <v>0</v>
      </c>
      <c r="BE285" s="183">
        <f>IF(H285="MRSA Northeast",(AC285/$BE$1)*'1. UC Assumptions'!$M$44,0)</f>
        <v>0</v>
      </c>
      <c r="BF285" s="183">
        <f>IF(H285="MRSA West",(AC285/$BF$1)*'1. UC Assumptions'!$N$44,0)</f>
        <v>0</v>
      </c>
      <c r="BG285" s="183">
        <f>IF(H285="Nueces",(AC285/$BG$1)*'1. UC Assumptions'!$O$44,0)</f>
        <v>0</v>
      </c>
      <c r="BH285" s="183">
        <f>IF(H285="Tarrant",(AC285/$BH$1)*'1. UC Assumptions'!$P$44,0)</f>
        <v>0</v>
      </c>
      <c r="BI285" s="183">
        <f>IF(H285="Travis",(AC285/$BI$1)*'1. UC Assumptions'!$Q$44,0)</f>
        <v>0</v>
      </c>
      <c r="BJ285" s="183">
        <f t="shared" si="62"/>
        <v>0</v>
      </c>
      <c r="BK285" s="183">
        <f t="shared" si="63"/>
        <v>0</v>
      </c>
      <c r="BL285" s="183">
        <f t="shared" si="64"/>
        <v>8187775.9013920268</v>
      </c>
      <c r="BM285" s="184">
        <f t="shared" si="65"/>
        <v>1768515.2813920276</v>
      </c>
      <c r="BN285" s="184">
        <f>ROUNDDOWN(BM285*'1. UC Assumptions'!$C$23,2)</f>
        <v>583610.04</v>
      </c>
      <c r="BO285" s="184"/>
      <c r="BP285" s="185"/>
      <c r="BQ285" s="32"/>
      <c r="BR285" s="32"/>
    </row>
    <row r="286" spans="1:70">
      <c r="A286" s="177" t="s">
        <v>1709</v>
      </c>
      <c r="B286" s="178" t="s">
        <v>720</v>
      </c>
      <c r="C286" s="178" t="s">
        <v>720</v>
      </c>
      <c r="D286" s="179" t="s">
        <v>208</v>
      </c>
      <c r="E286" s="179" t="s">
        <v>149</v>
      </c>
      <c r="F286" s="177"/>
      <c r="G286" s="177" t="s">
        <v>1710</v>
      </c>
      <c r="H286" s="178" t="s">
        <v>12</v>
      </c>
      <c r="I286" s="178" t="s">
        <v>722</v>
      </c>
      <c r="J286" s="131">
        <f>IFERROR(INDEX(#REF!,(MATCH('Old Calc Tab'!C:C,#REF!,0))),0)</f>
        <v>0</v>
      </c>
      <c r="K286" s="131">
        <f>IFERROR(INDEX(#REF!,(MATCH('Old Calc Tab'!$C:$C,#REF!,0))),0)</f>
        <v>0</v>
      </c>
      <c r="L286" s="131"/>
      <c r="M286" s="131">
        <v>1097700.7</v>
      </c>
      <c r="N286" s="131">
        <f>IFERROR(INDEX(#REF!,(MATCH('Old Calc Tab'!$C:$C,#REF!,0))),0)</f>
        <v>0</v>
      </c>
      <c r="O286" s="131">
        <f t="shared" si="54"/>
        <v>0</v>
      </c>
      <c r="P286" s="131">
        <f t="shared" si="55"/>
        <v>1097700.7</v>
      </c>
      <c r="Q286" s="131"/>
      <c r="R286" s="131"/>
      <c r="S286" s="131"/>
      <c r="T286" s="131"/>
      <c r="U286" s="131"/>
      <c r="V286" s="131">
        <v>0</v>
      </c>
      <c r="W286" s="180">
        <v>0</v>
      </c>
      <c r="X286" s="180">
        <f t="shared" si="66"/>
        <v>1097700.7</v>
      </c>
      <c r="Y286" s="181">
        <f>IF(D286="Physician Group Practice",(X286/$AE$369)*'1. UC Assumptions'!$C$15,IF(OR(E286="Rural Hospital",E286="Hosp - State"),X286,(X286/$X$369)*'1. UC Assumptions'!$C$9))</f>
        <v>1097700.7</v>
      </c>
      <c r="Z286" s="181">
        <f t="shared" si="56"/>
        <v>0</v>
      </c>
      <c r="AA286" s="181">
        <f t="shared" si="57"/>
        <v>0</v>
      </c>
      <c r="AB286" s="182">
        <f t="shared" si="58"/>
        <v>0</v>
      </c>
      <c r="AC286" s="181">
        <f t="shared" si="59"/>
        <v>0</v>
      </c>
      <c r="AD286" s="181">
        <f t="shared" si="60"/>
        <v>1097700.7</v>
      </c>
      <c r="AE286" s="131">
        <v>347229.67</v>
      </c>
      <c r="AF286" s="131">
        <f>AE286*'1. UC Assumptions'!$C$23</f>
        <v>114585.79109999999</v>
      </c>
      <c r="AG286" s="183">
        <f>IF((((X286-W286-AE286)*'1. UC Assumptions'!$C$23)+AF286)&gt;0,((X286-W286-AE286)*'1. UC Assumptions'!$C$23)+AF286,0)</f>
        <v>362241.23099999997</v>
      </c>
      <c r="AH286" s="183"/>
      <c r="AI286" s="183">
        <f t="shared" si="61"/>
        <v>114585.79109999999</v>
      </c>
      <c r="AJ286" s="183">
        <f>IF(H286="Bexar",(AD286/$AJ$1)*'1. UC Assumptions'!$E$42,0)</f>
        <v>0</v>
      </c>
      <c r="AK286" s="183">
        <f>IF(H286="Dallas",(AD286/$AK$1)*'1. UC Assumptions'!$F$42,0)</f>
        <v>0</v>
      </c>
      <c r="AL286" s="183">
        <f>IF(H286="El Paso",(AD286/$AL$1)*'1. UC Assumptions'!$G$42,0)</f>
        <v>0</v>
      </c>
      <c r="AM286" s="183">
        <f>IF(H286="Harris",(AD286/$AM$1)*'1. UC Assumptions'!$H$42,0)</f>
        <v>0</v>
      </c>
      <c r="AN286" s="183">
        <f>IF(H286="Hidalgo",(AD286/$AN$1)*'1. UC Assumptions'!$I$42,0)</f>
        <v>0</v>
      </c>
      <c r="AO286" s="183">
        <f>IF(H286="Jefferson",(AD286/$AO$1)*'1. UC Assumptions'!$J$42,0)</f>
        <v>0</v>
      </c>
      <c r="AP286" s="183">
        <f>IF(H286="Lubbock",(AD286/$AP$1)*'1. UC Assumptions'!$K$42,0)</f>
        <v>0</v>
      </c>
      <c r="AQ286" s="183">
        <f>IF(H286="MRSA Central",(AD286/$AQ$1)*'1. UC Assumptions'!$L$42,0)</f>
        <v>0</v>
      </c>
      <c r="AR286" s="183">
        <f>IF(H286="MRSA Northeast",(AD286/$AR$1)*'1. UC Assumptions'!$M$42,0)</f>
        <v>0</v>
      </c>
      <c r="AS286" s="183">
        <f>IF(H286="MRSA West",(AD286/$AS$1)*'1. UC Assumptions'!$N$42,0)</f>
        <v>0</v>
      </c>
      <c r="AT286" s="183">
        <f>IF(H286="Nueces",(AD286/$AT$1)*'1. UC Assumptions'!$O$42,0)</f>
        <v>0</v>
      </c>
      <c r="AU286" s="183">
        <f>IF(H286="Tarrant",(AD286/$AU$1)*'1. UC Assumptions'!$P$42,0)</f>
        <v>0</v>
      </c>
      <c r="AV286" s="183">
        <f>IF(H286="Travis",(AD286/$AV$1)*'1. UC Assumptions'!$Q$42,0)</f>
        <v>0</v>
      </c>
      <c r="AW286" s="183">
        <f>IF(H286="Bexar",(AC286/$AW$1)*'1. UC Assumptions'!$E$44,0)</f>
        <v>0</v>
      </c>
      <c r="AX286" s="183">
        <f>IF(H286="Dallas",(AC286/$AX$1)*'1. UC Assumptions'!$F$44,0)</f>
        <v>0</v>
      </c>
      <c r="AY286" s="183">
        <f>IF(H286="El Paso",(AC286/$AY$1)*'1. UC Assumptions'!$G$44,0)</f>
        <v>0</v>
      </c>
      <c r="AZ286" s="183">
        <f>IF(H286="Harris",(AC286/$AZ$1)*'1. UC Assumptions'!$H$44,0)</f>
        <v>0</v>
      </c>
      <c r="BA286" s="183">
        <f>IF(H286="Hidalgo",(AC286/$BA$1)*'1. UC Assumptions'!$I$44,0)</f>
        <v>0</v>
      </c>
      <c r="BB286" s="183">
        <f>IF(H286="Jefferson",(AC286/$BB$1)*'1. UC Assumptions'!$J$44,0)</f>
        <v>0</v>
      </c>
      <c r="BC286" s="183">
        <f>IF(H286="Lubbock",(AC286/$BC$1)*'1. UC Assumptions'!$K$44,0)</f>
        <v>0</v>
      </c>
      <c r="BD286" s="183">
        <f>IF(H286="MRSA Central",(AC286/$BD$1)*'1. UC Assumptions'!$L$44,0)</f>
        <v>0</v>
      </c>
      <c r="BE286" s="183">
        <f>IF(H286="MRSA Northeast",(AC286/$BE$1)*'1. UC Assumptions'!$M$44,0)</f>
        <v>0</v>
      </c>
      <c r="BF286" s="183">
        <f>IF(H286="MRSA West",(AC286/$BF$1)*'1. UC Assumptions'!$N$44,0)</f>
        <v>0</v>
      </c>
      <c r="BG286" s="183">
        <f>IF(H286="Nueces",(AC286/$BG$1)*'1. UC Assumptions'!$O$44,0)</f>
        <v>0</v>
      </c>
      <c r="BH286" s="183">
        <f>IF(H286="Tarrant",(AC286/$BH$1)*'1. UC Assumptions'!$P$44,0)</f>
        <v>0</v>
      </c>
      <c r="BI286" s="183">
        <f>IF(H286="Travis",(AC286/$BI$1)*'1. UC Assumptions'!$Q$44,0)</f>
        <v>0</v>
      </c>
      <c r="BJ286" s="183">
        <f t="shared" si="62"/>
        <v>0</v>
      </c>
      <c r="BK286" s="183">
        <f t="shared" si="63"/>
        <v>0</v>
      </c>
      <c r="BL286" s="183">
        <f t="shared" si="64"/>
        <v>1097700.7</v>
      </c>
      <c r="BM286" s="184">
        <f t="shared" si="65"/>
        <v>750471.03</v>
      </c>
      <c r="BN286" s="184">
        <f>ROUNDDOWN(BM286*'1. UC Assumptions'!$C$23,2)</f>
        <v>247655.43</v>
      </c>
      <c r="BO286" s="184"/>
      <c r="BP286" s="185"/>
      <c r="BQ286" s="32"/>
      <c r="BR286" s="32"/>
    </row>
    <row r="287" spans="1:70">
      <c r="A287" s="177">
        <v>451300</v>
      </c>
      <c r="B287" s="178" t="s">
        <v>729</v>
      </c>
      <c r="C287" s="178" t="s">
        <v>729</v>
      </c>
      <c r="D287" s="179" t="s">
        <v>214</v>
      </c>
      <c r="E287" s="179" t="s">
        <v>149</v>
      </c>
      <c r="F287" s="177"/>
      <c r="G287" s="177" t="s">
        <v>1711</v>
      </c>
      <c r="H287" s="178" t="s">
        <v>12</v>
      </c>
      <c r="I287" s="178" t="s">
        <v>731</v>
      </c>
      <c r="J287" s="131">
        <f>IFERROR(INDEX(#REF!,(MATCH('Old Calc Tab'!C:C,#REF!,0))),0)</f>
        <v>0</v>
      </c>
      <c r="K287" s="131">
        <f>IFERROR(INDEX(#REF!,(MATCH('Old Calc Tab'!$C:$C,#REF!,0))),0)</f>
        <v>0</v>
      </c>
      <c r="L287" s="131"/>
      <c r="M287" s="131">
        <v>295580.60000000003</v>
      </c>
      <c r="N287" s="131">
        <f>IFERROR(INDEX(#REF!,(MATCH('Old Calc Tab'!$C:$C,#REF!,0))),0)</f>
        <v>0</v>
      </c>
      <c r="O287" s="131">
        <f t="shared" si="54"/>
        <v>0</v>
      </c>
      <c r="P287" s="131">
        <f t="shared" si="55"/>
        <v>295580.60000000003</v>
      </c>
      <c r="Q287" s="131"/>
      <c r="R287" s="131"/>
      <c r="S287" s="131"/>
      <c r="T287" s="131"/>
      <c r="U287" s="131"/>
      <c r="V287" s="131">
        <v>2922</v>
      </c>
      <c r="W287" s="180">
        <v>0</v>
      </c>
      <c r="X287" s="180">
        <f t="shared" si="66"/>
        <v>298502.60000000003</v>
      </c>
      <c r="Y287" s="181">
        <f>IF(D287="Physician Group Practice",(X287/$AE$369)*'1. UC Assumptions'!$C$15,IF(OR(E287="Rural Hospital",E287="Hosp - State"),X287,(X287/$X$369)*'1. UC Assumptions'!$C$9))</f>
        <v>298502.60000000003</v>
      </c>
      <c r="Z287" s="181">
        <f t="shared" si="56"/>
        <v>0</v>
      </c>
      <c r="AA287" s="181">
        <f t="shared" si="57"/>
        <v>0</v>
      </c>
      <c r="AB287" s="182">
        <f t="shared" si="58"/>
        <v>0</v>
      </c>
      <c r="AC287" s="181">
        <f t="shared" si="59"/>
        <v>0</v>
      </c>
      <c r="AD287" s="181">
        <f t="shared" si="60"/>
        <v>298502.60000000003</v>
      </c>
      <c r="AE287" s="131">
        <v>0</v>
      </c>
      <c r="AF287" s="131">
        <f>AE287*'1. UC Assumptions'!$C$23</f>
        <v>0</v>
      </c>
      <c r="AG287" s="183">
        <f>IF((((X287-W287-AE287)*'1. UC Assumptions'!$C$23)+AF287)&gt;0,((X287-W287-AE287)*'1. UC Assumptions'!$C$23)+AF287,0)</f>
        <v>98505.857999999993</v>
      </c>
      <c r="AH287" s="183"/>
      <c r="AI287" s="183">
        <f t="shared" si="61"/>
        <v>0</v>
      </c>
      <c r="AJ287" s="183">
        <f>IF(H287="Bexar",(AD287/$AJ$1)*'1. UC Assumptions'!$E$42,0)</f>
        <v>0</v>
      </c>
      <c r="AK287" s="183">
        <f>IF(H287="Dallas",(AD287/$AK$1)*'1. UC Assumptions'!$F$42,0)</f>
        <v>0</v>
      </c>
      <c r="AL287" s="183">
        <f>IF(H287="El Paso",(AD287/$AL$1)*'1. UC Assumptions'!$G$42,0)</f>
        <v>0</v>
      </c>
      <c r="AM287" s="183">
        <f>IF(H287="Harris",(AD287/$AM$1)*'1. UC Assumptions'!$H$42,0)</f>
        <v>0</v>
      </c>
      <c r="AN287" s="183">
        <f>IF(H287="Hidalgo",(AD287/$AN$1)*'1. UC Assumptions'!$I$42,0)</f>
        <v>0</v>
      </c>
      <c r="AO287" s="183">
        <f>IF(H287="Jefferson",(AD287/$AO$1)*'1. UC Assumptions'!$J$42,0)</f>
        <v>0</v>
      </c>
      <c r="AP287" s="183">
        <f>IF(H287="Lubbock",(AD287/$AP$1)*'1. UC Assumptions'!$K$42,0)</f>
        <v>0</v>
      </c>
      <c r="AQ287" s="183">
        <f>IF(H287="MRSA Central",(AD287/$AQ$1)*'1. UC Assumptions'!$L$42,0)</f>
        <v>0</v>
      </c>
      <c r="AR287" s="183">
        <f>IF(H287="MRSA Northeast",(AD287/$AR$1)*'1. UC Assumptions'!$M$42,0)</f>
        <v>0</v>
      </c>
      <c r="AS287" s="183">
        <f>IF(H287="MRSA West",(AD287/$AS$1)*'1. UC Assumptions'!$N$42,0)</f>
        <v>0</v>
      </c>
      <c r="AT287" s="183">
        <f>IF(H287="Nueces",(AD287/$AT$1)*'1. UC Assumptions'!$O$42,0)</f>
        <v>0</v>
      </c>
      <c r="AU287" s="183">
        <f>IF(H287="Tarrant",(AD287/$AU$1)*'1. UC Assumptions'!$P$42,0)</f>
        <v>0</v>
      </c>
      <c r="AV287" s="183">
        <f>IF(H287="Travis",(AD287/$AV$1)*'1. UC Assumptions'!$Q$42,0)</f>
        <v>0</v>
      </c>
      <c r="AW287" s="183">
        <f>IF(H287="Bexar",(AC287/$AW$1)*'1. UC Assumptions'!$E$44,0)</f>
        <v>0</v>
      </c>
      <c r="AX287" s="183">
        <f>IF(H287="Dallas",(AC287/$AX$1)*'1. UC Assumptions'!$F$44,0)</f>
        <v>0</v>
      </c>
      <c r="AY287" s="183">
        <f>IF(H287="El Paso",(AC287/$AY$1)*'1. UC Assumptions'!$G$44,0)</f>
        <v>0</v>
      </c>
      <c r="AZ287" s="183">
        <f>IF(H287="Harris",(AC287/$AZ$1)*'1. UC Assumptions'!$H$44,0)</f>
        <v>0</v>
      </c>
      <c r="BA287" s="183">
        <f>IF(H287="Hidalgo",(AC287/$BA$1)*'1. UC Assumptions'!$I$44,0)</f>
        <v>0</v>
      </c>
      <c r="BB287" s="183">
        <f>IF(H287="Jefferson",(AC287/$BB$1)*'1. UC Assumptions'!$J$44,0)</f>
        <v>0</v>
      </c>
      <c r="BC287" s="183">
        <f>IF(H287="Lubbock",(AC287/$BC$1)*'1. UC Assumptions'!$K$44,0)</f>
        <v>0</v>
      </c>
      <c r="BD287" s="183">
        <f>IF(H287="MRSA Central",(AC287/$BD$1)*'1. UC Assumptions'!$L$44,0)</f>
        <v>0</v>
      </c>
      <c r="BE287" s="183">
        <f>IF(H287="MRSA Northeast",(AC287/$BE$1)*'1. UC Assumptions'!$M$44,0)</f>
        <v>0</v>
      </c>
      <c r="BF287" s="183">
        <f>IF(H287="MRSA West",(AC287/$BF$1)*'1. UC Assumptions'!$N$44,0)</f>
        <v>0</v>
      </c>
      <c r="BG287" s="183">
        <f>IF(H287="Nueces",(AC287/$BG$1)*'1. UC Assumptions'!$O$44,0)</f>
        <v>0</v>
      </c>
      <c r="BH287" s="183">
        <f>IF(H287="Tarrant",(AC287/$BH$1)*'1. UC Assumptions'!$P$44,0)</f>
        <v>0</v>
      </c>
      <c r="BI287" s="183">
        <f>IF(H287="Travis",(AC287/$BI$1)*'1. UC Assumptions'!$Q$44,0)</f>
        <v>0</v>
      </c>
      <c r="BJ287" s="183">
        <f t="shared" si="62"/>
        <v>0</v>
      </c>
      <c r="BK287" s="183">
        <f t="shared" si="63"/>
        <v>0</v>
      </c>
      <c r="BL287" s="183">
        <f t="shared" si="64"/>
        <v>298502.60000000003</v>
      </c>
      <c r="BM287" s="184">
        <f t="shared" si="65"/>
        <v>298502.60000000003</v>
      </c>
      <c r="BN287" s="184">
        <f>ROUNDDOWN(BM287*'1. UC Assumptions'!$C$23,2)</f>
        <v>98505.85</v>
      </c>
      <c r="BO287" s="184"/>
      <c r="BP287" s="185"/>
      <c r="BQ287" s="32"/>
      <c r="BR287" s="32"/>
    </row>
    <row r="288" spans="1:70">
      <c r="A288" s="177" t="s">
        <v>1712</v>
      </c>
      <c r="B288" s="177" t="s">
        <v>115</v>
      </c>
      <c r="C288" s="178" t="s">
        <v>115</v>
      </c>
      <c r="D288" s="179" t="s">
        <v>281</v>
      </c>
      <c r="E288" s="179"/>
      <c r="F288" s="177" t="s">
        <v>282</v>
      </c>
      <c r="G288" s="177" t="s">
        <v>1713</v>
      </c>
      <c r="H288" s="178" t="s">
        <v>12</v>
      </c>
      <c r="I288" s="178" t="s">
        <v>740</v>
      </c>
      <c r="J288" s="131">
        <f>IFERROR(INDEX(#REF!,(MATCH('Old Calc Tab'!C:C,#REF!,0))),0)</f>
        <v>0</v>
      </c>
      <c r="K288" s="131">
        <f>IFERROR(INDEX(#REF!,(MATCH('Old Calc Tab'!$C:$C,#REF!,0))),0)</f>
        <v>0</v>
      </c>
      <c r="L288" s="131"/>
      <c r="M288" s="131">
        <v>21627890</v>
      </c>
      <c r="N288" s="131">
        <f>IFERROR(INDEX(#REF!,(MATCH('Old Calc Tab'!$C:$C,#REF!,0))),0)</f>
        <v>0</v>
      </c>
      <c r="O288" s="131">
        <f t="shared" si="54"/>
        <v>0</v>
      </c>
      <c r="P288" s="131">
        <f t="shared" si="55"/>
        <v>21627890</v>
      </c>
      <c r="Q288" s="131"/>
      <c r="R288" s="131"/>
      <c r="S288" s="131"/>
      <c r="T288" s="131"/>
      <c r="U288" s="131"/>
      <c r="V288" s="131">
        <v>60390</v>
      </c>
      <c r="W288" s="180">
        <v>0</v>
      </c>
      <c r="X288" s="180">
        <f t="shared" si="66"/>
        <v>21688280</v>
      </c>
      <c r="Y288" s="181">
        <f>IF(D288="Physician Group Practice",(X288/$AE$369)*'1. UC Assumptions'!$C$15,IF(OR(E288="Rural Hospital",E288="Hosp - State"),X288,(X288/$X$369)*'1. UC Assumptions'!$C$9))</f>
        <v>13053373.848958522</v>
      </c>
      <c r="Z288" s="181">
        <f t="shared" si="56"/>
        <v>0</v>
      </c>
      <c r="AA288" s="181">
        <f t="shared" si="57"/>
        <v>8634906.1510414779</v>
      </c>
      <c r="AB288" s="182">
        <f t="shared" si="58"/>
        <v>4637.2135301537874</v>
      </c>
      <c r="AC288" s="181">
        <f t="shared" si="59"/>
        <v>8639543.364571631</v>
      </c>
      <c r="AD288" s="181">
        <f t="shared" si="60"/>
        <v>13058011.062488675</v>
      </c>
      <c r="AE288" s="131">
        <v>16170.31</v>
      </c>
      <c r="AF288" s="131">
        <f>AE288*'1. UC Assumptions'!$C$23</f>
        <v>5336.202299999999</v>
      </c>
      <c r="AG288" s="183">
        <f>IF((((X288-W288-AE288)*'1. UC Assumptions'!$C$23)+AF288)&gt;0,((X288-W288-AE288)*'1. UC Assumptions'!$C$23)+AF288,0)</f>
        <v>7157132.3999999994</v>
      </c>
      <c r="AH288" s="183"/>
      <c r="AI288" s="183">
        <f t="shared" si="61"/>
        <v>5336.202299999999</v>
      </c>
      <c r="AJ288" s="183">
        <f>IF(H288="Bexar",(AD288/$AJ$1)*'1. UC Assumptions'!$E$42,0)</f>
        <v>0</v>
      </c>
      <c r="AK288" s="183">
        <f>IF(H288="Dallas",(AD288/$AK$1)*'1. UC Assumptions'!$F$42,0)</f>
        <v>0</v>
      </c>
      <c r="AL288" s="183">
        <f>IF(H288="El Paso",(AD288/$AL$1)*'1. UC Assumptions'!$G$42,0)</f>
        <v>0</v>
      </c>
      <c r="AM288" s="183">
        <f>IF(H288="Harris",(AD288/$AM$1)*'1. UC Assumptions'!$H$42,0)</f>
        <v>0</v>
      </c>
      <c r="AN288" s="183">
        <f>IF(H288="Hidalgo",(AD288/$AN$1)*'1. UC Assumptions'!$I$42,0)</f>
        <v>0</v>
      </c>
      <c r="AO288" s="183">
        <f>IF(H288="Jefferson",(AD288/$AO$1)*'1. UC Assumptions'!$J$42,0)</f>
        <v>0</v>
      </c>
      <c r="AP288" s="183">
        <f>IF(H288="Lubbock",(AD288/$AP$1)*'1. UC Assumptions'!$K$42,0)</f>
        <v>0</v>
      </c>
      <c r="AQ288" s="183">
        <f>IF(H288="MRSA Central",(AD288/$AQ$1)*'1. UC Assumptions'!$L$42,0)</f>
        <v>0</v>
      </c>
      <c r="AR288" s="183">
        <f>IF(H288="MRSA Northeast",(AD288/$AR$1)*'1. UC Assumptions'!$M$42,0)</f>
        <v>0</v>
      </c>
      <c r="AS288" s="183">
        <f>IF(H288="MRSA West",(AD288/$AS$1)*'1. UC Assumptions'!$N$42,0)</f>
        <v>0</v>
      </c>
      <c r="AT288" s="183">
        <f>IF(H288="Nueces",(AD288/$AT$1)*'1. UC Assumptions'!$O$42,0)</f>
        <v>0</v>
      </c>
      <c r="AU288" s="183">
        <f>IF(H288="Tarrant",(AD288/$AU$1)*'1. UC Assumptions'!$P$42,0)</f>
        <v>0</v>
      </c>
      <c r="AV288" s="183">
        <f>IF(H288="Travis",(AD288/$AV$1)*'1. UC Assumptions'!$Q$42,0)</f>
        <v>0</v>
      </c>
      <c r="AW288" s="183">
        <f>IF(H288="Bexar",(AC288/$AW$1)*'1. UC Assumptions'!$E$44,0)</f>
        <v>0</v>
      </c>
      <c r="AX288" s="183">
        <f>IF(H288="Dallas",(AC288/$AX$1)*'1. UC Assumptions'!$F$44,0)</f>
        <v>0</v>
      </c>
      <c r="AY288" s="183">
        <f>IF(H288="El Paso",(AC288/$AY$1)*'1. UC Assumptions'!$G$44,0)</f>
        <v>0</v>
      </c>
      <c r="AZ288" s="183">
        <f>IF(H288="Harris",(AC288/$AZ$1)*'1. UC Assumptions'!$H$44,0)</f>
        <v>0</v>
      </c>
      <c r="BA288" s="183">
        <f>IF(H288="Hidalgo",(AC288/$BA$1)*'1. UC Assumptions'!$I$44,0)</f>
        <v>0</v>
      </c>
      <c r="BB288" s="183">
        <f>IF(H288="Jefferson",(AC288/$BB$1)*'1. UC Assumptions'!$J$44,0)</f>
        <v>0</v>
      </c>
      <c r="BC288" s="183">
        <f>IF(H288="Lubbock",(AC288/$BC$1)*'1. UC Assumptions'!$K$44,0)</f>
        <v>0</v>
      </c>
      <c r="BD288" s="183">
        <f>IF(H288="MRSA Central",(AC288/$BD$1)*'1. UC Assumptions'!$L$44,0)</f>
        <v>0</v>
      </c>
      <c r="BE288" s="183">
        <f>IF(H288="MRSA Northeast",(AC288/$BE$1)*'1. UC Assumptions'!$M$44,0)</f>
        <v>0</v>
      </c>
      <c r="BF288" s="183">
        <f>IF(H288="MRSA West",(AC288/$BF$1)*'1. UC Assumptions'!$N$44,0)</f>
        <v>0</v>
      </c>
      <c r="BG288" s="183">
        <f>IF(H288="Nueces",(AC288/$BG$1)*'1. UC Assumptions'!$O$44,0)</f>
        <v>0</v>
      </c>
      <c r="BH288" s="183">
        <f>IF(H288="Tarrant",(AC288/$BH$1)*'1. UC Assumptions'!$P$44,0)</f>
        <v>0</v>
      </c>
      <c r="BI288" s="183">
        <f>IF(H288="Travis",(AC288/$BI$1)*'1. UC Assumptions'!$Q$44,0)</f>
        <v>0</v>
      </c>
      <c r="BJ288" s="183">
        <f t="shared" si="62"/>
        <v>0</v>
      </c>
      <c r="BK288" s="183">
        <f t="shared" si="63"/>
        <v>0</v>
      </c>
      <c r="BL288" s="183">
        <f t="shared" si="64"/>
        <v>13058011.062488675</v>
      </c>
      <c r="BM288" s="184">
        <f t="shared" si="65"/>
        <v>13041840.752488675</v>
      </c>
      <c r="BN288" s="184">
        <f>ROUNDDOWN(BM288*'1. UC Assumptions'!$C$23,2)</f>
        <v>4303807.4400000004</v>
      </c>
      <c r="BO288" s="184"/>
      <c r="BP288" s="185"/>
      <c r="BQ288" s="32"/>
      <c r="BR288" s="32"/>
    </row>
    <row r="289" spans="1:70">
      <c r="A289" s="177" t="s">
        <v>1714</v>
      </c>
      <c r="B289" s="178" t="s">
        <v>750</v>
      </c>
      <c r="C289" s="178" t="s">
        <v>750</v>
      </c>
      <c r="D289" s="179" t="s">
        <v>208</v>
      </c>
      <c r="E289" s="179" t="s">
        <v>149</v>
      </c>
      <c r="F289" s="177"/>
      <c r="G289" s="177" t="s">
        <v>751</v>
      </c>
      <c r="H289" s="178" t="s">
        <v>12</v>
      </c>
      <c r="I289" s="178" t="s">
        <v>752</v>
      </c>
      <c r="J289" s="131">
        <f>IFERROR(INDEX(#REF!,(MATCH('Old Calc Tab'!C:C,#REF!,0))),0)</f>
        <v>0</v>
      </c>
      <c r="K289" s="131">
        <f>IFERROR(INDEX(#REF!,(MATCH('Old Calc Tab'!$C:$C,#REF!,0))),0)</f>
        <v>0</v>
      </c>
      <c r="L289" s="131"/>
      <c r="M289" s="131">
        <v>629772.75</v>
      </c>
      <c r="N289" s="131">
        <f>IFERROR(INDEX(#REF!,(MATCH('Old Calc Tab'!$C:$C,#REF!,0))),0)</f>
        <v>0</v>
      </c>
      <c r="O289" s="131">
        <f t="shared" si="54"/>
        <v>0</v>
      </c>
      <c r="P289" s="131">
        <f t="shared" si="55"/>
        <v>629772.75</v>
      </c>
      <c r="Q289" s="131"/>
      <c r="R289" s="131"/>
      <c r="S289" s="131"/>
      <c r="T289" s="131"/>
      <c r="U289" s="131"/>
      <c r="V289" s="131">
        <v>0</v>
      </c>
      <c r="W289" s="180">
        <v>0</v>
      </c>
      <c r="X289" s="180">
        <f t="shared" si="66"/>
        <v>629772.75</v>
      </c>
      <c r="Y289" s="181">
        <f>IF(D289="Physician Group Practice",(X289/$AE$369)*'1. UC Assumptions'!$C$15,IF(OR(E289="Rural Hospital",E289="Hosp - State"),X289,(X289/$X$369)*'1. UC Assumptions'!$C$9))</f>
        <v>629772.75</v>
      </c>
      <c r="Z289" s="181">
        <f t="shared" si="56"/>
        <v>0</v>
      </c>
      <c r="AA289" s="181">
        <f t="shared" si="57"/>
        <v>0</v>
      </c>
      <c r="AB289" s="182">
        <f t="shared" si="58"/>
        <v>0</v>
      </c>
      <c r="AC289" s="181">
        <f t="shared" si="59"/>
        <v>0</v>
      </c>
      <c r="AD289" s="181">
        <f t="shared" si="60"/>
        <v>629772.75</v>
      </c>
      <c r="AE289" s="131">
        <v>114803.13</v>
      </c>
      <c r="AF289" s="131">
        <f>AE289*'1. UC Assumptions'!$C$23</f>
        <v>37885.032899999998</v>
      </c>
      <c r="AG289" s="183">
        <f>IF((((X289-W289-AE289)*'1. UC Assumptions'!$C$23)+AF289)&gt;0,((X289-W289-AE289)*'1. UC Assumptions'!$C$23)+AF289,0)</f>
        <v>207825.00749999998</v>
      </c>
      <c r="AH289" s="183"/>
      <c r="AI289" s="183">
        <f t="shared" si="61"/>
        <v>37885.032899999998</v>
      </c>
      <c r="AJ289" s="183">
        <f>IF(H289="Bexar",(AD289/$AJ$1)*'1. UC Assumptions'!$E$42,0)</f>
        <v>0</v>
      </c>
      <c r="AK289" s="183">
        <f>IF(H289="Dallas",(AD289/$AK$1)*'1. UC Assumptions'!$F$42,0)</f>
        <v>0</v>
      </c>
      <c r="AL289" s="183">
        <f>IF(H289="El Paso",(AD289/$AL$1)*'1. UC Assumptions'!$G$42,0)</f>
        <v>0</v>
      </c>
      <c r="AM289" s="183">
        <f>IF(H289="Harris",(AD289/$AM$1)*'1. UC Assumptions'!$H$42,0)</f>
        <v>0</v>
      </c>
      <c r="AN289" s="183">
        <f>IF(H289="Hidalgo",(AD289/$AN$1)*'1. UC Assumptions'!$I$42,0)</f>
        <v>0</v>
      </c>
      <c r="AO289" s="183">
        <f>IF(H289="Jefferson",(AD289/$AO$1)*'1. UC Assumptions'!$J$42,0)</f>
        <v>0</v>
      </c>
      <c r="AP289" s="183">
        <f>IF(H289="Lubbock",(AD289/$AP$1)*'1. UC Assumptions'!$K$42,0)</f>
        <v>0</v>
      </c>
      <c r="AQ289" s="183">
        <f>IF(H289="MRSA Central",(AD289/$AQ$1)*'1. UC Assumptions'!$L$42,0)</f>
        <v>0</v>
      </c>
      <c r="AR289" s="183">
        <f>IF(H289="MRSA Northeast",(AD289/$AR$1)*'1. UC Assumptions'!$M$42,0)</f>
        <v>0</v>
      </c>
      <c r="AS289" s="183">
        <f>IF(H289="MRSA West",(AD289/$AS$1)*'1. UC Assumptions'!$N$42,0)</f>
        <v>0</v>
      </c>
      <c r="AT289" s="183">
        <f>IF(H289="Nueces",(AD289/$AT$1)*'1. UC Assumptions'!$O$42,0)</f>
        <v>0</v>
      </c>
      <c r="AU289" s="183">
        <f>IF(H289="Tarrant",(AD289/$AU$1)*'1. UC Assumptions'!$P$42,0)</f>
        <v>0</v>
      </c>
      <c r="AV289" s="183">
        <f>IF(H289="Travis",(AD289/$AV$1)*'1. UC Assumptions'!$Q$42,0)</f>
        <v>0</v>
      </c>
      <c r="AW289" s="183">
        <f>IF(H289="Bexar",(AC289/$AW$1)*'1. UC Assumptions'!$E$44,0)</f>
        <v>0</v>
      </c>
      <c r="AX289" s="183">
        <f>IF(H289="Dallas",(AC289/$AX$1)*'1. UC Assumptions'!$F$44,0)</f>
        <v>0</v>
      </c>
      <c r="AY289" s="183">
        <f>IF(H289="El Paso",(AC289/$AY$1)*'1. UC Assumptions'!$G$44,0)</f>
        <v>0</v>
      </c>
      <c r="AZ289" s="183">
        <f>IF(H289="Harris",(AC289/$AZ$1)*'1. UC Assumptions'!$H$44,0)</f>
        <v>0</v>
      </c>
      <c r="BA289" s="183">
        <f>IF(H289="Hidalgo",(AC289/$BA$1)*'1. UC Assumptions'!$I$44,0)</f>
        <v>0</v>
      </c>
      <c r="BB289" s="183">
        <f>IF(H289="Jefferson",(AC289/$BB$1)*'1. UC Assumptions'!$J$44,0)</f>
        <v>0</v>
      </c>
      <c r="BC289" s="183">
        <f>IF(H289="Lubbock",(AC289/$BC$1)*'1. UC Assumptions'!$K$44,0)</f>
        <v>0</v>
      </c>
      <c r="BD289" s="183">
        <f>IF(H289="MRSA Central",(AC289/$BD$1)*'1. UC Assumptions'!$L$44,0)</f>
        <v>0</v>
      </c>
      <c r="BE289" s="183">
        <f>IF(H289="MRSA Northeast",(AC289/$BE$1)*'1. UC Assumptions'!$M$44,0)</f>
        <v>0</v>
      </c>
      <c r="BF289" s="183">
        <f>IF(H289="MRSA West",(AC289/$BF$1)*'1. UC Assumptions'!$N$44,0)</f>
        <v>0</v>
      </c>
      <c r="BG289" s="183">
        <f>IF(H289="Nueces",(AC289/$BG$1)*'1. UC Assumptions'!$O$44,0)</f>
        <v>0</v>
      </c>
      <c r="BH289" s="183">
        <f>IF(H289="Tarrant",(AC289/$BH$1)*'1. UC Assumptions'!$P$44,0)</f>
        <v>0</v>
      </c>
      <c r="BI289" s="183">
        <f>IF(H289="Travis",(AC289/$BI$1)*'1. UC Assumptions'!$Q$44,0)</f>
        <v>0</v>
      </c>
      <c r="BJ289" s="183">
        <f t="shared" si="62"/>
        <v>0</v>
      </c>
      <c r="BK289" s="183">
        <f t="shared" si="63"/>
        <v>0</v>
      </c>
      <c r="BL289" s="183">
        <f t="shared" si="64"/>
        <v>629772.75</v>
      </c>
      <c r="BM289" s="184">
        <f t="shared" si="65"/>
        <v>514969.62</v>
      </c>
      <c r="BN289" s="184">
        <f>ROUNDDOWN(BM289*'1. UC Assumptions'!$C$23,2)</f>
        <v>169939.97</v>
      </c>
      <c r="BO289" s="184"/>
      <c r="BP289" s="185"/>
      <c r="BQ289" s="32"/>
      <c r="BR289" s="32"/>
    </row>
    <row r="290" spans="1:70">
      <c r="A290" s="177" t="s">
        <v>1715</v>
      </c>
      <c r="B290" s="178" t="s">
        <v>756</v>
      </c>
      <c r="C290" s="178" t="s">
        <v>756</v>
      </c>
      <c r="D290" s="179" t="s">
        <v>214</v>
      </c>
      <c r="E290" s="179"/>
      <c r="F290" s="177"/>
      <c r="G290" s="177" t="s">
        <v>757</v>
      </c>
      <c r="H290" s="178" t="s">
        <v>12</v>
      </c>
      <c r="I290" s="178" t="s">
        <v>758</v>
      </c>
      <c r="J290" s="131">
        <f>IFERROR(INDEX(#REF!,(MATCH('Old Calc Tab'!C:C,#REF!,0))),0)</f>
        <v>0</v>
      </c>
      <c r="K290" s="131">
        <f>IFERROR(INDEX(#REF!,(MATCH('Old Calc Tab'!$C:$C,#REF!,0))),0)</f>
        <v>0</v>
      </c>
      <c r="L290" s="131"/>
      <c r="M290" s="131">
        <v>9373327.2432000004</v>
      </c>
      <c r="N290" s="131">
        <f>IFERROR(INDEX(#REF!,(MATCH('Old Calc Tab'!$C:$C,#REF!,0))),0)</f>
        <v>0</v>
      </c>
      <c r="O290" s="131">
        <f t="shared" si="54"/>
        <v>0</v>
      </c>
      <c r="P290" s="131">
        <f t="shared" si="55"/>
        <v>9373327.2432000004</v>
      </c>
      <c r="Q290" s="131"/>
      <c r="R290" s="131"/>
      <c r="S290" s="131"/>
      <c r="T290" s="131"/>
      <c r="U290" s="131"/>
      <c r="V290" s="131">
        <v>0</v>
      </c>
      <c r="W290" s="180">
        <v>0</v>
      </c>
      <c r="X290" s="180">
        <f t="shared" si="66"/>
        <v>9373327.2432000004</v>
      </c>
      <c r="Y290" s="181">
        <f>IF(D290="Physician Group Practice",(X290/$AE$369)*'1. UC Assumptions'!$C$15,IF(OR(E290="Rural Hospital",E290="Hosp - State"),X290,(X290/$X$369)*'1. UC Assumptions'!$C$9))</f>
        <v>5641459.1066750037</v>
      </c>
      <c r="Z290" s="181">
        <f t="shared" si="56"/>
        <v>0</v>
      </c>
      <c r="AA290" s="181">
        <f t="shared" si="57"/>
        <v>3731868.1365249967</v>
      </c>
      <c r="AB290" s="182">
        <f t="shared" si="58"/>
        <v>2004.1294152752614</v>
      </c>
      <c r="AC290" s="181">
        <f t="shared" si="59"/>
        <v>3733872.2659402718</v>
      </c>
      <c r="AD290" s="181">
        <f t="shared" si="60"/>
        <v>5643463.2360902792</v>
      </c>
      <c r="AE290" s="131">
        <v>7154495.330000001</v>
      </c>
      <c r="AF290" s="131">
        <f>AE290*'1. UC Assumptions'!$C$23</f>
        <v>2360983.4589</v>
      </c>
      <c r="AG290" s="183">
        <f>IF((((X290-W290-AE290)*'1. UC Assumptions'!$C$23)+AF290)&gt;0,((X290-W290-AE290)*'1. UC Assumptions'!$C$23)+AF290,0)</f>
        <v>3093197.9902559998</v>
      </c>
      <c r="AH290" s="183"/>
      <c r="AI290" s="183">
        <f t="shared" si="61"/>
        <v>2360983.4589</v>
      </c>
      <c r="AJ290" s="183">
        <f>IF(H290="Bexar",(AD290/$AJ$1)*'1. UC Assumptions'!$E$42,0)</f>
        <v>0</v>
      </c>
      <c r="AK290" s="183">
        <f>IF(H290="Dallas",(AD290/$AK$1)*'1. UC Assumptions'!$F$42,0)</f>
        <v>0</v>
      </c>
      <c r="AL290" s="183">
        <f>IF(H290="El Paso",(AD290/$AL$1)*'1. UC Assumptions'!$G$42,0)</f>
        <v>0</v>
      </c>
      <c r="AM290" s="183">
        <f>IF(H290="Harris",(AD290/$AM$1)*'1. UC Assumptions'!$H$42,0)</f>
        <v>0</v>
      </c>
      <c r="AN290" s="183">
        <f>IF(H290="Hidalgo",(AD290/$AN$1)*'1. UC Assumptions'!$I$42,0)</f>
        <v>0</v>
      </c>
      <c r="AO290" s="183">
        <f>IF(H290="Jefferson",(AD290/$AO$1)*'1. UC Assumptions'!$J$42,0)</f>
        <v>0</v>
      </c>
      <c r="AP290" s="183">
        <f>IF(H290="Lubbock",(AD290/$AP$1)*'1. UC Assumptions'!$K$42,0)</f>
        <v>0</v>
      </c>
      <c r="AQ290" s="183">
        <f>IF(H290="MRSA Central",(AD290/$AQ$1)*'1. UC Assumptions'!$L$42,0)</f>
        <v>0</v>
      </c>
      <c r="AR290" s="183">
        <f>IF(H290="MRSA Northeast",(AD290/$AR$1)*'1. UC Assumptions'!$M$42,0)</f>
        <v>0</v>
      </c>
      <c r="AS290" s="183">
        <f>IF(H290="MRSA West",(AD290/$AS$1)*'1. UC Assumptions'!$N$42,0)</f>
        <v>0</v>
      </c>
      <c r="AT290" s="183">
        <f>IF(H290="Nueces",(AD290/$AT$1)*'1. UC Assumptions'!$O$42,0)</f>
        <v>0</v>
      </c>
      <c r="AU290" s="183">
        <f>IF(H290="Tarrant",(AD290/$AU$1)*'1. UC Assumptions'!$P$42,0)</f>
        <v>0</v>
      </c>
      <c r="AV290" s="183">
        <f>IF(H290="Travis",(AD290/$AV$1)*'1. UC Assumptions'!$Q$42,0)</f>
        <v>0</v>
      </c>
      <c r="AW290" s="183">
        <f>IF(H290="Bexar",(AC290/$AW$1)*'1. UC Assumptions'!$E$44,0)</f>
        <v>0</v>
      </c>
      <c r="AX290" s="183">
        <f>IF(H290="Dallas",(AC290/$AX$1)*'1. UC Assumptions'!$F$44,0)</f>
        <v>0</v>
      </c>
      <c r="AY290" s="183">
        <f>IF(H290="El Paso",(AC290/$AY$1)*'1. UC Assumptions'!$G$44,0)</f>
        <v>0</v>
      </c>
      <c r="AZ290" s="183">
        <f>IF(H290="Harris",(AC290/$AZ$1)*'1. UC Assumptions'!$H$44,0)</f>
        <v>0</v>
      </c>
      <c r="BA290" s="183">
        <f>IF(H290="Hidalgo",(AC290/$BA$1)*'1. UC Assumptions'!$I$44,0)</f>
        <v>0</v>
      </c>
      <c r="BB290" s="183">
        <f>IF(H290="Jefferson",(AC290/$BB$1)*'1. UC Assumptions'!$J$44,0)</f>
        <v>0</v>
      </c>
      <c r="BC290" s="183">
        <f>IF(H290="Lubbock",(AC290/$BC$1)*'1. UC Assumptions'!$K$44,0)</f>
        <v>0</v>
      </c>
      <c r="BD290" s="183">
        <f>IF(H290="MRSA Central",(AC290/$BD$1)*'1. UC Assumptions'!$L$44,0)</f>
        <v>0</v>
      </c>
      <c r="BE290" s="183">
        <f>IF(H290="MRSA Northeast",(AC290/$BE$1)*'1. UC Assumptions'!$M$44,0)</f>
        <v>0</v>
      </c>
      <c r="BF290" s="183">
        <f>IF(H290="MRSA West",(AC290/$BF$1)*'1. UC Assumptions'!$N$44,0)</f>
        <v>0</v>
      </c>
      <c r="BG290" s="183">
        <f>IF(H290="Nueces",(AC290/$BG$1)*'1. UC Assumptions'!$O$44,0)</f>
        <v>0</v>
      </c>
      <c r="BH290" s="183">
        <f>IF(H290="Tarrant",(AC290/$BH$1)*'1. UC Assumptions'!$P$44,0)</f>
        <v>0</v>
      </c>
      <c r="BI290" s="183">
        <f>IF(H290="Travis",(AC290/$BI$1)*'1. UC Assumptions'!$Q$44,0)</f>
        <v>0</v>
      </c>
      <c r="BJ290" s="183">
        <f t="shared" si="62"/>
        <v>0</v>
      </c>
      <c r="BK290" s="183">
        <f t="shared" si="63"/>
        <v>0</v>
      </c>
      <c r="BL290" s="183">
        <f t="shared" si="64"/>
        <v>5643463.2360902792</v>
      </c>
      <c r="BM290" s="184">
        <f t="shared" si="65"/>
        <v>-1511032.0939097218</v>
      </c>
      <c r="BN290" s="184">
        <f>ROUNDDOWN(BM290*'1. UC Assumptions'!$C$23,2)</f>
        <v>-498640.59</v>
      </c>
      <c r="BO290" s="184"/>
      <c r="BP290" s="185"/>
      <c r="BQ290" s="32"/>
      <c r="BR290" s="32"/>
    </row>
    <row r="291" spans="1:70">
      <c r="A291" s="177" t="s">
        <v>1716</v>
      </c>
      <c r="B291" s="178" t="s">
        <v>768</v>
      </c>
      <c r="C291" s="178" t="s">
        <v>768</v>
      </c>
      <c r="D291" s="179" t="s">
        <v>208</v>
      </c>
      <c r="E291" s="179" t="s">
        <v>149</v>
      </c>
      <c r="F291" s="177"/>
      <c r="G291" s="177" t="s">
        <v>769</v>
      </c>
      <c r="H291" s="178" t="s">
        <v>12</v>
      </c>
      <c r="I291" s="178" t="s">
        <v>770</v>
      </c>
      <c r="J291" s="131">
        <f>IFERROR(INDEX(#REF!,(MATCH('Old Calc Tab'!C:C,#REF!,0))),0)</f>
        <v>0</v>
      </c>
      <c r="K291" s="131">
        <f>IFERROR(INDEX(#REF!,(MATCH('Old Calc Tab'!$C:$C,#REF!,0))),0)</f>
        <v>0</v>
      </c>
      <c r="L291" s="131"/>
      <c r="M291" s="131">
        <v>0</v>
      </c>
      <c r="N291" s="131">
        <f>IFERROR(INDEX(#REF!,(MATCH('Old Calc Tab'!$C:$C,#REF!,0))),0)</f>
        <v>0</v>
      </c>
      <c r="O291" s="131">
        <f t="shared" si="54"/>
        <v>0</v>
      </c>
      <c r="P291" s="131">
        <f t="shared" si="55"/>
        <v>0</v>
      </c>
      <c r="Q291" s="131"/>
      <c r="R291" s="131"/>
      <c r="S291" s="131"/>
      <c r="T291" s="131"/>
      <c r="U291" s="131"/>
      <c r="V291" s="131">
        <v>0</v>
      </c>
      <c r="W291" s="180">
        <v>0</v>
      </c>
      <c r="X291" s="180">
        <f t="shared" si="66"/>
        <v>0</v>
      </c>
      <c r="Y291" s="181">
        <f>IF(D291="Physician Group Practice",(X291/$AE$369)*'1. UC Assumptions'!$C$15,IF(OR(E291="Rural Hospital",E291="Hosp - State"),X291,(X291/$X$369)*'1. UC Assumptions'!$C$9))</f>
        <v>0</v>
      </c>
      <c r="Z291" s="181">
        <f t="shared" si="56"/>
        <v>0</v>
      </c>
      <c r="AA291" s="181">
        <f t="shared" si="57"/>
        <v>0</v>
      </c>
      <c r="AB291" s="182">
        <f t="shared" si="58"/>
        <v>0</v>
      </c>
      <c r="AC291" s="181">
        <f t="shared" si="59"/>
        <v>0</v>
      </c>
      <c r="AD291" s="181">
        <f t="shared" si="60"/>
        <v>0</v>
      </c>
      <c r="AE291" s="131">
        <v>518209.29</v>
      </c>
      <c r="AF291" s="131">
        <f>AE291*'1. UC Assumptions'!$C$23</f>
        <v>171009.06569999998</v>
      </c>
      <c r="AG291" s="183">
        <f>IF((((X291-W291-AE291)*'1. UC Assumptions'!$C$23)+AF291)&gt;0,((X291-W291-AE291)*'1. UC Assumptions'!$C$23)+AF291,0)</f>
        <v>0</v>
      </c>
      <c r="AH291" s="183"/>
      <c r="AI291" s="183">
        <f t="shared" si="61"/>
        <v>171009.06569999998</v>
      </c>
      <c r="AJ291" s="183">
        <f>IF(H291="Bexar",(AD291/$AJ$1)*'1. UC Assumptions'!$E$42,0)</f>
        <v>0</v>
      </c>
      <c r="AK291" s="183">
        <f>IF(H291="Dallas",(AD291/$AK$1)*'1. UC Assumptions'!$F$42,0)</f>
        <v>0</v>
      </c>
      <c r="AL291" s="183">
        <f>IF(H291="El Paso",(AD291/$AL$1)*'1. UC Assumptions'!$G$42,0)</f>
        <v>0</v>
      </c>
      <c r="AM291" s="183">
        <f>IF(H291="Harris",(AD291/$AM$1)*'1. UC Assumptions'!$H$42,0)</f>
        <v>0</v>
      </c>
      <c r="AN291" s="183">
        <f>IF(H291="Hidalgo",(AD291/$AN$1)*'1. UC Assumptions'!$I$42,0)</f>
        <v>0</v>
      </c>
      <c r="AO291" s="183">
        <f>IF(H291="Jefferson",(AD291/$AO$1)*'1. UC Assumptions'!$J$42,0)</f>
        <v>0</v>
      </c>
      <c r="AP291" s="183">
        <f>IF(H291="Lubbock",(AD291/$AP$1)*'1. UC Assumptions'!$K$42,0)</f>
        <v>0</v>
      </c>
      <c r="AQ291" s="183">
        <f>IF(H291="MRSA Central",(AD291/$AQ$1)*'1. UC Assumptions'!$L$42,0)</f>
        <v>0</v>
      </c>
      <c r="AR291" s="183">
        <f>IF(H291="MRSA Northeast",(AD291/$AR$1)*'1. UC Assumptions'!$M$42,0)</f>
        <v>0</v>
      </c>
      <c r="AS291" s="183">
        <f>IF(H291="MRSA West",(AD291/$AS$1)*'1. UC Assumptions'!$N$42,0)</f>
        <v>0</v>
      </c>
      <c r="AT291" s="183">
        <f>IF(H291="Nueces",(AD291/$AT$1)*'1. UC Assumptions'!$O$42,0)</f>
        <v>0</v>
      </c>
      <c r="AU291" s="183">
        <f>IF(H291="Tarrant",(AD291/$AU$1)*'1. UC Assumptions'!$P$42,0)</f>
        <v>0</v>
      </c>
      <c r="AV291" s="183">
        <f>IF(H291="Travis",(AD291/$AV$1)*'1. UC Assumptions'!$Q$42,0)</f>
        <v>0</v>
      </c>
      <c r="AW291" s="183">
        <f>IF(H291="Bexar",(AC291/$AW$1)*'1. UC Assumptions'!$E$44,0)</f>
        <v>0</v>
      </c>
      <c r="AX291" s="183">
        <f>IF(H291="Dallas",(AC291/$AX$1)*'1. UC Assumptions'!$F$44,0)</f>
        <v>0</v>
      </c>
      <c r="AY291" s="183">
        <f>IF(H291="El Paso",(AC291/$AY$1)*'1. UC Assumptions'!$G$44,0)</f>
        <v>0</v>
      </c>
      <c r="AZ291" s="183">
        <f>IF(H291="Harris",(AC291/$AZ$1)*'1. UC Assumptions'!$H$44,0)</f>
        <v>0</v>
      </c>
      <c r="BA291" s="183">
        <f>IF(H291="Hidalgo",(AC291/$BA$1)*'1. UC Assumptions'!$I$44,0)</f>
        <v>0</v>
      </c>
      <c r="BB291" s="183">
        <f>IF(H291="Jefferson",(AC291/$BB$1)*'1. UC Assumptions'!$J$44,0)</f>
        <v>0</v>
      </c>
      <c r="BC291" s="183">
        <f>IF(H291="Lubbock",(AC291/$BC$1)*'1. UC Assumptions'!$K$44,0)</f>
        <v>0</v>
      </c>
      <c r="BD291" s="183">
        <f>IF(H291="MRSA Central",(AC291/$BD$1)*'1. UC Assumptions'!$L$44,0)</f>
        <v>0</v>
      </c>
      <c r="BE291" s="183">
        <f>IF(H291="MRSA Northeast",(AC291/$BE$1)*'1. UC Assumptions'!$M$44,0)</f>
        <v>0</v>
      </c>
      <c r="BF291" s="183">
        <f>IF(H291="MRSA West",(AC291/$BF$1)*'1. UC Assumptions'!$N$44,0)</f>
        <v>0</v>
      </c>
      <c r="BG291" s="183">
        <f>IF(H291="Nueces",(AC291/$BG$1)*'1. UC Assumptions'!$O$44,0)</f>
        <v>0</v>
      </c>
      <c r="BH291" s="183">
        <f>IF(H291="Tarrant",(AC291/$BH$1)*'1. UC Assumptions'!$P$44,0)</f>
        <v>0</v>
      </c>
      <c r="BI291" s="183">
        <f>IF(H291="Travis",(AC291/$BI$1)*'1. UC Assumptions'!$Q$44,0)</f>
        <v>0</v>
      </c>
      <c r="BJ291" s="183">
        <f t="shared" si="62"/>
        <v>0</v>
      </c>
      <c r="BK291" s="183">
        <f t="shared" si="63"/>
        <v>0</v>
      </c>
      <c r="BL291" s="183">
        <f t="shared" si="64"/>
        <v>0</v>
      </c>
      <c r="BM291" s="184">
        <f t="shared" si="65"/>
        <v>-518209.29</v>
      </c>
      <c r="BN291" s="184">
        <f>ROUNDDOWN(BM291*'1. UC Assumptions'!$C$23,2)</f>
        <v>-171009.06</v>
      </c>
      <c r="BO291" s="184"/>
      <c r="BP291" s="185"/>
      <c r="BQ291" s="32"/>
      <c r="BR291" s="32"/>
    </row>
    <row r="292" spans="1:70">
      <c r="A292" s="177" t="s">
        <v>1717</v>
      </c>
      <c r="B292" s="178" t="s">
        <v>1718</v>
      </c>
      <c r="C292" s="178" t="s">
        <v>1718</v>
      </c>
      <c r="D292" s="179" t="s">
        <v>208</v>
      </c>
      <c r="E292" s="179" t="s">
        <v>149</v>
      </c>
      <c r="F292" s="177"/>
      <c r="G292" s="177" t="s">
        <v>1719</v>
      </c>
      <c r="H292" s="178" t="s">
        <v>12</v>
      </c>
      <c r="I292" s="178" t="s">
        <v>497</v>
      </c>
      <c r="J292" s="131">
        <f>IFERROR(INDEX(#REF!,(MATCH('Old Calc Tab'!C:C,#REF!,0))),0)</f>
        <v>0</v>
      </c>
      <c r="K292" s="131">
        <f>IFERROR(INDEX(#REF!,(MATCH('Old Calc Tab'!$C:$C,#REF!,0))),0)</f>
        <v>0</v>
      </c>
      <c r="L292" s="131"/>
      <c r="M292" s="131">
        <v>254367.4</v>
      </c>
      <c r="N292" s="131">
        <f>IFERROR(INDEX(#REF!,(MATCH('Old Calc Tab'!$C:$C,#REF!,0))),0)</f>
        <v>0</v>
      </c>
      <c r="O292" s="131">
        <f t="shared" si="54"/>
        <v>0</v>
      </c>
      <c r="P292" s="131">
        <f t="shared" si="55"/>
        <v>254367.4</v>
      </c>
      <c r="Q292" s="131"/>
      <c r="R292" s="131"/>
      <c r="S292" s="131"/>
      <c r="T292" s="131"/>
      <c r="U292" s="131"/>
      <c r="V292" s="131">
        <v>0</v>
      </c>
      <c r="W292" s="180">
        <v>0</v>
      </c>
      <c r="X292" s="180">
        <f t="shared" si="66"/>
        <v>254367.4</v>
      </c>
      <c r="Y292" s="181">
        <f>IF(D292="Physician Group Practice",(X292/$AE$369)*'1. UC Assumptions'!$C$15,IF(OR(E292="Rural Hospital",E292="Hosp - State"),X292,(X292/$X$369)*'1. UC Assumptions'!$C$9))</f>
        <v>254367.4</v>
      </c>
      <c r="Z292" s="181">
        <f t="shared" si="56"/>
        <v>0</v>
      </c>
      <c r="AA292" s="181">
        <f t="shared" si="57"/>
        <v>0</v>
      </c>
      <c r="AB292" s="182">
        <f t="shared" si="58"/>
        <v>0</v>
      </c>
      <c r="AC292" s="181">
        <f t="shared" si="59"/>
        <v>0</v>
      </c>
      <c r="AD292" s="181">
        <f t="shared" si="60"/>
        <v>254367.4</v>
      </c>
      <c r="AE292" s="131">
        <v>0</v>
      </c>
      <c r="AF292" s="131">
        <f>AE292*'1. UC Assumptions'!$C$23</f>
        <v>0</v>
      </c>
      <c r="AG292" s="183">
        <f>IF((((X292-W292-AE292)*'1. UC Assumptions'!$C$23)+AF292)&gt;0,((X292-W292-AE292)*'1. UC Assumptions'!$C$23)+AF292,0)</f>
        <v>83941.241999999984</v>
      </c>
      <c r="AH292" s="183"/>
      <c r="AI292" s="183">
        <f t="shared" si="61"/>
        <v>0</v>
      </c>
      <c r="AJ292" s="183">
        <f>IF(H292="Bexar",(AD292/$AJ$1)*'1. UC Assumptions'!$E$42,0)</f>
        <v>0</v>
      </c>
      <c r="AK292" s="183">
        <f>IF(H292="Dallas",(AD292/$AK$1)*'1. UC Assumptions'!$F$42,0)</f>
        <v>0</v>
      </c>
      <c r="AL292" s="183">
        <f>IF(H292="El Paso",(AD292/$AL$1)*'1. UC Assumptions'!$G$42,0)</f>
        <v>0</v>
      </c>
      <c r="AM292" s="183">
        <f>IF(H292="Harris",(AD292/$AM$1)*'1. UC Assumptions'!$H$42,0)</f>
        <v>0</v>
      </c>
      <c r="AN292" s="183">
        <f>IF(H292="Hidalgo",(AD292/$AN$1)*'1. UC Assumptions'!$I$42,0)</f>
        <v>0</v>
      </c>
      <c r="AO292" s="183">
        <f>IF(H292="Jefferson",(AD292/$AO$1)*'1. UC Assumptions'!$J$42,0)</f>
        <v>0</v>
      </c>
      <c r="AP292" s="183">
        <f>IF(H292="Lubbock",(AD292/$AP$1)*'1. UC Assumptions'!$K$42,0)</f>
        <v>0</v>
      </c>
      <c r="AQ292" s="183">
        <f>IF(H292="MRSA Central",(AD292/$AQ$1)*'1. UC Assumptions'!$L$42,0)</f>
        <v>0</v>
      </c>
      <c r="AR292" s="183">
        <f>IF(H292="MRSA Northeast",(AD292/$AR$1)*'1. UC Assumptions'!$M$42,0)</f>
        <v>0</v>
      </c>
      <c r="AS292" s="183">
        <f>IF(H292="MRSA West",(AD292/$AS$1)*'1. UC Assumptions'!$N$42,0)</f>
        <v>0</v>
      </c>
      <c r="AT292" s="183">
        <f>IF(H292="Nueces",(AD292/$AT$1)*'1. UC Assumptions'!$O$42,0)</f>
        <v>0</v>
      </c>
      <c r="AU292" s="183">
        <f>IF(H292="Tarrant",(AD292/$AU$1)*'1. UC Assumptions'!$P$42,0)</f>
        <v>0</v>
      </c>
      <c r="AV292" s="183">
        <f>IF(H292="Travis",(AD292/$AV$1)*'1. UC Assumptions'!$Q$42,0)</f>
        <v>0</v>
      </c>
      <c r="AW292" s="183">
        <f>IF(H292="Bexar",(AC292/$AW$1)*'1. UC Assumptions'!$E$44,0)</f>
        <v>0</v>
      </c>
      <c r="AX292" s="183">
        <f>IF(H292="Dallas",(AC292/$AX$1)*'1. UC Assumptions'!$F$44,0)</f>
        <v>0</v>
      </c>
      <c r="AY292" s="183">
        <f>IF(H292="El Paso",(AC292/$AY$1)*'1. UC Assumptions'!$G$44,0)</f>
        <v>0</v>
      </c>
      <c r="AZ292" s="183">
        <f>IF(H292="Harris",(AC292/$AZ$1)*'1. UC Assumptions'!$H$44,0)</f>
        <v>0</v>
      </c>
      <c r="BA292" s="183">
        <f>IF(H292="Hidalgo",(AC292/$BA$1)*'1. UC Assumptions'!$I$44,0)</f>
        <v>0</v>
      </c>
      <c r="BB292" s="183">
        <f>IF(H292="Jefferson",(AC292/$BB$1)*'1. UC Assumptions'!$J$44,0)</f>
        <v>0</v>
      </c>
      <c r="BC292" s="183">
        <f>IF(H292="Lubbock",(AC292/$BC$1)*'1. UC Assumptions'!$K$44,0)</f>
        <v>0</v>
      </c>
      <c r="BD292" s="183">
        <f>IF(H292="MRSA Central",(AC292/$BD$1)*'1. UC Assumptions'!$L$44,0)</f>
        <v>0</v>
      </c>
      <c r="BE292" s="183">
        <f>IF(H292="MRSA Northeast",(AC292/$BE$1)*'1. UC Assumptions'!$M$44,0)</f>
        <v>0</v>
      </c>
      <c r="BF292" s="183">
        <f>IF(H292="MRSA West",(AC292/$BF$1)*'1. UC Assumptions'!$N$44,0)</f>
        <v>0</v>
      </c>
      <c r="BG292" s="183">
        <f>IF(H292="Nueces",(AC292/$BG$1)*'1. UC Assumptions'!$O$44,0)</f>
        <v>0</v>
      </c>
      <c r="BH292" s="183">
        <f>IF(H292="Tarrant",(AC292/$BH$1)*'1. UC Assumptions'!$P$44,0)</f>
        <v>0</v>
      </c>
      <c r="BI292" s="183">
        <f>IF(H292="Travis",(AC292/$BI$1)*'1. UC Assumptions'!$Q$44,0)</f>
        <v>0</v>
      </c>
      <c r="BJ292" s="183">
        <f t="shared" si="62"/>
        <v>0</v>
      </c>
      <c r="BK292" s="183">
        <f t="shared" si="63"/>
        <v>0</v>
      </c>
      <c r="BL292" s="183">
        <f t="shared" si="64"/>
        <v>254367.4</v>
      </c>
      <c r="BM292" s="184">
        <f t="shared" si="65"/>
        <v>254367.4</v>
      </c>
      <c r="BN292" s="184">
        <f>ROUNDDOWN(BM292*'1. UC Assumptions'!$C$23,2)</f>
        <v>83941.24</v>
      </c>
      <c r="BO292" s="184"/>
      <c r="BP292" s="185"/>
      <c r="BQ292" s="32"/>
      <c r="BR292" s="32"/>
    </row>
    <row r="293" spans="1:70">
      <c r="A293" s="177" t="s">
        <v>1720</v>
      </c>
      <c r="B293" s="178" t="s">
        <v>826</v>
      </c>
      <c r="C293" s="178" t="s">
        <v>826</v>
      </c>
      <c r="D293" s="179" t="s">
        <v>214</v>
      </c>
      <c r="E293" s="179" t="s">
        <v>149</v>
      </c>
      <c r="F293" s="177"/>
      <c r="G293" s="177" t="s">
        <v>1721</v>
      </c>
      <c r="H293" s="178" t="s">
        <v>12</v>
      </c>
      <c r="I293" s="178" t="s">
        <v>828</v>
      </c>
      <c r="J293" s="131">
        <f>IFERROR(INDEX(#REF!,(MATCH('Old Calc Tab'!C:C,#REF!,0))),0)</f>
        <v>0</v>
      </c>
      <c r="K293" s="131">
        <f>IFERROR(INDEX(#REF!,(MATCH('Old Calc Tab'!$C:$C,#REF!,0))),0)</f>
        <v>0</v>
      </c>
      <c r="L293" s="131"/>
      <c r="M293" s="131">
        <v>78623.091344429995</v>
      </c>
      <c r="N293" s="131">
        <f>IFERROR(INDEX(#REF!,(MATCH('Old Calc Tab'!$C:$C,#REF!,0))),0)</f>
        <v>0</v>
      </c>
      <c r="O293" s="131">
        <f t="shared" si="54"/>
        <v>0</v>
      </c>
      <c r="P293" s="131">
        <f t="shared" si="55"/>
        <v>78623.091344429995</v>
      </c>
      <c r="Q293" s="131"/>
      <c r="R293" s="131"/>
      <c r="S293" s="131"/>
      <c r="T293" s="131"/>
      <c r="U293" s="131"/>
      <c r="V293" s="131">
        <v>0</v>
      </c>
      <c r="W293" s="180">
        <v>0</v>
      </c>
      <c r="X293" s="180">
        <f t="shared" si="66"/>
        <v>78623.091344429995</v>
      </c>
      <c r="Y293" s="181">
        <f>IF(D293="Physician Group Practice",(X293/$AE$369)*'1. UC Assumptions'!$C$15,IF(OR(E293="Rural Hospital",E293="Hosp - State"),X293,(X293/$X$369)*'1. UC Assumptions'!$C$9))</f>
        <v>78623.091344429995</v>
      </c>
      <c r="Z293" s="181">
        <f t="shared" si="56"/>
        <v>0</v>
      </c>
      <c r="AA293" s="181">
        <f t="shared" si="57"/>
        <v>0</v>
      </c>
      <c r="AB293" s="182">
        <f t="shared" si="58"/>
        <v>0</v>
      </c>
      <c r="AC293" s="181">
        <f t="shared" si="59"/>
        <v>0</v>
      </c>
      <c r="AD293" s="181">
        <f t="shared" si="60"/>
        <v>78623.091344429995</v>
      </c>
      <c r="AE293" s="131">
        <v>121433.5</v>
      </c>
      <c r="AF293" s="131">
        <f>AE293*'1. UC Assumptions'!$C$23</f>
        <v>40073.054999999993</v>
      </c>
      <c r="AG293" s="183">
        <f>IF((((X293-W293-AE293)*'1. UC Assumptions'!$C$23)+AF293)&gt;0,((X293-W293-AE293)*'1. UC Assumptions'!$C$23)+AF293,0)</f>
        <v>25945.620143661894</v>
      </c>
      <c r="AH293" s="183"/>
      <c r="AI293" s="183">
        <f t="shared" si="61"/>
        <v>40073.054999999993</v>
      </c>
      <c r="AJ293" s="183">
        <f>IF(H293="Bexar",(AD293/$AJ$1)*'1. UC Assumptions'!$E$42,0)</f>
        <v>0</v>
      </c>
      <c r="AK293" s="183">
        <f>IF(H293="Dallas",(AD293/$AK$1)*'1. UC Assumptions'!$F$42,0)</f>
        <v>0</v>
      </c>
      <c r="AL293" s="183">
        <f>IF(H293="El Paso",(AD293/$AL$1)*'1. UC Assumptions'!$G$42,0)</f>
        <v>0</v>
      </c>
      <c r="AM293" s="183">
        <f>IF(H293="Harris",(AD293/$AM$1)*'1. UC Assumptions'!$H$42,0)</f>
        <v>0</v>
      </c>
      <c r="AN293" s="183">
        <f>IF(H293="Hidalgo",(AD293/$AN$1)*'1. UC Assumptions'!$I$42,0)</f>
        <v>0</v>
      </c>
      <c r="AO293" s="183">
        <f>IF(H293="Jefferson",(AD293/$AO$1)*'1. UC Assumptions'!$J$42,0)</f>
        <v>0</v>
      </c>
      <c r="AP293" s="183">
        <f>IF(H293="Lubbock",(AD293/$AP$1)*'1. UC Assumptions'!$K$42,0)</f>
        <v>0</v>
      </c>
      <c r="AQ293" s="183">
        <f>IF(H293="MRSA Central",(AD293/$AQ$1)*'1. UC Assumptions'!$L$42,0)</f>
        <v>0</v>
      </c>
      <c r="AR293" s="183">
        <f>IF(H293="MRSA Northeast",(AD293/$AR$1)*'1. UC Assumptions'!$M$42,0)</f>
        <v>0</v>
      </c>
      <c r="AS293" s="183">
        <f>IF(H293="MRSA West",(AD293/$AS$1)*'1. UC Assumptions'!$N$42,0)</f>
        <v>0</v>
      </c>
      <c r="AT293" s="183">
        <f>IF(H293="Nueces",(AD293/$AT$1)*'1. UC Assumptions'!$O$42,0)</f>
        <v>0</v>
      </c>
      <c r="AU293" s="183">
        <f>IF(H293="Tarrant",(AD293/$AU$1)*'1. UC Assumptions'!$P$42,0)</f>
        <v>0</v>
      </c>
      <c r="AV293" s="183">
        <f>IF(H293="Travis",(AD293/$AV$1)*'1. UC Assumptions'!$Q$42,0)</f>
        <v>0</v>
      </c>
      <c r="AW293" s="183">
        <f>IF(H293="Bexar",(AC293/$AW$1)*'1. UC Assumptions'!$E$44,0)</f>
        <v>0</v>
      </c>
      <c r="AX293" s="183">
        <f>IF(H293="Dallas",(AC293/$AX$1)*'1. UC Assumptions'!$F$44,0)</f>
        <v>0</v>
      </c>
      <c r="AY293" s="183">
        <f>IF(H293="El Paso",(AC293/$AY$1)*'1. UC Assumptions'!$G$44,0)</f>
        <v>0</v>
      </c>
      <c r="AZ293" s="183">
        <f>IF(H293="Harris",(AC293/$AZ$1)*'1. UC Assumptions'!$H$44,0)</f>
        <v>0</v>
      </c>
      <c r="BA293" s="183">
        <f>IF(H293="Hidalgo",(AC293/$BA$1)*'1. UC Assumptions'!$I$44,0)</f>
        <v>0</v>
      </c>
      <c r="BB293" s="183">
        <f>IF(H293="Jefferson",(AC293/$BB$1)*'1. UC Assumptions'!$J$44,0)</f>
        <v>0</v>
      </c>
      <c r="BC293" s="183">
        <f>IF(H293="Lubbock",(AC293/$BC$1)*'1. UC Assumptions'!$K$44,0)</f>
        <v>0</v>
      </c>
      <c r="BD293" s="183">
        <f>IF(H293="MRSA Central",(AC293/$BD$1)*'1. UC Assumptions'!$L$44,0)</f>
        <v>0</v>
      </c>
      <c r="BE293" s="183">
        <f>IF(H293="MRSA Northeast",(AC293/$BE$1)*'1. UC Assumptions'!$M$44,0)</f>
        <v>0</v>
      </c>
      <c r="BF293" s="183">
        <f>IF(H293="MRSA West",(AC293/$BF$1)*'1. UC Assumptions'!$N$44,0)</f>
        <v>0</v>
      </c>
      <c r="BG293" s="183">
        <f>IF(H293="Nueces",(AC293/$BG$1)*'1. UC Assumptions'!$O$44,0)</f>
        <v>0</v>
      </c>
      <c r="BH293" s="183">
        <f>IF(H293="Tarrant",(AC293/$BH$1)*'1. UC Assumptions'!$P$44,0)</f>
        <v>0</v>
      </c>
      <c r="BI293" s="183">
        <f>IF(H293="Travis",(AC293/$BI$1)*'1. UC Assumptions'!$Q$44,0)</f>
        <v>0</v>
      </c>
      <c r="BJ293" s="183">
        <f t="shared" si="62"/>
        <v>0</v>
      </c>
      <c r="BK293" s="183">
        <f t="shared" si="63"/>
        <v>0</v>
      </c>
      <c r="BL293" s="183">
        <f t="shared" si="64"/>
        <v>78623.091344429995</v>
      </c>
      <c r="BM293" s="184">
        <f t="shared" si="65"/>
        <v>-42810.408655570005</v>
      </c>
      <c r="BN293" s="184">
        <f>ROUNDDOWN(BM293*'1. UC Assumptions'!$C$23,2)</f>
        <v>-14127.43</v>
      </c>
      <c r="BO293" s="184"/>
      <c r="BP293" s="185"/>
      <c r="BQ293" s="32"/>
      <c r="BR293" s="32"/>
    </row>
    <row r="294" spans="1:70">
      <c r="A294" s="177" t="s">
        <v>1722</v>
      </c>
      <c r="B294" s="178" t="s">
        <v>834</v>
      </c>
      <c r="C294" s="178" t="s">
        <v>834</v>
      </c>
      <c r="D294" s="179" t="s">
        <v>214</v>
      </c>
      <c r="E294" s="179" t="s">
        <v>149</v>
      </c>
      <c r="F294" s="177"/>
      <c r="G294" s="177" t="s">
        <v>1723</v>
      </c>
      <c r="H294" s="178" t="s">
        <v>12</v>
      </c>
      <c r="I294" s="178" t="s">
        <v>836</v>
      </c>
      <c r="J294" s="131">
        <f>IFERROR(INDEX(#REF!,(MATCH('Old Calc Tab'!C:C,#REF!,0))),0)</f>
        <v>0</v>
      </c>
      <c r="K294" s="131">
        <f>IFERROR(INDEX(#REF!,(MATCH('Old Calc Tab'!$C:$C,#REF!,0))),0)</f>
        <v>0</v>
      </c>
      <c r="L294" s="131"/>
      <c r="M294" s="131">
        <v>35769.617432073246</v>
      </c>
      <c r="N294" s="131">
        <f>IFERROR(INDEX(#REF!,(MATCH('Old Calc Tab'!$C:$C,#REF!,0))),0)</f>
        <v>0</v>
      </c>
      <c r="O294" s="131">
        <f t="shared" si="54"/>
        <v>0</v>
      </c>
      <c r="P294" s="131">
        <f t="shared" si="55"/>
        <v>35769.617432073246</v>
      </c>
      <c r="Q294" s="131"/>
      <c r="R294" s="131"/>
      <c r="S294" s="131"/>
      <c r="T294" s="131"/>
      <c r="U294" s="131"/>
      <c r="V294" s="131">
        <v>0</v>
      </c>
      <c r="W294" s="180">
        <v>0</v>
      </c>
      <c r="X294" s="180">
        <f t="shared" si="66"/>
        <v>35769.617432073246</v>
      </c>
      <c r="Y294" s="181">
        <f>IF(D294="Physician Group Practice",(X294/$AE$369)*'1. UC Assumptions'!$C$15,IF(OR(E294="Rural Hospital",E294="Hosp - State"),X294,(X294/$X$369)*'1. UC Assumptions'!$C$9))</f>
        <v>35769.617432073246</v>
      </c>
      <c r="Z294" s="181">
        <f t="shared" si="56"/>
        <v>0</v>
      </c>
      <c r="AA294" s="181">
        <f t="shared" si="57"/>
        <v>0</v>
      </c>
      <c r="AB294" s="182">
        <f t="shared" si="58"/>
        <v>0</v>
      </c>
      <c r="AC294" s="181">
        <f t="shared" si="59"/>
        <v>0</v>
      </c>
      <c r="AD294" s="181">
        <f t="shared" si="60"/>
        <v>35769.617432073246</v>
      </c>
      <c r="AE294" s="131">
        <v>164387.29</v>
      </c>
      <c r="AF294" s="131">
        <f>AE294*'1. UC Assumptions'!$C$23</f>
        <v>54247.805699999997</v>
      </c>
      <c r="AG294" s="183">
        <f>IF((((X294-W294-AE294)*'1. UC Assumptions'!$C$23)+AF294)&gt;0,((X294-W294-AE294)*'1. UC Assumptions'!$C$23)+AF294,0)</f>
        <v>11803.97375258417</v>
      </c>
      <c r="AH294" s="183"/>
      <c r="AI294" s="183">
        <f t="shared" si="61"/>
        <v>54247.805699999997</v>
      </c>
      <c r="AJ294" s="183">
        <f>IF(H294="Bexar",(AD294/$AJ$1)*'1. UC Assumptions'!$E$42,0)</f>
        <v>0</v>
      </c>
      <c r="AK294" s="183">
        <f>IF(H294="Dallas",(AD294/$AK$1)*'1. UC Assumptions'!$F$42,0)</f>
        <v>0</v>
      </c>
      <c r="AL294" s="183">
        <f>IF(H294="El Paso",(AD294/$AL$1)*'1. UC Assumptions'!$G$42,0)</f>
        <v>0</v>
      </c>
      <c r="AM294" s="183">
        <f>IF(H294="Harris",(AD294/$AM$1)*'1. UC Assumptions'!$H$42,0)</f>
        <v>0</v>
      </c>
      <c r="AN294" s="183">
        <f>IF(H294="Hidalgo",(AD294/$AN$1)*'1. UC Assumptions'!$I$42,0)</f>
        <v>0</v>
      </c>
      <c r="AO294" s="183">
        <f>IF(H294="Jefferson",(AD294/$AO$1)*'1. UC Assumptions'!$J$42,0)</f>
        <v>0</v>
      </c>
      <c r="AP294" s="183">
        <f>IF(H294="Lubbock",(AD294/$AP$1)*'1. UC Assumptions'!$K$42,0)</f>
        <v>0</v>
      </c>
      <c r="AQ294" s="183">
        <f>IF(H294="MRSA Central",(AD294/$AQ$1)*'1. UC Assumptions'!$L$42,0)</f>
        <v>0</v>
      </c>
      <c r="AR294" s="183">
        <f>IF(H294="MRSA Northeast",(AD294/$AR$1)*'1. UC Assumptions'!$M$42,0)</f>
        <v>0</v>
      </c>
      <c r="AS294" s="183">
        <f>IF(H294="MRSA West",(AD294/$AS$1)*'1. UC Assumptions'!$N$42,0)</f>
        <v>0</v>
      </c>
      <c r="AT294" s="183">
        <f>IF(H294="Nueces",(AD294/$AT$1)*'1. UC Assumptions'!$O$42,0)</f>
        <v>0</v>
      </c>
      <c r="AU294" s="183">
        <f>IF(H294="Tarrant",(AD294/$AU$1)*'1. UC Assumptions'!$P$42,0)</f>
        <v>0</v>
      </c>
      <c r="AV294" s="183">
        <f>IF(H294="Travis",(AD294/$AV$1)*'1. UC Assumptions'!$Q$42,0)</f>
        <v>0</v>
      </c>
      <c r="AW294" s="183">
        <f>IF(H294="Bexar",(AC294/$AW$1)*'1. UC Assumptions'!$E$44,0)</f>
        <v>0</v>
      </c>
      <c r="AX294" s="183">
        <f>IF(H294="Dallas",(AC294/$AX$1)*'1. UC Assumptions'!$F$44,0)</f>
        <v>0</v>
      </c>
      <c r="AY294" s="183">
        <f>IF(H294="El Paso",(AC294/$AY$1)*'1. UC Assumptions'!$G$44,0)</f>
        <v>0</v>
      </c>
      <c r="AZ294" s="183">
        <f>IF(H294="Harris",(AC294/$AZ$1)*'1. UC Assumptions'!$H$44,0)</f>
        <v>0</v>
      </c>
      <c r="BA294" s="183">
        <f>IF(H294="Hidalgo",(AC294/$BA$1)*'1. UC Assumptions'!$I$44,0)</f>
        <v>0</v>
      </c>
      <c r="BB294" s="183">
        <f>IF(H294="Jefferson",(AC294/$BB$1)*'1. UC Assumptions'!$J$44,0)</f>
        <v>0</v>
      </c>
      <c r="BC294" s="183">
        <f>IF(H294="Lubbock",(AC294/$BC$1)*'1. UC Assumptions'!$K$44,0)</f>
        <v>0</v>
      </c>
      <c r="BD294" s="183">
        <f>IF(H294="MRSA Central",(AC294/$BD$1)*'1. UC Assumptions'!$L$44,0)</f>
        <v>0</v>
      </c>
      <c r="BE294" s="183">
        <f>IF(H294="MRSA Northeast",(AC294/$BE$1)*'1. UC Assumptions'!$M$44,0)</f>
        <v>0</v>
      </c>
      <c r="BF294" s="183">
        <f>IF(H294="MRSA West",(AC294/$BF$1)*'1. UC Assumptions'!$N$44,0)</f>
        <v>0</v>
      </c>
      <c r="BG294" s="183">
        <f>IF(H294="Nueces",(AC294/$BG$1)*'1. UC Assumptions'!$O$44,0)</f>
        <v>0</v>
      </c>
      <c r="BH294" s="183">
        <f>IF(H294="Tarrant",(AC294/$BH$1)*'1. UC Assumptions'!$P$44,0)</f>
        <v>0</v>
      </c>
      <c r="BI294" s="183">
        <f>IF(H294="Travis",(AC294/$BI$1)*'1. UC Assumptions'!$Q$44,0)</f>
        <v>0</v>
      </c>
      <c r="BJ294" s="183">
        <f t="shared" si="62"/>
        <v>0</v>
      </c>
      <c r="BK294" s="183">
        <f t="shared" si="63"/>
        <v>0</v>
      </c>
      <c r="BL294" s="183">
        <f t="shared" si="64"/>
        <v>35769.617432073246</v>
      </c>
      <c r="BM294" s="184">
        <f t="shared" si="65"/>
        <v>-128617.67256792675</v>
      </c>
      <c r="BN294" s="184">
        <f>ROUNDDOWN(BM294*'1. UC Assumptions'!$C$23,2)</f>
        <v>-42443.83</v>
      </c>
      <c r="BO294" s="184"/>
      <c r="BP294" s="185"/>
      <c r="BQ294" s="32"/>
      <c r="BR294" s="32"/>
    </row>
    <row r="295" spans="1:70">
      <c r="A295" s="177" t="s">
        <v>1724</v>
      </c>
      <c r="B295" s="177" t="s">
        <v>845</v>
      </c>
      <c r="C295" s="178" t="s">
        <v>845</v>
      </c>
      <c r="D295" s="179" t="s">
        <v>208</v>
      </c>
      <c r="E295" s="179" t="s">
        <v>149</v>
      </c>
      <c r="F295" s="177"/>
      <c r="G295" s="177" t="s">
        <v>846</v>
      </c>
      <c r="H295" s="178" t="s">
        <v>12</v>
      </c>
      <c r="I295" s="178" t="s">
        <v>847</v>
      </c>
      <c r="J295" s="131">
        <f>IFERROR(INDEX(#REF!,(MATCH('Old Calc Tab'!C:C,#REF!,0))),0)</f>
        <v>0</v>
      </c>
      <c r="K295" s="131">
        <f>IFERROR(INDEX(#REF!,(MATCH('Old Calc Tab'!$C:$C,#REF!,0))),0)</f>
        <v>0</v>
      </c>
      <c r="L295" s="131"/>
      <c r="M295" s="131">
        <v>1868506.4000000001</v>
      </c>
      <c r="N295" s="131">
        <f>IFERROR(INDEX(#REF!,(MATCH('Old Calc Tab'!$C:$C,#REF!,0))),0)</f>
        <v>0</v>
      </c>
      <c r="O295" s="131">
        <f t="shared" si="54"/>
        <v>0</v>
      </c>
      <c r="P295" s="131">
        <f t="shared" si="55"/>
        <v>1868506.4000000001</v>
      </c>
      <c r="Q295" s="131"/>
      <c r="R295" s="131"/>
      <c r="S295" s="131"/>
      <c r="T295" s="131"/>
      <c r="U295" s="131"/>
      <c r="V295" s="131">
        <v>0</v>
      </c>
      <c r="W295" s="180">
        <v>0</v>
      </c>
      <c r="X295" s="180">
        <f t="shared" si="66"/>
        <v>1868506.4000000001</v>
      </c>
      <c r="Y295" s="181">
        <f>IF(D295="Physician Group Practice",(X295/$AE$369)*'1. UC Assumptions'!$C$15,IF(OR(E295="Rural Hospital",E295="Hosp - State"),X295,(X295/$X$369)*'1. UC Assumptions'!$C$9))</f>
        <v>1868506.4000000001</v>
      </c>
      <c r="Z295" s="181">
        <f t="shared" si="56"/>
        <v>0</v>
      </c>
      <c r="AA295" s="181">
        <f t="shared" si="57"/>
        <v>0</v>
      </c>
      <c r="AB295" s="182">
        <f t="shared" si="58"/>
        <v>0</v>
      </c>
      <c r="AC295" s="181">
        <f t="shared" si="59"/>
        <v>0</v>
      </c>
      <c r="AD295" s="181">
        <f t="shared" si="60"/>
        <v>1868506.4000000001</v>
      </c>
      <c r="AE295" s="131">
        <v>150149.54</v>
      </c>
      <c r="AF295" s="131">
        <f>AE295*'1. UC Assumptions'!$C$23</f>
        <v>49549.348199999993</v>
      </c>
      <c r="AG295" s="183">
        <f>IF((((X295-W295-AE295)*'1. UC Assumptions'!$C$23)+AF295)&gt;0,((X295-W295-AE295)*'1. UC Assumptions'!$C$23)+AF295,0)</f>
        <v>616607.11199999996</v>
      </c>
      <c r="AH295" s="183"/>
      <c r="AI295" s="183">
        <f t="shared" si="61"/>
        <v>49549.348199999993</v>
      </c>
      <c r="AJ295" s="183">
        <f>IF(H295="Bexar",(AD295/$AJ$1)*'1. UC Assumptions'!$E$42,0)</f>
        <v>0</v>
      </c>
      <c r="AK295" s="183">
        <f>IF(H295="Dallas",(AD295/$AK$1)*'1. UC Assumptions'!$F$42,0)</f>
        <v>0</v>
      </c>
      <c r="AL295" s="183">
        <f>IF(H295="El Paso",(AD295/$AL$1)*'1. UC Assumptions'!$G$42,0)</f>
        <v>0</v>
      </c>
      <c r="AM295" s="183">
        <f>IF(H295="Harris",(AD295/$AM$1)*'1. UC Assumptions'!$H$42,0)</f>
        <v>0</v>
      </c>
      <c r="AN295" s="183">
        <f>IF(H295="Hidalgo",(AD295/$AN$1)*'1. UC Assumptions'!$I$42,0)</f>
        <v>0</v>
      </c>
      <c r="AO295" s="183">
        <f>IF(H295="Jefferson",(AD295/$AO$1)*'1. UC Assumptions'!$J$42,0)</f>
        <v>0</v>
      </c>
      <c r="AP295" s="183">
        <f>IF(H295="Lubbock",(AD295/$AP$1)*'1. UC Assumptions'!$K$42,0)</f>
        <v>0</v>
      </c>
      <c r="AQ295" s="183">
        <f>IF(H295="MRSA Central",(AD295/$AQ$1)*'1. UC Assumptions'!$L$42,0)</f>
        <v>0</v>
      </c>
      <c r="AR295" s="183">
        <f>IF(H295="MRSA Northeast",(AD295/$AR$1)*'1. UC Assumptions'!$M$42,0)</f>
        <v>0</v>
      </c>
      <c r="AS295" s="183">
        <f>IF(H295="MRSA West",(AD295/$AS$1)*'1. UC Assumptions'!$N$42,0)</f>
        <v>0</v>
      </c>
      <c r="AT295" s="183">
        <f>IF(H295="Nueces",(AD295/$AT$1)*'1. UC Assumptions'!$O$42,0)</f>
        <v>0</v>
      </c>
      <c r="AU295" s="183">
        <f>IF(H295="Tarrant",(AD295/$AU$1)*'1. UC Assumptions'!$P$42,0)</f>
        <v>0</v>
      </c>
      <c r="AV295" s="183">
        <f>IF(H295="Travis",(AD295/$AV$1)*'1. UC Assumptions'!$Q$42,0)</f>
        <v>0</v>
      </c>
      <c r="AW295" s="183">
        <f>IF(H295="Bexar",(AC295/$AW$1)*'1. UC Assumptions'!$E$44,0)</f>
        <v>0</v>
      </c>
      <c r="AX295" s="183">
        <f>IF(H295="Dallas",(AC295/$AX$1)*'1. UC Assumptions'!$F$44,0)</f>
        <v>0</v>
      </c>
      <c r="AY295" s="183">
        <f>IF(H295="El Paso",(AC295/$AY$1)*'1. UC Assumptions'!$G$44,0)</f>
        <v>0</v>
      </c>
      <c r="AZ295" s="183">
        <f>IF(H295="Harris",(AC295/$AZ$1)*'1. UC Assumptions'!$H$44,0)</f>
        <v>0</v>
      </c>
      <c r="BA295" s="183">
        <f>IF(H295="Hidalgo",(AC295/$BA$1)*'1. UC Assumptions'!$I$44,0)</f>
        <v>0</v>
      </c>
      <c r="BB295" s="183">
        <f>IF(H295="Jefferson",(AC295/$BB$1)*'1. UC Assumptions'!$J$44,0)</f>
        <v>0</v>
      </c>
      <c r="BC295" s="183">
        <f>IF(H295="Lubbock",(AC295/$BC$1)*'1. UC Assumptions'!$K$44,0)</f>
        <v>0</v>
      </c>
      <c r="BD295" s="183">
        <f>IF(H295="MRSA Central",(AC295/$BD$1)*'1. UC Assumptions'!$L$44,0)</f>
        <v>0</v>
      </c>
      <c r="BE295" s="183">
        <f>IF(H295="MRSA Northeast",(AC295/$BE$1)*'1. UC Assumptions'!$M$44,0)</f>
        <v>0</v>
      </c>
      <c r="BF295" s="183">
        <f>IF(H295="MRSA West",(AC295/$BF$1)*'1. UC Assumptions'!$N$44,0)</f>
        <v>0</v>
      </c>
      <c r="BG295" s="183">
        <f>IF(H295="Nueces",(AC295/$BG$1)*'1. UC Assumptions'!$O$44,0)</f>
        <v>0</v>
      </c>
      <c r="BH295" s="183">
        <f>IF(H295="Tarrant",(AC295/$BH$1)*'1. UC Assumptions'!$P$44,0)</f>
        <v>0</v>
      </c>
      <c r="BI295" s="183">
        <f>IF(H295="Travis",(AC295/$BI$1)*'1. UC Assumptions'!$Q$44,0)</f>
        <v>0</v>
      </c>
      <c r="BJ295" s="183">
        <f t="shared" si="62"/>
        <v>0</v>
      </c>
      <c r="BK295" s="183">
        <f t="shared" si="63"/>
        <v>0</v>
      </c>
      <c r="BL295" s="183">
        <f t="shared" si="64"/>
        <v>1868506.4000000001</v>
      </c>
      <c r="BM295" s="184">
        <f t="shared" si="65"/>
        <v>1718356.86</v>
      </c>
      <c r="BN295" s="184">
        <f>ROUNDDOWN(BM295*'1. UC Assumptions'!$C$23,2)</f>
        <v>567057.76</v>
      </c>
      <c r="BO295" s="184"/>
      <c r="BP295" s="185"/>
      <c r="BQ295" s="32"/>
      <c r="BR295" s="32"/>
    </row>
    <row r="296" spans="1:70">
      <c r="A296" s="177" t="s">
        <v>1725</v>
      </c>
      <c r="B296" s="178" t="s">
        <v>871</v>
      </c>
      <c r="C296" s="178" t="s">
        <v>871</v>
      </c>
      <c r="D296" s="179" t="s">
        <v>208</v>
      </c>
      <c r="E296" s="179" t="s">
        <v>149</v>
      </c>
      <c r="F296" s="177"/>
      <c r="G296" s="177" t="s">
        <v>872</v>
      </c>
      <c r="H296" s="178" t="s">
        <v>12</v>
      </c>
      <c r="I296" s="178" t="s">
        <v>873</v>
      </c>
      <c r="J296" s="131">
        <f>IFERROR(INDEX(#REF!,(MATCH('Old Calc Tab'!C:C,#REF!,0))),0)</f>
        <v>0</v>
      </c>
      <c r="K296" s="131">
        <f>IFERROR(INDEX(#REF!,(MATCH('Old Calc Tab'!$C:$C,#REF!,0))),0)</f>
        <v>0</v>
      </c>
      <c r="L296" s="131"/>
      <c r="M296" s="131">
        <v>267870.96000000002</v>
      </c>
      <c r="N296" s="131">
        <f>IFERROR(INDEX(#REF!,(MATCH('Old Calc Tab'!$C:$C,#REF!,0))),0)</f>
        <v>0</v>
      </c>
      <c r="O296" s="131">
        <f t="shared" si="54"/>
        <v>0</v>
      </c>
      <c r="P296" s="131">
        <f t="shared" si="55"/>
        <v>267870.96000000002</v>
      </c>
      <c r="Q296" s="131"/>
      <c r="R296" s="131"/>
      <c r="S296" s="131"/>
      <c r="T296" s="131"/>
      <c r="U296" s="131"/>
      <c r="V296" s="131">
        <v>0</v>
      </c>
      <c r="W296" s="180">
        <v>0</v>
      </c>
      <c r="X296" s="180">
        <f t="shared" si="66"/>
        <v>267870.96000000002</v>
      </c>
      <c r="Y296" s="181">
        <f>IF(D296="Physician Group Practice",(X296/$AE$369)*'1. UC Assumptions'!$C$15,IF(OR(E296="Rural Hospital",E296="Hosp - State"),X296,(X296/$X$369)*'1. UC Assumptions'!$C$9))</f>
        <v>267870.96000000002</v>
      </c>
      <c r="Z296" s="181">
        <f t="shared" si="56"/>
        <v>0</v>
      </c>
      <c r="AA296" s="181">
        <f t="shared" si="57"/>
        <v>0</v>
      </c>
      <c r="AB296" s="182">
        <f t="shared" si="58"/>
        <v>0</v>
      </c>
      <c r="AC296" s="181">
        <f t="shared" si="59"/>
        <v>0</v>
      </c>
      <c r="AD296" s="181">
        <f t="shared" si="60"/>
        <v>267870.96000000002</v>
      </c>
      <c r="AE296" s="131">
        <v>86831.26</v>
      </c>
      <c r="AF296" s="131">
        <f>AE296*'1. UC Assumptions'!$C$23</f>
        <v>28654.315799999993</v>
      </c>
      <c r="AG296" s="183">
        <f>IF((((X296-W296-AE296)*'1. UC Assumptions'!$C$23)+AF296)&gt;0,((X296-W296-AE296)*'1. UC Assumptions'!$C$23)+AF296,0)</f>
        <v>88397.416799999992</v>
      </c>
      <c r="AH296" s="183"/>
      <c r="AI296" s="183">
        <f t="shared" si="61"/>
        <v>28654.315799999993</v>
      </c>
      <c r="AJ296" s="183">
        <f>IF(H296="Bexar",(AD296/$AJ$1)*'1. UC Assumptions'!$E$42,0)</f>
        <v>0</v>
      </c>
      <c r="AK296" s="183">
        <f>IF(H296="Dallas",(AD296/$AK$1)*'1. UC Assumptions'!$F$42,0)</f>
        <v>0</v>
      </c>
      <c r="AL296" s="183">
        <f>IF(H296="El Paso",(AD296/$AL$1)*'1. UC Assumptions'!$G$42,0)</f>
        <v>0</v>
      </c>
      <c r="AM296" s="183">
        <f>IF(H296="Harris",(AD296/$AM$1)*'1. UC Assumptions'!$H$42,0)</f>
        <v>0</v>
      </c>
      <c r="AN296" s="183">
        <f>IF(H296="Hidalgo",(AD296/$AN$1)*'1. UC Assumptions'!$I$42,0)</f>
        <v>0</v>
      </c>
      <c r="AO296" s="183">
        <f>IF(H296="Jefferson",(AD296/$AO$1)*'1. UC Assumptions'!$J$42,0)</f>
        <v>0</v>
      </c>
      <c r="AP296" s="183">
        <f>IF(H296="Lubbock",(AD296/$AP$1)*'1. UC Assumptions'!$K$42,0)</f>
        <v>0</v>
      </c>
      <c r="AQ296" s="183">
        <f>IF(H296="MRSA Central",(AD296/$AQ$1)*'1. UC Assumptions'!$L$42,0)</f>
        <v>0</v>
      </c>
      <c r="AR296" s="183">
        <f>IF(H296="MRSA Northeast",(AD296/$AR$1)*'1. UC Assumptions'!$M$42,0)</f>
        <v>0</v>
      </c>
      <c r="AS296" s="183">
        <f>IF(H296="MRSA West",(AD296/$AS$1)*'1. UC Assumptions'!$N$42,0)</f>
        <v>0</v>
      </c>
      <c r="AT296" s="183">
        <f>IF(H296="Nueces",(AD296/$AT$1)*'1. UC Assumptions'!$O$42,0)</f>
        <v>0</v>
      </c>
      <c r="AU296" s="183">
        <f>IF(H296="Tarrant",(AD296/$AU$1)*'1. UC Assumptions'!$P$42,0)</f>
        <v>0</v>
      </c>
      <c r="AV296" s="183">
        <f>IF(H296="Travis",(AD296/$AV$1)*'1. UC Assumptions'!$Q$42,0)</f>
        <v>0</v>
      </c>
      <c r="AW296" s="183">
        <f>IF(H296="Bexar",(AC296/$AW$1)*'1. UC Assumptions'!$E$44,0)</f>
        <v>0</v>
      </c>
      <c r="AX296" s="183">
        <f>IF(H296="Dallas",(AC296/$AX$1)*'1. UC Assumptions'!$F$44,0)</f>
        <v>0</v>
      </c>
      <c r="AY296" s="183">
        <f>IF(H296="El Paso",(AC296/$AY$1)*'1. UC Assumptions'!$G$44,0)</f>
        <v>0</v>
      </c>
      <c r="AZ296" s="183">
        <f>IF(H296="Harris",(AC296/$AZ$1)*'1. UC Assumptions'!$H$44,0)</f>
        <v>0</v>
      </c>
      <c r="BA296" s="183">
        <f>IF(H296="Hidalgo",(AC296/$BA$1)*'1. UC Assumptions'!$I$44,0)</f>
        <v>0</v>
      </c>
      <c r="BB296" s="183">
        <f>IF(H296="Jefferson",(AC296/$BB$1)*'1. UC Assumptions'!$J$44,0)</f>
        <v>0</v>
      </c>
      <c r="BC296" s="183">
        <f>IF(H296="Lubbock",(AC296/$BC$1)*'1. UC Assumptions'!$K$44,0)</f>
        <v>0</v>
      </c>
      <c r="BD296" s="183">
        <f>IF(H296="MRSA Central",(AC296/$BD$1)*'1. UC Assumptions'!$L$44,0)</f>
        <v>0</v>
      </c>
      <c r="BE296" s="183">
        <f>IF(H296="MRSA Northeast",(AC296/$BE$1)*'1. UC Assumptions'!$M$44,0)</f>
        <v>0</v>
      </c>
      <c r="BF296" s="183">
        <f>IF(H296="MRSA West",(AC296/$BF$1)*'1. UC Assumptions'!$N$44,0)</f>
        <v>0</v>
      </c>
      <c r="BG296" s="183">
        <f>IF(H296="Nueces",(AC296/$BG$1)*'1. UC Assumptions'!$O$44,0)</f>
        <v>0</v>
      </c>
      <c r="BH296" s="183">
        <f>IF(H296="Tarrant",(AC296/$BH$1)*'1. UC Assumptions'!$P$44,0)</f>
        <v>0</v>
      </c>
      <c r="BI296" s="183">
        <f>IF(H296="Travis",(AC296/$BI$1)*'1. UC Assumptions'!$Q$44,0)</f>
        <v>0</v>
      </c>
      <c r="BJ296" s="183">
        <f t="shared" si="62"/>
        <v>0</v>
      </c>
      <c r="BK296" s="183">
        <f t="shared" si="63"/>
        <v>0</v>
      </c>
      <c r="BL296" s="183">
        <f t="shared" si="64"/>
        <v>267870.96000000002</v>
      </c>
      <c r="BM296" s="184">
        <f t="shared" si="65"/>
        <v>181039.7</v>
      </c>
      <c r="BN296" s="184">
        <f>ROUNDDOWN(BM296*'1. UC Assumptions'!$C$23,2)</f>
        <v>59743.1</v>
      </c>
      <c r="BO296" s="184"/>
      <c r="BP296" s="185"/>
      <c r="BQ296" s="32"/>
      <c r="BR296" s="32"/>
    </row>
    <row r="297" spans="1:70">
      <c r="A297" s="177" t="s">
        <v>1726</v>
      </c>
      <c r="B297" s="177" t="s">
        <v>879</v>
      </c>
      <c r="C297" s="178" t="s">
        <v>879</v>
      </c>
      <c r="D297" s="179" t="s">
        <v>214</v>
      </c>
      <c r="E297" s="179" t="s">
        <v>149</v>
      </c>
      <c r="F297" s="177"/>
      <c r="G297" s="177" t="s">
        <v>1727</v>
      </c>
      <c r="H297" s="178" t="s">
        <v>12</v>
      </c>
      <c r="I297" s="178" t="s">
        <v>881</v>
      </c>
      <c r="J297" s="131">
        <f>IFERROR(INDEX(#REF!,(MATCH('Old Calc Tab'!C:C,#REF!,0))),0)</f>
        <v>0</v>
      </c>
      <c r="K297" s="131">
        <f>IFERROR(INDEX(#REF!,(MATCH('Old Calc Tab'!$C:$C,#REF!,0))),0)</f>
        <v>0</v>
      </c>
      <c r="L297" s="131"/>
      <c r="M297" s="131">
        <v>148467.24577068235</v>
      </c>
      <c r="N297" s="131">
        <f>IFERROR(INDEX(#REF!,(MATCH('Old Calc Tab'!$C:$C,#REF!,0))),0)</f>
        <v>0</v>
      </c>
      <c r="O297" s="131">
        <f t="shared" si="54"/>
        <v>0</v>
      </c>
      <c r="P297" s="131">
        <f t="shared" si="55"/>
        <v>148467.24577068235</v>
      </c>
      <c r="Q297" s="131"/>
      <c r="R297" s="131"/>
      <c r="S297" s="131"/>
      <c r="T297" s="131"/>
      <c r="U297" s="131"/>
      <c r="V297" s="131">
        <v>0</v>
      </c>
      <c r="W297" s="180">
        <v>0</v>
      </c>
      <c r="X297" s="180">
        <f t="shared" si="66"/>
        <v>148467.24577068235</v>
      </c>
      <c r="Y297" s="181">
        <f>IF(D297="Physician Group Practice",(X297/$AE$369)*'1. UC Assumptions'!$C$15,IF(OR(E297="Rural Hospital",E297="Hosp - State"),X297,(X297/$X$369)*'1. UC Assumptions'!$C$9))</f>
        <v>148467.24577068235</v>
      </c>
      <c r="Z297" s="181">
        <f t="shared" si="56"/>
        <v>0</v>
      </c>
      <c r="AA297" s="181">
        <f t="shared" si="57"/>
        <v>0</v>
      </c>
      <c r="AB297" s="182">
        <f t="shared" si="58"/>
        <v>0</v>
      </c>
      <c r="AC297" s="181">
        <f t="shared" si="59"/>
        <v>0</v>
      </c>
      <c r="AD297" s="181">
        <f t="shared" si="60"/>
        <v>148467.24577068235</v>
      </c>
      <c r="AE297" s="131">
        <v>216010.59</v>
      </c>
      <c r="AF297" s="131">
        <f>AE297*'1. UC Assumptions'!$C$23</f>
        <v>71283.494699999996</v>
      </c>
      <c r="AG297" s="183">
        <f>IF((((X297-W297-AE297)*'1. UC Assumptions'!$C$23)+AF297)&gt;0,((X297-W297-AE297)*'1. UC Assumptions'!$C$23)+AF297,0)</f>
        <v>48994.191104325175</v>
      </c>
      <c r="AH297" s="183"/>
      <c r="AI297" s="183">
        <f t="shared" si="61"/>
        <v>71283.494699999996</v>
      </c>
      <c r="AJ297" s="183">
        <f>IF(H297="Bexar",(AD297/$AJ$1)*'1. UC Assumptions'!$E$42,0)</f>
        <v>0</v>
      </c>
      <c r="AK297" s="183">
        <f>IF(H297="Dallas",(AD297/$AK$1)*'1. UC Assumptions'!$F$42,0)</f>
        <v>0</v>
      </c>
      <c r="AL297" s="183">
        <f>IF(H297="El Paso",(AD297/$AL$1)*'1. UC Assumptions'!$G$42,0)</f>
        <v>0</v>
      </c>
      <c r="AM297" s="183">
        <f>IF(H297="Harris",(AD297/$AM$1)*'1. UC Assumptions'!$H$42,0)</f>
        <v>0</v>
      </c>
      <c r="AN297" s="183">
        <f>IF(H297="Hidalgo",(AD297/$AN$1)*'1. UC Assumptions'!$I$42,0)</f>
        <v>0</v>
      </c>
      <c r="AO297" s="183">
        <f>IF(H297="Jefferson",(AD297/$AO$1)*'1. UC Assumptions'!$J$42,0)</f>
        <v>0</v>
      </c>
      <c r="AP297" s="183">
        <f>IF(H297="Lubbock",(AD297/$AP$1)*'1. UC Assumptions'!$K$42,0)</f>
        <v>0</v>
      </c>
      <c r="AQ297" s="183">
        <f>IF(H297="MRSA Central",(AD297/$AQ$1)*'1. UC Assumptions'!$L$42,0)</f>
        <v>0</v>
      </c>
      <c r="AR297" s="183">
        <f>IF(H297="MRSA Northeast",(AD297/$AR$1)*'1. UC Assumptions'!$M$42,0)</f>
        <v>0</v>
      </c>
      <c r="AS297" s="183">
        <f>IF(H297="MRSA West",(AD297/$AS$1)*'1. UC Assumptions'!$N$42,0)</f>
        <v>0</v>
      </c>
      <c r="AT297" s="183">
        <f>IF(H297="Nueces",(AD297/$AT$1)*'1. UC Assumptions'!$O$42,0)</f>
        <v>0</v>
      </c>
      <c r="AU297" s="183">
        <f>IF(H297="Tarrant",(AD297/$AU$1)*'1. UC Assumptions'!$P$42,0)</f>
        <v>0</v>
      </c>
      <c r="AV297" s="183">
        <f>IF(H297="Travis",(AD297/$AV$1)*'1. UC Assumptions'!$Q$42,0)</f>
        <v>0</v>
      </c>
      <c r="AW297" s="183">
        <f>IF(H297="Bexar",(AC297/$AW$1)*'1. UC Assumptions'!$E$44,0)</f>
        <v>0</v>
      </c>
      <c r="AX297" s="183">
        <f>IF(H297="Dallas",(AC297/$AX$1)*'1. UC Assumptions'!$F$44,0)</f>
        <v>0</v>
      </c>
      <c r="AY297" s="183">
        <f>IF(H297="El Paso",(AC297/$AY$1)*'1. UC Assumptions'!$G$44,0)</f>
        <v>0</v>
      </c>
      <c r="AZ297" s="183">
        <f>IF(H297="Harris",(AC297/$AZ$1)*'1. UC Assumptions'!$H$44,0)</f>
        <v>0</v>
      </c>
      <c r="BA297" s="183">
        <f>IF(H297="Hidalgo",(AC297/$BA$1)*'1. UC Assumptions'!$I$44,0)</f>
        <v>0</v>
      </c>
      <c r="BB297" s="183">
        <f>IF(H297="Jefferson",(AC297/$BB$1)*'1. UC Assumptions'!$J$44,0)</f>
        <v>0</v>
      </c>
      <c r="BC297" s="183">
        <f>IF(H297="Lubbock",(AC297/$BC$1)*'1. UC Assumptions'!$K$44,0)</f>
        <v>0</v>
      </c>
      <c r="BD297" s="183">
        <f>IF(H297="MRSA Central",(AC297/$BD$1)*'1. UC Assumptions'!$L$44,0)</f>
        <v>0</v>
      </c>
      <c r="BE297" s="183">
        <f>IF(H297="MRSA Northeast",(AC297/$BE$1)*'1. UC Assumptions'!$M$44,0)</f>
        <v>0</v>
      </c>
      <c r="BF297" s="183">
        <f>IF(H297="MRSA West",(AC297/$BF$1)*'1. UC Assumptions'!$N$44,0)</f>
        <v>0</v>
      </c>
      <c r="BG297" s="183">
        <f>IF(H297="Nueces",(AC297/$BG$1)*'1. UC Assumptions'!$O$44,0)</f>
        <v>0</v>
      </c>
      <c r="BH297" s="183">
        <f>IF(H297="Tarrant",(AC297/$BH$1)*'1. UC Assumptions'!$P$44,0)</f>
        <v>0</v>
      </c>
      <c r="BI297" s="183">
        <f>IF(H297="Travis",(AC297/$BI$1)*'1. UC Assumptions'!$Q$44,0)</f>
        <v>0</v>
      </c>
      <c r="BJ297" s="183">
        <f t="shared" si="62"/>
        <v>0</v>
      </c>
      <c r="BK297" s="183">
        <f t="shared" si="63"/>
        <v>0</v>
      </c>
      <c r="BL297" s="183">
        <f t="shared" si="64"/>
        <v>148467.24577068235</v>
      </c>
      <c r="BM297" s="184">
        <f t="shared" si="65"/>
        <v>-67543.344229317649</v>
      </c>
      <c r="BN297" s="184">
        <f>ROUNDDOWN(BM297*'1. UC Assumptions'!$C$23,2)</f>
        <v>-22289.3</v>
      </c>
      <c r="BO297" s="184"/>
      <c r="BP297" s="185"/>
      <c r="BQ297" s="32"/>
      <c r="BR297" s="32"/>
    </row>
    <row r="298" spans="1:70">
      <c r="A298" s="177" t="s">
        <v>1728</v>
      </c>
      <c r="B298" s="178" t="s">
        <v>1729</v>
      </c>
      <c r="C298" s="178" t="s">
        <v>903</v>
      </c>
      <c r="D298" s="179" t="s">
        <v>208</v>
      </c>
      <c r="E298" s="179" t="s">
        <v>149</v>
      </c>
      <c r="F298" s="177"/>
      <c r="G298" s="177" t="s">
        <v>904</v>
      </c>
      <c r="H298" s="178" t="s">
        <v>12</v>
      </c>
      <c r="I298" s="178" t="s">
        <v>905</v>
      </c>
      <c r="J298" s="131">
        <f>IFERROR(INDEX(#REF!,(MATCH('Old Calc Tab'!C:C,#REF!,0))),0)</f>
        <v>0</v>
      </c>
      <c r="K298" s="131">
        <f>IFERROR(INDEX(#REF!,(MATCH('Old Calc Tab'!$C:$C,#REF!,0))),0)</f>
        <v>0</v>
      </c>
      <c r="L298" s="131"/>
      <c r="M298" s="131">
        <v>2804165.0500000003</v>
      </c>
      <c r="N298" s="131">
        <f>IFERROR(INDEX(#REF!,(MATCH('Old Calc Tab'!$C:$C,#REF!,0))),0)</f>
        <v>0</v>
      </c>
      <c r="O298" s="131">
        <f t="shared" si="54"/>
        <v>0</v>
      </c>
      <c r="P298" s="131">
        <f t="shared" si="55"/>
        <v>2804165.0500000003</v>
      </c>
      <c r="Q298" s="131"/>
      <c r="R298" s="131"/>
      <c r="S298" s="131"/>
      <c r="T298" s="131"/>
      <c r="U298" s="131"/>
      <c r="V298" s="131">
        <v>105288</v>
      </c>
      <c r="W298" s="180">
        <v>0</v>
      </c>
      <c r="X298" s="180">
        <f t="shared" si="66"/>
        <v>2909453.0500000003</v>
      </c>
      <c r="Y298" s="181">
        <f>IF(D298="Physician Group Practice",(X298/$AE$369)*'1. UC Assumptions'!$C$15,IF(OR(E298="Rural Hospital",E298="Hosp - State"),X298,(X298/$X$369)*'1. UC Assumptions'!$C$9))</f>
        <v>2909453.0500000003</v>
      </c>
      <c r="Z298" s="181">
        <f t="shared" si="56"/>
        <v>0</v>
      </c>
      <c r="AA298" s="181">
        <f t="shared" si="57"/>
        <v>0</v>
      </c>
      <c r="AB298" s="182">
        <f t="shared" si="58"/>
        <v>0</v>
      </c>
      <c r="AC298" s="181">
        <f t="shared" si="59"/>
        <v>0</v>
      </c>
      <c r="AD298" s="181">
        <f t="shared" si="60"/>
        <v>2909453.0500000003</v>
      </c>
      <c r="AE298" s="131">
        <v>225682.7</v>
      </c>
      <c r="AF298" s="131">
        <f>AE298*'1. UC Assumptions'!$C$23</f>
        <v>74475.290999999997</v>
      </c>
      <c r="AG298" s="183">
        <f>IF((((X298-W298-AE298)*'1. UC Assumptions'!$C$23)+AF298)&gt;0,((X298-W298-AE298)*'1. UC Assumptions'!$C$23)+AF298,0)</f>
        <v>960119.5064999999</v>
      </c>
      <c r="AH298" s="183"/>
      <c r="AI298" s="183">
        <f t="shared" si="61"/>
        <v>74475.290999999997</v>
      </c>
      <c r="AJ298" s="183">
        <f>IF(H298="Bexar",(AD298/$AJ$1)*'1. UC Assumptions'!$E$42,0)</f>
        <v>0</v>
      </c>
      <c r="AK298" s="183">
        <f>IF(H298="Dallas",(AD298/$AK$1)*'1. UC Assumptions'!$F$42,0)</f>
        <v>0</v>
      </c>
      <c r="AL298" s="183">
        <f>IF(H298="El Paso",(AD298/$AL$1)*'1. UC Assumptions'!$G$42,0)</f>
        <v>0</v>
      </c>
      <c r="AM298" s="183">
        <f>IF(H298="Harris",(AD298/$AM$1)*'1. UC Assumptions'!$H$42,0)</f>
        <v>0</v>
      </c>
      <c r="AN298" s="183">
        <f>IF(H298="Hidalgo",(AD298/$AN$1)*'1. UC Assumptions'!$I$42,0)</f>
        <v>0</v>
      </c>
      <c r="AO298" s="183">
        <f>IF(H298="Jefferson",(AD298/$AO$1)*'1. UC Assumptions'!$J$42,0)</f>
        <v>0</v>
      </c>
      <c r="AP298" s="183">
        <f>IF(H298="Lubbock",(AD298/$AP$1)*'1. UC Assumptions'!$K$42,0)</f>
        <v>0</v>
      </c>
      <c r="AQ298" s="183">
        <f>IF(H298="MRSA Central",(AD298/$AQ$1)*'1. UC Assumptions'!$L$42,0)</f>
        <v>0</v>
      </c>
      <c r="AR298" s="183">
        <f>IF(H298="MRSA Northeast",(AD298/$AR$1)*'1. UC Assumptions'!$M$42,0)</f>
        <v>0</v>
      </c>
      <c r="AS298" s="183">
        <f>IF(H298="MRSA West",(AD298/$AS$1)*'1. UC Assumptions'!$N$42,0)</f>
        <v>0</v>
      </c>
      <c r="AT298" s="183">
        <f>IF(H298="Nueces",(AD298/$AT$1)*'1. UC Assumptions'!$O$42,0)</f>
        <v>0</v>
      </c>
      <c r="AU298" s="183">
        <f>IF(H298="Tarrant",(AD298/$AU$1)*'1. UC Assumptions'!$P$42,0)</f>
        <v>0</v>
      </c>
      <c r="AV298" s="183">
        <f>IF(H298="Travis",(AD298/$AV$1)*'1. UC Assumptions'!$Q$42,0)</f>
        <v>0</v>
      </c>
      <c r="AW298" s="183">
        <f>IF(H298="Bexar",(AC298/$AW$1)*'1. UC Assumptions'!$E$44,0)</f>
        <v>0</v>
      </c>
      <c r="AX298" s="183">
        <f>IF(H298="Dallas",(AC298/$AX$1)*'1. UC Assumptions'!$F$44,0)</f>
        <v>0</v>
      </c>
      <c r="AY298" s="183">
        <f>IF(H298="El Paso",(AC298/$AY$1)*'1. UC Assumptions'!$G$44,0)</f>
        <v>0</v>
      </c>
      <c r="AZ298" s="183">
        <f>IF(H298="Harris",(AC298/$AZ$1)*'1. UC Assumptions'!$H$44,0)</f>
        <v>0</v>
      </c>
      <c r="BA298" s="183">
        <f>IF(H298="Hidalgo",(AC298/$BA$1)*'1. UC Assumptions'!$I$44,0)</f>
        <v>0</v>
      </c>
      <c r="BB298" s="183">
        <f>IF(H298="Jefferson",(AC298/$BB$1)*'1. UC Assumptions'!$J$44,0)</f>
        <v>0</v>
      </c>
      <c r="BC298" s="183">
        <f>IF(H298="Lubbock",(AC298/$BC$1)*'1. UC Assumptions'!$K$44,0)</f>
        <v>0</v>
      </c>
      <c r="BD298" s="183">
        <f>IF(H298="MRSA Central",(AC298/$BD$1)*'1. UC Assumptions'!$L$44,0)</f>
        <v>0</v>
      </c>
      <c r="BE298" s="183">
        <f>IF(H298="MRSA Northeast",(AC298/$BE$1)*'1. UC Assumptions'!$M$44,0)</f>
        <v>0</v>
      </c>
      <c r="BF298" s="183">
        <f>IF(H298="MRSA West",(AC298/$BF$1)*'1. UC Assumptions'!$N$44,0)</f>
        <v>0</v>
      </c>
      <c r="BG298" s="183">
        <f>IF(H298="Nueces",(AC298/$BG$1)*'1. UC Assumptions'!$O$44,0)</f>
        <v>0</v>
      </c>
      <c r="BH298" s="183">
        <f>IF(H298="Tarrant",(AC298/$BH$1)*'1. UC Assumptions'!$P$44,0)</f>
        <v>0</v>
      </c>
      <c r="BI298" s="183">
        <f>IF(H298="Travis",(AC298/$BI$1)*'1. UC Assumptions'!$Q$44,0)</f>
        <v>0</v>
      </c>
      <c r="BJ298" s="183">
        <f t="shared" si="62"/>
        <v>0</v>
      </c>
      <c r="BK298" s="183">
        <f t="shared" si="63"/>
        <v>0</v>
      </c>
      <c r="BL298" s="183">
        <f t="shared" si="64"/>
        <v>2909453.0500000003</v>
      </c>
      <c r="BM298" s="184">
        <f t="shared" si="65"/>
        <v>2683770.35</v>
      </c>
      <c r="BN298" s="184">
        <f>ROUNDDOWN(BM298*'1. UC Assumptions'!$C$23,2)</f>
        <v>885644.21</v>
      </c>
      <c r="BO298" s="184"/>
      <c r="BP298" s="185"/>
      <c r="BQ298" s="32"/>
      <c r="BR298" s="32"/>
    </row>
    <row r="299" spans="1:70">
      <c r="A299" s="177" t="s">
        <v>1730</v>
      </c>
      <c r="B299" s="177" t="s">
        <v>937</v>
      </c>
      <c r="C299" s="178" t="s">
        <v>937</v>
      </c>
      <c r="D299" s="179" t="s">
        <v>214</v>
      </c>
      <c r="E299" s="179" t="s">
        <v>149</v>
      </c>
      <c r="F299" s="177"/>
      <c r="G299" s="177" t="s">
        <v>1731</v>
      </c>
      <c r="H299" s="178" t="s">
        <v>12</v>
      </c>
      <c r="I299" s="178" t="s">
        <v>939</v>
      </c>
      <c r="J299" s="131">
        <f>IFERROR(INDEX(#REF!,(MATCH('Old Calc Tab'!C:C,#REF!,0))),0)</f>
        <v>0</v>
      </c>
      <c r="K299" s="131">
        <f>IFERROR(INDEX(#REF!,(MATCH('Old Calc Tab'!$C:$C,#REF!,0))),0)</f>
        <v>0</v>
      </c>
      <c r="L299" s="131"/>
      <c r="M299" s="131">
        <v>907974.25</v>
      </c>
      <c r="N299" s="131">
        <f>IFERROR(INDEX(#REF!,(MATCH('Old Calc Tab'!$C:$C,#REF!,0))),0)</f>
        <v>0</v>
      </c>
      <c r="O299" s="131">
        <f t="shared" si="54"/>
        <v>0</v>
      </c>
      <c r="P299" s="131">
        <f t="shared" si="55"/>
        <v>907974.25</v>
      </c>
      <c r="Q299" s="131"/>
      <c r="R299" s="131"/>
      <c r="S299" s="131"/>
      <c r="T299" s="131"/>
      <c r="U299" s="131"/>
      <c r="V299" s="131">
        <v>30217</v>
      </c>
      <c r="W299" s="180">
        <v>0</v>
      </c>
      <c r="X299" s="180">
        <f t="shared" si="66"/>
        <v>938191.25</v>
      </c>
      <c r="Y299" s="181">
        <f>IF(D299="Physician Group Practice",(X299/$AE$369)*'1. UC Assumptions'!$C$15,IF(OR(E299="Rural Hospital",E299="Hosp - State"),X299,(X299/$X$369)*'1. UC Assumptions'!$C$9))</f>
        <v>938191.25</v>
      </c>
      <c r="Z299" s="181">
        <f t="shared" si="56"/>
        <v>0</v>
      </c>
      <c r="AA299" s="181">
        <f t="shared" si="57"/>
        <v>0</v>
      </c>
      <c r="AB299" s="182">
        <f t="shared" si="58"/>
        <v>0</v>
      </c>
      <c r="AC299" s="181">
        <f t="shared" si="59"/>
        <v>0</v>
      </c>
      <c r="AD299" s="181">
        <f t="shared" si="60"/>
        <v>938191.25</v>
      </c>
      <c r="AE299" s="131">
        <v>223722.91</v>
      </c>
      <c r="AF299" s="131">
        <f>AE299*'1. UC Assumptions'!$C$23</f>
        <v>73828.560299999997</v>
      </c>
      <c r="AG299" s="183">
        <f>IF((((X299-W299-AE299)*'1. UC Assumptions'!$C$23)+AF299)&gt;0,((X299-W299-AE299)*'1. UC Assumptions'!$C$23)+AF299,0)</f>
        <v>309603.11249999993</v>
      </c>
      <c r="AH299" s="183"/>
      <c r="AI299" s="183">
        <f t="shared" si="61"/>
        <v>73828.560299999997</v>
      </c>
      <c r="AJ299" s="183">
        <f>IF(H299="Bexar",(AD299/$AJ$1)*'1. UC Assumptions'!$E$42,0)</f>
        <v>0</v>
      </c>
      <c r="AK299" s="183">
        <f>IF(H299="Dallas",(AD299/$AK$1)*'1. UC Assumptions'!$F$42,0)</f>
        <v>0</v>
      </c>
      <c r="AL299" s="183">
        <f>IF(H299="El Paso",(AD299/$AL$1)*'1. UC Assumptions'!$G$42,0)</f>
        <v>0</v>
      </c>
      <c r="AM299" s="183">
        <f>IF(H299="Harris",(AD299/$AM$1)*'1. UC Assumptions'!$H$42,0)</f>
        <v>0</v>
      </c>
      <c r="AN299" s="183">
        <f>IF(H299="Hidalgo",(AD299/$AN$1)*'1. UC Assumptions'!$I$42,0)</f>
        <v>0</v>
      </c>
      <c r="AO299" s="183">
        <f>IF(H299="Jefferson",(AD299/$AO$1)*'1. UC Assumptions'!$J$42,0)</f>
        <v>0</v>
      </c>
      <c r="AP299" s="183">
        <f>IF(H299="Lubbock",(AD299/$AP$1)*'1. UC Assumptions'!$K$42,0)</f>
        <v>0</v>
      </c>
      <c r="AQ299" s="183">
        <f>IF(H299="MRSA Central",(AD299/$AQ$1)*'1. UC Assumptions'!$L$42,0)</f>
        <v>0</v>
      </c>
      <c r="AR299" s="183">
        <f>IF(H299="MRSA Northeast",(AD299/$AR$1)*'1. UC Assumptions'!$M$42,0)</f>
        <v>0</v>
      </c>
      <c r="AS299" s="183">
        <f>IF(H299="MRSA West",(AD299/$AS$1)*'1. UC Assumptions'!$N$42,0)</f>
        <v>0</v>
      </c>
      <c r="AT299" s="183">
        <f>IF(H299="Nueces",(AD299/$AT$1)*'1. UC Assumptions'!$O$42,0)</f>
        <v>0</v>
      </c>
      <c r="AU299" s="183">
        <f>IF(H299="Tarrant",(AD299/$AU$1)*'1. UC Assumptions'!$P$42,0)</f>
        <v>0</v>
      </c>
      <c r="AV299" s="183">
        <f>IF(H299="Travis",(AD299/$AV$1)*'1. UC Assumptions'!$Q$42,0)</f>
        <v>0</v>
      </c>
      <c r="AW299" s="183">
        <f>IF(H299="Bexar",(AC299/$AW$1)*'1. UC Assumptions'!$E$44,0)</f>
        <v>0</v>
      </c>
      <c r="AX299" s="183">
        <f>IF(H299="Dallas",(AC299/$AX$1)*'1. UC Assumptions'!$F$44,0)</f>
        <v>0</v>
      </c>
      <c r="AY299" s="183">
        <f>IF(H299="El Paso",(AC299/$AY$1)*'1. UC Assumptions'!$G$44,0)</f>
        <v>0</v>
      </c>
      <c r="AZ299" s="183">
        <f>IF(H299="Harris",(AC299/$AZ$1)*'1. UC Assumptions'!$H$44,0)</f>
        <v>0</v>
      </c>
      <c r="BA299" s="183">
        <f>IF(H299="Hidalgo",(AC299/$BA$1)*'1. UC Assumptions'!$I$44,0)</f>
        <v>0</v>
      </c>
      <c r="BB299" s="183">
        <f>IF(H299="Jefferson",(AC299/$BB$1)*'1. UC Assumptions'!$J$44,0)</f>
        <v>0</v>
      </c>
      <c r="BC299" s="183">
        <f>IF(H299="Lubbock",(AC299/$BC$1)*'1. UC Assumptions'!$K$44,0)</f>
        <v>0</v>
      </c>
      <c r="BD299" s="183">
        <f>IF(H299="MRSA Central",(AC299/$BD$1)*'1. UC Assumptions'!$L$44,0)</f>
        <v>0</v>
      </c>
      <c r="BE299" s="183">
        <f>IF(H299="MRSA Northeast",(AC299/$BE$1)*'1. UC Assumptions'!$M$44,0)</f>
        <v>0</v>
      </c>
      <c r="BF299" s="183">
        <f>IF(H299="MRSA West",(AC299/$BF$1)*'1. UC Assumptions'!$N$44,0)</f>
        <v>0</v>
      </c>
      <c r="BG299" s="183">
        <f>IF(H299="Nueces",(AC299/$BG$1)*'1. UC Assumptions'!$O$44,0)</f>
        <v>0</v>
      </c>
      <c r="BH299" s="183">
        <f>IF(H299="Tarrant",(AC299/$BH$1)*'1. UC Assumptions'!$P$44,0)</f>
        <v>0</v>
      </c>
      <c r="BI299" s="183">
        <f>IF(H299="Travis",(AC299/$BI$1)*'1. UC Assumptions'!$Q$44,0)</f>
        <v>0</v>
      </c>
      <c r="BJ299" s="183">
        <f t="shared" si="62"/>
        <v>0</v>
      </c>
      <c r="BK299" s="183">
        <f t="shared" si="63"/>
        <v>0</v>
      </c>
      <c r="BL299" s="183">
        <f t="shared" si="64"/>
        <v>938191.25</v>
      </c>
      <c r="BM299" s="184">
        <f t="shared" si="65"/>
        <v>714468.34</v>
      </c>
      <c r="BN299" s="184">
        <f>ROUNDDOWN(BM299*'1. UC Assumptions'!$C$23,2)</f>
        <v>235774.55</v>
      </c>
      <c r="BO299" s="184"/>
      <c r="BP299" s="185"/>
      <c r="BQ299" s="32"/>
      <c r="BR299" s="32"/>
    </row>
    <row r="300" spans="1:70">
      <c r="A300" s="177" t="s">
        <v>1732</v>
      </c>
      <c r="B300" s="177" t="s">
        <v>956</v>
      </c>
      <c r="C300" s="178" t="s">
        <v>956</v>
      </c>
      <c r="D300" s="179" t="s">
        <v>208</v>
      </c>
      <c r="E300" s="179" t="s">
        <v>149</v>
      </c>
      <c r="F300" s="177"/>
      <c r="G300" s="177" t="s">
        <v>1733</v>
      </c>
      <c r="H300" s="178" t="s">
        <v>12</v>
      </c>
      <c r="I300" s="178" t="s">
        <v>958</v>
      </c>
      <c r="J300" s="131">
        <f>IFERROR(INDEX(#REF!,(MATCH('Old Calc Tab'!C:C,#REF!,0))),0)</f>
        <v>0</v>
      </c>
      <c r="K300" s="131">
        <f>IFERROR(INDEX(#REF!,(MATCH('Old Calc Tab'!$C:$C,#REF!,0))),0)</f>
        <v>0</v>
      </c>
      <c r="L300" s="131"/>
      <c r="M300" s="131">
        <v>159963.48115628745</v>
      </c>
      <c r="N300" s="131">
        <f>IFERROR(INDEX(#REF!,(MATCH('Old Calc Tab'!$C:$C,#REF!,0))),0)</f>
        <v>0</v>
      </c>
      <c r="O300" s="131">
        <f t="shared" si="54"/>
        <v>0</v>
      </c>
      <c r="P300" s="131">
        <f t="shared" si="55"/>
        <v>159963.48115628745</v>
      </c>
      <c r="Q300" s="131"/>
      <c r="R300" s="131"/>
      <c r="S300" s="131"/>
      <c r="T300" s="131"/>
      <c r="U300" s="131"/>
      <c r="V300" s="131">
        <v>3848</v>
      </c>
      <c r="W300" s="180">
        <v>0</v>
      </c>
      <c r="X300" s="180">
        <f t="shared" si="66"/>
        <v>163811.48115628745</v>
      </c>
      <c r="Y300" s="181">
        <f>IF(D300="Physician Group Practice",(X300/$AE$369)*'1. UC Assumptions'!$C$15,IF(OR(E300="Rural Hospital",E300="Hosp - State"),X300,(X300/$X$369)*'1. UC Assumptions'!$C$9))</f>
        <v>163811.48115628745</v>
      </c>
      <c r="Z300" s="181">
        <f t="shared" si="56"/>
        <v>0</v>
      </c>
      <c r="AA300" s="181">
        <f t="shared" si="57"/>
        <v>0</v>
      </c>
      <c r="AB300" s="182">
        <f t="shared" si="58"/>
        <v>0</v>
      </c>
      <c r="AC300" s="181">
        <f t="shared" si="59"/>
        <v>0</v>
      </c>
      <c r="AD300" s="181">
        <f t="shared" si="60"/>
        <v>163811.48115628745</v>
      </c>
      <c r="AE300" s="131">
        <v>147968.26</v>
      </c>
      <c r="AF300" s="131">
        <f>AE300*'1. UC Assumptions'!$C$23</f>
        <v>48829.525799999996</v>
      </c>
      <c r="AG300" s="183">
        <f>IF((((X300-W300-AE300)*'1. UC Assumptions'!$C$23)+AF300)&gt;0,((X300-W300-AE300)*'1. UC Assumptions'!$C$23)+AF300,0)</f>
        <v>54057.788781574855</v>
      </c>
      <c r="AH300" s="183"/>
      <c r="AI300" s="183">
        <f t="shared" si="61"/>
        <v>48829.525799999996</v>
      </c>
      <c r="AJ300" s="183">
        <f>IF(H300="Bexar",(AD300/$AJ$1)*'1. UC Assumptions'!$E$42,0)</f>
        <v>0</v>
      </c>
      <c r="AK300" s="183">
        <f>IF(H300="Dallas",(AD300/$AK$1)*'1. UC Assumptions'!$F$42,0)</f>
        <v>0</v>
      </c>
      <c r="AL300" s="183">
        <f>IF(H300="El Paso",(AD300/$AL$1)*'1. UC Assumptions'!$G$42,0)</f>
        <v>0</v>
      </c>
      <c r="AM300" s="183">
        <f>IF(H300="Harris",(AD300/$AM$1)*'1. UC Assumptions'!$H$42,0)</f>
        <v>0</v>
      </c>
      <c r="AN300" s="183">
        <f>IF(H300="Hidalgo",(AD300/$AN$1)*'1. UC Assumptions'!$I$42,0)</f>
        <v>0</v>
      </c>
      <c r="AO300" s="183">
        <f>IF(H300="Jefferson",(AD300/$AO$1)*'1. UC Assumptions'!$J$42,0)</f>
        <v>0</v>
      </c>
      <c r="AP300" s="183">
        <f>IF(H300="Lubbock",(AD300/$AP$1)*'1. UC Assumptions'!$K$42,0)</f>
        <v>0</v>
      </c>
      <c r="AQ300" s="183">
        <f>IF(H300="MRSA Central",(AD300/$AQ$1)*'1. UC Assumptions'!$L$42,0)</f>
        <v>0</v>
      </c>
      <c r="AR300" s="183">
        <f>IF(H300="MRSA Northeast",(AD300/$AR$1)*'1. UC Assumptions'!$M$42,0)</f>
        <v>0</v>
      </c>
      <c r="AS300" s="183">
        <f>IF(H300="MRSA West",(AD300/$AS$1)*'1. UC Assumptions'!$N$42,0)</f>
        <v>0</v>
      </c>
      <c r="AT300" s="183">
        <f>IF(H300="Nueces",(AD300/$AT$1)*'1. UC Assumptions'!$O$42,0)</f>
        <v>0</v>
      </c>
      <c r="AU300" s="183">
        <f>IF(H300="Tarrant",(AD300/$AU$1)*'1. UC Assumptions'!$P$42,0)</f>
        <v>0</v>
      </c>
      <c r="AV300" s="183">
        <f>IF(H300="Travis",(AD300/$AV$1)*'1. UC Assumptions'!$Q$42,0)</f>
        <v>0</v>
      </c>
      <c r="AW300" s="183">
        <f>IF(H300="Bexar",(AC300/$AW$1)*'1. UC Assumptions'!$E$44,0)</f>
        <v>0</v>
      </c>
      <c r="AX300" s="183">
        <f>IF(H300="Dallas",(AC300/$AX$1)*'1. UC Assumptions'!$F$44,0)</f>
        <v>0</v>
      </c>
      <c r="AY300" s="183">
        <f>IF(H300="El Paso",(AC300/$AY$1)*'1. UC Assumptions'!$G$44,0)</f>
        <v>0</v>
      </c>
      <c r="AZ300" s="183">
        <f>IF(H300="Harris",(AC300/$AZ$1)*'1. UC Assumptions'!$H$44,0)</f>
        <v>0</v>
      </c>
      <c r="BA300" s="183">
        <f>IF(H300="Hidalgo",(AC300/$BA$1)*'1. UC Assumptions'!$I$44,0)</f>
        <v>0</v>
      </c>
      <c r="BB300" s="183">
        <f>IF(H300="Jefferson",(AC300/$BB$1)*'1. UC Assumptions'!$J$44,0)</f>
        <v>0</v>
      </c>
      <c r="BC300" s="183">
        <f>IF(H300="Lubbock",(AC300/$BC$1)*'1. UC Assumptions'!$K$44,0)</f>
        <v>0</v>
      </c>
      <c r="BD300" s="183">
        <f>IF(H300="MRSA Central",(AC300/$BD$1)*'1. UC Assumptions'!$L$44,0)</f>
        <v>0</v>
      </c>
      <c r="BE300" s="183">
        <f>IF(H300="MRSA Northeast",(AC300/$BE$1)*'1. UC Assumptions'!$M$44,0)</f>
        <v>0</v>
      </c>
      <c r="BF300" s="183">
        <f>IF(H300="MRSA West",(AC300/$BF$1)*'1. UC Assumptions'!$N$44,0)</f>
        <v>0</v>
      </c>
      <c r="BG300" s="183">
        <f>IF(H300="Nueces",(AC300/$BG$1)*'1. UC Assumptions'!$O$44,0)</f>
        <v>0</v>
      </c>
      <c r="BH300" s="183">
        <f>IF(H300="Tarrant",(AC300/$BH$1)*'1. UC Assumptions'!$P$44,0)</f>
        <v>0</v>
      </c>
      <c r="BI300" s="183">
        <f>IF(H300="Travis",(AC300/$BI$1)*'1. UC Assumptions'!$Q$44,0)</f>
        <v>0</v>
      </c>
      <c r="BJ300" s="183">
        <f t="shared" si="62"/>
        <v>0</v>
      </c>
      <c r="BK300" s="183">
        <f t="shared" si="63"/>
        <v>0</v>
      </c>
      <c r="BL300" s="183">
        <f t="shared" si="64"/>
        <v>163811.48115628745</v>
      </c>
      <c r="BM300" s="184">
        <f t="shared" si="65"/>
        <v>15843.221156287444</v>
      </c>
      <c r="BN300" s="184">
        <f>ROUNDDOWN(BM300*'1. UC Assumptions'!$C$23,2)</f>
        <v>5228.26</v>
      </c>
      <c r="BO300" s="184"/>
      <c r="BP300" s="185"/>
      <c r="BQ300" s="32"/>
      <c r="BR300" s="32"/>
    </row>
    <row r="301" spans="1:70">
      <c r="A301" s="177" t="s">
        <v>1734</v>
      </c>
      <c r="B301" s="177" t="s">
        <v>961</v>
      </c>
      <c r="C301" s="178" t="s">
        <v>961</v>
      </c>
      <c r="D301" s="179" t="s">
        <v>214</v>
      </c>
      <c r="E301" s="179" t="s">
        <v>149</v>
      </c>
      <c r="F301" s="177"/>
      <c r="G301" s="177" t="s">
        <v>1735</v>
      </c>
      <c r="H301" s="178" t="s">
        <v>12</v>
      </c>
      <c r="I301" s="178" t="s">
        <v>1736</v>
      </c>
      <c r="J301" s="131">
        <f>IFERROR(INDEX(#REF!,(MATCH('Old Calc Tab'!C:C,#REF!,0))),0)</f>
        <v>0</v>
      </c>
      <c r="K301" s="131">
        <f>IFERROR(INDEX(#REF!,(MATCH('Old Calc Tab'!$C:$C,#REF!,0))),0)</f>
        <v>0</v>
      </c>
      <c r="L301" s="131"/>
      <c r="M301" s="131">
        <v>0</v>
      </c>
      <c r="N301" s="131">
        <f>IFERROR(INDEX(#REF!,(MATCH('Old Calc Tab'!$C:$C,#REF!,0))),0)</f>
        <v>0</v>
      </c>
      <c r="O301" s="131">
        <f t="shared" si="54"/>
        <v>0</v>
      </c>
      <c r="P301" s="131">
        <f t="shared" si="55"/>
        <v>0</v>
      </c>
      <c r="Q301" s="131"/>
      <c r="R301" s="131"/>
      <c r="S301" s="131"/>
      <c r="T301" s="131"/>
      <c r="U301" s="131"/>
      <c r="V301" s="131">
        <v>0</v>
      </c>
      <c r="W301" s="180">
        <v>0</v>
      </c>
      <c r="X301" s="180">
        <f t="shared" si="66"/>
        <v>0</v>
      </c>
      <c r="Y301" s="181">
        <f>IF(D301="Physician Group Practice",(X301/$AE$369)*'1. UC Assumptions'!$C$15,IF(OR(E301="Rural Hospital",E301="Hosp - State"),X301,(X301/$X$369)*'1. UC Assumptions'!$C$9))</f>
        <v>0</v>
      </c>
      <c r="Z301" s="181">
        <f t="shared" si="56"/>
        <v>0</v>
      </c>
      <c r="AA301" s="181">
        <f t="shared" si="57"/>
        <v>0</v>
      </c>
      <c r="AB301" s="182">
        <f t="shared" si="58"/>
        <v>0</v>
      </c>
      <c r="AC301" s="181">
        <f t="shared" si="59"/>
        <v>0</v>
      </c>
      <c r="AD301" s="181">
        <f t="shared" si="60"/>
        <v>0</v>
      </c>
      <c r="AE301" s="131">
        <v>470996.39</v>
      </c>
      <c r="AF301" s="131">
        <f>AE301*'1. UC Assumptions'!$C$23</f>
        <v>155428.80869999999</v>
      </c>
      <c r="AG301" s="183">
        <f>IF((((X301-W301-AE301)*'1. UC Assumptions'!$C$23)+AF301)&gt;0,((X301-W301-AE301)*'1. UC Assumptions'!$C$23)+AF301,0)</f>
        <v>0</v>
      </c>
      <c r="AH301" s="183"/>
      <c r="AI301" s="183">
        <f t="shared" si="61"/>
        <v>155428.80869999999</v>
      </c>
      <c r="AJ301" s="183">
        <f>IF(H301="Bexar",(AD301/$AJ$1)*'1. UC Assumptions'!$E$42,0)</f>
        <v>0</v>
      </c>
      <c r="AK301" s="183">
        <f>IF(H301="Dallas",(AD301/$AK$1)*'1. UC Assumptions'!$F$42,0)</f>
        <v>0</v>
      </c>
      <c r="AL301" s="183">
        <f>IF(H301="El Paso",(AD301/$AL$1)*'1. UC Assumptions'!$G$42,0)</f>
        <v>0</v>
      </c>
      <c r="AM301" s="183">
        <f>IF(H301="Harris",(AD301/$AM$1)*'1. UC Assumptions'!$H$42,0)</f>
        <v>0</v>
      </c>
      <c r="AN301" s="183">
        <f>IF(H301="Hidalgo",(AD301/$AN$1)*'1. UC Assumptions'!$I$42,0)</f>
        <v>0</v>
      </c>
      <c r="AO301" s="183">
        <f>IF(H301="Jefferson",(AD301/$AO$1)*'1. UC Assumptions'!$J$42,0)</f>
        <v>0</v>
      </c>
      <c r="AP301" s="183">
        <f>IF(H301="Lubbock",(AD301/$AP$1)*'1. UC Assumptions'!$K$42,0)</f>
        <v>0</v>
      </c>
      <c r="AQ301" s="183">
        <f>IF(H301="MRSA Central",(AD301/$AQ$1)*'1. UC Assumptions'!$L$42,0)</f>
        <v>0</v>
      </c>
      <c r="AR301" s="183">
        <f>IF(H301="MRSA Northeast",(AD301/$AR$1)*'1. UC Assumptions'!$M$42,0)</f>
        <v>0</v>
      </c>
      <c r="AS301" s="183">
        <f>IF(H301="MRSA West",(AD301/$AS$1)*'1. UC Assumptions'!$N$42,0)</f>
        <v>0</v>
      </c>
      <c r="AT301" s="183">
        <f>IF(H301="Nueces",(AD301/$AT$1)*'1. UC Assumptions'!$O$42,0)</f>
        <v>0</v>
      </c>
      <c r="AU301" s="183">
        <f>IF(H301="Tarrant",(AD301/$AU$1)*'1. UC Assumptions'!$P$42,0)</f>
        <v>0</v>
      </c>
      <c r="AV301" s="183">
        <f>IF(H301="Travis",(AD301/$AV$1)*'1. UC Assumptions'!$Q$42,0)</f>
        <v>0</v>
      </c>
      <c r="AW301" s="183">
        <f>IF(H301="Bexar",(AC301/$AW$1)*'1. UC Assumptions'!$E$44,0)</f>
        <v>0</v>
      </c>
      <c r="AX301" s="183">
        <f>IF(H301="Dallas",(AC301/$AX$1)*'1. UC Assumptions'!$F$44,0)</f>
        <v>0</v>
      </c>
      <c r="AY301" s="183">
        <f>IF(H301="El Paso",(AC301/$AY$1)*'1. UC Assumptions'!$G$44,0)</f>
        <v>0</v>
      </c>
      <c r="AZ301" s="183">
        <f>IF(H301="Harris",(AC301/$AZ$1)*'1. UC Assumptions'!$H$44,0)</f>
        <v>0</v>
      </c>
      <c r="BA301" s="183">
        <f>IF(H301="Hidalgo",(AC301/$BA$1)*'1. UC Assumptions'!$I$44,0)</f>
        <v>0</v>
      </c>
      <c r="BB301" s="183">
        <f>IF(H301="Jefferson",(AC301/$BB$1)*'1. UC Assumptions'!$J$44,0)</f>
        <v>0</v>
      </c>
      <c r="BC301" s="183">
        <f>IF(H301="Lubbock",(AC301/$BC$1)*'1. UC Assumptions'!$K$44,0)</f>
        <v>0</v>
      </c>
      <c r="BD301" s="183">
        <f>IF(H301="MRSA Central",(AC301/$BD$1)*'1. UC Assumptions'!$L$44,0)</f>
        <v>0</v>
      </c>
      <c r="BE301" s="183">
        <f>IF(H301="MRSA Northeast",(AC301/$BE$1)*'1. UC Assumptions'!$M$44,0)</f>
        <v>0</v>
      </c>
      <c r="BF301" s="183">
        <f>IF(H301="MRSA West",(AC301/$BF$1)*'1. UC Assumptions'!$N$44,0)</f>
        <v>0</v>
      </c>
      <c r="BG301" s="183">
        <f>IF(H301="Nueces",(AC301/$BG$1)*'1. UC Assumptions'!$O$44,0)</f>
        <v>0</v>
      </c>
      <c r="BH301" s="183">
        <f>IF(H301="Tarrant",(AC301/$BH$1)*'1. UC Assumptions'!$P$44,0)</f>
        <v>0</v>
      </c>
      <c r="BI301" s="183">
        <f>IF(H301="Travis",(AC301/$BI$1)*'1. UC Assumptions'!$Q$44,0)</f>
        <v>0</v>
      </c>
      <c r="BJ301" s="183">
        <f t="shared" si="62"/>
        <v>0</v>
      </c>
      <c r="BK301" s="183">
        <f t="shared" si="63"/>
        <v>0</v>
      </c>
      <c r="BL301" s="183">
        <f t="shared" si="64"/>
        <v>0</v>
      </c>
      <c r="BM301" s="184">
        <f t="shared" si="65"/>
        <v>-470996.39</v>
      </c>
      <c r="BN301" s="184">
        <f>ROUNDDOWN(BM301*'1. UC Assumptions'!$C$23,2)</f>
        <v>-155428.79999999999</v>
      </c>
      <c r="BO301" s="184"/>
      <c r="BP301" s="185"/>
      <c r="BQ301" s="32"/>
      <c r="BR301" s="32"/>
    </row>
    <row r="302" spans="1:70">
      <c r="A302" s="177" t="s">
        <v>1737</v>
      </c>
      <c r="B302" s="177" t="s">
        <v>979</v>
      </c>
      <c r="C302" s="178" t="s">
        <v>979</v>
      </c>
      <c r="D302" s="179" t="s">
        <v>208</v>
      </c>
      <c r="E302" s="179" t="s">
        <v>149</v>
      </c>
      <c r="F302" s="177"/>
      <c r="G302" s="177" t="s">
        <v>980</v>
      </c>
      <c r="H302" s="178" t="s">
        <v>12</v>
      </c>
      <c r="I302" s="178" t="s">
        <v>981</v>
      </c>
      <c r="J302" s="131">
        <f>IFERROR(INDEX(#REF!,(MATCH('Old Calc Tab'!C:C,#REF!,0))),0)</f>
        <v>0</v>
      </c>
      <c r="K302" s="131">
        <f>IFERROR(INDEX(#REF!,(MATCH('Old Calc Tab'!$C:$C,#REF!,0))),0)</f>
        <v>0</v>
      </c>
      <c r="L302" s="131"/>
      <c r="M302" s="131">
        <v>359071.28</v>
      </c>
      <c r="N302" s="131">
        <f>IFERROR(INDEX(#REF!,(MATCH('Old Calc Tab'!$C:$C,#REF!,0))),0)</f>
        <v>0</v>
      </c>
      <c r="O302" s="131">
        <f t="shared" si="54"/>
        <v>0</v>
      </c>
      <c r="P302" s="131">
        <f t="shared" si="55"/>
        <v>359071.28</v>
      </c>
      <c r="Q302" s="131"/>
      <c r="R302" s="131"/>
      <c r="S302" s="131"/>
      <c r="T302" s="131"/>
      <c r="U302" s="131"/>
      <c r="V302" s="131">
        <v>61732.34</v>
      </c>
      <c r="W302" s="180">
        <v>0</v>
      </c>
      <c r="X302" s="180">
        <f t="shared" ref="X302:X333" si="67">P302+V302+W302</f>
        <v>420803.62</v>
      </c>
      <c r="Y302" s="181">
        <f>IF(D302="Physician Group Practice",(X302/$AE$369)*'1. UC Assumptions'!$C$15,IF(OR(E302="Rural Hospital",E302="Hosp - State"),X302,(X302/$X$369)*'1. UC Assumptions'!$C$9))</f>
        <v>420803.62</v>
      </c>
      <c r="Z302" s="181">
        <f t="shared" si="56"/>
        <v>0</v>
      </c>
      <c r="AA302" s="181">
        <f t="shared" si="57"/>
        <v>0</v>
      </c>
      <c r="AB302" s="182">
        <f t="shared" si="58"/>
        <v>0</v>
      </c>
      <c r="AC302" s="181">
        <f t="shared" si="59"/>
        <v>0</v>
      </c>
      <c r="AD302" s="181">
        <f t="shared" si="60"/>
        <v>420803.62</v>
      </c>
      <c r="AE302" s="131">
        <v>390561.59</v>
      </c>
      <c r="AF302" s="131">
        <f>AE302*'1. UC Assumptions'!$C$23</f>
        <v>128885.3247</v>
      </c>
      <c r="AG302" s="183">
        <f>IF((((X302-W302-AE302)*'1. UC Assumptions'!$C$23)+AF302)&gt;0,((X302-W302-AE302)*'1. UC Assumptions'!$C$23)+AF302,0)</f>
        <v>138865.19459999999</v>
      </c>
      <c r="AH302" s="183"/>
      <c r="AI302" s="183">
        <f t="shared" si="61"/>
        <v>128885.3247</v>
      </c>
      <c r="AJ302" s="183">
        <f>IF(H302="Bexar",(AD302/$AJ$1)*'1. UC Assumptions'!$E$42,0)</f>
        <v>0</v>
      </c>
      <c r="AK302" s="183">
        <f>IF(H302="Dallas",(AD302/$AK$1)*'1. UC Assumptions'!$F$42,0)</f>
        <v>0</v>
      </c>
      <c r="AL302" s="183">
        <f>IF(H302="El Paso",(AD302/$AL$1)*'1. UC Assumptions'!$G$42,0)</f>
        <v>0</v>
      </c>
      <c r="AM302" s="183">
        <f>IF(H302="Harris",(AD302/$AM$1)*'1. UC Assumptions'!$H$42,0)</f>
        <v>0</v>
      </c>
      <c r="AN302" s="183">
        <f>IF(H302="Hidalgo",(AD302/$AN$1)*'1. UC Assumptions'!$I$42,0)</f>
        <v>0</v>
      </c>
      <c r="AO302" s="183">
        <f>IF(H302="Jefferson",(AD302/$AO$1)*'1. UC Assumptions'!$J$42,0)</f>
        <v>0</v>
      </c>
      <c r="AP302" s="183">
        <f>IF(H302="Lubbock",(AD302/$AP$1)*'1. UC Assumptions'!$K$42,0)</f>
        <v>0</v>
      </c>
      <c r="AQ302" s="183">
        <f>IF(H302="MRSA Central",(AD302/$AQ$1)*'1. UC Assumptions'!$L$42,0)</f>
        <v>0</v>
      </c>
      <c r="AR302" s="183">
        <f>IF(H302="MRSA Northeast",(AD302/$AR$1)*'1. UC Assumptions'!$M$42,0)</f>
        <v>0</v>
      </c>
      <c r="AS302" s="183">
        <f>IF(H302="MRSA West",(AD302/$AS$1)*'1. UC Assumptions'!$N$42,0)</f>
        <v>0</v>
      </c>
      <c r="AT302" s="183">
        <f>IF(H302="Nueces",(AD302/$AT$1)*'1. UC Assumptions'!$O$42,0)</f>
        <v>0</v>
      </c>
      <c r="AU302" s="183">
        <f>IF(H302="Tarrant",(AD302/$AU$1)*'1. UC Assumptions'!$P$42,0)</f>
        <v>0</v>
      </c>
      <c r="AV302" s="183">
        <f>IF(H302="Travis",(AD302/$AV$1)*'1. UC Assumptions'!$Q$42,0)</f>
        <v>0</v>
      </c>
      <c r="AW302" s="183">
        <f>IF(H302="Bexar",(AC302/$AW$1)*'1. UC Assumptions'!$E$44,0)</f>
        <v>0</v>
      </c>
      <c r="AX302" s="183">
        <f>IF(H302="Dallas",(AC302/$AX$1)*'1. UC Assumptions'!$F$44,0)</f>
        <v>0</v>
      </c>
      <c r="AY302" s="183">
        <f>IF(H302="El Paso",(AC302/$AY$1)*'1. UC Assumptions'!$G$44,0)</f>
        <v>0</v>
      </c>
      <c r="AZ302" s="183">
        <f>IF(H302="Harris",(AC302/$AZ$1)*'1. UC Assumptions'!$H$44,0)</f>
        <v>0</v>
      </c>
      <c r="BA302" s="183">
        <f>IF(H302="Hidalgo",(AC302/$BA$1)*'1. UC Assumptions'!$I$44,0)</f>
        <v>0</v>
      </c>
      <c r="BB302" s="183">
        <f>IF(H302="Jefferson",(AC302/$BB$1)*'1. UC Assumptions'!$J$44,0)</f>
        <v>0</v>
      </c>
      <c r="BC302" s="183">
        <f>IF(H302="Lubbock",(AC302/$BC$1)*'1. UC Assumptions'!$K$44,0)</f>
        <v>0</v>
      </c>
      <c r="BD302" s="183">
        <f>IF(H302="MRSA Central",(AC302/$BD$1)*'1. UC Assumptions'!$L$44,0)</f>
        <v>0</v>
      </c>
      <c r="BE302" s="183">
        <f>IF(H302="MRSA Northeast",(AC302/$BE$1)*'1. UC Assumptions'!$M$44,0)</f>
        <v>0</v>
      </c>
      <c r="BF302" s="183">
        <f>IF(H302="MRSA West",(AC302/$BF$1)*'1. UC Assumptions'!$N$44,0)</f>
        <v>0</v>
      </c>
      <c r="BG302" s="183">
        <f>IF(H302="Nueces",(AC302/$BG$1)*'1. UC Assumptions'!$O$44,0)</f>
        <v>0</v>
      </c>
      <c r="BH302" s="183">
        <f>IF(H302="Tarrant",(AC302/$BH$1)*'1. UC Assumptions'!$P$44,0)</f>
        <v>0</v>
      </c>
      <c r="BI302" s="183">
        <f>IF(H302="Travis",(AC302/$BI$1)*'1. UC Assumptions'!$Q$44,0)</f>
        <v>0</v>
      </c>
      <c r="BJ302" s="183">
        <f t="shared" si="62"/>
        <v>0</v>
      </c>
      <c r="BK302" s="183">
        <f t="shared" si="63"/>
        <v>0</v>
      </c>
      <c r="BL302" s="183">
        <f t="shared" si="64"/>
        <v>420803.62</v>
      </c>
      <c r="BM302" s="184">
        <f t="shared" si="65"/>
        <v>30242.02999999997</v>
      </c>
      <c r="BN302" s="184">
        <f>ROUNDDOWN(BM302*'1. UC Assumptions'!$C$23,2)</f>
        <v>9979.86</v>
      </c>
      <c r="BO302" s="184"/>
      <c r="BP302" s="185"/>
      <c r="BQ302" s="32"/>
      <c r="BR302" s="32"/>
    </row>
    <row r="303" spans="1:70">
      <c r="A303" s="177" t="s">
        <v>1738</v>
      </c>
      <c r="B303" s="177" t="s">
        <v>989</v>
      </c>
      <c r="C303" s="178" t="s">
        <v>989</v>
      </c>
      <c r="D303" s="179" t="s">
        <v>208</v>
      </c>
      <c r="E303" s="179" t="s">
        <v>149</v>
      </c>
      <c r="F303" s="177"/>
      <c r="G303" s="177" t="s">
        <v>990</v>
      </c>
      <c r="H303" s="178" t="s">
        <v>12</v>
      </c>
      <c r="I303" s="178" t="s">
        <v>407</v>
      </c>
      <c r="J303" s="131">
        <f>IFERROR(INDEX(#REF!,(MATCH('Old Calc Tab'!C:C,#REF!,0))),0)</f>
        <v>0</v>
      </c>
      <c r="K303" s="131">
        <f>IFERROR(INDEX(#REF!,(MATCH('Old Calc Tab'!$C:$C,#REF!,0))),0)</f>
        <v>0</v>
      </c>
      <c r="L303" s="131"/>
      <c r="M303" s="131">
        <v>752363.8</v>
      </c>
      <c r="N303" s="131">
        <f>IFERROR(INDEX(#REF!,(MATCH('Old Calc Tab'!$C:$C,#REF!,0))),0)</f>
        <v>0</v>
      </c>
      <c r="O303" s="131">
        <f t="shared" si="54"/>
        <v>0</v>
      </c>
      <c r="P303" s="131">
        <f t="shared" si="55"/>
        <v>752363.8</v>
      </c>
      <c r="Q303" s="131"/>
      <c r="R303" s="131"/>
      <c r="S303" s="131"/>
      <c r="T303" s="131"/>
      <c r="U303" s="131"/>
      <c r="V303" s="131">
        <v>0</v>
      </c>
      <c r="W303" s="180">
        <v>0</v>
      </c>
      <c r="X303" s="180">
        <f t="shared" si="67"/>
        <v>752363.8</v>
      </c>
      <c r="Y303" s="181">
        <f>IF(D303="Physician Group Practice",(X303/$AE$369)*'1. UC Assumptions'!$C$15,IF(OR(E303="Rural Hospital",E303="Hosp - State"),X303,(X303/$X$369)*'1. UC Assumptions'!$C$9))</f>
        <v>752363.8</v>
      </c>
      <c r="Z303" s="181">
        <f t="shared" si="56"/>
        <v>0</v>
      </c>
      <c r="AA303" s="181">
        <f t="shared" si="57"/>
        <v>0</v>
      </c>
      <c r="AB303" s="182">
        <f t="shared" si="58"/>
        <v>0</v>
      </c>
      <c r="AC303" s="181">
        <f t="shared" si="59"/>
        <v>0</v>
      </c>
      <c r="AD303" s="181">
        <f t="shared" si="60"/>
        <v>752363.8</v>
      </c>
      <c r="AE303" s="131">
        <v>423224.4</v>
      </c>
      <c r="AF303" s="131">
        <f>AE303*'1. UC Assumptions'!$C$23</f>
        <v>139664.052</v>
      </c>
      <c r="AG303" s="183">
        <f>IF((((X303-W303-AE303)*'1. UC Assumptions'!$C$23)+AF303)&gt;0,((X303-W303-AE303)*'1. UC Assumptions'!$C$23)+AF303,0)</f>
        <v>248280.054</v>
      </c>
      <c r="AH303" s="183"/>
      <c r="AI303" s="183">
        <f t="shared" si="61"/>
        <v>139664.052</v>
      </c>
      <c r="AJ303" s="183">
        <f>IF(H303="Bexar",(AD303/$AJ$1)*'1. UC Assumptions'!$E$42,0)</f>
        <v>0</v>
      </c>
      <c r="AK303" s="183">
        <f>IF(H303="Dallas",(AD303/$AK$1)*'1. UC Assumptions'!$F$42,0)</f>
        <v>0</v>
      </c>
      <c r="AL303" s="183">
        <f>IF(H303="El Paso",(AD303/$AL$1)*'1. UC Assumptions'!$G$42,0)</f>
        <v>0</v>
      </c>
      <c r="AM303" s="183">
        <f>IF(H303="Harris",(AD303/$AM$1)*'1. UC Assumptions'!$H$42,0)</f>
        <v>0</v>
      </c>
      <c r="AN303" s="183">
        <f>IF(H303="Hidalgo",(AD303/$AN$1)*'1. UC Assumptions'!$I$42,0)</f>
        <v>0</v>
      </c>
      <c r="AO303" s="183">
        <f>IF(H303="Jefferson",(AD303/$AO$1)*'1. UC Assumptions'!$J$42,0)</f>
        <v>0</v>
      </c>
      <c r="AP303" s="183">
        <f>IF(H303="Lubbock",(AD303/$AP$1)*'1. UC Assumptions'!$K$42,0)</f>
        <v>0</v>
      </c>
      <c r="AQ303" s="183">
        <f>IF(H303="MRSA Central",(AD303/$AQ$1)*'1. UC Assumptions'!$L$42,0)</f>
        <v>0</v>
      </c>
      <c r="AR303" s="183">
        <f>IF(H303="MRSA Northeast",(AD303/$AR$1)*'1. UC Assumptions'!$M$42,0)</f>
        <v>0</v>
      </c>
      <c r="AS303" s="183">
        <f>IF(H303="MRSA West",(AD303/$AS$1)*'1. UC Assumptions'!$N$42,0)</f>
        <v>0</v>
      </c>
      <c r="AT303" s="183">
        <f>IF(H303="Nueces",(AD303/$AT$1)*'1. UC Assumptions'!$O$42,0)</f>
        <v>0</v>
      </c>
      <c r="AU303" s="183">
        <f>IF(H303="Tarrant",(AD303/$AU$1)*'1. UC Assumptions'!$P$42,0)</f>
        <v>0</v>
      </c>
      <c r="AV303" s="183">
        <f>IF(H303="Travis",(AD303/$AV$1)*'1. UC Assumptions'!$Q$42,0)</f>
        <v>0</v>
      </c>
      <c r="AW303" s="183">
        <f>IF(H303="Bexar",(AC303/$AW$1)*'1. UC Assumptions'!$E$44,0)</f>
        <v>0</v>
      </c>
      <c r="AX303" s="183">
        <f>IF(H303="Dallas",(AC303/$AX$1)*'1. UC Assumptions'!$F$44,0)</f>
        <v>0</v>
      </c>
      <c r="AY303" s="183">
        <f>IF(H303="El Paso",(AC303/$AY$1)*'1. UC Assumptions'!$G$44,0)</f>
        <v>0</v>
      </c>
      <c r="AZ303" s="183">
        <f>IF(H303="Harris",(AC303/$AZ$1)*'1. UC Assumptions'!$H$44,0)</f>
        <v>0</v>
      </c>
      <c r="BA303" s="183">
        <f>IF(H303="Hidalgo",(AC303/$BA$1)*'1. UC Assumptions'!$I$44,0)</f>
        <v>0</v>
      </c>
      <c r="BB303" s="183">
        <f>IF(H303="Jefferson",(AC303/$BB$1)*'1. UC Assumptions'!$J$44,0)</f>
        <v>0</v>
      </c>
      <c r="BC303" s="183">
        <f>IF(H303="Lubbock",(AC303/$BC$1)*'1. UC Assumptions'!$K$44,0)</f>
        <v>0</v>
      </c>
      <c r="BD303" s="183">
        <f>IF(H303="MRSA Central",(AC303/$BD$1)*'1. UC Assumptions'!$L$44,0)</f>
        <v>0</v>
      </c>
      <c r="BE303" s="183">
        <f>IF(H303="MRSA Northeast",(AC303/$BE$1)*'1. UC Assumptions'!$M$44,0)</f>
        <v>0</v>
      </c>
      <c r="BF303" s="183">
        <f>IF(H303="MRSA West",(AC303/$BF$1)*'1. UC Assumptions'!$N$44,0)</f>
        <v>0</v>
      </c>
      <c r="BG303" s="183">
        <f>IF(H303="Nueces",(AC303/$BG$1)*'1. UC Assumptions'!$O$44,0)</f>
        <v>0</v>
      </c>
      <c r="BH303" s="183">
        <f>IF(H303="Tarrant",(AC303/$BH$1)*'1. UC Assumptions'!$P$44,0)</f>
        <v>0</v>
      </c>
      <c r="BI303" s="183">
        <f>IF(H303="Travis",(AC303/$BI$1)*'1. UC Assumptions'!$Q$44,0)</f>
        <v>0</v>
      </c>
      <c r="BJ303" s="183">
        <f t="shared" si="62"/>
        <v>0</v>
      </c>
      <c r="BK303" s="183">
        <f t="shared" si="63"/>
        <v>0</v>
      </c>
      <c r="BL303" s="183">
        <f t="shared" si="64"/>
        <v>752363.8</v>
      </c>
      <c r="BM303" s="184">
        <f t="shared" si="65"/>
        <v>329139.40000000002</v>
      </c>
      <c r="BN303" s="184">
        <f>ROUNDDOWN(BM303*'1. UC Assumptions'!$C$23,2)</f>
        <v>108616</v>
      </c>
      <c r="BO303" s="184"/>
      <c r="BP303" s="185"/>
      <c r="BQ303" s="32"/>
      <c r="BR303" s="32"/>
    </row>
    <row r="304" spans="1:70">
      <c r="A304" s="177" t="s">
        <v>1739</v>
      </c>
      <c r="B304" s="177" t="s">
        <v>997</v>
      </c>
      <c r="C304" s="178" t="s">
        <v>997</v>
      </c>
      <c r="D304" s="179" t="s">
        <v>208</v>
      </c>
      <c r="E304" s="179" t="s">
        <v>149</v>
      </c>
      <c r="F304" s="177"/>
      <c r="G304" s="177" t="s">
        <v>1740</v>
      </c>
      <c r="H304" s="178" t="s">
        <v>12</v>
      </c>
      <c r="I304" s="178" t="s">
        <v>999</v>
      </c>
      <c r="J304" s="131">
        <f>IFERROR(INDEX(#REF!,(MATCH('Old Calc Tab'!C:C,#REF!,0))),0)</f>
        <v>0</v>
      </c>
      <c r="K304" s="131">
        <f>IFERROR(INDEX(#REF!,(MATCH('Old Calc Tab'!$C:$C,#REF!,0))),0)</f>
        <v>0</v>
      </c>
      <c r="L304" s="131"/>
      <c r="M304" s="131">
        <v>12715.77380887558</v>
      </c>
      <c r="N304" s="131">
        <f>IFERROR(INDEX(#REF!,(MATCH('Old Calc Tab'!$C:$C,#REF!,0))),0)</f>
        <v>0</v>
      </c>
      <c r="O304" s="131">
        <f t="shared" si="54"/>
        <v>0</v>
      </c>
      <c r="P304" s="131">
        <f t="shared" si="55"/>
        <v>12715.77380887558</v>
      </c>
      <c r="Q304" s="131"/>
      <c r="R304" s="131"/>
      <c r="S304" s="131"/>
      <c r="T304" s="131"/>
      <c r="U304" s="131"/>
      <c r="V304" s="131">
        <v>4804</v>
      </c>
      <c r="W304" s="180">
        <v>0</v>
      </c>
      <c r="X304" s="180">
        <f t="shared" si="67"/>
        <v>17519.77380887558</v>
      </c>
      <c r="Y304" s="181">
        <f>IF(D304="Physician Group Practice",(X304/$AE$369)*'1. UC Assumptions'!$C$15,IF(OR(E304="Rural Hospital",E304="Hosp - State"),X304,(X304/$X$369)*'1. UC Assumptions'!$C$9))</f>
        <v>17519.77380887558</v>
      </c>
      <c r="Z304" s="181">
        <f t="shared" si="56"/>
        <v>0</v>
      </c>
      <c r="AA304" s="181">
        <f t="shared" si="57"/>
        <v>0</v>
      </c>
      <c r="AB304" s="182">
        <f t="shared" si="58"/>
        <v>0</v>
      </c>
      <c r="AC304" s="181">
        <f t="shared" si="59"/>
        <v>0</v>
      </c>
      <c r="AD304" s="181">
        <f t="shared" si="60"/>
        <v>17519.77380887558</v>
      </c>
      <c r="AE304" s="131">
        <v>329692.03999999998</v>
      </c>
      <c r="AF304" s="131">
        <f>AE304*'1. UC Assumptions'!$C$23</f>
        <v>108798.37319999997</v>
      </c>
      <c r="AG304" s="183">
        <f>IF((((X304-W304-AE304)*'1. UC Assumptions'!$C$23)+AF304)&gt;0,((X304-W304-AE304)*'1. UC Assumptions'!$C$23)+AF304,0)</f>
        <v>5781.5253569289343</v>
      </c>
      <c r="AH304" s="183"/>
      <c r="AI304" s="183">
        <f t="shared" si="61"/>
        <v>108798.37319999997</v>
      </c>
      <c r="AJ304" s="183">
        <f>IF(H304="Bexar",(AD304/$AJ$1)*'1. UC Assumptions'!$E$42,0)</f>
        <v>0</v>
      </c>
      <c r="AK304" s="183">
        <f>IF(H304="Dallas",(AD304/$AK$1)*'1. UC Assumptions'!$F$42,0)</f>
        <v>0</v>
      </c>
      <c r="AL304" s="183">
        <f>IF(H304="El Paso",(AD304/$AL$1)*'1. UC Assumptions'!$G$42,0)</f>
        <v>0</v>
      </c>
      <c r="AM304" s="183">
        <f>IF(H304="Harris",(AD304/$AM$1)*'1. UC Assumptions'!$H$42,0)</f>
        <v>0</v>
      </c>
      <c r="AN304" s="183">
        <f>IF(H304="Hidalgo",(AD304/$AN$1)*'1. UC Assumptions'!$I$42,0)</f>
        <v>0</v>
      </c>
      <c r="AO304" s="183">
        <f>IF(H304="Jefferson",(AD304/$AO$1)*'1. UC Assumptions'!$J$42,0)</f>
        <v>0</v>
      </c>
      <c r="AP304" s="183">
        <f>IF(H304="Lubbock",(AD304/$AP$1)*'1. UC Assumptions'!$K$42,0)</f>
        <v>0</v>
      </c>
      <c r="AQ304" s="183">
        <f>IF(H304="MRSA Central",(AD304/$AQ$1)*'1. UC Assumptions'!$L$42,0)</f>
        <v>0</v>
      </c>
      <c r="AR304" s="183">
        <f>IF(H304="MRSA Northeast",(AD304/$AR$1)*'1. UC Assumptions'!$M$42,0)</f>
        <v>0</v>
      </c>
      <c r="AS304" s="183">
        <f>IF(H304="MRSA West",(AD304/$AS$1)*'1. UC Assumptions'!$N$42,0)</f>
        <v>0</v>
      </c>
      <c r="AT304" s="183">
        <f>IF(H304="Nueces",(AD304/$AT$1)*'1. UC Assumptions'!$O$42,0)</f>
        <v>0</v>
      </c>
      <c r="AU304" s="183">
        <f>IF(H304="Tarrant",(AD304/$AU$1)*'1. UC Assumptions'!$P$42,0)</f>
        <v>0</v>
      </c>
      <c r="AV304" s="183">
        <f>IF(H304="Travis",(AD304/$AV$1)*'1. UC Assumptions'!$Q$42,0)</f>
        <v>0</v>
      </c>
      <c r="AW304" s="183">
        <f>IF(H304="Bexar",(AC304/$AW$1)*'1. UC Assumptions'!$E$44,0)</f>
        <v>0</v>
      </c>
      <c r="AX304" s="183">
        <f>IF(H304="Dallas",(AC304/$AX$1)*'1. UC Assumptions'!$F$44,0)</f>
        <v>0</v>
      </c>
      <c r="AY304" s="183">
        <f>IF(H304="El Paso",(AC304/$AY$1)*'1. UC Assumptions'!$G$44,0)</f>
        <v>0</v>
      </c>
      <c r="AZ304" s="183">
        <f>IF(H304="Harris",(AC304/$AZ$1)*'1. UC Assumptions'!$H$44,0)</f>
        <v>0</v>
      </c>
      <c r="BA304" s="183">
        <f>IF(H304="Hidalgo",(AC304/$BA$1)*'1. UC Assumptions'!$I$44,0)</f>
        <v>0</v>
      </c>
      <c r="BB304" s="183">
        <f>IF(H304="Jefferson",(AC304/$BB$1)*'1. UC Assumptions'!$J$44,0)</f>
        <v>0</v>
      </c>
      <c r="BC304" s="183">
        <f>IF(H304="Lubbock",(AC304/$BC$1)*'1. UC Assumptions'!$K$44,0)</f>
        <v>0</v>
      </c>
      <c r="BD304" s="183">
        <f>IF(H304="MRSA Central",(AC304/$BD$1)*'1. UC Assumptions'!$L$44,0)</f>
        <v>0</v>
      </c>
      <c r="BE304" s="183">
        <f>IF(H304="MRSA Northeast",(AC304/$BE$1)*'1. UC Assumptions'!$M$44,0)</f>
        <v>0</v>
      </c>
      <c r="BF304" s="183">
        <f>IF(H304="MRSA West",(AC304/$BF$1)*'1. UC Assumptions'!$N$44,0)</f>
        <v>0</v>
      </c>
      <c r="BG304" s="183">
        <f>IF(H304="Nueces",(AC304/$BG$1)*'1. UC Assumptions'!$O$44,0)</f>
        <v>0</v>
      </c>
      <c r="BH304" s="183">
        <f>IF(H304="Tarrant",(AC304/$BH$1)*'1. UC Assumptions'!$P$44,0)</f>
        <v>0</v>
      </c>
      <c r="BI304" s="183">
        <f>IF(H304="Travis",(AC304/$BI$1)*'1. UC Assumptions'!$Q$44,0)</f>
        <v>0</v>
      </c>
      <c r="BJ304" s="183">
        <f t="shared" si="62"/>
        <v>0</v>
      </c>
      <c r="BK304" s="183">
        <f t="shared" si="63"/>
        <v>0</v>
      </c>
      <c r="BL304" s="183">
        <f t="shared" si="64"/>
        <v>17519.77380887558</v>
      </c>
      <c r="BM304" s="184">
        <f t="shared" si="65"/>
        <v>-312172.26619112439</v>
      </c>
      <c r="BN304" s="184">
        <f>ROUNDDOWN(BM304*'1. UC Assumptions'!$C$23,2)</f>
        <v>-103016.84</v>
      </c>
      <c r="BO304" s="184"/>
      <c r="BP304" s="185"/>
      <c r="BQ304" s="32"/>
      <c r="BR304" s="32"/>
    </row>
    <row r="305" spans="1:70">
      <c r="A305" s="177" t="s">
        <v>1741</v>
      </c>
      <c r="B305" s="178" t="s">
        <v>1010</v>
      </c>
      <c r="C305" s="178" t="s">
        <v>1010</v>
      </c>
      <c r="D305" s="179" t="s">
        <v>208</v>
      </c>
      <c r="E305" s="179" t="s">
        <v>149</v>
      </c>
      <c r="F305" s="177"/>
      <c r="G305" s="177" t="s">
        <v>1742</v>
      </c>
      <c r="H305" s="178" t="s">
        <v>12</v>
      </c>
      <c r="I305" s="178" t="s">
        <v>1012</v>
      </c>
      <c r="J305" s="131">
        <f>IFERROR(INDEX(#REF!,(MATCH('Old Calc Tab'!C:C,#REF!,0))),0)</f>
        <v>0</v>
      </c>
      <c r="K305" s="131">
        <f>IFERROR(INDEX(#REF!,(MATCH('Old Calc Tab'!$C:$C,#REF!,0))),0)</f>
        <v>0</v>
      </c>
      <c r="L305" s="131"/>
      <c r="M305" s="131">
        <v>100300.5</v>
      </c>
      <c r="N305" s="131">
        <f>IFERROR(INDEX(#REF!,(MATCH('Old Calc Tab'!$C:$C,#REF!,0))),0)</f>
        <v>0</v>
      </c>
      <c r="O305" s="131">
        <f t="shared" si="54"/>
        <v>0</v>
      </c>
      <c r="P305" s="131">
        <f t="shared" si="55"/>
        <v>100300.5</v>
      </c>
      <c r="Q305" s="131"/>
      <c r="R305" s="131"/>
      <c r="S305" s="131"/>
      <c r="T305" s="131"/>
      <c r="U305" s="131"/>
      <c r="V305" s="131">
        <v>0</v>
      </c>
      <c r="W305" s="180">
        <v>0</v>
      </c>
      <c r="X305" s="180">
        <f t="shared" si="67"/>
        <v>100300.5</v>
      </c>
      <c r="Y305" s="181">
        <f>IF(D305="Physician Group Practice",(X305/$AE$369)*'1. UC Assumptions'!$C$15,IF(OR(E305="Rural Hospital",E305="Hosp - State"),X305,(X305/$X$369)*'1. UC Assumptions'!$C$9))</f>
        <v>100300.5</v>
      </c>
      <c r="Z305" s="181">
        <f t="shared" si="56"/>
        <v>0</v>
      </c>
      <c r="AA305" s="181">
        <f t="shared" si="57"/>
        <v>0</v>
      </c>
      <c r="AB305" s="182">
        <f t="shared" si="58"/>
        <v>0</v>
      </c>
      <c r="AC305" s="181">
        <f t="shared" si="59"/>
        <v>0</v>
      </c>
      <c r="AD305" s="181">
        <f t="shared" si="60"/>
        <v>100300.5</v>
      </c>
      <c r="AE305" s="131">
        <v>362185.39</v>
      </c>
      <c r="AF305" s="131">
        <f>AE305*'1. UC Assumptions'!$C$23</f>
        <v>119521.17869999999</v>
      </c>
      <c r="AG305" s="183">
        <f>IF((((X305-W305-AE305)*'1. UC Assumptions'!$C$23)+AF305)&gt;0,((X305-W305-AE305)*'1. UC Assumptions'!$C$23)+AF305,0)</f>
        <v>33099.164999999994</v>
      </c>
      <c r="AH305" s="183"/>
      <c r="AI305" s="183">
        <f t="shared" si="61"/>
        <v>119521.17869999999</v>
      </c>
      <c r="AJ305" s="183">
        <f>IF(H305="Bexar",(AD305/$AJ$1)*'1. UC Assumptions'!$E$42,0)</f>
        <v>0</v>
      </c>
      <c r="AK305" s="183">
        <f>IF(H305="Dallas",(AD305/$AK$1)*'1. UC Assumptions'!$F$42,0)</f>
        <v>0</v>
      </c>
      <c r="AL305" s="183">
        <f>IF(H305="El Paso",(AD305/$AL$1)*'1. UC Assumptions'!$G$42,0)</f>
        <v>0</v>
      </c>
      <c r="AM305" s="183">
        <f>IF(H305="Harris",(AD305/$AM$1)*'1. UC Assumptions'!$H$42,0)</f>
        <v>0</v>
      </c>
      <c r="AN305" s="183">
        <f>IF(H305="Hidalgo",(AD305/$AN$1)*'1. UC Assumptions'!$I$42,0)</f>
        <v>0</v>
      </c>
      <c r="AO305" s="183">
        <f>IF(H305="Jefferson",(AD305/$AO$1)*'1. UC Assumptions'!$J$42,0)</f>
        <v>0</v>
      </c>
      <c r="AP305" s="183">
        <f>IF(H305="Lubbock",(AD305/$AP$1)*'1. UC Assumptions'!$K$42,0)</f>
        <v>0</v>
      </c>
      <c r="AQ305" s="183">
        <f>IF(H305="MRSA Central",(AD305/$AQ$1)*'1. UC Assumptions'!$L$42,0)</f>
        <v>0</v>
      </c>
      <c r="AR305" s="183">
        <f>IF(H305="MRSA Northeast",(AD305/$AR$1)*'1. UC Assumptions'!$M$42,0)</f>
        <v>0</v>
      </c>
      <c r="AS305" s="183">
        <f>IF(H305="MRSA West",(AD305/$AS$1)*'1. UC Assumptions'!$N$42,0)</f>
        <v>0</v>
      </c>
      <c r="AT305" s="183">
        <f>IF(H305="Nueces",(AD305/$AT$1)*'1. UC Assumptions'!$O$42,0)</f>
        <v>0</v>
      </c>
      <c r="AU305" s="183">
        <f>IF(H305="Tarrant",(AD305/$AU$1)*'1. UC Assumptions'!$P$42,0)</f>
        <v>0</v>
      </c>
      <c r="AV305" s="183">
        <f>IF(H305="Travis",(AD305/$AV$1)*'1. UC Assumptions'!$Q$42,0)</f>
        <v>0</v>
      </c>
      <c r="AW305" s="183">
        <f>IF(H305="Bexar",(AC305/$AW$1)*'1. UC Assumptions'!$E$44,0)</f>
        <v>0</v>
      </c>
      <c r="AX305" s="183">
        <f>IF(H305="Dallas",(AC305/$AX$1)*'1. UC Assumptions'!$F$44,0)</f>
        <v>0</v>
      </c>
      <c r="AY305" s="183">
        <f>IF(H305="El Paso",(AC305/$AY$1)*'1. UC Assumptions'!$G$44,0)</f>
        <v>0</v>
      </c>
      <c r="AZ305" s="183">
        <f>IF(H305="Harris",(AC305/$AZ$1)*'1. UC Assumptions'!$H$44,0)</f>
        <v>0</v>
      </c>
      <c r="BA305" s="183">
        <f>IF(H305="Hidalgo",(AC305/$BA$1)*'1. UC Assumptions'!$I$44,0)</f>
        <v>0</v>
      </c>
      <c r="BB305" s="183">
        <f>IF(H305="Jefferson",(AC305/$BB$1)*'1. UC Assumptions'!$J$44,0)</f>
        <v>0</v>
      </c>
      <c r="BC305" s="183">
        <f>IF(H305="Lubbock",(AC305/$BC$1)*'1. UC Assumptions'!$K$44,0)</f>
        <v>0</v>
      </c>
      <c r="BD305" s="183">
        <f>IF(H305="MRSA Central",(AC305/$BD$1)*'1. UC Assumptions'!$L$44,0)</f>
        <v>0</v>
      </c>
      <c r="BE305" s="183">
        <f>IF(H305="MRSA Northeast",(AC305/$BE$1)*'1. UC Assumptions'!$M$44,0)</f>
        <v>0</v>
      </c>
      <c r="BF305" s="183">
        <f>IF(H305="MRSA West",(AC305/$BF$1)*'1. UC Assumptions'!$N$44,0)</f>
        <v>0</v>
      </c>
      <c r="BG305" s="183">
        <f>IF(H305="Nueces",(AC305/$BG$1)*'1. UC Assumptions'!$O$44,0)</f>
        <v>0</v>
      </c>
      <c r="BH305" s="183">
        <f>IF(H305="Tarrant",(AC305/$BH$1)*'1. UC Assumptions'!$P$44,0)</f>
        <v>0</v>
      </c>
      <c r="BI305" s="183">
        <f>IF(H305="Travis",(AC305/$BI$1)*'1. UC Assumptions'!$Q$44,0)</f>
        <v>0</v>
      </c>
      <c r="BJ305" s="183">
        <f t="shared" si="62"/>
        <v>0</v>
      </c>
      <c r="BK305" s="183">
        <f t="shared" si="63"/>
        <v>0</v>
      </c>
      <c r="BL305" s="183">
        <f t="shared" si="64"/>
        <v>100300.5</v>
      </c>
      <c r="BM305" s="184">
        <f t="shared" si="65"/>
        <v>-261884.89</v>
      </c>
      <c r="BN305" s="184">
        <f>ROUNDDOWN(BM305*'1. UC Assumptions'!$C$23,2)</f>
        <v>-86422.01</v>
      </c>
      <c r="BO305" s="184"/>
      <c r="BP305" s="185"/>
      <c r="BQ305" s="32"/>
      <c r="BR305" s="32"/>
    </row>
    <row r="306" spans="1:70">
      <c r="A306" s="177" t="s">
        <v>1743</v>
      </c>
      <c r="B306" s="177" t="s">
        <v>213</v>
      </c>
      <c r="C306" s="178" t="s">
        <v>213</v>
      </c>
      <c r="D306" s="179" t="s">
        <v>214</v>
      </c>
      <c r="E306" s="179" t="s">
        <v>149</v>
      </c>
      <c r="F306" s="177"/>
      <c r="G306" s="177" t="s">
        <v>1744</v>
      </c>
      <c r="H306" s="178" t="s">
        <v>13</v>
      </c>
      <c r="I306" s="178" t="s">
        <v>216</v>
      </c>
      <c r="J306" s="131">
        <f>IFERROR(INDEX(#REF!,(MATCH('Old Calc Tab'!C:C,#REF!,0))),0)</f>
        <v>0</v>
      </c>
      <c r="K306" s="131">
        <f>IFERROR(INDEX(#REF!,(MATCH('Old Calc Tab'!$C:$C,#REF!,0))),0)</f>
        <v>0</v>
      </c>
      <c r="L306" s="131"/>
      <c r="M306" s="131">
        <v>2905483</v>
      </c>
      <c r="N306" s="131">
        <f>IFERROR(INDEX(#REF!,(MATCH('Old Calc Tab'!$C:$C,#REF!,0))),0)</f>
        <v>0</v>
      </c>
      <c r="O306" s="131">
        <f t="shared" si="54"/>
        <v>0</v>
      </c>
      <c r="P306" s="131">
        <f t="shared" si="55"/>
        <v>2905483</v>
      </c>
      <c r="Q306" s="131"/>
      <c r="R306" s="131"/>
      <c r="S306" s="131"/>
      <c r="T306" s="131"/>
      <c r="U306" s="131"/>
      <c r="V306" s="131">
        <v>85820</v>
      </c>
      <c r="W306" s="180">
        <v>0</v>
      </c>
      <c r="X306" s="180">
        <f t="shared" si="67"/>
        <v>2991303</v>
      </c>
      <c r="Y306" s="181">
        <f>IF(D306="Physician Group Practice",(X306/$AE$369)*'1. UC Assumptions'!$C$15,IF(OR(E306="Rural Hospital",E306="Hosp - State"),X306,(X306/$X$369)*'1. UC Assumptions'!$C$9))</f>
        <v>2991303</v>
      </c>
      <c r="Z306" s="181">
        <f t="shared" si="56"/>
        <v>0</v>
      </c>
      <c r="AA306" s="181">
        <f t="shared" si="57"/>
        <v>0</v>
      </c>
      <c r="AB306" s="182">
        <f t="shared" si="58"/>
        <v>0</v>
      </c>
      <c r="AC306" s="181">
        <f t="shared" si="59"/>
        <v>0</v>
      </c>
      <c r="AD306" s="181">
        <f t="shared" si="60"/>
        <v>2991303</v>
      </c>
      <c r="AE306" s="131">
        <v>1514387.93</v>
      </c>
      <c r="AF306" s="131">
        <f>AE306*'1. UC Assumptions'!$C$23</f>
        <v>499748.01689999993</v>
      </c>
      <c r="AG306" s="183">
        <f>IF((((X306-W306-AE306)*'1. UC Assumptions'!$C$23)+AF306)&gt;0,((X306-W306-AE306)*'1. UC Assumptions'!$C$23)+AF306,0)</f>
        <v>987129.98999999987</v>
      </c>
      <c r="AH306" s="183"/>
      <c r="AI306" s="183">
        <f t="shared" si="61"/>
        <v>499748.01689999993</v>
      </c>
      <c r="AJ306" s="183">
        <f>IF(H306="Bexar",(AD306/$AJ$1)*'1. UC Assumptions'!$E$42,0)</f>
        <v>0</v>
      </c>
      <c r="AK306" s="183">
        <f>IF(H306="Dallas",(AD306/$AK$1)*'1. UC Assumptions'!$F$42,0)</f>
        <v>0</v>
      </c>
      <c r="AL306" s="183">
        <f>IF(H306="El Paso",(AD306/$AL$1)*'1. UC Assumptions'!$G$42,0)</f>
        <v>0</v>
      </c>
      <c r="AM306" s="183">
        <f>IF(H306="Harris",(AD306/$AM$1)*'1. UC Assumptions'!$H$42,0)</f>
        <v>0</v>
      </c>
      <c r="AN306" s="183">
        <f>IF(H306="Hidalgo",(AD306/$AN$1)*'1. UC Assumptions'!$I$42,0)</f>
        <v>0</v>
      </c>
      <c r="AO306" s="183">
        <f>IF(H306="Jefferson",(AD306/$AO$1)*'1. UC Assumptions'!$J$42,0)</f>
        <v>0</v>
      </c>
      <c r="AP306" s="183">
        <f>IF(H306="Lubbock",(AD306/$AP$1)*'1. UC Assumptions'!$K$42,0)</f>
        <v>0</v>
      </c>
      <c r="AQ306" s="183">
        <f>IF(H306="MRSA Central",(AD306/$AQ$1)*'1. UC Assumptions'!$L$42,0)</f>
        <v>0</v>
      </c>
      <c r="AR306" s="183">
        <f>IF(H306="MRSA Northeast",(AD306/$AR$1)*'1. UC Assumptions'!$M$42,0)</f>
        <v>0</v>
      </c>
      <c r="AS306" s="183">
        <f>IF(H306="MRSA West",(AD306/$AS$1)*'1. UC Assumptions'!$N$42,0)</f>
        <v>0</v>
      </c>
      <c r="AT306" s="183">
        <f>IF(H306="Nueces",(AD306/$AT$1)*'1. UC Assumptions'!$O$42,0)</f>
        <v>0</v>
      </c>
      <c r="AU306" s="183">
        <f>IF(H306="Tarrant",(AD306/$AU$1)*'1. UC Assumptions'!$P$42,0)</f>
        <v>0</v>
      </c>
      <c r="AV306" s="183">
        <f>IF(H306="Travis",(AD306/$AV$1)*'1. UC Assumptions'!$Q$42,0)</f>
        <v>0</v>
      </c>
      <c r="AW306" s="183">
        <f>IF(H306="Bexar",(AC306/$AW$1)*'1. UC Assumptions'!$E$44,0)</f>
        <v>0</v>
      </c>
      <c r="AX306" s="183">
        <f>IF(H306="Dallas",(AC306/$AX$1)*'1. UC Assumptions'!$F$44,0)</f>
        <v>0</v>
      </c>
      <c r="AY306" s="183">
        <f>IF(H306="El Paso",(AC306/$AY$1)*'1. UC Assumptions'!$G$44,0)</f>
        <v>0</v>
      </c>
      <c r="AZ306" s="183">
        <f>IF(H306="Harris",(AC306/$AZ$1)*'1. UC Assumptions'!$H$44,0)</f>
        <v>0</v>
      </c>
      <c r="BA306" s="183">
        <f>IF(H306="Hidalgo",(AC306/$BA$1)*'1. UC Assumptions'!$I$44,0)</f>
        <v>0</v>
      </c>
      <c r="BB306" s="183">
        <f>IF(H306="Jefferson",(AC306/$BB$1)*'1. UC Assumptions'!$J$44,0)</f>
        <v>0</v>
      </c>
      <c r="BC306" s="183">
        <f>IF(H306="Lubbock",(AC306/$BC$1)*'1. UC Assumptions'!$K$44,0)</f>
        <v>0</v>
      </c>
      <c r="BD306" s="183">
        <f>IF(H306="MRSA Central",(AC306/$BD$1)*'1. UC Assumptions'!$L$44,0)</f>
        <v>0</v>
      </c>
      <c r="BE306" s="183">
        <f>IF(H306="MRSA Northeast",(AC306/$BE$1)*'1. UC Assumptions'!$M$44,0)</f>
        <v>0</v>
      </c>
      <c r="BF306" s="183">
        <f>IF(H306="MRSA West",(AC306/$BF$1)*'1. UC Assumptions'!$N$44,0)</f>
        <v>0</v>
      </c>
      <c r="BG306" s="183">
        <f>IF(H306="Nueces",(AC306/$BG$1)*'1. UC Assumptions'!$O$44,0)</f>
        <v>0</v>
      </c>
      <c r="BH306" s="183">
        <f>IF(H306="Tarrant",(AC306/$BH$1)*'1. UC Assumptions'!$P$44,0)</f>
        <v>0</v>
      </c>
      <c r="BI306" s="183">
        <f>IF(H306="Travis",(AC306/$BI$1)*'1. UC Assumptions'!$Q$44,0)</f>
        <v>0</v>
      </c>
      <c r="BJ306" s="183">
        <f t="shared" si="62"/>
        <v>0</v>
      </c>
      <c r="BK306" s="183">
        <f t="shared" si="63"/>
        <v>0</v>
      </c>
      <c r="BL306" s="183">
        <f t="shared" si="64"/>
        <v>2991303</v>
      </c>
      <c r="BM306" s="184">
        <f t="shared" si="65"/>
        <v>1476915.07</v>
      </c>
      <c r="BN306" s="184">
        <f>ROUNDDOWN(BM306*'1. UC Assumptions'!$C$23,2)</f>
        <v>487381.97</v>
      </c>
      <c r="BO306" s="184"/>
      <c r="BP306" s="185"/>
      <c r="BQ306" s="32"/>
      <c r="BR306" s="32"/>
    </row>
    <row r="307" spans="1:70">
      <c r="A307" s="177" t="s">
        <v>1745</v>
      </c>
      <c r="B307" s="177" t="s">
        <v>249</v>
      </c>
      <c r="C307" s="178" t="s">
        <v>249</v>
      </c>
      <c r="D307" s="179" t="s">
        <v>214</v>
      </c>
      <c r="E307" s="179"/>
      <c r="F307" s="177"/>
      <c r="G307" s="177" t="s">
        <v>1746</v>
      </c>
      <c r="H307" s="178" t="s">
        <v>13</v>
      </c>
      <c r="I307" s="178" t="s">
        <v>13</v>
      </c>
      <c r="J307" s="131">
        <f>IFERROR(INDEX(#REF!,(MATCH('Old Calc Tab'!C:C,#REF!,0))),0)</f>
        <v>0</v>
      </c>
      <c r="K307" s="131">
        <f>IFERROR(INDEX(#REF!,(MATCH('Old Calc Tab'!$C:$C,#REF!,0))),0)</f>
        <v>0</v>
      </c>
      <c r="L307" s="131"/>
      <c r="M307" s="131">
        <v>19415789.063047726</v>
      </c>
      <c r="N307" s="131">
        <f>IFERROR(INDEX(#REF!,(MATCH('Old Calc Tab'!$C:$C,#REF!,0))),0)</f>
        <v>0</v>
      </c>
      <c r="O307" s="131">
        <f t="shared" si="54"/>
        <v>0</v>
      </c>
      <c r="P307" s="131">
        <f t="shared" si="55"/>
        <v>19415789.063047726</v>
      </c>
      <c r="Q307" s="131"/>
      <c r="R307" s="131"/>
      <c r="S307" s="131"/>
      <c r="T307" s="131"/>
      <c r="U307" s="131"/>
      <c r="V307" s="131">
        <v>0</v>
      </c>
      <c r="W307" s="180">
        <v>0</v>
      </c>
      <c r="X307" s="180">
        <f t="shared" si="67"/>
        <v>19415789.063047726</v>
      </c>
      <c r="Y307" s="181">
        <f>IF(D307="Physician Group Practice",(X307/$AE$369)*'1. UC Assumptions'!$C$15,IF(OR(E307="Rural Hospital",E307="Hosp - State"),X307,(X307/$X$369)*'1. UC Assumptions'!$C$9))</f>
        <v>11685645.57505169</v>
      </c>
      <c r="Z307" s="181">
        <f t="shared" si="56"/>
        <v>0</v>
      </c>
      <c r="AA307" s="181">
        <f t="shared" si="57"/>
        <v>7730143.4879960362</v>
      </c>
      <c r="AB307" s="182">
        <f t="shared" si="58"/>
        <v>4151.3278020099733</v>
      </c>
      <c r="AC307" s="181">
        <f t="shared" si="59"/>
        <v>7734294.8157980461</v>
      </c>
      <c r="AD307" s="181">
        <f t="shared" si="60"/>
        <v>11689796.902853699</v>
      </c>
      <c r="AE307" s="131">
        <v>6845156.4400000004</v>
      </c>
      <c r="AF307" s="131">
        <f>AE307*'1. UC Assumptions'!$C$23</f>
        <v>2258901.6251999997</v>
      </c>
      <c r="AG307" s="183">
        <f>IF((((X307-W307-AE307)*'1. UC Assumptions'!$C$23)+AF307)&gt;0,((X307-W307-AE307)*'1. UC Assumptions'!$C$23)+AF307,0)</f>
        <v>6407210.3908057483</v>
      </c>
      <c r="AH307" s="183"/>
      <c r="AI307" s="183">
        <f t="shared" si="61"/>
        <v>2258901.6251999997</v>
      </c>
      <c r="AJ307" s="183">
        <f>IF(H307="Bexar",(AD307/$AJ$1)*'1. UC Assumptions'!$E$42,0)</f>
        <v>0</v>
      </c>
      <c r="AK307" s="183">
        <f>IF(H307="Dallas",(AD307/$AK$1)*'1. UC Assumptions'!$F$42,0)</f>
        <v>0</v>
      </c>
      <c r="AL307" s="183">
        <f>IF(H307="El Paso",(AD307/$AL$1)*'1. UC Assumptions'!$G$42,0)</f>
        <v>0</v>
      </c>
      <c r="AM307" s="183">
        <f>IF(H307="Harris",(AD307/$AM$1)*'1. UC Assumptions'!$H$42,0)</f>
        <v>0</v>
      </c>
      <c r="AN307" s="183">
        <f>IF(H307="Hidalgo",(AD307/$AN$1)*'1. UC Assumptions'!$I$42,0)</f>
        <v>0</v>
      </c>
      <c r="AO307" s="183">
        <f>IF(H307="Jefferson",(AD307/$AO$1)*'1. UC Assumptions'!$J$42,0)</f>
        <v>0</v>
      </c>
      <c r="AP307" s="183">
        <f>IF(H307="Lubbock",(AD307/$AP$1)*'1. UC Assumptions'!$K$42,0)</f>
        <v>0</v>
      </c>
      <c r="AQ307" s="183">
        <f>IF(H307="MRSA Central",(AD307/$AQ$1)*'1. UC Assumptions'!$L$42,0)</f>
        <v>0</v>
      </c>
      <c r="AR307" s="183">
        <f>IF(H307="MRSA Northeast",(AD307/$AR$1)*'1. UC Assumptions'!$M$42,0)</f>
        <v>0</v>
      </c>
      <c r="AS307" s="183">
        <f>IF(H307="MRSA West",(AD307/$AS$1)*'1. UC Assumptions'!$N$42,0)</f>
        <v>0</v>
      </c>
      <c r="AT307" s="183">
        <f>IF(H307="Nueces",(AD307/$AT$1)*'1. UC Assumptions'!$O$42,0)</f>
        <v>0</v>
      </c>
      <c r="AU307" s="183">
        <f>IF(H307="Tarrant",(AD307/$AU$1)*'1. UC Assumptions'!$P$42,0)</f>
        <v>0</v>
      </c>
      <c r="AV307" s="183">
        <f>IF(H307="Travis",(AD307/$AV$1)*'1. UC Assumptions'!$Q$42,0)</f>
        <v>0</v>
      </c>
      <c r="AW307" s="183">
        <f>IF(H307="Bexar",(AC307/$AW$1)*'1. UC Assumptions'!$E$44,0)</f>
        <v>0</v>
      </c>
      <c r="AX307" s="183">
        <f>IF(H307="Dallas",(AC307/$AX$1)*'1. UC Assumptions'!$F$44,0)</f>
        <v>0</v>
      </c>
      <c r="AY307" s="183">
        <f>IF(H307="El Paso",(AC307/$AY$1)*'1. UC Assumptions'!$G$44,0)</f>
        <v>0</v>
      </c>
      <c r="AZ307" s="183">
        <f>IF(H307="Harris",(AC307/$AZ$1)*'1. UC Assumptions'!$H$44,0)</f>
        <v>0</v>
      </c>
      <c r="BA307" s="183">
        <f>IF(H307="Hidalgo",(AC307/$BA$1)*'1. UC Assumptions'!$I$44,0)</f>
        <v>0</v>
      </c>
      <c r="BB307" s="183">
        <f>IF(H307="Jefferson",(AC307/$BB$1)*'1. UC Assumptions'!$J$44,0)</f>
        <v>0</v>
      </c>
      <c r="BC307" s="183">
        <f>IF(H307="Lubbock",(AC307/$BC$1)*'1. UC Assumptions'!$K$44,0)</f>
        <v>0</v>
      </c>
      <c r="BD307" s="183">
        <f>IF(H307="MRSA Central",(AC307/$BD$1)*'1. UC Assumptions'!$L$44,0)</f>
        <v>0</v>
      </c>
      <c r="BE307" s="183">
        <f>IF(H307="MRSA Northeast",(AC307/$BE$1)*'1. UC Assumptions'!$M$44,0)</f>
        <v>0</v>
      </c>
      <c r="BF307" s="183">
        <f>IF(H307="MRSA West",(AC307/$BF$1)*'1. UC Assumptions'!$N$44,0)</f>
        <v>0</v>
      </c>
      <c r="BG307" s="183">
        <f>IF(H307="Nueces",(AC307/$BG$1)*'1. UC Assumptions'!$O$44,0)</f>
        <v>0</v>
      </c>
      <c r="BH307" s="183">
        <f>IF(H307="Tarrant",(AC307/$BH$1)*'1. UC Assumptions'!$P$44,0)</f>
        <v>0</v>
      </c>
      <c r="BI307" s="183">
        <f>IF(H307="Travis",(AC307/$BI$1)*'1. UC Assumptions'!$Q$44,0)</f>
        <v>0</v>
      </c>
      <c r="BJ307" s="183">
        <f t="shared" si="62"/>
        <v>0</v>
      </c>
      <c r="BK307" s="183">
        <f t="shared" si="63"/>
        <v>0</v>
      </c>
      <c r="BL307" s="183">
        <f t="shared" si="64"/>
        <v>11689796.902853699</v>
      </c>
      <c r="BM307" s="184">
        <f t="shared" si="65"/>
        <v>4844640.462853699</v>
      </c>
      <c r="BN307" s="184">
        <f>ROUNDDOWN(BM307*'1. UC Assumptions'!$C$23,2)</f>
        <v>1598731.35</v>
      </c>
      <c r="BO307" s="184"/>
      <c r="BP307" s="185"/>
      <c r="BQ307" s="32"/>
      <c r="BR307" s="32"/>
    </row>
    <row r="308" spans="1:70">
      <c r="A308" s="177" t="s">
        <v>1747</v>
      </c>
      <c r="B308" s="178" t="s">
        <v>270</v>
      </c>
      <c r="C308" s="178" t="s">
        <v>270</v>
      </c>
      <c r="D308" s="179" t="s">
        <v>208</v>
      </c>
      <c r="E308" s="179" t="s">
        <v>149</v>
      </c>
      <c r="F308" s="177"/>
      <c r="G308" s="177" t="s">
        <v>1748</v>
      </c>
      <c r="H308" s="178" t="s">
        <v>13</v>
      </c>
      <c r="I308" s="178" t="s">
        <v>272</v>
      </c>
      <c r="J308" s="131">
        <f>IFERROR(INDEX(#REF!,(MATCH('Old Calc Tab'!C:C,#REF!,0))),0)</f>
        <v>0</v>
      </c>
      <c r="K308" s="131">
        <f>IFERROR(INDEX(#REF!,(MATCH('Old Calc Tab'!$C:$C,#REF!,0))),0)</f>
        <v>0</v>
      </c>
      <c r="L308" s="131"/>
      <c r="M308" s="131">
        <v>452277.60000000003</v>
      </c>
      <c r="N308" s="131">
        <f>IFERROR(INDEX(#REF!,(MATCH('Old Calc Tab'!$C:$C,#REF!,0))),0)</f>
        <v>0</v>
      </c>
      <c r="O308" s="131">
        <f t="shared" si="54"/>
        <v>0</v>
      </c>
      <c r="P308" s="131">
        <f t="shared" si="55"/>
        <v>452277.60000000003</v>
      </c>
      <c r="Q308" s="131"/>
      <c r="R308" s="131"/>
      <c r="S308" s="131"/>
      <c r="T308" s="131"/>
      <c r="U308" s="131"/>
      <c r="V308" s="131">
        <v>0</v>
      </c>
      <c r="W308" s="180">
        <v>0</v>
      </c>
      <c r="X308" s="180">
        <f t="shared" si="67"/>
        <v>452277.60000000003</v>
      </c>
      <c r="Y308" s="181">
        <f>IF(D308="Physician Group Practice",(X308/$AE$369)*'1. UC Assumptions'!$C$15,IF(OR(E308="Rural Hospital",E308="Hosp - State"),X308,(X308/$X$369)*'1. UC Assumptions'!$C$9))</f>
        <v>452277.60000000003</v>
      </c>
      <c r="Z308" s="181">
        <f t="shared" si="56"/>
        <v>0</v>
      </c>
      <c r="AA308" s="181">
        <f t="shared" si="57"/>
        <v>0</v>
      </c>
      <c r="AB308" s="182">
        <f t="shared" si="58"/>
        <v>0</v>
      </c>
      <c r="AC308" s="181">
        <f t="shared" si="59"/>
        <v>0</v>
      </c>
      <c r="AD308" s="181">
        <f t="shared" si="60"/>
        <v>452277.60000000003</v>
      </c>
      <c r="AE308" s="131">
        <v>238905.71</v>
      </c>
      <c r="AF308" s="131">
        <f>AE308*'1. UC Assumptions'!$C$23</f>
        <v>78838.884299999991</v>
      </c>
      <c r="AG308" s="183">
        <f>IF((((X308-W308-AE308)*'1. UC Assumptions'!$C$23)+AF308)&gt;0,((X308-W308-AE308)*'1. UC Assumptions'!$C$23)+AF308,0)</f>
        <v>149251.60800000001</v>
      </c>
      <c r="AH308" s="183"/>
      <c r="AI308" s="183">
        <f t="shared" si="61"/>
        <v>78838.884299999991</v>
      </c>
      <c r="AJ308" s="183">
        <f>IF(H308="Bexar",(AD308/$AJ$1)*'1. UC Assumptions'!$E$42,0)</f>
        <v>0</v>
      </c>
      <c r="AK308" s="183">
        <f>IF(H308="Dallas",(AD308/$AK$1)*'1. UC Assumptions'!$F$42,0)</f>
        <v>0</v>
      </c>
      <c r="AL308" s="183">
        <f>IF(H308="El Paso",(AD308/$AL$1)*'1. UC Assumptions'!$G$42,0)</f>
        <v>0</v>
      </c>
      <c r="AM308" s="183">
        <f>IF(H308="Harris",(AD308/$AM$1)*'1. UC Assumptions'!$H$42,0)</f>
        <v>0</v>
      </c>
      <c r="AN308" s="183">
        <f>IF(H308="Hidalgo",(AD308/$AN$1)*'1. UC Assumptions'!$I$42,0)</f>
        <v>0</v>
      </c>
      <c r="AO308" s="183">
        <f>IF(H308="Jefferson",(AD308/$AO$1)*'1. UC Assumptions'!$J$42,0)</f>
        <v>0</v>
      </c>
      <c r="AP308" s="183">
        <f>IF(H308="Lubbock",(AD308/$AP$1)*'1. UC Assumptions'!$K$42,0)</f>
        <v>0</v>
      </c>
      <c r="AQ308" s="183">
        <f>IF(H308="MRSA Central",(AD308/$AQ$1)*'1. UC Assumptions'!$L$42,0)</f>
        <v>0</v>
      </c>
      <c r="AR308" s="183">
        <f>IF(H308="MRSA Northeast",(AD308/$AR$1)*'1. UC Assumptions'!$M$42,0)</f>
        <v>0</v>
      </c>
      <c r="AS308" s="183">
        <f>IF(H308="MRSA West",(AD308/$AS$1)*'1. UC Assumptions'!$N$42,0)</f>
        <v>0</v>
      </c>
      <c r="AT308" s="183">
        <f>IF(H308="Nueces",(AD308/$AT$1)*'1. UC Assumptions'!$O$42,0)</f>
        <v>0</v>
      </c>
      <c r="AU308" s="183">
        <f>IF(H308="Tarrant",(AD308/$AU$1)*'1. UC Assumptions'!$P$42,0)</f>
        <v>0</v>
      </c>
      <c r="AV308" s="183">
        <f>IF(H308="Travis",(AD308/$AV$1)*'1. UC Assumptions'!$Q$42,0)</f>
        <v>0</v>
      </c>
      <c r="AW308" s="183">
        <f>IF(H308="Bexar",(AC308/$AW$1)*'1. UC Assumptions'!$E$44,0)</f>
        <v>0</v>
      </c>
      <c r="AX308" s="183">
        <f>IF(H308="Dallas",(AC308/$AX$1)*'1. UC Assumptions'!$F$44,0)</f>
        <v>0</v>
      </c>
      <c r="AY308" s="183">
        <f>IF(H308="El Paso",(AC308/$AY$1)*'1. UC Assumptions'!$G$44,0)</f>
        <v>0</v>
      </c>
      <c r="AZ308" s="183">
        <f>IF(H308="Harris",(AC308/$AZ$1)*'1. UC Assumptions'!$H$44,0)</f>
        <v>0</v>
      </c>
      <c r="BA308" s="183">
        <f>IF(H308="Hidalgo",(AC308/$BA$1)*'1. UC Assumptions'!$I$44,0)</f>
        <v>0</v>
      </c>
      <c r="BB308" s="183">
        <f>IF(H308="Jefferson",(AC308/$BB$1)*'1. UC Assumptions'!$J$44,0)</f>
        <v>0</v>
      </c>
      <c r="BC308" s="183">
        <f>IF(H308="Lubbock",(AC308/$BC$1)*'1. UC Assumptions'!$K$44,0)</f>
        <v>0</v>
      </c>
      <c r="BD308" s="183">
        <f>IF(H308="MRSA Central",(AC308/$BD$1)*'1. UC Assumptions'!$L$44,0)</f>
        <v>0</v>
      </c>
      <c r="BE308" s="183">
        <f>IF(H308="MRSA Northeast",(AC308/$BE$1)*'1. UC Assumptions'!$M$44,0)</f>
        <v>0</v>
      </c>
      <c r="BF308" s="183">
        <f>IF(H308="MRSA West",(AC308/$BF$1)*'1. UC Assumptions'!$N$44,0)</f>
        <v>0</v>
      </c>
      <c r="BG308" s="183">
        <f>IF(H308="Nueces",(AC308/$BG$1)*'1. UC Assumptions'!$O$44,0)</f>
        <v>0</v>
      </c>
      <c r="BH308" s="183">
        <f>IF(H308="Tarrant",(AC308/$BH$1)*'1. UC Assumptions'!$P$44,0)</f>
        <v>0</v>
      </c>
      <c r="BI308" s="183">
        <f>IF(H308="Travis",(AC308/$BI$1)*'1. UC Assumptions'!$Q$44,0)</f>
        <v>0</v>
      </c>
      <c r="BJ308" s="183">
        <f t="shared" si="62"/>
        <v>0</v>
      </c>
      <c r="BK308" s="183">
        <f t="shared" si="63"/>
        <v>0</v>
      </c>
      <c r="BL308" s="183">
        <f t="shared" si="64"/>
        <v>452277.60000000003</v>
      </c>
      <c r="BM308" s="184">
        <f t="shared" si="65"/>
        <v>213371.89000000004</v>
      </c>
      <c r="BN308" s="184">
        <f>ROUNDDOWN(BM308*'1. UC Assumptions'!$C$23,2)</f>
        <v>70412.72</v>
      </c>
      <c r="BO308" s="184"/>
      <c r="BP308" s="185"/>
      <c r="BQ308" s="32"/>
      <c r="BR308" s="32"/>
    </row>
    <row r="309" spans="1:70">
      <c r="A309" s="177" t="s">
        <v>1749</v>
      </c>
      <c r="B309" s="178" t="s">
        <v>322</v>
      </c>
      <c r="C309" s="178" t="s">
        <v>322</v>
      </c>
      <c r="D309" s="179" t="s">
        <v>214</v>
      </c>
      <c r="E309" s="179"/>
      <c r="F309" s="177"/>
      <c r="G309" s="177" t="s">
        <v>323</v>
      </c>
      <c r="H309" s="178" t="s">
        <v>13</v>
      </c>
      <c r="I309" s="178" t="s">
        <v>324</v>
      </c>
      <c r="J309" s="131">
        <f>IFERROR(INDEX(#REF!,(MATCH('Old Calc Tab'!C:C,#REF!,0))),0)</f>
        <v>0</v>
      </c>
      <c r="K309" s="131">
        <f>IFERROR(INDEX(#REF!,(MATCH('Old Calc Tab'!$C:$C,#REF!,0))),0)</f>
        <v>0</v>
      </c>
      <c r="L309" s="131"/>
      <c r="M309" s="131">
        <v>1731494.42</v>
      </c>
      <c r="N309" s="131">
        <f>IFERROR(INDEX(#REF!,(MATCH('Old Calc Tab'!$C:$C,#REF!,0))),0)</f>
        <v>0</v>
      </c>
      <c r="O309" s="131">
        <f t="shared" si="54"/>
        <v>0</v>
      </c>
      <c r="P309" s="131">
        <f t="shared" si="55"/>
        <v>1731494.42</v>
      </c>
      <c r="Q309" s="131"/>
      <c r="R309" s="131"/>
      <c r="S309" s="131"/>
      <c r="T309" s="131"/>
      <c r="U309" s="131"/>
      <c r="V309" s="131">
        <v>414888</v>
      </c>
      <c r="W309" s="180">
        <v>0</v>
      </c>
      <c r="X309" s="180">
        <f t="shared" si="67"/>
        <v>2146382.42</v>
      </c>
      <c r="Y309" s="181">
        <f>IF(D309="Physician Group Practice",(X309/$AE$369)*'1. UC Assumptions'!$C$15,IF(OR(E309="Rural Hospital",E309="Hosp - State"),X309,(X309/$X$369)*'1. UC Assumptions'!$C$9))</f>
        <v>1291828.2201766255</v>
      </c>
      <c r="Z309" s="181">
        <f t="shared" si="56"/>
        <v>0</v>
      </c>
      <c r="AA309" s="181">
        <f t="shared" si="57"/>
        <v>854554.19982337439</v>
      </c>
      <c r="AB309" s="182">
        <f t="shared" si="58"/>
        <v>458.92221969230525</v>
      </c>
      <c r="AC309" s="181">
        <f t="shared" si="59"/>
        <v>855013.12204306666</v>
      </c>
      <c r="AD309" s="181">
        <f t="shared" si="60"/>
        <v>1292287.1423963178</v>
      </c>
      <c r="AE309" s="131">
        <v>3080550.82</v>
      </c>
      <c r="AF309" s="131">
        <f>AE309*'1. UC Assumptions'!$C$23</f>
        <v>1016581.7705999998</v>
      </c>
      <c r="AG309" s="183">
        <f>IF((((X309-W309-AE309)*'1. UC Assumptions'!$C$23)+AF309)&gt;0,((X309-W309-AE309)*'1. UC Assumptions'!$C$23)+AF309,0)</f>
        <v>708306.19859999989</v>
      </c>
      <c r="AH309" s="183"/>
      <c r="AI309" s="183">
        <f t="shared" si="61"/>
        <v>1016581.7705999998</v>
      </c>
      <c r="AJ309" s="183">
        <f>IF(H309="Bexar",(AD309/$AJ$1)*'1. UC Assumptions'!$E$42,0)</f>
        <v>0</v>
      </c>
      <c r="AK309" s="183">
        <f>IF(H309="Dallas",(AD309/$AK$1)*'1. UC Assumptions'!$F$42,0)</f>
        <v>0</v>
      </c>
      <c r="AL309" s="183">
        <f>IF(H309="El Paso",(AD309/$AL$1)*'1. UC Assumptions'!$G$42,0)</f>
        <v>0</v>
      </c>
      <c r="AM309" s="183">
        <f>IF(H309="Harris",(AD309/$AM$1)*'1. UC Assumptions'!$H$42,0)</f>
        <v>0</v>
      </c>
      <c r="AN309" s="183">
        <f>IF(H309="Hidalgo",(AD309/$AN$1)*'1. UC Assumptions'!$I$42,0)</f>
        <v>0</v>
      </c>
      <c r="AO309" s="183">
        <f>IF(H309="Jefferson",(AD309/$AO$1)*'1. UC Assumptions'!$J$42,0)</f>
        <v>0</v>
      </c>
      <c r="AP309" s="183">
        <f>IF(H309="Lubbock",(AD309/$AP$1)*'1. UC Assumptions'!$K$42,0)</f>
        <v>0</v>
      </c>
      <c r="AQ309" s="183">
        <f>IF(H309="MRSA Central",(AD309/$AQ$1)*'1. UC Assumptions'!$L$42,0)</f>
        <v>0</v>
      </c>
      <c r="AR309" s="183">
        <f>IF(H309="MRSA Northeast",(AD309/$AR$1)*'1. UC Assumptions'!$M$42,0)</f>
        <v>0</v>
      </c>
      <c r="AS309" s="183">
        <f>IF(H309="MRSA West",(AD309/$AS$1)*'1. UC Assumptions'!$N$42,0)</f>
        <v>0</v>
      </c>
      <c r="AT309" s="183">
        <f>IF(H309="Nueces",(AD309/$AT$1)*'1. UC Assumptions'!$O$42,0)</f>
        <v>0</v>
      </c>
      <c r="AU309" s="183">
        <f>IF(H309="Tarrant",(AD309/$AU$1)*'1. UC Assumptions'!$P$42,0)</f>
        <v>0</v>
      </c>
      <c r="AV309" s="183">
        <f>IF(H309="Travis",(AD309/$AV$1)*'1. UC Assumptions'!$Q$42,0)</f>
        <v>0</v>
      </c>
      <c r="AW309" s="183">
        <f>IF(H309="Bexar",(AC309/$AW$1)*'1. UC Assumptions'!$E$44,0)</f>
        <v>0</v>
      </c>
      <c r="AX309" s="183">
        <f>IF(H309="Dallas",(AC309/$AX$1)*'1. UC Assumptions'!$F$44,0)</f>
        <v>0</v>
      </c>
      <c r="AY309" s="183">
        <f>IF(H309="El Paso",(AC309/$AY$1)*'1. UC Assumptions'!$G$44,0)</f>
        <v>0</v>
      </c>
      <c r="AZ309" s="183">
        <f>IF(H309="Harris",(AC309/$AZ$1)*'1. UC Assumptions'!$H$44,0)</f>
        <v>0</v>
      </c>
      <c r="BA309" s="183">
        <f>IF(H309="Hidalgo",(AC309/$BA$1)*'1. UC Assumptions'!$I$44,0)</f>
        <v>0</v>
      </c>
      <c r="BB309" s="183">
        <f>IF(H309="Jefferson",(AC309/$BB$1)*'1. UC Assumptions'!$J$44,0)</f>
        <v>0</v>
      </c>
      <c r="BC309" s="183">
        <f>IF(H309="Lubbock",(AC309/$BC$1)*'1. UC Assumptions'!$K$44,0)</f>
        <v>0</v>
      </c>
      <c r="BD309" s="183">
        <f>IF(H309="MRSA Central",(AC309/$BD$1)*'1. UC Assumptions'!$L$44,0)</f>
        <v>0</v>
      </c>
      <c r="BE309" s="183">
        <f>IF(H309="MRSA Northeast",(AC309/$BE$1)*'1. UC Assumptions'!$M$44,0)</f>
        <v>0</v>
      </c>
      <c r="BF309" s="183">
        <f>IF(H309="MRSA West",(AC309/$BF$1)*'1. UC Assumptions'!$N$44,0)</f>
        <v>0</v>
      </c>
      <c r="BG309" s="183">
        <f>IF(H309="Nueces",(AC309/$BG$1)*'1. UC Assumptions'!$O$44,0)</f>
        <v>0</v>
      </c>
      <c r="BH309" s="183">
        <f>IF(H309="Tarrant",(AC309/$BH$1)*'1. UC Assumptions'!$P$44,0)</f>
        <v>0</v>
      </c>
      <c r="BI309" s="183">
        <f>IF(H309="Travis",(AC309/$BI$1)*'1. UC Assumptions'!$Q$44,0)</f>
        <v>0</v>
      </c>
      <c r="BJ309" s="183">
        <f t="shared" si="62"/>
        <v>0</v>
      </c>
      <c r="BK309" s="183">
        <f t="shared" si="63"/>
        <v>0</v>
      </c>
      <c r="BL309" s="183">
        <f t="shared" si="64"/>
        <v>1292287.1423963178</v>
      </c>
      <c r="BM309" s="184">
        <f t="shared" si="65"/>
        <v>-1788263.677603682</v>
      </c>
      <c r="BN309" s="184">
        <f>ROUNDDOWN(BM309*'1. UC Assumptions'!$C$23,2)</f>
        <v>-590127.01</v>
      </c>
      <c r="BO309" s="184"/>
      <c r="BP309" s="185"/>
      <c r="BQ309" s="32"/>
      <c r="BR309" s="32"/>
    </row>
    <row r="310" spans="1:70">
      <c r="A310" s="177" t="s">
        <v>1750</v>
      </c>
      <c r="B310" s="177" t="s">
        <v>385</v>
      </c>
      <c r="C310" s="178" t="s">
        <v>385</v>
      </c>
      <c r="D310" s="179" t="s">
        <v>214</v>
      </c>
      <c r="E310" s="179" t="s">
        <v>149</v>
      </c>
      <c r="F310" s="177"/>
      <c r="G310" s="177" t="s">
        <v>386</v>
      </c>
      <c r="H310" s="178" t="s">
        <v>13</v>
      </c>
      <c r="I310" s="178" t="s">
        <v>387</v>
      </c>
      <c r="J310" s="131">
        <f>IFERROR(INDEX(#REF!,(MATCH('Old Calc Tab'!C:C,#REF!,0))),0)</f>
        <v>0</v>
      </c>
      <c r="K310" s="131">
        <f>IFERROR(INDEX(#REF!,(MATCH('Old Calc Tab'!$C:$C,#REF!,0))),0)</f>
        <v>0</v>
      </c>
      <c r="L310" s="131"/>
      <c r="M310" s="131">
        <v>7553197</v>
      </c>
      <c r="N310" s="131">
        <f>IFERROR(INDEX(#REF!,(MATCH('Old Calc Tab'!$C:$C,#REF!,0))),0)</f>
        <v>0</v>
      </c>
      <c r="O310" s="131">
        <f t="shared" si="54"/>
        <v>0</v>
      </c>
      <c r="P310" s="131">
        <f t="shared" si="55"/>
        <v>7553197</v>
      </c>
      <c r="Q310" s="131"/>
      <c r="R310" s="131"/>
      <c r="S310" s="131"/>
      <c r="T310" s="131"/>
      <c r="U310" s="131"/>
      <c r="V310" s="131">
        <v>0</v>
      </c>
      <c r="W310" s="180">
        <v>0</v>
      </c>
      <c r="X310" s="180">
        <f t="shared" si="67"/>
        <v>7553197</v>
      </c>
      <c r="Y310" s="181">
        <f>IF(D310="Physician Group Practice",(X310/$AE$369)*'1. UC Assumptions'!$C$15,IF(OR(E310="Rural Hospital",E310="Hosp - State"),X310,(X310/$X$369)*'1. UC Assumptions'!$C$9))</f>
        <v>7553197</v>
      </c>
      <c r="Z310" s="181">
        <f t="shared" si="56"/>
        <v>0</v>
      </c>
      <c r="AA310" s="181">
        <f t="shared" si="57"/>
        <v>0</v>
      </c>
      <c r="AB310" s="182">
        <f t="shared" si="58"/>
        <v>0</v>
      </c>
      <c r="AC310" s="181">
        <f t="shared" si="59"/>
        <v>0</v>
      </c>
      <c r="AD310" s="181">
        <f t="shared" si="60"/>
        <v>7553197</v>
      </c>
      <c r="AE310" s="131">
        <v>2464217.2799999998</v>
      </c>
      <c r="AF310" s="131">
        <f>AE310*'1. UC Assumptions'!$C$23</f>
        <v>813191.70239999983</v>
      </c>
      <c r="AG310" s="183">
        <f>IF((((X310-W310-AE310)*'1. UC Assumptions'!$C$23)+AF310)&gt;0,((X310-W310-AE310)*'1. UC Assumptions'!$C$23)+AF310,0)</f>
        <v>2492555.0099999998</v>
      </c>
      <c r="AH310" s="183"/>
      <c r="AI310" s="183">
        <f t="shared" si="61"/>
        <v>813191.70239999983</v>
      </c>
      <c r="AJ310" s="183">
        <f>IF(H310="Bexar",(AD310/$AJ$1)*'1. UC Assumptions'!$E$42,0)</f>
        <v>0</v>
      </c>
      <c r="AK310" s="183">
        <f>IF(H310="Dallas",(AD310/$AK$1)*'1. UC Assumptions'!$F$42,0)</f>
        <v>0</v>
      </c>
      <c r="AL310" s="183">
        <f>IF(H310="El Paso",(AD310/$AL$1)*'1. UC Assumptions'!$G$42,0)</f>
        <v>0</v>
      </c>
      <c r="AM310" s="183">
        <f>IF(H310="Harris",(AD310/$AM$1)*'1. UC Assumptions'!$H$42,0)</f>
        <v>0</v>
      </c>
      <c r="AN310" s="183">
        <f>IF(H310="Hidalgo",(AD310/$AN$1)*'1. UC Assumptions'!$I$42,0)</f>
        <v>0</v>
      </c>
      <c r="AO310" s="183">
        <f>IF(H310="Jefferson",(AD310/$AO$1)*'1. UC Assumptions'!$J$42,0)</f>
        <v>0</v>
      </c>
      <c r="AP310" s="183">
        <f>IF(H310="Lubbock",(AD310/$AP$1)*'1. UC Assumptions'!$K$42,0)</f>
        <v>0</v>
      </c>
      <c r="AQ310" s="183">
        <f>IF(H310="MRSA Central",(AD310/$AQ$1)*'1. UC Assumptions'!$L$42,0)</f>
        <v>0</v>
      </c>
      <c r="AR310" s="183">
        <f>IF(H310="MRSA Northeast",(AD310/$AR$1)*'1. UC Assumptions'!$M$42,0)</f>
        <v>0</v>
      </c>
      <c r="AS310" s="183">
        <f>IF(H310="MRSA West",(AD310/$AS$1)*'1. UC Assumptions'!$N$42,0)</f>
        <v>0</v>
      </c>
      <c r="AT310" s="183">
        <f>IF(H310="Nueces",(AD310/$AT$1)*'1. UC Assumptions'!$O$42,0)</f>
        <v>0</v>
      </c>
      <c r="AU310" s="183">
        <f>IF(H310="Tarrant",(AD310/$AU$1)*'1. UC Assumptions'!$P$42,0)</f>
        <v>0</v>
      </c>
      <c r="AV310" s="183">
        <f>IF(H310="Travis",(AD310/$AV$1)*'1. UC Assumptions'!$Q$42,0)</f>
        <v>0</v>
      </c>
      <c r="AW310" s="183">
        <f>IF(H310="Bexar",(AC310/$AW$1)*'1. UC Assumptions'!$E$44,0)</f>
        <v>0</v>
      </c>
      <c r="AX310" s="183">
        <f>IF(H310="Dallas",(AC310/$AX$1)*'1. UC Assumptions'!$F$44,0)</f>
        <v>0</v>
      </c>
      <c r="AY310" s="183">
        <f>IF(H310="El Paso",(AC310/$AY$1)*'1. UC Assumptions'!$G$44,0)</f>
        <v>0</v>
      </c>
      <c r="AZ310" s="183">
        <f>IF(H310="Harris",(AC310/$AZ$1)*'1. UC Assumptions'!$H$44,0)</f>
        <v>0</v>
      </c>
      <c r="BA310" s="183">
        <f>IF(H310="Hidalgo",(AC310/$BA$1)*'1. UC Assumptions'!$I$44,0)</f>
        <v>0</v>
      </c>
      <c r="BB310" s="183">
        <f>IF(H310="Jefferson",(AC310/$BB$1)*'1. UC Assumptions'!$J$44,0)</f>
        <v>0</v>
      </c>
      <c r="BC310" s="183">
        <f>IF(H310="Lubbock",(AC310/$BC$1)*'1. UC Assumptions'!$K$44,0)</f>
        <v>0</v>
      </c>
      <c r="BD310" s="183">
        <f>IF(H310="MRSA Central",(AC310/$BD$1)*'1. UC Assumptions'!$L$44,0)</f>
        <v>0</v>
      </c>
      <c r="BE310" s="183">
        <f>IF(H310="MRSA Northeast",(AC310/$BE$1)*'1. UC Assumptions'!$M$44,0)</f>
        <v>0</v>
      </c>
      <c r="BF310" s="183">
        <f>IF(H310="MRSA West",(AC310/$BF$1)*'1. UC Assumptions'!$N$44,0)</f>
        <v>0</v>
      </c>
      <c r="BG310" s="183">
        <f>IF(H310="Nueces",(AC310/$BG$1)*'1. UC Assumptions'!$O$44,0)</f>
        <v>0</v>
      </c>
      <c r="BH310" s="183">
        <f>IF(H310="Tarrant",(AC310/$BH$1)*'1. UC Assumptions'!$P$44,0)</f>
        <v>0</v>
      </c>
      <c r="BI310" s="183">
        <f>IF(H310="Travis",(AC310/$BI$1)*'1. UC Assumptions'!$Q$44,0)</f>
        <v>0</v>
      </c>
      <c r="BJ310" s="183">
        <f t="shared" si="62"/>
        <v>0</v>
      </c>
      <c r="BK310" s="183">
        <f t="shared" si="63"/>
        <v>0</v>
      </c>
      <c r="BL310" s="183">
        <f t="shared" si="64"/>
        <v>7553197</v>
      </c>
      <c r="BM310" s="184">
        <f t="shared" si="65"/>
        <v>5088979.7200000007</v>
      </c>
      <c r="BN310" s="184">
        <f>ROUNDDOWN(BM310*'1. UC Assumptions'!$C$23,2)</f>
        <v>1679363.3</v>
      </c>
      <c r="BO310" s="184"/>
      <c r="BP310" s="185"/>
      <c r="BQ310" s="32"/>
      <c r="BR310" s="32"/>
    </row>
    <row r="311" spans="1:70">
      <c r="A311" s="177" t="s">
        <v>1751</v>
      </c>
      <c r="B311" s="178" t="s">
        <v>498</v>
      </c>
      <c r="C311" s="178" t="s">
        <v>498</v>
      </c>
      <c r="D311" s="179" t="s">
        <v>208</v>
      </c>
      <c r="E311" s="179"/>
      <c r="F311" s="177"/>
      <c r="G311" s="177" t="s">
        <v>1752</v>
      </c>
      <c r="H311" s="178" t="s">
        <v>13</v>
      </c>
      <c r="I311" s="178" t="s">
        <v>13</v>
      </c>
      <c r="J311" s="131">
        <f>IFERROR(INDEX(#REF!,(MATCH('Old Calc Tab'!C:C,#REF!,0))),0)</f>
        <v>0</v>
      </c>
      <c r="K311" s="131">
        <f>IFERROR(INDEX(#REF!,(MATCH('Old Calc Tab'!$C:$C,#REF!,0))),0)</f>
        <v>0</v>
      </c>
      <c r="L311" s="131"/>
      <c r="M311" s="131">
        <v>89244871</v>
      </c>
      <c r="N311" s="131">
        <f>IFERROR(INDEX(#REF!,(MATCH('Old Calc Tab'!$C:$C,#REF!,0))),0)</f>
        <v>0</v>
      </c>
      <c r="O311" s="131">
        <f t="shared" si="54"/>
        <v>0</v>
      </c>
      <c r="P311" s="131">
        <f t="shared" si="55"/>
        <v>89244871</v>
      </c>
      <c r="Q311" s="131"/>
      <c r="R311" s="131"/>
      <c r="S311" s="131"/>
      <c r="T311" s="131"/>
      <c r="U311" s="131"/>
      <c r="V311" s="131">
        <v>5613130</v>
      </c>
      <c r="W311" s="180">
        <v>0</v>
      </c>
      <c r="X311" s="180">
        <f t="shared" si="67"/>
        <v>94858001</v>
      </c>
      <c r="Y311" s="181">
        <f>IF(D311="Physician Group Practice",(X311/$AE$369)*'1. UC Assumptions'!$C$15,IF(OR(E311="Rural Hospital",E311="Hosp - State"),X311,(X311/$X$369)*'1. UC Assumptions'!$C$9))</f>
        <v>57091523.607122429</v>
      </c>
      <c r="Z311" s="181">
        <f t="shared" si="56"/>
        <v>0</v>
      </c>
      <c r="AA311" s="181">
        <f t="shared" si="57"/>
        <v>37766477.392877571</v>
      </c>
      <c r="AB311" s="182">
        <f t="shared" si="58"/>
        <v>20281.774565827331</v>
      </c>
      <c r="AC311" s="181">
        <f t="shared" si="59"/>
        <v>37786759.167443402</v>
      </c>
      <c r="AD311" s="181">
        <f t="shared" si="60"/>
        <v>57111805.38168826</v>
      </c>
      <c r="AE311" s="131">
        <v>4200000</v>
      </c>
      <c r="AF311" s="131">
        <f>AE311*'1. UC Assumptions'!$C$23</f>
        <v>1385999.9999999998</v>
      </c>
      <c r="AG311" s="183">
        <f>IF((((X311-W311-AE311)*'1. UC Assumptions'!$C$23)+AF311)&gt;0,((X311-W311-AE311)*'1. UC Assumptions'!$C$23)+AF311,0)</f>
        <v>31303140.329999998</v>
      </c>
      <c r="AH311" s="183"/>
      <c r="AI311" s="183">
        <f t="shared" si="61"/>
        <v>1385999.9999999998</v>
      </c>
      <c r="AJ311" s="183">
        <f>IF(H311="Bexar",(AD311/$AJ$1)*'1. UC Assumptions'!$E$42,0)</f>
        <v>0</v>
      </c>
      <c r="AK311" s="183">
        <f>IF(H311="Dallas",(AD311/$AK$1)*'1. UC Assumptions'!$F$42,0)</f>
        <v>0</v>
      </c>
      <c r="AL311" s="183">
        <f>IF(H311="El Paso",(AD311/$AL$1)*'1. UC Assumptions'!$G$42,0)</f>
        <v>0</v>
      </c>
      <c r="AM311" s="183">
        <f>IF(H311="Harris",(AD311/$AM$1)*'1. UC Assumptions'!$H$42,0)</f>
        <v>0</v>
      </c>
      <c r="AN311" s="183">
        <f>IF(H311="Hidalgo",(AD311/$AN$1)*'1. UC Assumptions'!$I$42,0)</f>
        <v>0</v>
      </c>
      <c r="AO311" s="183">
        <f>IF(H311="Jefferson",(AD311/$AO$1)*'1. UC Assumptions'!$J$42,0)</f>
        <v>0</v>
      </c>
      <c r="AP311" s="183">
        <f>IF(H311="Lubbock",(AD311/$AP$1)*'1. UC Assumptions'!$K$42,0)</f>
        <v>0</v>
      </c>
      <c r="AQ311" s="183">
        <f>IF(H311="MRSA Central",(AD311/$AQ$1)*'1. UC Assumptions'!$L$42,0)</f>
        <v>0</v>
      </c>
      <c r="AR311" s="183">
        <f>IF(H311="MRSA Northeast",(AD311/$AR$1)*'1. UC Assumptions'!$M$42,0)</f>
        <v>0</v>
      </c>
      <c r="AS311" s="183">
        <f>IF(H311="MRSA West",(AD311/$AS$1)*'1. UC Assumptions'!$N$42,0)</f>
        <v>0</v>
      </c>
      <c r="AT311" s="183">
        <f>IF(H311="Nueces",(AD311/$AT$1)*'1. UC Assumptions'!$O$42,0)</f>
        <v>0</v>
      </c>
      <c r="AU311" s="183">
        <f>IF(H311="Tarrant",(AD311/$AU$1)*'1. UC Assumptions'!$P$42,0)</f>
        <v>0</v>
      </c>
      <c r="AV311" s="183">
        <f>IF(H311="Travis",(AD311/$AV$1)*'1. UC Assumptions'!$Q$42,0)</f>
        <v>0</v>
      </c>
      <c r="AW311" s="183">
        <f>IF(H311="Bexar",(AC311/$AW$1)*'1. UC Assumptions'!$E$44,0)</f>
        <v>0</v>
      </c>
      <c r="AX311" s="183">
        <f>IF(H311="Dallas",(AC311/$AX$1)*'1. UC Assumptions'!$F$44,0)</f>
        <v>0</v>
      </c>
      <c r="AY311" s="183">
        <f>IF(H311="El Paso",(AC311/$AY$1)*'1. UC Assumptions'!$G$44,0)</f>
        <v>0</v>
      </c>
      <c r="AZ311" s="183">
        <f>IF(H311="Harris",(AC311/$AZ$1)*'1. UC Assumptions'!$H$44,0)</f>
        <v>0</v>
      </c>
      <c r="BA311" s="183">
        <f>IF(H311="Hidalgo",(AC311/$BA$1)*'1. UC Assumptions'!$I$44,0)</f>
        <v>0</v>
      </c>
      <c r="BB311" s="183">
        <f>IF(H311="Jefferson",(AC311/$BB$1)*'1. UC Assumptions'!$J$44,0)</f>
        <v>0</v>
      </c>
      <c r="BC311" s="183">
        <f>IF(H311="Lubbock",(AC311/$BC$1)*'1. UC Assumptions'!$K$44,0)</f>
        <v>0</v>
      </c>
      <c r="BD311" s="183">
        <f>IF(H311="MRSA Central",(AC311/$BD$1)*'1. UC Assumptions'!$L$44,0)</f>
        <v>0</v>
      </c>
      <c r="BE311" s="183">
        <f>IF(H311="MRSA Northeast",(AC311/$BE$1)*'1. UC Assumptions'!$M$44,0)</f>
        <v>0</v>
      </c>
      <c r="BF311" s="183">
        <f>IF(H311="MRSA West",(AC311/$BF$1)*'1. UC Assumptions'!$N$44,0)</f>
        <v>0</v>
      </c>
      <c r="BG311" s="183">
        <f>IF(H311="Nueces",(AC311/$BG$1)*'1. UC Assumptions'!$O$44,0)</f>
        <v>0</v>
      </c>
      <c r="BH311" s="183">
        <f>IF(H311="Tarrant",(AC311/$BH$1)*'1. UC Assumptions'!$P$44,0)</f>
        <v>0</v>
      </c>
      <c r="BI311" s="183">
        <f>IF(H311="Travis",(AC311/$BI$1)*'1. UC Assumptions'!$Q$44,0)</f>
        <v>0</v>
      </c>
      <c r="BJ311" s="183">
        <f t="shared" si="62"/>
        <v>0</v>
      </c>
      <c r="BK311" s="183">
        <f t="shared" si="63"/>
        <v>0</v>
      </c>
      <c r="BL311" s="183">
        <f t="shared" si="64"/>
        <v>57111805.38168826</v>
      </c>
      <c r="BM311" s="184">
        <f t="shared" si="65"/>
        <v>52911805.38168826</v>
      </c>
      <c r="BN311" s="184">
        <f>ROUNDDOWN(BM311*'1. UC Assumptions'!$C$23,2)</f>
        <v>17460895.77</v>
      </c>
      <c r="BO311" s="184"/>
      <c r="BP311" s="185"/>
      <c r="BQ311" s="32"/>
      <c r="BR311" s="32"/>
    </row>
    <row r="312" spans="1:70">
      <c r="A312" s="177" t="s">
        <v>1753</v>
      </c>
      <c r="B312" s="178" t="s">
        <v>702</v>
      </c>
      <c r="C312" s="178" t="s">
        <v>702</v>
      </c>
      <c r="D312" s="179" t="s">
        <v>208</v>
      </c>
      <c r="E312" s="179" t="s">
        <v>149</v>
      </c>
      <c r="F312" s="177"/>
      <c r="G312" s="177" t="s">
        <v>703</v>
      </c>
      <c r="H312" s="178" t="s">
        <v>13</v>
      </c>
      <c r="I312" s="178" t="s">
        <v>704</v>
      </c>
      <c r="J312" s="131">
        <f>IFERROR(INDEX(#REF!,(MATCH('Old Calc Tab'!C:C,#REF!,0))),0)</f>
        <v>0</v>
      </c>
      <c r="K312" s="131">
        <f>IFERROR(INDEX(#REF!,(MATCH('Old Calc Tab'!$C:$C,#REF!,0))),0)</f>
        <v>0</v>
      </c>
      <c r="L312" s="131"/>
      <c r="M312" s="131">
        <v>565565.55000000005</v>
      </c>
      <c r="N312" s="131">
        <f>IFERROR(INDEX(#REF!,(MATCH('Old Calc Tab'!$C:$C,#REF!,0))),0)</f>
        <v>0</v>
      </c>
      <c r="O312" s="131">
        <f t="shared" si="54"/>
        <v>0</v>
      </c>
      <c r="P312" s="131">
        <f t="shared" si="55"/>
        <v>565565.55000000005</v>
      </c>
      <c r="Q312" s="131"/>
      <c r="R312" s="131"/>
      <c r="S312" s="131"/>
      <c r="T312" s="131"/>
      <c r="U312" s="131"/>
      <c r="V312" s="131">
        <v>0</v>
      </c>
      <c r="W312" s="180">
        <v>0</v>
      </c>
      <c r="X312" s="180">
        <f t="shared" si="67"/>
        <v>565565.55000000005</v>
      </c>
      <c r="Y312" s="181">
        <f>IF(D312="Physician Group Practice",(X312/$AE$369)*'1. UC Assumptions'!$C$15,IF(OR(E312="Rural Hospital",E312="Hosp - State"),X312,(X312/$X$369)*'1. UC Assumptions'!$C$9))</f>
        <v>565565.55000000005</v>
      </c>
      <c r="Z312" s="181">
        <f t="shared" si="56"/>
        <v>0</v>
      </c>
      <c r="AA312" s="181">
        <f t="shared" si="57"/>
        <v>0</v>
      </c>
      <c r="AB312" s="182">
        <f t="shared" si="58"/>
        <v>0</v>
      </c>
      <c r="AC312" s="181">
        <f t="shared" si="59"/>
        <v>0</v>
      </c>
      <c r="AD312" s="181">
        <f t="shared" si="60"/>
        <v>565565.55000000005</v>
      </c>
      <c r="AE312" s="131">
        <v>464648.15</v>
      </c>
      <c r="AF312" s="131">
        <f>AE312*'1. UC Assumptions'!$C$23</f>
        <v>153333.88949999999</v>
      </c>
      <c r="AG312" s="183">
        <f>IF((((X312-W312-AE312)*'1. UC Assumptions'!$C$23)+AF312)&gt;0,((X312-W312-AE312)*'1. UC Assumptions'!$C$23)+AF312,0)</f>
        <v>186636.63149999999</v>
      </c>
      <c r="AH312" s="183"/>
      <c r="AI312" s="183">
        <f t="shared" si="61"/>
        <v>153333.88949999999</v>
      </c>
      <c r="AJ312" s="183">
        <f>IF(H312="Bexar",(AD312/$AJ$1)*'1. UC Assumptions'!$E$42,0)</f>
        <v>0</v>
      </c>
      <c r="AK312" s="183">
        <f>IF(H312="Dallas",(AD312/$AK$1)*'1. UC Assumptions'!$F$42,0)</f>
        <v>0</v>
      </c>
      <c r="AL312" s="183">
        <f>IF(H312="El Paso",(AD312/$AL$1)*'1. UC Assumptions'!$G$42,0)</f>
        <v>0</v>
      </c>
      <c r="AM312" s="183">
        <f>IF(H312="Harris",(AD312/$AM$1)*'1. UC Assumptions'!$H$42,0)</f>
        <v>0</v>
      </c>
      <c r="AN312" s="183">
        <f>IF(H312="Hidalgo",(AD312/$AN$1)*'1. UC Assumptions'!$I$42,0)</f>
        <v>0</v>
      </c>
      <c r="AO312" s="183">
        <f>IF(H312="Jefferson",(AD312/$AO$1)*'1. UC Assumptions'!$J$42,0)</f>
        <v>0</v>
      </c>
      <c r="AP312" s="183">
        <f>IF(H312="Lubbock",(AD312/$AP$1)*'1. UC Assumptions'!$K$42,0)</f>
        <v>0</v>
      </c>
      <c r="AQ312" s="183">
        <f>IF(H312="MRSA Central",(AD312/$AQ$1)*'1. UC Assumptions'!$L$42,0)</f>
        <v>0</v>
      </c>
      <c r="AR312" s="183">
        <f>IF(H312="MRSA Northeast",(AD312/$AR$1)*'1. UC Assumptions'!$M$42,0)</f>
        <v>0</v>
      </c>
      <c r="AS312" s="183">
        <f>IF(H312="MRSA West",(AD312/$AS$1)*'1. UC Assumptions'!$N$42,0)</f>
        <v>0</v>
      </c>
      <c r="AT312" s="183">
        <f>IF(H312="Nueces",(AD312/$AT$1)*'1. UC Assumptions'!$O$42,0)</f>
        <v>0</v>
      </c>
      <c r="AU312" s="183">
        <f>IF(H312="Tarrant",(AD312/$AU$1)*'1. UC Assumptions'!$P$42,0)</f>
        <v>0</v>
      </c>
      <c r="AV312" s="183">
        <f>IF(H312="Travis",(AD312/$AV$1)*'1. UC Assumptions'!$Q$42,0)</f>
        <v>0</v>
      </c>
      <c r="AW312" s="183">
        <f>IF(H312="Bexar",(AC312/$AW$1)*'1. UC Assumptions'!$E$44,0)</f>
        <v>0</v>
      </c>
      <c r="AX312" s="183">
        <f>IF(H312="Dallas",(AC312/$AX$1)*'1. UC Assumptions'!$F$44,0)</f>
        <v>0</v>
      </c>
      <c r="AY312" s="183">
        <f>IF(H312="El Paso",(AC312/$AY$1)*'1. UC Assumptions'!$G$44,0)</f>
        <v>0</v>
      </c>
      <c r="AZ312" s="183">
        <f>IF(H312="Harris",(AC312/$AZ$1)*'1. UC Assumptions'!$H$44,0)</f>
        <v>0</v>
      </c>
      <c r="BA312" s="183">
        <f>IF(H312="Hidalgo",(AC312/$BA$1)*'1. UC Assumptions'!$I$44,0)</f>
        <v>0</v>
      </c>
      <c r="BB312" s="183">
        <f>IF(H312="Jefferson",(AC312/$BB$1)*'1. UC Assumptions'!$J$44,0)</f>
        <v>0</v>
      </c>
      <c r="BC312" s="183">
        <f>IF(H312="Lubbock",(AC312/$BC$1)*'1. UC Assumptions'!$K$44,0)</f>
        <v>0</v>
      </c>
      <c r="BD312" s="183">
        <f>IF(H312="MRSA Central",(AC312/$BD$1)*'1. UC Assumptions'!$L$44,0)</f>
        <v>0</v>
      </c>
      <c r="BE312" s="183">
        <f>IF(H312="MRSA Northeast",(AC312/$BE$1)*'1. UC Assumptions'!$M$44,0)</f>
        <v>0</v>
      </c>
      <c r="BF312" s="183">
        <f>IF(H312="MRSA West",(AC312/$BF$1)*'1. UC Assumptions'!$N$44,0)</f>
        <v>0</v>
      </c>
      <c r="BG312" s="183">
        <f>IF(H312="Nueces",(AC312/$BG$1)*'1. UC Assumptions'!$O$44,0)</f>
        <v>0</v>
      </c>
      <c r="BH312" s="183">
        <f>IF(H312="Tarrant",(AC312/$BH$1)*'1. UC Assumptions'!$P$44,0)</f>
        <v>0</v>
      </c>
      <c r="BI312" s="183">
        <f>IF(H312="Travis",(AC312/$BI$1)*'1. UC Assumptions'!$Q$44,0)</f>
        <v>0</v>
      </c>
      <c r="BJ312" s="183">
        <f t="shared" si="62"/>
        <v>0</v>
      </c>
      <c r="BK312" s="183">
        <f t="shared" si="63"/>
        <v>0</v>
      </c>
      <c r="BL312" s="183">
        <f t="shared" si="64"/>
        <v>565565.55000000005</v>
      </c>
      <c r="BM312" s="184">
        <f t="shared" si="65"/>
        <v>100917.40000000002</v>
      </c>
      <c r="BN312" s="184">
        <f>ROUNDDOWN(BM312*'1. UC Assumptions'!$C$23,2)</f>
        <v>33302.74</v>
      </c>
      <c r="BO312" s="184"/>
      <c r="BP312" s="185"/>
      <c r="BQ312" s="32"/>
      <c r="BR312" s="32"/>
    </row>
    <row r="313" spans="1:70">
      <c r="A313" s="177" t="s">
        <v>1754</v>
      </c>
      <c r="B313" s="178" t="s">
        <v>708</v>
      </c>
      <c r="C313" s="178" t="s">
        <v>708</v>
      </c>
      <c r="D313" s="179" t="s">
        <v>214</v>
      </c>
      <c r="E313" s="179" t="s">
        <v>149</v>
      </c>
      <c r="F313" s="177"/>
      <c r="G313" s="177" t="s">
        <v>1755</v>
      </c>
      <c r="H313" s="178" t="s">
        <v>13</v>
      </c>
      <c r="I313" s="178" t="s">
        <v>710</v>
      </c>
      <c r="J313" s="131">
        <f>IFERROR(INDEX(#REF!,(MATCH('Old Calc Tab'!C:C,#REF!,0))),0)</f>
        <v>0</v>
      </c>
      <c r="K313" s="131">
        <f>IFERROR(INDEX(#REF!,(MATCH('Old Calc Tab'!$C:$C,#REF!,0))),0)</f>
        <v>0</v>
      </c>
      <c r="L313" s="131"/>
      <c r="M313" s="131">
        <v>5901458</v>
      </c>
      <c r="N313" s="131">
        <f>IFERROR(INDEX(#REF!,(MATCH('Old Calc Tab'!$C:$C,#REF!,0))),0)</f>
        <v>0</v>
      </c>
      <c r="O313" s="131">
        <f t="shared" si="54"/>
        <v>0</v>
      </c>
      <c r="P313" s="131">
        <f t="shared" si="55"/>
        <v>5901458</v>
      </c>
      <c r="Q313" s="131"/>
      <c r="R313" s="131"/>
      <c r="S313" s="131"/>
      <c r="T313" s="131"/>
      <c r="U313" s="131"/>
      <c r="V313" s="131">
        <v>5292</v>
      </c>
      <c r="W313" s="180">
        <v>0</v>
      </c>
      <c r="X313" s="180">
        <f t="shared" si="67"/>
        <v>5906750</v>
      </c>
      <c r="Y313" s="181">
        <f>IF(D313="Physician Group Practice",(X313/$AE$369)*'1. UC Assumptions'!$C$15,IF(OR(E313="Rural Hospital",E313="Hosp - State"),X313,(X313/$X$369)*'1. UC Assumptions'!$C$9))</f>
        <v>5906750</v>
      </c>
      <c r="Z313" s="181">
        <f t="shared" si="56"/>
        <v>0</v>
      </c>
      <c r="AA313" s="181">
        <f t="shared" si="57"/>
        <v>0</v>
      </c>
      <c r="AB313" s="182">
        <f t="shared" si="58"/>
        <v>0</v>
      </c>
      <c r="AC313" s="181">
        <f t="shared" si="59"/>
        <v>0</v>
      </c>
      <c r="AD313" s="181">
        <f t="shared" si="60"/>
        <v>5906750</v>
      </c>
      <c r="AE313" s="131">
        <v>1483959.47</v>
      </c>
      <c r="AF313" s="131">
        <f>AE313*'1. UC Assumptions'!$C$23</f>
        <v>489706.62509999995</v>
      </c>
      <c r="AG313" s="183">
        <f>IF((((X313-W313-AE313)*'1. UC Assumptions'!$C$23)+AF313)&gt;0,((X313-W313-AE313)*'1. UC Assumptions'!$C$23)+AF313,0)</f>
        <v>1949227.5</v>
      </c>
      <c r="AH313" s="183"/>
      <c r="AI313" s="183">
        <f t="shared" si="61"/>
        <v>489706.62509999995</v>
      </c>
      <c r="AJ313" s="183">
        <f>IF(H313="Bexar",(AD313/$AJ$1)*'1. UC Assumptions'!$E$42,0)</f>
        <v>0</v>
      </c>
      <c r="AK313" s="183">
        <f>IF(H313="Dallas",(AD313/$AK$1)*'1. UC Assumptions'!$F$42,0)</f>
        <v>0</v>
      </c>
      <c r="AL313" s="183">
        <f>IF(H313="El Paso",(AD313/$AL$1)*'1. UC Assumptions'!$G$42,0)</f>
        <v>0</v>
      </c>
      <c r="AM313" s="183">
        <f>IF(H313="Harris",(AD313/$AM$1)*'1. UC Assumptions'!$H$42,0)</f>
        <v>0</v>
      </c>
      <c r="AN313" s="183">
        <f>IF(H313="Hidalgo",(AD313/$AN$1)*'1. UC Assumptions'!$I$42,0)</f>
        <v>0</v>
      </c>
      <c r="AO313" s="183">
        <f>IF(H313="Jefferson",(AD313/$AO$1)*'1. UC Assumptions'!$J$42,0)</f>
        <v>0</v>
      </c>
      <c r="AP313" s="183">
        <f>IF(H313="Lubbock",(AD313/$AP$1)*'1. UC Assumptions'!$K$42,0)</f>
        <v>0</v>
      </c>
      <c r="AQ313" s="183">
        <f>IF(H313="MRSA Central",(AD313/$AQ$1)*'1. UC Assumptions'!$L$42,0)</f>
        <v>0</v>
      </c>
      <c r="AR313" s="183">
        <f>IF(H313="MRSA Northeast",(AD313/$AR$1)*'1. UC Assumptions'!$M$42,0)</f>
        <v>0</v>
      </c>
      <c r="AS313" s="183">
        <f>IF(H313="MRSA West",(AD313/$AS$1)*'1. UC Assumptions'!$N$42,0)</f>
        <v>0</v>
      </c>
      <c r="AT313" s="183">
        <f>IF(H313="Nueces",(AD313/$AT$1)*'1. UC Assumptions'!$O$42,0)</f>
        <v>0</v>
      </c>
      <c r="AU313" s="183">
        <f>IF(H313="Tarrant",(AD313/$AU$1)*'1. UC Assumptions'!$P$42,0)</f>
        <v>0</v>
      </c>
      <c r="AV313" s="183">
        <f>IF(H313="Travis",(AD313/$AV$1)*'1. UC Assumptions'!$Q$42,0)</f>
        <v>0</v>
      </c>
      <c r="AW313" s="183">
        <f>IF(H313="Bexar",(AC313/$AW$1)*'1. UC Assumptions'!$E$44,0)</f>
        <v>0</v>
      </c>
      <c r="AX313" s="183">
        <f>IF(H313="Dallas",(AC313/$AX$1)*'1. UC Assumptions'!$F$44,0)</f>
        <v>0</v>
      </c>
      <c r="AY313" s="183">
        <f>IF(H313="El Paso",(AC313/$AY$1)*'1. UC Assumptions'!$G$44,0)</f>
        <v>0</v>
      </c>
      <c r="AZ313" s="183">
        <f>IF(H313="Harris",(AC313/$AZ$1)*'1. UC Assumptions'!$H$44,0)</f>
        <v>0</v>
      </c>
      <c r="BA313" s="183">
        <f>IF(H313="Hidalgo",(AC313/$BA$1)*'1. UC Assumptions'!$I$44,0)</f>
        <v>0</v>
      </c>
      <c r="BB313" s="183">
        <f>IF(H313="Jefferson",(AC313/$BB$1)*'1. UC Assumptions'!$J$44,0)</f>
        <v>0</v>
      </c>
      <c r="BC313" s="183">
        <f>IF(H313="Lubbock",(AC313/$BC$1)*'1. UC Assumptions'!$K$44,0)</f>
        <v>0</v>
      </c>
      <c r="BD313" s="183">
        <f>IF(H313="MRSA Central",(AC313/$BD$1)*'1. UC Assumptions'!$L$44,0)</f>
        <v>0</v>
      </c>
      <c r="BE313" s="183">
        <f>IF(H313="MRSA Northeast",(AC313/$BE$1)*'1. UC Assumptions'!$M$44,0)</f>
        <v>0</v>
      </c>
      <c r="BF313" s="183">
        <f>IF(H313="MRSA West",(AC313/$BF$1)*'1. UC Assumptions'!$N$44,0)</f>
        <v>0</v>
      </c>
      <c r="BG313" s="183">
        <f>IF(H313="Nueces",(AC313/$BG$1)*'1. UC Assumptions'!$O$44,0)</f>
        <v>0</v>
      </c>
      <c r="BH313" s="183">
        <f>IF(H313="Tarrant",(AC313/$BH$1)*'1. UC Assumptions'!$P$44,0)</f>
        <v>0</v>
      </c>
      <c r="BI313" s="183">
        <f>IF(H313="Travis",(AC313/$BI$1)*'1. UC Assumptions'!$Q$44,0)</f>
        <v>0</v>
      </c>
      <c r="BJ313" s="183">
        <f t="shared" si="62"/>
        <v>0</v>
      </c>
      <c r="BK313" s="183">
        <f t="shared" si="63"/>
        <v>0</v>
      </c>
      <c r="BL313" s="183">
        <f t="shared" si="64"/>
        <v>5906750</v>
      </c>
      <c r="BM313" s="184">
        <f t="shared" si="65"/>
        <v>4422790.53</v>
      </c>
      <c r="BN313" s="184">
        <f>ROUNDDOWN(BM313*'1. UC Assumptions'!$C$23,2)</f>
        <v>1459520.87</v>
      </c>
      <c r="BO313" s="184"/>
      <c r="BP313" s="185"/>
      <c r="BQ313" s="32"/>
      <c r="BR313" s="32"/>
    </row>
    <row r="314" spans="1:70">
      <c r="A314" s="177" t="s">
        <v>1756</v>
      </c>
      <c r="B314" s="177" t="s">
        <v>734</v>
      </c>
      <c r="C314" s="178" t="s">
        <v>734</v>
      </c>
      <c r="D314" s="179" t="s">
        <v>208</v>
      </c>
      <c r="E314" s="179"/>
      <c r="F314" s="177"/>
      <c r="G314" s="177" t="s">
        <v>1757</v>
      </c>
      <c r="H314" s="178" t="s">
        <v>13</v>
      </c>
      <c r="I314" s="178" t="s">
        <v>324</v>
      </c>
      <c r="J314" s="131">
        <f>IFERROR(INDEX(#REF!,(MATCH('Old Calc Tab'!C:C,#REF!,0))),0)</f>
        <v>0</v>
      </c>
      <c r="K314" s="131">
        <f>IFERROR(INDEX(#REF!,(MATCH('Old Calc Tab'!$C:$C,#REF!,0))),0)</f>
        <v>0</v>
      </c>
      <c r="L314" s="131"/>
      <c r="M314" s="131">
        <v>6310477</v>
      </c>
      <c r="N314" s="131">
        <f>IFERROR(INDEX(#REF!,(MATCH('Old Calc Tab'!$C:$C,#REF!,0))),0)</f>
        <v>0</v>
      </c>
      <c r="O314" s="131">
        <f t="shared" si="54"/>
        <v>0</v>
      </c>
      <c r="P314" s="131">
        <f t="shared" si="55"/>
        <v>6310477</v>
      </c>
      <c r="Q314" s="131"/>
      <c r="R314" s="131"/>
      <c r="S314" s="131"/>
      <c r="T314" s="131"/>
      <c r="U314" s="131"/>
      <c r="V314" s="131">
        <v>2574030</v>
      </c>
      <c r="W314" s="180">
        <v>0</v>
      </c>
      <c r="X314" s="180">
        <f t="shared" si="67"/>
        <v>8884507</v>
      </c>
      <c r="Y314" s="181">
        <f>IF(D314="Physician Group Practice",(X314/$AE$369)*'1. UC Assumptions'!$C$15,IF(OR(E314="Rural Hospital",E314="Hosp - State"),X314,(X314/$X$369)*'1. UC Assumptions'!$C$9))</f>
        <v>5347256.275494826</v>
      </c>
      <c r="Z314" s="181">
        <f t="shared" si="56"/>
        <v>0</v>
      </c>
      <c r="AA314" s="181">
        <f t="shared" si="57"/>
        <v>3537250.724505174</v>
      </c>
      <c r="AB314" s="182">
        <f t="shared" si="58"/>
        <v>1899.6138038215129</v>
      </c>
      <c r="AC314" s="181">
        <f t="shared" si="59"/>
        <v>3539150.3383089956</v>
      </c>
      <c r="AD314" s="181">
        <f t="shared" si="60"/>
        <v>5349155.8892986476</v>
      </c>
      <c r="AE314" s="131">
        <v>4493432.9800000004</v>
      </c>
      <c r="AF314" s="131">
        <f>AE314*'1. UC Assumptions'!$C$23</f>
        <v>1482832.8833999999</v>
      </c>
      <c r="AG314" s="183">
        <f>IF((((X314-W314-AE314)*'1. UC Assumptions'!$C$23)+AF314)&gt;0,((X314-W314-AE314)*'1. UC Assumptions'!$C$23)+AF314,0)</f>
        <v>2931887.3099999996</v>
      </c>
      <c r="AH314" s="183"/>
      <c r="AI314" s="183">
        <f t="shared" si="61"/>
        <v>1482832.8833999999</v>
      </c>
      <c r="AJ314" s="183">
        <f>IF(H314="Bexar",(AD314/$AJ$1)*'1. UC Assumptions'!$E$42,0)</f>
        <v>0</v>
      </c>
      <c r="AK314" s="183">
        <f>IF(H314="Dallas",(AD314/$AK$1)*'1. UC Assumptions'!$F$42,0)</f>
        <v>0</v>
      </c>
      <c r="AL314" s="183">
        <f>IF(H314="El Paso",(AD314/$AL$1)*'1. UC Assumptions'!$G$42,0)</f>
        <v>0</v>
      </c>
      <c r="AM314" s="183">
        <f>IF(H314="Harris",(AD314/$AM$1)*'1. UC Assumptions'!$H$42,0)</f>
        <v>0</v>
      </c>
      <c r="AN314" s="183">
        <f>IF(H314="Hidalgo",(AD314/$AN$1)*'1. UC Assumptions'!$I$42,0)</f>
        <v>0</v>
      </c>
      <c r="AO314" s="183">
        <f>IF(H314="Jefferson",(AD314/$AO$1)*'1. UC Assumptions'!$J$42,0)</f>
        <v>0</v>
      </c>
      <c r="AP314" s="183">
        <f>IF(H314="Lubbock",(AD314/$AP$1)*'1. UC Assumptions'!$K$42,0)</f>
        <v>0</v>
      </c>
      <c r="AQ314" s="183">
        <f>IF(H314="MRSA Central",(AD314/$AQ$1)*'1. UC Assumptions'!$L$42,0)</f>
        <v>0</v>
      </c>
      <c r="AR314" s="183">
        <f>IF(H314="MRSA Northeast",(AD314/$AR$1)*'1. UC Assumptions'!$M$42,0)</f>
        <v>0</v>
      </c>
      <c r="AS314" s="183">
        <f>IF(H314="MRSA West",(AD314/$AS$1)*'1. UC Assumptions'!$N$42,0)</f>
        <v>0</v>
      </c>
      <c r="AT314" s="183">
        <f>IF(H314="Nueces",(AD314/$AT$1)*'1. UC Assumptions'!$O$42,0)</f>
        <v>0</v>
      </c>
      <c r="AU314" s="183">
        <f>IF(H314="Tarrant",(AD314/$AU$1)*'1. UC Assumptions'!$P$42,0)</f>
        <v>0</v>
      </c>
      <c r="AV314" s="183">
        <f>IF(H314="Travis",(AD314/$AV$1)*'1. UC Assumptions'!$Q$42,0)</f>
        <v>0</v>
      </c>
      <c r="AW314" s="183">
        <f>IF(H314="Bexar",(AC314/$AW$1)*'1. UC Assumptions'!$E$44,0)</f>
        <v>0</v>
      </c>
      <c r="AX314" s="183">
        <f>IF(H314="Dallas",(AC314/$AX$1)*'1. UC Assumptions'!$F$44,0)</f>
        <v>0</v>
      </c>
      <c r="AY314" s="183">
        <f>IF(H314="El Paso",(AC314/$AY$1)*'1. UC Assumptions'!$G$44,0)</f>
        <v>0</v>
      </c>
      <c r="AZ314" s="183">
        <f>IF(H314="Harris",(AC314/$AZ$1)*'1. UC Assumptions'!$H$44,0)</f>
        <v>0</v>
      </c>
      <c r="BA314" s="183">
        <f>IF(H314="Hidalgo",(AC314/$BA$1)*'1. UC Assumptions'!$I$44,0)</f>
        <v>0</v>
      </c>
      <c r="BB314" s="183">
        <f>IF(H314="Jefferson",(AC314/$BB$1)*'1. UC Assumptions'!$J$44,0)</f>
        <v>0</v>
      </c>
      <c r="BC314" s="183">
        <f>IF(H314="Lubbock",(AC314/$BC$1)*'1. UC Assumptions'!$K$44,0)</f>
        <v>0</v>
      </c>
      <c r="BD314" s="183">
        <f>IF(H314="MRSA Central",(AC314/$BD$1)*'1. UC Assumptions'!$L$44,0)</f>
        <v>0</v>
      </c>
      <c r="BE314" s="183">
        <f>IF(H314="MRSA Northeast",(AC314/$BE$1)*'1. UC Assumptions'!$M$44,0)</f>
        <v>0</v>
      </c>
      <c r="BF314" s="183">
        <f>IF(H314="MRSA West",(AC314/$BF$1)*'1. UC Assumptions'!$N$44,0)</f>
        <v>0</v>
      </c>
      <c r="BG314" s="183">
        <f>IF(H314="Nueces",(AC314/$BG$1)*'1. UC Assumptions'!$O$44,0)</f>
        <v>0</v>
      </c>
      <c r="BH314" s="183">
        <f>IF(H314="Tarrant",(AC314/$BH$1)*'1. UC Assumptions'!$P$44,0)</f>
        <v>0</v>
      </c>
      <c r="BI314" s="183">
        <f>IF(H314="Travis",(AC314/$BI$1)*'1. UC Assumptions'!$Q$44,0)</f>
        <v>0</v>
      </c>
      <c r="BJ314" s="183">
        <f t="shared" si="62"/>
        <v>0</v>
      </c>
      <c r="BK314" s="183">
        <f t="shared" si="63"/>
        <v>0</v>
      </c>
      <c r="BL314" s="183">
        <f t="shared" si="64"/>
        <v>5349155.8892986476</v>
      </c>
      <c r="BM314" s="184">
        <f t="shared" si="65"/>
        <v>855722.9092986472</v>
      </c>
      <c r="BN314" s="184">
        <f>ROUNDDOWN(BM314*'1. UC Assumptions'!$C$23,2)</f>
        <v>282388.56</v>
      </c>
      <c r="BO314" s="184"/>
      <c r="BP314" s="185"/>
      <c r="BQ314" s="32"/>
      <c r="BR314" s="32"/>
    </row>
    <row r="315" spans="1:70">
      <c r="A315" s="177" t="s">
        <v>1758</v>
      </c>
      <c r="B315" s="178" t="s">
        <v>736</v>
      </c>
      <c r="C315" s="178" t="s">
        <v>736</v>
      </c>
      <c r="D315" s="179" t="s">
        <v>208</v>
      </c>
      <c r="E315" s="179" t="s">
        <v>149</v>
      </c>
      <c r="F315" s="177"/>
      <c r="G315" s="177" t="s">
        <v>737</v>
      </c>
      <c r="H315" s="178" t="s">
        <v>13</v>
      </c>
      <c r="I315" s="178" t="s">
        <v>738</v>
      </c>
      <c r="J315" s="131">
        <f>IFERROR(INDEX(#REF!,(MATCH('Old Calc Tab'!C:C,#REF!,0))),0)</f>
        <v>0</v>
      </c>
      <c r="K315" s="131">
        <f>IFERROR(INDEX(#REF!,(MATCH('Old Calc Tab'!$C:$C,#REF!,0))),0)</f>
        <v>0</v>
      </c>
      <c r="L315" s="131"/>
      <c r="M315" s="131">
        <v>998272.8</v>
      </c>
      <c r="N315" s="131">
        <f>IFERROR(INDEX(#REF!,(MATCH('Old Calc Tab'!$C:$C,#REF!,0))),0)</f>
        <v>0</v>
      </c>
      <c r="O315" s="131">
        <f t="shared" si="54"/>
        <v>0</v>
      </c>
      <c r="P315" s="131">
        <f t="shared" si="55"/>
        <v>998272.8</v>
      </c>
      <c r="Q315" s="131"/>
      <c r="R315" s="131"/>
      <c r="S315" s="131"/>
      <c r="T315" s="131"/>
      <c r="U315" s="131"/>
      <c r="V315" s="131">
        <v>90692</v>
      </c>
      <c r="W315" s="180">
        <v>0</v>
      </c>
      <c r="X315" s="180">
        <f t="shared" si="67"/>
        <v>1088964.8</v>
      </c>
      <c r="Y315" s="181">
        <f>IF(D315="Physician Group Practice",(X315/$AE$369)*'1. UC Assumptions'!$C$15,IF(OR(E315="Rural Hospital",E315="Hosp - State"),X315,(X315/$X$369)*'1. UC Assumptions'!$C$9))</f>
        <v>1088964.8</v>
      </c>
      <c r="Z315" s="181">
        <f t="shared" si="56"/>
        <v>0</v>
      </c>
      <c r="AA315" s="181">
        <f t="shared" si="57"/>
        <v>0</v>
      </c>
      <c r="AB315" s="182">
        <f t="shared" si="58"/>
        <v>0</v>
      </c>
      <c r="AC315" s="181">
        <f t="shared" si="59"/>
        <v>0</v>
      </c>
      <c r="AD315" s="181">
        <f t="shared" si="60"/>
        <v>1088964.8</v>
      </c>
      <c r="AE315" s="131">
        <v>467748.84</v>
      </c>
      <c r="AF315" s="131">
        <f>AE315*'1. UC Assumptions'!$C$23</f>
        <v>154357.11719999998</v>
      </c>
      <c r="AG315" s="183">
        <f>IF((((X315-W315-AE315)*'1. UC Assumptions'!$C$23)+AF315)&gt;0,((X315-W315-AE315)*'1. UC Assumptions'!$C$23)+AF315,0)</f>
        <v>359358.38399999996</v>
      </c>
      <c r="AH315" s="183"/>
      <c r="AI315" s="183">
        <f t="shared" si="61"/>
        <v>154357.11719999998</v>
      </c>
      <c r="AJ315" s="183">
        <f>IF(H315="Bexar",(AD315/$AJ$1)*'1. UC Assumptions'!$E$42,0)</f>
        <v>0</v>
      </c>
      <c r="AK315" s="183">
        <f>IF(H315="Dallas",(AD315/$AK$1)*'1. UC Assumptions'!$F$42,0)</f>
        <v>0</v>
      </c>
      <c r="AL315" s="183">
        <f>IF(H315="El Paso",(AD315/$AL$1)*'1. UC Assumptions'!$G$42,0)</f>
        <v>0</v>
      </c>
      <c r="AM315" s="183">
        <f>IF(H315="Harris",(AD315/$AM$1)*'1. UC Assumptions'!$H$42,0)</f>
        <v>0</v>
      </c>
      <c r="AN315" s="183">
        <f>IF(H315="Hidalgo",(AD315/$AN$1)*'1. UC Assumptions'!$I$42,0)</f>
        <v>0</v>
      </c>
      <c r="AO315" s="183">
        <f>IF(H315="Jefferson",(AD315/$AO$1)*'1. UC Assumptions'!$J$42,0)</f>
        <v>0</v>
      </c>
      <c r="AP315" s="183">
        <f>IF(H315="Lubbock",(AD315/$AP$1)*'1. UC Assumptions'!$K$42,0)</f>
        <v>0</v>
      </c>
      <c r="AQ315" s="183">
        <f>IF(H315="MRSA Central",(AD315/$AQ$1)*'1. UC Assumptions'!$L$42,0)</f>
        <v>0</v>
      </c>
      <c r="AR315" s="183">
        <f>IF(H315="MRSA Northeast",(AD315/$AR$1)*'1. UC Assumptions'!$M$42,0)</f>
        <v>0</v>
      </c>
      <c r="AS315" s="183">
        <f>IF(H315="MRSA West",(AD315/$AS$1)*'1. UC Assumptions'!$N$42,0)</f>
        <v>0</v>
      </c>
      <c r="AT315" s="183">
        <f>IF(H315="Nueces",(AD315/$AT$1)*'1. UC Assumptions'!$O$42,0)</f>
        <v>0</v>
      </c>
      <c r="AU315" s="183">
        <f>IF(H315="Tarrant",(AD315/$AU$1)*'1. UC Assumptions'!$P$42,0)</f>
        <v>0</v>
      </c>
      <c r="AV315" s="183">
        <f>IF(H315="Travis",(AD315/$AV$1)*'1. UC Assumptions'!$Q$42,0)</f>
        <v>0</v>
      </c>
      <c r="AW315" s="183">
        <f>IF(H315="Bexar",(AC315/$AW$1)*'1. UC Assumptions'!$E$44,0)</f>
        <v>0</v>
      </c>
      <c r="AX315" s="183">
        <f>IF(H315="Dallas",(AC315/$AX$1)*'1. UC Assumptions'!$F$44,0)</f>
        <v>0</v>
      </c>
      <c r="AY315" s="183">
        <f>IF(H315="El Paso",(AC315/$AY$1)*'1. UC Assumptions'!$G$44,0)</f>
        <v>0</v>
      </c>
      <c r="AZ315" s="183">
        <f>IF(H315="Harris",(AC315/$AZ$1)*'1. UC Assumptions'!$H$44,0)</f>
        <v>0</v>
      </c>
      <c r="BA315" s="183">
        <f>IF(H315="Hidalgo",(AC315/$BA$1)*'1. UC Assumptions'!$I$44,0)</f>
        <v>0</v>
      </c>
      <c r="BB315" s="183">
        <f>IF(H315="Jefferson",(AC315/$BB$1)*'1. UC Assumptions'!$J$44,0)</f>
        <v>0</v>
      </c>
      <c r="BC315" s="183">
        <f>IF(H315="Lubbock",(AC315/$BC$1)*'1. UC Assumptions'!$K$44,0)</f>
        <v>0</v>
      </c>
      <c r="BD315" s="183">
        <f>IF(H315="MRSA Central",(AC315/$BD$1)*'1. UC Assumptions'!$L$44,0)</f>
        <v>0</v>
      </c>
      <c r="BE315" s="183">
        <f>IF(H315="MRSA Northeast",(AC315/$BE$1)*'1. UC Assumptions'!$M$44,0)</f>
        <v>0</v>
      </c>
      <c r="BF315" s="183">
        <f>IF(H315="MRSA West",(AC315/$BF$1)*'1. UC Assumptions'!$N$44,0)</f>
        <v>0</v>
      </c>
      <c r="BG315" s="183">
        <f>IF(H315="Nueces",(AC315/$BG$1)*'1. UC Assumptions'!$O$44,0)</f>
        <v>0</v>
      </c>
      <c r="BH315" s="183">
        <f>IF(H315="Tarrant",(AC315/$BH$1)*'1. UC Assumptions'!$P$44,0)</f>
        <v>0</v>
      </c>
      <c r="BI315" s="183">
        <f>IF(H315="Travis",(AC315/$BI$1)*'1. UC Assumptions'!$Q$44,0)</f>
        <v>0</v>
      </c>
      <c r="BJ315" s="183">
        <f t="shared" si="62"/>
        <v>0</v>
      </c>
      <c r="BK315" s="183">
        <f t="shared" si="63"/>
        <v>0</v>
      </c>
      <c r="BL315" s="183">
        <f t="shared" si="64"/>
        <v>1088964.8</v>
      </c>
      <c r="BM315" s="184">
        <f t="shared" si="65"/>
        <v>621215.96</v>
      </c>
      <c r="BN315" s="184">
        <f>ROUNDDOWN(BM315*'1. UC Assumptions'!$C$23,2)</f>
        <v>205001.26</v>
      </c>
      <c r="BO315" s="184"/>
      <c r="BP315" s="185"/>
      <c r="BQ315" s="32"/>
      <c r="BR315" s="32"/>
    </row>
    <row r="316" spans="1:70">
      <c r="A316" s="177" t="s">
        <v>1759</v>
      </c>
      <c r="B316" s="178" t="s">
        <v>238</v>
      </c>
      <c r="C316" s="178" t="s">
        <v>238</v>
      </c>
      <c r="D316" s="179" t="s">
        <v>214</v>
      </c>
      <c r="E316" s="179"/>
      <c r="F316" s="177"/>
      <c r="G316" s="177" t="s">
        <v>1760</v>
      </c>
      <c r="H316" s="178" t="s">
        <v>14</v>
      </c>
      <c r="I316" s="178" t="s">
        <v>14</v>
      </c>
      <c r="J316" s="131">
        <f>IFERROR(INDEX(#REF!,(MATCH('Old Calc Tab'!C:C,#REF!,0))),0)</f>
        <v>0</v>
      </c>
      <c r="K316" s="131">
        <f>IFERROR(INDEX(#REF!,(MATCH('Old Calc Tab'!$C:$C,#REF!,0))),0)</f>
        <v>0</v>
      </c>
      <c r="L316" s="131"/>
      <c r="M316" s="131">
        <v>33883948.985882729</v>
      </c>
      <c r="N316" s="131">
        <f>IFERROR(INDEX(#REF!,(MATCH('Old Calc Tab'!$C:$C,#REF!,0))),0)</f>
        <v>0</v>
      </c>
      <c r="O316" s="131">
        <f t="shared" si="54"/>
        <v>0</v>
      </c>
      <c r="P316" s="131">
        <f t="shared" si="55"/>
        <v>33883948.985882729</v>
      </c>
      <c r="Q316" s="131"/>
      <c r="R316" s="131"/>
      <c r="S316" s="131"/>
      <c r="T316" s="131"/>
      <c r="U316" s="131"/>
      <c r="V316" s="131">
        <v>0</v>
      </c>
      <c r="W316" s="180">
        <v>0</v>
      </c>
      <c r="X316" s="180">
        <f t="shared" si="67"/>
        <v>33883948.985882729</v>
      </c>
      <c r="Y316" s="181">
        <f>IF(D316="Physician Group Practice",(X316/$AE$369)*'1. UC Assumptions'!$C$15,IF(OR(E316="Rural Hospital",E316="Hosp - State"),X316,(X316/$X$369)*'1. UC Assumptions'!$C$9))</f>
        <v>20393496.099818252</v>
      </c>
      <c r="Z316" s="181">
        <f t="shared" si="56"/>
        <v>0</v>
      </c>
      <c r="AA316" s="181">
        <f t="shared" si="57"/>
        <v>13490452.886064477</v>
      </c>
      <c r="AB316" s="182">
        <f t="shared" si="58"/>
        <v>7244.7933488675053</v>
      </c>
      <c r="AC316" s="181">
        <f t="shared" si="59"/>
        <v>13497697.679413345</v>
      </c>
      <c r="AD316" s="181">
        <f t="shared" si="60"/>
        <v>20400740.893167119</v>
      </c>
      <c r="AE316" s="131">
        <v>5785945.7800000003</v>
      </c>
      <c r="AF316" s="131">
        <f>AE316*'1. UC Assumptions'!$C$23</f>
        <v>1909362.1073999999</v>
      </c>
      <c r="AG316" s="183">
        <f>IF((((X316-W316-AE316)*'1. UC Assumptions'!$C$23)+AF316)&gt;0,((X316-W316-AE316)*'1. UC Assumptions'!$C$23)+AF316,0)</f>
        <v>11181703.165341299</v>
      </c>
      <c r="AH316" s="183"/>
      <c r="AI316" s="183">
        <f t="shared" si="61"/>
        <v>1909362.1073999999</v>
      </c>
      <c r="AJ316" s="183">
        <f>IF(H316="Bexar",(AD316/$AJ$1)*'1. UC Assumptions'!$E$42,0)</f>
        <v>0</v>
      </c>
      <c r="AK316" s="183">
        <f>IF(H316="Dallas",(AD316/$AK$1)*'1. UC Assumptions'!$F$42,0)</f>
        <v>0</v>
      </c>
      <c r="AL316" s="183">
        <f>IF(H316="El Paso",(AD316/$AL$1)*'1. UC Assumptions'!$G$42,0)</f>
        <v>0</v>
      </c>
      <c r="AM316" s="183">
        <f>IF(H316="Harris",(AD316/$AM$1)*'1. UC Assumptions'!$H$42,0)</f>
        <v>0</v>
      </c>
      <c r="AN316" s="183">
        <f>IF(H316="Hidalgo",(AD316/$AN$1)*'1. UC Assumptions'!$I$42,0)</f>
        <v>0</v>
      </c>
      <c r="AO316" s="183">
        <f>IF(H316="Jefferson",(AD316/$AO$1)*'1. UC Assumptions'!$J$42,0)</f>
        <v>0</v>
      </c>
      <c r="AP316" s="183">
        <f>IF(H316="Lubbock",(AD316/$AP$1)*'1. UC Assumptions'!$K$42,0)</f>
        <v>0</v>
      </c>
      <c r="AQ316" s="183">
        <f>IF(H316="MRSA Central",(AD316/$AQ$1)*'1. UC Assumptions'!$L$42,0)</f>
        <v>0</v>
      </c>
      <c r="AR316" s="183">
        <f>IF(H316="MRSA Northeast",(AD316/$AR$1)*'1. UC Assumptions'!$M$42,0)</f>
        <v>0</v>
      </c>
      <c r="AS316" s="183">
        <f>IF(H316="MRSA West",(AD316/$AS$1)*'1. UC Assumptions'!$N$42,0)</f>
        <v>0</v>
      </c>
      <c r="AT316" s="183">
        <f>IF(H316="Nueces",(AD316/$AT$1)*'1. UC Assumptions'!$O$42,0)</f>
        <v>0</v>
      </c>
      <c r="AU316" s="183">
        <f>IF(H316="Tarrant",(AD316/$AU$1)*'1. UC Assumptions'!$P$42,0)</f>
        <v>0</v>
      </c>
      <c r="AV316" s="183">
        <f>IF(H316="Travis",(AD316/$AV$1)*'1. UC Assumptions'!$Q$42,0)</f>
        <v>0</v>
      </c>
      <c r="AW316" s="183">
        <f>IF(H316="Bexar",(AC316/$AW$1)*'1. UC Assumptions'!$E$44,0)</f>
        <v>0</v>
      </c>
      <c r="AX316" s="183">
        <f>IF(H316="Dallas",(AC316/$AX$1)*'1. UC Assumptions'!$F$44,0)</f>
        <v>0</v>
      </c>
      <c r="AY316" s="183">
        <f>IF(H316="El Paso",(AC316/$AY$1)*'1. UC Assumptions'!$G$44,0)</f>
        <v>0</v>
      </c>
      <c r="AZ316" s="183">
        <f>IF(H316="Harris",(AC316/$AZ$1)*'1. UC Assumptions'!$H$44,0)</f>
        <v>0</v>
      </c>
      <c r="BA316" s="183">
        <f>IF(H316="Hidalgo",(AC316/$BA$1)*'1. UC Assumptions'!$I$44,0)</f>
        <v>0</v>
      </c>
      <c r="BB316" s="183">
        <f>IF(H316="Jefferson",(AC316/$BB$1)*'1. UC Assumptions'!$J$44,0)</f>
        <v>0</v>
      </c>
      <c r="BC316" s="183">
        <f>IF(H316="Lubbock",(AC316/$BC$1)*'1. UC Assumptions'!$K$44,0)</f>
        <v>0</v>
      </c>
      <c r="BD316" s="183">
        <f>IF(H316="MRSA Central",(AC316/$BD$1)*'1. UC Assumptions'!$L$44,0)</f>
        <v>0</v>
      </c>
      <c r="BE316" s="183">
        <f>IF(H316="MRSA Northeast",(AC316/$BE$1)*'1. UC Assumptions'!$M$44,0)</f>
        <v>0</v>
      </c>
      <c r="BF316" s="183">
        <f>IF(H316="MRSA West",(AC316/$BF$1)*'1. UC Assumptions'!$N$44,0)</f>
        <v>0</v>
      </c>
      <c r="BG316" s="183">
        <f>IF(H316="Nueces",(AC316/$BG$1)*'1. UC Assumptions'!$O$44,0)</f>
        <v>0</v>
      </c>
      <c r="BH316" s="183">
        <f>IF(H316="Tarrant",(AC316/$BH$1)*'1. UC Assumptions'!$P$44,0)</f>
        <v>0</v>
      </c>
      <c r="BI316" s="183">
        <f>IF(H316="Travis",(AC316/$BI$1)*'1. UC Assumptions'!$Q$44,0)</f>
        <v>0</v>
      </c>
      <c r="BJ316" s="183">
        <f t="shared" si="62"/>
        <v>0</v>
      </c>
      <c r="BK316" s="183">
        <f t="shared" si="63"/>
        <v>0</v>
      </c>
      <c r="BL316" s="183">
        <f t="shared" si="64"/>
        <v>20400740.893167119</v>
      </c>
      <c r="BM316" s="184">
        <f t="shared" si="65"/>
        <v>14614795.113167118</v>
      </c>
      <c r="BN316" s="184">
        <f>ROUNDDOWN(BM316*'1. UC Assumptions'!$C$23,2)</f>
        <v>4822882.38</v>
      </c>
      <c r="BO316" s="184"/>
      <c r="BP316" s="185"/>
      <c r="BQ316" s="32"/>
      <c r="BR316" s="32"/>
    </row>
    <row r="317" spans="1:70">
      <c r="A317" s="177" t="s">
        <v>1761</v>
      </c>
      <c r="B317" s="178" t="s">
        <v>1762</v>
      </c>
      <c r="C317" s="178" t="s">
        <v>246</v>
      </c>
      <c r="D317" s="179" t="s">
        <v>214</v>
      </c>
      <c r="E317" s="179"/>
      <c r="F317" s="177"/>
      <c r="G317" s="177" t="s">
        <v>1763</v>
      </c>
      <c r="H317" s="178" t="s">
        <v>14</v>
      </c>
      <c r="I317" s="178" t="s">
        <v>248</v>
      </c>
      <c r="J317" s="131">
        <f>IFERROR(INDEX(#REF!,(MATCH('Old Calc Tab'!C:C,#REF!,0))),0)</f>
        <v>0</v>
      </c>
      <c r="K317" s="131">
        <f>IFERROR(INDEX(#REF!,(MATCH('Old Calc Tab'!$C:$C,#REF!,0))),0)</f>
        <v>0</v>
      </c>
      <c r="L317" s="131"/>
      <c r="M317" s="131">
        <v>18192458.294999998</v>
      </c>
      <c r="N317" s="131">
        <f>IFERROR(INDEX(#REF!,(MATCH('Old Calc Tab'!$C:$C,#REF!,0))),0)</f>
        <v>0</v>
      </c>
      <c r="O317" s="131">
        <f t="shared" si="54"/>
        <v>0</v>
      </c>
      <c r="P317" s="131">
        <f t="shared" si="55"/>
        <v>18192458.294999998</v>
      </c>
      <c r="Q317" s="131"/>
      <c r="R317" s="131"/>
      <c r="S317" s="131"/>
      <c r="T317" s="131"/>
      <c r="U317" s="131"/>
      <c r="V317" s="131">
        <v>0</v>
      </c>
      <c r="W317" s="180">
        <v>0</v>
      </c>
      <c r="X317" s="180">
        <f t="shared" si="67"/>
        <v>18192458.294999998</v>
      </c>
      <c r="Y317" s="181">
        <f>IF(D317="Physician Group Practice",(X317/$AE$369)*'1. UC Assumptions'!$C$15,IF(OR(E317="Rural Hospital",E317="Hosp - State"),X317,(X317/$X$369)*'1. UC Assumptions'!$C$9))</f>
        <v>10949368.01610001</v>
      </c>
      <c r="Z317" s="181">
        <f t="shared" si="56"/>
        <v>0</v>
      </c>
      <c r="AA317" s="181">
        <f t="shared" si="57"/>
        <v>7243090.2788999882</v>
      </c>
      <c r="AB317" s="182">
        <f t="shared" si="58"/>
        <v>3889.7650598541004</v>
      </c>
      <c r="AC317" s="181">
        <f t="shared" si="59"/>
        <v>7246980.0439598421</v>
      </c>
      <c r="AD317" s="181">
        <f t="shared" si="60"/>
        <v>10953257.781159865</v>
      </c>
      <c r="AE317" s="131">
        <v>6941514.3999999994</v>
      </c>
      <c r="AF317" s="131">
        <f>AE317*'1. UC Assumptions'!$C$23</f>
        <v>2290699.7519999994</v>
      </c>
      <c r="AG317" s="183">
        <f>IF((((X317-W317-AE317)*'1. UC Assumptions'!$C$23)+AF317)&gt;0,((X317-W317-AE317)*'1. UC Assumptions'!$C$23)+AF317,0)</f>
        <v>6003511.2373499982</v>
      </c>
      <c r="AH317" s="183"/>
      <c r="AI317" s="183">
        <f t="shared" si="61"/>
        <v>2290699.7519999994</v>
      </c>
      <c r="AJ317" s="183">
        <f>IF(H317="Bexar",(AD317/$AJ$1)*'1. UC Assumptions'!$E$42,0)</f>
        <v>0</v>
      </c>
      <c r="AK317" s="183">
        <f>IF(H317="Dallas",(AD317/$AK$1)*'1. UC Assumptions'!$F$42,0)</f>
        <v>0</v>
      </c>
      <c r="AL317" s="183">
        <f>IF(H317="El Paso",(AD317/$AL$1)*'1. UC Assumptions'!$G$42,0)</f>
        <v>0</v>
      </c>
      <c r="AM317" s="183">
        <f>IF(H317="Harris",(AD317/$AM$1)*'1. UC Assumptions'!$H$42,0)</f>
        <v>0</v>
      </c>
      <c r="AN317" s="183">
        <f>IF(H317="Hidalgo",(AD317/$AN$1)*'1. UC Assumptions'!$I$42,0)</f>
        <v>0</v>
      </c>
      <c r="AO317" s="183">
        <f>IF(H317="Jefferson",(AD317/$AO$1)*'1. UC Assumptions'!$J$42,0)</f>
        <v>0</v>
      </c>
      <c r="AP317" s="183">
        <f>IF(H317="Lubbock",(AD317/$AP$1)*'1. UC Assumptions'!$K$42,0)</f>
        <v>0</v>
      </c>
      <c r="AQ317" s="183">
        <f>IF(H317="MRSA Central",(AD317/$AQ$1)*'1. UC Assumptions'!$L$42,0)</f>
        <v>0</v>
      </c>
      <c r="AR317" s="183">
        <f>IF(H317="MRSA Northeast",(AD317/$AR$1)*'1. UC Assumptions'!$M$42,0)</f>
        <v>0</v>
      </c>
      <c r="AS317" s="183">
        <f>IF(H317="MRSA West",(AD317/$AS$1)*'1. UC Assumptions'!$N$42,0)</f>
        <v>0</v>
      </c>
      <c r="AT317" s="183">
        <f>IF(H317="Nueces",(AD317/$AT$1)*'1. UC Assumptions'!$O$42,0)</f>
        <v>0</v>
      </c>
      <c r="AU317" s="183">
        <f>IF(H317="Tarrant",(AD317/$AU$1)*'1. UC Assumptions'!$P$42,0)</f>
        <v>0</v>
      </c>
      <c r="AV317" s="183">
        <f>IF(H317="Travis",(AD317/$AV$1)*'1. UC Assumptions'!$Q$42,0)</f>
        <v>0</v>
      </c>
      <c r="AW317" s="183">
        <f>IF(H317="Bexar",(AC317/$AW$1)*'1. UC Assumptions'!$E$44,0)</f>
        <v>0</v>
      </c>
      <c r="AX317" s="183">
        <f>IF(H317="Dallas",(AC317/$AX$1)*'1. UC Assumptions'!$F$44,0)</f>
        <v>0</v>
      </c>
      <c r="AY317" s="183">
        <f>IF(H317="El Paso",(AC317/$AY$1)*'1. UC Assumptions'!$G$44,0)</f>
        <v>0</v>
      </c>
      <c r="AZ317" s="183">
        <f>IF(H317="Harris",(AC317/$AZ$1)*'1. UC Assumptions'!$H$44,0)</f>
        <v>0</v>
      </c>
      <c r="BA317" s="183">
        <f>IF(H317="Hidalgo",(AC317/$BA$1)*'1. UC Assumptions'!$I$44,0)</f>
        <v>0</v>
      </c>
      <c r="BB317" s="183">
        <f>IF(H317="Jefferson",(AC317/$BB$1)*'1. UC Assumptions'!$J$44,0)</f>
        <v>0</v>
      </c>
      <c r="BC317" s="183">
        <f>IF(H317="Lubbock",(AC317/$BC$1)*'1. UC Assumptions'!$K$44,0)</f>
        <v>0</v>
      </c>
      <c r="BD317" s="183">
        <f>IF(H317="MRSA Central",(AC317/$BD$1)*'1. UC Assumptions'!$L$44,0)</f>
        <v>0</v>
      </c>
      <c r="BE317" s="183">
        <f>IF(H317="MRSA Northeast",(AC317/$BE$1)*'1. UC Assumptions'!$M$44,0)</f>
        <v>0</v>
      </c>
      <c r="BF317" s="183">
        <f>IF(H317="MRSA West",(AC317/$BF$1)*'1. UC Assumptions'!$N$44,0)</f>
        <v>0</v>
      </c>
      <c r="BG317" s="183">
        <f>IF(H317="Nueces",(AC317/$BG$1)*'1. UC Assumptions'!$O$44,0)</f>
        <v>0</v>
      </c>
      <c r="BH317" s="183">
        <f>IF(H317="Tarrant",(AC317/$BH$1)*'1. UC Assumptions'!$P$44,0)</f>
        <v>0</v>
      </c>
      <c r="BI317" s="183">
        <f>IF(H317="Travis",(AC317/$BI$1)*'1. UC Assumptions'!$Q$44,0)</f>
        <v>0</v>
      </c>
      <c r="BJ317" s="183">
        <f t="shared" si="62"/>
        <v>0</v>
      </c>
      <c r="BK317" s="183">
        <f t="shared" si="63"/>
        <v>0</v>
      </c>
      <c r="BL317" s="183">
        <f t="shared" si="64"/>
        <v>10953257.781159865</v>
      </c>
      <c r="BM317" s="184">
        <f t="shared" si="65"/>
        <v>4011743.3811598653</v>
      </c>
      <c r="BN317" s="184">
        <f>ROUNDDOWN(BM317*'1. UC Assumptions'!$C$23,2)</f>
        <v>1323875.31</v>
      </c>
      <c r="BO317" s="184"/>
      <c r="BP317" s="185"/>
      <c r="BQ317" s="32"/>
      <c r="BR317" s="32"/>
    </row>
    <row r="318" spans="1:70">
      <c r="A318" s="177" t="s">
        <v>1764</v>
      </c>
      <c r="B318" s="178" t="s">
        <v>279</v>
      </c>
      <c r="C318" s="178" t="s">
        <v>279</v>
      </c>
      <c r="D318" s="179" t="s">
        <v>214</v>
      </c>
      <c r="E318" s="179"/>
      <c r="F318" s="177"/>
      <c r="G318" s="177" t="s">
        <v>280</v>
      </c>
      <c r="H318" s="178" t="s">
        <v>14</v>
      </c>
      <c r="I318" s="178" t="s">
        <v>14</v>
      </c>
      <c r="J318" s="131">
        <f>IFERROR(INDEX(#REF!,(MATCH('Old Calc Tab'!C:C,#REF!,0))),0)</f>
        <v>0</v>
      </c>
      <c r="K318" s="131">
        <f>IFERROR(INDEX(#REF!,(MATCH('Old Calc Tab'!$C:$C,#REF!,0))),0)</f>
        <v>0</v>
      </c>
      <c r="L318" s="131"/>
      <c r="M318" s="131">
        <v>5613615</v>
      </c>
      <c r="N318" s="131">
        <f>IFERROR(INDEX(#REF!,(MATCH('Old Calc Tab'!$C:$C,#REF!,0))),0)</f>
        <v>0</v>
      </c>
      <c r="O318" s="131">
        <f t="shared" si="54"/>
        <v>0</v>
      </c>
      <c r="P318" s="131">
        <f t="shared" si="55"/>
        <v>5613615</v>
      </c>
      <c r="Q318" s="131"/>
      <c r="R318" s="131"/>
      <c r="S318" s="131"/>
      <c r="T318" s="131"/>
      <c r="U318" s="131"/>
      <c r="V318" s="131">
        <v>1876375</v>
      </c>
      <c r="W318" s="180">
        <v>0</v>
      </c>
      <c r="X318" s="180">
        <f t="shared" si="67"/>
        <v>7489990</v>
      </c>
      <c r="Y318" s="181">
        <f>IF(D318="Physician Group Practice",(X318/$AE$369)*'1. UC Assumptions'!$C$15,IF(OR(E318="Rural Hospital",E318="Hosp - State"),X318,(X318/$X$369)*'1. UC Assumptions'!$C$9))</f>
        <v>4507948.0528175049</v>
      </c>
      <c r="Z318" s="181">
        <f t="shared" si="56"/>
        <v>0</v>
      </c>
      <c r="AA318" s="181">
        <f t="shared" si="57"/>
        <v>2982041.9471824951</v>
      </c>
      <c r="AB318" s="182">
        <f t="shared" si="58"/>
        <v>1601.4493988788679</v>
      </c>
      <c r="AC318" s="181">
        <f t="shared" si="59"/>
        <v>2983643.3965813741</v>
      </c>
      <c r="AD318" s="181">
        <f t="shared" si="60"/>
        <v>4509549.5022163838</v>
      </c>
      <c r="AE318" s="131">
        <v>0</v>
      </c>
      <c r="AF318" s="131">
        <f>AE318*'1. UC Assumptions'!$C$23</f>
        <v>0</v>
      </c>
      <c r="AG318" s="183">
        <f>IF((((X318-W318-AE318)*'1. UC Assumptions'!$C$23)+AF318)&gt;0,((X318-W318-AE318)*'1. UC Assumptions'!$C$23)+AF318,0)</f>
        <v>2471696.6999999997</v>
      </c>
      <c r="AH318" s="183"/>
      <c r="AI318" s="183">
        <f t="shared" si="61"/>
        <v>0</v>
      </c>
      <c r="AJ318" s="183">
        <f>IF(H318="Bexar",(AD318/$AJ$1)*'1. UC Assumptions'!$E$42,0)</f>
        <v>0</v>
      </c>
      <c r="AK318" s="183">
        <f>IF(H318="Dallas",(AD318/$AK$1)*'1. UC Assumptions'!$F$42,0)</f>
        <v>0</v>
      </c>
      <c r="AL318" s="183">
        <f>IF(H318="El Paso",(AD318/$AL$1)*'1. UC Assumptions'!$G$42,0)</f>
        <v>0</v>
      </c>
      <c r="AM318" s="183">
        <f>IF(H318="Harris",(AD318/$AM$1)*'1. UC Assumptions'!$H$42,0)</f>
        <v>0</v>
      </c>
      <c r="AN318" s="183">
        <f>IF(H318="Hidalgo",(AD318/$AN$1)*'1. UC Assumptions'!$I$42,0)</f>
        <v>0</v>
      </c>
      <c r="AO318" s="183">
        <f>IF(H318="Jefferson",(AD318/$AO$1)*'1. UC Assumptions'!$J$42,0)</f>
        <v>0</v>
      </c>
      <c r="AP318" s="183">
        <f>IF(H318="Lubbock",(AD318/$AP$1)*'1. UC Assumptions'!$K$42,0)</f>
        <v>0</v>
      </c>
      <c r="AQ318" s="183">
        <f>IF(H318="MRSA Central",(AD318/$AQ$1)*'1. UC Assumptions'!$L$42,0)</f>
        <v>0</v>
      </c>
      <c r="AR318" s="183">
        <f>IF(H318="MRSA Northeast",(AD318/$AR$1)*'1. UC Assumptions'!$M$42,0)</f>
        <v>0</v>
      </c>
      <c r="AS318" s="183">
        <f>IF(H318="MRSA West",(AD318/$AS$1)*'1. UC Assumptions'!$N$42,0)</f>
        <v>0</v>
      </c>
      <c r="AT318" s="183">
        <f>IF(H318="Nueces",(AD318/$AT$1)*'1. UC Assumptions'!$O$42,0)</f>
        <v>0</v>
      </c>
      <c r="AU318" s="183">
        <f>IF(H318="Tarrant",(AD318/$AU$1)*'1. UC Assumptions'!$P$42,0)</f>
        <v>0</v>
      </c>
      <c r="AV318" s="183">
        <f>IF(H318="Travis",(AD318/$AV$1)*'1. UC Assumptions'!$Q$42,0)</f>
        <v>0</v>
      </c>
      <c r="AW318" s="183">
        <f>IF(H318="Bexar",(AC318/$AW$1)*'1. UC Assumptions'!$E$44,0)</f>
        <v>0</v>
      </c>
      <c r="AX318" s="183">
        <f>IF(H318="Dallas",(AC318/$AX$1)*'1. UC Assumptions'!$F$44,0)</f>
        <v>0</v>
      </c>
      <c r="AY318" s="183">
        <f>IF(H318="El Paso",(AC318/$AY$1)*'1. UC Assumptions'!$G$44,0)</f>
        <v>0</v>
      </c>
      <c r="AZ318" s="183">
        <f>IF(H318="Harris",(AC318/$AZ$1)*'1. UC Assumptions'!$H$44,0)</f>
        <v>0</v>
      </c>
      <c r="BA318" s="183">
        <f>IF(H318="Hidalgo",(AC318/$BA$1)*'1. UC Assumptions'!$I$44,0)</f>
        <v>0</v>
      </c>
      <c r="BB318" s="183">
        <f>IF(H318="Jefferson",(AC318/$BB$1)*'1. UC Assumptions'!$J$44,0)</f>
        <v>0</v>
      </c>
      <c r="BC318" s="183">
        <f>IF(H318="Lubbock",(AC318/$BC$1)*'1. UC Assumptions'!$K$44,0)</f>
        <v>0</v>
      </c>
      <c r="BD318" s="183">
        <f>IF(H318="MRSA Central",(AC318/$BD$1)*'1. UC Assumptions'!$L$44,0)</f>
        <v>0</v>
      </c>
      <c r="BE318" s="183">
        <f>IF(H318="MRSA Northeast",(AC318/$BE$1)*'1. UC Assumptions'!$M$44,0)</f>
        <v>0</v>
      </c>
      <c r="BF318" s="183">
        <f>IF(H318="MRSA West",(AC318/$BF$1)*'1. UC Assumptions'!$N$44,0)</f>
        <v>0</v>
      </c>
      <c r="BG318" s="183">
        <f>IF(H318="Nueces",(AC318/$BG$1)*'1. UC Assumptions'!$O$44,0)</f>
        <v>0</v>
      </c>
      <c r="BH318" s="183">
        <f>IF(H318="Tarrant",(AC318/$BH$1)*'1. UC Assumptions'!$P$44,0)</f>
        <v>0</v>
      </c>
      <c r="BI318" s="183">
        <f>IF(H318="Travis",(AC318/$BI$1)*'1. UC Assumptions'!$Q$44,0)</f>
        <v>0</v>
      </c>
      <c r="BJ318" s="183">
        <f t="shared" si="62"/>
        <v>0</v>
      </c>
      <c r="BK318" s="183">
        <f t="shared" si="63"/>
        <v>0</v>
      </c>
      <c r="BL318" s="183">
        <f t="shared" si="64"/>
        <v>4509549.5022163838</v>
      </c>
      <c r="BM318" s="184">
        <f t="shared" si="65"/>
        <v>4509549.5022163838</v>
      </c>
      <c r="BN318" s="184">
        <f>ROUNDDOWN(BM318*'1. UC Assumptions'!$C$23,2)</f>
        <v>1488151.33</v>
      </c>
      <c r="BO318" s="184"/>
      <c r="BP318" s="185"/>
      <c r="BQ318" s="32"/>
      <c r="BR318" s="32"/>
    </row>
    <row r="319" spans="1:70">
      <c r="A319" s="177" t="s">
        <v>1765</v>
      </c>
      <c r="B319" s="178" t="s">
        <v>310</v>
      </c>
      <c r="C319" s="178" t="s">
        <v>310</v>
      </c>
      <c r="D319" s="179" t="s">
        <v>214</v>
      </c>
      <c r="E319" s="179"/>
      <c r="F319" s="177"/>
      <c r="G319" s="177" t="s">
        <v>1766</v>
      </c>
      <c r="H319" s="178" t="s">
        <v>14</v>
      </c>
      <c r="I319" s="178" t="s">
        <v>14</v>
      </c>
      <c r="J319" s="131">
        <f>IFERROR(INDEX(#REF!,(MATCH('Old Calc Tab'!C:C,#REF!,0))),0)</f>
        <v>0</v>
      </c>
      <c r="K319" s="131">
        <f>IFERROR(INDEX(#REF!,(MATCH('Old Calc Tab'!$C:$C,#REF!,0))),0)</f>
        <v>0</v>
      </c>
      <c r="L319" s="131"/>
      <c r="M319" s="131">
        <v>9487676.4989013821</v>
      </c>
      <c r="N319" s="131">
        <f>IFERROR(INDEX(#REF!,(MATCH('Old Calc Tab'!$C:$C,#REF!,0))),0)</f>
        <v>0</v>
      </c>
      <c r="O319" s="131">
        <f t="shared" si="54"/>
        <v>0</v>
      </c>
      <c r="P319" s="131">
        <f t="shared" si="55"/>
        <v>9487676.4989013821</v>
      </c>
      <c r="Q319" s="131"/>
      <c r="R319" s="131"/>
      <c r="S319" s="131"/>
      <c r="T319" s="131"/>
      <c r="U319" s="131"/>
      <c r="V319" s="131">
        <v>0</v>
      </c>
      <c r="W319" s="180">
        <v>0</v>
      </c>
      <c r="X319" s="180">
        <f t="shared" si="67"/>
        <v>9487676.4989013821</v>
      </c>
      <c r="Y319" s="181">
        <f>IF(D319="Physician Group Practice",(X319/$AE$369)*'1. UC Assumptions'!$C$15,IF(OR(E319="Rural Hospital",E319="Hosp - State"),X319,(X319/$X$369)*'1. UC Assumptions'!$C$9))</f>
        <v>5710281.6958346916</v>
      </c>
      <c r="Z319" s="181">
        <f t="shared" si="56"/>
        <v>0</v>
      </c>
      <c r="AA319" s="181">
        <f t="shared" si="57"/>
        <v>3777394.8030666905</v>
      </c>
      <c r="AB319" s="182">
        <f t="shared" si="58"/>
        <v>2028.5786530987068</v>
      </c>
      <c r="AC319" s="181">
        <f t="shared" si="59"/>
        <v>3779423.381719789</v>
      </c>
      <c r="AD319" s="181">
        <f t="shared" si="60"/>
        <v>5712310.2744877907</v>
      </c>
      <c r="AE319" s="131">
        <v>3875282.06</v>
      </c>
      <c r="AF319" s="131">
        <f>AE319*'1. UC Assumptions'!$C$23</f>
        <v>1278843.0797999999</v>
      </c>
      <c r="AG319" s="183">
        <f>IF((((X319-W319-AE319)*'1. UC Assumptions'!$C$23)+AF319)&gt;0,((X319-W319-AE319)*'1. UC Assumptions'!$C$23)+AF319,0)</f>
        <v>3130933.2446374558</v>
      </c>
      <c r="AH319" s="183"/>
      <c r="AI319" s="183">
        <f t="shared" si="61"/>
        <v>1278843.0797999999</v>
      </c>
      <c r="AJ319" s="183">
        <f>IF(H319="Bexar",(AD319/$AJ$1)*'1. UC Assumptions'!$E$42,0)</f>
        <v>0</v>
      </c>
      <c r="AK319" s="183">
        <f>IF(H319="Dallas",(AD319/$AK$1)*'1. UC Assumptions'!$F$42,0)</f>
        <v>0</v>
      </c>
      <c r="AL319" s="183">
        <f>IF(H319="El Paso",(AD319/$AL$1)*'1. UC Assumptions'!$G$42,0)</f>
        <v>0</v>
      </c>
      <c r="AM319" s="183">
        <f>IF(H319="Harris",(AD319/$AM$1)*'1. UC Assumptions'!$H$42,0)</f>
        <v>0</v>
      </c>
      <c r="AN319" s="183">
        <f>IF(H319="Hidalgo",(AD319/$AN$1)*'1. UC Assumptions'!$I$42,0)</f>
        <v>0</v>
      </c>
      <c r="AO319" s="183">
        <f>IF(H319="Jefferson",(AD319/$AO$1)*'1. UC Assumptions'!$J$42,0)</f>
        <v>0</v>
      </c>
      <c r="AP319" s="183">
        <f>IF(H319="Lubbock",(AD319/$AP$1)*'1. UC Assumptions'!$K$42,0)</f>
        <v>0</v>
      </c>
      <c r="AQ319" s="183">
        <f>IF(H319="MRSA Central",(AD319/$AQ$1)*'1. UC Assumptions'!$L$42,0)</f>
        <v>0</v>
      </c>
      <c r="AR319" s="183">
        <f>IF(H319="MRSA Northeast",(AD319/$AR$1)*'1. UC Assumptions'!$M$42,0)</f>
        <v>0</v>
      </c>
      <c r="AS319" s="183">
        <f>IF(H319="MRSA West",(AD319/$AS$1)*'1. UC Assumptions'!$N$42,0)</f>
        <v>0</v>
      </c>
      <c r="AT319" s="183">
        <f>IF(H319="Nueces",(AD319/$AT$1)*'1. UC Assumptions'!$O$42,0)</f>
        <v>0</v>
      </c>
      <c r="AU319" s="183">
        <f>IF(H319="Tarrant",(AD319/$AU$1)*'1. UC Assumptions'!$P$42,0)</f>
        <v>0</v>
      </c>
      <c r="AV319" s="183">
        <f>IF(H319="Travis",(AD319/$AV$1)*'1. UC Assumptions'!$Q$42,0)</f>
        <v>0</v>
      </c>
      <c r="AW319" s="183">
        <f>IF(H319="Bexar",(AC319/$AW$1)*'1. UC Assumptions'!$E$44,0)</f>
        <v>0</v>
      </c>
      <c r="AX319" s="183">
        <f>IF(H319="Dallas",(AC319/$AX$1)*'1. UC Assumptions'!$F$44,0)</f>
        <v>0</v>
      </c>
      <c r="AY319" s="183">
        <f>IF(H319="El Paso",(AC319/$AY$1)*'1. UC Assumptions'!$G$44,0)</f>
        <v>0</v>
      </c>
      <c r="AZ319" s="183">
        <f>IF(H319="Harris",(AC319/$AZ$1)*'1. UC Assumptions'!$H$44,0)</f>
        <v>0</v>
      </c>
      <c r="BA319" s="183">
        <f>IF(H319="Hidalgo",(AC319/$BA$1)*'1. UC Assumptions'!$I$44,0)</f>
        <v>0</v>
      </c>
      <c r="BB319" s="183">
        <f>IF(H319="Jefferson",(AC319/$BB$1)*'1. UC Assumptions'!$J$44,0)</f>
        <v>0</v>
      </c>
      <c r="BC319" s="183">
        <f>IF(H319="Lubbock",(AC319/$BC$1)*'1. UC Assumptions'!$K$44,0)</f>
        <v>0</v>
      </c>
      <c r="BD319" s="183">
        <f>IF(H319="MRSA Central",(AC319/$BD$1)*'1. UC Assumptions'!$L$44,0)</f>
        <v>0</v>
      </c>
      <c r="BE319" s="183">
        <f>IF(H319="MRSA Northeast",(AC319/$BE$1)*'1. UC Assumptions'!$M$44,0)</f>
        <v>0</v>
      </c>
      <c r="BF319" s="183">
        <f>IF(H319="MRSA West",(AC319/$BF$1)*'1. UC Assumptions'!$N$44,0)</f>
        <v>0</v>
      </c>
      <c r="BG319" s="183">
        <f>IF(H319="Nueces",(AC319/$BG$1)*'1. UC Assumptions'!$O$44,0)</f>
        <v>0</v>
      </c>
      <c r="BH319" s="183">
        <f>IF(H319="Tarrant",(AC319/$BH$1)*'1. UC Assumptions'!$P$44,0)</f>
        <v>0</v>
      </c>
      <c r="BI319" s="183">
        <f>IF(H319="Travis",(AC319/$BI$1)*'1. UC Assumptions'!$Q$44,0)</f>
        <v>0</v>
      </c>
      <c r="BJ319" s="183">
        <f t="shared" si="62"/>
        <v>0</v>
      </c>
      <c r="BK319" s="183">
        <f t="shared" si="63"/>
        <v>0</v>
      </c>
      <c r="BL319" s="183">
        <f t="shared" si="64"/>
        <v>5712310.2744877907</v>
      </c>
      <c r="BM319" s="184">
        <f t="shared" si="65"/>
        <v>1837028.2144877906</v>
      </c>
      <c r="BN319" s="184">
        <f>ROUNDDOWN(BM319*'1. UC Assumptions'!$C$23,2)</f>
        <v>606219.31000000006</v>
      </c>
      <c r="BO319" s="184"/>
      <c r="BP319" s="185"/>
      <c r="BQ319" s="32"/>
      <c r="BR319" s="32"/>
    </row>
    <row r="320" spans="1:70">
      <c r="A320" s="177" t="s">
        <v>1767</v>
      </c>
      <c r="B320" s="178" t="s">
        <v>363</v>
      </c>
      <c r="C320" s="178" t="s">
        <v>363</v>
      </c>
      <c r="D320" s="179" t="s">
        <v>214</v>
      </c>
      <c r="E320" s="179" t="s">
        <v>149</v>
      </c>
      <c r="F320" s="177"/>
      <c r="G320" s="177" t="s">
        <v>1768</v>
      </c>
      <c r="H320" s="178" t="s">
        <v>14</v>
      </c>
      <c r="I320" s="178" t="s">
        <v>365</v>
      </c>
      <c r="J320" s="131">
        <f>IFERROR(INDEX(#REF!,(MATCH('Old Calc Tab'!C:C,#REF!,0))),0)</f>
        <v>0</v>
      </c>
      <c r="K320" s="131">
        <f>IFERROR(INDEX(#REF!,(MATCH('Old Calc Tab'!$C:$C,#REF!,0))),0)</f>
        <v>0</v>
      </c>
      <c r="L320" s="131"/>
      <c r="M320" s="131">
        <v>2260232.44</v>
      </c>
      <c r="N320" s="131">
        <f>IFERROR(INDEX(#REF!,(MATCH('Old Calc Tab'!$C:$C,#REF!,0))),0)</f>
        <v>0</v>
      </c>
      <c r="O320" s="131">
        <f t="shared" si="54"/>
        <v>0</v>
      </c>
      <c r="P320" s="131">
        <f t="shared" si="55"/>
        <v>2260232.44</v>
      </c>
      <c r="Q320" s="131"/>
      <c r="R320" s="131"/>
      <c r="S320" s="131"/>
      <c r="T320" s="131"/>
      <c r="U320" s="131"/>
      <c r="V320" s="131">
        <v>270674</v>
      </c>
      <c r="W320" s="180">
        <v>0</v>
      </c>
      <c r="X320" s="180">
        <f t="shared" si="67"/>
        <v>2530906.44</v>
      </c>
      <c r="Y320" s="181">
        <f>IF(D320="Physician Group Practice",(X320/$AE$369)*'1. UC Assumptions'!$C$15,IF(OR(E320="Rural Hospital",E320="Hosp - State"),X320,(X320/$X$369)*'1. UC Assumptions'!$C$9))</f>
        <v>2530906.44</v>
      </c>
      <c r="Z320" s="181">
        <f t="shared" si="56"/>
        <v>0</v>
      </c>
      <c r="AA320" s="181">
        <f t="shared" si="57"/>
        <v>0</v>
      </c>
      <c r="AB320" s="182">
        <f t="shared" si="58"/>
        <v>0</v>
      </c>
      <c r="AC320" s="181">
        <f t="shared" si="59"/>
        <v>0</v>
      </c>
      <c r="AD320" s="181">
        <f t="shared" si="60"/>
        <v>2530906.44</v>
      </c>
      <c r="AE320" s="131">
        <v>2076546.42</v>
      </c>
      <c r="AF320" s="131">
        <f>AE320*'1. UC Assumptions'!$C$23</f>
        <v>685260.31859999988</v>
      </c>
      <c r="AG320" s="183">
        <f>IF((((X320-W320-AE320)*'1. UC Assumptions'!$C$23)+AF320)&gt;0,((X320-W320-AE320)*'1. UC Assumptions'!$C$23)+AF320,0)</f>
        <v>835199.12519999989</v>
      </c>
      <c r="AH320" s="183"/>
      <c r="AI320" s="183">
        <f t="shared" si="61"/>
        <v>685260.31859999988</v>
      </c>
      <c r="AJ320" s="183">
        <f>IF(H320="Bexar",(AD320/$AJ$1)*'1. UC Assumptions'!$E$42,0)</f>
        <v>0</v>
      </c>
      <c r="AK320" s="183">
        <f>IF(H320="Dallas",(AD320/$AK$1)*'1. UC Assumptions'!$F$42,0)</f>
        <v>0</v>
      </c>
      <c r="AL320" s="183">
        <f>IF(H320="El Paso",(AD320/$AL$1)*'1. UC Assumptions'!$G$42,0)</f>
        <v>0</v>
      </c>
      <c r="AM320" s="183">
        <f>IF(H320="Harris",(AD320/$AM$1)*'1. UC Assumptions'!$H$42,0)</f>
        <v>0</v>
      </c>
      <c r="AN320" s="183">
        <f>IF(H320="Hidalgo",(AD320/$AN$1)*'1. UC Assumptions'!$I$42,0)</f>
        <v>0</v>
      </c>
      <c r="AO320" s="183">
        <f>IF(H320="Jefferson",(AD320/$AO$1)*'1. UC Assumptions'!$J$42,0)</f>
        <v>0</v>
      </c>
      <c r="AP320" s="183">
        <f>IF(H320="Lubbock",(AD320/$AP$1)*'1. UC Assumptions'!$K$42,0)</f>
        <v>0</v>
      </c>
      <c r="AQ320" s="183">
        <f>IF(H320="MRSA Central",(AD320/$AQ$1)*'1. UC Assumptions'!$L$42,0)</f>
        <v>0</v>
      </c>
      <c r="AR320" s="183">
        <f>IF(H320="MRSA Northeast",(AD320/$AR$1)*'1. UC Assumptions'!$M$42,0)</f>
        <v>0</v>
      </c>
      <c r="AS320" s="183">
        <f>IF(H320="MRSA West",(AD320/$AS$1)*'1. UC Assumptions'!$N$42,0)</f>
        <v>0</v>
      </c>
      <c r="AT320" s="183">
        <f>IF(H320="Nueces",(AD320/$AT$1)*'1. UC Assumptions'!$O$42,0)</f>
        <v>0</v>
      </c>
      <c r="AU320" s="183">
        <f>IF(H320="Tarrant",(AD320/$AU$1)*'1. UC Assumptions'!$P$42,0)</f>
        <v>0</v>
      </c>
      <c r="AV320" s="183">
        <f>IF(H320="Travis",(AD320/$AV$1)*'1. UC Assumptions'!$Q$42,0)</f>
        <v>0</v>
      </c>
      <c r="AW320" s="183">
        <f>IF(H320="Bexar",(AC320/$AW$1)*'1. UC Assumptions'!$E$44,0)</f>
        <v>0</v>
      </c>
      <c r="AX320" s="183">
        <f>IF(H320="Dallas",(AC320/$AX$1)*'1. UC Assumptions'!$F$44,0)</f>
        <v>0</v>
      </c>
      <c r="AY320" s="183">
        <f>IF(H320="El Paso",(AC320/$AY$1)*'1. UC Assumptions'!$G$44,0)</f>
        <v>0</v>
      </c>
      <c r="AZ320" s="183">
        <f>IF(H320="Harris",(AC320/$AZ$1)*'1. UC Assumptions'!$H$44,0)</f>
        <v>0</v>
      </c>
      <c r="BA320" s="183">
        <f>IF(H320="Hidalgo",(AC320/$BA$1)*'1. UC Assumptions'!$I$44,0)</f>
        <v>0</v>
      </c>
      <c r="BB320" s="183">
        <f>IF(H320="Jefferson",(AC320/$BB$1)*'1. UC Assumptions'!$J$44,0)</f>
        <v>0</v>
      </c>
      <c r="BC320" s="183">
        <f>IF(H320="Lubbock",(AC320/$BC$1)*'1. UC Assumptions'!$K$44,0)</f>
        <v>0</v>
      </c>
      <c r="BD320" s="183">
        <f>IF(H320="MRSA Central",(AC320/$BD$1)*'1. UC Assumptions'!$L$44,0)</f>
        <v>0</v>
      </c>
      <c r="BE320" s="183">
        <f>IF(H320="MRSA Northeast",(AC320/$BE$1)*'1. UC Assumptions'!$M$44,0)</f>
        <v>0</v>
      </c>
      <c r="BF320" s="183">
        <f>IF(H320="MRSA West",(AC320/$BF$1)*'1. UC Assumptions'!$N$44,0)</f>
        <v>0</v>
      </c>
      <c r="BG320" s="183">
        <f>IF(H320="Nueces",(AC320/$BG$1)*'1. UC Assumptions'!$O$44,0)</f>
        <v>0</v>
      </c>
      <c r="BH320" s="183">
        <f>IF(H320="Tarrant",(AC320/$BH$1)*'1. UC Assumptions'!$P$44,0)</f>
        <v>0</v>
      </c>
      <c r="BI320" s="183">
        <f>IF(H320="Travis",(AC320/$BI$1)*'1. UC Assumptions'!$Q$44,0)</f>
        <v>0</v>
      </c>
      <c r="BJ320" s="183">
        <f t="shared" si="62"/>
        <v>0</v>
      </c>
      <c r="BK320" s="183">
        <f t="shared" si="63"/>
        <v>0</v>
      </c>
      <c r="BL320" s="183">
        <f t="shared" si="64"/>
        <v>2530906.44</v>
      </c>
      <c r="BM320" s="184">
        <f t="shared" si="65"/>
        <v>454360.02</v>
      </c>
      <c r="BN320" s="184">
        <f>ROUNDDOWN(BM320*'1. UC Assumptions'!$C$23,2)</f>
        <v>149938.79999999999</v>
      </c>
      <c r="BO320" s="184"/>
      <c r="BP320" s="185"/>
      <c r="BQ320" s="32"/>
      <c r="BR320" s="32"/>
    </row>
    <row r="321" spans="1:70">
      <c r="A321" s="177" t="s">
        <v>1769</v>
      </c>
      <c r="B321" s="177" t="s">
        <v>374</v>
      </c>
      <c r="C321" s="178" t="s">
        <v>374</v>
      </c>
      <c r="D321" s="179" t="s">
        <v>214</v>
      </c>
      <c r="E321" s="179"/>
      <c r="F321" s="177"/>
      <c r="G321" s="177" t="s">
        <v>1770</v>
      </c>
      <c r="H321" s="178" t="s">
        <v>14</v>
      </c>
      <c r="I321" s="178" t="s">
        <v>248</v>
      </c>
      <c r="J321" s="131">
        <f>IFERROR(INDEX(#REF!,(MATCH('Old Calc Tab'!C:C,#REF!,0))),0)</f>
        <v>0</v>
      </c>
      <c r="K321" s="131">
        <f>IFERROR(INDEX(#REF!,(MATCH('Old Calc Tab'!$C:$C,#REF!,0))),0)</f>
        <v>0</v>
      </c>
      <c r="L321" s="131"/>
      <c r="M321" s="131">
        <v>11906072.215019155</v>
      </c>
      <c r="N321" s="131">
        <f>IFERROR(INDEX(#REF!,(MATCH('Old Calc Tab'!$C:$C,#REF!,0))),0)</f>
        <v>0</v>
      </c>
      <c r="O321" s="131">
        <f t="shared" si="54"/>
        <v>0</v>
      </c>
      <c r="P321" s="131">
        <f t="shared" si="55"/>
        <v>11906072.215019155</v>
      </c>
      <c r="Q321" s="131"/>
      <c r="R321" s="131"/>
      <c r="S321" s="131"/>
      <c r="T321" s="131"/>
      <c r="U321" s="131"/>
      <c r="V321" s="131">
        <v>0</v>
      </c>
      <c r="W321" s="180">
        <v>0</v>
      </c>
      <c r="X321" s="180">
        <f t="shared" si="67"/>
        <v>11906072.215019155</v>
      </c>
      <c r="Y321" s="181">
        <f>IF(D321="Physician Group Practice",(X321/$AE$369)*'1. UC Assumptions'!$C$15,IF(OR(E321="Rural Hospital",E321="Hosp - State"),X321,(X321/$X$369)*'1. UC Assumptions'!$C$9))</f>
        <v>7165824.6617686003</v>
      </c>
      <c r="Z321" s="181">
        <f t="shared" si="56"/>
        <v>0</v>
      </c>
      <c r="AA321" s="181">
        <f t="shared" si="57"/>
        <v>4740247.5532505549</v>
      </c>
      <c r="AB321" s="182">
        <f t="shared" si="58"/>
        <v>2545.6605672038031</v>
      </c>
      <c r="AC321" s="181">
        <f t="shared" si="59"/>
        <v>4742793.2138177585</v>
      </c>
      <c r="AD321" s="181">
        <f t="shared" si="60"/>
        <v>7168370.3223358039</v>
      </c>
      <c r="AE321" s="131">
        <v>4582311.3900000006</v>
      </c>
      <c r="AF321" s="131">
        <f>AE321*'1. UC Assumptions'!$C$23</f>
        <v>1512162.7587000001</v>
      </c>
      <c r="AG321" s="183">
        <f>IF((((X321-W321-AE321)*'1. UC Assumptions'!$C$23)+AF321)&gt;0,((X321-W321-AE321)*'1. UC Assumptions'!$C$23)+AF321,0)</f>
        <v>3929003.8309563207</v>
      </c>
      <c r="AH321" s="183"/>
      <c r="AI321" s="183">
        <f t="shared" si="61"/>
        <v>1512162.7587000001</v>
      </c>
      <c r="AJ321" s="183">
        <f>IF(H321="Bexar",(AD321/$AJ$1)*'1. UC Assumptions'!$E$42,0)</f>
        <v>0</v>
      </c>
      <c r="AK321" s="183">
        <f>IF(H321="Dallas",(AD321/$AK$1)*'1. UC Assumptions'!$F$42,0)</f>
        <v>0</v>
      </c>
      <c r="AL321" s="183">
        <f>IF(H321="El Paso",(AD321/$AL$1)*'1. UC Assumptions'!$G$42,0)</f>
        <v>0</v>
      </c>
      <c r="AM321" s="183">
        <f>IF(H321="Harris",(AD321/$AM$1)*'1. UC Assumptions'!$H$42,0)</f>
        <v>0</v>
      </c>
      <c r="AN321" s="183">
        <f>IF(H321="Hidalgo",(AD321/$AN$1)*'1. UC Assumptions'!$I$42,0)</f>
        <v>0</v>
      </c>
      <c r="AO321" s="183">
        <f>IF(H321="Jefferson",(AD321/$AO$1)*'1. UC Assumptions'!$J$42,0)</f>
        <v>0</v>
      </c>
      <c r="AP321" s="183">
        <f>IF(H321="Lubbock",(AD321/$AP$1)*'1. UC Assumptions'!$K$42,0)</f>
        <v>0</v>
      </c>
      <c r="AQ321" s="183">
        <f>IF(H321="MRSA Central",(AD321/$AQ$1)*'1. UC Assumptions'!$L$42,0)</f>
        <v>0</v>
      </c>
      <c r="AR321" s="183">
        <f>IF(H321="MRSA Northeast",(AD321/$AR$1)*'1. UC Assumptions'!$M$42,0)</f>
        <v>0</v>
      </c>
      <c r="AS321" s="183">
        <f>IF(H321="MRSA West",(AD321/$AS$1)*'1. UC Assumptions'!$N$42,0)</f>
        <v>0</v>
      </c>
      <c r="AT321" s="183">
        <f>IF(H321="Nueces",(AD321/$AT$1)*'1. UC Assumptions'!$O$42,0)</f>
        <v>0</v>
      </c>
      <c r="AU321" s="183">
        <f>IF(H321="Tarrant",(AD321/$AU$1)*'1. UC Assumptions'!$P$42,0)</f>
        <v>0</v>
      </c>
      <c r="AV321" s="183">
        <f>IF(H321="Travis",(AD321/$AV$1)*'1. UC Assumptions'!$Q$42,0)</f>
        <v>0</v>
      </c>
      <c r="AW321" s="183">
        <f>IF(H321="Bexar",(AC321/$AW$1)*'1. UC Assumptions'!$E$44,0)</f>
        <v>0</v>
      </c>
      <c r="AX321" s="183">
        <f>IF(H321="Dallas",(AC321/$AX$1)*'1. UC Assumptions'!$F$44,0)</f>
        <v>0</v>
      </c>
      <c r="AY321" s="183">
        <f>IF(H321="El Paso",(AC321/$AY$1)*'1. UC Assumptions'!$G$44,0)</f>
        <v>0</v>
      </c>
      <c r="AZ321" s="183">
        <f>IF(H321="Harris",(AC321/$AZ$1)*'1. UC Assumptions'!$H$44,0)</f>
        <v>0</v>
      </c>
      <c r="BA321" s="183">
        <f>IF(H321="Hidalgo",(AC321/$BA$1)*'1. UC Assumptions'!$I$44,0)</f>
        <v>0</v>
      </c>
      <c r="BB321" s="183">
        <f>IF(H321="Jefferson",(AC321/$BB$1)*'1. UC Assumptions'!$J$44,0)</f>
        <v>0</v>
      </c>
      <c r="BC321" s="183">
        <f>IF(H321="Lubbock",(AC321/$BC$1)*'1. UC Assumptions'!$K$44,0)</f>
        <v>0</v>
      </c>
      <c r="BD321" s="183">
        <f>IF(H321="MRSA Central",(AC321/$BD$1)*'1. UC Assumptions'!$L$44,0)</f>
        <v>0</v>
      </c>
      <c r="BE321" s="183">
        <f>IF(H321="MRSA Northeast",(AC321/$BE$1)*'1. UC Assumptions'!$M$44,0)</f>
        <v>0</v>
      </c>
      <c r="BF321" s="183">
        <f>IF(H321="MRSA West",(AC321/$BF$1)*'1. UC Assumptions'!$N$44,0)</f>
        <v>0</v>
      </c>
      <c r="BG321" s="183">
        <f>IF(H321="Nueces",(AC321/$BG$1)*'1. UC Assumptions'!$O$44,0)</f>
        <v>0</v>
      </c>
      <c r="BH321" s="183">
        <f>IF(H321="Tarrant",(AC321/$BH$1)*'1. UC Assumptions'!$P$44,0)</f>
        <v>0</v>
      </c>
      <c r="BI321" s="183">
        <f>IF(H321="Travis",(AC321/$BI$1)*'1. UC Assumptions'!$Q$44,0)</f>
        <v>0</v>
      </c>
      <c r="BJ321" s="183">
        <f t="shared" si="62"/>
        <v>0</v>
      </c>
      <c r="BK321" s="183">
        <f t="shared" si="63"/>
        <v>0</v>
      </c>
      <c r="BL321" s="183">
        <f t="shared" si="64"/>
        <v>7168370.3223358039</v>
      </c>
      <c r="BM321" s="184">
        <f t="shared" si="65"/>
        <v>2586058.9323358033</v>
      </c>
      <c r="BN321" s="184">
        <f>ROUNDDOWN(BM321*'1. UC Assumptions'!$C$23,2)</f>
        <v>853399.44</v>
      </c>
      <c r="BO321" s="184"/>
      <c r="BP321" s="185"/>
      <c r="BQ321" s="32"/>
      <c r="BR321" s="32"/>
    </row>
    <row r="322" spans="1:70">
      <c r="A322" s="177" t="s">
        <v>1771</v>
      </c>
      <c r="B322" s="178" t="s">
        <v>376</v>
      </c>
      <c r="C322" s="178" t="s">
        <v>376</v>
      </c>
      <c r="D322" s="179" t="s">
        <v>214</v>
      </c>
      <c r="E322" s="179"/>
      <c r="F322" s="177"/>
      <c r="G322" s="177" t="s">
        <v>377</v>
      </c>
      <c r="H322" s="178" t="s">
        <v>14</v>
      </c>
      <c r="I322" s="178" t="s">
        <v>14</v>
      </c>
      <c r="J322" s="131">
        <f>IFERROR(INDEX(#REF!,(MATCH('Old Calc Tab'!C:C,#REF!,0))),0)</f>
        <v>0</v>
      </c>
      <c r="K322" s="131">
        <f>IFERROR(INDEX(#REF!,(MATCH('Old Calc Tab'!$C:$C,#REF!,0))),0)</f>
        <v>0</v>
      </c>
      <c r="L322" s="131"/>
      <c r="M322" s="131">
        <v>6751048.9900633944</v>
      </c>
      <c r="N322" s="131">
        <f>IFERROR(INDEX(#REF!,(MATCH('Old Calc Tab'!$C:$C,#REF!,0))),0)</f>
        <v>0</v>
      </c>
      <c r="O322" s="131">
        <f t="shared" si="54"/>
        <v>0</v>
      </c>
      <c r="P322" s="131">
        <f t="shared" si="55"/>
        <v>6751048.9900633944</v>
      </c>
      <c r="Q322" s="131"/>
      <c r="R322" s="131"/>
      <c r="S322" s="131"/>
      <c r="T322" s="131"/>
      <c r="U322" s="131"/>
      <c r="V322" s="131">
        <v>0</v>
      </c>
      <c r="W322" s="180">
        <v>0</v>
      </c>
      <c r="X322" s="180">
        <f t="shared" si="67"/>
        <v>6751048.9900633944</v>
      </c>
      <c r="Y322" s="181">
        <f>IF(D322="Physician Group Practice",(X322/$AE$369)*'1. UC Assumptions'!$C$15,IF(OR(E322="Rural Hospital",E322="Hosp - State"),X322,(X322/$X$369)*'1. UC Assumptions'!$C$9))</f>
        <v>4063206.7798797945</v>
      </c>
      <c r="Z322" s="181">
        <f t="shared" si="56"/>
        <v>0</v>
      </c>
      <c r="AA322" s="181">
        <f t="shared" si="57"/>
        <v>2687842.2101836</v>
      </c>
      <c r="AB322" s="182">
        <f t="shared" si="58"/>
        <v>1443.4549775018138</v>
      </c>
      <c r="AC322" s="181">
        <f t="shared" si="59"/>
        <v>2689285.6651611016</v>
      </c>
      <c r="AD322" s="181">
        <f t="shared" si="60"/>
        <v>4064650.2348572961</v>
      </c>
      <c r="AE322" s="131">
        <v>3891748.51</v>
      </c>
      <c r="AF322" s="131">
        <f>AE322*'1. UC Assumptions'!$C$23</f>
        <v>1284277.0082999999</v>
      </c>
      <c r="AG322" s="183">
        <f>IF((((X322-W322-AE322)*'1. UC Assumptions'!$C$23)+AF322)&gt;0,((X322-W322-AE322)*'1. UC Assumptions'!$C$23)+AF322,0)</f>
        <v>2227846.1667209202</v>
      </c>
      <c r="AH322" s="183"/>
      <c r="AI322" s="183">
        <f t="shared" si="61"/>
        <v>1284277.0082999999</v>
      </c>
      <c r="AJ322" s="183">
        <f>IF(H322="Bexar",(AD322/$AJ$1)*'1. UC Assumptions'!$E$42,0)</f>
        <v>0</v>
      </c>
      <c r="AK322" s="183">
        <f>IF(H322="Dallas",(AD322/$AK$1)*'1. UC Assumptions'!$F$42,0)</f>
        <v>0</v>
      </c>
      <c r="AL322" s="183">
        <f>IF(H322="El Paso",(AD322/$AL$1)*'1. UC Assumptions'!$G$42,0)</f>
        <v>0</v>
      </c>
      <c r="AM322" s="183">
        <f>IF(H322="Harris",(AD322/$AM$1)*'1. UC Assumptions'!$H$42,0)</f>
        <v>0</v>
      </c>
      <c r="AN322" s="183">
        <f>IF(H322="Hidalgo",(AD322/$AN$1)*'1. UC Assumptions'!$I$42,0)</f>
        <v>0</v>
      </c>
      <c r="AO322" s="183">
        <f>IF(H322="Jefferson",(AD322/$AO$1)*'1. UC Assumptions'!$J$42,0)</f>
        <v>0</v>
      </c>
      <c r="AP322" s="183">
        <f>IF(H322="Lubbock",(AD322/$AP$1)*'1. UC Assumptions'!$K$42,0)</f>
        <v>0</v>
      </c>
      <c r="AQ322" s="183">
        <f>IF(H322="MRSA Central",(AD322/$AQ$1)*'1. UC Assumptions'!$L$42,0)</f>
        <v>0</v>
      </c>
      <c r="AR322" s="183">
        <f>IF(H322="MRSA Northeast",(AD322/$AR$1)*'1. UC Assumptions'!$M$42,0)</f>
        <v>0</v>
      </c>
      <c r="AS322" s="183">
        <f>IF(H322="MRSA West",(AD322/$AS$1)*'1. UC Assumptions'!$N$42,0)</f>
        <v>0</v>
      </c>
      <c r="AT322" s="183">
        <f>IF(H322="Nueces",(AD322/$AT$1)*'1. UC Assumptions'!$O$42,0)</f>
        <v>0</v>
      </c>
      <c r="AU322" s="183">
        <f>IF(H322="Tarrant",(AD322/$AU$1)*'1. UC Assumptions'!$P$42,0)</f>
        <v>0</v>
      </c>
      <c r="AV322" s="183">
        <f>IF(H322="Travis",(AD322/$AV$1)*'1. UC Assumptions'!$Q$42,0)</f>
        <v>0</v>
      </c>
      <c r="AW322" s="183">
        <f>IF(H322="Bexar",(AC322/$AW$1)*'1. UC Assumptions'!$E$44,0)</f>
        <v>0</v>
      </c>
      <c r="AX322" s="183">
        <f>IF(H322="Dallas",(AC322/$AX$1)*'1. UC Assumptions'!$F$44,0)</f>
        <v>0</v>
      </c>
      <c r="AY322" s="183">
        <f>IF(H322="El Paso",(AC322/$AY$1)*'1. UC Assumptions'!$G$44,0)</f>
        <v>0</v>
      </c>
      <c r="AZ322" s="183">
        <f>IF(H322="Harris",(AC322/$AZ$1)*'1. UC Assumptions'!$H$44,0)</f>
        <v>0</v>
      </c>
      <c r="BA322" s="183">
        <f>IF(H322="Hidalgo",(AC322/$BA$1)*'1. UC Assumptions'!$I$44,0)</f>
        <v>0</v>
      </c>
      <c r="BB322" s="183">
        <f>IF(H322="Jefferson",(AC322/$BB$1)*'1. UC Assumptions'!$J$44,0)</f>
        <v>0</v>
      </c>
      <c r="BC322" s="183">
        <f>IF(H322="Lubbock",(AC322/$BC$1)*'1. UC Assumptions'!$K$44,0)</f>
        <v>0</v>
      </c>
      <c r="BD322" s="183">
        <f>IF(H322="MRSA Central",(AC322/$BD$1)*'1. UC Assumptions'!$L$44,0)</f>
        <v>0</v>
      </c>
      <c r="BE322" s="183">
        <f>IF(H322="MRSA Northeast",(AC322/$BE$1)*'1. UC Assumptions'!$M$44,0)</f>
        <v>0</v>
      </c>
      <c r="BF322" s="183">
        <f>IF(H322="MRSA West",(AC322/$BF$1)*'1. UC Assumptions'!$N$44,0)</f>
        <v>0</v>
      </c>
      <c r="BG322" s="183">
        <f>IF(H322="Nueces",(AC322/$BG$1)*'1. UC Assumptions'!$O$44,0)</f>
        <v>0</v>
      </c>
      <c r="BH322" s="183">
        <f>IF(H322="Tarrant",(AC322/$BH$1)*'1. UC Assumptions'!$P$44,0)</f>
        <v>0</v>
      </c>
      <c r="BI322" s="183">
        <f>IF(H322="Travis",(AC322/$BI$1)*'1. UC Assumptions'!$Q$44,0)</f>
        <v>0</v>
      </c>
      <c r="BJ322" s="183">
        <f t="shared" si="62"/>
        <v>0</v>
      </c>
      <c r="BK322" s="183">
        <f t="shared" si="63"/>
        <v>0</v>
      </c>
      <c r="BL322" s="183">
        <f t="shared" si="64"/>
        <v>4064650.2348572961</v>
      </c>
      <c r="BM322" s="184">
        <f t="shared" si="65"/>
        <v>172901.72485729633</v>
      </c>
      <c r="BN322" s="184">
        <f>ROUNDDOWN(BM322*'1. UC Assumptions'!$C$23,2)</f>
        <v>57057.56</v>
      </c>
      <c r="BO322" s="184"/>
      <c r="BP322" s="185"/>
      <c r="BQ322" s="32"/>
      <c r="BR322" s="32"/>
    </row>
    <row r="323" spans="1:70">
      <c r="A323" s="177" t="s">
        <v>1772</v>
      </c>
      <c r="B323" s="178" t="s">
        <v>410</v>
      </c>
      <c r="C323" s="178" t="s">
        <v>410</v>
      </c>
      <c r="D323" s="179" t="s">
        <v>214</v>
      </c>
      <c r="E323" s="179"/>
      <c r="F323" s="177"/>
      <c r="G323" s="177" t="s">
        <v>1773</v>
      </c>
      <c r="H323" s="178" t="s">
        <v>14</v>
      </c>
      <c r="I323" s="178" t="s">
        <v>248</v>
      </c>
      <c r="J323" s="131">
        <f>IFERROR(INDEX(#REF!,(MATCH('Old Calc Tab'!C:C,#REF!,0))),0)</f>
        <v>0</v>
      </c>
      <c r="K323" s="131">
        <f>IFERROR(INDEX(#REF!,(MATCH('Old Calc Tab'!$C:$C,#REF!,0))),0)</f>
        <v>0</v>
      </c>
      <c r="L323" s="131"/>
      <c r="M323" s="131">
        <v>12861229.020882871</v>
      </c>
      <c r="N323" s="131">
        <f>IFERROR(INDEX(#REF!,(MATCH('Old Calc Tab'!$C:$C,#REF!,0))),0)</f>
        <v>0</v>
      </c>
      <c r="O323" s="131">
        <f t="shared" ref="O323:O366" si="68">IF(N323-J323+L323&gt;0,N323-J323+L323,0)</f>
        <v>0</v>
      </c>
      <c r="P323" s="131">
        <f t="shared" ref="P323:P366" si="69">IF(AND(D323="Hosp - State",N323&gt;0),0,IF(M323-O323&gt;0,M323-O323,0))</f>
        <v>12861229.020882871</v>
      </c>
      <c r="Q323" s="131"/>
      <c r="R323" s="131"/>
      <c r="S323" s="131"/>
      <c r="T323" s="131"/>
      <c r="U323" s="131"/>
      <c r="V323" s="131">
        <v>0</v>
      </c>
      <c r="W323" s="180">
        <v>0</v>
      </c>
      <c r="X323" s="180">
        <f t="shared" si="67"/>
        <v>12861229.020882871</v>
      </c>
      <c r="Y323" s="181">
        <f>IF(D323="Physician Group Practice",(X323/$AE$369)*'1. UC Assumptions'!$C$15,IF(OR(E323="Rural Hospital",E323="Hosp - State"),X323,(X323/$X$369)*'1. UC Assumptions'!$C$9))</f>
        <v>7740698.2281056335</v>
      </c>
      <c r="Z323" s="181">
        <f t="shared" ref="Z323:Z366" si="70">IF(Y323&gt;X323-W323,Y323-(X323-W323),0)</f>
        <v>0</v>
      </c>
      <c r="AA323" s="181">
        <f t="shared" ref="AA323:AA366" si="71">X323-W323-Y323+Z323</f>
        <v>5120530.7927772375</v>
      </c>
      <c r="AB323" s="182">
        <f t="shared" ref="AB323:AB366" si="72">(AA323/$AA$367)*$Z$367</f>
        <v>2749.8845104381085</v>
      </c>
      <c r="AC323" s="181">
        <f t="shared" ref="AC323:AC366" si="73">AA323+AB323</f>
        <v>5123280.6772876754</v>
      </c>
      <c r="AD323" s="181">
        <f t="shared" ref="AD323:AD366" si="74">Y323-Z323+AB323</f>
        <v>7743448.1126160715</v>
      </c>
      <c r="AE323" s="131">
        <v>4786113.16</v>
      </c>
      <c r="AF323" s="131">
        <f>AE323*'1. UC Assumptions'!$C$23</f>
        <v>1579417.3427999998</v>
      </c>
      <c r="AG323" s="183">
        <f>IF((((X323-W323-AE323)*'1. UC Assumptions'!$C$23)+AF323)&gt;0,((X323-W323-AE323)*'1. UC Assumptions'!$C$23)+AF323,0)</f>
        <v>4244205.5768913468</v>
      </c>
      <c r="AH323" s="183"/>
      <c r="AI323" s="183">
        <f t="shared" ref="AI323:AI366" si="75">AH323+AF323</f>
        <v>1579417.3427999998</v>
      </c>
      <c r="AJ323" s="183">
        <f>IF(H323="Bexar",(AD323/$AJ$1)*'1. UC Assumptions'!$E$42,0)</f>
        <v>0</v>
      </c>
      <c r="AK323" s="183">
        <f>IF(H323="Dallas",(AD323/$AK$1)*'1. UC Assumptions'!$F$42,0)</f>
        <v>0</v>
      </c>
      <c r="AL323" s="183">
        <f>IF(H323="El Paso",(AD323/$AL$1)*'1. UC Assumptions'!$G$42,0)</f>
        <v>0</v>
      </c>
      <c r="AM323" s="183">
        <f>IF(H323="Harris",(AD323/$AM$1)*'1. UC Assumptions'!$H$42,0)</f>
        <v>0</v>
      </c>
      <c r="AN323" s="183">
        <f>IF(H323="Hidalgo",(AD323/$AN$1)*'1. UC Assumptions'!$I$42,0)</f>
        <v>0</v>
      </c>
      <c r="AO323" s="183">
        <f>IF(H323="Jefferson",(AD323/$AO$1)*'1. UC Assumptions'!$J$42,0)</f>
        <v>0</v>
      </c>
      <c r="AP323" s="183">
        <f>IF(H323="Lubbock",(AD323/$AP$1)*'1. UC Assumptions'!$K$42,0)</f>
        <v>0</v>
      </c>
      <c r="AQ323" s="183">
        <f>IF(H323="MRSA Central",(AD323/$AQ$1)*'1. UC Assumptions'!$L$42,0)</f>
        <v>0</v>
      </c>
      <c r="AR323" s="183">
        <f>IF(H323="MRSA Northeast",(AD323/$AR$1)*'1. UC Assumptions'!$M$42,0)</f>
        <v>0</v>
      </c>
      <c r="AS323" s="183">
        <f>IF(H323="MRSA West",(AD323/$AS$1)*'1. UC Assumptions'!$N$42,0)</f>
        <v>0</v>
      </c>
      <c r="AT323" s="183">
        <f>IF(H323="Nueces",(AD323/$AT$1)*'1. UC Assumptions'!$O$42,0)</f>
        <v>0</v>
      </c>
      <c r="AU323" s="183">
        <f>IF(H323="Tarrant",(AD323/$AU$1)*'1. UC Assumptions'!$P$42,0)</f>
        <v>0</v>
      </c>
      <c r="AV323" s="183">
        <f>IF(H323="Travis",(AD323/$AV$1)*'1. UC Assumptions'!$Q$42,0)</f>
        <v>0</v>
      </c>
      <c r="AW323" s="183">
        <f>IF(H323="Bexar",(AC323/$AW$1)*'1. UC Assumptions'!$E$44,0)</f>
        <v>0</v>
      </c>
      <c r="AX323" s="183">
        <f>IF(H323="Dallas",(AC323/$AX$1)*'1. UC Assumptions'!$F$44,0)</f>
        <v>0</v>
      </c>
      <c r="AY323" s="183">
        <f>IF(H323="El Paso",(AC323/$AY$1)*'1. UC Assumptions'!$G$44,0)</f>
        <v>0</v>
      </c>
      <c r="AZ323" s="183">
        <f>IF(H323="Harris",(AC323/$AZ$1)*'1. UC Assumptions'!$H$44,0)</f>
        <v>0</v>
      </c>
      <c r="BA323" s="183">
        <f>IF(H323="Hidalgo",(AC323/$BA$1)*'1. UC Assumptions'!$I$44,0)</f>
        <v>0</v>
      </c>
      <c r="BB323" s="183">
        <f>IF(H323="Jefferson",(AC323/$BB$1)*'1. UC Assumptions'!$J$44,0)</f>
        <v>0</v>
      </c>
      <c r="BC323" s="183">
        <f>IF(H323="Lubbock",(AC323/$BC$1)*'1. UC Assumptions'!$K$44,0)</f>
        <v>0</v>
      </c>
      <c r="BD323" s="183">
        <f>IF(H323="MRSA Central",(AC323/$BD$1)*'1. UC Assumptions'!$L$44,0)</f>
        <v>0</v>
      </c>
      <c r="BE323" s="183">
        <f>IF(H323="MRSA Northeast",(AC323/$BE$1)*'1. UC Assumptions'!$M$44,0)</f>
        <v>0</v>
      </c>
      <c r="BF323" s="183">
        <f>IF(H323="MRSA West",(AC323/$BF$1)*'1. UC Assumptions'!$N$44,0)</f>
        <v>0</v>
      </c>
      <c r="BG323" s="183">
        <f>IF(H323="Nueces",(AC323/$BG$1)*'1. UC Assumptions'!$O$44,0)</f>
        <v>0</v>
      </c>
      <c r="BH323" s="183">
        <f>IF(H323="Tarrant",(AC323/$BH$1)*'1. UC Assumptions'!$P$44,0)</f>
        <v>0</v>
      </c>
      <c r="BI323" s="183">
        <f>IF(H323="Travis",(AC323/$BI$1)*'1. UC Assumptions'!$Q$44,0)</f>
        <v>0</v>
      </c>
      <c r="BJ323" s="183">
        <f t="shared" ref="BJ323:BJ366" si="76">SUM(AJ323:AV323)</f>
        <v>0</v>
      </c>
      <c r="BK323" s="183">
        <f t="shared" ref="BK323:BK366" si="77">SUM(AW323:BI323)</f>
        <v>0</v>
      </c>
      <c r="BL323" s="183">
        <f t="shared" ref="BL323:BL366" si="78">AD323+BK323-BJ323</f>
        <v>7743448.1126160715</v>
      </c>
      <c r="BM323" s="184">
        <f t="shared" ref="BM323:BM366" si="79">BL323-AE323</f>
        <v>2957334.9526160713</v>
      </c>
      <c r="BN323" s="184">
        <f>ROUNDDOWN(BM323*'1. UC Assumptions'!$C$23,2)</f>
        <v>975920.53</v>
      </c>
      <c r="BO323" s="184"/>
      <c r="BP323" s="185"/>
      <c r="BQ323" s="32"/>
      <c r="BR323" s="32"/>
    </row>
    <row r="324" spans="1:70">
      <c r="A324" s="177" t="s">
        <v>1774</v>
      </c>
      <c r="B324" s="178" t="s">
        <v>423</v>
      </c>
      <c r="C324" s="178" t="s">
        <v>423</v>
      </c>
      <c r="D324" s="179" t="s">
        <v>214</v>
      </c>
      <c r="E324" s="179"/>
      <c r="F324" s="177"/>
      <c r="G324" s="177" t="s">
        <v>1775</v>
      </c>
      <c r="H324" s="178" t="s">
        <v>14</v>
      </c>
      <c r="I324" s="178" t="s">
        <v>14</v>
      </c>
      <c r="J324" s="131">
        <f>IFERROR(INDEX(#REF!,(MATCH('Old Calc Tab'!C:C,#REF!,0))),0)</f>
        <v>0</v>
      </c>
      <c r="K324" s="131">
        <f>IFERROR(INDEX(#REF!,(MATCH('Old Calc Tab'!$C:$C,#REF!,0))),0)</f>
        <v>0</v>
      </c>
      <c r="L324" s="131"/>
      <c r="M324" s="131">
        <v>36445468.548</v>
      </c>
      <c r="N324" s="131">
        <f>IFERROR(INDEX(#REF!,(MATCH('Old Calc Tab'!$C:$C,#REF!,0))),0)</f>
        <v>0</v>
      </c>
      <c r="O324" s="131">
        <f t="shared" si="68"/>
        <v>0</v>
      </c>
      <c r="P324" s="131">
        <f t="shared" si="69"/>
        <v>36445468.548</v>
      </c>
      <c r="Q324" s="131"/>
      <c r="R324" s="131"/>
      <c r="S324" s="131"/>
      <c r="T324" s="131"/>
      <c r="U324" s="131"/>
      <c r="V324" s="131">
        <v>1539390</v>
      </c>
      <c r="W324" s="180">
        <v>0</v>
      </c>
      <c r="X324" s="180">
        <f t="shared" si="67"/>
        <v>37984858.548</v>
      </c>
      <c r="Y324" s="181">
        <f>IF(D324="Physician Group Practice",(X324/$AE$369)*'1. UC Assumptions'!$C$15,IF(OR(E324="Rural Hospital",E324="Hosp - State"),X324,(X324/$X$369)*'1. UC Assumptions'!$C$9))</f>
        <v>22861681.941899113</v>
      </c>
      <c r="Z324" s="181">
        <f t="shared" si="70"/>
        <v>0</v>
      </c>
      <c r="AA324" s="181">
        <f t="shared" si="71"/>
        <v>15123176.606100887</v>
      </c>
      <c r="AB324" s="182">
        <f t="shared" si="72"/>
        <v>8121.6168363633906</v>
      </c>
      <c r="AC324" s="181">
        <f t="shared" si="73"/>
        <v>15131298.222937251</v>
      </c>
      <c r="AD324" s="181">
        <f t="shared" si="74"/>
        <v>22869803.558735475</v>
      </c>
      <c r="AE324" s="131">
        <v>18889960.68</v>
      </c>
      <c r="AF324" s="131">
        <f>AE324*'1. UC Assumptions'!$C$23</f>
        <v>6233687.0243999995</v>
      </c>
      <c r="AG324" s="183">
        <f>IF((((X324-W324-AE324)*'1. UC Assumptions'!$C$23)+AF324)&gt;0,((X324-W324-AE324)*'1. UC Assumptions'!$C$23)+AF324,0)</f>
        <v>12535003.320839999</v>
      </c>
      <c r="AH324" s="183"/>
      <c r="AI324" s="183">
        <f t="shared" si="75"/>
        <v>6233687.0243999995</v>
      </c>
      <c r="AJ324" s="183">
        <f>IF(H324="Bexar",(AD324/$AJ$1)*'1. UC Assumptions'!$E$42,0)</f>
        <v>0</v>
      </c>
      <c r="AK324" s="183">
        <f>IF(H324="Dallas",(AD324/$AK$1)*'1. UC Assumptions'!$F$42,0)</f>
        <v>0</v>
      </c>
      <c r="AL324" s="183">
        <f>IF(H324="El Paso",(AD324/$AL$1)*'1. UC Assumptions'!$G$42,0)</f>
        <v>0</v>
      </c>
      <c r="AM324" s="183">
        <f>IF(H324="Harris",(AD324/$AM$1)*'1. UC Assumptions'!$H$42,0)</f>
        <v>0</v>
      </c>
      <c r="AN324" s="183">
        <f>IF(H324="Hidalgo",(AD324/$AN$1)*'1. UC Assumptions'!$I$42,0)</f>
        <v>0</v>
      </c>
      <c r="AO324" s="183">
        <f>IF(H324="Jefferson",(AD324/$AO$1)*'1. UC Assumptions'!$J$42,0)</f>
        <v>0</v>
      </c>
      <c r="AP324" s="183">
        <f>IF(H324="Lubbock",(AD324/$AP$1)*'1. UC Assumptions'!$K$42,0)</f>
        <v>0</v>
      </c>
      <c r="AQ324" s="183">
        <f>IF(H324="MRSA Central",(AD324/$AQ$1)*'1. UC Assumptions'!$L$42,0)</f>
        <v>0</v>
      </c>
      <c r="AR324" s="183">
        <f>IF(H324="MRSA Northeast",(AD324/$AR$1)*'1. UC Assumptions'!$M$42,0)</f>
        <v>0</v>
      </c>
      <c r="AS324" s="183">
        <f>IF(H324="MRSA West",(AD324/$AS$1)*'1. UC Assumptions'!$N$42,0)</f>
        <v>0</v>
      </c>
      <c r="AT324" s="183">
        <f>IF(H324="Nueces",(AD324/$AT$1)*'1. UC Assumptions'!$O$42,0)</f>
        <v>0</v>
      </c>
      <c r="AU324" s="183">
        <f>IF(H324="Tarrant",(AD324/$AU$1)*'1. UC Assumptions'!$P$42,0)</f>
        <v>0</v>
      </c>
      <c r="AV324" s="183">
        <f>IF(H324="Travis",(AD324/$AV$1)*'1. UC Assumptions'!$Q$42,0)</f>
        <v>0</v>
      </c>
      <c r="AW324" s="183">
        <f>IF(H324="Bexar",(AC324/$AW$1)*'1. UC Assumptions'!$E$44,0)</f>
        <v>0</v>
      </c>
      <c r="AX324" s="183">
        <f>IF(H324="Dallas",(AC324/$AX$1)*'1. UC Assumptions'!$F$44,0)</f>
        <v>0</v>
      </c>
      <c r="AY324" s="183">
        <f>IF(H324="El Paso",(AC324/$AY$1)*'1. UC Assumptions'!$G$44,0)</f>
        <v>0</v>
      </c>
      <c r="AZ324" s="183">
        <f>IF(H324="Harris",(AC324/$AZ$1)*'1. UC Assumptions'!$H$44,0)</f>
        <v>0</v>
      </c>
      <c r="BA324" s="183">
        <f>IF(H324="Hidalgo",(AC324/$BA$1)*'1. UC Assumptions'!$I$44,0)</f>
        <v>0</v>
      </c>
      <c r="BB324" s="183">
        <f>IF(H324="Jefferson",(AC324/$BB$1)*'1. UC Assumptions'!$J$44,0)</f>
        <v>0</v>
      </c>
      <c r="BC324" s="183">
        <f>IF(H324="Lubbock",(AC324/$BC$1)*'1. UC Assumptions'!$K$44,0)</f>
        <v>0</v>
      </c>
      <c r="BD324" s="183">
        <f>IF(H324="MRSA Central",(AC324/$BD$1)*'1. UC Assumptions'!$L$44,0)</f>
        <v>0</v>
      </c>
      <c r="BE324" s="183">
        <f>IF(H324="MRSA Northeast",(AC324/$BE$1)*'1. UC Assumptions'!$M$44,0)</f>
        <v>0</v>
      </c>
      <c r="BF324" s="183">
        <f>IF(H324="MRSA West",(AC324/$BF$1)*'1. UC Assumptions'!$N$44,0)</f>
        <v>0</v>
      </c>
      <c r="BG324" s="183">
        <f>IF(H324="Nueces",(AC324/$BG$1)*'1. UC Assumptions'!$O$44,0)</f>
        <v>0</v>
      </c>
      <c r="BH324" s="183">
        <f>IF(H324="Tarrant",(AC324/$BH$1)*'1. UC Assumptions'!$P$44,0)</f>
        <v>0</v>
      </c>
      <c r="BI324" s="183">
        <f>IF(H324="Travis",(AC324/$BI$1)*'1. UC Assumptions'!$Q$44,0)</f>
        <v>0</v>
      </c>
      <c r="BJ324" s="183">
        <f t="shared" si="76"/>
        <v>0</v>
      </c>
      <c r="BK324" s="183">
        <f t="shared" si="77"/>
        <v>0</v>
      </c>
      <c r="BL324" s="183">
        <f t="shared" si="78"/>
        <v>22869803.558735475</v>
      </c>
      <c r="BM324" s="184">
        <f t="shared" si="79"/>
        <v>3979842.8787354752</v>
      </c>
      <c r="BN324" s="184">
        <f>ROUNDDOWN(BM324*'1. UC Assumptions'!$C$23,2)</f>
        <v>1313348.1399999999</v>
      </c>
      <c r="BO324" s="184"/>
      <c r="BP324" s="185"/>
      <c r="BQ324" s="32"/>
      <c r="BR324" s="32"/>
    </row>
    <row r="325" spans="1:70">
      <c r="A325" s="177" t="s">
        <v>1776</v>
      </c>
      <c r="B325" s="178" t="s">
        <v>487</v>
      </c>
      <c r="C325" s="178" t="s">
        <v>487</v>
      </c>
      <c r="D325" s="179" t="s">
        <v>214</v>
      </c>
      <c r="E325" s="179"/>
      <c r="F325" s="177"/>
      <c r="G325" s="177" t="s">
        <v>1777</v>
      </c>
      <c r="H325" s="178" t="s">
        <v>14</v>
      </c>
      <c r="I325" s="178" t="s">
        <v>14</v>
      </c>
      <c r="J325" s="131">
        <f>IFERROR(INDEX(#REF!,(MATCH('Old Calc Tab'!C:C,#REF!,0))),0)</f>
        <v>0</v>
      </c>
      <c r="K325" s="131">
        <f>IFERROR(INDEX(#REF!,(MATCH('Old Calc Tab'!$C:$C,#REF!,0))),0)</f>
        <v>0</v>
      </c>
      <c r="L325" s="131"/>
      <c r="M325" s="131">
        <v>9653561.3789999988</v>
      </c>
      <c r="N325" s="131">
        <f>IFERROR(INDEX(#REF!,(MATCH('Old Calc Tab'!$C:$C,#REF!,0))),0)</f>
        <v>0</v>
      </c>
      <c r="O325" s="131">
        <f t="shared" si="68"/>
        <v>0</v>
      </c>
      <c r="P325" s="131">
        <f t="shared" si="69"/>
        <v>9653561.3789999988</v>
      </c>
      <c r="Q325" s="131"/>
      <c r="R325" s="131"/>
      <c r="S325" s="131"/>
      <c r="T325" s="131"/>
      <c r="U325" s="131"/>
      <c r="V325" s="131">
        <v>0</v>
      </c>
      <c r="W325" s="180">
        <v>0</v>
      </c>
      <c r="X325" s="180">
        <f t="shared" si="67"/>
        <v>9653561.3789999988</v>
      </c>
      <c r="Y325" s="181">
        <f>IF(D325="Physician Group Practice",(X325/$AE$369)*'1. UC Assumptions'!$C$15,IF(OR(E325="Rural Hospital",E325="Hosp - State"),X325,(X325/$X$369)*'1. UC Assumptions'!$C$9))</f>
        <v>5810121.6718870532</v>
      </c>
      <c r="Z325" s="181">
        <f t="shared" si="70"/>
        <v>0</v>
      </c>
      <c r="AA325" s="181">
        <f t="shared" si="71"/>
        <v>3843439.7071129456</v>
      </c>
      <c r="AB325" s="182">
        <f t="shared" si="72"/>
        <v>2064.0468234857194</v>
      </c>
      <c r="AC325" s="181">
        <f t="shared" si="73"/>
        <v>3845503.7539364314</v>
      </c>
      <c r="AD325" s="181">
        <f t="shared" si="74"/>
        <v>5812185.7187105389</v>
      </c>
      <c r="AE325" s="131">
        <v>4153128.96</v>
      </c>
      <c r="AF325" s="131">
        <f>AE325*'1. UC Assumptions'!$C$23</f>
        <v>1370532.5567999999</v>
      </c>
      <c r="AG325" s="183">
        <f>IF((((X325-W325-AE325)*'1. UC Assumptions'!$C$23)+AF325)&gt;0,((X325-W325-AE325)*'1. UC Assumptions'!$C$23)+AF325,0)</f>
        <v>3185675.255069999</v>
      </c>
      <c r="AH325" s="183"/>
      <c r="AI325" s="183">
        <f t="shared" si="75"/>
        <v>1370532.5567999999</v>
      </c>
      <c r="AJ325" s="183">
        <f>IF(H325="Bexar",(AD325/$AJ$1)*'1. UC Assumptions'!$E$42,0)</f>
        <v>0</v>
      </c>
      <c r="AK325" s="183">
        <f>IF(H325="Dallas",(AD325/$AK$1)*'1. UC Assumptions'!$F$42,0)</f>
        <v>0</v>
      </c>
      <c r="AL325" s="183">
        <f>IF(H325="El Paso",(AD325/$AL$1)*'1. UC Assumptions'!$G$42,0)</f>
        <v>0</v>
      </c>
      <c r="AM325" s="183">
        <f>IF(H325="Harris",(AD325/$AM$1)*'1. UC Assumptions'!$H$42,0)</f>
        <v>0</v>
      </c>
      <c r="AN325" s="183">
        <f>IF(H325="Hidalgo",(AD325/$AN$1)*'1. UC Assumptions'!$I$42,0)</f>
        <v>0</v>
      </c>
      <c r="AO325" s="183">
        <f>IF(H325="Jefferson",(AD325/$AO$1)*'1. UC Assumptions'!$J$42,0)</f>
        <v>0</v>
      </c>
      <c r="AP325" s="183">
        <f>IF(H325="Lubbock",(AD325/$AP$1)*'1. UC Assumptions'!$K$42,0)</f>
        <v>0</v>
      </c>
      <c r="AQ325" s="183">
        <f>IF(H325="MRSA Central",(AD325/$AQ$1)*'1. UC Assumptions'!$L$42,0)</f>
        <v>0</v>
      </c>
      <c r="AR325" s="183">
        <f>IF(H325="MRSA Northeast",(AD325/$AR$1)*'1. UC Assumptions'!$M$42,0)</f>
        <v>0</v>
      </c>
      <c r="AS325" s="183">
        <f>IF(H325="MRSA West",(AD325/$AS$1)*'1. UC Assumptions'!$N$42,0)</f>
        <v>0</v>
      </c>
      <c r="AT325" s="183">
        <f>IF(H325="Nueces",(AD325/$AT$1)*'1. UC Assumptions'!$O$42,0)</f>
        <v>0</v>
      </c>
      <c r="AU325" s="183">
        <f>IF(H325="Tarrant",(AD325/$AU$1)*'1. UC Assumptions'!$P$42,0)</f>
        <v>0</v>
      </c>
      <c r="AV325" s="183">
        <f>IF(H325="Travis",(AD325/$AV$1)*'1. UC Assumptions'!$Q$42,0)</f>
        <v>0</v>
      </c>
      <c r="AW325" s="183">
        <f>IF(H325="Bexar",(AC325/$AW$1)*'1. UC Assumptions'!$E$44,0)</f>
        <v>0</v>
      </c>
      <c r="AX325" s="183">
        <f>IF(H325="Dallas",(AC325/$AX$1)*'1. UC Assumptions'!$F$44,0)</f>
        <v>0</v>
      </c>
      <c r="AY325" s="183">
        <f>IF(H325="El Paso",(AC325/$AY$1)*'1. UC Assumptions'!$G$44,0)</f>
        <v>0</v>
      </c>
      <c r="AZ325" s="183">
        <f>IF(H325="Harris",(AC325/$AZ$1)*'1. UC Assumptions'!$H$44,0)</f>
        <v>0</v>
      </c>
      <c r="BA325" s="183">
        <f>IF(H325="Hidalgo",(AC325/$BA$1)*'1. UC Assumptions'!$I$44,0)</f>
        <v>0</v>
      </c>
      <c r="BB325" s="183">
        <f>IF(H325="Jefferson",(AC325/$BB$1)*'1. UC Assumptions'!$J$44,0)</f>
        <v>0</v>
      </c>
      <c r="BC325" s="183">
        <f>IF(H325="Lubbock",(AC325/$BC$1)*'1. UC Assumptions'!$K$44,0)</f>
        <v>0</v>
      </c>
      <c r="BD325" s="183">
        <f>IF(H325="MRSA Central",(AC325/$BD$1)*'1. UC Assumptions'!$L$44,0)</f>
        <v>0</v>
      </c>
      <c r="BE325" s="183">
        <f>IF(H325="MRSA Northeast",(AC325/$BE$1)*'1. UC Assumptions'!$M$44,0)</f>
        <v>0</v>
      </c>
      <c r="BF325" s="183">
        <f>IF(H325="MRSA West",(AC325/$BF$1)*'1. UC Assumptions'!$N$44,0)</f>
        <v>0</v>
      </c>
      <c r="BG325" s="183">
        <f>IF(H325="Nueces",(AC325/$BG$1)*'1. UC Assumptions'!$O$44,0)</f>
        <v>0</v>
      </c>
      <c r="BH325" s="183">
        <f>IF(H325="Tarrant",(AC325/$BH$1)*'1. UC Assumptions'!$P$44,0)</f>
        <v>0</v>
      </c>
      <c r="BI325" s="183">
        <f>IF(H325="Travis",(AC325/$BI$1)*'1. UC Assumptions'!$Q$44,0)</f>
        <v>0</v>
      </c>
      <c r="BJ325" s="183">
        <f t="shared" si="76"/>
        <v>0</v>
      </c>
      <c r="BK325" s="183">
        <f t="shared" si="77"/>
        <v>0</v>
      </c>
      <c r="BL325" s="183">
        <f t="shared" si="78"/>
        <v>5812185.7187105389</v>
      </c>
      <c r="BM325" s="184">
        <f t="shared" si="79"/>
        <v>1659056.758710539</v>
      </c>
      <c r="BN325" s="184">
        <f>ROUNDDOWN(BM325*'1. UC Assumptions'!$C$23,2)</f>
        <v>547488.73</v>
      </c>
      <c r="BO325" s="184"/>
      <c r="BP325" s="185"/>
      <c r="BQ325" s="32"/>
      <c r="BR325" s="32"/>
    </row>
    <row r="326" spans="1:70">
      <c r="A326" s="177" t="s">
        <v>1778</v>
      </c>
      <c r="B326" s="177" t="s">
        <v>538</v>
      </c>
      <c r="C326" s="178" t="s">
        <v>538</v>
      </c>
      <c r="D326" s="179" t="s">
        <v>539</v>
      </c>
      <c r="E326" s="179"/>
      <c r="F326" s="177"/>
      <c r="G326" s="177" t="s">
        <v>1779</v>
      </c>
      <c r="H326" s="178" t="s">
        <v>14</v>
      </c>
      <c r="I326" s="178" t="s">
        <v>14</v>
      </c>
      <c r="J326" s="131">
        <f>IFERROR(INDEX(#REF!,(MATCH('Old Calc Tab'!C:C,#REF!,0))),0)</f>
        <v>0</v>
      </c>
      <c r="K326" s="131">
        <f>IFERROR(INDEX(#REF!,(MATCH('Old Calc Tab'!$C:$C,#REF!,0))),0)</f>
        <v>0</v>
      </c>
      <c r="L326" s="131"/>
      <c r="M326" s="131">
        <v>195032380</v>
      </c>
      <c r="N326" s="131">
        <f>IFERROR(INDEX(#REF!,(MATCH('Old Calc Tab'!$C:$C,#REF!,0))),0)</f>
        <v>0</v>
      </c>
      <c r="O326" s="131">
        <f t="shared" si="68"/>
        <v>0</v>
      </c>
      <c r="P326" s="131">
        <f t="shared" si="69"/>
        <v>195032380</v>
      </c>
      <c r="Q326" s="131"/>
      <c r="R326" s="131"/>
      <c r="S326" s="131"/>
      <c r="T326" s="131"/>
      <c r="U326" s="131"/>
      <c r="V326" s="131">
        <v>52761601</v>
      </c>
      <c r="W326" s="180">
        <v>88561240.399999991</v>
      </c>
      <c r="X326" s="180">
        <f t="shared" si="67"/>
        <v>336355221.39999998</v>
      </c>
      <c r="Y326" s="181">
        <f>IF(D326="Physician Group Practice",(X326/$AE$369)*'1. UC Assumptions'!$C$15,IF(OR(E326="Rural Hospital",E326="Hosp - State"),X326,(X326/$X$369)*'1. UC Assumptions'!$C$9))</f>
        <v>202439771.66393155</v>
      </c>
      <c r="Z326" s="181">
        <f t="shared" si="70"/>
        <v>0</v>
      </c>
      <c r="AA326" s="181">
        <f t="shared" si="71"/>
        <v>45354209.336068451</v>
      </c>
      <c r="AB326" s="182">
        <f t="shared" si="72"/>
        <v>24356.622932986593</v>
      </c>
      <c r="AC326" s="181">
        <f t="shared" si="73"/>
        <v>45378565.959001437</v>
      </c>
      <c r="AD326" s="181">
        <f t="shared" si="74"/>
        <v>202464128.28686455</v>
      </c>
      <c r="AE326" s="131">
        <v>59555787.539999999</v>
      </c>
      <c r="AF326" s="131">
        <f>AE326*'1. UC Assumptions'!$C$23</f>
        <v>19653409.888199996</v>
      </c>
      <c r="AG326" s="183">
        <f>IF((((X326-W326-AE326)*'1. UC Assumptions'!$C$23)+AF326)&gt;0,((X326-W326-AE326)*'1. UC Assumptions'!$C$23)+AF326,0)</f>
        <v>81772013.729999989</v>
      </c>
      <c r="AH326" s="183">
        <f>IF(((X326-W326-AE326)*'1. UC Assumptions'!$C$23)&gt;0,(X326-W326-AE326)*'1. UC Assumptions'!$C$23,0)</f>
        <v>62118603.841799997</v>
      </c>
      <c r="AI326" s="183">
        <f t="shared" si="75"/>
        <v>81772013.729999989</v>
      </c>
      <c r="AJ326" s="183">
        <f>IF(H326="Bexar",(AD326/$AJ$1)*'1. UC Assumptions'!$E$42,0)</f>
        <v>0</v>
      </c>
      <c r="AK326" s="183">
        <f>IF(H326="Dallas",(AD326/$AK$1)*'1. UC Assumptions'!$F$42,0)</f>
        <v>0</v>
      </c>
      <c r="AL326" s="183">
        <f>IF(H326="El Paso",(AD326/$AL$1)*'1. UC Assumptions'!$G$42,0)</f>
        <v>0</v>
      </c>
      <c r="AM326" s="183">
        <f>IF(H326="Harris",(AD326/$AM$1)*'1. UC Assumptions'!$H$42,0)</f>
        <v>0</v>
      </c>
      <c r="AN326" s="183">
        <f>IF(H326="Hidalgo",(AD326/$AN$1)*'1. UC Assumptions'!$I$42,0)</f>
        <v>0</v>
      </c>
      <c r="AO326" s="183">
        <f>IF(H326="Jefferson",(AD326/$AO$1)*'1. UC Assumptions'!$J$42,0)</f>
        <v>0</v>
      </c>
      <c r="AP326" s="183">
        <f>IF(H326="Lubbock",(AD326/$AP$1)*'1. UC Assumptions'!$K$42,0)</f>
        <v>0</v>
      </c>
      <c r="AQ326" s="183">
        <f>IF(H326="MRSA Central",(AD326/$AQ$1)*'1. UC Assumptions'!$L$42,0)</f>
        <v>0</v>
      </c>
      <c r="AR326" s="183">
        <f>IF(H326="MRSA Northeast",(AD326/$AR$1)*'1. UC Assumptions'!$M$42,0)</f>
        <v>0</v>
      </c>
      <c r="AS326" s="183">
        <f>IF(H326="MRSA West",(AD326/$AS$1)*'1. UC Assumptions'!$N$42,0)</f>
        <v>0</v>
      </c>
      <c r="AT326" s="183">
        <f>IF(H326="Nueces",(AD326/$AT$1)*'1. UC Assumptions'!$O$42,0)</f>
        <v>0</v>
      </c>
      <c r="AU326" s="183">
        <f>IF(H326="Tarrant",(AD326/$AU$1)*'1. UC Assumptions'!$P$42,0)</f>
        <v>0</v>
      </c>
      <c r="AV326" s="183">
        <f>IF(H326="Travis",(AD326/$AV$1)*'1. UC Assumptions'!$Q$42,0)</f>
        <v>0</v>
      </c>
      <c r="AW326" s="183">
        <f>IF(H326="Bexar",(AC326/$AW$1)*'1. UC Assumptions'!$E$44,0)</f>
        <v>0</v>
      </c>
      <c r="AX326" s="183">
        <f>IF(H326="Dallas",(AC326/$AX$1)*'1. UC Assumptions'!$F$44,0)</f>
        <v>0</v>
      </c>
      <c r="AY326" s="183">
        <f>IF(H326="El Paso",(AC326/$AY$1)*'1. UC Assumptions'!$G$44,0)</f>
        <v>0</v>
      </c>
      <c r="AZ326" s="183">
        <f>IF(H326="Harris",(AC326/$AZ$1)*'1. UC Assumptions'!$H$44,0)</f>
        <v>0</v>
      </c>
      <c r="BA326" s="183">
        <f>IF(H326="Hidalgo",(AC326/$BA$1)*'1. UC Assumptions'!$I$44,0)</f>
        <v>0</v>
      </c>
      <c r="BB326" s="183">
        <f>IF(H326="Jefferson",(AC326/$BB$1)*'1. UC Assumptions'!$J$44,0)</f>
        <v>0</v>
      </c>
      <c r="BC326" s="183">
        <f>IF(H326="Lubbock",(AC326/$BC$1)*'1. UC Assumptions'!$K$44,0)</f>
        <v>0</v>
      </c>
      <c r="BD326" s="183">
        <f>IF(H326="MRSA Central",(AC326/$BD$1)*'1. UC Assumptions'!$L$44,0)</f>
        <v>0</v>
      </c>
      <c r="BE326" s="183">
        <f>IF(H326="MRSA Northeast",(AC326/$BE$1)*'1. UC Assumptions'!$M$44,0)</f>
        <v>0</v>
      </c>
      <c r="BF326" s="183">
        <f>IF(H326="MRSA West",(AC326/$BF$1)*'1. UC Assumptions'!$N$44,0)</f>
        <v>0</v>
      </c>
      <c r="BG326" s="183">
        <f>IF(H326="Nueces",(AC326/$BG$1)*'1. UC Assumptions'!$O$44,0)</f>
        <v>0</v>
      </c>
      <c r="BH326" s="183">
        <f>IF(H326="Tarrant",(AC326/$BH$1)*'1. UC Assumptions'!$P$44,0)</f>
        <v>0</v>
      </c>
      <c r="BI326" s="183">
        <f>IF(H326="Travis",(AC326/$BI$1)*'1. UC Assumptions'!$Q$44,0)</f>
        <v>0</v>
      </c>
      <c r="BJ326" s="183">
        <f t="shared" si="76"/>
        <v>0</v>
      </c>
      <c r="BK326" s="183">
        <f t="shared" si="77"/>
        <v>0</v>
      </c>
      <c r="BL326" s="183">
        <f t="shared" si="78"/>
        <v>202464128.28686455</v>
      </c>
      <c r="BM326" s="184">
        <f t="shared" si="79"/>
        <v>142908340.74686456</v>
      </c>
      <c r="BN326" s="184">
        <f>ROUNDDOWN(BM326*'1. UC Assumptions'!$C$23,2)</f>
        <v>47159752.439999998</v>
      </c>
      <c r="BO326" s="184"/>
      <c r="BP326" s="186"/>
      <c r="BQ326" s="32"/>
      <c r="BR326" s="32"/>
    </row>
    <row r="327" spans="1:70">
      <c r="A327" s="177" t="s">
        <v>1780</v>
      </c>
      <c r="B327" s="177" t="s">
        <v>546</v>
      </c>
      <c r="C327" s="178" t="s">
        <v>546</v>
      </c>
      <c r="D327" s="179" t="s">
        <v>214</v>
      </c>
      <c r="E327" s="179"/>
      <c r="F327" s="177"/>
      <c r="G327" s="177" t="s">
        <v>547</v>
      </c>
      <c r="H327" s="178" t="s">
        <v>14</v>
      </c>
      <c r="I327" s="178" t="s">
        <v>14</v>
      </c>
      <c r="J327" s="131">
        <f>IFERROR(INDEX(#REF!,(MATCH('Old Calc Tab'!C:C,#REF!,0))),0)</f>
        <v>0</v>
      </c>
      <c r="K327" s="131">
        <f>IFERROR(INDEX(#REF!,(MATCH('Old Calc Tab'!$C:$C,#REF!,0))),0)</f>
        <v>0</v>
      </c>
      <c r="L327" s="131"/>
      <c r="M327" s="131">
        <v>6998719.2000000002</v>
      </c>
      <c r="N327" s="131">
        <f>IFERROR(INDEX(#REF!,(MATCH('Old Calc Tab'!$C:$C,#REF!,0))),0)</f>
        <v>0</v>
      </c>
      <c r="O327" s="131">
        <f t="shared" si="68"/>
        <v>0</v>
      </c>
      <c r="P327" s="131">
        <f t="shared" si="69"/>
        <v>6998719.2000000002</v>
      </c>
      <c r="Q327" s="131"/>
      <c r="R327" s="131"/>
      <c r="S327" s="131"/>
      <c r="T327" s="131"/>
      <c r="U327" s="131"/>
      <c r="V327" s="131">
        <v>0</v>
      </c>
      <c r="W327" s="180">
        <v>0</v>
      </c>
      <c r="X327" s="180">
        <f t="shared" si="67"/>
        <v>6998719.2000000002</v>
      </c>
      <c r="Y327" s="181">
        <f>IF(D327="Physician Group Practice",(X327/$AE$369)*'1. UC Assumptions'!$C$15,IF(OR(E327="Rural Hospital",E327="Hosp - State"),X327,(X327/$X$369)*'1. UC Assumptions'!$C$9))</f>
        <v>4212270.3221040992</v>
      </c>
      <c r="Z327" s="181">
        <f t="shared" si="70"/>
        <v>0</v>
      </c>
      <c r="AA327" s="181">
        <f t="shared" si="71"/>
        <v>2786448.877895901</v>
      </c>
      <c r="AB327" s="182">
        <f t="shared" si="72"/>
        <v>1496.4098290868203</v>
      </c>
      <c r="AC327" s="181">
        <f t="shared" si="73"/>
        <v>2787945.2877249876</v>
      </c>
      <c r="AD327" s="181">
        <f t="shared" si="74"/>
        <v>4213766.7319331858</v>
      </c>
      <c r="AE327" s="131">
        <v>2974376.63</v>
      </c>
      <c r="AF327" s="131">
        <f>AE327*'1. UC Assumptions'!$C$23</f>
        <v>981544.28789999988</v>
      </c>
      <c r="AG327" s="183">
        <f>IF((((X327-W327-AE327)*'1. UC Assumptions'!$C$23)+AF327)&gt;0,((X327-W327-AE327)*'1. UC Assumptions'!$C$23)+AF327,0)</f>
        <v>2309577.3360000001</v>
      </c>
      <c r="AH327" s="183"/>
      <c r="AI327" s="183">
        <f t="shared" si="75"/>
        <v>981544.28789999988</v>
      </c>
      <c r="AJ327" s="183">
        <f>IF(H327="Bexar",(AD327/$AJ$1)*'1. UC Assumptions'!$E$42,0)</f>
        <v>0</v>
      </c>
      <c r="AK327" s="183">
        <f>IF(H327="Dallas",(AD327/$AK$1)*'1. UC Assumptions'!$F$42,0)</f>
        <v>0</v>
      </c>
      <c r="AL327" s="183">
        <f>IF(H327="El Paso",(AD327/$AL$1)*'1. UC Assumptions'!$G$42,0)</f>
        <v>0</v>
      </c>
      <c r="AM327" s="183">
        <f>IF(H327="Harris",(AD327/$AM$1)*'1. UC Assumptions'!$H$42,0)</f>
        <v>0</v>
      </c>
      <c r="AN327" s="183">
        <f>IF(H327="Hidalgo",(AD327/$AN$1)*'1. UC Assumptions'!$I$42,0)</f>
        <v>0</v>
      </c>
      <c r="AO327" s="183">
        <f>IF(H327="Jefferson",(AD327/$AO$1)*'1. UC Assumptions'!$J$42,0)</f>
        <v>0</v>
      </c>
      <c r="AP327" s="183">
        <f>IF(H327="Lubbock",(AD327/$AP$1)*'1. UC Assumptions'!$K$42,0)</f>
        <v>0</v>
      </c>
      <c r="AQ327" s="183">
        <f>IF(H327="MRSA Central",(AD327/$AQ$1)*'1. UC Assumptions'!$L$42,0)</f>
        <v>0</v>
      </c>
      <c r="AR327" s="183">
        <f>IF(H327="MRSA Northeast",(AD327/$AR$1)*'1. UC Assumptions'!$M$42,0)</f>
        <v>0</v>
      </c>
      <c r="AS327" s="183">
        <f>IF(H327="MRSA West",(AD327/$AS$1)*'1. UC Assumptions'!$N$42,0)</f>
        <v>0</v>
      </c>
      <c r="AT327" s="183">
        <f>IF(H327="Nueces",(AD327/$AT$1)*'1. UC Assumptions'!$O$42,0)</f>
        <v>0</v>
      </c>
      <c r="AU327" s="183">
        <f>IF(H327="Tarrant",(AD327/$AU$1)*'1. UC Assumptions'!$P$42,0)</f>
        <v>0</v>
      </c>
      <c r="AV327" s="183">
        <f>IF(H327="Travis",(AD327/$AV$1)*'1. UC Assumptions'!$Q$42,0)</f>
        <v>0</v>
      </c>
      <c r="AW327" s="183">
        <f>IF(H327="Bexar",(AC327/$AW$1)*'1. UC Assumptions'!$E$44,0)</f>
        <v>0</v>
      </c>
      <c r="AX327" s="183">
        <f>IF(H327="Dallas",(AC327/$AX$1)*'1. UC Assumptions'!$F$44,0)</f>
        <v>0</v>
      </c>
      <c r="AY327" s="183">
        <f>IF(H327="El Paso",(AC327/$AY$1)*'1. UC Assumptions'!$G$44,0)</f>
        <v>0</v>
      </c>
      <c r="AZ327" s="183">
        <f>IF(H327="Harris",(AC327/$AZ$1)*'1. UC Assumptions'!$H$44,0)</f>
        <v>0</v>
      </c>
      <c r="BA327" s="183">
        <f>IF(H327="Hidalgo",(AC327/$BA$1)*'1. UC Assumptions'!$I$44,0)</f>
        <v>0</v>
      </c>
      <c r="BB327" s="183">
        <f>IF(H327="Jefferson",(AC327/$BB$1)*'1. UC Assumptions'!$J$44,0)</f>
        <v>0</v>
      </c>
      <c r="BC327" s="183">
        <f>IF(H327="Lubbock",(AC327/$BC$1)*'1. UC Assumptions'!$K$44,0)</f>
        <v>0</v>
      </c>
      <c r="BD327" s="183">
        <f>IF(H327="MRSA Central",(AC327/$BD$1)*'1. UC Assumptions'!$L$44,0)</f>
        <v>0</v>
      </c>
      <c r="BE327" s="183">
        <f>IF(H327="MRSA Northeast",(AC327/$BE$1)*'1. UC Assumptions'!$M$44,0)</f>
        <v>0</v>
      </c>
      <c r="BF327" s="183">
        <f>IF(H327="MRSA West",(AC327/$BF$1)*'1. UC Assumptions'!$N$44,0)</f>
        <v>0</v>
      </c>
      <c r="BG327" s="183">
        <f>IF(H327="Nueces",(AC327/$BG$1)*'1. UC Assumptions'!$O$44,0)</f>
        <v>0</v>
      </c>
      <c r="BH327" s="183">
        <f>IF(H327="Tarrant",(AC327/$BH$1)*'1. UC Assumptions'!$P$44,0)</f>
        <v>0</v>
      </c>
      <c r="BI327" s="183">
        <f>IF(H327="Travis",(AC327/$BI$1)*'1. UC Assumptions'!$Q$44,0)</f>
        <v>0</v>
      </c>
      <c r="BJ327" s="183">
        <f t="shared" si="76"/>
        <v>0</v>
      </c>
      <c r="BK327" s="183">
        <f t="shared" si="77"/>
        <v>0</v>
      </c>
      <c r="BL327" s="183">
        <f t="shared" si="78"/>
        <v>4213766.7319331858</v>
      </c>
      <c r="BM327" s="184">
        <f t="shared" si="79"/>
        <v>1239390.1019331859</v>
      </c>
      <c r="BN327" s="184">
        <f>ROUNDDOWN(BM327*'1. UC Assumptions'!$C$23,2)</f>
        <v>408998.73</v>
      </c>
      <c r="BO327" s="184"/>
      <c r="BP327" s="185"/>
      <c r="BQ327" s="32"/>
      <c r="BR327" s="32"/>
    </row>
    <row r="328" spans="1:70">
      <c r="A328" s="177" t="s">
        <v>1781</v>
      </c>
      <c r="B328" s="178" t="s">
        <v>570</v>
      </c>
      <c r="C328" s="178" t="s">
        <v>570</v>
      </c>
      <c r="D328" s="179" t="s">
        <v>214</v>
      </c>
      <c r="E328" s="179"/>
      <c r="F328" s="177"/>
      <c r="G328" s="177" t="s">
        <v>1782</v>
      </c>
      <c r="H328" s="178" t="s">
        <v>14</v>
      </c>
      <c r="I328" s="178" t="s">
        <v>14</v>
      </c>
      <c r="J328" s="131">
        <f>IFERROR(INDEX(#REF!,(MATCH('Old Calc Tab'!C:C,#REF!,0))),0)</f>
        <v>0</v>
      </c>
      <c r="K328" s="131">
        <f>IFERROR(INDEX(#REF!,(MATCH('Old Calc Tab'!$C:$C,#REF!,0))),0)</f>
        <v>0</v>
      </c>
      <c r="L328" s="131"/>
      <c r="M328" s="131">
        <v>5437065.5460000001</v>
      </c>
      <c r="N328" s="131">
        <f>IFERROR(INDEX(#REF!,(MATCH('Old Calc Tab'!$C:$C,#REF!,0))),0)</f>
        <v>0</v>
      </c>
      <c r="O328" s="131">
        <f t="shared" si="68"/>
        <v>0</v>
      </c>
      <c r="P328" s="131">
        <f t="shared" si="69"/>
        <v>5437065.5460000001</v>
      </c>
      <c r="Q328" s="131"/>
      <c r="R328" s="131"/>
      <c r="S328" s="131"/>
      <c r="T328" s="131"/>
      <c r="U328" s="131"/>
      <c r="V328" s="131">
        <v>0</v>
      </c>
      <c r="W328" s="180">
        <v>0</v>
      </c>
      <c r="X328" s="180">
        <f t="shared" si="67"/>
        <v>5437065.5460000001</v>
      </c>
      <c r="Y328" s="181">
        <f>IF(D328="Physician Group Practice",(X328/$AE$369)*'1. UC Assumptions'!$C$15,IF(OR(E328="Rural Hospital",E328="Hosp - State"),X328,(X328/$X$369)*'1. UC Assumptions'!$C$9))</f>
        <v>3272368.7269451423</v>
      </c>
      <c r="Z328" s="181">
        <f t="shared" si="70"/>
        <v>0</v>
      </c>
      <c r="AA328" s="181">
        <f t="shared" si="71"/>
        <v>2164696.8190548578</v>
      </c>
      <c r="AB328" s="182">
        <f t="shared" si="72"/>
        <v>1162.5096095330837</v>
      </c>
      <c r="AC328" s="181">
        <f t="shared" si="73"/>
        <v>2165859.3286643908</v>
      </c>
      <c r="AD328" s="181">
        <f t="shared" si="74"/>
        <v>3273531.2365546753</v>
      </c>
      <c r="AE328" s="131">
        <v>1385536.67</v>
      </c>
      <c r="AF328" s="131">
        <f>AE328*'1. UC Assumptions'!$C$23</f>
        <v>457227.10109999991</v>
      </c>
      <c r="AG328" s="183">
        <f>IF((((X328-W328-AE328)*'1. UC Assumptions'!$C$23)+AF328)&gt;0,((X328-W328-AE328)*'1. UC Assumptions'!$C$23)+AF328,0)</f>
        <v>1794231.6301799999</v>
      </c>
      <c r="AH328" s="183"/>
      <c r="AI328" s="183">
        <f t="shared" si="75"/>
        <v>457227.10109999991</v>
      </c>
      <c r="AJ328" s="183">
        <f>IF(H328="Bexar",(AD328/$AJ$1)*'1. UC Assumptions'!$E$42,0)</f>
        <v>0</v>
      </c>
      <c r="AK328" s="183">
        <f>IF(H328="Dallas",(AD328/$AK$1)*'1. UC Assumptions'!$F$42,0)</f>
        <v>0</v>
      </c>
      <c r="AL328" s="183">
        <f>IF(H328="El Paso",(AD328/$AL$1)*'1. UC Assumptions'!$G$42,0)</f>
        <v>0</v>
      </c>
      <c r="AM328" s="183">
        <f>IF(H328="Harris",(AD328/$AM$1)*'1. UC Assumptions'!$H$42,0)</f>
        <v>0</v>
      </c>
      <c r="AN328" s="183">
        <f>IF(H328="Hidalgo",(AD328/$AN$1)*'1. UC Assumptions'!$I$42,0)</f>
        <v>0</v>
      </c>
      <c r="AO328" s="183">
        <f>IF(H328="Jefferson",(AD328/$AO$1)*'1. UC Assumptions'!$J$42,0)</f>
        <v>0</v>
      </c>
      <c r="AP328" s="183">
        <f>IF(H328="Lubbock",(AD328/$AP$1)*'1. UC Assumptions'!$K$42,0)</f>
        <v>0</v>
      </c>
      <c r="AQ328" s="183">
        <f>IF(H328="MRSA Central",(AD328/$AQ$1)*'1. UC Assumptions'!$L$42,0)</f>
        <v>0</v>
      </c>
      <c r="AR328" s="183">
        <f>IF(H328="MRSA Northeast",(AD328/$AR$1)*'1. UC Assumptions'!$M$42,0)</f>
        <v>0</v>
      </c>
      <c r="AS328" s="183">
        <f>IF(H328="MRSA West",(AD328/$AS$1)*'1. UC Assumptions'!$N$42,0)</f>
        <v>0</v>
      </c>
      <c r="AT328" s="183">
        <f>IF(H328="Nueces",(AD328/$AT$1)*'1. UC Assumptions'!$O$42,0)</f>
        <v>0</v>
      </c>
      <c r="AU328" s="183">
        <f>IF(H328="Tarrant",(AD328/$AU$1)*'1. UC Assumptions'!$P$42,0)</f>
        <v>0</v>
      </c>
      <c r="AV328" s="183">
        <f>IF(H328="Travis",(AD328/$AV$1)*'1. UC Assumptions'!$Q$42,0)</f>
        <v>0</v>
      </c>
      <c r="AW328" s="183">
        <f>IF(H328="Bexar",(AC328/$AW$1)*'1. UC Assumptions'!$E$44,0)</f>
        <v>0</v>
      </c>
      <c r="AX328" s="183">
        <f>IF(H328="Dallas",(AC328/$AX$1)*'1. UC Assumptions'!$F$44,0)</f>
        <v>0</v>
      </c>
      <c r="AY328" s="183">
        <f>IF(H328="El Paso",(AC328/$AY$1)*'1. UC Assumptions'!$G$44,0)</f>
        <v>0</v>
      </c>
      <c r="AZ328" s="183">
        <f>IF(H328="Harris",(AC328/$AZ$1)*'1. UC Assumptions'!$H$44,0)</f>
        <v>0</v>
      </c>
      <c r="BA328" s="183">
        <f>IF(H328="Hidalgo",(AC328/$BA$1)*'1. UC Assumptions'!$I$44,0)</f>
        <v>0</v>
      </c>
      <c r="BB328" s="183">
        <f>IF(H328="Jefferson",(AC328/$BB$1)*'1. UC Assumptions'!$J$44,0)</f>
        <v>0</v>
      </c>
      <c r="BC328" s="183">
        <f>IF(H328="Lubbock",(AC328/$BC$1)*'1. UC Assumptions'!$K$44,0)</f>
        <v>0</v>
      </c>
      <c r="BD328" s="183">
        <f>IF(H328="MRSA Central",(AC328/$BD$1)*'1. UC Assumptions'!$L$44,0)</f>
        <v>0</v>
      </c>
      <c r="BE328" s="183">
        <f>IF(H328="MRSA Northeast",(AC328/$BE$1)*'1. UC Assumptions'!$M$44,0)</f>
        <v>0</v>
      </c>
      <c r="BF328" s="183">
        <f>IF(H328="MRSA West",(AC328/$BF$1)*'1. UC Assumptions'!$N$44,0)</f>
        <v>0</v>
      </c>
      <c r="BG328" s="183">
        <f>IF(H328="Nueces",(AC328/$BG$1)*'1. UC Assumptions'!$O$44,0)</f>
        <v>0</v>
      </c>
      <c r="BH328" s="183">
        <f>IF(H328="Tarrant",(AC328/$BH$1)*'1. UC Assumptions'!$P$44,0)</f>
        <v>0</v>
      </c>
      <c r="BI328" s="183">
        <f>IF(H328="Travis",(AC328/$BI$1)*'1. UC Assumptions'!$Q$44,0)</f>
        <v>0</v>
      </c>
      <c r="BJ328" s="183">
        <f t="shared" si="76"/>
        <v>0</v>
      </c>
      <c r="BK328" s="183">
        <f t="shared" si="77"/>
        <v>0</v>
      </c>
      <c r="BL328" s="183">
        <f t="shared" si="78"/>
        <v>3273531.2365546753</v>
      </c>
      <c r="BM328" s="184">
        <f t="shared" si="79"/>
        <v>1887994.5665546753</v>
      </c>
      <c r="BN328" s="184">
        <f>ROUNDDOWN(BM328*'1. UC Assumptions'!$C$23,2)</f>
        <v>623038.19999999995</v>
      </c>
      <c r="BO328" s="184"/>
      <c r="BP328" s="185"/>
      <c r="BQ328" s="32"/>
      <c r="BR328" s="32"/>
    </row>
    <row r="329" spans="1:70">
      <c r="A329" s="177" t="s">
        <v>1783</v>
      </c>
      <c r="B329" s="178" t="s">
        <v>590</v>
      </c>
      <c r="C329" s="178" t="s">
        <v>590</v>
      </c>
      <c r="D329" s="179" t="s">
        <v>208</v>
      </c>
      <c r="E329" s="179" t="s">
        <v>149</v>
      </c>
      <c r="F329" s="177"/>
      <c r="G329" s="177" t="s">
        <v>591</v>
      </c>
      <c r="H329" s="178" t="s">
        <v>14</v>
      </c>
      <c r="I329" s="178" t="s">
        <v>592</v>
      </c>
      <c r="J329" s="131">
        <f>IFERROR(INDEX(#REF!,(MATCH('Old Calc Tab'!C:C,#REF!,0))),0)</f>
        <v>0</v>
      </c>
      <c r="K329" s="131">
        <f>IFERROR(INDEX(#REF!,(MATCH('Old Calc Tab'!$C:$C,#REF!,0))),0)</f>
        <v>0</v>
      </c>
      <c r="L329" s="131"/>
      <c r="M329" s="131">
        <v>9809867.8499999996</v>
      </c>
      <c r="N329" s="131">
        <f>IFERROR(INDEX(#REF!,(MATCH('Old Calc Tab'!$C:$C,#REF!,0))),0)</f>
        <v>0</v>
      </c>
      <c r="O329" s="131">
        <f t="shared" si="68"/>
        <v>0</v>
      </c>
      <c r="P329" s="131">
        <f t="shared" si="69"/>
        <v>9809867.8499999996</v>
      </c>
      <c r="Q329" s="131"/>
      <c r="R329" s="131"/>
      <c r="S329" s="131"/>
      <c r="T329" s="131"/>
      <c r="U329" s="131"/>
      <c r="V329" s="131">
        <v>0</v>
      </c>
      <c r="W329" s="180">
        <v>0</v>
      </c>
      <c r="X329" s="180">
        <f t="shared" si="67"/>
        <v>9809867.8499999996</v>
      </c>
      <c r="Y329" s="181">
        <f>IF(D329="Physician Group Practice",(X329/$AE$369)*'1. UC Assumptions'!$C$15,IF(OR(E329="Rural Hospital",E329="Hosp - State"),X329,(X329/$X$369)*'1. UC Assumptions'!$C$9))</f>
        <v>9809867.8499999996</v>
      </c>
      <c r="Z329" s="181">
        <f t="shared" si="70"/>
        <v>0</v>
      </c>
      <c r="AA329" s="181">
        <f t="shared" si="71"/>
        <v>0</v>
      </c>
      <c r="AB329" s="182">
        <f t="shared" si="72"/>
        <v>0</v>
      </c>
      <c r="AC329" s="181">
        <f t="shared" si="73"/>
        <v>0</v>
      </c>
      <c r="AD329" s="181">
        <f t="shared" si="74"/>
        <v>9809867.8499999996</v>
      </c>
      <c r="AE329" s="131">
        <v>3913751.07</v>
      </c>
      <c r="AF329" s="131">
        <f>AE329*'1. UC Assumptions'!$C$23</f>
        <v>1291537.8530999997</v>
      </c>
      <c r="AG329" s="183">
        <f>IF((((X329-W329-AE329)*'1. UC Assumptions'!$C$23)+AF329)&gt;0,((X329-W329-AE329)*'1. UC Assumptions'!$C$23)+AF329,0)</f>
        <v>3237256.3904999993</v>
      </c>
      <c r="AH329" s="183"/>
      <c r="AI329" s="183">
        <f t="shared" si="75"/>
        <v>1291537.8530999997</v>
      </c>
      <c r="AJ329" s="183">
        <f>IF(H329="Bexar",(AD329/$AJ$1)*'1. UC Assumptions'!$E$42,0)</f>
        <v>0</v>
      </c>
      <c r="AK329" s="183">
        <f>IF(H329="Dallas",(AD329/$AK$1)*'1. UC Assumptions'!$F$42,0)</f>
        <v>0</v>
      </c>
      <c r="AL329" s="183">
        <f>IF(H329="El Paso",(AD329/$AL$1)*'1. UC Assumptions'!$G$42,0)</f>
        <v>0</v>
      </c>
      <c r="AM329" s="183">
        <f>IF(H329="Harris",(AD329/$AM$1)*'1. UC Assumptions'!$H$42,0)</f>
        <v>0</v>
      </c>
      <c r="AN329" s="183">
        <f>IF(H329="Hidalgo",(AD329/$AN$1)*'1. UC Assumptions'!$I$42,0)</f>
        <v>0</v>
      </c>
      <c r="AO329" s="183">
        <f>IF(H329="Jefferson",(AD329/$AO$1)*'1. UC Assumptions'!$J$42,0)</f>
        <v>0</v>
      </c>
      <c r="AP329" s="183">
        <f>IF(H329="Lubbock",(AD329/$AP$1)*'1. UC Assumptions'!$K$42,0)</f>
        <v>0</v>
      </c>
      <c r="AQ329" s="183">
        <f>IF(H329="MRSA Central",(AD329/$AQ$1)*'1. UC Assumptions'!$L$42,0)</f>
        <v>0</v>
      </c>
      <c r="AR329" s="183">
        <f>IF(H329="MRSA Northeast",(AD329/$AR$1)*'1. UC Assumptions'!$M$42,0)</f>
        <v>0</v>
      </c>
      <c r="AS329" s="183">
        <f>IF(H329="MRSA West",(AD329/$AS$1)*'1. UC Assumptions'!$N$42,0)</f>
        <v>0</v>
      </c>
      <c r="AT329" s="183">
        <f>IF(H329="Nueces",(AD329/$AT$1)*'1. UC Assumptions'!$O$42,0)</f>
        <v>0</v>
      </c>
      <c r="AU329" s="183">
        <f>IF(H329="Tarrant",(AD329/$AU$1)*'1. UC Assumptions'!$P$42,0)</f>
        <v>0</v>
      </c>
      <c r="AV329" s="183">
        <f>IF(H329="Travis",(AD329/$AV$1)*'1. UC Assumptions'!$Q$42,0)</f>
        <v>0</v>
      </c>
      <c r="AW329" s="183">
        <f>IF(H329="Bexar",(AC329/$AW$1)*'1. UC Assumptions'!$E$44,0)</f>
        <v>0</v>
      </c>
      <c r="AX329" s="183">
        <f>IF(H329="Dallas",(AC329/$AX$1)*'1. UC Assumptions'!$F$44,0)</f>
        <v>0</v>
      </c>
      <c r="AY329" s="183">
        <f>IF(H329="El Paso",(AC329/$AY$1)*'1. UC Assumptions'!$G$44,0)</f>
        <v>0</v>
      </c>
      <c r="AZ329" s="183">
        <f>IF(H329="Harris",(AC329/$AZ$1)*'1. UC Assumptions'!$H$44,0)</f>
        <v>0</v>
      </c>
      <c r="BA329" s="183">
        <f>IF(H329="Hidalgo",(AC329/$BA$1)*'1. UC Assumptions'!$I$44,0)</f>
        <v>0</v>
      </c>
      <c r="BB329" s="183">
        <f>IF(H329="Jefferson",(AC329/$BB$1)*'1. UC Assumptions'!$J$44,0)</f>
        <v>0</v>
      </c>
      <c r="BC329" s="183">
        <f>IF(H329="Lubbock",(AC329/$BC$1)*'1. UC Assumptions'!$K$44,0)</f>
        <v>0</v>
      </c>
      <c r="BD329" s="183">
        <f>IF(H329="MRSA Central",(AC329/$BD$1)*'1. UC Assumptions'!$L$44,0)</f>
        <v>0</v>
      </c>
      <c r="BE329" s="183">
        <f>IF(H329="MRSA Northeast",(AC329/$BE$1)*'1. UC Assumptions'!$M$44,0)</f>
        <v>0</v>
      </c>
      <c r="BF329" s="183">
        <f>IF(H329="MRSA West",(AC329/$BF$1)*'1. UC Assumptions'!$N$44,0)</f>
        <v>0</v>
      </c>
      <c r="BG329" s="183">
        <f>IF(H329="Nueces",(AC329/$BG$1)*'1. UC Assumptions'!$O$44,0)</f>
        <v>0</v>
      </c>
      <c r="BH329" s="183">
        <f>IF(H329="Tarrant",(AC329/$BH$1)*'1. UC Assumptions'!$P$44,0)</f>
        <v>0</v>
      </c>
      <c r="BI329" s="183">
        <f>IF(H329="Travis",(AC329/$BI$1)*'1. UC Assumptions'!$Q$44,0)</f>
        <v>0</v>
      </c>
      <c r="BJ329" s="183">
        <f t="shared" si="76"/>
        <v>0</v>
      </c>
      <c r="BK329" s="183">
        <f t="shared" si="77"/>
        <v>0</v>
      </c>
      <c r="BL329" s="183">
        <f t="shared" si="78"/>
        <v>9809867.8499999996</v>
      </c>
      <c r="BM329" s="184">
        <f t="shared" si="79"/>
        <v>5896116.7799999993</v>
      </c>
      <c r="BN329" s="184">
        <f>ROUNDDOWN(BM329*'1. UC Assumptions'!$C$23,2)</f>
        <v>1945718.53</v>
      </c>
      <c r="BO329" s="184"/>
      <c r="BP329" s="185"/>
      <c r="BQ329" s="32"/>
      <c r="BR329" s="32"/>
    </row>
    <row r="330" spans="1:70">
      <c r="A330" s="177" t="s">
        <v>1784</v>
      </c>
      <c r="B330" s="178" t="s">
        <v>593</v>
      </c>
      <c r="C330" s="178" t="s">
        <v>593</v>
      </c>
      <c r="D330" s="179" t="s">
        <v>214</v>
      </c>
      <c r="E330" s="179"/>
      <c r="F330" s="177"/>
      <c r="G330" s="177" t="s">
        <v>1785</v>
      </c>
      <c r="H330" s="178" t="s">
        <v>14</v>
      </c>
      <c r="I330" s="178" t="s">
        <v>14</v>
      </c>
      <c r="J330" s="131">
        <f>IFERROR(INDEX(#REF!,(MATCH('Old Calc Tab'!C:C,#REF!,0))),0)</f>
        <v>0</v>
      </c>
      <c r="K330" s="131">
        <f>IFERROR(INDEX(#REF!,(MATCH('Old Calc Tab'!$C:$C,#REF!,0))),0)</f>
        <v>0</v>
      </c>
      <c r="L330" s="131"/>
      <c r="M330" s="131">
        <v>4062145.3289999999</v>
      </c>
      <c r="N330" s="131">
        <f>IFERROR(INDEX(#REF!,(MATCH('Old Calc Tab'!$C:$C,#REF!,0))),0)</f>
        <v>0</v>
      </c>
      <c r="O330" s="131">
        <f t="shared" si="68"/>
        <v>0</v>
      </c>
      <c r="P330" s="131">
        <f t="shared" si="69"/>
        <v>4062145.3289999999</v>
      </c>
      <c r="Q330" s="131"/>
      <c r="R330" s="131"/>
      <c r="S330" s="131"/>
      <c r="T330" s="131"/>
      <c r="U330" s="131"/>
      <c r="V330" s="131">
        <v>0</v>
      </c>
      <c r="W330" s="180">
        <v>0</v>
      </c>
      <c r="X330" s="180">
        <f t="shared" si="67"/>
        <v>4062145.3289999999</v>
      </c>
      <c r="Y330" s="181">
        <f>IF(D330="Physician Group Practice",(X330/$AE$369)*'1. UC Assumptions'!$C$15,IF(OR(E330="Rural Hospital",E330="Hosp - State"),X330,(X330/$X$369)*'1. UC Assumptions'!$C$9))</f>
        <v>2444855.0834016162</v>
      </c>
      <c r="Z330" s="181">
        <f t="shared" si="70"/>
        <v>0</v>
      </c>
      <c r="AA330" s="181">
        <f t="shared" si="71"/>
        <v>1617290.2455983837</v>
      </c>
      <c r="AB330" s="182">
        <f t="shared" si="72"/>
        <v>868.53523105980787</v>
      </c>
      <c r="AC330" s="181">
        <f t="shared" si="73"/>
        <v>1618158.7808294436</v>
      </c>
      <c r="AD330" s="181">
        <f t="shared" si="74"/>
        <v>2445723.6186326761</v>
      </c>
      <c r="AE330" s="131">
        <v>7171846.8099999996</v>
      </c>
      <c r="AF330" s="131">
        <f>AE330*'1. UC Assumptions'!$C$23</f>
        <v>2366709.4472999997</v>
      </c>
      <c r="AG330" s="183">
        <f>IF((((X330-W330-AE330)*'1. UC Assumptions'!$C$23)+AF330)&gt;0,((X330-W330-AE330)*'1. UC Assumptions'!$C$23)+AF330,0)</f>
        <v>1340507.9585699998</v>
      </c>
      <c r="AH330" s="183"/>
      <c r="AI330" s="183">
        <f t="shared" si="75"/>
        <v>2366709.4472999997</v>
      </c>
      <c r="AJ330" s="183">
        <f>IF(H330="Bexar",(AD330/$AJ$1)*'1. UC Assumptions'!$E$42,0)</f>
        <v>0</v>
      </c>
      <c r="AK330" s="183">
        <f>IF(H330="Dallas",(AD330/$AK$1)*'1. UC Assumptions'!$F$42,0)</f>
        <v>0</v>
      </c>
      <c r="AL330" s="183">
        <f>IF(H330="El Paso",(AD330/$AL$1)*'1. UC Assumptions'!$G$42,0)</f>
        <v>0</v>
      </c>
      <c r="AM330" s="183">
        <f>IF(H330="Harris",(AD330/$AM$1)*'1. UC Assumptions'!$H$42,0)</f>
        <v>0</v>
      </c>
      <c r="AN330" s="183">
        <f>IF(H330="Hidalgo",(AD330/$AN$1)*'1. UC Assumptions'!$I$42,0)</f>
        <v>0</v>
      </c>
      <c r="AO330" s="183">
        <f>IF(H330="Jefferson",(AD330/$AO$1)*'1. UC Assumptions'!$J$42,0)</f>
        <v>0</v>
      </c>
      <c r="AP330" s="183">
        <f>IF(H330="Lubbock",(AD330/$AP$1)*'1. UC Assumptions'!$K$42,0)</f>
        <v>0</v>
      </c>
      <c r="AQ330" s="183">
        <f>IF(H330="MRSA Central",(AD330/$AQ$1)*'1. UC Assumptions'!$L$42,0)</f>
        <v>0</v>
      </c>
      <c r="AR330" s="183">
        <f>IF(H330="MRSA Northeast",(AD330/$AR$1)*'1. UC Assumptions'!$M$42,0)</f>
        <v>0</v>
      </c>
      <c r="AS330" s="183">
        <f>IF(H330="MRSA West",(AD330/$AS$1)*'1. UC Assumptions'!$N$42,0)</f>
        <v>0</v>
      </c>
      <c r="AT330" s="183">
        <f>IF(H330="Nueces",(AD330/$AT$1)*'1. UC Assumptions'!$O$42,0)</f>
        <v>0</v>
      </c>
      <c r="AU330" s="183">
        <f>IF(H330="Tarrant",(AD330/$AU$1)*'1. UC Assumptions'!$P$42,0)</f>
        <v>0</v>
      </c>
      <c r="AV330" s="183">
        <f>IF(H330="Travis",(AD330/$AV$1)*'1. UC Assumptions'!$Q$42,0)</f>
        <v>0</v>
      </c>
      <c r="AW330" s="183">
        <f>IF(H330="Bexar",(AC330/$AW$1)*'1. UC Assumptions'!$E$44,0)</f>
        <v>0</v>
      </c>
      <c r="AX330" s="183">
        <f>IF(H330="Dallas",(AC330/$AX$1)*'1. UC Assumptions'!$F$44,0)</f>
        <v>0</v>
      </c>
      <c r="AY330" s="183">
        <f>IF(H330="El Paso",(AC330/$AY$1)*'1. UC Assumptions'!$G$44,0)</f>
        <v>0</v>
      </c>
      <c r="AZ330" s="183">
        <f>IF(H330="Harris",(AC330/$AZ$1)*'1. UC Assumptions'!$H$44,0)</f>
        <v>0</v>
      </c>
      <c r="BA330" s="183">
        <f>IF(H330="Hidalgo",(AC330/$BA$1)*'1. UC Assumptions'!$I$44,0)</f>
        <v>0</v>
      </c>
      <c r="BB330" s="183">
        <f>IF(H330="Jefferson",(AC330/$BB$1)*'1. UC Assumptions'!$J$44,0)</f>
        <v>0</v>
      </c>
      <c r="BC330" s="183">
        <f>IF(H330="Lubbock",(AC330/$BC$1)*'1. UC Assumptions'!$K$44,0)</f>
        <v>0</v>
      </c>
      <c r="BD330" s="183">
        <f>IF(H330="MRSA Central",(AC330/$BD$1)*'1. UC Assumptions'!$L$44,0)</f>
        <v>0</v>
      </c>
      <c r="BE330" s="183">
        <f>IF(H330="MRSA Northeast",(AC330/$BE$1)*'1. UC Assumptions'!$M$44,0)</f>
        <v>0</v>
      </c>
      <c r="BF330" s="183">
        <f>IF(H330="MRSA West",(AC330/$BF$1)*'1. UC Assumptions'!$N$44,0)</f>
        <v>0</v>
      </c>
      <c r="BG330" s="183">
        <f>IF(H330="Nueces",(AC330/$BG$1)*'1. UC Assumptions'!$O$44,0)</f>
        <v>0</v>
      </c>
      <c r="BH330" s="183">
        <f>IF(H330="Tarrant",(AC330/$BH$1)*'1. UC Assumptions'!$P$44,0)</f>
        <v>0</v>
      </c>
      <c r="BI330" s="183">
        <f>IF(H330="Travis",(AC330/$BI$1)*'1. UC Assumptions'!$Q$44,0)</f>
        <v>0</v>
      </c>
      <c r="BJ330" s="183">
        <f t="shared" si="76"/>
        <v>0</v>
      </c>
      <c r="BK330" s="183">
        <f t="shared" si="77"/>
        <v>0</v>
      </c>
      <c r="BL330" s="183">
        <f t="shared" si="78"/>
        <v>2445723.6186326761</v>
      </c>
      <c r="BM330" s="184">
        <f t="shared" si="79"/>
        <v>-4726123.1913673235</v>
      </c>
      <c r="BN330" s="184">
        <f>ROUNDDOWN(BM330*'1. UC Assumptions'!$C$23,2)</f>
        <v>-1559620.65</v>
      </c>
      <c r="BO330" s="184"/>
      <c r="BP330" s="185"/>
      <c r="BQ330" s="32"/>
      <c r="BR330" s="32"/>
    </row>
    <row r="331" spans="1:70">
      <c r="A331" s="177" t="s">
        <v>1786</v>
      </c>
      <c r="B331" s="178" t="s">
        <v>611</v>
      </c>
      <c r="C331" s="178" t="s">
        <v>611</v>
      </c>
      <c r="D331" s="179" t="s">
        <v>214</v>
      </c>
      <c r="E331" s="179"/>
      <c r="F331" s="177"/>
      <c r="G331" s="177" t="s">
        <v>1787</v>
      </c>
      <c r="H331" s="178" t="s">
        <v>14</v>
      </c>
      <c r="I331" s="178" t="s">
        <v>613</v>
      </c>
      <c r="J331" s="131">
        <f>IFERROR(INDEX(#REF!,(MATCH('Old Calc Tab'!C:C,#REF!,0))),0)</f>
        <v>0</v>
      </c>
      <c r="K331" s="131">
        <f>IFERROR(INDEX(#REF!,(MATCH('Old Calc Tab'!$C:$C,#REF!,0))),0)</f>
        <v>0</v>
      </c>
      <c r="L331" s="131"/>
      <c r="M331" s="131">
        <v>9298769.5350000001</v>
      </c>
      <c r="N331" s="131">
        <f>IFERROR(INDEX(#REF!,(MATCH('Old Calc Tab'!$C:$C,#REF!,0))),0)</f>
        <v>0</v>
      </c>
      <c r="O331" s="131">
        <f t="shared" si="68"/>
        <v>0</v>
      </c>
      <c r="P331" s="131">
        <f t="shared" si="69"/>
        <v>9298769.5350000001</v>
      </c>
      <c r="Q331" s="131"/>
      <c r="R331" s="131"/>
      <c r="S331" s="131"/>
      <c r="T331" s="131"/>
      <c r="U331" s="131"/>
      <c r="V331" s="131">
        <v>0</v>
      </c>
      <c r="W331" s="180">
        <v>0</v>
      </c>
      <c r="X331" s="180">
        <f t="shared" si="67"/>
        <v>9298769.5350000001</v>
      </c>
      <c r="Y331" s="181">
        <f>IF(D331="Physician Group Practice",(X331/$AE$369)*'1. UC Assumptions'!$C$15,IF(OR(E331="Rural Hospital",E331="Hosp - State"),X331,(X331/$X$369)*'1. UC Assumptions'!$C$9))</f>
        <v>5596585.5787393553</v>
      </c>
      <c r="Z331" s="181">
        <f t="shared" si="70"/>
        <v>0</v>
      </c>
      <c r="AA331" s="181">
        <f t="shared" si="71"/>
        <v>3702183.9562606448</v>
      </c>
      <c r="AB331" s="182">
        <f t="shared" si="72"/>
        <v>1988.1880859839441</v>
      </c>
      <c r="AC331" s="181">
        <f t="shared" si="73"/>
        <v>3704172.1443466288</v>
      </c>
      <c r="AD331" s="181">
        <f t="shared" si="74"/>
        <v>5598573.7668253388</v>
      </c>
      <c r="AE331" s="131">
        <v>456412.6</v>
      </c>
      <c r="AF331" s="131">
        <f>AE331*'1. UC Assumptions'!$C$23</f>
        <v>150616.15799999997</v>
      </c>
      <c r="AG331" s="183">
        <f>IF((((X331-W331-AE331)*'1. UC Assumptions'!$C$23)+AF331)&gt;0,((X331-W331-AE331)*'1. UC Assumptions'!$C$23)+AF331,0)</f>
        <v>3068593.9465499995</v>
      </c>
      <c r="AH331" s="183"/>
      <c r="AI331" s="183">
        <f t="shared" si="75"/>
        <v>150616.15799999997</v>
      </c>
      <c r="AJ331" s="183">
        <f>IF(H331="Bexar",(AD331/$AJ$1)*'1. UC Assumptions'!$E$42,0)</f>
        <v>0</v>
      </c>
      <c r="AK331" s="183">
        <f>IF(H331="Dallas",(AD331/$AK$1)*'1. UC Assumptions'!$F$42,0)</f>
        <v>0</v>
      </c>
      <c r="AL331" s="183">
        <f>IF(H331="El Paso",(AD331/$AL$1)*'1. UC Assumptions'!$G$42,0)</f>
        <v>0</v>
      </c>
      <c r="AM331" s="183">
        <f>IF(H331="Harris",(AD331/$AM$1)*'1. UC Assumptions'!$H$42,0)</f>
        <v>0</v>
      </c>
      <c r="AN331" s="183">
        <f>IF(H331="Hidalgo",(AD331/$AN$1)*'1. UC Assumptions'!$I$42,0)</f>
        <v>0</v>
      </c>
      <c r="AO331" s="183">
        <f>IF(H331="Jefferson",(AD331/$AO$1)*'1. UC Assumptions'!$J$42,0)</f>
        <v>0</v>
      </c>
      <c r="AP331" s="183">
        <f>IF(H331="Lubbock",(AD331/$AP$1)*'1. UC Assumptions'!$K$42,0)</f>
        <v>0</v>
      </c>
      <c r="AQ331" s="183">
        <f>IF(H331="MRSA Central",(AD331/$AQ$1)*'1. UC Assumptions'!$L$42,0)</f>
        <v>0</v>
      </c>
      <c r="AR331" s="183">
        <f>IF(H331="MRSA Northeast",(AD331/$AR$1)*'1. UC Assumptions'!$M$42,0)</f>
        <v>0</v>
      </c>
      <c r="AS331" s="183">
        <f>IF(H331="MRSA West",(AD331/$AS$1)*'1. UC Assumptions'!$N$42,0)</f>
        <v>0</v>
      </c>
      <c r="AT331" s="183">
        <f>IF(H331="Nueces",(AD331/$AT$1)*'1. UC Assumptions'!$O$42,0)</f>
        <v>0</v>
      </c>
      <c r="AU331" s="183">
        <f>IF(H331="Tarrant",(AD331/$AU$1)*'1. UC Assumptions'!$P$42,0)</f>
        <v>0</v>
      </c>
      <c r="AV331" s="183">
        <f>IF(H331="Travis",(AD331/$AV$1)*'1. UC Assumptions'!$Q$42,0)</f>
        <v>0</v>
      </c>
      <c r="AW331" s="183">
        <f>IF(H331="Bexar",(AC331/$AW$1)*'1. UC Assumptions'!$E$44,0)</f>
        <v>0</v>
      </c>
      <c r="AX331" s="183">
        <f>IF(H331="Dallas",(AC331/$AX$1)*'1. UC Assumptions'!$F$44,0)</f>
        <v>0</v>
      </c>
      <c r="AY331" s="183">
        <f>IF(H331="El Paso",(AC331/$AY$1)*'1. UC Assumptions'!$G$44,0)</f>
        <v>0</v>
      </c>
      <c r="AZ331" s="183">
        <f>IF(H331="Harris",(AC331/$AZ$1)*'1. UC Assumptions'!$H$44,0)</f>
        <v>0</v>
      </c>
      <c r="BA331" s="183">
        <f>IF(H331="Hidalgo",(AC331/$BA$1)*'1. UC Assumptions'!$I$44,0)</f>
        <v>0</v>
      </c>
      <c r="BB331" s="183">
        <f>IF(H331="Jefferson",(AC331/$BB$1)*'1. UC Assumptions'!$J$44,0)</f>
        <v>0</v>
      </c>
      <c r="BC331" s="183">
        <f>IF(H331="Lubbock",(AC331/$BC$1)*'1. UC Assumptions'!$K$44,0)</f>
        <v>0</v>
      </c>
      <c r="BD331" s="183">
        <f>IF(H331="MRSA Central",(AC331/$BD$1)*'1. UC Assumptions'!$L$44,0)</f>
        <v>0</v>
      </c>
      <c r="BE331" s="183">
        <f>IF(H331="MRSA Northeast",(AC331/$BE$1)*'1. UC Assumptions'!$M$44,0)</f>
        <v>0</v>
      </c>
      <c r="BF331" s="183">
        <f>IF(H331="MRSA West",(AC331/$BF$1)*'1. UC Assumptions'!$N$44,0)</f>
        <v>0</v>
      </c>
      <c r="BG331" s="183">
        <f>IF(H331="Nueces",(AC331/$BG$1)*'1. UC Assumptions'!$O$44,0)</f>
        <v>0</v>
      </c>
      <c r="BH331" s="183">
        <f>IF(H331="Tarrant",(AC331/$BH$1)*'1. UC Assumptions'!$P$44,0)</f>
        <v>0</v>
      </c>
      <c r="BI331" s="183">
        <f>IF(H331="Travis",(AC331/$BI$1)*'1. UC Assumptions'!$Q$44,0)</f>
        <v>0</v>
      </c>
      <c r="BJ331" s="183">
        <f t="shared" si="76"/>
        <v>0</v>
      </c>
      <c r="BK331" s="183">
        <f t="shared" si="77"/>
        <v>0</v>
      </c>
      <c r="BL331" s="183">
        <f t="shared" si="78"/>
        <v>5598573.7668253388</v>
      </c>
      <c r="BM331" s="184">
        <f t="shared" si="79"/>
        <v>5142161.1668253392</v>
      </c>
      <c r="BN331" s="184">
        <f>ROUNDDOWN(BM331*'1. UC Assumptions'!$C$23,2)</f>
        <v>1696913.18</v>
      </c>
      <c r="BO331" s="184"/>
      <c r="BP331" s="185"/>
      <c r="BQ331" s="32"/>
      <c r="BR331" s="32"/>
    </row>
    <row r="332" spans="1:70">
      <c r="A332" s="177" t="s">
        <v>1788</v>
      </c>
      <c r="B332" s="177" t="s">
        <v>655</v>
      </c>
      <c r="C332" s="178" t="s">
        <v>655</v>
      </c>
      <c r="D332" s="179" t="s">
        <v>214</v>
      </c>
      <c r="E332" s="179"/>
      <c r="F332" s="177"/>
      <c r="G332" s="177" t="s">
        <v>656</v>
      </c>
      <c r="H332" s="178" t="s">
        <v>14</v>
      </c>
      <c r="I332" s="178" t="s">
        <v>14</v>
      </c>
      <c r="J332" s="131">
        <f>IFERROR(INDEX(#REF!,(MATCH('Old Calc Tab'!C:C,#REF!,0))),0)</f>
        <v>0</v>
      </c>
      <c r="K332" s="131">
        <f>IFERROR(INDEX(#REF!,(MATCH('Old Calc Tab'!$C:$C,#REF!,0))),0)</f>
        <v>0</v>
      </c>
      <c r="L332" s="131"/>
      <c r="M332" s="131">
        <v>14933864.880000001</v>
      </c>
      <c r="N332" s="131">
        <f>IFERROR(INDEX(#REF!,(MATCH('Old Calc Tab'!$C:$C,#REF!,0))),0)</f>
        <v>0</v>
      </c>
      <c r="O332" s="131">
        <f t="shared" si="68"/>
        <v>0</v>
      </c>
      <c r="P332" s="131">
        <f t="shared" si="69"/>
        <v>14933864.880000001</v>
      </c>
      <c r="Q332" s="131"/>
      <c r="R332" s="131"/>
      <c r="S332" s="131"/>
      <c r="T332" s="131"/>
      <c r="U332" s="131"/>
      <c r="V332" s="131">
        <v>0</v>
      </c>
      <c r="W332" s="180">
        <v>0</v>
      </c>
      <c r="X332" s="180">
        <f t="shared" si="67"/>
        <v>14933864.880000001</v>
      </c>
      <c r="Y332" s="181">
        <f>IF(D332="Physician Group Practice",(X332/$AE$369)*'1. UC Assumptions'!$C$15,IF(OR(E332="Rural Hospital",E332="Hosp - State"),X332,(X332/$X$369)*'1. UC Assumptions'!$C$9))</f>
        <v>8988141.1199261583</v>
      </c>
      <c r="Z332" s="181">
        <f t="shared" si="70"/>
        <v>0</v>
      </c>
      <c r="AA332" s="181">
        <f t="shared" si="71"/>
        <v>5945723.7600738425</v>
      </c>
      <c r="AB332" s="182">
        <f t="shared" si="72"/>
        <v>3193.0388338321195</v>
      </c>
      <c r="AC332" s="181">
        <f t="shared" si="73"/>
        <v>5948916.7989076748</v>
      </c>
      <c r="AD332" s="181">
        <f t="shared" si="74"/>
        <v>8991334.1587599907</v>
      </c>
      <c r="AE332" s="131">
        <v>7525663.6900000004</v>
      </c>
      <c r="AF332" s="131">
        <f>AE332*'1. UC Assumptions'!$C$23</f>
        <v>2483469.0176999997</v>
      </c>
      <c r="AG332" s="183">
        <f>IF((((X332-W332-AE332)*'1. UC Assumptions'!$C$23)+AF332)&gt;0,((X332-W332-AE332)*'1. UC Assumptions'!$C$23)+AF332,0)</f>
        <v>4928175.4103999995</v>
      </c>
      <c r="AH332" s="183"/>
      <c r="AI332" s="183">
        <f t="shared" si="75"/>
        <v>2483469.0176999997</v>
      </c>
      <c r="AJ332" s="183">
        <f>IF(H332="Bexar",(AD332/$AJ$1)*'1. UC Assumptions'!$E$42,0)</f>
        <v>0</v>
      </c>
      <c r="AK332" s="183">
        <f>IF(H332="Dallas",(AD332/$AK$1)*'1. UC Assumptions'!$F$42,0)</f>
        <v>0</v>
      </c>
      <c r="AL332" s="183">
        <f>IF(H332="El Paso",(AD332/$AL$1)*'1. UC Assumptions'!$G$42,0)</f>
        <v>0</v>
      </c>
      <c r="AM332" s="183">
        <f>IF(H332="Harris",(AD332/$AM$1)*'1. UC Assumptions'!$H$42,0)</f>
        <v>0</v>
      </c>
      <c r="AN332" s="183">
        <f>IF(H332="Hidalgo",(AD332/$AN$1)*'1. UC Assumptions'!$I$42,0)</f>
        <v>0</v>
      </c>
      <c r="AO332" s="183">
        <f>IF(H332="Jefferson",(AD332/$AO$1)*'1. UC Assumptions'!$J$42,0)</f>
        <v>0</v>
      </c>
      <c r="AP332" s="183">
        <f>IF(H332="Lubbock",(AD332/$AP$1)*'1. UC Assumptions'!$K$42,0)</f>
        <v>0</v>
      </c>
      <c r="AQ332" s="183">
        <f>IF(H332="MRSA Central",(AD332/$AQ$1)*'1. UC Assumptions'!$L$42,0)</f>
        <v>0</v>
      </c>
      <c r="AR332" s="183">
        <f>IF(H332="MRSA Northeast",(AD332/$AR$1)*'1. UC Assumptions'!$M$42,0)</f>
        <v>0</v>
      </c>
      <c r="AS332" s="183">
        <f>IF(H332="MRSA West",(AD332/$AS$1)*'1. UC Assumptions'!$N$42,0)</f>
        <v>0</v>
      </c>
      <c r="AT332" s="183">
        <f>IF(H332="Nueces",(AD332/$AT$1)*'1. UC Assumptions'!$O$42,0)</f>
        <v>0</v>
      </c>
      <c r="AU332" s="183">
        <f>IF(H332="Tarrant",(AD332/$AU$1)*'1. UC Assumptions'!$P$42,0)</f>
        <v>0</v>
      </c>
      <c r="AV332" s="183">
        <f>IF(H332="Travis",(AD332/$AV$1)*'1. UC Assumptions'!$Q$42,0)</f>
        <v>0</v>
      </c>
      <c r="AW332" s="183">
        <f>IF(H332="Bexar",(AC332/$AW$1)*'1. UC Assumptions'!$E$44,0)</f>
        <v>0</v>
      </c>
      <c r="AX332" s="183">
        <f>IF(H332="Dallas",(AC332/$AX$1)*'1. UC Assumptions'!$F$44,0)</f>
        <v>0</v>
      </c>
      <c r="AY332" s="183">
        <f>IF(H332="El Paso",(AC332/$AY$1)*'1. UC Assumptions'!$G$44,0)</f>
        <v>0</v>
      </c>
      <c r="AZ332" s="183">
        <f>IF(H332="Harris",(AC332/$AZ$1)*'1. UC Assumptions'!$H$44,0)</f>
        <v>0</v>
      </c>
      <c r="BA332" s="183">
        <f>IF(H332="Hidalgo",(AC332/$BA$1)*'1. UC Assumptions'!$I$44,0)</f>
        <v>0</v>
      </c>
      <c r="BB332" s="183">
        <f>IF(H332="Jefferson",(AC332/$BB$1)*'1. UC Assumptions'!$J$44,0)</f>
        <v>0</v>
      </c>
      <c r="BC332" s="183">
        <f>IF(H332="Lubbock",(AC332/$BC$1)*'1. UC Assumptions'!$K$44,0)</f>
        <v>0</v>
      </c>
      <c r="BD332" s="183">
        <f>IF(H332="MRSA Central",(AC332/$BD$1)*'1. UC Assumptions'!$L$44,0)</f>
        <v>0</v>
      </c>
      <c r="BE332" s="183">
        <f>IF(H332="MRSA Northeast",(AC332/$BE$1)*'1. UC Assumptions'!$M$44,0)</f>
        <v>0</v>
      </c>
      <c r="BF332" s="183">
        <f>IF(H332="MRSA West",(AC332/$BF$1)*'1. UC Assumptions'!$N$44,0)</f>
        <v>0</v>
      </c>
      <c r="BG332" s="183">
        <f>IF(H332="Nueces",(AC332/$BG$1)*'1. UC Assumptions'!$O$44,0)</f>
        <v>0</v>
      </c>
      <c r="BH332" s="183">
        <f>IF(H332="Tarrant",(AC332/$BH$1)*'1. UC Assumptions'!$P$44,0)</f>
        <v>0</v>
      </c>
      <c r="BI332" s="183">
        <f>IF(H332="Travis",(AC332/$BI$1)*'1. UC Assumptions'!$Q$44,0)</f>
        <v>0</v>
      </c>
      <c r="BJ332" s="183">
        <f t="shared" si="76"/>
        <v>0</v>
      </c>
      <c r="BK332" s="183">
        <f t="shared" si="77"/>
        <v>0</v>
      </c>
      <c r="BL332" s="183">
        <f t="shared" si="78"/>
        <v>8991334.1587599907</v>
      </c>
      <c r="BM332" s="184">
        <f t="shared" si="79"/>
        <v>1465670.4687599903</v>
      </c>
      <c r="BN332" s="184">
        <f>ROUNDDOWN(BM332*'1. UC Assumptions'!$C$23,2)</f>
        <v>483671.25</v>
      </c>
      <c r="BO332" s="184"/>
      <c r="BP332" s="185"/>
      <c r="BQ332" s="32"/>
      <c r="BR332" s="32"/>
    </row>
    <row r="333" spans="1:70">
      <c r="A333" s="177" t="s">
        <v>1789</v>
      </c>
      <c r="B333" s="178" t="s">
        <v>686</v>
      </c>
      <c r="C333" s="178" t="s">
        <v>686</v>
      </c>
      <c r="D333" s="179" t="s">
        <v>214</v>
      </c>
      <c r="E333" s="179"/>
      <c r="F333" s="177"/>
      <c r="G333" s="177" t="s">
        <v>1790</v>
      </c>
      <c r="H333" s="178" t="s">
        <v>14</v>
      </c>
      <c r="I333" s="178" t="s">
        <v>14</v>
      </c>
      <c r="J333" s="131">
        <f>IFERROR(INDEX(#REF!,(MATCH('Old Calc Tab'!C:C,#REF!,0))),0)</f>
        <v>0</v>
      </c>
      <c r="K333" s="131">
        <f>IFERROR(INDEX(#REF!,(MATCH('Old Calc Tab'!$C:$C,#REF!,0))),0)</f>
        <v>0</v>
      </c>
      <c r="L333" s="131"/>
      <c r="M333" s="131">
        <v>15634764.287999999</v>
      </c>
      <c r="N333" s="131">
        <f>IFERROR(INDEX(#REF!,(MATCH('Old Calc Tab'!$C:$C,#REF!,0))),0)</f>
        <v>0</v>
      </c>
      <c r="O333" s="131">
        <f t="shared" si="68"/>
        <v>0</v>
      </c>
      <c r="P333" s="131">
        <f t="shared" si="69"/>
        <v>15634764.287999999</v>
      </c>
      <c r="Q333" s="131"/>
      <c r="R333" s="131"/>
      <c r="S333" s="131"/>
      <c r="T333" s="131"/>
      <c r="U333" s="131"/>
      <c r="V333" s="131">
        <v>0</v>
      </c>
      <c r="W333" s="180">
        <v>0</v>
      </c>
      <c r="X333" s="180">
        <f t="shared" si="67"/>
        <v>15634764.287999999</v>
      </c>
      <c r="Y333" s="181">
        <f>IF(D333="Physician Group Practice",(X333/$AE$369)*'1. UC Assumptions'!$C$15,IF(OR(E333="Rural Hospital",E333="Hosp - State"),X333,(X333/$X$369)*'1. UC Assumptions'!$C$9))</f>
        <v>9409986.5591743458</v>
      </c>
      <c r="Z333" s="181">
        <f t="shared" si="70"/>
        <v>0</v>
      </c>
      <c r="AA333" s="181">
        <f t="shared" si="71"/>
        <v>6224777.728825653</v>
      </c>
      <c r="AB333" s="182">
        <f t="shared" si="72"/>
        <v>3342.8995059580034</v>
      </c>
      <c r="AC333" s="181">
        <f t="shared" si="73"/>
        <v>6228120.6283316109</v>
      </c>
      <c r="AD333" s="181">
        <f t="shared" si="74"/>
        <v>9413329.4586803038</v>
      </c>
      <c r="AE333" s="131">
        <v>7206019.8799999999</v>
      </c>
      <c r="AF333" s="131">
        <f>AE333*'1. UC Assumptions'!$C$23</f>
        <v>2377986.5603999998</v>
      </c>
      <c r="AG333" s="183">
        <f>IF((((X333-W333-AE333)*'1. UC Assumptions'!$C$23)+AF333)&gt;0,((X333-W333-AE333)*'1. UC Assumptions'!$C$23)+AF333,0)</f>
        <v>5159472.2150399992</v>
      </c>
      <c r="AH333" s="183"/>
      <c r="AI333" s="183">
        <f t="shared" si="75"/>
        <v>2377986.5603999998</v>
      </c>
      <c r="AJ333" s="183">
        <f>IF(H333="Bexar",(AD333/$AJ$1)*'1. UC Assumptions'!$E$42,0)</f>
        <v>0</v>
      </c>
      <c r="AK333" s="183">
        <f>IF(H333="Dallas",(AD333/$AK$1)*'1. UC Assumptions'!$F$42,0)</f>
        <v>0</v>
      </c>
      <c r="AL333" s="183">
        <f>IF(H333="El Paso",(AD333/$AL$1)*'1. UC Assumptions'!$G$42,0)</f>
        <v>0</v>
      </c>
      <c r="AM333" s="183">
        <f>IF(H333="Harris",(AD333/$AM$1)*'1. UC Assumptions'!$H$42,0)</f>
        <v>0</v>
      </c>
      <c r="AN333" s="183">
        <f>IF(H333="Hidalgo",(AD333/$AN$1)*'1. UC Assumptions'!$I$42,0)</f>
        <v>0</v>
      </c>
      <c r="AO333" s="183">
        <f>IF(H333="Jefferson",(AD333/$AO$1)*'1. UC Assumptions'!$J$42,0)</f>
        <v>0</v>
      </c>
      <c r="AP333" s="183">
        <f>IF(H333="Lubbock",(AD333/$AP$1)*'1. UC Assumptions'!$K$42,0)</f>
        <v>0</v>
      </c>
      <c r="AQ333" s="183">
        <f>IF(H333="MRSA Central",(AD333/$AQ$1)*'1. UC Assumptions'!$L$42,0)</f>
        <v>0</v>
      </c>
      <c r="AR333" s="183">
        <f>IF(H333="MRSA Northeast",(AD333/$AR$1)*'1. UC Assumptions'!$M$42,0)</f>
        <v>0</v>
      </c>
      <c r="AS333" s="183">
        <f>IF(H333="MRSA West",(AD333/$AS$1)*'1. UC Assumptions'!$N$42,0)</f>
        <v>0</v>
      </c>
      <c r="AT333" s="183">
        <f>IF(H333="Nueces",(AD333/$AT$1)*'1. UC Assumptions'!$O$42,0)</f>
        <v>0</v>
      </c>
      <c r="AU333" s="183">
        <f>IF(H333="Tarrant",(AD333/$AU$1)*'1. UC Assumptions'!$P$42,0)</f>
        <v>0</v>
      </c>
      <c r="AV333" s="183">
        <f>IF(H333="Travis",(AD333/$AV$1)*'1. UC Assumptions'!$Q$42,0)</f>
        <v>0</v>
      </c>
      <c r="AW333" s="183">
        <f>IF(H333="Bexar",(AC333/$AW$1)*'1. UC Assumptions'!$E$44,0)</f>
        <v>0</v>
      </c>
      <c r="AX333" s="183">
        <f>IF(H333="Dallas",(AC333/$AX$1)*'1. UC Assumptions'!$F$44,0)</f>
        <v>0</v>
      </c>
      <c r="AY333" s="183">
        <f>IF(H333="El Paso",(AC333/$AY$1)*'1. UC Assumptions'!$G$44,0)</f>
        <v>0</v>
      </c>
      <c r="AZ333" s="183">
        <f>IF(H333="Harris",(AC333/$AZ$1)*'1. UC Assumptions'!$H$44,0)</f>
        <v>0</v>
      </c>
      <c r="BA333" s="183">
        <f>IF(H333="Hidalgo",(AC333/$BA$1)*'1. UC Assumptions'!$I$44,0)</f>
        <v>0</v>
      </c>
      <c r="BB333" s="183">
        <f>IF(H333="Jefferson",(AC333/$BB$1)*'1. UC Assumptions'!$J$44,0)</f>
        <v>0</v>
      </c>
      <c r="BC333" s="183">
        <f>IF(H333="Lubbock",(AC333/$BC$1)*'1. UC Assumptions'!$K$44,0)</f>
        <v>0</v>
      </c>
      <c r="BD333" s="183">
        <f>IF(H333="MRSA Central",(AC333/$BD$1)*'1. UC Assumptions'!$L$44,0)</f>
        <v>0</v>
      </c>
      <c r="BE333" s="183">
        <f>IF(H333="MRSA Northeast",(AC333/$BE$1)*'1. UC Assumptions'!$M$44,0)</f>
        <v>0</v>
      </c>
      <c r="BF333" s="183">
        <f>IF(H333="MRSA West",(AC333/$BF$1)*'1. UC Assumptions'!$N$44,0)</f>
        <v>0</v>
      </c>
      <c r="BG333" s="183">
        <f>IF(H333="Nueces",(AC333/$BG$1)*'1. UC Assumptions'!$O$44,0)</f>
        <v>0</v>
      </c>
      <c r="BH333" s="183">
        <f>IF(H333="Tarrant",(AC333/$BH$1)*'1. UC Assumptions'!$P$44,0)</f>
        <v>0</v>
      </c>
      <c r="BI333" s="183">
        <f>IF(H333="Travis",(AC333/$BI$1)*'1. UC Assumptions'!$Q$44,0)</f>
        <v>0</v>
      </c>
      <c r="BJ333" s="183">
        <f t="shared" si="76"/>
        <v>0</v>
      </c>
      <c r="BK333" s="183">
        <f t="shared" si="77"/>
        <v>0</v>
      </c>
      <c r="BL333" s="183">
        <f t="shared" si="78"/>
        <v>9413329.4586803038</v>
      </c>
      <c r="BM333" s="184">
        <f t="shared" si="79"/>
        <v>2207309.5786803039</v>
      </c>
      <c r="BN333" s="184">
        <f>ROUNDDOWN(BM333*'1. UC Assumptions'!$C$23,2)</f>
        <v>728412.16000000003</v>
      </c>
      <c r="BO333" s="184"/>
      <c r="BP333" s="185"/>
      <c r="BQ333" s="32"/>
      <c r="BR333" s="32"/>
    </row>
    <row r="334" spans="1:70">
      <c r="A334" s="177"/>
      <c r="B334" s="177" t="s">
        <v>1115</v>
      </c>
      <c r="C334" s="177" t="s">
        <v>1115</v>
      </c>
      <c r="D334" s="179" t="s">
        <v>36</v>
      </c>
      <c r="E334" s="179" t="s">
        <v>36</v>
      </c>
      <c r="F334" s="177"/>
      <c r="G334" s="177" t="s">
        <v>1116</v>
      </c>
      <c r="H334" s="178" t="s">
        <v>14</v>
      </c>
      <c r="I334" s="178" t="s">
        <v>14</v>
      </c>
      <c r="J334" s="131">
        <f>IFERROR(INDEX(#REF!,(MATCH('Old Calc Tab'!C:C,#REF!,0))),0)</f>
        <v>0</v>
      </c>
      <c r="K334" s="131">
        <f>IFERROR(INDEX(#REF!,(MATCH('Old Calc Tab'!$C:$C,#REF!,0))),0)</f>
        <v>0</v>
      </c>
      <c r="L334" s="131"/>
      <c r="M334" s="131">
        <v>12242718.412161846</v>
      </c>
      <c r="N334" s="131">
        <f>IFERROR(INDEX(#REF!,(MATCH('Old Calc Tab'!$C:$C,#REF!,0))),0)</f>
        <v>0</v>
      </c>
      <c r="O334" s="131">
        <f t="shared" si="68"/>
        <v>0</v>
      </c>
      <c r="P334" s="131">
        <f t="shared" si="69"/>
        <v>12242718.412161846</v>
      </c>
      <c r="Q334" s="131"/>
      <c r="R334" s="131"/>
      <c r="S334" s="131"/>
      <c r="T334" s="131"/>
      <c r="U334" s="131"/>
      <c r="V334" s="180">
        <f>Q334+R334+S334+T334+U334</f>
        <v>0</v>
      </c>
      <c r="W334" s="180">
        <v>0</v>
      </c>
      <c r="X334" s="180">
        <f t="shared" ref="X334:X364" si="80">P334+V334+W334</f>
        <v>12242718.412161846</v>
      </c>
      <c r="Y334" s="181">
        <f>IF(D334="Physician Group Practice",(X334/$AE$369)*'1. UC Assumptions'!$C$15,IF(OR(E334="Rural Hospital",E334="Hosp - State"),X334,(X334/$X$369)*'1. UC Assumptions'!$C$9))</f>
        <v>1885343.3544753725</v>
      </c>
      <c r="Z334" s="181">
        <f t="shared" si="70"/>
        <v>0</v>
      </c>
      <c r="AA334" s="181">
        <f t="shared" si="71"/>
        <v>10357375.057686474</v>
      </c>
      <c r="AB334" s="182">
        <f t="shared" si="72"/>
        <v>5562.2329778984504</v>
      </c>
      <c r="AC334" s="181">
        <f t="shared" si="73"/>
        <v>10362937.290664373</v>
      </c>
      <c r="AD334" s="181">
        <f t="shared" si="74"/>
        <v>1890905.587453271</v>
      </c>
      <c r="AE334" s="131">
        <v>943310.59</v>
      </c>
      <c r="AF334" s="131">
        <f>AE334*'1. UC Assumptions'!$C$23</f>
        <v>311292.49469999992</v>
      </c>
      <c r="AG334" s="183">
        <f>IF((((X334-W334-AE334)*'1. UC Assumptions'!$C$23)+AF334)&gt;0,((X334-W334-AE334)*'1. UC Assumptions'!$C$23)+AF334,0)</f>
        <v>4040097.0760134086</v>
      </c>
      <c r="AH334" s="183"/>
      <c r="AI334" s="183">
        <f t="shared" si="75"/>
        <v>311292.49469999992</v>
      </c>
      <c r="AJ334" s="183">
        <f>IF(H334="Bexar",(AD334/$AJ$1)*'1. UC Assumptions'!$E$42,0)</f>
        <v>0</v>
      </c>
      <c r="AK334" s="183">
        <f>IF(H334="Dallas",(AD334/$AK$1)*'1. UC Assumptions'!$F$42,0)</f>
        <v>0</v>
      </c>
      <c r="AL334" s="183">
        <f>IF(H334="El Paso",(AD334/$AL$1)*'1. UC Assumptions'!$G$42,0)</f>
        <v>0</v>
      </c>
      <c r="AM334" s="183">
        <f>IF(H334="Harris",(AD334/$AM$1)*'1. UC Assumptions'!$H$42,0)</f>
        <v>0</v>
      </c>
      <c r="AN334" s="183">
        <f>IF(H334="Hidalgo",(AD334/$AN$1)*'1. UC Assumptions'!$I$42,0)</f>
        <v>0</v>
      </c>
      <c r="AO334" s="183">
        <f>IF(H334="Jefferson",(AD334/$AO$1)*'1. UC Assumptions'!$J$42,0)</f>
        <v>0</v>
      </c>
      <c r="AP334" s="183">
        <f>IF(H334="Lubbock",(AD334/$AP$1)*'1. UC Assumptions'!$K$42,0)</f>
        <v>0</v>
      </c>
      <c r="AQ334" s="183">
        <f>IF(H334="MRSA Central",(AD334/$AQ$1)*'1. UC Assumptions'!$L$42,0)</f>
        <v>0</v>
      </c>
      <c r="AR334" s="183">
        <f>IF(H334="MRSA Northeast",(AD334/$AR$1)*'1. UC Assumptions'!$M$42,0)</f>
        <v>0</v>
      </c>
      <c r="AS334" s="183">
        <f>IF(H334="MRSA West",(AD334/$AS$1)*'1. UC Assumptions'!$N$42,0)</f>
        <v>0</v>
      </c>
      <c r="AT334" s="183">
        <f>IF(H334="Nueces",(AD334/$AT$1)*'1. UC Assumptions'!$O$42,0)</f>
        <v>0</v>
      </c>
      <c r="AU334" s="183">
        <f>IF(H334="Tarrant",(AD334/$AU$1)*'1. UC Assumptions'!$P$42,0)</f>
        <v>0</v>
      </c>
      <c r="AV334" s="183">
        <f>IF(H334="Travis",(AD334/$AV$1)*'1. UC Assumptions'!$Q$42,0)</f>
        <v>0</v>
      </c>
      <c r="AW334" s="183">
        <f>IF(H334="Bexar",(AC334/$AW$1)*'1. UC Assumptions'!$E$44,0)</f>
        <v>0</v>
      </c>
      <c r="AX334" s="183">
        <f>IF(H334="Dallas",(AC334/$AX$1)*'1. UC Assumptions'!$F$44,0)</f>
        <v>0</v>
      </c>
      <c r="AY334" s="183">
        <f>IF(H334="El Paso",(AC334/$AY$1)*'1. UC Assumptions'!$G$44,0)</f>
        <v>0</v>
      </c>
      <c r="AZ334" s="183">
        <f>IF(H334="Harris",(AC334/$AZ$1)*'1. UC Assumptions'!$H$44,0)</f>
        <v>0</v>
      </c>
      <c r="BA334" s="183">
        <f>IF(H334="Hidalgo",(AC334/$BA$1)*'1. UC Assumptions'!$I$44,0)</f>
        <v>0</v>
      </c>
      <c r="BB334" s="183">
        <f>IF(H334="Jefferson",(AC334/$BB$1)*'1. UC Assumptions'!$J$44,0)</f>
        <v>0</v>
      </c>
      <c r="BC334" s="183">
        <f>IF(H334="Lubbock",(AC334/$BC$1)*'1. UC Assumptions'!$K$44,0)</f>
        <v>0</v>
      </c>
      <c r="BD334" s="183">
        <f>IF(H334="MRSA Central",(AC334/$BD$1)*'1. UC Assumptions'!$L$44,0)</f>
        <v>0</v>
      </c>
      <c r="BE334" s="183">
        <f>IF(H334="MRSA Northeast",(AC334/$BE$1)*'1. UC Assumptions'!$M$44,0)</f>
        <v>0</v>
      </c>
      <c r="BF334" s="183">
        <f>IF(H334="MRSA West",(AC334/$BF$1)*'1. UC Assumptions'!$N$44,0)</f>
        <v>0</v>
      </c>
      <c r="BG334" s="183">
        <f>IF(H334="Nueces",(AC334/$BG$1)*'1. UC Assumptions'!$O$44,0)</f>
        <v>0</v>
      </c>
      <c r="BH334" s="183">
        <f>IF(H334="Tarrant",(AC334/$BH$1)*'1. UC Assumptions'!$P$44,0)</f>
        <v>0</v>
      </c>
      <c r="BI334" s="183">
        <f>IF(H334="Travis",(AC334/$BI$1)*'1. UC Assumptions'!$Q$44,0)</f>
        <v>0</v>
      </c>
      <c r="BJ334" s="183">
        <f t="shared" si="76"/>
        <v>0</v>
      </c>
      <c r="BK334" s="183">
        <f t="shared" si="77"/>
        <v>0</v>
      </c>
      <c r="BL334" s="183">
        <f t="shared" si="78"/>
        <v>1890905.587453271</v>
      </c>
      <c r="BM334" s="184">
        <f t="shared" si="79"/>
        <v>947594.99745327106</v>
      </c>
      <c r="BN334" s="184">
        <f>ROUNDDOWN(BM334*'1. UC Assumptions'!$C$23,2)</f>
        <v>312706.34000000003</v>
      </c>
      <c r="BO334" s="184"/>
      <c r="BP334" s="185"/>
      <c r="BQ334" s="32"/>
      <c r="BR334" s="32"/>
    </row>
    <row r="335" spans="1:70">
      <c r="A335" s="177" t="s">
        <v>1791</v>
      </c>
      <c r="B335" s="178" t="s">
        <v>1792</v>
      </c>
      <c r="C335" s="178" t="s">
        <v>1792</v>
      </c>
      <c r="D335" s="179" t="s">
        <v>214</v>
      </c>
      <c r="E335" s="179"/>
      <c r="F335" s="177"/>
      <c r="G335" s="177" t="s">
        <v>1793</v>
      </c>
      <c r="H335" s="178" t="s">
        <v>14</v>
      </c>
      <c r="I335" s="178" t="s">
        <v>1034</v>
      </c>
      <c r="J335" s="131">
        <f>IFERROR(INDEX(#REF!,(MATCH('Old Calc Tab'!C:C,#REF!,0))),0)</f>
        <v>0</v>
      </c>
      <c r="K335" s="131">
        <f>IFERROR(INDEX(#REF!,(MATCH('Old Calc Tab'!$C:$C,#REF!,0))),0)</f>
        <v>0</v>
      </c>
      <c r="L335" s="131"/>
      <c r="M335" s="131">
        <v>470068.91000000003</v>
      </c>
      <c r="N335" s="131">
        <f>IFERROR(INDEX(#REF!,(MATCH('Old Calc Tab'!$C:$C,#REF!,0))),0)</f>
        <v>0</v>
      </c>
      <c r="O335" s="131">
        <f t="shared" si="68"/>
        <v>0</v>
      </c>
      <c r="P335" s="131">
        <f t="shared" si="69"/>
        <v>470068.91000000003</v>
      </c>
      <c r="Q335" s="131"/>
      <c r="R335" s="131"/>
      <c r="S335" s="131"/>
      <c r="T335" s="131"/>
      <c r="U335" s="131"/>
      <c r="V335" s="131">
        <v>388957</v>
      </c>
      <c r="W335" s="180">
        <v>0</v>
      </c>
      <c r="X335" s="180">
        <f t="shared" si="80"/>
        <v>859025.91</v>
      </c>
      <c r="Y335" s="181">
        <f>IF(D335="Physician Group Practice",(X335/$AE$369)*'1. UC Assumptions'!$C$15,IF(OR(E335="Rural Hospital",E335="Hosp - State"),X335,(X335/$X$369)*'1. UC Assumptions'!$C$9))</f>
        <v>517015.9343743163</v>
      </c>
      <c r="Z335" s="181">
        <f t="shared" si="70"/>
        <v>0</v>
      </c>
      <c r="AA335" s="181">
        <f t="shared" si="71"/>
        <v>342009.97562568373</v>
      </c>
      <c r="AB335" s="182">
        <f t="shared" si="72"/>
        <v>183.67000853016793</v>
      </c>
      <c r="AC335" s="181">
        <f t="shared" si="73"/>
        <v>342193.64563421387</v>
      </c>
      <c r="AD335" s="181">
        <f t="shared" si="74"/>
        <v>517199.60438284645</v>
      </c>
      <c r="AE335" s="131">
        <v>2934397.47</v>
      </c>
      <c r="AF335" s="131">
        <f>AE335*'1. UC Assumptions'!$C$23</f>
        <v>968351.16509999998</v>
      </c>
      <c r="AG335" s="183">
        <f>IF((((X335-W335-AE335)*'1. UC Assumptions'!$C$23)+AF335)&gt;0,((X335-W335-AE335)*'1. UC Assumptions'!$C$23)+AF335,0)</f>
        <v>283478.5503</v>
      </c>
      <c r="AH335" s="183"/>
      <c r="AI335" s="183">
        <f t="shared" si="75"/>
        <v>968351.16509999998</v>
      </c>
      <c r="AJ335" s="183">
        <f>IF(H335="Bexar",(AD335/$AJ$1)*'1. UC Assumptions'!$E$42,0)</f>
        <v>0</v>
      </c>
      <c r="AK335" s="183">
        <f>IF(H335="Dallas",(AD335/$AK$1)*'1. UC Assumptions'!$F$42,0)</f>
        <v>0</v>
      </c>
      <c r="AL335" s="183">
        <f>IF(H335="El Paso",(AD335/$AL$1)*'1. UC Assumptions'!$G$42,0)</f>
        <v>0</v>
      </c>
      <c r="AM335" s="183">
        <f>IF(H335="Harris",(AD335/$AM$1)*'1. UC Assumptions'!$H$42,0)</f>
        <v>0</v>
      </c>
      <c r="AN335" s="183">
        <f>IF(H335="Hidalgo",(AD335/$AN$1)*'1. UC Assumptions'!$I$42,0)</f>
        <v>0</v>
      </c>
      <c r="AO335" s="183">
        <f>IF(H335="Jefferson",(AD335/$AO$1)*'1. UC Assumptions'!$J$42,0)</f>
        <v>0</v>
      </c>
      <c r="AP335" s="183">
        <f>IF(H335="Lubbock",(AD335/$AP$1)*'1. UC Assumptions'!$K$42,0)</f>
        <v>0</v>
      </c>
      <c r="AQ335" s="183">
        <f>IF(H335="MRSA Central",(AD335/$AQ$1)*'1. UC Assumptions'!$L$42,0)</f>
        <v>0</v>
      </c>
      <c r="AR335" s="183">
        <f>IF(H335="MRSA Northeast",(AD335/$AR$1)*'1. UC Assumptions'!$M$42,0)</f>
        <v>0</v>
      </c>
      <c r="AS335" s="183">
        <f>IF(H335="MRSA West",(AD335/$AS$1)*'1. UC Assumptions'!$N$42,0)</f>
        <v>0</v>
      </c>
      <c r="AT335" s="183">
        <f>IF(H335="Nueces",(AD335/$AT$1)*'1. UC Assumptions'!$O$42,0)</f>
        <v>0</v>
      </c>
      <c r="AU335" s="183">
        <f>IF(H335="Tarrant",(AD335/$AU$1)*'1. UC Assumptions'!$P$42,0)</f>
        <v>0</v>
      </c>
      <c r="AV335" s="183">
        <f>IF(H335="Travis",(AD335/$AV$1)*'1. UC Assumptions'!$Q$42,0)</f>
        <v>0</v>
      </c>
      <c r="AW335" s="183">
        <f>IF(H335="Bexar",(AC335/$AW$1)*'1. UC Assumptions'!$E$44,0)</f>
        <v>0</v>
      </c>
      <c r="AX335" s="183">
        <f>IF(H335="Dallas",(AC335/$AX$1)*'1. UC Assumptions'!$F$44,0)</f>
        <v>0</v>
      </c>
      <c r="AY335" s="183">
        <f>IF(H335="El Paso",(AC335/$AY$1)*'1. UC Assumptions'!$G$44,0)</f>
        <v>0</v>
      </c>
      <c r="AZ335" s="183">
        <f>IF(H335="Harris",(AC335/$AZ$1)*'1. UC Assumptions'!$H$44,0)</f>
        <v>0</v>
      </c>
      <c r="BA335" s="183">
        <f>IF(H335="Hidalgo",(AC335/$BA$1)*'1. UC Assumptions'!$I$44,0)</f>
        <v>0</v>
      </c>
      <c r="BB335" s="183">
        <f>IF(H335="Jefferson",(AC335/$BB$1)*'1. UC Assumptions'!$J$44,0)</f>
        <v>0</v>
      </c>
      <c r="BC335" s="183">
        <f>IF(H335="Lubbock",(AC335/$BC$1)*'1. UC Assumptions'!$K$44,0)</f>
        <v>0</v>
      </c>
      <c r="BD335" s="183">
        <f>IF(H335="MRSA Central",(AC335/$BD$1)*'1. UC Assumptions'!$L$44,0)</f>
        <v>0</v>
      </c>
      <c r="BE335" s="183">
        <f>IF(H335="MRSA Northeast",(AC335/$BE$1)*'1. UC Assumptions'!$M$44,0)</f>
        <v>0</v>
      </c>
      <c r="BF335" s="183">
        <f>IF(H335="MRSA West",(AC335/$BF$1)*'1. UC Assumptions'!$N$44,0)</f>
        <v>0</v>
      </c>
      <c r="BG335" s="183">
        <f>IF(H335="Nueces",(AC335/$BG$1)*'1. UC Assumptions'!$O$44,0)</f>
        <v>0</v>
      </c>
      <c r="BH335" s="183">
        <f>IF(H335="Tarrant",(AC335/$BH$1)*'1. UC Assumptions'!$P$44,0)</f>
        <v>0</v>
      </c>
      <c r="BI335" s="183">
        <f>IF(H335="Travis",(AC335/$BI$1)*'1. UC Assumptions'!$Q$44,0)</f>
        <v>0</v>
      </c>
      <c r="BJ335" s="183">
        <f t="shared" si="76"/>
        <v>0</v>
      </c>
      <c r="BK335" s="183">
        <f t="shared" si="77"/>
        <v>0</v>
      </c>
      <c r="BL335" s="183">
        <f t="shared" si="78"/>
        <v>517199.60438284645</v>
      </c>
      <c r="BM335" s="184">
        <f t="shared" si="79"/>
        <v>-2417197.8656171537</v>
      </c>
      <c r="BN335" s="184">
        <f>ROUNDDOWN(BM335*'1. UC Assumptions'!$C$23,2)</f>
        <v>-797675.29</v>
      </c>
      <c r="BO335" s="184"/>
      <c r="BP335" s="185"/>
      <c r="BQ335" s="32"/>
      <c r="BR335" s="32"/>
    </row>
    <row r="336" spans="1:70">
      <c r="A336" s="177" t="s">
        <v>1794</v>
      </c>
      <c r="B336" s="177" t="s">
        <v>843</v>
      </c>
      <c r="C336" s="178" t="s">
        <v>843</v>
      </c>
      <c r="D336" s="179" t="s">
        <v>214</v>
      </c>
      <c r="E336" s="179"/>
      <c r="F336" s="177"/>
      <c r="G336" s="177" t="s">
        <v>1795</v>
      </c>
      <c r="H336" s="178" t="s">
        <v>14</v>
      </c>
      <c r="I336" s="178" t="s">
        <v>14</v>
      </c>
      <c r="J336" s="131">
        <f>IFERROR(INDEX(#REF!,(MATCH('Old Calc Tab'!C:C,#REF!,0))),0)</f>
        <v>0</v>
      </c>
      <c r="K336" s="131">
        <f>IFERROR(INDEX(#REF!,(MATCH('Old Calc Tab'!$C:$C,#REF!,0))),0)</f>
        <v>0</v>
      </c>
      <c r="L336" s="131"/>
      <c r="M336" s="131">
        <v>13875956.878799999</v>
      </c>
      <c r="N336" s="131">
        <f>IFERROR(INDEX(#REF!,(MATCH('Old Calc Tab'!$C:$C,#REF!,0))),0)</f>
        <v>0</v>
      </c>
      <c r="O336" s="131">
        <f t="shared" si="68"/>
        <v>0</v>
      </c>
      <c r="P336" s="131">
        <f t="shared" si="69"/>
        <v>13875956.878799999</v>
      </c>
      <c r="Q336" s="131"/>
      <c r="R336" s="131"/>
      <c r="S336" s="131"/>
      <c r="T336" s="131"/>
      <c r="U336" s="131"/>
      <c r="V336" s="131">
        <v>0</v>
      </c>
      <c r="W336" s="180">
        <v>0</v>
      </c>
      <c r="X336" s="180">
        <f t="shared" si="80"/>
        <v>13875956.878799999</v>
      </c>
      <c r="Y336" s="181">
        <f>IF(D336="Physician Group Practice",(X336/$AE$369)*'1. UC Assumptions'!$C$15,IF(OR(E336="Rural Hospital",E336="Hosp - State"),X336,(X336/$X$369)*'1. UC Assumptions'!$C$9))</f>
        <v>8351425.4081468899</v>
      </c>
      <c r="Z336" s="181">
        <f t="shared" si="70"/>
        <v>0</v>
      </c>
      <c r="AA336" s="181">
        <f t="shared" si="71"/>
        <v>5524531.4706531093</v>
      </c>
      <c r="AB336" s="182">
        <f t="shared" si="72"/>
        <v>2966.8454567260233</v>
      </c>
      <c r="AC336" s="181">
        <f t="shared" si="73"/>
        <v>5527498.3161098352</v>
      </c>
      <c r="AD336" s="181">
        <f t="shared" si="74"/>
        <v>8354392.2536036158</v>
      </c>
      <c r="AE336" s="131">
        <v>3642783.84</v>
      </c>
      <c r="AF336" s="131">
        <f>AE336*'1. UC Assumptions'!$C$23</f>
        <v>1202118.6671999998</v>
      </c>
      <c r="AG336" s="183">
        <f>IF((((X336-W336-AE336)*'1. UC Assumptions'!$C$23)+AF336)&gt;0,((X336-W336-AE336)*'1. UC Assumptions'!$C$23)+AF336,0)</f>
        <v>4579065.7700039996</v>
      </c>
      <c r="AH336" s="183"/>
      <c r="AI336" s="183">
        <f t="shared" si="75"/>
        <v>1202118.6671999998</v>
      </c>
      <c r="AJ336" s="183">
        <f>IF(H336="Bexar",(AD336/$AJ$1)*'1. UC Assumptions'!$E$42,0)</f>
        <v>0</v>
      </c>
      <c r="AK336" s="183">
        <f>IF(H336="Dallas",(AD336/$AK$1)*'1. UC Assumptions'!$F$42,0)</f>
        <v>0</v>
      </c>
      <c r="AL336" s="183">
        <f>IF(H336="El Paso",(AD336/$AL$1)*'1. UC Assumptions'!$G$42,0)</f>
        <v>0</v>
      </c>
      <c r="AM336" s="183">
        <f>IF(H336="Harris",(AD336/$AM$1)*'1. UC Assumptions'!$H$42,0)</f>
        <v>0</v>
      </c>
      <c r="AN336" s="183">
        <f>IF(H336="Hidalgo",(AD336/$AN$1)*'1. UC Assumptions'!$I$42,0)</f>
        <v>0</v>
      </c>
      <c r="AO336" s="183">
        <f>IF(H336="Jefferson",(AD336/$AO$1)*'1. UC Assumptions'!$J$42,0)</f>
        <v>0</v>
      </c>
      <c r="AP336" s="183">
        <f>IF(H336="Lubbock",(AD336/$AP$1)*'1. UC Assumptions'!$K$42,0)</f>
        <v>0</v>
      </c>
      <c r="AQ336" s="183">
        <f>IF(H336="MRSA Central",(AD336/$AQ$1)*'1. UC Assumptions'!$L$42,0)</f>
        <v>0</v>
      </c>
      <c r="AR336" s="183">
        <f>IF(H336="MRSA Northeast",(AD336/$AR$1)*'1. UC Assumptions'!$M$42,0)</f>
        <v>0</v>
      </c>
      <c r="AS336" s="183">
        <f>IF(H336="MRSA West",(AD336/$AS$1)*'1. UC Assumptions'!$N$42,0)</f>
        <v>0</v>
      </c>
      <c r="AT336" s="183">
        <f>IF(H336="Nueces",(AD336/$AT$1)*'1. UC Assumptions'!$O$42,0)</f>
        <v>0</v>
      </c>
      <c r="AU336" s="183">
        <f>IF(H336="Tarrant",(AD336/$AU$1)*'1. UC Assumptions'!$P$42,0)</f>
        <v>0</v>
      </c>
      <c r="AV336" s="183">
        <f>IF(H336="Travis",(AD336/$AV$1)*'1. UC Assumptions'!$Q$42,0)</f>
        <v>0</v>
      </c>
      <c r="AW336" s="183">
        <f>IF(H336="Bexar",(AC336/$AW$1)*'1. UC Assumptions'!$E$44,0)</f>
        <v>0</v>
      </c>
      <c r="AX336" s="183">
        <f>IF(H336="Dallas",(AC336/$AX$1)*'1. UC Assumptions'!$F$44,0)</f>
        <v>0</v>
      </c>
      <c r="AY336" s="183">
        <f>IF(H336="El Paso",(AC336/$AY$1)*'1. UC Assumptions'!$G$44,0)</f>
        <v>0</v>
      </c>
      <c r="AZ336" s="183">
        <f>IF(H336="Harris",(AC336/$AZ$1)*'1. UC Assumptions'!$H$44,0)</f>
        <v>0</v>
      </c>
      <c r="BA336" s="183">
        <f>IF(H336="Hidalgo",(AC336/$BA$1)*'1. UC Assumptions'!$I$44,0)</f>
        <v>0</v>
      </c>
      <c r="BB336" s="183">
        <f>IF(H336="Jefferson",(AC336/$BB$1)*'1. UC Assumptions'!$J$44,0)</f>
        <v>0</v>
      </c>
      <c r="BC336" s="183">
        <f>IF(H336="Lubbock",(AC336/$BC$1)*'1. UC Assumptions'!$K$44,0)</f>
        <v>0</v>
      </c>
      <c r="BD336" s="183">
        <f>IF(H336="MRSA Central",(AC336/$BD$1)*'1. UC Assumptions'!$L$44,0)</f>
        <v>0</v>
      </c>
      <c r="BE336" s="183">
        <f>IF(H336="MRSA Northeast",(AC336/$BE$1)*'1. UC Assumptions'!$M$44,0)</f>
        <v>0</v>
      </c>
      <c r="BF336" s="183">
        <f>IF(H336="MRSA West",(AC336/$BF$1)*'1. UC Assumptions'!$N$44,0)</f>
        <v>0</v>
      </c>
      <c r="BG336" s="183">
        <f>IF(H336="Nueces",(AC336/$BG$1)*'1. UC Assumptions'!$O$44,0)</f>
        <v>0</v>
      </c>
      <c r="BH336" s="183">
        <f>IF(H336="Tarrant",(AC336/$BH$1)*'1. UC Assumptions'!$P$44,0)</f>
        <v>0</v>
      </c>
      <c r="BI336" s="183">
        <f>IF(H336="Travis",(AC336/$BI$1)*'1. UC Assumptions'!$Q$44,0)</f>
        <v>0</v>
      </c>
      <c r="BJ336" s="183">
        <f t="shared" si="76"/>
        <v>0</v>
      </c>
      <c r="BK336" s="183">
        <f t="shared" si="77"/>
        <v>0</v>
      </c>
      <c r="BL336" s="183">
        <f t="shared" si="78"/>
        <v>8354392.2536036158</v>
      </c>
      <c r="BM336" s="184">
        <f t="shared" si="79"/>
        <v>4711608.4136036159</v>
      </c>
      <c r="BN336" s="184">
        <f>ROUNDDOWN(BM336*'1. UC Assumptions'!$C$23,2)</f>
        <v>1554830.77</v>
      </c>
      <c r="BO336" s="184"/>
      <c r="BP336" s="185"/>
      <c r="BQ336" s="32"/>
      <c r="BR336" s="32"/>
    </row>
    <row r="337" spans="1:70">
      <c r="A337" s="177" t="s">
        <v>1796</v>
      </c>
      <c r="B337" s="177" t="s">
        <v>945</v>
      </c>
      <c r="C337" s="178" t="s">
        <v>945</v>
      </c>
      <c r="D337" s="179" t="s">
        <v>214</v>
      </c>
      <c r="E337" s="179"/>
      <c r="F337" s="177"/>
      <c r="G337" s="177" t="s">
        <v>946</v>
      </c>
      <c r="H337" s="178" t="s">
        <v>14</v>
      </c>
      <c r="I337" s="178" t="s">
        <v>14</v>
      </c>
      <c r="J337" s="131">
        <f>IFERROR(INDEX(#REF!,(MATCH('Old Calc Tab'!C:C,#REF!,0))),0)</f>
        <v>0</v>
      </c>
      <c r="K337" s="131">
        <f>IFERROR(INDEX(#REF!,(MATCH('Old Calc Tab'!$C:$C,#REF!,0))),0)</f>
        <v>0</v>
      </c>
      <c r="L337" s="131"/>
      <c r="M337" s="131">
        <v>14648473.421</v>
      </c>
      <c r="N337" s="131">
        <f>IFERROR(INDEX(#REF!,(MATCH('Old Calc Tab'!$C:$C,#REF!,0))),0)</f>
        <v>0</v>
      </c>
      <c r="O337" s="131">
        <f t="shared" si="68"/>
        <v>0</v>
      </c>
      <c r="P337" s="131">
        <f t="shared" si="69"/>
        <v>14648473.421</v>
      </c>
      <c r="Q337" s="131"/>
      <c r="R337" s="131"/>
      <c r="S337" s="131"/>
      <c r="T337" s="131"/>
      <c r="U337" s="131"/>
      <c r="V337" s="131">
        <v>83546</v>
      </c>
      <c r="W337" s="180">
        <v>0</v>
      </c>
      <c r="X337" s="180">
        <f t="shared" si="80"/>
        <v>14732019.421</v>
      </c>
      <c r="Y337" s="181">
        <f>IF(D337="Physician Group Practice",(X337/$AE$369)*'1. UC Assumptions'!$C$15,IF(OR(E337="Rural Hospital",E337="Hosp - State"),X337,(X337/$X$369)*'1. UC Assumptions'!$C$9))</f>
        <v>8866657.8010072932</v>
      </c>
      <c r="Z337" s="181">
        <f t="shared" si="70"/>
        <v>0</v>
      </c>
      <c r="AA337" s="181">
        <f t="shared" si="71"/>
        <v>5865361.6199927069</v>
      </c>
      <c r="AB337" s="182">
        <f t="shared" si="72"/>
        <v>3149.8818617958441</v>
      </c>
      <c r="AC337" s="181">
        <f t="shared" si="73"/>
        <v>5868511.5018545026</v>
      </c>
      <c r="AD337" s="181">
        <f t="shared" si="74"/>
        <v>8869807.6828690898</v>
      </c>
      <c r="AE337" s="131">
        <v>4819300.3899999997</v>
      </c>
      <c r="AF337" s="131">
        <f>AE337*'1. UC Assumptions'!$C$23</f>
        <v>1590369.1286999998</v>
      </c>
      <c r="AG337" s="183">
        <f>IF((((X337-W337-AE337)*'1. UC Assumptions'!$C$23)+AF337)&gt;0,((X337-W337-AE337)*'1. UC Assumptions'!$C$23)+AF337,0)</f>
        <v>4861566.408929999</v>
      </c>
      <c r="AH337" s="183"/>
      <c r="AI337" s="183">
        <f t="shared" si="75"/>
        <v>1590369.1286999998</v>
      </c>
      <c r="AJ337" s="183">
        <f>IF(H337="Bexar",(AD337/$AJ$1)*'1. UC Assumptions'!$E$42,0)</f>
        <v>0</v>
      </c>
      <c r="AK337" s="183">
        <f>IF(H337="Dallas",(AD337/$AK$1)*'1. UC Assumptions'!$F$42,0)</f>
        <v>0</v>
      </c>
      <c r="AL337" s="183">
        <f>IF(H337="El Paso",(AD337/$AL$1)*'1. UC Assumptions'!$G$42,0)</f>
        <v>0</v>
      </c>
      <c r="AM337" s="183">
        <f>IF(H337="Harris",(AD337/$AM$1)*'1. UC Assumptions'!$H$42,0)</f>
        <v>0</v>
      </c>
      <c r="AN337" s="183">
        <f>IF(H337="Hidalgo",(AD337/$AN$1)*'1. UC Assumptions'!$I$42,0)</f>
        <v>0</v>
      </c>
      <c r="AO337" s="183">
        <f>IF(H337="Jefferson",(AD337/$AO$1)*'1. UC Assumptions'!$J$42,0)</f>
        <v>0</v>
      </c>
      <c r="AP337" s="183">
        <f>IF(H337="Lubbock",(AD337/$AP$1)*'1. UC Assumptions'!$K$42,0)</f>
        <v>0</v>
      </c>
      <c r="AQ337" s="183">
        <f>IF(H337="MRSA Central",(AD337/$AQ$1)*'1. UC Assumptions'!$L$42,0)</f>
        <v>0</v>
      </c>
      <c r="AR337" s="183">
        <f>IF(H337="MRSA Northeast",(AD337/$AR$1)*'1. UC Assumptions'!$M$42,0)</f>
        <v>0</v>
      </c>
      <c r="AS337" s="183">
        <f>IF(H337="MRSA West",(AD337/$AS$1)*'1. UC Assumptions'!$N$42,0)</f>
        <v>0</v>
      </c>
      <c r="AT337" s="183">
        <f>IF(H337="Nueces",(AD337/$AT$1)*'1. UC Assumptions'!$O$42,0)</f>
        <v>0</v>
      </c>
      <c r="AU337" s="183">
        <f>IF(H337="Tarrant",(AD337/$AU$1)*'1. UC Assumptions'!$P$42,0)</f>
        <v>0</v>
      </c>
      <c r="AV337" s="183">
        <f>IF(H337="Travis",(AD337/$AV$1)*'1. UC Assumptions'!$Q$42,0)</f>
        <v>0</v>
      </c>
      <c r="AW337" s="183">
        <f>IF(H337="Bexar",(AC337/$AW$1)*'1. UC Assumptions'!$E$44,0)</f>
        <v>0</v>
      </c>
      <c r="AX337" s="183">
        <f>IF(H337="Dallas",(AC337/$AX$1)*'1. UC Assumptions'!$F$44,0)</f>
        <v>0</v>
      </c>
      <c r="AY337" s="183">
        <f>IF(H337="El Paso",(AC337/$AY$1)*'1. UC Assumptions'!$G$44,0)</f>
        <v>0</v>
      </c>
      <c r="AZ337" s="183">
        <f>IF(H337="Harris",(AC337/$AZ$1)*'1. UC Assumptions'!$H$44,0)</f>
        <v>0</v>
      </c>
      <c r="BA337" s="183">
        <f>IF(H337="Hidalgo",(AC337/$BA$1)*'1. UC Assumptions'!$I$44,0)</f>
        <v>0</v>
      </c>
      <c r="BB337" s="183">
        <f>IF(H337="Jefferson",(AC337/$BB$1)*'1. UC Assumptions'!$J$44,0)</f>
        <v>0</v>
      </c>
      <c r="BC337" s="183">
        <f>IF(H337="Lubbock",(AC337/$BC$1)*'1. UC Assumptions'!$K$44,0)</f>
        <v>0</v>
      </c>
      <c r="BD337" s="183">
        <f>IF(H337="MRSA Central",(AC337/$BD$1)*'1. UC Assumptions'!$L$44,0)</f>
        <v>0</v>
      </c>
      <c r="BE337" s="183">
        <f>IF(H337="MRSA Northeast",(AC337/$BE$1)*'1. UC Assumptions'!$M$44,0)</f>
        <v>0</v>
      </c>
      <c r="BF337" s="183">
        <f>IF(H337="MRSA West",(AC337/$BF$1)*'1. UC Assumptions'!$N$44,0)</f>
        <v>0</v>
      </c>
      <c r="BG337" s="183">
        <f>IF(H337="Nueces",(AC337/$BG$1)*'1. UC Assumptions'!$O$44,0)</f>
        <v>0</v>
      </c>
      <c r="BH337" s="183">
        <f>IF(H337="Tarrant",(AC337/$BH$1)*'1. UC Assumptions'!$P$44,0)</f>
        <v>0</v>
      </c>
      <c r="BI337" s="183">
        <f>IF(H337="Travis",(AC337/$BI$1)*'1. UC Assumptions'!$Q$44,0)</f>
        <v>0</v>
      </c>
      <c r="BJ337" s="183">
        <f t="shared" si="76"/>
        <v>0</v>
      </c>
      <c r="BK337" s="183">
        <f t="shared" si="77"/>
        <v>0</v>
      </c>
      <c r="BL337" s="183">
        <f t="shared" si="78"/>
        <v>8869807.6828690898</v>
      </c>
      <c r="BM337" s="184">
        <f t="shared" si="79"/>
        <v>4050507.2928690901</v>
      </c>
      <c r="BN337" s="184">
        <f>ROUNDDOWN(BM337*'1. UC Assumptions'!$C$23,2)</f>
        <v>1336667.3999999999</v>
      </c>
      <c r="BO337" s="184"/>
      <c r="BP337" s="185"/>
      <c r="BQ337" s="32"/>
      <c r="BR337" s="32"/>
    </row>
    <row r="338" spans="1:70">
      <c r="A338" s="177" t="s">
        <v>1797</v>
      </c>
      <c r="B338" s="177" t="s">
        <v>954</v>
      </c>
      <c r="C338" s="178" t="s">
        <v>954</v>
      </c>
      <c r="D338" s="179" t="s">
        <v>214</v>
      </c>
      <c r="E338" s="179"/>
      <c r="F338" s="177"/>
      <c r="G338" s="177" t="s">
        <v>1798</v>
      </c>
      <c r="H338" s="178" t="s">
        <v>14</v>
      </c>
      <c r="I338" s="178" t="s">
        <v>14</v>
      </c>
      <c r="J338" s="131">
        <f>IFERROR(INDEX(#REF!,(MATCH('Old Calc Tab'!C:C,#REF!,0))),0)</f>
        <v>0</v>
      </c>
      <c r="K338" s="131">
        <f>IFERROR(INDEX(#REF!,(MATCH('Old Calc Tab'!$C:$C,#REF!,0))),0)</f>
        <v>0</v>
      </c>
      <c r="L338" s="131"/>
      <c r="M338" s="131">
        <v>5587645.932</v>
      </c>
      <c r="N338" s="131">
        <f>IFERROR(INDEX(#REF!,(MATCH('Old Calc Tab'!$C:$C,#REF!,0))),0)</f>
        <v>0</v>
      </c>
      <c r="O338" s="131">
        <f t="shared" si="68"/>
        <v>0</v>
      </c>
      <c r="P338" s="131">
        <f t="shared" si="69"/>
        <v>5587645.932</v>
      </c>
      <c r="Q338" s="131"/>
      <c r="R338" s="131"/>
      <c r="S338" s="131"/>
      <c r="T338" s="131"/>
      <c r="U338" s="131"/>
      <c r="V338" s="131">
        <v>0</v>
      </c>
      <c r="W338" s="180">
        <v>0</v>
      </c>
      <c r="X338" s="180">
        <f t="shared" si="80"/>
        <v>5587645.932</v>
      </c>
      <c r="Y338" s="181">
        <f>IF(D338="Physician Group Practice",(X338/$AE$369)*'1. UC Assumptions'!$C$15,IF(OR(E338="Rural Hospital",E338="Hosp - State"),X338,(X338/$X$369)*'1. UC Assumptions'!$C$9))</f>
        <v>3362997.4938542047</v>
      </c>
      <c r="Z338" s="181">
        <f t="shared" si="70"/>
        <v>0</v>
      </c>
      <c r="AA338" s="181">
        <f t="shared" si="71"/>
        <v>2224648.4381457954</v>
      </c>
      <c r="AB338" s="182">
        <f t="shared" si="72"/>
        <v>1194.7054961287465</v>
      </c>
      <c r="AC338" s="181">
        <f t="shared" si="73"/>
        <v>2225843.143641924</v>
      </c>
      <c r="AD338" s="181">
        <f t="shared" si="74"/>
        <v>3364192.1993503333</v>
      </c>
      <c r="AE338" s="131">
        <v>1989526.15</v>
      </c>
      <c r="AF338" s="131">
        <f>AE338*'1. UC Assumptions'!$C$23</f>
        <v>656543.62949999992</v>
      </c>
      <c r="AG338" s="183">
        <f>IF((((X338-W338-AE338)*'1. UC Assumptions'!$C$23)+AF338)&gt;0,((X338-W338-AE338)*'1. UC Assumptions'!$C$23)+AF338,0)</f>
        <v>1843923.1575599997</v>
      </c>
      <c r="AH338" s="183"/>
      <c r="AI338" s="183">
        <f t="shared" si="75"/>
        <v>656543.62949999992</v>
      </c>
      <c r="AJ338" s="183">
        <f>IF(H338="Bexar",(AD338/$AJ$1)*'1. UC Assumptions'!$E$42,0)</f>
        <v>0</v>
      </c>
      <c r="AK338" s="183">
        <f>IF(H338="Dallas",(AD338/$AK$1)*'1. UC Assumptions'!$F$42,0)</f>
        <v>0</v>
      </c>
      <c r="AL338" s="183">
        <f>IF(H338="El Paso",(AD338/$AL$1)*'1. UC Assumptions'!$G$42,0)</f>
        <v>0</v>
      </c>
      <c r="AM338" s="183">
        <f>IF(H338="Harris",(AD338/$AM$1)*'1. UC Assumptions'!$H$42,0)</f>
        <v>0</v>
      </c>
      <c r="AN338" s="183">
        <f>IF(H338="Hidalgo",(AD338/$AN$1)*'1. UC Assumptions'!$I$42,0)</f>
        <v>0</v>
      </c>
      <c r="AO338" s="183">
        <f>IF(H338="Jefferson",(AD338/$AO$1)*'1. UC Assumptions'!$J$42,0)</f>
        <v>0</v>
      </c>
      <c r="AP338" s="183">
        <f>IF(H338="Lubbock",(AD338/$AP$1)*'1. UC Assumptions'!$K$42,0)</f>
        <v>0</v>
      </c>
      <c r="AQ338" s="183">
        <f>IF(H338="MRSA Central",(AD338/$AQ$1)*'1. UC Assumptions'!$L$42,0)</f>
        <v>0</v>
      </c>
      <c r="AR338" s="183">
        <f>IF(H338="MRSA Northeast",(AD338/$AR$1)*'1. UC Assumptions'!$M$42,0)</f>
        <v>0</v>
      </c>
      <c r="AS338" s="183">
        <f>IF(H338="MRSA West",(AD338/$AS$1)*'1. UC Assumptions'!$N$42,0)</f>
        <v>0</v>
      </c>
      <c r="AT338" s="183">
        <f>IF(H338="Nueces",(AD338/$AT$1)*'1. UC Assumptions'!$O$42,0)</f>
        <v>0</v>
      </c>
      <c r="AU338" s="183">
        <f>IF(H338="Tarrant",(AD338/$AU$1)*'1. UC Assumptions'!$P$42,0)</f>
        <v>0</v>
      </c>
      <c r="AV338" s="183">
        <f>IF(H338="Travis",(AD338/$AV$1)*'1. UC Assumptions'!$Q$42,0)</f>
        <v>0</v>
      </c>
      <c r="AW338" s="183">
        <f>IF(H338="Bexar",(AC338/$AW$1)*'1. UC Assumptions'!$E$44,0)</f>
        <v>0</v>
      </c>
      <c r="AX338" s="183">
        <f>IF(H338="Dallas",(AC338/$AX$1)*'1. UC Assumptions'!$F$44,0)</f>
        <v>0</v>
      </c>
      <c r="AY338" s="183">
        <f>IF(H338="El Paso",(AC338/$AY$1)*'1. UC Assumptions'!$G$44,0)</f>
        <v>0</v>
      </c>
      <c r="AZ338" s="183">
        <f>IF(H338="Harris",(AC338/$AZ$1)*'1. UC Assumptions'!$H$44,0)</f>
        <v>0</v>
      </c>
      <c r="BA338" s="183">
        <f>IF(H338="Hidalgo",(AC338/$BA$1)*'1. UC Assumptions'!$I$44,0)</f>
        <v>0</v>
      </c>
      <c r="BB338" s="183">
        <f>IF(H338="Jefferson",(AC338/$BB$1)*'1. UC Assumptions'!$J$44,0)</f>
        <v>0</v>
      </c>
      <c r="BC338" s="183">
        <f>IF(H338="Lubbock",(AC338/$BC$1)*'1. UC Assumptions'!$K$44,0)</f>
        <v>0</v>
      </c>
      <c r="BD338" s="183">
        <f>IF(H338="MRSA Central",(AC338/$BD$1)*'1. UC Assumptions'!$L$44,0)</f>
        <v>0</v>
      </c>
      <c r="BE338" s="183">
        <f>IF(H338="MRSA Northeast",(AC338/$BE$1)*'1. UC Assumptions'!$M$44,0)</f>
        <v>0</v>
      </c>
      <c r="BF338" s="183">
        <f>IF(H338="MRSA West",(AC338/$BF$1)*'1. UC Assumptions'!$N$44,0)</f>
        <v>0</v>
      </c>
      <c r="BG338" s="183">
        <f>IF(H338="Nueces",(AC338/$BG$1)*'1. UC Assumptions'!$O$44,0)</f>
        <v>0</v>
      </c>
      <c r="BH338" s="183">
        <f>IF(H338="Tarrant",(AC338/$BH$1)*'1. UC Assumptions'!$P$44,0)</f>
        <v>0</v>
      </c>
      <c r="BI338" s="183">
        <f>IF(H338="Travis",(AC338/$BI$1)*'1. UC Assumptions'!$Q$44,0)</f>
        <v>0</v>
      </c>
      <c r="BJ338" s="183">
        <f t="shared" si="76"/>
        <v>0</v>
      </c>
      <c r="BK338" s="183">
        <f t="shared" si="77"/>
        <v>0</v>
      </c>
      <c r="BL338" s="183">
        <f t="shared" si="78"/>
        <v>3364192.1993503333</v>
      </c>
      <c r="BM338" s="184">
        <f t="shared" si="79"/>
        <v>1374666.0493503334</v>
      </c>
      <c r="BN338" s="184">
        <f>ROUNDDOWN(BM338*'1. UC Assumptions'!$C$23,2)</f>
        <v>453639.79</v>
      </c>
      <c r="BO338" s="184"/>
      <c r="BP338" s="185"/>
      <c r="BQ338" s="32"/>
      <c r="BR338" s="32"/>
    </row>
    <row r="339" spans="1:70">
      <c r="A339" s="177" t="s">
        <v>1799</v>
      </c>
      <c r="B339" s="177" t="s">
        <v>966</v>
      </c>
      <c r="C339" s="178" t="s">
        <v>966</v>
      </c>
      <c r="D339" s="179" t="s">
        <v>214</v>
      </c>
      <c r="E339" s="179"/>
      <c r="F339" s="177"/>
      <c r="G339" s="177" t="s">
        <v>1800</v>
      </c>
      <c r="H339" s="178" t="s">
        <v>14</v>
      </c>
      <c r="I339" s="178" t="s">
        <v>248</v>
      </c>
      <c r="J339" s="131">
        <f>IFERROR(INDEX(#REF!,(MATCH('Old Calc Tab'!C:C,#REF!,0))),0)</f>
        <v>0</v>
      </c>
      <c r="K339" s="131">
        <f>IFERROR(INDEX(#REF!,(MATCH('Old Calc Tab'!$C:$C,#REF!,0))),0)</f>
        <v>0</v>
      </c>
      <c r="L339" s="131"/>
      <c r="M339" s="131">
        <v>542329.92000000004</v>
      </c>
      <c r="N339" s="131">
        <f>IFERROR(INDEX(#REF!,(MATCH('Old Calc Tab'!$C:$C,#REF!,0))),0)</f>
        <v>0</v>
      </c>
      <c r="O339" s="131">
        <f t="shared" si="68"/>
        <v>0</v>
      </c>
      <c r="P339" s="131">
        <f t="shared" si="69"/>
        <v>542329.92000000004</v>
      </c>
      <c r="Q339" s="131"/>
      <c r="R339" s="131"/>
      <c r="S339" s="131"/>
      <c r="T339" s="131"/>
      <c r="U339" s="131"/>
      <c r="V339" s="131">
        <v>0</v>
      </c>
      <c r="W339" s="180">
        <v>0</v>
      </c>
      <c r="X339" s="180">
        <f t="shared" si="80"/>
        <v>542329.92000000004</v>
      </c>
      <c r="Y339" s="181">
        <f>IF(D339="Physician Group Practice",(X339/$AE$369)*'1. UC Assumptions'!$C$15,IF(OR(E339="Rural Hospital",E339="Hosp - State"),X339,(X339/$X$369)*'1. UC Assumptions'!$C$9))</f>
        <v>326408.32722722908</v>
      </c>
      <c r="Z339" s="181">
        <f t="shared" si="70"/>
        <v>0</v>
      </c>
      <c r="AA339" s="181">
        <f t="shared" si="71"/>
        <v>215921.59277277096</v>
      </c>
      <c r="AB339" s="182">
        <f t="shared" si="72"/>
        <v>115.95662001925564</v>
      </c>
      <c r="AC339" s="181">
        <f t="shared" si="73"/>
        <v>216037.54939279021</v>
      </c>
      <c r="AD339" s="181">
        <f t="shared" si="74"/>
        <v>326524.28384724836</v>
      </c>
      <c r="AE339" s="131">
        <v>0</v>
      </c>
      <c r="AF339" s="131">
        <f>AE339*'1. UC Assumptions'!$C$23</f>
        <v>0</v>
      </c>
      <c r="AG339" s="183">
        <f>IF((((X339-W339-AE339)*'1. UC Assumptions'!$C$23)+AF339)&gt;0,((X339-W339-AE339)*'1. UC Assumptions'!$C$23)+AF339,0)</f>
        <v>178968.87359999999</v>
      </c>
      <c r="AH339" s="183"/>
      <c r="AI339" s="183">
        <f t="shared" si="75"/>
        <v>0</v>
      </c>
      <c r="AJ339" s="183">
        <f>IF(H339="Bexar",(AD339/$AJ$1)*'1. UC Assumptions'!$E$42,0)</f>
        <v>0</v>
      </c>
      <c r="AK339" s="183">
        <f>IF(H339="Dallas",(AD339/$AK$1)*'1. UC Assumptions'!$F$42,0)</f>
        <v>0</v>
      </c>
      <c r="AL339" s="183">
        <f>IF(H339="El Paso",(AD339/$AL$1)*'1. UC Assumptions'!$G$42,0)</f>
        <v>0</v>
      </c>
      <c r="AM339" s="183">
        <f>IF(H339="Harris",(AD339/$AM$1)*'1. UC Assumptions'!$H$42,0)</f>
        <v>0</v>
      </c>
      <c r="AN339" s="183">
        <f>IF(H339="Hidalgo",(AD339/$AN$1)*'1. UC Assumptions'!$I$42,0)</f>
        <v>0</v>
      </c>
      <c r="AO339" s="183">
        <f>IF(H339="Jefferson",(AD339/$AO$1)*'1. UC Assumptions'!$J$42,0)</f>
        <v>0</v>
      </c>
      <c r="AP339" s="183">
        <f>IF(H339="Lubbock",(AD339/$AP$1)*'1. UC Assumptions'!$K$42,0)</f>
        <v>0</v>
      </c>
      <c r="AQ339" s="183">
        <f>IF(H339="MRSA Central",(AD339/$AQ$1)*'1. UC Assumptions'!$L$42,0)</f>
        <v>0</v>
      </c>
      <c r="AR339" s="183">
        <f>IF(H339="MRSA Northeast",(AD339/$AR$1)*'1. UC Assumptions'!$M$42,0)</f>
        <v>0</v>
      </c>
      <c r="AS339" s="183">
        <f>IF(H339="MRSA West",(AD339/$AS$1)*'1. UC Assumptions'!$N$42,0)</f>
        <v>0</v>
      </c>
      <c r="AT339" s="183">
        <f>IF(H339="Nueces",(AD339/$AT$1)*'1. UC Assumptions'!$O$42,0)</f>
        <v>0</v>
      </c>
      <c r="AU339" s="183">
        <f>IF(H339="Tarrant",(AD339/$AU$1)*'1. UC Assumptions'!$P$42,0)</f>
        <v>0</v>
      </c>
      <c r="AV339" s="183">
        <f>IF(H339="Travis",(AD339/$AV$1)*'1. UC Assumptions'!$Q$42,0)</f>
        <v>0</v>
      </c>
      <c r="AW339" s="183">
        <f>IF(H339="Bexar",(AC339/$AW$1)*'1. UC Assumptions'!$E$44,0)</f>
        <v>0</v>
      </c>
      <c r="AX339" s="183">
        <f>IF(H339="Dallas",(AC339/$AX$1)*'1. UC Assumptions'!$F$44,0)</f>
        <v>0</v>
      </c>
      <c r="AY339" s="183">
        <f>IF(H339="El Paso",(AC339/$AY$1)*'1. UC Assumptions'!$G$44,0)</f>
        <v>0</v>
      </c>
      <c r="AZ339" s="183">
        <f>IF(H339="Harris",(AC339/$AZ$1)*'1. UC Assumptions'!$H$44,0)</f>
        <v>0</v>
      </c>
      <c r="BA339" s="183">
        <f>IF(H339="Hidalgo",(AC339/$BA$1)*'1. UC Assumptions'!$I$44,0)</f>
        <v>0</v>
      </c>
      <c r="BB339" s="183">
        <f>IF(H339="Jefferson",(AC339/$BB$1)*'1. UC Assumptions'!$J$44,0)</f>
        <v>0</v>
      </c>
      <c r="BC339" s="183">
        <f>IF(H339="Lubbock",(AC339/$BC$1)*'1. UC Assumptions'!$K$44,0)</f>
        <v>0</v>
      </c>
      <c r="BD339" s="183">
        <f>IF(H339="MRSA Central",(AC339/$BD$1)*'1. UC Assumptions'!$L$44,0)</f>
        <v>0</v>
      </c>
      <c r="BE339" s="183">
        <f>IF(H339="MRSA Northeast",(AC339/$BE$1)*'1. UC Assumptions'!$M$44,0)</f>
        <v>0</v>
      </c>
      <c r="BF339" s="183">
        <f>IF(H339="MRSA West",(AC339/$BF$1)*'1. UC Assumptions'!$N$44,0)</f>
        <v>0</v>
      </c>
      <c r="BG339" s="183">
        <f>IF(H339="Nueces",(AC339/$BG$1)*'1. UC Assumptions'!$O$44,0)</f>
        <v>0</v>
      </c>
      <c r="BH339" s="183">
        <f>IF(H339="Tarrant",(AC339/$BH$1)*'1. UC Assumptions'!$P$44,0)</f>
        <v>0</v>
      </c>
      <c r="BI339" s="183">
        <f>IF(H339="Travis",(AC339/$BI$1)*'1. UC Assumptions'!$Q$44,0)</f>
        <v>0</v>
      </c>
      <c r="BJ339" s="183">
        <f t="shared" si="76"/>
        <v>0</v>
      </c>
      <c r="BK339" s="183">
        <f t="shared" si="77"/>
        <v>0</v>
      </c>
      <c r="BL339" s="183">
        <f t="shared" si="78"/>
        <v>326524.28384724836</v>
      </c>
      <c r="BM339" s="184">
        <f t="shared" si="79"/>
        <v>326524.28384724836</v>
      </c>
      <c r="BN339" s="184">
        <f>ROUNDDOWN(BM339*'1. UC Assumptions'!$C$23,2)</f>
        <v>107753.01</v>
      </c>
      <c r="BO339" s="184"/>
      <c r="BP339" s="185"/>
      <c r="BQ339" s="32"/>
      <c r="BR339" s="32"/>
    </row>
    <row r="340" spans="1:70">
      <c r="A340" s="177"/>
      <c r="B340" s="177" t="s">
        <v>1801</v>
      </c>
      <c r="C340" s="177" t="s">
        <v>1801</v>
      </c>
      <c r="D340" s="179" t="s">
        <v>36</v>
      </c>
      <c r="E340" s="179" t="s">
        <v>36</v>
      </c>
      <c r="F340" s="177"/>
      <c r="G340" s="177" t="s">
        <v>1802</v>
      </c>
      <c r="H340" s="178" t="s">
        <v>14</v>
      </c>
      <c r="I340" s="178" t="s">
        <v>14</v>
      </c>
      <c r="J340" s="131">
        <f>IFERROR(INDEX(#REF!,(MATCH('Old Calc Tab'!C:C,#REF!,0))),0)</f>
        <v>0</v>
      </c>
      <c r="K340" s="131">
        <f>IFERROR(INDEX(#REF!,(MATCH('Old Calc Tab'!$C:$C,#REF!,0))),0)</f>
        <v>0</v>
      </c>
      <c r="L340" s="131"/>
      <c r="M340" s="131">
        <v>461287.26076230372</v>
      </c>
      <c r="N340" s="131">
        <f>IFERROR(INDEX(#REF!,(MATCH('Old Calc Tab'!$C:$C,#REF!,0))),0)</f>
        <v>0</v>
      </c>
      <c r="O340" s="131">
        <f t="shared" si="68"/>
        <v>0</v>
      </c>
      <c r="P340" s="131">
        <f t="shared" si="69"/>
        <v>461287.26076230372</v>
      </c>
      <c r="Q340" s="131"/>
      <c r="R340" s="131"/>
      <c r="S340" s="131"/>
      <c r="T340" s="131"/>
      <c r="U340" s="131"/>
      <c r="V340" s="180">
        <f>Q340+R340+S340+T340+U340</f>
        <v>0</v>
      </c>
      <c r="W340" s="180">
        <v>0</v>
      </c>
      <c r="X340" s="180">
        <f t="shared" si="80"/>
        <v>461287.26076230372</v>
      </c>
      <c r="Y340" s="181">
        <f>IF(D340="Physician Group Practice",(X340/$AE$369)*'1. UC Assumptions'!$C$15,IF(OR(E340="Rural Hospital",E340="Hosp - State"),X340,(X340/$X$369)*'1. UC Assumptions'!$C$9))</f>
        <v>71036.908822342724</v>
      </c>
      <c r="Z340" s="181">
        <f t="shared" si="70"/>
        <v>0</v>
      </c>
      <c r="AA340" s="181">
        <f t="shared" si="71"/>
        <v>390250.35193996096</v>
      </c>
      <c r="AB340" s="182">
        <f t="shared" si="72"/>
        <v>209.57659301774751</v>
      </c>
      <c r="AC340" s="181">
        <f t="shared" si="73"/>
        <v>390459.92853297869</v>
      </c>
      <c r="AD340" s="181">
        <f t="shared" si="74"/>
        <v>71246.485415360468</v>
      </c>
      <c r="AE340" s="131">
        <v>0</v>
      </c>
      <c r="AF340" s="131">
        <f>AE340*'1. UC Assumptions'!$C$23</f>
        <v>0</v>
      </c>
      <c r="AG340" s="183">
        <f>IF((((X340-W340-AE340)*'1. UC Assumptions'!$C$23)+AF340)&gt;0,((X340-W340-AE340)*'1. UC Assumptions'!$C$23)+AF340,0)</f>
        <v>152224.7960515602</v>
      </c>
      <c r="AH340" s="183"/>
      <c r="AI340" s="183">
        <f t="shared" si="75"/>
        <v>0</v>
      </c>
      <c r="AJ340" s="183">
        <f>IF(H340="Bexar",(AD340/$AJ$1)*'1. UC Assumptions'!$E$42,0)</f>
        <v>0</v>
      </c>
      <c r="AK340" s="183">
        <f>IF(H340="Dallas",(AD340/$AK$1)*'1. UC Assumptions'!$F$42,0)</f>
        <v>0</v>
      </c>
      <c r="AL340" s="183">
        <f>IF(H340="El Paso",(AD340/$AL$1)*'1. UC Assumptions'!$G$42,0)</f>
        <v>0</v>
      </c>
      <c r="AM340" s="183">
        <f>IF(H340="Harris",(AD340/$AM$1)*'1. UC Assumptions'!$H$42,0)</f>
        <v>0</v>
      </c>
      <c r="AN340" s="183">
        <f>IF(H340="Hidalgo",(AD340/$AN$1)*'1. UC Assumptions'!$I$42,0)</f>
        <v>0</v>
      </c>
      <c r="AO340" s="183">
        <f>IF(H340="Jefferson",(AD340/$AO$1)*'1. UC Assumptions'!$J$42,0)</f>
        <v>0</v>
      </c>
      <c r="AP340" s="183">
        <f>IF(H340="Lubbock",(AD340/$AP$1)*'1. UC Assumptions'!$K$42,0)</f>
        <v>0</v>
      </c>
      <c r="AQ340" s="183">
        <f>IF(H340="MRSA Central",(AD340/$AQ$1)*'1. UC Assumptions'!$L$42,0)</f>
        <v>0</v>
      </c>
      <c r="AR340" s="183">
        <f>IF(H340="MRSA Northeast",(AD340/$AR$1)*'1. UC Assumptions'!$M$42,0)</f>
        <v>0</v>
      </c>
      <c r="AS340" s="183">
        <f>IF(H340="MRSA West",(AD340/$AS$1)*'1. UC Assumptions'!$N$42,0)</f>
        <v>0</v>
      </c>
      <c r="AT340" s="183">
        <f>IF(H340="Nueces",(AD340/$AT$1)*'1. UC Assumptions'!$O$42,0)</f>
        <v>0</v>
      </c>
      <c r="AU340" s="183">
        <f>IF(H340="Tarrant",(AD340/$AU$1)*'1. UC Assumptions'!$P$42,0)</f>
        <v>0</v>
      </c>
      <c r="AV340" s="183">
        <f>IF(H340="Travis",(AD340/$AV$1)*'1. UC Assumptions'!$Q$42,0)</f>
        <v>0</v>
      </c>
      <c r="AW340" s="183">
        <f>IF(H340="Bexar",(AC340/$AW$1)*'1. UC Assumptions'!$E$44,0)</f>
        <v>0</v>
      </c>
      <c r="AX340" s="183">
        <f>IF(H340="Dallas",(AC340/$AX$1)*'1. UC Assumptions'!$F$44,0)</f>
        <v>0</v>
      </c>
      <c r="AY340" s="183">
        <f>IF(H340="El Paso",(AC340/$AY$1)*'1. UC Assumptions'!$G$44,0)</f>
        <v>0</v>
      </c>
      <c r="AZ340" s="183">
        <f>IF(H340="Harris",(AC340/$AZ$1)*'1. UC Assumptions'!$H$44,0)</f>
        <v>0</v>
      </c>
      <c r="BA340" s="183">
        <f>IF(H340="Hidalgo",(AC340/$BA$1)*'1. UC Assumptions'!$I$44,0)</f>
        <v>0</v>
      </c>
      <c r="BB340" s="183">
        <f>IF(H340="Jefferson",(AC340/$BB$1)*'1. UC Assumptions'!$J$44,0)</f>
        <v>0</v>
      </c>
      <c r="BC340" s="183">
        <f>IF(H340="Lubbock",(AC340/$BC$1)*'1. UC Assumptions'!$K$44,0)</f>
        <v>0</v>
      </c>
      <c r="BD340" s="183">
        <f>IF(H340="MRSA Central",(AC340/$BD$1)*'1. UC Assumptions'!$L$44,0)</f>
        <v>0</v>
      </c>
      <c r="BE340" s="183">
        <f>IF(H340="MRSA Northeast",(AC340/$BE$1)*'1. UC Assumptions'!$M$44,0)</f>
        <v>0</v>
      </c>
      <c r="BF340" s="183">
        <f>IF(H340="MRSA West",(AC340/$BF$1)*'1. UC Assumptions'!$N$44,0)</f>
        <v>0</v>
      </c>
      <c r="BG340" s="183">
        <f>IF(H340="Nueces",(AC340/$BG$1)*'1. UC Assumptions'!$O$44,0)</f>
        <v>0</v>
      </c>
      <c r="BH340" s="183">
        <f>IF(H340="Tarrant",(AC340/$BH$1)*'1. UC Assumptions'!$P$44,0)</f>
        <v>0</v>
      </c>
      <c r="BI340" s="183">
        <f>IF(H340="Travis",(AC340/$BI$1)*'1. UC Assumptions'!$Q$44,0)</f>
        <v>0</v>
      </c>
      <c r="BJ340" s="183">
        <f t="shared" si="76"/>
        <v>0</v>
      </c>
      <c r="BK340" s="183">
        <f t="shared" si="77"/>
        <v>0</v>
      </c>
      <c r="BL340" s="183">
        <f t="shared" si="78"/>
        <v>71246.485415360468</v>
      </c>
      <c r="BM340" s="184">
        <f t="shared" si="79"/>
        <v>71246.485415360468</v>
      </c>
      <c r="BN340" s="184">
        <f>ROUNDDOWN(BM340*'1. UC Assumptions'!$C$23,2)</f>
        <v>23511.34</v>
      </c>
      <c r="BO340" s="184"/>
      <c r="BP340" s="185"/>
      <c r="BQ340" s="32"/>
      <c r="BR340" s="32"/>
    </row>
    <row r="341" spans="1:70">
      <c r="A341" s="177" t="s">
        <v>1803</v>
      </c>
      <c r="B341" s="177" t="s">
        <v>1804</v>
      </c>
      <c r="C341" s="178" t="s">
        <v>1804</v>
      </c>
      <c r="D341" s="179" t="s">
        <v>214</v>
      </c>
      <c r="E341" s="179"/>
      <c r="F341" s="177"/>
      <c r="G341" s="177" t="s">
        <v>1805</v>
      </c>
      <c r="H341" s="178" t="s">
        <v>14</v>
      </c>
      <c r="I341" s="178" t="s">
        <v>248</v>
      </c>
      <c r="J341" s="131">
        <f>IFERROR(INDEX(#REF!,(MATCH('Old Calc Tab'!C:C,#REF!,0))),0)</f>
        <v>0</v>
      </c>
      <c r="K341" s="131">
        <f>IFERROR(INDEX(#REF!,(MATCH('Old Calc Tab'!$C:$C,#REF!,0))),0)</f>
        <v>0</v>
      </c>
      <c r="L341" s="131"/>
      <c r="M341" s="131">
        <v>12007325.880000001</v>
      </c>
      <c r="N341" s="131">
        <f>IFERROR(INDEX(#REF!,(MATCH('Old Calc Tab'!$C:$C,#REF!,0))),0)</f>
        <v>0</v>
      </c>
      <c r="O341" s="131">
        <f t="shared" si="68"/>
        <v>0</v>
      </c>
      <c r="P341" s="131">
        <f t="shared" si="69"/>
        <v>12007325.880000001</v>
      </c>
      <c r="Q341" s="131"/>
      <c r="R341" s="131"/>
      <c r="S341" s="131"/>
      <c r="T341" s="131"/>
      <c r="U341" s="131"/>
      <c r="V341" s="131">
        <v>0</v>
      </c>
      <c r="W341" s="180">
        <v>0</v>
      </c>
      <c r="X341" s="180">
        <f t="shared" si="80"/>
        <v>12007325.880000001</v>
      </c>
      <c r="Y341" s="181">
        <f>IF(D341="Physician Group Practice",(X341/$AE$369)*'1. UC Assumptions'!$C$15,IF(OR(E341="Rural Hospital",E341="Hosp - State"),X341,(X341/$X$369)*'1. UC Assumptions'!$C$9))</f>
        <v>7226765.499058242</v>
      </c>
      <c r="Z341" s="181">
        <f t="shared" si="70"/>
        <v>0</v>
      </c>
      <c r="AA341" s="181">
        <f t="shared" si="71"/>
        <v>4780560.3809417589</v>
      </c>
      <c r="AB341" s="182">
        <f t="shared" si="72"/>
        <v>2567.3098111838162</v>
      </c>
      <c r="AC341" s="181">
        <f t="shared" si="73"/>
        <v>4783127.690752943</v>
      </c>
      <c r="AD341" s="181">
        <f t="shared" si="74"/>
        <v>7229332.8088694261</v>
      </c>
      <c r="AE341" s="131">
        <v>5844008.5099999998</v>
      </c>
      <c r="AF341" s="131">
        <f>AE341*'1. UC Assumptions'!$C$23</f>
        <v>1928522.8082999997</v>
      </c>
      <c r="AG341" s="183">
        <f>IF((((X341-W341-AE341)*'1. UC Assumptions'!$C$23)+AF341)&gt;0,((X341-W341-AE341)*'1. UC Assumptions'!$C$23)+AF341,0)</f>
        <v>3962417.5403999998</v>
      </c>
      <c r="AH341" s="183"/>
      <c r="AI341" s="183">
        <f t="shared" si="75"/>
        <v>1928522.8082999997</v>
      </c>
      <c r="AJ341" s="183">
        <f>IF(H341="Bexar",(AD341/$AJ$1)*'1. UC Assumptions'!$E$42,0)</f>
        <v>0</v>
      </c>
      <c r="AK341" s="183">
        <f>IF(H341="Dallas",(AD341/$AK$1)*'1. UC Assumptions'!$F$42,0)</f>
        <v>0</v>
      </c>
      <c r="AL341" s="183">
        <f>IF(H341="El Paso",(AD341/$AL$1)*'1. UC Assumptions'!$G$42,0)</f>
        <v>0</v>
      </c>
      <c r="AM341" s="183">
        <f>IF(H341="Harris",(AD341/$AM$1)*'1. UC Assumptions'!$H$42,0)</f>
        <v>0</v>
      </c>
      <c r="AN341" s="183">
        <f>IF(H341="Hidalgo",(AD341/$AN$1)*'1. UC Assumptions'!$I$42,0)</f>
        <v>0</v>
      </c>
      <c r="AO341" s="183">
        <f>IF(H341="Jefferson",(AD341/$AO$1)*'1. UC Assumptions'!$J$42,0)</f>
        <v>0</v>
      </c>
      <c r="AP341" s="183">
        <f>IF(H341="Lubbock",(AD341/$AP$1)*'1. UC Assumptions'!$K$42,0)</f>
        <v>0</v>
      </c>
      <c r="AQ341" s="183">
        <f>IF(H341="MRSA Central",(AD341/$AQ$1)*'1. UC Assumptions'!$L$42,0)</f>
        <v>0</v>
      </c>
      <c r="AR341" s="183">
        <f>IF(H341="MRSA Northeast",(AD341/$AR$1)*'1. UC Assumptions'!$M$42,0)</f>
        <v>0</v>
      </c>
      <c r="AS341" s="183">
        <f>IF(H341="MRSA West",(AD341/$AS$1)*'1. UC Assumptions'!$N$42,0)</f>
        <v>0</v>
      </c>
      <c r="AT341" s="183">
        <f>IF(H341="Nueces",(AD341/$AT$1)*'1. UC Assumptions'!$O$42,0)</f>
        <v>0</v>
      </c>
      <c r="AU341" s="183">
        <f>IF(H341="Tarrant",(AD341/$AU$1)*'1. UC Assumptions'!$P$42,0)</f>
        <v>0</v>
      </c>
      <c r="AV341" s="183">
        <f>IF(H341="Travis",(AD341/$AV$1)*'1. UC Assumptions'!$Q$42,0)</f>
        <v>0</v>
      </c>
      <c r="AW341" s="183">
        <f>IF(H341="Bexar",(AC341/$AW$1)*'1. UC Assumptions'!$E$44,0)</f>
        <v>0</v>
      </c>
      <c r="AX341" s="183">
        <f>IF(H341="Dallas",(AC341/$AX$1)*'1. UC Assumptions'!$F$44,0)</f>
        <v>0</v>
      </c>
      <c r="AY341" s="183">
        <f>IF(H341="El Paso",(AC341/$AY$1)*'1. UC Assumptions'!$G$44,0)</f>
        <v>0</v>
      </c>
      <c r="AZ341" s="183">
        <f>IF(H341="Harris",(AC341/$AZ$1)*'1. UC Assumptions'!$H$44,0)</f>
        <v>0</v>
      </c>
      <c r="BA341" s="183">
        <f>IF(H341="Hidalgo",(AC341/$BA$1)*'1. UC Assumptions'!$I$44,0)</f>
        <v>0</v>
      </c>
      <c r="BB341" s="183">
        <f>IF(H341="Jefferson",(AC341/$BB$1)*'1. UC Assumptions'!$J$44,0)</f>
        <v>0</v>
      </c>
      <c r="BC341" s="183">
        <f>IF(H341="Lubbock",(AC341/$BC$1)*'1. UC Assumptions'!$K$44,0)</f>
        <v>0</v>
      </c>
      <c r="BD341" s="183">
        <f>IF(H341="MRSA Central",(AC341/$BD$1)*'1. UC Assumptions'!$L$44,0)</f>
        <v>0</v>
      </c>
      <c r="BE341" s="183">
        <f>IF(H341="MRSA Northeast",(AC341/$BE$1)*'1. UC Assumptions'!$M$44,0)</f>
        <v>0</v>
      </c>
      <c r="BF341" s="183">
        <f>IF(H341="MRSA West",(AC341/$BF$1)*'1. UC Assumptions'!$N$44,0)</f>
        <v>0</v>
      </c>
      <c r="BG341" s="183">
        <f>IF(H341="Nueces",(AC341/$BG$1)*'1. UC Assumptions'!$O$44,0)</f>
        <v>0</v>
      </c>
      <c r="BH341" s="183">
        <f>IF(H341="Tarrant",(AC341/$BH$1)*'1. UC Assumptions'!$P$44,0)</f>
        <v>0</v>
      </c>
      <c r="BI341" s="183">
        <f>IF(H341="Travis",(AC341/$BI$1)*'1. UC Assumptions'!$Q$44,0)</f>
        <v>0</v>
      </c>
      <c r="BJ341" s="183">
        <f t="shared" si="76"/>
        <v>0</v>
      </c>
      <c r="BK341" s="183">
        <f t="shared" si="77"/>
        <v>0</v>
      </c>
      <c r="BL341" s="183">
        <f t="shared" si="78"/>
        <v>7229332.8088694261</v>
      </c>
      <c r="BM341" s="184">
        <f t="shared" si="79"/>
        <v>1385324.2988694264</v>
      </c>
      <c r="BN341" s="184">
        <f>ROUNDDOWN(BM341*'1. UC Assumptions'!$C$23,2)</f>
        <v>457157.01</v>
      </c>
      <c r="BO341" s="184"/>
      <c r="BP341" s="185"/>
      <c r="BQ341" s="32"/>
      <c r="BR341" s="32"/>
    </row>
    <row r="342" spans="1:70">
      <c r="A342" s="177" t="s">
        <v>1806</v>
      </c>
      <c r="B342" s="177" t="s">
        <v>1000</v>
      </c>
      <c r="C342" s="178" t="s">
        <v>1000</v>
      </c>
      <c r="D342" s="179" t="s">
        <v>214</v>
      </c>
      <c r="E342" s="179"/>
      <c r="F342" s="177"/>
      <c r="G342" s="177" t="s">
        <v>1807</v>
      </c>
      <c r="H342" s="178" t="s">
        <v>14</v>
      </c>
      <c r="I342" s="178" t="s">
        <v>14</v>
      </c>
      <c r="J342" s="131">
        <f>IFERROR(INDEX(#REF!,(MATCH('Old Calc Tab'!C:C,#REF!,0))),0)</f>
        <v>0</v>
      </c>
      <c r="K342" s="131">
        <f>IFERROR(INDEX(#REF!,(MATCH('Old Calc Tab'!$C:$C,#REF!,0))),0)</f>
        <v>0</v>
      </c>
      <c r="L342" s="131"/>
      <c r="M342" s="131">
        <v>5275508.3057290046</v>
      </c>
      <c r="N342" s="131">
        <f>IFERROR(INDEX(#REF!,(MATCH('Old Calc Tab'!$C:$C,#REF!,0))),0)</f>
        <v>0</v>
      </c>
      <c r="O342" s="131">
        <f t="shared" si="68"/>
        <v>0</v>
      </c>
      <c r="P342" s="131">
        <f t="shared" si="69"/>
        <v>5275508.3057290046</v>
      </c>
      <c r="Q342" s="131"/>
      <c r="R342" s="131"/>
      <c r="S342" s="131"/>
      <c r="T342" s="131"/>
      <c r="U342" s="131"/>
      <c r="V342" s="131">
        <v>0</v>
      </c>
      <c r="W342" s="180">
        <v>0</v>
      </c>
      <c r="X342" s="180">
        <f t="shared" si="80"/>
        <v>5275508.3057290046</v>
      </c>
      <c r="Y342" s="181">
        <f>IF(D342="Physician Group Practice",(X342/$AE$369)*'1. UC Assumptions'!$C$15,IF(OR(E342="Rural Hospital",E342="Hosp - State"),X342,(X342/$X$369)*'1. UC Assumptions'!$C$9))</f>
        <v>3175133.3972987463</v>
      </c>
      <c r="Z342" s="181">
        <f t="shared" si="70"/>
        <v>0</v>
      </c>
      <c r="AA342" s="181">
        <f t="shared" si="71"/>
        <v>2100374.9084302583</v>
      </c>
      <c r="AB342" s="182">
        <f t="shared" si="72"/>
        <v>1127.966740274712</v>
      </c>
      <c r="AC342" s="181">
        <f t="shared" si="73"/>
        <v>2101502.8751705331</v>
      </c>
      <c r="AD342" s="181">
        <f t="shared" si="74"/>
        <v>3176261.3640390211</v>
      </c>
      <c r="AE342" s="131">
        <v>2935743.22</v>
      </c>
      <c r="AF342" s="131">
        <f>AE342*'1. UC Assumptions'!$C$23</f>
        <v>968795.2625999999</v>
      </c>
      <c r="AG342" s="183">
        <f>IF((((X342-W342-AE342)*'1. UC Assumptions'!$C$23)+AF342)&gt;0,((X342-W342-AE342)*'1. UC Assumptions'!$C$23)+AF342,0)</f>
        <v>1740917.7408905714</v>
      </c>
      <c r="AH342" s="183"/>
      <c r="AI342" s="183">
        <f t="shared" si="75"/>
        <v>968795.2625999999</v>
      </c>
      <c r="AJ342" s="183">
        <f>IF(H342="Bexar",(AD342/$AJ$1)*'1. UC Assumptions'!$E$42,0)</f>
        <v>0</v>
      </c>
      <c r="AK342" s="183">
        <f>IF(H342="Dallas",(AD342/$AK$1)*'1. UC Assumptions'!$F$42,0)</f>
        <v>0</v>
      </c>
      <c r="AL342" s="183">
        <f>IF(H342="El Paso",(AD342/$AL$1)*'1. UC Assumptions'!$G$42,0)</f>
        <v>0</v>
      </c>
      <c r="AM342" s="183">
        <f>IF(H342="Harris",(AD342/$AM$1)*'1. UC Assumptions'!$H$42,0)</f>
        <v>0</v>
      </c>
      <c r="AN342" s="183">
        <f>IF(H342="Hidalgo",(AD342/$AN$1)*'1. UC Assumptions'!$I$42,0)</f>
        <v>0</v>
      </c>
      <c r="AO342" s="183">
        <f>IF(H342="Jefferson",(AD342/$AO$1)*'1. UC Assumptions'!$J$42,0)</f>
        <v>0</v>
      </c>
      <c r="AP342" s="183">
        <f>IF(H342="Lubbock",(AD342/$AP$1)*'1. UC Assumptions'!$K$42,0)</f>
        <v>0</v>
      </c>
      <c r="AQ342" s="183">
        <f>IF(H342="MRSA Central",(AD342/$AQ$1)*'1. UC Assumptions'!$L$42,0)</f>
        <v>0</v>
      </c>
      <c r="AR342" s="183">
        <f>IF(H342="MRSA Northeast",(AD342/$AR$1)*'1. UC Assumptions'!$M$42,0)</f>
        <v>0</v>
      </c>
      <c r="AS342" s="183">
        <f>IF(H342="MRSA West",(AD342/$AS$1)*'1. UC Assumptions'!$N$42,0)</f>
        <v>0</v>
      </c>
      <c r="AT342" s="183">
        <f>IF(H342="Nueces",(AD342/$AT$1)*'1. UC Assumptions'!$O$42,0)</f>
        <v>0</v>
      </c>
      <c r="AU342" s="183">
        <f>IF(H342="Tarrant",(AD342/$AU$1)*'1. UC Assumptions'!$P$42,0)</f>
        <v>0</v>
      </c>
      <c r="AV342" s="183">
        <f>IF(H342="Travis",(AD342/$AV$1)*'1. UC Assumptions'!$Q$42,0)</f>
        <v>0</v>
      </c>
      <c r="AW342" s="183">
        <f>IF(H342="Bexar",(AC342/$AW$1)*'1. UC Assumptions'!$E$44,0)</f>
        <v>0</v>
      </c>
      <c r="AX342" s="183">
        <f>IF(H342="Dallas",(AC342/$AX$1)*'1. UC Assumptions'!$F$44,0)</f>
        <v>0</v>
      </c>
      <c r="AY342" s="183">
        <f>IF(H342="El Paso",(AC342/$AY$1)*'1. UC Assumptions'!$G$44,0)</f>
        <v>0</v>
      </c>
      <c r="AZ342" s="183">
        <f>IF(H342="Harris",(AC342/$AZ$1)*'1. UC Assumptions'!$H$44,0)</f>
        <v>0</v>
      </c>
      <c r="BA342" s="183">
        <f>IF(H342="Hidalgo",(AC342/$BA$1)*'1. UC Assumptions'!$I$44,0)</f>
        <v>0</v>
      </c>
      <c r="BB342" s="183">
        <f>IF(H342="Jefferson",(AC342/$BB$1)*'1. UC Assumptions'!$J$44,0)</f>
        <v>0</v>
      </c>
      <c r="BC342" s="183">
        <f>IF(H342="Lubbock",(AC342/$BC$1)*'1. UC Assumptions'!$K$44,0)</f>
        <v>0</v>
      </c>
      <c r="BD342" s="183">
        <f>IF(H342="MRSA Central",(AC342/$BD$1)*'1. UC Assumptions'!$L$44,0)</f>
        <v>0</v>
      </c>
      <c r="BE342" s="183">
        <f>IF(H342="MRSA Northeast",(AC342/$BE$1)*'1. UC Assumptions'!$M$44,0)</f>
        <v>0</v>
      </c>
      <c r="BF342" s="183">
        <f>IF(H342="MRSA West",(AC342/$BF$1)*'1. UC Assumptions'!$N$44,0)</f>
        <v>0</v>
      </c>
      <c r="BG342" s="183">
        <f>IF(H342="Nueces",(AC342/$BG$1)*'1. UC Assumptions'!$O$44,0)</f>
        <v>0</v>
      </c>
      <c r="BH342" s="183">
        <f>IF(H342="Tarrant",(AC342/$BH$1)*'1. UC Assumptions'!$P$44,0)</f>
        <v>0</v>
      </c>
      <c r="BI342" s="183">
        <f>IF(H342="Travis",(AC342/$BI$1)*'1. UC Assumptions'!$Q$44,0)</f>
        <v>0</v>
      </c>
      <c r="BJ342" s="183">
        <f t="shared" si="76"/>
        <v>0</v>
      </c>
      <c r="BK342" s="183">
        <f t="shared" si="77"/>
        <v>0</v>
      </c>
      <c r="BL342" s="183">
        <f t="shared" si="78"/>
        <v>3176261.3640390211</v>
      </c>
      <c r="BM342" s="184">
        <f t="shared" si="79"/>
        <v>240518.14403902087</v>
      </c>
      <c r="BN342" s="184">
        <f>ROUNDDOWN(BM342*'1. UC Assumptions'!$C$23,2)</f>
        <v>79370.98</v>
      </c>
      <c r="BO342" s="184"/>
      <c r="BP342" s="185"/>
      <c r="BQ342" s="32"/>
      <c r="BR342" s="32"/>
    </row>
    <row r="343" spans="1:70">
      <c r="A343" s="177" t="s">
        <v>1808</v>
      </c>
      <c r="B343" s="178" t="s">
        <v>240</v>
      </c>
      <c r="C343" s="178" t="s">
        <v>240</v>
      </c>
      <c r="D343" s="179" t="s">
        <v>214</v>
      </c>
      <c r="E343" s="179"/>
      <c r="F343" s="177"/>
      <c r="G343" s="177" t="s">
        <v>241</v>
      </c>
      <c r="H343" s="178" t="s">
        <v>15</v>
      </c>
      <c r="I343" s="178" t="s">
        <v>242</v>
      </c>
      <c r="J343" s="131">
        <f>IFERROR(INDEX(#REF!,(MATCH('Old Calc Tab'!C:C,#REF!,0))),0)</f>
        <v>0</v>
      </c>
      <c r="K343" s="131">
        <f>IFERROR(INDEX(#REF!,(MATCH('Old Calc Tab'!$C:$C,#REF!,0))),0)</f>
        <v>0</v>
      </c>
      <c r="L343" s="131"/>
      <c r="M343" s="131">
        <v>10124197.185422085</v>
      </c>
      <c r="N343" s="131">
        <f>IFERROR(INDEX(#REF!,(MATCH('Old Calc Tab'!$C:$C,#REF!,0))),0)</f>
        <v>0</v>
      </c>
      <c r="O343" s="131">
        <f t="shared" si="68"/>
        <v>0</v>
      </c>
      <c r="P343" s="131">
        <f t="shared" si="69"/>
        <v>10124197.185422085</v>
      </c>
      <c r="Q343" s="131"/>
      <c r="R343" s="131"/>
      <c r="S343" s="131"/>
      <c r="T343" s="131"/>
      <c r="U343" s="131"/>
      <c r="V343" s="131">
        <v>0</v>
      </c>
      <c r="W343" s="180">
        <v>0</v>
      </c>
      <c r="X343" s="180">
        <f t="shared" si="80"/>
        <v>10124197.185422085</v>
      </c>
      <c r="Y343" s="181">
        <f>IF(D343="Physician Group Practice",(X343/$AE$369)*'1. UC Assumptions'!$C$15,IF(OR(E343="Rural Hospital",E343="Hosp - State"),X343,(X343/$X$369)*'1. UC Assumptions'!$C$9))</f>
        <v>6093379.9629056854</v>
      </c>
      <c r="Z343" s="181">
        <f t="shared" si="70"/>
        <v>0</v>
      </c>
      <c r="AA343" s="181">
        <f t="shared" si="71"/>
        <v>4030817.2225163998</v>
      </c>
      <c r="AB343" s="182">
        <f t="shared" si="72"/>
        <v>2164.6743849758573</v>
      </c>
      <c r="AC343" s="181">
        <f t="shared" si="73"/>
        <v>4032981.8969013756</v>
      </c>
      <c r="AD343" s="181">
        <f t="shared" si="74"/>
        <v>6095544.6372906612</v>
      </c>
      <c r="AE343" s="131">
        <v>3132796.96</v>
      </c>
      <c r="AF343" s="131">
        <f>AE343*'1. UC Assumptions'!$C$23</f>
        <v>1033822.9967999998</v>
      </c>
      <c r="AG343" s="183">
        <f>IF((((X343-W343-AE343)*'1. UC Assumptions'!$C$23)+AF343)&gt;0,((X343-W343-AE343)*'1. UC Assumptions'!$C$23)+AF343,0)</f>
        <v>3340985.0711892876</v>
      </c>
      <c r="AH343" s="183"/>
      <c r="AI343" s="183">
        <f t="shared" si="75"/>
        <v>1033822.9967999998</v>
      </c>
      <c r="AJ343" s="183">
        <f>IF(H343="Bexar",(AD343/$AJ$1)*'1. UC Assumptions'!$E$42,0)</f>
        <v>0</v>
      </c>
      <c r="AK343" s="183">
        <f>IF(H343="Dallas",(AD343/$AK$1)*'1. UC Assumptions'!$F$42,0)</f>
        <v>0</v>
      </c>
      <c r="AL343" s="183">
        <f>IF(H343="El Paso",(AD343/$AL$1)*'1. UC Assumptions'!$G$42,0)</f>
        <v>0</v>
      </c>
      <c r="AM343" s="183">
        <f>IF(H343="Harris",(AD343/$AM$1)*'1. UC Assumptions'!$H$42,0)</f>
        <v>0</v>
      </c>
      <c r="AN343" s="183">
        <f>IF(H343="Hidalgo",(AD343/$AN$1)*'1. UC Assumptions'!$I$42,0)</f>
        <v>0</v>
      </c>
      <c r="AO343" s="183">
        <f>IF(H343="Jefferson",(AD343/$AO$1)*'1. UC Assumptions'!$J$42,0)</f>
        <v>0</v>
      </c>
      <c r="AP343" s="183">
        <f>IF(H343="Lubbock",(AD343/$AP$1)*'1. UC Assumptions'!$K$42,0)</f>
        <v>0</v>
      </c>
      <c r="AQ343" s="183">
        <f>IF(H343="MRSA Central",(AD343/$AQ$1)*'1. UC Assumptions'!$L$42,0)</f>
        <v>0</v>
      </c>
      <c r="AR343" s="183">
        <f>IF(H343="MRSA Northeast",(AD343/$AR$1)*'1. UC Assumptions'!$M$42,0)</f>
        <v>0</v>
      </c>
      <c r="AS343" s="183">
        <f>IF(H343="MRSA West",(AD343/$AS$1)*'1. UC Assumptions'!$N$42,0)</f>
        <v>0</v>
      </c>
      <c r="AT343" s="183">
        <f>IF(H343="Nueces",(AD343/$AT$1)*'1. UC Assumptions'!$O$42,0)</f>
        <v>0</v>
      </c>
      <c r="AU343" s="183">
        <f>IF(H343="Tarrant",(AD343/$AU$1)*'1. UC Assumptions'!$P$42,0)</f>
        <v>0</v>
      </c>
      <c r="AV343" s="183">
        <f>IF(H343="Travis",(AD343/$AV$1)*'1. UC Assumptions'!$Q$42,0)</f>
        <v>0</v>
      </c>
      <c r="AW343" s="183">
        <f>IF(H343="Bexar",(AC343/$AW$1)*'1. UC Assumptions'!$E$44,0)</f>
        <v>0</v>
      </c>
      <c r="AX343" s="183">
        <f>IF(H343="Dallas",(AC343/$AX$1)*'1. UC Assumptions'!$F$44,0)</f>
        <v>0</v>
      </c>
      <c r="AY343" s="183">
        <f>IF(H343="El Paso",(AC343/$AY$1)*'1. UC Assumptions'!$G$44,0)</f>
        <v>0</v>
      </c>
      <c r="AZ343" s="183">
        <f>IF(H343="Harris",(AC343/$AZ$1)*'1. UC Assumptions'!$H$44,0)</f>
        <v>0</v>
      </c>
      <c r="BA343" s="183">
        <f>IF(H343="Hidalgo",(AC343/$BA$1)*'1. UC Assumptions'!$I$44,0)</f>
        <v>0</v>
      </c>
      <c r="BB343" s="183">
        <f>IF(H343="Jefferson",(AC343/$BB$1)*'1. UC Assumptions'!$J$44,0)</f>
        <v>0</v>
      </c>
      <c r="BC343" s="183">
        <f>IF(H343="Lubbock",(AC343/$BC$1)*'1. UC Assumptions'!$K$44,0)</f>
        <v>0</v>
      </c>
      <c r="BD343" s="183">
        <f>IF(H343="MRSA Central",(AC343/$BD$1)*'1. UC Assumptions'!$L$44,0)</f>
        <v>0</v>
      </c>
      <c r="BE343" s="183">
        <f>IF(H343="MRSA Northeast",(AC343/$BE$1)*'1. UC Assumptions'!$M$44,0)</f>
        <v>0</v>
      </c>
      <c r="BF343" s="183">
        <f>IF(H343="MRSA West",(AC343/$BF$1)*'1. UC Assumptions'!$N$44,0)</f>
        <v>0</v>
      </c>
      <c r="BG343" s="183">
        <f>IF(H343="Nueces",(AC343/$BG$1)*'1. UC Assumptions'!$O$44,0)</f>
        <v>0</v>
      </c>
      <c r="BH343" s="183">
        <f>IF(H343="Tarrant",(AC343/$BH$1)*'1. UC Assumptions'!$P$44,0)</f>
        <v>0</v>
      </c>
      <c r="BI343" s="183">
        <f>IF(H343="Travis",(AC343/$BI$1)*'1. UC Assumptions'!$Q$44,0)</f>
        <v>0</v>
      </c>
      <c r="BJ343" s="183">
        <f t="shared" si="76"/>
        <v>0</v>
      </c>
      <c r="BK343" s="183">
        <f t="shared" si="77"/>
        <v>0</v>
      </c>
      <c r="BL343" s="183">
        <f t="shared" si="78"/>
        <v>6095544.6372906612</v>
      </c>
      <c r="BM343" s="184">
        <f t="shared" si="79"/>
        <v>2962747.6772906613</v>
      </c>
      <c r="BN343" s="184">
        <f>ROUNDDOWN(BM343*'1. UC Assumptions'!$C$23,2)</f>
        <v>977706.73</v>
      </c>
      <c r="BO343" s="184"/>
      <c r="BP343" s="185"/>
      <c r="BQ343" s="32"/>
      <c r="BR343" s="32"/>
    </row>
    <row r="344" spans="1:70">
      <c r="A344" s="177" t="s">
        <v>1809</v>
      </c>
      <c r="B344" s="177" t="s">
        <v>103</v>
      </c>
      <c r="C344" s="178" t="s">
        <v>103</v>
      </c>
      <c r="D344" s="179" t="s">
        <v>281</v>
      </c>
      <c r="E344" s="179"/>
      <c r="F344" s="177" t="s">
        <v>282</v>
      </c>
      <c r="G344" s="177" t="s">
        <v>1810</v>
      </c>
      <c r="H344" s="178" t="s">
        <v>15</v>
      </c>
      <c r="I344" s="178" t="s">
        <v>15</v>
      </c>
      <c r="J344" s="131">
        <f>IFERROR(INDEX(#REF!,(MATCH('Old Calc Tab'!C:C,#REF!,0))),0)</f>
        <v>0</v>
      </c>
      <c r="K344" s="131">
        <f>IFERROR(INDEX(#REF!,(MATCH('Old Calc Tab'!$C:$C,#REF!,0))),0)</f>
        <v>0</v>
      </c>
      <c r="L344" s="131"/>
      <c r="M344" s="131">
        <v>27099098</v>
      </c>
      <c r="N344" s="131">
        <f>IFERROR(INDEX(#REF!,(MATCH('Old Calc Tab'!$C:$C,#REF!,0))),0)</f>
        <v>0</v>
      </c>
      <c r="O344" s="131">
        <f t="shared" si="68"/>
        <v>0</v>
      </c>
      <c r="P344" s="131">
        <f t="shared" si="69"/>
        <v>27099098</v>
      </c>
      <c r="Q344" s="131"/>
      <c r="R344" s="131"/>
      <c r="S344" s="131"/>
      <c r="T344" s="131"/>
      <c r="U344" s="131"/>
      <c r="V344" s="131">
        <v>0</v>
      </c>
      <c r="W344" s="180">
        <v>0</v>
      </c>
      <c r="X344" s="180">
        <f t="shared" si="80"/>
        <v>27099098</v>
      </c>
      <c r="Y344" s="181">
        <f>IF(D344="Physician Group Practice",(X344/$AE$369)*'1. UC Assumptions'!$C$15,IF(OR(E344="Rural Hospital",E344="Hosp - State"),X344,(X344/$X$369)*'1. UC Assumptions'!$C$9))</f>
        <v>16309945.148419522</v>
      </c>
      <c r="Z344" s="181">
        <f t="shared" si="70"/>
        <v>0</v>
      </c>
      <c r="AA344" s="181">
        <f t="shared" si="71"/>
        <v>10789152.851580478</v>
      </c>
      <c r="AB344" s="182">
        <f t="shared" si="72"/>
        <v>5794.1111005835164</v>
      </c>
      <c r="AC344" s="181">
        <f t="shared" si="73"/>
        <v>10794946.962681063</v>
      </c>
      <c r="AD344" s="181">
        <f t="shared" si="74"/>
        <v>16315739.259520106</v>
      </c>
      <c r="AE344" s="131">
        <v>113164.54</v>
      </c>
      <c r="AF344" s="131">
        <f>AE344*'1. UC Assumptions'!$C$23</f>
        <v>37344.29819999999</v>
      </c>
      <c r="AG344" s="183">
        <f>IF((((X344-W344-AE344)*'1. UC Assumptions'!$C$23)+AF344)&gt;0,((X344-W344-AE344)*'1. UC Assumptions'!$C$23)+AF344,0)</f>
        <v>8942702.3399999999</v>
      </c>
      <c r="AH344" s="183"/>
      <c r="AI344" s="183">
        <f t="shared" si="75"/>
        <v>37344.29819999999</v>
      </c>
      <c r="AJ344" s="183">
        <f>IF(H344="Bexar",(AD344/$AJ$1)*'1. UC Assumptions'!$E$42,0)</f>
        <v>0</v>
      </c>
      <c r="AK344" s="183">
        <f>IF(H344="Dallas",(AD344/$AK$1)*'1. UC Assumptions'!$F$42,0)</f>
        <v>0</v>
      </c>
      <c r="AL344" s="183">
        <f>IF(H344="El Paso",(AD344/$AL$1)*'1. UC Assumptions'!$G$42,0)</f>
        <v>0</v>
      </c>
      <c r="AM344" s="183">
        <f>IF(H344="Harris",(AD344/$AM$1)*'1. UC Assumptions'!$H$42,0)</f>
        <v>0</v>
      </c>
      <c r="AN344" s="183">
        <f>IF(H344="Hidalgo",(AD344/$AN$1)*'1. UC Assumptions'!$I$42,0)</f>
        <v>0</v>
      </c>
      <c r="AO344" s="183">
        <f>IF(H344="Jefferson",(AD344/$AO$1)*'1. UC Assumptions'!$J$42,0)</f>
        <v>0</v>
      </c>
      <c r="AP344" s="183">
        <f>IF(H344="Lubbock",(AD344/$AP$1)*'1. UC Assumptions'!$K$42,0)</f>
        <v>0</v>
      </c>
      <c r="AQ344" s="183">
        <f>IF(H344="MRSA Central",(AD344/$AQ$1)*'1. UC Assumptions'!$L$42,0)</f>
        <v>0</v>
      </c>
      <c r="AR344" s="183">
        <f>IF(H344="MRSA Northeast",(AD344/$AR$1)*'1. UC Assumptions'!$M$42,0)</f>
        <v>0</v>
      </c>
      <c r="AS344" s="183">
        <f>IF(H344="MRSA West",(AD344/$AS$1)*'1. UC Assumptions'!$N$42,0)</f>
        <v>0</v>
      </c>
      <c r="AT344" s="183">
        <f>IF(H344="Nueces",(AD344/$AT$1)*'1. UC Assumptions'!$O$42,0)</f>
        <v>0</v>
      </c>
      <c r="AU344" s="183">
        <f>IF(H344="Tarrant",(AD344/$AU$1)*'1. UC Assumptions'!$P$42,0)</f>
        <v>0</v>
      </c>
      <c r="AV344" s="183">
        <f>IF(H344="Travis",(AD344/$AV$1)*'1. UC Assumptions'!$Q$42,0)</f>
        <v>0</v>
      </c>
      <c r="AW344" s="183">
        <f>IF(H344="Bexar",(AC344/$AW$1)*'1. UC Assumptions'!$E$44,0)</f>
        <v>0</v>
      </c>
      <c r="AX344" s="183">
        <f>IF(H344="Dallas",(AC344/$AX$1)*'1. UC Assumptions'!$F$44,0)</f>
        <v>0</v>
      </c>
      <c r="AY344" s="183">
        <f>IF(H344="El Paso",(AC344/$AY$1)*'1. UC Assumptions'!$G$44,0)</f>
        <v>0</v>
      </c>
      <c r="AZ344" s="183">
        <f>IF(H344="Harris",(AC344/$AZ$1)*'1. UC Assumptions'!$H$44,0)</f>
        <v>0</v>
      </c>
      <c r="BA344" s="183">
        <f>IF(H344="Hidalgo",(AC344/$BA$1)*'1. UC Assumptions'!$I$44,0)</f>
        <v>0</v>
      </c>
      <c r="BB344" s="183">
        <f>IF(H344="Jefferson",(AC344/$BB$1)*'1. UC Assumptions'!$J$44,0)</f>
        <v>0</v>
      </c>
      <c r="BC344" s="183">
        <f>IF(H344="Lubbock",(AC344/$BC$1)*'1. UC Assumptions'!$K$44,0)</f>
        <v>0</v>
      </c>
      <c r="BD344" s="183">
        <f>IF(H344="MRSA Central",(AC344/$BD$1)*'1. UC Assumptions'!$L$44,0)</f>
        <v>0</v>
      </c>
      <c r="BE344" s="183">
        <f>IF(H344="MRSA Northeast",(AC344/$BE$1)*'1. UC Assumptions'!$M$44,0)</f>
        <v>0</v>
      </c>
      <c r="BF344" s="183">
        <f>IF(H344="MRSA West",(AC344/$BF$1)*'1. UC Assumptions'!$N$44,0)</f>
        <v>0</v>
      </c>
      <c r="BG344" s="183">
        <f>IF(H344="Nueces",(AC344/$BG$1)*'1. UC Assumptions'!$O$44,0)</f>
        <v>0</v>
      </c>
      <c r="BH344" s="183">
        <f>IF(H344="Tarrant",(AC344/$BH$1)*'1. UC Assumptions'!$P$44,0)</f>
        <v>0</v>
      </c>
      <c r="BI344" s="183">
        <f>IF(H344="Travis",(AC344/$BI$1)*'1. UC Assumptions'!$Q$44,0)</f>
        <v>0</v>
      </c>
      <c r="BJ344" s="183">
        <f t="shared" si="76"/>
        <v>0</v>
      </c>
      <c r="BK344" s="183">
        <f t="shared" si="77"/>
        <v>0</v>
      </c>
      <c r="BL344" s="183">
        <f t="shared" si="78"/>
        <v>16315739.259520106</v>
      </c>
      <c r="BM344" s="184">
        <f t="shared" si="79"/>
        <v>16202574.719520107</v>
      </c>
      <c r="BN344" s="184">
        <f>ROUNDDOWN(BM344*'1. UC Assumptions'!$C$23,2)</f>
        <v>5346849.6500000004</v>
      </c>
      <c r="BO344" s="184"/>
      <c r="BP344" s="185"/>
      <c r="BQ344" s="32"/>
      <c r="BR344" s="32"/>
    </row>
    <row r="345" spans="1:70">
      <c r="A345" s="177" t="s">
        <v>1811</v>
      </c>
      <c r="B345" s="178" t="s">
        <v>345</v>
      </c>
      <c r="C345" s="178" t="s">
        <v>345</v>
      </c>
      <c r="D345" s="179" t="s">
        <v>214</v>
      </c>
      <c r="E345" s="179" t="s">
        <v>149</v>
      </c>
      <c r="F345" s="177"/>
      <c r="G345" s="177" t="s">
        <v>1812</v>
      </c>
      <c r="H345" s="178" t="s">
        <v>15</v>
      </c>
      <c r="I345" s="178" t="s">
        <v>347</v>
      </c>
      <c r="J345" s="131">
        <f>IFERROR(INDEX(#REF!,(MATCH('Old Calc Tab'!C:C,#REF!,0))),0)</f>
        <v>0</v>
      </c>
      <c r="K345" s="131">
        <f>IFERROR(INDEX(#REF!,(MATCH('Old Calc Tab'!$C:$C,#REF!,0))),0)</f>
        <v>0</v>
      </c>
      <c r="L345" s="131"/>
      <c r="M345" s="131">
        <v>1833134.25</v>
      </c>
      <c r="N345" s="131">
        <f>IFERROR(INDEX(#REF!,(MATCH('Old Calc Tab'!$C:$C,#REF!,0))),0)</f>
        <v>0</v>
      </c>
      <c r="O345" s="131">
        <f t="shared" si="68"/>
        <v>0</v>
      </c>
      <c r="P345" s="131">
        <f t="shared" si="69"/>
        <v>1833134.25</v>
      </c>
      <c r="Q345" s="131"/>
      <c r="R345" s="131"/>
      <c r="S345" s="131"/>
      <c r="T345" s="131"/>
      <c r="U345" s="131"/>
      <c r="V345" s="131">
        <v>129506</v>
      </c>
      <c r="W345" s="180">
        <v>0</v>
      </c>
      <c r="X345" s="180">
        <f t="shared" si="80"/>
        <v>1962640.25</v>
      </c>
      <c r="Y345" s="181">
        <f>IF(D345="Physician Group Practice",(X345/$AE$369)*'1. UC Assumptions'!$C$15,IF(OR(E345="Rural Hospital",E345="Hosp - State"),X345,(X345/$X$369)*'1. UC Assumptions'!$C$9))</f>
        <v>1962640.25</v>
      </c>
      <c r="Z345" s="181">
        <f t="shared" si="70"/>
        <v>0</v>
      </c>
      <c r="AA345" s="181">
        <f t="shared" si="71"/>
        <v>0</v>
      </c>
      <c r="AB345" s="182">
        <f t="shared" si="72"/>
        <v>0</v>
      </c>
      <c r="AC345" s="181">
        <f t="shared" si="73"/>
        <v>0</v>
      </c>
      <c r="AD345" s="181">
        <f t="shared" si="74"/>
        <v>1962640.25</v>
      </c>
      <c r="AE345" s="131">
        <v>1092287.8799999999</v>
      </c>
      <c r="AF345" s="131">
        <f>AE345*'1. UC Assumptions'!$C$23</f>
        <v>360455.0003999999</v>
      </c>
      <c r="AG345" s="183">
        <f>IF((((X345-W345-AE345)*'1. UC Assumptions'!$C$23)+AF345)&gt;0,((X345-W345-AE345)*'1. UC Assumptions'!$C$23)+AF345,0)</f>
        <v>647671.28249999997</v>
      </c>
      <c r="AH345" s="183"/>
      <c r="AI345" s="183">
        <f t="shared" si="75"/>
        <v>360455.0003999999</v>
      </c>
      <c r="AJ345" s="183">
        <f>IF(H345="Bexar",(AD345/$AJ$1)*'1. UC Assumptions'!$E$42,0)</f>
        <v>0</v>
      </c>
      <c r="AK345" s="183">
        <f>IF(H345="Dallas",(AD345/$AK$1)*'1. UC Assumptions'!$F$42,0)</f>
        <v>0</v>
      </c>
      <c r="AL345" s="183">
        <f>IF(H345="El Paso",(AD345/$AL$1)*'1. UC Assumptions'!$G$42,0)</f>
        <v>0</v>
      </c>
      <c r="AM345" s="183">
        <f>IF(H345="Harris",(AD345/$AM$1)*'1. UC Assumptions'!$H$42,0)</f>
        <v>0</v>
      </c>
      <c r="AN345" s="183">
        <f>IF(H345="Hidalgo",(AD345/$AN$1)*'1. UC Assumptions'!$I$42,0)</f>
        <v>0</v>
      </c>
      <c r="AO345" s="183">
        <f>IF(H345="Jefferson",(AD345/$AO$1)*'1. UC Assumptions'!$J$42,0)</f>
        <v>0</v>
      </c>
      <c r="AP345" s="183">
        <f>IF(H345="Lubbock",(AD345/$AP$1)*'1. UC Assumptions'!$K$42,0)</f>
        <v>0</v>
      </c>
      <c r="AQ345" s="183">
        <f>IF(H345="MRSA Central",(AD345/$AQ$1)*'1. UC Assumptions'!$L$42,0)</f>
        <v>0</v>
      </c>
      <c r="AR345" s="183">
        <f>IF(H345="MRSA Northeast",(AD345/$AR$1)*'1. UC Assumptions'!$M$42,0)</f>
        <v>0</v>
      </c>
      <c r="AS345" s="183">
        <f>IF(H345="MRSA West",(AD345/$AS$1)*'1. UC Assumptions'!$N$42,0)</f>
        <v>0</v>
      </c>
      <c r="AT345" s="183">
        <f>IF(H345="Nueces",(AD345/$AT$1)*'1. UC Assumptions'!$O$42,0)</f>
        <v>0</v>
      </c>
      <c r="AU345" s="183">
        <f>IF(H345="Tarrant",(AD345/$AU$1)*'1. UC Assumptions'!$P$42,0)</f>
        <v>0</v>
      </c>
      <c r="AV345" s="183">
        <f>IF(H345="Travis",(AD345/$AV$1)*'1. UC Assumptions'!$Q$42,0)</f>
        <v>0</v>
      </c>
      <c r="AW345" s="183">
        <f>IF(H345="Bexar",(AC345/$AW$1)*'1. UC Assumptions'!$E$44,0)</f>
        <v>0</v>
      </c>
      <c r="AX345" s="183">
        <f>IF(H345="Dallas",(AC345/$AX$1)*'1. UC Assumptions'!$F$44,0)</f>
        <v>0</v>
      </c>
      <c r="AY345" s="183">
        <f>IF(H345="El Paso",(AC345/$AY$1)*'1. UC Assumptions'!$G$44,0)</f>
        <v>0</v>
      </c>
      <c r="AZ345" s="183">
        <f>IF(H345="Harris",(AC345/$AZ$1)*'1. UC Assumptions'!$H$44,0)</f>
        <v>0</v>
      </c>
      <c r="BA345" s="183">
        <f>IF(H345="Hidalgo",(AC345/$BA$1)*'1. UC Assumptions'!$I$44,0)</f>
        <v>0</v>
      </c>
      <c r="BB345" s="183">
        <f>IF(H345="Jefferson",(AC345/$BB$1)*'1. UC Assumptions'!$J$44,0)</f>
        <v>0</v>
      </c>
      <c r="BC345" s="183">
        <f>IF(H345="Lubbock",(AC345/$BC$1)*'1. UC Assumptions'!$K$44,0)</f>
        <v>0</v>
      </c>
      <c r="BD345" s="183">
        <f>IF(H345="MRSA Central",(AC345/$BD$1)*'1. UC Assumptions'!$L$44,0)</f>
        <v>0</v>
      </c>
      <c r="BE345" s="183">
        <f>IF(H345="MRSA Northeast",(AC345/$BE$1)*'1. UC Assumptions'!$M$44,0)</f>
        <v>0</v>
      </c>
      <c r="BF345" s="183">
        <f>IF(H345="MRSA West",(AC345/$BF$1)*'1. UC Assumptions'!$N$44,0)</f>
        <v>0</v>
      </c>
      <c r="BG345" s="183">
        <f>IF(H345="Nueces",(AC345/$BG$1)*'1. UC Assumptions'!$O$44,0)</f>
        <v>0</v>
      </c>
      <c r="BH345" s="183">
        <f>IF(H345="Tarrant",(AC345/$BH$1)*'1. UC Assumptions'!$P$44,0)</f>
        <v>0</v>
      </c>
      <c r="BI345" s="183">
        <f>IF(H345="Travis",(AC345/$BI$1)*'1. UC Assumptions'!$Q$44,0)</f>
        <v>0</v>
      </c>
      <c r="BJ345" s="183">
        <f t="shared" si="76"/>
        <v>0</v>
      </c>
      <c r="BK345" s="183">
        <f t="shared" si="77"/>
        <v>0</v>
      </c>
      <c r="BL345" s="183">
        <f t="shared" si="78"/>
        <v>1962640.25</v>
      </c>
      <c r="BM345" s="184">
        <f t="shared" si="79"/>
        <v>870352.37000000011</v>
      </c>
      <c r="BN345" s="184">
        <f>ROUNDDOWN(BM345*'1. UC Assumptions'!$C$23,2)</f>
        <v>287216.28000000003</v>
      </c>
      <c r="BO345" s="184"/>
      <c r="BP345" s="185"/>
      <c r="BQ345" s="32"/>
      <c r="BR345" s="32"/>
    </row>
    <row r="346" spans="1:70">
      <c r="A346" s="177" t="s">
        <v>1813</v>
      </c>
      <c r="B346" s="178" t="s">
        <v>351</v>
      </c>
      <c r="C346" s="178" t="s">
        <v>351</v>
      </c>
      <c r="D346" s="179" t="s">
        <v>214</v>
      </c>
      <c r="E346" s="179" t="s">
        <v>149</v>
      </c>
      <c r="F346" s="177"/>
      <c r="G346" s="177" t="s">
        <v>1814</v>
      </c>
      <c r="H346" s="178" t="s">
        <v>15</v>
      </c>
      <c r="I346" s="178" t="s">
        <v>352</v>
      </c>
      <c r="J346" s="131">
        <f>IFERROR(INDEX(#REF!,(MATCH('Old Calc Tab'!C:C,#REF!,0))),0)</f>
        <v>0</v>
      </c>
      <c r="K346" s="131">
        <f>IFERROR(INDEX(#REF!,(MATCH('Old Calc Tab'!$C:$C,#REF!,0))),0)</f>
        <v>0</v>
      </c>
      <c r="L346" s="131"/>
      <c r="M346" s="131">
        <v>2294255.75</v>
      </c>
      <c r="N346" s="131">
        <f>IFERROR(INDEX(#REF!,(MATCH('Old Calc Tab'!$C:$C,#REF!,0))),0)</f>
        <v>0</v>
      </c>
      <c r="O346" s="131">
        <f t="shared" si="68"/>
        <v>0</v>
      </c>
      <c r="P346" s="131">
        <f t="shared" si="69"/>
        <v>2294255.75</v>
      </c>
      <c r="Q346" s="131"/>
      <c r="R346" s="131"/>
      <c r="S346" s="131"/>
      <c r="T346" s="131"/>
      <c r="U346" s="131"/>
      <c r="V346" s="131">
        <v>0</v>
      </c>
      <c r="W346" s="180">
        <v>0</v>
      </c>
      <c r="X346" s="180">
        <f t="shared" si="80"/>
        <v>2294255.75</v>
      </c>
      <c r="Y346" s="181">
        <f>IF(D346="Physician Group Practice",(X346/$AE$369)*'1. UC Assumptions'!$C$15,IF(OR(E346="Rural Hospital",E346="Hosp - State"),X346,(X346/$X$369)*'1. UC Assumptions'!$C$9))</f>
        <v>2294255.75</v>
      </c>
      <c r="Z346" s="181">
        <f t="shared" si="70"/>
        <v>0</v>
      </c>
      <c r="AA346" s="181">
        <f t="shared" si="71"/>
        <v>0</v>
      </c>
      <c r="AB346" s="182">
        <f t="shared" si="72"/>
        <v>0</v>
      </c>
      <c r="AC346" s="181">
        <f t="shared" si="73"/>
        <v>0</v>
      </c>
      <c r="AD346" s="181">
        <f t="shared" si="74"/>
        <v>2294255.75</v>
      </c>
      <c r="AE346" s="131">
        <v>1144541.24</v>
      </c>
      <c r="AF346" s="131">
        <f>AE346*'1. UC Assumptions'!$C$23</f>
        <v>377698.60919999995</v>
      </c>
      <c r="AG346" s="183">
        <f>IF((((X346-W346-AE346)*'1. UC Assumptions'!$C$23)+AF346)&gt;0,((X346-W346-AE346)*'1. UC Assumptions'!$C$23)+AF346,0)</f>
        <v>757104.39749999996</v>
      </c>
      <c r="AH346" s="183"/>
      <c r="AI346" s="183">
        <f t="shared" si="75"/>
        <v>377698.60919999995</v>
      </c>
      <c r="AJ346" s="183">
        <f>IF(H346="Bexar",(AD346/$AJ$1)*'1. UC Assumptions'!$E$42,0)</f>
        <v>0</v>
      </c>
      <c r="AK346" s="183">
        <f>IF(H346="Dallas",(AD346/$AK$1)*'1. UC Assumptions'!$F$42,0)</f>
        <v>0</v>
      </c>
      <c r="AL346" s="183">
        <f>IF(H346="El Paso",(AD346/$AL$1)*'1. UC Assumptions'!$G$42,0)</f>
        <v>0</v>
      </c>
      <c r="AM346" s="183">
        <f>IF(H346="Harris",(AD346/$AM$1)*'1. UC Assumptions'!$H$42,0)</f>
        <v>0</v>
      </c>
      <c r="AN346" s="183">
        <f>IF(H346="Hidalgo",(AD346/$AN$1)*'1. UC Assumptions'!$I$42,0)</f>
        <v>0</v>
      </c>
      <c r="AO346" s="183">
        <f>IF(H346="Jefferson",(AD346/$AO$1)*'1. UC Assumptions'!$J$42,0)</f>
        <v>0</v>
      </c>
      <c r="AP346" s="183">
        <f>IF(H346="Lubbock",(AD346/$AP$1)*'1. UC Assumptions'!$K$42,0)</f>
        <v>0</v>
      </c>
      <c r="AQ346" s="183">
        <f>IF(H346="MRSA Central",(AD346/$AQ$1)*'1. UC Assumptions'!$L$42,0)</f>
        <v>0</v>
      </c>
      <c r="AR346" s="183">
        <f>IF(H346="MRSA Northeast",(AD346/$AR$1)*'1. UC Assumptions'!$M$42,0)</f>
        <v>0</v>
      </c>
      <c r="AS346" s="183">
        <f>IF(H346="MRSA West",(AD346/$AS$1)*'1. UC Assumptions'!$N$42,0)</f>
        <v>0</v>
      </c>
      <c r="AT346" s="183">
        <f>IF(H346="Nueces",(AD346/$AT$1)*'1. UC Assumptions'!$O$42,0)</f>
        <v>0</v>
      </c>
      <c r="AU346" s="183">
        <f>IF(H346="Tarrant",(AD346/$AU$1)*'1. UC Assumptions'!$P$42,0)</f>
        <v>0</v>
      </c>
      <c r="AV346" s="183">
        <f>IF(H346="Travis",(AD346/$AV$1)*'1. UC Assumptions'!$Q$42,0)</f>
        <v>0</v>
      </c>
      <c r="AW346" s="183">
        <f>IF(H346="Bexar",(AC346/$AW$1)*'1. UC Assumptions'!$E$44,0)</f>
        <v>0</v>
      </c>
      <c r="AX346" s="183">
        <f>IF(H346="Dallas",(AC346/$AX$1)*'1. UC Assumptions'!$F$44,0)</f>
        <v>0</v>
      </c>
      <c r="AY346" s="183">
        <f>IF(H346="El Paso",(AC346/$AY$1)*'1. UC Assumptions'!$G$44,0)</f>
        <v>0</v>
      </c>
      <c r="AZ346" s="183">
        <f>IF(H346="Harris",(AC346/$AZ$1)*'1. UC Assumptions'!$H$44,0)</f>
        <v>0</v>
      </c>
      <c r="BA346" s="183">
        <f>IF(H346="Hidalgo",(AC346/$BA$1)*'1. UC Assumptions'!$I$44,0)</f>
        <v>0</v>
      </c>
      <c r="BB346" s="183">
        <f>IF(H346="Jefferson",(AC346/$BB$1)*'1. UC Assumptions'!$J$44,0)</f>
        <v>0</v>
      </c>
      <c r="BC346" s="183">
        <f>IF(H346="Lubbock",(AC346/$BC$1)*'1. UC Assumptions'!$K$44,0)</f>
        <v>0</v>
      </c>
      <c r="BD346" s="183">
        <f>IF(H346="MRSA Central",(AC346/$BD$1)*'1. UC Assumptions'!$L$44,0)</f>
        <v>0</v>
      </c>
      <c r="BE346" s="183">
        <f>IF(H346="MRSA Northeast",(AC346/$BE$1)*'1. UC Assumptions'!$M$44,0)</f>
        <v>0</v>
      </c>
      <c r="BF346" s="183">
        <f>IF(H346="MRSA West",(AC346/$BF$1)*'1. UC Assumptions'!$N$44,0)</f>
        <v>0</v>
      </c>
      <c r="BG346" s="183">
        <f>IF(H346="Nueces",(AC346/$BG$1)*'1. UC Assumptions'!$O$44,0)</f>
        <v>0</v>
      </c>
      <c r="BH346" s="183">
        <f>IF(H346="Tarrant",(AC346/$BH$1)*'1. UC Assumptions'!$P$44,0)</f>
        <v>0</v>
      </c>
      <c r="BI346" s="183">
        <f>IF(H346="Travis",(AC346/$BI$1)*'1. UC Assumptions'!$Q$44,0)</f>
        <v>0</v>
      </c>
      <c r="BJ346" s="183">
        <f t="shared" si="76"/>
        <v>0</v>
      </c>
      <c r="BK346" s="183">
        <f t="shared" si="77"/>
        <v>0</v>
      </c>
      <c r="BL346" s="183">
        <f t="shared" si="78"/>
        <v>2294255.75</v>
      </c>
      <c r="BM346" s="184">
        <f t="shared" si="79"/>
        <v>1149714.51</v>
      </c>
      <c r="BN346" s="184">
        <f>ROUNDDOWN(BM346*'1. UC Assumptions'!$C$23,2)</f>
        <v>379405.78</v>
      </c>
      <c r="BO346" s="184"/>
      <c r="BP346" s="185"/>
      <c r="BQ346" s="32"/>
      <c r="BR346" s="32"/>
    </row>
    <row r="347" spans="1:70">
      <c r="A347" s="177" t="s">
        <v>1815</v>
      </c>
      <c r="B347" s="178" t="s">
        <v>355</v>
      </c>
      <c r="C347" s="178" t="s">
        <v>355</v>
      </c>
      <c r="D347" s="179" t="s">
        <v>214</v>
      </c>
      <c r="E347" s="179"/>
      <c r="F347" s="177"/>
      <c r="G347" s="177" t="s">
        <v>1816</v>
      </c>
      <c r="H347" s="178" t="s">
        <v>15</v>
      </c>
      <c r="I347" s="178" t="s">
        <v>15</v>
      </c>
      <c r="J347" s="131">
        <f>IFERROR(INDEX(#REF!,(MATCH('Old Calc Tab'!C:C,#REF!,0))),0)</f>
        <v>0</v>
      </c>
      <c r="K347" s="131">
        <f>IFERROR(INDEX(#REF!,(MATCH('Old Calc Tab'!$C:$C,#REF!,0))),0)</f>
        <v>0</v>
      </c>
      <c r="L347" s="131"/>
      <c r="M347" s="131">
        <v>21922310.973579179</v>
      </c>
      <c r="N347" s="131">
        <f>IFERROR(INDEX(#REF!,(MATCH('Old Calc Tab'!$C:$C,#REF!,0))),0)</f>
        <v>0</v>
      </c>
      <c r="O347" s="131">
        <f t="shared" si="68"/>
        <v>0</v>
      </c>
      <c r="P347" s="131">
        <f t="shared" si="69"/>
        <v>21922310.973579179</v>
      </c>
      <c r="Q347" s="131"/>
      <c r="R347" s="131"/>
      <c r="S347" s="131"/>
      <c r="T347" s="131"/>
      <c r="U347" s="131"/>
      <c r="V347" s="131">
        <v>0</v>
      </c>
      <c r="W347" s="180">
        <v>0</v>
      </c>
      <c r="X347" s="180">
        <f t="shared" si="80"/>
        <v>21922310.973579179</v>
      </c>
      <c r="Y347" s="181">
        <f>IF(D347="Physician Group Practice",(X347/$AE$369)*'1. UC Assumptions'!$C$15,IF(OR(E347="Rural Hospital",E347="Hosp - State"),X347,(X347/$X$369)*'1. UC Assumptions'!$C$9))</f>
        <v>13194228.439104201</v>
      </c>
      <c r="Z347" s="181">
        <f t="shared" si="70"/>
        <v>0</v>
      </c>
      <c r="AA347" s="181">
        <f t="shared" si="71"/>
        <v>8728082.5344749782</v>
      </c>
      <c r="AB347" s="182">
        <f t="shared" si="72"/>
        <v>4687.252149959344</v>
      </c>
      <c r="AC347" s="181">
        <f t="shared" si="73"/>
        <v>8732769.7866249382</v>
      </c>
      <c r="AD347" s="181">
        <f t="shared" si="74"/>
        <v>13198915.691254161</v>
      </c>
      <c r="AE347" s="131">
        <v>6650499.2699999996</v>
      </c>
      <c r="AF347" s="131">
        <f>AE347*'1. UC Assumptions'!$C$23</f>
        <v>2194664.7590999994</v>
      </c>
      <c r="AG347" s="183">
        <f>IF((((X347-W347-AE347)*'1. UC Assumptions'!$C$23)+AF347)&gt;0,((X347-W347-AE347)*'1. UC Assumptions'!$C$23)+AF347,0)</f>
        <v>7234362.6212811284</v>
      </c>
      <c r="AH347" s="183"/>
      <c r="AI347" s="183">
        <f t="shared" si="75"/>
        <v>2194664.7590999994</v>
      </c>
      <c r="AJ347" s="183">
        <f>IF(H347="Bexar",(AD347/$AJ$1)*'1. UC Assumptions'!$E$42,0)</f>
        <v>0</v>
      </c>
      <c r="AK347" s="183">
        <f>IF(H347="Dallas",(AD347/$AK$1)*'1. UC Assumptions'!$F$42,0)</f>
        <v>0</v>
      </c>
      <c r="AL347" s="183">
        <f>IF(H347="El Paso",(AD347/$AL$1)*'1. UC Assumptions'!$G$42,0)</f>
        <v>0</v>
      </c>
      <c r="AM347" s="183">
        <f>IF(H347="Harris",(AD347/$AM$1)*'1. UC Assumptions'!$H$42,0)</f>
        <v>0</v>
      </c>
      <c r="AN347" s="183">
        <f>IF(H347="Hidalgo",(AD347/$AN$1)*'1. UC Assumptions'!$I$42,0)</f>
        <v>0</v>
      </c>
      <c r="AO347" s="183">
        <f>IF(H347="Jefferson",(AD347/$AO$1)*'1. UC Assumptions'!$J$42,0)</f>
        <v>0</v>
      </c>
      <c r="AP347" s="183">
        <f>IF(H347="Lubbock",(AD347/$AP$1)*'1. UC Assumptions'!$K$42,0)</f>
        <v>0</v>
      </c>
      <c r="AQ347" s="183">
        <f>IF(H347="MRSA Central",(AD347/$AQ$1)*'1. UC Assumptions'!$L$42,0)</f>
        <v>0</v>
      </c>
      <c r="AR347" s="183">
        <f>IF(H347="MRSA Northeast",(AD347/$AR$1)*'1. UC Assumptions'!$M$42,0)</f>
        <v>0</v>
      </c>
      <c r="AS347" s="183">
        <f>IF(H347="MRSA West",(AD347/$AS$1)*'1. UC Assumptions'!$N$42,0)</f>
        <v>0</v>
      </c>
      <c r="AT347" s="183">
        <f>IF(H347="Nueces",(AD347/$AT$1)*'1. UC Assumptions'!$O$42,0)</f>
        <v>0</v>
      </c>
      <c r="AU347" s="183">
        <f>IF(H347="Tarrant",(AD347/$AU$1)*'1. UC Assumptions'!$P$42,0)</f>
        <v>0</v>
      </c>
      <c r="AV347" s="183">
        <f>IF(H347="Travis",(AD347/$AV$1)*'1. UC Assumptions'!$Q$42,0)</f>
        <v>0</v>
      </c>
      <c r="AW347" s="183">
        <f>IF(H347="Bexar",(AC347/$AW$1)*'1. UC Assumptions'!$E$44,0)</f>
        <v>0</v>
      </c>
      <c r="AX347" s="183">
        <f>IF(H347="Dallas",(AC347/$AX$1)*'1. UC Assumptions'!$F$44,0)</f>
        <v>0</v>
      </c>
      <c r="AY347" s="183">
        <f>IF(H347="El Paso",(AC347/$AY$1)*'1. UC Assumptions'!$G$44,0)</f>
        <v>0</v>
      </c>
      <c r="AZ347" s="183">
        <f>IF(H347="Harris",(AC347/$AZ$1)*'1. UC Assumptions'!$H$44,0)</f>
        <v>0</v>
      </c>
      <c r="BA347" s="183">
        <f>IF(H347="Hidalgo",(AC347/$BA$1)*'1. UC Assumptions'!$I$44,0)</f>
        <v>0</v>
      </c>
      <c r="BB347" s="183">
        <f>IF(H347="Jefferson",(AC347/$BB$1)*'1. UC Assumptions'!$J$44,0)</f>
        <v>0</v>
      </c>
      <c r="BC347" s="183">
        <f>IF(H347="Lubbock",(AC347/$BC$1)*'1. UC Assumptions'!$K$44,0)</f>
        <v>0</v>
      </c>
      <c r="BD347" s="183">
        <f>IF(H347="MRSA Central",(AC347/$BD$1)*'1. UC Assumptions'!$L$44,0)</f>
        <v>0</v>
      </c>
      <c r="BE347" s="183">
        <f>IF(H347="MRSA Northeast",(AC347/$BE$1)*'1. UC Assumptions'!$M$44,0)</f>
        <v>0</v>
      </c>
      <c r="BF347" s="183">
        <f>IF(H347="MRSA West",(AC347/$BF$1)*'1. UC Assumptions'!$N$44,0)</f>
        <v>0</v>
      </c>
      <c r="BG347" s="183">
        <f>IF(H347="Nueces",(AC347/$BG$1)*'1. UC Assumptions'!$O$44,0)</f>
        <v>0</v>
      </c>
      <c r="BH347" s="183">
        <f>IF(H347="Tarrant",(AC347/$BH$1)*'1. UC Assumptions'!$P$44,0)</f>
        <v>0</v>
      </c>
      <c r="BI347" s="183">
        <f>IF(H347="Travis",(AC347/$BI$1)*'1. UC Assumptions'!$Q$44,0)</f>
        <v>0</v>
      </c>
      <c r="BJ347" s="183">
        <f t="shared" si="76"/>
        <v>0</v>
      </c>
      <c r="BK347" s="183">
        <f t="shared" si="77"/>
        <v>0</v>
      </c>
      <c r="BL347" s="183">
        <f t="shared" si="78"/>
        <v>13198915.691254161</v>
      </c>
      <c r="BM347" s="184">
        <f t="shared" si="79"/>
        <v>6548416.4212541617</v>
      </c>
      <c r="BN347" s="184">
        <f>ROUNDDOWN(BM347*'1. UC Assumptions'!$C$23,2)</f>
        <v>2160977.41</v>
      </c>
      <c r="BO347" s="184"/>
      <c r="BP347" s="185"/>
      <c r="BQ347" s="32"/>
      <c r="BR347" s="32"/>
    </row>
    <row r="348" spans="1:70">
      <c r="A348" s="177" t="s">
        <v>1817</v>
      </c>
      <c r="B348" s="177" t="s">
        <v>380</v>
      </c>
      <c r="C348" s="178" t="s">
        <v>380</v>
      </c>
      <c r="D348" s="179" t="s">
        <v>214</v>
      </c>
      <c r="E348" s="179"/>
      <c r="F348" s="177"/>
      <c r="G348" s="177" t="s">
        <v>1818</v>
      </c>
      <c r="H348" s="178" t="s">
        <v>15</v>
      </c>
      <c r="I348" s="178" t="s">
        <v>15</v>
      </c>
      <c r="J348" s="131">
        <f>IFERROR(INDEX(#REF!,(MATCH('Old Calc Tab'!C:C,#REF!,0))),0)</f>
        <v>0</v>
      </c>
      <c r="K348" s="131">
        <f>IFERROR(INDEX(#REF!,(MATCH('Old Calc Tab'!$C:$C,#REF!,0))),0)</f>
        <v>0</v>
      </c>
      <c r="L348" s="131"/>
      <c r="M348" s="131">
        <v>16396373.765429476</v>
      </c>
      <c r="N348" s="131">
        <f>IFERROR(INDEX(#REF!,(MATCH('Old Calc Tab'!$C:$C,#REF!,0))),0)</f>
        <v>0</v>
      </c>
      <c r="O348" s="131">
        <f t="shared" si="68"/>
        <v>0</v>
      </c>
      <c r="P348" s="131">
        <f t="shared" si="69"/>
        <v>16396373.765429476</v>
      </c>
      <c r="Q348" s="131"/>
      <c r="R348" s="131"/>
      <c r="S348" s="131"/>
      <c r="T348" s="131"/>
      <c r="U348" s="131"/>
      <c r="V348" s="131">
        <v>0</v>
      </c>
      <c r="W348" s="180">
        <v>0</v>
      </c>
      <c r="X348" s="180">
        <f t="shared" si="80"/>
        <v>16396373.765429476</v>
      </c>
      <c r="Y348" s="181">
        <f>IF(D348="Physician Group Practice",(X348/$AE$369)*'1. UC Assumptions'!$C$15,IF(OR(E348="Rural Hospital",E348="Hosp - State"),X348,(X348/$X$369)*'1. UC Assumptions'!$C$9))</f>
        <v>9868371.1445723996</v>
      </c>
      <c r="Z348" s="181">
        <f t="shared" si="70"/>
        <v>0</v>
      </c>
      <c r="AA348" s="181">
        <f t="shared" si="71"/>
        <v>6528002.6208570767</v>
      </c>
      <c r="AB348" s="182">
        <f t="shared" si="72"/>
        <v>3505.7407166685502</v>
      </c>
      <c r="AC348" s="181">
        <f t="shared" si="73"/>
        <v>6531508.3615737455</v>
      </c>
      <c r="AD348" s="181">
        <f t="shared" si="74"/>
        <v>9871876.8852890674</v>
      </c>
      <c r="AE348" s="131">
        <v>2475323.0499999998</v>
      </c>
      <c r="AF348" s="131">
        <f>AE348*'1. UC Assumptions'!$C$23</f>
        <v>816856.60649999988</v>
      </c>
      <c r="AG348" s="183">
        <f>IF((((X348-W348-AE348)*'1. UC Assumptions'!$C$23)+AF348)&gt;0,((X348-W348-AE348)*'1. UC Assumptions'!$C$23)+AF348,0)</f>
        <v>5410803.3425917272</v>
      </c>
      <c r="AH348" s="183"/>
      <c r="AI348" s="183">
        <f t="shared" si="75"/>
        <v>816856.60649999988</v>
      </c>
      <c r="AJ348" s="183">
        <f>IF(H348="Bexar",(AD348/$AJ$1)*'1. UC Assumptions'!$E$42,0)</f>
        <v>0</v>
      </c>
      <c r="AK348" s="183">
        <f>IF(H348="Dallas",(AD348/$AK$1)*'1. UC Assumptions'!$F$42,0)</f>
        <v>0</v>
      </c>
      <c r="AL348" s="183">
        <f>IF(H348="El Paso",(AD348/$AL$1)*'1. UC Assumptions'!$G$42,0)</f>
        <v>0</v>
      </c>
      <c r="AM348" s="183">
        <f>IF(H348="Harris",(AD348/$AM$1)*'1. UC Assumptions'!$H$42,0)</f>
        <v>0</v>
      </c>
      <c r="AN348" s="183">
        <f>IF(H348="Hidalgo",(AD348/$AN$1)*'1. UC Assumptions'!$I$42,0)</f>
        <v>0</v>
      </c>
      <c r="AO348" s="183">
        <f>IF(H348="Jefferson",(AD348/$AO$1)*'1. UC Assumptions'!$J$42,0)</f>
        <v>0</v>
      </c>
      <c r="AP348" s="183">
        <f>IF(H348="Lubbock",(AD348/$AP$1)*'1. UC Assumptions'!$K$42,0)</f>
        <v>0</v>
      </c>
      <c r="AQ348" s="183">
        <f>IF(H348="MRSA Central",(AD348/$AQ$1)*'1. UC Assumptions'!$L$42,0)</f>
        <v>0</v>
      </c>
      <c r="AR348" s="183">
        <f>IF(H348="MRSA Northeast",(AD348/$AR$1)*'1. UC Assumptions'!$M$42,0)</f>
        <v>0</v>
      </c>
      <c r="AS348" s="183">
        <f>IF(H348="MRSA West",(AD348/$AS$1)*'1. UC Assumptions'!$N$42,0)</f>
        <v>0</v>
      </c>
      <c r="AT348" s="183">
        <f>IF(H348="Nueces",(AD348/$AT$1)*'1. UC Assumptions'!$O$42,0)</f>
        <v>0</v>
      </c>
      <c r="AU348" s="183">
        <f>IF(H348="Tarrant",(AD348/$AU$1)*'1. UC Assumptions'!$P$42,0)</f>
        <v>0</v>
      </c>
      <c r="AV348" s="183">
        <f>IF(H348="Travis",(AD348/$AV$1)*'1. UC Assumptions'!$Q$42,0)</f>
        <v>0</v>
      </c>
      <c r="AW348" s="183">
        <f>IF(H348="Bexar",(AC348/$AW$1)*'1. UC Assumptions'!$E$44,0)</f>
        <v>0</v>
      </c>
      <c r="AX348" s="183">
        <f>IF(H348="Dallas",(AC348/$AX$1)*'1. UC Assumptions'!$F$44,0)</f>
        <v>0</v>
      </c>
      <c r="AY348" s="183">
        <f>IF(H348="El Paso",(AC348/$AY$1)*'1. UC Assumptions'!$G$44,0)</f>
        <v>0</v>
      </c>
      <c r="AZ348" s="183">
        <f>IF(H348="Harris",(AC348/$AZ$1)*'1. UC Assumptions'!$H$44,0)</f>
        <v>0</v>
      </c>
      <c r="BA348" s="183">
        <f>IF(H348="Hidalgo",(AC348/$BA$1)*'1. UC Assumptions'!$I$44,0)</f>
        <v>0</v>
      </c>
      <c r="BB348" s="183">
        <f>IF(H348="Jefferson",(AC348/$BB$1)*'1. UC Assumptions'!$J$44,0)</f>
        <v>0</v>
      </c>
      <c r="BC348" s="183">
        <f>IF(H348="Lubbock",(AC348/$BC$1)*'1. UC Assumptions'!$K$44,0)</f>
        <v>0</v>
      </c>
      <c r="BD348" s="183">
        <f>IF(H348="MRSA Central",(AC348/$BD$1)*'1. UC Assumptions'!$L$44,0)</f>
        <v>0</v>
      </c>
      <c r="BE348" s="183">
        <f>IF(H348="MRSA Northeast",(AC348/$BE$1)*'1. UC Assumptions'!$M$44,0)</f>
        <v>0</v>
      </c>
      <c r="BF348" s="183">
        <f>IF(H348="MRSA West",(AC348/$BF$1)*'1. UC Assumptions'!$N$44,0)</f>
        <v>0</v>
      </c>
      <c r="BG348" s="183">
        <f>IF(H348="Nueces",(AC348/$BG$1)*'1. UC Assumptions'!$O$44,0)</f>
        <v>0</v>
      </c>
      <c r="BH348" s="183">
        <f>IF(H348="Tarrant",(AC348/$BH$1)*'1. UC Assumptions'!$P$44,0)</f>
        <v>0</v>
      </c>
      <c r="BI348" s="183">
        <f>IF(H348="Travis",(AC348/$BI$1)*'1. UC Assumptions'!$Q$44,0)</f>
        <v>0</v>
      </c>
      <c r="BJ348" s="183">
        <f t="shared" si="76"/>
        <v>0</v>
      </c>
      <c r="BK348" s="183">
        <f t="shared" si="77"/>
        <v>0</v>
      </c>
      <c r="BL348" s="183">
        <f t="shared" si="78"/>
        <v>9871876.8852890674</v>
      </c>
      <c r="BM348" s="184">
        <f t="shared" si="79"/>
        <v>7396553.8352890676</v>
      </c>
      <c r="BN348" s="184">
        <f>ROUNDDOWN(BM348*'1. UC Assumptions'!$C$23,2)</f>
        <v>2440862.7599999998</v>
      </c>
      <c r="BO348" s="184"/>
      <c r="BP348" s="185"/>
      <c r="BQ348" s="32"/>
      <c r="BR348" s="32"/>
    </row>
    <row r="349" spans="1:70">
      <c r="A349" s="177" t="s">
        <v>1819</v>
      </c>
      <c r="B349" s="178" t="s">
        <v>393</v>
      </c>
      <c r="C349" s="178" t="s">
        <v>393</v>
      </c>
      <c r="D349" s="179" t="s">
        <v>214</v>
      </c>
      <c r="E349" s="179"/>
      <c r="F349" s="177" t="s">
        <v>287</v>
      </c>
      <c r="G349" s="177" t="s">
        <v>1820</v>
      </c>
      <c r="H349" s="178" t="s">
        <v>15</v>
      </c>
      <c r="I349" s="178" t="s">
        <v>15</v>
      </c>
      <c r="J349" s="131">
        <f>IFERROR(INDEX(#REF!,(MATCH('Old Calc Tab'!C:C,#REF!,0))),0)</f>
        <v>0</v>
      </c>
      <c r="K349" s="131">
        <f>IFERROR(INDEX(#REF!,(MATCH('Old Calc Tab'!$C:$C,#REF!,0))),0)</f>
        <v>0</v>
      </c>
      <c r="L349" s="131"/>
      <c r="M349" s="131">
        <v>0</v>
      </c>
      <c r="N349" s="131">
        <f>IFERROR(INDEX(#REF!,(MATCH('Old Calc Tab'!$C:$C,#REF!,0))),0)</f>
        <v>0</v>
      </c>
      <c r="O349" s="131">
        <f t="shared" si="68"/>
        <v>0</v>
      </c>
      <c r="P349" s="131">
        <f t="shared" si="69"/>
        <v>0</v>
      </c>
      <c r="Q349" s="131"/>
      <c r="R349" s="131"/>
      <c r="S349" s="131"/>
      <c r="T349" s="131"/>
      <c r="U349" s="131"/>
      <c r="V349" s="131">
        <v>0</v>
      </c>
      <c r="W349" s="180">
        <v>0</v>
      </c>
      <c r="X349" s="180">
        <f t="shared" si="80"/>
        <v>0</v>
      </c>
      <c r="Y349" s="181">
        <f>IF(D349="Physician Group Practice",(X349/$AE$369)*'1. UC Assumptions'!$C$15,IF(OR(E349="Rural Hospital",E349="Hosp - State"),X349,(X349/$X$369)*'1. UC Assumptions'!$C$9))</f>
        <v>0</v>
      </c>
      <c r="Z349" s="181">
        <f t="shared" si="70"/>
        <v>0</v>
      </c>
      <c r="AA349" s="181">
        <f t="shared" si="71"/>
        <v>0</v>
      </c>
      <c r="AB349" s="182">
        <f t="shared" si="72"/>
        <v>0</v>
      </c>
      <c r="AC349" s="181">
        <f t="shared" si="73"/>
        <v>0</v>
      </c>
      <c r="AD349" s="181">
        <f t="shared" si="74"/>
        <v>0</v>
      </c>
      <c r="AE349" s="131">
        <v>214900.98</v>
      </c>
      <c r="AF349" s="131">
        <f>AE349*'1. UC Assumptions'!$C$23</f>
        <v>70917.323399999994</v>
      </c>
      <c r="AG349" s="183">
        <f>IF((((X349-W349-AE349)*'1. UC Assumptions'!$C$23)+AF349)&gt;0,((X349-W349-AE349)*'1. UC Assumptions'!$C$23)+AF349,0)</f>
        <v>0</v>
      </c>
      <c r="AH349" s="183"/>
      <c r="AI349" s="183">
        <f t="shared" si="75"/>
        <v>70917.323399999994</v>
      </c>
      <c r="AJ349" s="183">
        <f>IF(H349="Bexar",(AD349/$AJ$1)*'1. UC Assumptions'!$E$42,0)</f>
        <v>0</v>
      </c>
      <c r="AK349" s="183">
        <f>IF(H349="Dallas",(AD349/$AK$1)*'1. UC Assumptions'!$F$42,0)</f>
        <v>0</v>
      </c>
      <c r="AL349" s="183">
        <f>IF(H349="El Paso",(AD349/$AL$1)*'1. UC Assumptions'!$G$42,0)</f>
        <v>0</v>
      </c>
      <c r="AM349" s="183">
        <f>IF(H349="Harris",(AD349/$AM$1)*'1. UC Assumptions'!$H$42,0)</f>
        <v>0</v>
      </c>
      <c r="AN349" s="183">
        <f>IF(H349="Hidalgo",(AD349/$AN$1)*'1. UC Assumptions'!$I$42,0)</f>
        <v>0</v>
      </c>
      <c r="AO349" s="183">
        <f>IF(H349="Jefferson",(AD349/$AO$1)*'1. UC Assumptions'!$J$42,0)</f>
        <v>0</v>
      </c>
      <c r="AP349" s="183">
        <f>IF(H349="Lubbock",(AD349/$AP$1)*'1. UC Assumptions'!$K$42,0)</f>
        <v>0</v>
      </c>
      <c r="AQ349" s="183">
        <f>IF(H349="MRSA Central",(AD349/$AQ$1)*'1. UC Assumptions'!$L$42,0)</f>
        <v>0</v>
      </c>
      <c r="AR349" s="183">
        <f>IF(H349="MRSA Northeast",(AD349/$AR$1)*'1. UC Assumptions'!$M$42,0)</f>
        <v>0</v>
      </c>
      <c r="AS349" s="183">
        <f>IF(H349="MRSA West",(AD349/$AS$1)*'1. UC Assumptions'!$N$42,0)</f>
        <v>0</v>
      </c>
      <c r="AT349" s="183">
        <f>IF(H349="Nueces",(AD349/$AT$1)*'1. UC Assumptions'!$O$42,0)</f>
        <v>0</v>
      </c>
      <c r="AU349" s="183">
        <f>IF(H349="Tarrant",(AD349/$AU$1)*'1. UC Assumptions'!$P$42,0)</f>
        <v>0</v>
      </c>
      <c r="AV349" s="183">
        <f>IF(H349="Travis",(AD349/$AV$1)*'1. UC Assumptions'!$Q$42,0)</f>
        <v>0</v>
      </c>
      <c r="AW349" s="183">
        <f>IF(H349="Bexar",(AC349/$AW$1)*'1. UC Assumptions'!$E$44,0)</f>
        <v>0</v>
      </c>
      <c r="AX349" s="183">
        <f>IF(H349="Dallas",(AC349/$AX$1)*'1. UC Assumptions'!$F$44,0)</f>
        <v>0</v>
      </c>
      <c r="AY349" s="183">
        <f>IF(H349="El Paso",(AC349/$AY$1)*'1. UC Assumptions'!$G$44,0)</f>
        <v>0</v>
      </c>
      <c r="AZ349" s="183">
        <f>IF(H349="Harris",(AC349/$AZ$1)*'1. UC Assumptions'!$H$44,0)</f>
        <v>0</v>
      </c>
      <c r="BA349" s="183">
        <f>IF(H349="Hidalgo",(AC349/$BA$1)*'1. UC Assumptions'!$I$44,0)</f>
        <v>0</v>
      </c>
      <c r="BB349" s="183">
        <f>IF(H349="Jefferson",(AC349/$BB$1)*'1. UC Assumptions'!$J$44,0)</f>
        <v>0</v>
      </c>
      <c r="BC349" s="183">
        <f>IF(H349="Lubbock",(AC349/$BC$1)*'1. UC Assumptions'!$K$44,0)</f>
        <v>0</v>
      </c>
      <c r="BD349" s="183">
        <f>IF(H349="MRSA Central",(AC349/$BD$1)*'1. UC Assumptions'!$L$44,0)</f>
        <v>0</v>
      </c>
      <c r="BE349" s="183">
        <f>IF(H349="MRSA Northeast",(AC349/$BE$1)*'1. UC Assumptions'!$M$44,0)</f>
        <v>0</v>
      </c>
      <c r="BF349" s="183">
        <f>IF(H349="MRSA West",(AC349/$BF$1)*'1. UC Assumptions'!$N$44,0)</f>
        <v>0</v>
      </c>
      <c r="BG349" s="183">
        <f>IF(H349="Nueces",(AC349/$BG$1)*'1. UC Assumptions'!$O$44,0)</f>
        <v>0</v>
      </c>
      <c r="BH349" s="183">
        <f>IF(H349="Tarrant",(AC349/$BH$1)*'1. UC Assumptions'!$P$44,0)</f>
        <v>0</v>
      </c>
      <c r="BI349" s="183">
        <f>IF(H349="Travis",(AC349/$BI$1)*'1. UC Assumptions'!$Q$44,0)</f>
        <v>0</v>
      </c>
      <c r="BJ349" s="183">
        <f t="shared" si="76"/>
        <v>0</v>
      </c>
      <c r="BK349" s="183">
        <f t="shared" si="77"/>
        <v>0</v>
      </c>
      <c r="BL349" s="183">
        <f t="shared" si="78"/>
        <v>0</v>
      </c>
      <c r="BM349" s="184">
        <f t="shared" si="79"/>
        <v>-214900.98</v>
      </c>
      <c r="BN349" s="184">
        <f>ROUNDDOWN(BM349*'1. UC Assumptions'!$C$23,2)</f>
        <v>-70917.320000000007</v>
      </c>
      <c r="BO349" s="184"/>
      <c r="BP349" s="185"/>
      <c r="BQ349" s="32"/>
      <c r="BR349" s="32"/>
    </row>
    <row r="350" spans="1:70">
      <c r="A350" s="177" t="s">
        <v>1821</v>
      </c>
      <c r="B350" s="178" t="s">
        <v>462</v>
      </c>
      <c r="C350" s="178" t="s">
        <v>462</v>
      </c>
      <c r="D350" s="179" t="s">
        <v>214</v>
      </c>
      <c r="E350" s="179"/>
      <c r="F350" s="177"/>
      <c r="G350" s="177" t="s">
        <v>1822</v>
      </c>
      <c r="H350" s="178" t="s">
        <v>15</v>
      </c>
      <c r="I350" s="178" t="s">
        <v>15</v>
      </c>
      <c r="J350" s="131">
        <f>IFERROR(INDEX(#REF!,(MATCH('Old Calc Tab'!C:C,#REF!,0))),0)</f>
        <v>0</v>
      </c>
      <c r="K350" s="131">
        <f>IFERROR(INDEX(#REF!,(MATCH('Old Calc Tab'!$C:$C,#REF!,0))),0)</f>
        <v>0</v>
      </c>
      <c r="L350" s="131"/>
      <c r="M350" s="131">
        <v>22592995.153840877</v>
      </c>
      <c r="N350" s="131">
        <f>IFERROR(INDEX(#REF!,(MATCH('Old Calc Tab'!$C:$C,#REF!,0))),0)</f>
        <v>0</v>
      </c>
      <c r="O350" s="131">
        <f t="shared" si="68"/>
        <v>0</v>
      </c>
      <c r="P350" s="131">
        <f t="shared" si="69"/>
        <v>22592995.153840877</v>
      </c>
      <c r="Q350" s="131"/>
      <c r="R350" s="131"/>
      <c r="S350" s="131"/>
      <c r="T350" s="131"/>
      <c r="U350" s="131"/>
      <c r="V350" s="131">
        <v>0</v>
      </c>
      <c r="W350" s="180">
        <v>0</v>
      </c>
      <c r="X350" s="180">
        <f t="shared" si="80"/>
        <v>22592995.153840877</v>
      </c>
      <c r="Y350" s="181">
        <f>IF(D350="Physician Group Practice",(X350/$AE$369)*'1. UC Assumptions'!$C$15,IF(OR(E350="Rural Hospital",E350="Hosp - State"),X350,(X350/$X$369)*'1. UC Assumptions'!$C$9))</f>
        <v>13597888.449927477</v>
      </c>
      <c r="Z350" s="181">
        <f t="shared" si="70"/>
        <v>0</v>
      </c>
      <c r="AA350" s="181">
        <f t="shared" si="71"/>
        <v>8995106.7039133999</v>
      </c>
      <c r="AB350" s="182">
        <f t="shared" si="72"/>
        <v>4830.6524451957403</v>
      </c>
      <c r="AC350" s="181">
        <f t="shared" si="73"/>
        <v>8999937.3563585952</v>
      </c>
      <c r="AD350" s="181">
        <f t="shared" si="74"/>
        <v>13602719.102372672</v>
      </c>
      <c r="AE350" s="131">
        <v>6474313.4900000002</v>
      </c>
      <c r="AF350" s="131">
        <f>AE350*'1. UC Assumptions'!$C$23</f>
        <v>2136523.4516999996</v>
      </c>
      <c r="AG350" s="183">
        <f>IF((((X350-W350-AE350)*'1. UC Assumptions'!$C$23)+AF350)&gt;0,((X350-W350-AE350)*'1. UC Assumptions'!$C$23)+AF350,0)</f>
        <v>7455688.4007674884</v>
      </c>
      <c r="AH350" s="183"/>
      <c r="AI350" s="183">
        <f t="shared" si="75"/>
        <v>2136523.4516999996</v>
      </c>
      <c r="AJ350" s="183">
        <f>IF(H350="Bexar",(AD350/$AJ$1)*'1. UC Assumptions'!$E$42,0)</f>
        <v>0</v>
      </c>
      <c r="AK350" s="183">
        <f>IF(H350="Dallas",(AD350/$AK$1)*'1. UC Assumptions'!$F$42,0)</f>
        <v>0</v>
      </c>
      <c r="AL350" s="183">
        <f>IF(H350="El Paso",(AD350/$AL$1)*'1. UC Assumptions'!$G$42,0)</f>
        <v>0</v>
      </c>
      <c r="AM350" s="183">
        <f>IF(H350="Harris",(AD350/$AM$1)*'1. UC Assumptions'!$H$42,0)</f>
        <v>0</v>
      </c>
      <c r="AN350" s="183">
        <f>IF(H350="Hidalgo",(AD350/$AN$1)*'1. UC Assumptions'!$I$42,0)</f>
        <v>0</v>
      </c>
      <c r="AO350" s="183">
        <f>IF(H350="Jefferson",(AD350/$AO$1)*'1. UC Assumptions'!$J$42,0)</f>
        <v>0</v>
      </c>
      <c r="AP350" s="183">
        <f>IF(H350="Lubbock",(AD350/$AP$1)*'1. UC Assumptions'!$K$42,0)</f>
        <v>0</v>
      </c>
      <c r="AQ350" s="183">
        <f>IF(H350="MRSA Central",(AD350/$AQ$1)*'1. UC Assumptions'!$L$42,0)</f>
        <v>0</v>
      </c>
      <c r="AR350" s="183">
        <f>IF(H350="MRSA Northeast",(AD350/$AR$1)*'1. UC Assumptions'!$M$42,0)</f>
        <v>0</v>
      </c>
      <c r="AS350" s="183">
        <f>IF(H350="MRSA West",(AD350/$AS$1)*'1. UC Assumptions'!$N$42,0)</f>
        <v>0</v>
      </c>
      <c r="AT350" s="183">
        <f>IF(H350="Nueces",(AD350/$AT$1)*'1. UC Assumptions'!$O$42,0)</f>
        <v>0</v>
      </c>
      <c r="AU350" s="183">
        <f>IF(H350="Tarrant",(AD350/$AU$1)*'1. UC Assumptions'!$P$42,0)</f>
        <v>0</v>
      </c>
      <c r="AV350" s="183">
        <f>IF(H350="Travis",(AD350/$AV$1)*'1. UC Assumptions'!$Q$42,0)</f>
        <v>0</v>
      </c>
      <c r="AW350" s="183">
        <f>IF(H350="Bexar",(AC350/$AW$1)*'1. UC Assumptions'!$E$44,0)</f>
        <v>0</v>
      </c>
      <c r="AX350" s="183">
        <f>IF(H350="Dallas",(AC350/$AX$1)*'1. UC Assumptions'!$F$44,0)</f>
        <v>0</v>
      </c>
      <c r="AY350" s="183">
        <f>IF(H350="El Paso",(AC350/$AY$1)*'1. UC Assumptions'!$G$44,0)</f>
        <v>0</v>
      </c>
      <c r="AZ350" s="183">
        <f>IF(H350="Harris",(AC350/$AZ$1)*'1. UC Assumptions'!$H$44,0)</f>
        <v>0</v>
      </c>
      <c r="BA350" s="183">
        <f>IF(H350="Hidalgo",(AC350/$BA$1)*'1. UC Assumptions'!$I$44,0)</f>
        <v>0</v>
      </c>
      <c r="BB350" s="183">
        <f>IF(H350="Jefferson",(AC350/$BB$1)*'1. UC Assumptions'!$J$44,0)</f>
        <v>0</v>
      </c>
      <c r="BC350" s="183">
        <f>IF(H350="Lubbock",(AC350/$BC$1)*'1. UC Assumptions'!$K$44,0)</f>
        <v>0</v>
      </c>
      <c r="BD350" s="183">
        <f>IF(H350="MRSA Central",(AC350/$BD$1)*'1. UC Assumptions'!$L$44,0)</f>
        <v>0</v>
      </c>
      <c r="BE350" s="183">
        <f>IF(H350="MRSA Northeast",(AC350/$BE$1)*'1. UC Assumptions'!$M$44,0)</f>
        <v>0</v>
      </c>
      <c r="BF350" s="183">
        <f>IF(H350="MRSA West",(AC350/$BF$1)*'1. UC Assumptions'!$N$44,0)</f>
        <v>0</v>
      </c>
      <c r="BG350" s="183">
        <f>IF(H350="Nueces",(AC350/$BG$1)*'1. UC Assumptions'!$O$44,0)</f>
        <v>0</v>
      </c>
      <c r="BH350" s="183">
        <f>IF(H350="Tarrant",(AC350/$BH$1)*'1. UC Assumptions'!$P$44,0)</f>
        <v>0</v>
      </c>
      <c r="BI350" s="183">
        <f>IF(H350="Travis",(AC350/$BI$1)*'1. UC Assumptions'!$Q$44,0)</f>
        <v>0</v>
      </c>
      <c r="BJ350" s="183">
        <f t="shared" si="76"/>
        <v>0</v>
      </c>
      <c r="BK350" s="183">
        <f t="shared" si="77"/>
        <v>0</v>
      </c>
      <c r="BL350" s="183">
        <f t="shared" si="78"/>
        <v>13602719.102372672</v>
      </c>
      <c r="BM350" s="184">
        <f t="shared" si="79"/>
        <v>7128405.6123726722</v>
      </c>
      <c r="BN350" s="184">
        <f>ROUNDDOWN(BM350*'1. UC Assumptions'!$C$23,2)</f>
        <v>2352373.85</v>
      </c>
      <c r="BO350" s="184"/>
      <c r="BP350" s="185"/>
      <c r="BQ350" s="32"/>
      <c r="BR350" s="32"/>
    </row>
    <row r="351" spans="1:70">
      <c r="A351" s="177" t="s">
        <v>1823</v>
      </c>
      <c r="B351" s="177" t="s">
        <v>1824</v>
      </c>
      <c r="C351" s="178" t="s">
        <v>1824</v>
      </c>
      <c r="D351" s="179" t="s">
        <v>214</v>
      </c>
      <c r="E351" s="179"/>
      <c r="F351" s="177"/>
      <c r="G351" s="177" t="s">
        <v>1825</v>
      </c>
      <c r="H351" s="178" t="s">
        <v>15</v>
      </c>
      <c r="I351" s="178" t="s">
        <v>885</v>
      </c>
      <c r="J351" s="131">
        <f>IFERROR(INDEX(#REF!,(MATCH('Old Calc Tab'!C:C,#REF!,0))),0)</f>
        <v>0</v>
      </c>
      <c r="K351" s="131">
        <f>IFERROR(INDEX(#REF!,(MATCH('Old Calc Tab'!$C:$C,#REF!,0))),0)</f>
        <v>0</v>
      </c>
      <c r="L351" s="131"/>
      <c r="M351" s="131">
        <v>10896711.050999999</v>
      </c>
      <c r="N351" s="131">
        <f>IFERROR(INDEX(#REF!,(MATCH('Old Calc Tab'!$C:$C,#REF!,0))),0)</f>
        <v>0</v>
      </c>
      <c r="O351" s="131">
        <f t="shared" si="68"/>
        <v>0</v>
      </c>
      <c r="P351" s="131">
        <f t="shared" si="69"/>
        <v>10896711.050999999</v>
      </c>
      <c r="Q351" s="131"/>
      <c r="R351" s="131"/>
      <c r="S351" s="131"/>
      <c r="T351" s="131"/>
      <c r="U351" s="131"/>
      <c r="V351" s="131">
        <v>225782</v>
      </c>
      <c r="W351" s="180">
        <v>0</v>
      </c>
      <c r="X351" s="180">
        <f t="shared" si="80"/>
        <v>11122493.050999999</v>
      </c>
      <c r="Y351" s="181">
        <f>IF(D351="Physician Group Practice",(X351/$AE$369)*'1. UC Assumptions'!$C$15,IF(OR(E351="Rural Hospital",E351="Hosp - State"),X351,(X351/$X$369)*'1. UC Assumptions'!$C$9))</f>
        <v>6694217.3342997357</v>
      </c>
      <c r="Z351" s="181">
        <f t="shared" si="70"/>
        <v>0</v>
      </c>
      <c r="AA351" s="181">
        <f t="shared" si="71"/>
        <v>4428275.7167002633</v>
      </c>
      <c r="AB351" s="182">
        <f t="shared" si="72"/>
        <v>2378.1219748702379</v>
      </c>
      <c r="AC351" s="181">
        <f t="shared" si="73"/>
        <v>4430653.8386751339</v>
      </c>
      <c r="AD351" s="181">
        <f t="shared" si="74"/>
        <v>6696595.4562746063</v>
      </c>
      <c r="AE351" s="131">
        <v>3102303.03</v>
      </c>
      <c r="AF351" s="131">
        <f>AE351*'1. UC Assumptions'!$C$23</f>
        <v>1023759.9998999998</v>
      </c>
      <c r="AG351" s="183">
        <f>IF((((X351-W351-AE351)*'1. UC Assumptions'!$C$23)+AF351)&gt;0,((X351-W351-AE351)*'1. UC Assumptions'!$C$23)+AF351,0)</f>
        <v>3670422.7068299991</v>
      </c>
      <c r="AH351" s="183"/>
      <c r="AI351" s="183">
        <f t="shared" si="75"/>
        <v>1023759.9998999998</v>
      </c>
      <c r="AJ351" s="183">
        <f>IF(H351="Bexar",(AD351/$AJ$1)*'1. UC Assumptions'!$E$42,0)</f>
        <v>0</v>
      </c>
      <c r="AK351" s="183">
        <f>IF(H351="Dallas",(AD351/$AK$1)*'1. UC Assumptions'!$F$42,0)</f>
        <v>0</v>
      </c>
      <c r="AL351" s="183">
        <f>IF(H351="El Paso",(AD351/$AL$1)*'1. UC Assumptions'!$G$42,0)</f>
        <v>0</v>
      </c>
      <c r="AM351" s="183">
        <f>IF(H351="Harris",(AD351/$AM$1)*'1. UC Assumptions'!$H$42,0)</f>
        <v>0</v>
      </c>
      <c r="AN351" s="183">
        <f>IF(H351="Hidalgo",(AD351/$AN$1)*'1. UC Assumptions'!$I$42,0)</f>
        <v>0</v>
      </c>
      <c r="AO351" s="183">
        <f>IF(H351="Jefferson",(AD351/$AO$1)*'1. UC Assumptions'!$J$42,0)</f>
        <v>0</v>
      </c>
      <c r="AP351" s="183">
        <f>IF(H351="Lubbock",(AD351/$AP$1)*'1. UC Assumptions'!$K$42,0)</f>
        <v>0</v>
      </c>
      <c r="AQ351" s="183">
        <f>IF(H351="MRSA Central",(AD351/$AQ$1)*'1. UC Assumptions'!$L$42,0)</f>
        <v>0</v>
      </c>
      <c r="AR351" s="183">
        <f>IF(H351="MRSA Northeast",(AD351/$AR$1)*'1. UC Assumptions'!$M$42,0)</f>
        <v>0</v>
      </c>
      <c r="AS351" s="183">
        <f>IF(H351="MRSA West",(AD351/$AS$1)*'1. UC Assumptions'!$N$42,0)</f>
        <v>0</v>
      </c>
      <c r="AT351" s="183">
        <f>IF(H351="Nueces",(AD351/$AT$1)*'1. UC Assumptions'!$O$42,0)</f>
        <v>0</v>
      </c>
      <c r="AU351" s="183">
        <f>IF(H351="Tarrant",(AD351/$AU$1)*'1. UC Assumptions'!$P$42,0)</f>
        <v>0</v>
      </c>
      <c r="AV351" s="183">
        <f>IF(H351="Travis",(AD351/$AV$1)*'1. UC Assumptions'!$Q$42,0)</f>
        <v>0</v>
      </c>
      <c r="AW351" s="183">
        <f>IF(H351="Bexar",(AC351/$AW$1)*'1. UC Assumptions'!$E$44,0)</f>
        <v>0</v>
      </c>
      <c r="AX351" s="183">
        <f>IF(H351="Dallas",(AC351/$AX$1)*'1. UC Assumptions'!$F$44,0)</f>
        <v>0</v>
      </c>
      <c r="AY351" s="183">
        <f>IF(H351="El Paso",(AC351/$AY$1)*'1. UC Assumptions'!$G$44,0)</f>
        <v>0</v>
      </c>
      <c r="AZ351" s="183">
        <f>IF(H351="Harris",(AC351/$AZ$1)*'1. UC Assumptions'!$H$44,0)</f>
        <v>0</v>
      </c>
      <c r="BA351" s="183">
        <f>IF(H351="Hidalgo",(AC351/$BA$1)*'1. UC Assumptions'!$I$44,0)</f>
        <v>0</v>
      </c>
      <c r="BB351" s="183">
        <f>IF(H351="Jefferson",(AC351/$BB$1)*'1. UC Assumptions'!$J$44,0)</f>
        <v>0</v>
      </c>
      <c r="BC351" s="183">
        <f>IF(H351="Lubbock",(AC351/$BC$1)*'1. UC Assumptions'!$K$44,0)</f>
        <v>0</v>
      </c>
      <c r="BD351" s="183">
        <f>IF(H351="MRSA Central",(AC351/$BD$1)*'1. UC Assumptions'!$L$44,0)</f>
        <v>0</v>
      </c>
      <c r="BE351" s="183">
        <f>IF(H351="MRSA Northeast",(AC351/$BE$1)*'1. UC Assumptions'!$M$44,0)</f>
        <v>0</v>
      </c>
      <c r="BF351" s="183">
        <f>IF(H351="MRSA West",(AC351/$BF$1)*'1. UC Assumptions'!$N$44,0)</f>
        <v>0</v>
      </c>
      <c r="BG351" s="183">
        <f>IF(H351="Nueces",(AC351/$BG$1)*'1. UC Assumptions'!$O$44,0)</f>
        <v>0</v>
      </c>
      <c r="BH351" s="183">
        <f>IF(H351="Tarrant",(AC351/$BH$1)*'1. UC Assumptions'!$P$44,0)</f>
        <v>0</v>
      </c>
      <c r="BI351" s="183">
        <f>IF(H351="Travis",(AC351/$BI$1)*'1. UC Assumptions'!$Q$44,0)</f>
        <v>0</v>
      </c>
      <c r="BJ351" s="183">
        <f t="shared" si="76"/>
        <v>0</v>
      </c>
      <c r="BK351" s="183">
        <f t="shared" si="77"/>
        <v>0</v>
      </c>
      <c r="BL351" s="183">
        <f t="shared" si="78"/>
        <v>6696595.4562746063</v>
      </c>
      <c r="BM351" s="184">
        <f t="shared" si="79"/>
        <v>3594292.4262746065</v>
      </c>
      <c r="BN351" s="184">
        <f>ROUNDDOWN(BM351*'1. UC Assumptions'!$C$23,2)</f>
        <v>1186116.5</v>
      </c>
      <c r="BO351" s="184"/>
      <c r="BP351" s="185"/>
      <c r="BQ351" s="32"/>
      <c r="BR351" s="32"/>
    </row>
    <row r="352" spans="1:70">
      <c r="A352" s="177" t="s">
        <v>1826</v>
      </c>
      <c r="B352" s="178" t="s">
        <v>662</v>
      </c>
      <c r="C352" s="178" t="s">
        <v>662</v>
      </c>
      <c r="D352" s="179" t="s">
        <v>214</v>
      </c>
      <c r="E352" s="179"/>
      <c r="F352" s="177"/>
      <c r="G352" s="177" t="s">
        <v>1827</v>
      </c>
      <c r="H352" s="178" t="s">
        <v>15</v>
      </c>
      <c r="I352" s="178" t="s">
        <v>15</v>
      </c>
      <c r="J352" s="131">
        <f>IFERROR(INDEX(#REF!,(MATCH('Old Calc Tab'!C:C,#REF!,0))),0)</f>
        <v>0</v>
      </c>
      <c r="K352" s="131">
        <f>IFERROR(INDEX(#REF!,(MATCH('Old Calc Tab'!$C:$C,#REF!,0))),0)</f>
        <v>0</v>
      </c>
      <c r="L352" s="131"/>
      <c r="M352" s="131">
        <v>10353922.5184</v>
      </c>
      <c r="N352" s="131">
        <f>IFERROR(INDEX(#REF!,(MATCH('Old Calc Tab'!$C:$C,#REF!,0))),0)</f>
        <v>0</v>
      </c>
      <c r="O352" s="131">
        <f t="shared" si="68"/>
        <v>0</v>
      </c>
      <c r="P352" s="131">
        <f t="shared" si="69"/>
        <v>10353922.5184</v>
      </c>
      <c r="Q352" s="131"/>
      <c r="R352" s="131"/>
      <c r="S352" s="131"/>
      <c r="T352" s="131"/>
      <c r="U352" s="131"/>
      <c r="V352" s="131">
        <v>244048</v>
      </c>
      <c r="W352" s="180">
        <v>0</v>
      </c>
      <c r="X352" s="180">
        <f t="shared" si="80"/>
        <v>10597970.5184</v>
      </c>
      <c r="Y352" s="181">
        <f>IF(D352="Physician Group Practice",(X352/$AE$369)*'1. UC Assumptions'!$C$15,IF(OR(E352="Rural Hospital",E352="Hosp - State"),X352,(X352/$X$369)*'1. UC Assumptions'!$C$9))</f>
        <v>6378526.6151541732</v>
      </c>
      <c r="Z352" s="181">
        <f t="shared" si="70"/>
        <v>0</v>
      </c>
      <c r="AA352" s="181">
        <f t="shared" si="71"/>
        <v>4219443.9032458272</v>
      </c>
      <c r="AB352" s="182">
        <f t="shared" si="72"/>
        <v>2265.9727871502687</v>
      </c>
      <c r="AC352" s="181">
        <f t="shared" si="73"/>
        <v>4221709.8760329774</v>
      </c>
      <c r="AD352" s="181">
        <f t="shared" si="74"/>
        <v>6380792.5879413234</v>
      </c>
      <c r="AE352" s="131">
        <v>9790502.5299999993</v>
      </c>
      <c r="AF352" s="131">
        <f>AE352*'1. UC Assumptions'!$C$23</f>
        <v>3230865.8348999992</v>
      </c>
      <c r="AG352" s="183">
        <f>IF((((X352-W352-AE352)*'1. UC Assumptions'!$C$23)+AF352)&gt;0,((X352-W352-AE352)*'1. UC Assumptions'!$C$23)+AF352,0)</f>
        <v>3497330.2710719993</v>
      </c>
      <c r="AH352" s="183"/>
      <c r="AI352" s="183">
        <f t="shared" si="75"/>
        <v>3230865.8348999992</v>
      </c>
      <c r="AJ352" s="183">
        <f>IF(H352="Bexar",(AD352/$AJ$1)*'1. UC Assumptions'!$E$42,0)</f>
        <v>0</v>
      </c>
      <c r="AK352" s="183">
        <f>IF(H352="Dallas",(AD352/$AK$1)*'1. UC Assumptions'!$F$42,0)</f>
        <v>0</v>
      </c>
      <c r="AL352" s="183">
        <f>IF(H352="El Paso",(AD352/$AL$1)*'1. UC Assumptions'!$G$42,0)</f>
        <v>0</v>
      </c>
      <c r="AM352" s="183">
        <f>IF(H352="Harris",(AD352/$AM$1)*'1. UC Assumptions'!$H$42,0)</f>
        <v>0</v>
      </c>
      <c r="AN352" s="183">
        <f>IF(H352="Hidalgo",(AD352/$AN$1)*'1. UC Assumptions'!$I$42,0)</f>
        <v>0</v>
      </c>
      <c r="AO352" s="183">
        <f>IF(H352="Jefferson",(AD352/$AO$1)*'1. UC Assumptions'!$J$42,0)</f>
        <v>0</v>
      </c>
      <c r="AP352" s="183">
        <f>IF(H352="Lubbock",(AD352/$AP$1)*'1. UC Assumptions'!$K$42,0)</f>
        <v>0</v>
      </c>
      <c r="AQ352" s="183">
        <f>IF(H352="MRSA Central",(AD352/$AQ$1)*'1. UC Assumptions'!$L$42,0)</f>
        <v>0</v>
      </c>
      <c r="AR352" s="183">
        <f>IF(H352="MRSA Northeast",(AD352/$AR$1)*'1. UC Assumptions'!$M$42,0)</f>
        <v>0</v>
      </c>
      <c r="AS352" s="183">
        <f>IF(H352="MRSA West",(AD352/$AS$1)*'1. UC Assumptions'!$N$42,0)</f>
        <v>0</v>
      </c>
      <c r="AT352" s="183">
        <f>IF(H352="Nueces",(AD352/$AT$1)*'1. UC Assumptions'!$O$42,0)</f>
        <v>0</v>
      </c>
      <c r="AU352" s="183">
        <f>IF(H352="Tarrant",(AD352/$AU$1)*'1. UC Assumptions'!$P$42,0)</f>
        <v>0</v>
      </c>
      <c r="AV352" s="183">
        <f>IF(H352="Travis",(AD352/$AV$1)*'1. UC Assumptions'!$Q$42,0)</f>
        <v>0</v>
      </c>
      <c r="AW352" s="183">
        <f>IF(H352="Bexar",(AC352/$AW$1)*'1. UC Assumptions'!$E$44,0)</f>
        <v>0</v>
      </c>
      <c r="AX352" s="183">
        <f>IF(H352="Dallas",(AC352/$AX$1)*'1. UC Assumptions'!$F$44,0)</f>
        <v>0</v>
      </c>
      <c r="AY352" s="183">
        <f>IF(H352="El Paso",(AC352/$AY$1)*'1. UC Assumptions'!$G$44,0)</f>
        <v>0</v>
      </c>
      <c r="AZ352" s="183">
        <f>IF(H352="Harris",(AC352/$AZ$1)*'1. UC Assumptions'!$H$44,0)</f>
        <v>0</v>
      </c>
      <c r="BA352" s="183">
        <f>IF(H352="Hidalgo",(AC352/$BA$1)*'1. UC Assumptions'!$I$44,0)</f>
        <v>0</v>
      </c>
      <c r="BB352" s="183">
        <f>IF(H352="Jefferson",(AC352/$BB$1)*'1. UC Assumptions'!$J$44,0)</f>
        <v>0</v>
      </c>
      <c r="BC352" s="183">
        <f>IF(H352="Lubbock",(AC352/$BC$1)*'1. UC Assumptions'!$K$44,0)</f>
        <v>0</v>
      </c>
      <c r="BD352" s="183">
        <f>IF(H352="MRSA Central",(AC352/$BD$1)*'1. UC Assumptions'!$L$44,0)</f>
        <v>0</v>
      </c>
      <c r="BE352" s="183">
        <f>IF(H352="MRSA Northeast",(AC352/$BE$1)*'1. UC Assumptions'!$M$44,0)</f>
        <v>0</v>
      </c>
      <c r="BF352" s="183">
        <f>IF(H352="MRSA West",(AC352/$BF$1)*'1. UC Assumptions'!$N$44,0)</f>
        <v>0</v>
      </c>
      <c r="BG352" s="183">
        <f>IF(H352="Nueces",(AC352/$BG$1)*'1. UC Assumptions'!$O$44,0)</f>
        <v>0</v>
      </c>
      <c r="BH352" s="183">
        <f>IF(H352="Tarrant",(AC352/$BH$1)*'1. UC Assumptions'!$P$44,0)</f>
        <v>0</v>
      </c>
      <c r="BI352" s="183">
        <f>IF(H352="Travis",(AC352/$BI$1)*'1. UC Assumptions'!$Q$44,0)</f>
        <v>0</v>
      </c>
      <c r="BJ352" s="183">
        <f t="shared" si="76"/>
        <v>0</v>
      </c>
      <c r="BK352" s="183">
        <f t="shared" si="77"/>
        <v>0</v>
      </c>
      <c r="BL352" s="183">
        <f t="shared" si="78"/>
        <v>6380792.5879413234</v>
      </c>
      <c r="BM352" s="184">
        <f t="shared" si="79"/>
        <v>-3409709.9420586759</v>
      </c>
      <c r="BN352" s="184">
        <f>ROUNDDOWN(BM352*'1. UC Assumptions'!$C$23,2)</f>
        <v>-1125204.28</v>
      </c>
      <c r="BO352" s="184"/>
      <c r="BP352" s="185"/>
      <c r="BQ352" s="32"/>
      <c r="BR352" s="32"/>
    </row>
    <row r="353" spans="1:70">
      <c r="A353" s="177" t="s">
        <v>1828</v>
      </c>
      <c r="B353" s="177" t="s">
        <v>688</v>
      </c>
      <c r="C353" s="178" t="s">
        <v>688</v>
      </c>
      <c r="D353" s="179" t="s">
        <v>214</v>
      </c>
      <c r="E353" s="179" t="s">
        <v>149</v>
      </c>
      <c r="F353" s="177"/>
      <c r="G353" s="177" t="s">
        <v>689</v>
      </c>
      <c r="H353" s="178" t="s">
        <v>15</v>
      </c>
      <c r="I353" s="178" t="s">
        <v>242</v>
      </c>
      <c r="J353" s="131">
        <f>IFERROR(INDEX(#REF!,(MATCH('Old Calc Tab'!C:C,#REF!,0))),0)</f>
        <v>0</v>
      </c>
      <c r="K353" s="131">
        <f>IFERROR(INDEX(#REF!,(MATCH('Old Calc Tab'!$C:$C,#REF!,0))),0)</f>
        <v>0</v>
      </c>
      <c r="L353" s="131"/>
      <c r="M353" s="131">
        <v>1062452.54</v>
      </c>
      <c r="N353" s="131">
        <f>IFERROR(INDEX(#REF!,(MATCH('Old Calc Tab'!$C:$C,#REF!,0))),0)</f>
        <v>0</v>
      </c>
      <c r="O353" s="131">
        <f t="shared" si="68"/>
        <v>0</v>
      </c>
      <c r="P353" s="131">
        <f t="shared" si="69"/>
        <v>1062452.54</v>
      </c>
      <c r="Q353" s="131"/>
      <c r="R353" s="131"/>
      <c r="S353" s="131"/>
      <c r="T353" s="131"/>
      <c r="U353" s="131"/>
      <c r="V353" s="131">
        <v>528913.81999999995</v>
      </c>
      <c r="W353" s="180">
        <v>0</v>
      </c>
      <c r="X353" s="180">
        <f t="shared" si="80"/>
        <v>1591366.3599999999</v>
      </c>
      <c r="Y353" s="181">
        <f>IF(D353="Physician Group Practice",(X353/$AE$369)*'1. UC Assumptions'!$C$15,IF(OR(E353="Rural Hospital",E353="Hosp - State"),X353,(X353/$X$369)*'1. UC Assumptions'!$C$9))</f>
        <v>1591366.3599999999</v>
      </c>
      <c r="Z353" s="181">
        <f t="shared" si="70"/>
        <v>0</v>
      </c>
      <c r="AA353" s="181">
        <f t="shared" si="71"/>
        <v>0</v>
      </c>
      <c r="AB353" s="182">
        <f t="shared" si="72"/>
        <v>0</v>
      </c>
      <c r="AC353" s="181">
        <f t="shared" si="73"/>
        <v>0</v>
      </c>
      <c r="AD353" s="181">
        <f t="shared" si="74"/>
        <v>1591366.3599999999</v>
      </c>
      <c r="AE353" s="131">
        <v>599855.77</v>
      </c>
      <c r="AF353" s="131">
        <f>AE353*'1. UC Assumptions'!$C$23</f>
        <v>197952.40409999999</v>
      </c>
      <c r="AG353" s="183">
        <f>IF((((X353-W353-AE353)*'1. UC Assumptions'!$C$23)+AF353)&gt;0,((X353-W353-AE353)*'1. UC Assumptions'!$C$23)+AF353,0)</f>
        <v>525150.89879999985</v>
      </c>
      <c r="AH353" s="183"/>
      <c r="AI353" s="183">
        <f t="shared" si="75"/>
        <v>197952.40409999999</v>
      </c>
      <c r="AJ353" s="183">
        <f>IF(H353="Bexar",(AD353/$AJ$1)*'1. UC Assumptions'!$E$42,0)</f>
        <v>0</v>
      </c>
      <c r="AK353" s="183">
        <f>IF(H353="Dallas",(AD353/$AK$1)*'1. UC Assumptions'!$F$42,0)</f>
        <v>0</v>
      </c>
      <c r="AL353" s="183">
        <f>IF(H353="El Paso",(AD353/$AL$1)*'1. UC Assumptions'!$G$42,0)</f>
        <v>0</v>
      </c>
      <c r="AM353" s="183">
        <f>IF(H353="Harris",(AD353/$AM$1)*'1. UC Assumptions'!$H$42,0)</f>
        <v>0</v>
      </c>
      <c r="AN353" s="183">
        <f>IF(H353="Hidalgo",(AD353/$AN$1)*'1. UC Assumptions'!$I$42,0)</f>
        <v>0</v>
      </c>
      <c r="AO353" s="183">
        <f>IF(H353="Jefferson",(AD353/$AO$1)*'1. UC Assumptions'!$J$42,0)</f>
        <v>0</v>
      </c>
      <c r="AP353" s="183">
        <f>IF(H353="Lubbock",(AD353/$AP$1)*'1. UC Assumptions'!$K$42,0)</f>
        <v>0</v>
      </c>
      <c r="AQ353" s="183">
        <f>IF(H353="MRSA Central",(AD353/$AQ$1)*'1. UC Assumptions'!$L$42,0)</f>
        <v>0</v>
      </c>
      <c r="AR353" s="183">
        <f>IF(H353="MRSA Northeast",(AD353/$AR$1)*'1. UC Assumptions'!$M$42,0)</f>
        <v>0</v>
      </c>
      <c r="AS353" s="183">
        <f>IF(H353="MRSA West",(AD353/$AS$1)*'1. UC Assumptions'!$N$42,0)</f>
        <v>0</v>
      </c>
      <c r="AT353" s="183">
        <f>IF(H353="Nueces",(AD353/$AT$1)*'1. UC Assumptions'!$O$42,0)</f>
        <v>0</v>
      </c>
      <c r="AU353" s="183">
        <f>IF(H353="Tarrant",(AD353/$AU$1)*'1. UC Assumptions'!$P$42,0)</f>
        <v>0</v>
      </c>
      <c r="AV353" s="183">
        <f>IF(H353="Travis",(AD353/$AV$1)*'1. UC Assumptions'!$Q$42,0)</f>
        <v>0</v>
      </c>
      <c r="AW353" s="183">
        <f>IF(H353="Bexar",(AC353/$AW$1)*'1. UC Assumptions'!$E$44,0)</f>
        <v>0</v>
      </c>
      <c r="AX353" s="183">
        <f>IF(H353="Dallas",(AC353/$AX$1)*'1. UC Assumptions'!$F$44,0)</f>
        <v>0</v>
      </c>
      <c r="AY353" s="183">
        <f>IF(H353="El Paso",(AC353/$AY$1)*'1. UC Assumptions'!$G$44,0)</f>
        <v>0</v>
      </c>
      <c r="AZ353" s="183">
        <f>IF(H353="Harris",(AC353/$AZ$1)*'1. UC Assumptions'!$H$44,0)</f>
        <v>0</v>
      </c>
      <c r="BA353" s="183">
        <f>IF(H353="Hidalgo",(AC353/$BA$1)*'1. UC Assumptions'!$I$44,0)</f>
        <v>0</v>
      </c>
      <c r="BB353" s="183">
        <f>IF(H353="Jefferson",(AC353/$BB$1)*'1. UC Assumptions'!$J$44,0)</f>
        <v>0</v>
      </c>
      <c r="BC353" s="183">
        <f>IF(H353="Lubbock",(AC353/$BC$1)*'1. UC Assumptions'!$K$44,0)</f>
        <v>0</v>
      </c>
      <c r="BD353" s="183">
        <f>IF(H353="MRSA Central",(AC353/$BD$1)*'1. UC Assumptions'!$L$44,0)</f>
        <v>0</v>
      </c>
      <c r="BE353" s="183">
        <f>IF(H353="MRSA Northeast",(AC353/$BE$1)*'1. UC Assumptions'!$M$44,0)</f>
        <v>0</v>
      </c>
      <c r="BF353" s="183">
        <f>IF(H353="MRSA West",(AC353/$BF$1)*'1. UC Assumptions'!$N$44,0)</f>
        <v>0</v>
      </c>
      <c r="BG353" s="183">
        <f>IF(H353="Nueces",(AC353/$BG$1)*'1. UC Assumptions'!$O$44,0)</f>
        <v>0</v>
      </c>
      <c r="BH353" s="183">
        <f>IF(H353="Tarrant",(AC353/$BH$1)*'1. UC Assumptions'!$P$44,0)</f>
        <v>0</v>
      </c>
      <c r="BI353" s="183">
        <f>IF(H353="Travis",(AC353/$BI$1)*'1. UC Assumptions'!$Q$44,0)</f>
        <v>0</v>
      </c>
      <c r="BJ353" s="183">
        <f t="shared" si="76"/>
        <v>0</v>
      </c>
      <c r="BK353" s="183">
        <f t="shared" si="77"/>
        <v>0</v>
      </c>
      <c r="BL353" s="183">
        <f t="shared" si="78"/>
        <v>1591366.3599999999</v>
      </c>
      <c r="BM353" s="184">
        <f t="shared" si="79"/>
        <v>991510.58999999985</v>
      </c>
      <c r="BN353" s="184">
        <f>ROUNDDOWN(BM353*'1. UC Assumptions'!$C$23,2)</f>
        <v>327198.49</v>
      </c>
      <c r="BO353" s="184"/>
      <c r="BP353" s="185"/>
      <c r="BQ353" s="32"/>
      <c r="BR353" s="32"/>
    </row>
    <row r="354" spans="1:70">
      <c r="A354" s="177" t="s">
        <v>1829</v>
      </c>
      <c r="B354" s="178" t="s">
        <v>728</v>
      </c>
      <c r="C354" s="178" t="s">
        <v>728</v>
      </c>
      <c r="D354" s="179" t="s">
        <v>539</v>
      </c>
      <c r="E354" s="179"/>
      <c r="F354" s="177"/>
      <c r="G354" s="177" t="s">
        <v>1830</v>
      </c>
      <c r="H354" s="178" t="s">
        <v>15</v>
      </c>
      <c r="I354" s="178" t="s">
        <v>15</v>
      </c>
      <c r="J354" s="131">
        <f>IFERROR(INDEX(#REF!,(MATCH('Old Calc Tab'!C:C,#REF!,0))),0)</f>
        <v>0</v>
      </c>
      <c r="K354" s="131">
        <f>IFERROR(INDEX(#REF!,(MATCH('Old Calc Tab'!$C:$C,#REF!,0))),0)</f>
        <v>0</v>
      </c>
      <c r="L354" s="131"/>
      <c r="M354" s="131">
        <v>42751754</v>
      </c>
      <c r="N354" s="131">
        <f>IFERROR(INDEX(#REF!,(MATCH('Old Calc Tab'!$C:$C,#REF!,0))),0)</f>
        <v>0</v>
      </c>
      <c r="O354" s="131">
        <f t="shared" si="68"/>
        <v>0</v>
      </c>
      <c r="P354" s="131">
        <f t="shared" si="69"/>
        <v>42751754</v>
      </c>
      <c r="Q354" s="131"/>
      <c r="R354" s="131"/>
      <c r="S354" s="131"/>
      <c r="T354" s="131"/>
      <c r="U354" s="131"/>
      <c r="V354" s="131">
        <v>7257305</v>
      </c>
      <c r="W354" s="180">
        <v>34657517.210000001</v>
      </c>
      <c r="X354" s="180">
        <f t="shared" si="80"/>
        <v>84666576.210000008</v>
      </c>
      <c r="Y354" s="181">
        <f>IF(D354="Physician Group Practice",(X354/$AE$369)*'1. UC Assumptions'!$C$15,IF(OR(E354="Rural Hospital",E354="Hosp - State"),X354,(X354/$X$369)*'1. UC Assumptions'!$C$9))</f>
        <v>50957681.83463455</v>
      </c>
      <c r="Z354" s="181">
        <f t="shared" si="70"/>
        <v>948622.83463454247</v>
      </c>
      <c r="AA354" s="181">
        <f t="shared" si="71"/>
        <v>0</v>
      </c>
      <c r="AB354" s="182">
        <f t="shared" si="72"/>
        <v>0</v>
      </c>
      <c r="AC354" s="181">
        <f t="shared" si="73"/>
        <v>0</v>
      </c>
      <c r="AD354" s="181">
        <f t="shared" si="74"/>
        <v>50009059.000000007</v>
      </c>
      <c r="AE354" s="131">
        <v>24541825.350000001</v>
      </c>
      <c r="AF354" s="131">
        <f>AE354*'1. UC Assumptions'!$C$23</f>
        <v>8098802.3654999994</v>
      </c>
      <c r="AG354" s="183">
        <f>IF((((X354-W354-AE354)*'1. UC Assumptions'!$C$23)+AF354)&gt;0,((X354-W354-AE354)*'1. UC Assumptions'!$C$23)+AF354,0)</f>
        <v>16502989.470000001</v>
      </c>
      <c r="AH354" s="183">
        <f>IF(((X354-W354-AE354)*'1. UC Assumptions'!$C$23)&gt;0,(X354-W354-AE354)*'1. UC Assumptions'!$C$23,0)</f>
        <v>8404187.1045000013</v>
      </c>
      <c r="AI354" s="183">
        <f t="shared" si="75"/>
        <v>16502989.470000001</v>
      </c>
      <c r="AJ354" s="183">
        <f>IF(H354="Bexar",(AD354/$AJ$1)*'1. UC Assumptions'!$E$42,0)</f>
        <v>0</v>
      </c>
      <c r="AK354" s="183">
        <f>IF(H354="Dallas",(AD354/$AK$1)*'1. UC Assumptions'!$F$42,0)</f>
        <v>0</v>
      </c>
      <c r="AL354" s="183">
        <f>IF(H354="El Paso",(AD354/$AL$1)*'1. UC Assumptions'!$G$42,0)</f>
        <v>0</v>
      </c>
      <c r="AM354" s="183">
        <f>IF(H354="Harris",(AD354/$AM$1)*'1. UC Assumptions'!$H$42,0)</f>
        <v>0</v>
      </c>
      <c r="AN354" s="183">
        <f>IF(H354="Hidalgo",(AD354/$AN$1)*'1. UC Assumptions'!$I$42,0)</f>
        <v>0</v>
      </c>
      <c r="AO354" s="183">
        <f>IF(H354="Jefferson",(AD354/$AO$1)*'1. UC Assumptions'!$J$42,0)</f>
        <v>0</v>
      </c>
      <c r="AP354" s="183">
        <f>IF(H354="Lubbock",(AD354/$AP$1)*'1. UC Assumptions'!$K$42,0)</f>
        <v>0</v>
      </c>
      <c r="AQ354" s="183">
        <f>IF(H354="MRSA Central",(AD354/$AQ$1)*'1. UC Assumptions'!$L$42,0)</f>
        <v>0</v>
      </c>
      <c r="AR354" s="183">
        <f>IF(H354="MRSA Northeast",(AD354/$AR$1)*'1. UC Assumptions'!$M$42,0)</f>
        <v>0</v>
      </c>
      <c r="AS354" s="183">
        <f>IF(H354="MRSA West",(AD354/$AS$1)*'1. UC Assumptions'!$N$42,0)</f>
        <v>0</v>
      </c>
      <c r="AT354" s="183">
        <f>IF(H354="Nueces",(AD354/$AT$1)*'1. UC Assumptions'!$O$42,0)</f>
        <v>0</v>
      </c>
      <c r="AU354" s="183">
        <f>IF(H354="Tarrant",(AD354/$AU$1)*'1. UC Assumptions'!$P$42,0)</f>
        <v>0</v>
      </c>
      <c r="AV354" s="183">
        <f>IF(H354="Travis",(AD354/$AV$1)*'1. UC Assumptions'!$Q$42,0)</f>
        <v>0</v>
      </c>
      <c r="AW354" s="183">
        <f>IF(H354="Bexar",(AC354/$AW$1)*'1. UC Assumptions'!$E$44,0)</f>
        <v>0</v>
      </c>
      <c r="AX354" s="183">
        <f>IF(H354="Dallas",(AC354/$AX$1)*'1. UC Assumptions'!$F$44,0)</f>
        <v>0</v>
      </c>
      <c r="AY354" s="183">
        <f>IF(H354="El Paso",(AC354/$AY$1)*'1. UC Assumptions'!$G$44,0)</f>
        <v>0</v>
      </c>
      <c r="AZ354" s="183">
        <f>IF(H354="Harris",(AC354/$AZ$1)*'1. UC Assumptions'!$H$44,0)</f>
        <v>0</v>
      </c>
      <c r="BA354" s="183">
        <f>IF(H354="Hidalgo",(AC354/$BA$1)*'1. UC Assumptions'!$I$44,0)</f>
        <v>0</v>
      </c>
      <c r="BB354" s="183">
        <f>IF(H354="Jefferson",(AC354/$BB$1)*'1. UC Assumptions'!$J$44,0)</f>
        <v>0</v>
      </c>
      <c r="BC354" s="183">
        <f>IF(H354="Lubbock",(AC354/$BC$1)*'1. UC Assumptions'!$K$44,0)</f>
        <v>0</v>
      </c>
      <c r="BD354" s="183">
        <f>IF(H354="MRSA Central",(AC354/$BD$1)*'1. UC Assumptions'!$L$44,0)</f>
        <v>0</v>
      </c>
      <c r="BE354" s="183">
        <f>IF(H354="MRSA Northeast",(AC354/$BE$1)*'1. UC Assumptions'!$M$44,0)</f>
        <v>0</v>
      </c>
      <c r="BF354" s="183">
        <f>IF(H354="MRSA West",(AC354/$BF$1)*'1. UC Assumptions'!$N$44,0)</f>
        <v>0</v>
      </c>
      <c r="BG354" s="183">
        <f>IF(H354="Nueces",(AC354/$BG$1)*'1. UC Assumptions'!$O$44,0)</f>
        <v>0</v>
      </c>
      <c r="BH354" s="183">
        <f>IF(H354="Tarrant",(AC354/$BH$1)*'1. UC Assumptions'!$P$44,0)</f>
        <v>0</v>
      </c>
      <c r="BI354" s="183">
        <f>IF(H354="Travis",(AC354/$BI$1)*'1. UC Assumptions'!$Q$44,0)</f>
        <v>0</v>
      </c>
      <c r="BJ354" s="183">
        <f t="shared" si="76"/>
        <v>0</v>
      </c>
      <c r="BK354" s="183">
        <f t="shared" si="77"/>
        <v>0</v>
      </c>
      <c r="BL354" s="183">
        <f t="shared" si="78"/>
        <v>50009059.000000007</v>
      </c>
      <c r="BM354" s="184">
        <f t="shared" si="79"/>
        <v>25467233.650000006</v>
      </c>
      <c r="BN354" s="184">
        <f>ROUNDDOWN(BM354*'1. UC Assumptions'!$C$23,2)</f>
        <v>8404187.0999999996</v>
      </c>
      <c r="BO354" s="184"/>
      <c r="BP354" s="186"/>
      <c r="BQ354" s="32"/>
      <c r="BR354" s="32"/>
    </row>
    <row r="355" spans="1:70">
      <c r="A355" s="177" t="s">
        <v>1831</v>
      </c>
      <c r="B355" s="178" t="s">
        <v>804</v>
      </c>
      <c r="C355" s="178" t="s">
        <v>804</v>
      </c>
      <c r="D355" s="179" t="s">
        <v>214</v>
      </c>
      <c r="E355" s="179"/>
      <c r="F355" s="177"/>
      <c r="G355" s="177" t="s">
        <v>1832</v>
      </c>
      <c r="H355" s="178" t="s">
        <v>15</v>
      </c>
      <c r="I355" s="178" t="s">
        <v>885</v>
      </c>
      <c r="J355" s="131">
        <f>IFERROR(INDEX(#REF!,(MATCH('Old Calc Tab'!C:C,#REF!,0))),0)</f>
        <v>0</v>
      </c>
      <c r="K355" s="131">
        <f>IFERROR(INDEX(#REF!,(MATCH('Old Calc Tab'!$C:$C,#REF!,0))),0)</f>
        <v>0</v>
      </c>
      <c r="L355" s="131"/>
      <c r="M355" s="131">
        <v>1120673.0785999999</v>
      </c>
      <c r="N355" s="131">
        <f>IFERROR(INDEX(#REF!,(MATCH('Old Calc Tab'!$C:$C,#REF!,0))),0)</f>
        <v>0</v>
      </c>
      <c r="O355" s="131">
        <f t="shared" si="68"/>
        <v>0</v>
      </c>
      <c r="P355" s="131">
        <f t="shared" si="69"/>
        <v>1120673.0785999999</v>
      </c>
      <c r="Q355" s="131"/>
      <c r="R355" s="131"/>
      <c r="S355" s="131"/>
      <c r="T355" s="131"/>
      <c r="U355" s="131"/>
      <c r="V355" s="131">
        <v>0</v>
      </c>
      <c r="W355" s="180">
        <v>0</v>
      </c>
      <c r="X355" s="180">
        <f t="shared" si="80"/>
        <v>1120673.0785999999</v>
      </c>
      <c r="Y355" s="181">
        <f>IF(D355="Physician Group Practice",(X355/$AE$369)*'1. UC Assumptions'!$C$15,IF(OR(E355="Rural Hospital",E355="Hosp - State"),X355,(X355/$X$369)*'1. UC Assumptions'!$C$9))</f>
        <v>674491.69124656613</v>
      </c>
      <c r="Z355" s="181">
        <f t="shared" si="70"/>
        <v>0</v>
      </c>
      <c r="AA355" s="181">
        <f t="shared" si="71"/>
        <v>446181.38735343376</v>
      </c>
      <c r="AB355" s="182">
        <f t="shared" si="72"/>
        <v>239.61330096084242</v>
      </c>
      <c r="AC355" s="181">
        <f t="shared" si="73"/>
        <v>446421.00065439462</v>
      </c>
      <c r="AD355" s="181">
        <f t="shared" si="74"/>
        <v>674731.30454752699</v>
      </c>
      <c r="AE355" s="131">
        <v>1015037.52</v>
      </c>
      <c r="AF355" s="131">
        <f>AE355*'1. UC Assumptions'!$C$23</f>
        <v>334962.38159999996</v>
      </c>
      <c r="AG355" s="183">
        <f>IF((((X355-W355-AE355)*'1. UC Assumptions'!$C$23)+AF355)&gt;0,((X355-W355-AE355)*'1. UC Assumptions'!$C$23)+AF355,0)</f>
        <v>369822.11593799992</v>
      </c>
      <c r="AH355" s="183"/>
      <c r="AI355" s="183">
        <f t="shared" si="75"/>
        <v>334962.38159999996</v>
      </c>
      <c r="AJ355" s="183">
        <f>IF(H355="Bexar",(AD355/$AJ$1)*'1. UC Assumptions'!$E$42,0)</f>
        <v>0</v>
      </c>
      <c r="AK355" s="183">
        <f>IF(H355="Dallas",(AD355/$AK$1)*'1. UC Assumptions'!$F$42,0)</f>
        <v>0</v>
      </c>
      <c r="AL355" s="183">
        <f>IF(H355="El Paso",(AD355/$AL$1)*'1. UC Assumptions'!$G$42,0)</f>
        <v>0</v>
      </c>
      <c r="AM355" s="183">
        <f>IF(H355="Harris",(AD355/$AM$1)*'1. UC Assumptions'!$H$42,0)</f>
        <v>0</v>
      </c>
      <c r="AN355" s="183">
        <f>IF(H355="Hidalgo",(AD355/$AN$1)*'1. UC Assumptions'!$I$42,0)</f>
        <v>0</v>
      </c>
      <c r="AO355" s="183">
        <f>IF(H355="Jefferson",(AD355/$AO$1)*'1. UC Assumptions'!$J$42,0)</f>
        <v>0</v>
      </c>
      <c r="AP355" s="183">
        <f>IF(H355="Lubbock",(AD355/$AP$1)*'1. UC Assumptions'!$K$42,0)</f>
        <v>0</v>
      </c>
      <c r="AQ355" s="183">
        <f>IF(H355="MRSA Central",(AD355/$AQ$1)*'1. UC Assumptions'!$L$42,0)</f>
        <v>0</v>
      </c>
      <c r="AR355" s="183">
        <f>IF(H355="MRSA Northeast",(AD355/$AR$1)*'1. UC Assumptions'!$M$42,0)</f>
        <v>0</v>
      </c>
      <c r="AS355" s="183">
        <f>IF(H355="MRSA West",(AD355/$AS$1)*'1. UC Assumptions'!$N$42,0)</f>
        <v>0</v>
      </c>
      <c r="AT355" s="183">
        <f>IF(H355="Nueces",(AD355/$AT$1)*'1. UC Assumptions'!$O$42,0)</f>
        <v>0</v>
      </c>
      <c r="AU355" s="183">
        <f>IF(H355="Tarrant",(AD355/$AU$1)*'1. UC Assumptions'!$P$42,0)</f>
        <v>0</v>
      </c>
      <c r="AV355" s="183">
        <f>IF(H355="Travis",(AD355/$AV$1)*'1. UC Assumptions'!$Q$42,0)</f>
        <v>0</v>
      </c>
      <c r="AW355" s="183">
        <f>IF(H355="Bexar",(AC355/$AW$1)*'1. UC Assumptions'!$E$44,0)</f>
        <v>0</v>
      </c>
      <c r="AX355" s="183">
        <f>IF(H355="Dallas",(AC355/$AX$1)*'1. UC Assumptions'!$F$44,0)</f>
        <v>0</v>
      </c>
      <c r="AY355" s="183">
        <f>IF(H355="El Paso",(AC355/$AY$1)*'1. UC Assumptions'!$G$44,0)</f>
        <v>0</v>
      </c>
      <c r="AZ355" s="183">
        <f>IF(H355="Harris",(AC355/$AZ$1)*'1. UC Assumptions'!$H$44,0)</f>
        <v>0</v>
      </c>
      <c r="BA355" s="183">
        <f>IF(H355="Hidalgo",(AC355/$BA$1)*'1. UC Assumptions'!$I$44,0)</f>
        <v>0</v>
      </c>
      <c r="BB355" s="183">
        <f>IF(H355="Jefferson",(AC355/$BB$1)*'1. UC Assumptions'!$J$44,0)</f>
        <v>0</v>
      </c>
      <c r="BC355" s="183">
        <f>IF(H355="Lubbock",(AC355/$BC$1)*'1. UC Assumptions'!$K$44,0)</f>
        <v>0</v>
      </c>
      <c r="BD355" s="183">
        <f>IF(H355="MRSA Central",(AC355/$BD$1)*'1. UC Assumptions'!$L$44,0)</f>
        <v>0</v>
      </c>
      <c r="BE355" s="183">
        <f>IF(H355="MRSA Northeast",(AC355/$BE$1)*'1. UC Assumptions'!$M$44,0)</f>
        <v>0</v>
      </c>
      <c r="BF355" s="183">
        <f>IF(H355="MRSA West",(AC355/$BF$1)*'1. UC Assumptions'!$N$44,0)</f>
        <v>0</v>
      </c>
      <c r="BG355" s="183">
        <f>IF(H355="Nueces",(AC355/$BG$1)*'1. UC Assumptions'!$O$44,0)</f>
        <v>0</v>
      </c>
      <c r="BH355" s="183">
        <f>IF(H355="Tarrant",(AC355/$BH$1)*'1. UC Assumptions'!$P$44,0)</f>
        <v>0</v>
      </c>
      <c r="BI355" s="183">
        <f>IF(H355="Travis",(AC355/$BI$1)*'1. UC Assumptions'!$Q$44,0)</f>
        <v>0</v>
      </c>
      <c r="BJ355" s="183">
        <f t="shared" si="76"/>
        <v>0</v>
      </c>
      <c r="BK355" s="183">
        <f t="shared" si="77"/>
        <v>0</v>
      </c>
      <c r="BL355" s="183">
        <f t="shared" si="78"/>
        <v>674731.30454752699</v>
      </c>
      <c r="BM355" s="184">
        <f t="shared" si="79"/>
        <v>-340306.21545247303</v>
      </c>
      <c r="BN355" s="184">
        <f>ROUNDDOWN(BM355*'1. UC Assumptions'!$C$23,2)</f>
        <v>-112301.05</v>
      </c>
      <c r="BO355" s="184"/>
      <c r="BP355" s="185"/>
      <c r="BQ355" s="32"/>
      <c r="BR355" s="32"/>
    </row>
    <row r="356" spans="1:70">
      <c r="A356" s="177" t="s">
        <v>1833</v>
      </c>
      <c r="B356" s="178" t="s">
        <v>805</v>
      </c>
      <c r="C356" s="178" t="s">
        <v>805</v>
      </c>
      <c r="D356" s="179" t="s">
        <v>214</v>
      </c>
      <c r="E356" s="179"/>
      <c r="F356" s="177"/>
      <c r="G356" s="177" t="s">
        <v>1834</v>
      </c>
      <c r="H356" s="178" t="s">
        <v>15</v>
      </c>
      <c r="I356" s="178" t="s">
        <v>15</v>
      </c>
      <c r="J356" s="131">
        <f>IFERROR(INDEX(#REF!,(MATCH('Old Calc Tab'!C:C,#REF!,0))),0)</f>
        <v>0</v>
      </c>
      <c r="K356" s="131">
        <f>IFERROR(INDEX(#REF!,(MATCH('Old Calc Tab'!$C:$C,#REF!,0))),0)</f>
        <v>0</v>
      </c>
      <c r="L356" s="131"/>
      <c r="M356" s="131">
        <v>4962480.2227999996</v>
      </c>
      <c r="N356" s="131">
        <f>IFERROR(INDEX(#REF!,(MATCH('Old Calc Tab'!$C:$C,#REF!,0))),0)</f>
        <v>0</v>
      </c>
      <c r="O356" s="131">
        <f t="shared" si="68"/>
        <v>0</v>
      </c>
      <c r="P356" s="131">
        <f t="shared" si="69"/>
        <v>4962480.2227999996</v>
      </c>
      <c r="Q356" s="131"/>
      <c r="R356" s="131"/>
      <c r="S356" s="131"/>
      <c r="T356" s="131"/>
      <c r="U356" s="131"/>
      <c r="V356" s="131">
        <v>214991</v>
      </c>
      <c r="W356" s="180">
        <v>0</v>
      </c>
      <c r="X356" s="180">
        <f t="shared" si="80"/>
        <v>5177471.2227999996</v>
      </c>
      <c r="Y356" s="181">
        <f>IF(D356="Physician Group Practice",(X356/$AE$369)*'1. UC Assumptions'!$C$15,IF(OR(E356="Rural Hospital",E356="Hosp - State"),X356,(X356/$X$369)*'1. UC Assumptions'!$C$9))</f>
        <v>3116128.5018190844</v>
      </c>
      <c r="Z356" s="181">
        <f t="shared" si="70"/>
        <v>0</v>
      </c>
      <c r="AA356" s="181">
        <f t="shared" si="71"/>
        <v>2061342.7209809152</v>
      </c>
      <c r="AB356" s="182">
        <f t="shared" si="72"/>
        <v>1107.0052399890649</v>
      </c>
      <c r="AC356" s="181">
        <f t="shared" si="73"/>
        <v>2062449.7262209044</v>
      </c>
      <c r="AD356" s="181">
        <f t="shared" si="74"/>
        <v>3117235.5070590735</v>
      </c>
      <c r="AE356" s="131">
        <v>4188804.77</v>
      </c>
      <c r="AF356" s="131">
        <f>AE356*'1. UC Assumptions'!$C$23</f>
        <v>1382305.5740999999</v>
      </c>
      <c r="AG356" s="183">
        <f>IF((((X356-W356-AE356)*'1. UC Assumptions'!$C$23)+AF356)&gt;0,((X356-W356-AE356)*'1. UC Assumptions'!$C$23)+AF356,0)</f>
        <v>1708565.5035239998</v>
      </c>
      <c r="AH356" s="183"/>
      <c r="AI356" s="183">
        <f t="shared" si="75"/>
        <v>1382305.5740999999</v>
      </c>
      <c r="AJ356" s="183">
        <f>IF(H356="Bexar",(AD356/$AJ$1)*'1. UC Assumptions'!$E$42,0)</f>
        <v>0</v>
      </c>
      <c r="AK356" s="183">
        <f>IF(H356="Dallas",(AD356/$AK$1)*'1. UC Assumptions'!$F$42,0)</f>
        <v>0</v>
      </c>
      <c r="AL356" s="183">
        <f>IF(H356="El Paso",(AD356/$AL$1)*'1. UC Assumptions'!$G$42,0)</f>
        <v>0</v>
      </c>
      <c r="AM356" s="183">
        <f>IF(H356="Harris",(AD356/$AM$1)*'1. UC Assumptions'!$H$42,0)</f>
        <v>0</v>
      </c>
      <c r="AN356" s="183">
        <f>IF(H356="Hidalgo",(AD356/$AN$1)*'1. UC Assumptions'!$I$42,0)</f>
        <v>0</v>
      </c>
      <c r="AO356" s="183">
        <f>IF(H356="Jefferson",(AD356/$AO$1)*'1. UC Assumptions'!$J$42,0)</f>
        <v>0</v>
      </c>
      <c r="AP356" s="183">
        <f>IF(H356="Lubbock",(AD356/$AP$1)*'1. UC Assumptions'!$K$42,0)</f>
        <v>0</v>
      </c>
      <c r="AQ356" s="183">
        <f>IF(H356="MRSA Central",(AD356/$AQ$1)*'1. UC Assumptions'!$L$42,0)</f>
        <v>0</v>
      </c>
      <c r="AR356" s="183">
        <f>IF(H356="MRSA Northeast",(AD356/$AR$1)*'1. UC Assumptions'!$M$42,0)</f>
        <v>0</v>
      </c>
      <c r="AS356" s="183">
        <f>IF(H356="MRSA West",(AD356/$AS$1)*'1. UC Assumptions'!$N$42,0)</f>
        <v>0</v>
      </c>
      <c r="AT356" s="183">
        <f>IF(H356="Nueces",(AD356/$AT$1)*'1. UC Assumptions'!$O$42,0)</f>
        <v>0</v>
      </c>
      <c r="AU356" s="183">
        <f>IF(H356="Tarrant",(AD356/$AU$1)*'1. UC Assumptions'!$P$42,0)</f>
        <v>0</v>
      </c>
      <c r="AV356" s="183">
        <f>IF(H356="Travis",(AD356/$AV$1)*'1. UC Assumptions'!$Q$42,0)</f>
        <v>0</v>
      </c>
      <c r="AW356" s="183">
        <f>IF(H356="Bexar",(AC356/$AW$1)*'1. UC Assumptions'!$E$44,0)</f>
        <v>0</v>
      </c>
      <c r="AX356" s="183">
        <f>IF(H356="Dallas",(AC356/$AX$1)*'1. UC Assumptions'!$F$44,0)</f>
        <v>0</v>
      </c>
      <c r="AY356" s="183">
        <f>IF(H356="El Paso",(AC356/$AY$1)*'1. UC Assumptions'!$G$44,0)</f>
        <v>0</v>
      </c>
      <c r="AZ356" s="183">
        <f>IF(H356="Harris",(AC356/$AZ$1)*'1. UC Assumptions'!$H$44,0)</f>
        <v>0</v>
      </c>
      <c r="BA356" s="183">
        <f>IF(H356="Hidalgo",(AC356/$BA$1)*'1. UC Assumptions'!$I$44,0)</f>
        <v>0</v>
      </c>
      <c r="BB356" s="183">
        <f>IF(H356="Jefferson",(AC356/$BB$1)*'1. UC Assumptions'!$J$44,0)</f>
        <v>0</v>
      </c>
      <c r="BC356" s="183">
        <f>IF(H356="Lubbock",(AC356/$BC$1)*'1. UC Assumptions'!$K$44,0)</f>
        <v>0</v>
      </c>
      <c r="BD356" s="183">
        <f>IF(H356="MRSA Central",(AC356/$BD$1)*'1. UC Assumptions'!$L$44,0)</f>
        <v>0</v>
      </c>
      <c r="BE356" s="183">
        <f>IF(H356="MRSA Northeast",(AC356/$BE$1)*'1. UC Assumptions'!$M$44,0)</f>
        <v>0</v>
      </c>
      <c r="BF356" s="183">
        <f>IF(H356="MRSA West",(AC356/$BF$1)*'1. UC Assumptions'!$N$44,0)</f>
        <v>0</v>
      </c>
      <c r="BG356" s="183">
        <f>IF(H356="Nueces",(AC356/$BG$1)*'1. UC Assumptions'!$O$44,0)</f>
        <v>0</v>
      </c>
      <c r="BH356" s="183">
        <f>IF(H356="Tarrant",(AC356/$BH$1)*'1. UC Assumptions'!$P$44,0)</f>
        <v>0</v>
      </c>
      <c r="BI356" s="183">
        <f>IF(H356="Travis",(AC356/$BI$1)*'1. UC Assumptions'!$Q$44,0)</f>
        <v>0</v>
      </c>
      <c r="BJ356" s="183">
        <f t="shared" si="76"/>
        <v>0</v>
      </c>
      <c r="BK356" s="183">
        <f t="shared" si="77"/>
        <v>0</v>
      </c>
      <c r="BL356" s="183">
        <f t="shared" si="78"/>
        <v>3117235.5070590735</v>
      </c>
      <c r="BM356" s="184">
        <f t="shared" si="79"/>
        <v>-1071569.2629409265</v>
      </c>
      <c r="BN356" s="184">
        <f>ROUNDDOWN(BM356*'1. UC Assumptions'!$C$23,2)</f>
        <v>-353617.85</v>
      </c>
      <c r="BO356" s="184"/>
      <c r="BP356" s="185"/>
      <c r="BQ356" s="32"/>
      <c r="BR356" s="32"/>
    </row>
    <row r="357" spans="1:70">
      <c r="A357" s="177" t="s">
        <v>1835</v>
      </c>
      <c r="B357" s="178" t="s">
        <v>829</v>
      </c>
      <c r="C357" s="178" t="s">
        <v>829</v>
      </c>
      <c r="D357" s="179" t="s">
        <v>214</v>
      </c>
      <c r="E357" s="179" t="s">
        <v>149</v>
      </c>
      <c r="F357" s="177"/>
      <c r="G357" s="177" t="s">
        <v>830</v>
      </c>
      <c r="H357" s="178" t="s">
        <v>15</v>
      </c>
      <c r="I357" s="178" t="s">
        <v>831</v>
      </c>
      <c r="J357" s="131">
        <f>IFERROR(INDEX(#REF!,(MATCH('Old Calc Tab'!C:C,#REF!,0))),0)</f>
        <v>0</v>
      </c>
      <c r="K357" s="131">
        <f>IFERROR(INDEX(#REF!,(MATCH('Old Calc Tab'!$C:$C,#REF!,0))),0)</f>
        <v>0</v>
      </c>
      <c r="L357" s="131"/>
      <c r="M357" s="131">
        <v>0</v>
      </c>
      <c r="N357" s="131">
        <f>IFERROR(INDEX(#REF!,(MATCH('Old Calc Tab'!$C:$C,#REF!,0))),0)</f>
        <v>0</v>
      </c>
      <c r="O357" s="131">
        <f t="shared" si="68"/>
        <v>0</v>
      </c>
      <c r="P357" s="131">
        <f t="shared" si="69"/>
        <v>0</v>
      </c>
      <c r="Q357" s="131"/>
      <c r="R357" s="131"/>
      <c r="S357" s="131"/>
      <c r="T357" s="131"/>
      <c r="U357" s="131"/>
      <c r="V357" s="131">
        <v>0</v>
      </c>
      <c r="W357" s="180">
        <v>0</v>
      </c>
      <c r="X357" s="180">
        <f t="shared" si="80"/>
        <v>0</v>
      </c>
      <c r="Y357" s="181">
        <f>IF(D357="Physician Group Practice",(X357/$AE$369)*'1. UC Assumptions'!$C$15,IF(OR(E357="Rural Hospital",E357="Hosp - State"),X357,(X357/$X$369)*'1. UC Assumptions'!$C$9))</f>
        <v>0</v>
      </c>
      <c r="Z357" s="181">
        <f t="shared" si="70"/>
        <v>0</v>
      </c>
      <c r="AA357" s="181">
        <f t="shared" si="71"/>
        <v>0</v>
      </c>
      <c r="AB357" s="182">
        <f t="shared" si="72"/>
        <v>0</v>
      </c>
      <c r="AC357" s="181">
        <f t="shared" si="73"/>
        <v>0</v>
      </c>
      <c r="AD357" s="181">
        <f t="shared" si="74"/>
        <v>0</v>
      </c>
      <c r="AE357" s="131">
        <v>45641.26</v>
      </c>
      <c r="AF357" s="131">
        <f>AE357*'1. UC Assumptions'!$C$23</f>
        <v>15061.6158</v>
      </c>
      <c r="AG357" s="183">
        <f>IF((((X357-W357-AE357)*'1. UC Assumptions'!$C$23)+AF357)&gt;0,((X357-W357-AE357)*'1. UC Assumptions'!$C$23)+AF357,0)</f>
        <v>0</v>
      </c>
      <c r="AH357" s="183"/>
      <c r="AI357" s="183">
        <f t="shared" si="75"/>
        <v>15061.6158</v>
      </c>
      <c r="AJ357" s="183">
        <f>IF(H357="Bexar",(AD357/$AJ$1)*'1. UC Assumptions'!$E$42,0)</f>
        <v>0</v>
      </c>
      <c r="AK357" s="183">
        <f>IF(H357="Dallas",(AD357/$AK$1)*'1. UC Assumptions'!$F$42,0)</f>
        <v>0</v>
      </c>
      <c r="AL357" s="183">
        <f>IF(H357="El Paso",(AD357/$AL$1)*'1. UC Assumptions'!$G$42,0)</f>
        <v>0</v>
      </c>
      <c r="AM357" s="183">
        <f>IF(H357="Harris",(AD357/$AM$1)*'1. UC Assumptions'!$H$42,0)</f>
        <v>0</v>
      </c>
      <c r="AN357" s="183">
        <f>IF(H357="Hidalgo",(AD357/$AN$1)*'1. UC Assumptions'!$I$42,0)</f>
        <v>0</v>
      </c>
      <c r="AO357" s="183">
        <f>IF(H357="Jefferson",(AD357/$AO$1)*'1. UC Assumptions'!$J$42,0)</f>
        <v>0</v>
      </c>
      <c r="AP357" s="183">
        <f>IF(H357="Lubbock",(AD357/$AP$1)*'1. UC Assumptions'!$K$42,0)</f>
        <v>0</v>
      </c>
      <c r="AQ357" s="183">
        <f>IF(H357="MRSA Central",(AD357/$AQ$1)*'1. UC Assumptions'!$L$42,0)</f>
        <v>0</v>
      </c>
      <c r="AR357" s="183">
        <f>IF(H357="MRSA Northeast",(AD357/$AR$1)*'1. UC Assumptions'!$M$42,0)</f>
        <v>0</v>
      </c>
      <c r="AS357" s="183">
        <f>IF(H357="MRSA West",(AD357/$AS$1)*'1. UC Assumptions'!$N$42,0)</f>
        <v>0</v>
      </c>
      <c r="AT357" s="183">
        <f>IF(H357="Nueces",(AD357/$AT$1)*'1. UC Assumptions'!$O$42,0)</f>
        <v>0</v>
      </c>
      <c r="AU357" s="183">
        <f>IF(H357="Tarrant",(AD357/$AU$1)*'1. UC Assumptions'!$P$42,0)</f>
        <v>0</v>
      </c>
      <c r="AV357" s="183">
        <f>IF(H357="Travis",(AD357/$AV$1)*'1. UC Assumptions'!$Q$42,0)</f>
        <v>0</v>
      </c>
      <c r="AW357" s="183">
        <f>IF(H357="Bexar",(AC357/$AW$1)*'1. UC Assumptions'!$E$44,0)</f>
        <v>0</v>
      </c>
      <c r="AX357" s="183">
        <f>IF(H357="Dallas",(AC357/$AX$1)*'1. UC Assumptions'!$F$44,0)</f>
        <v>0</v>
      </c>
      <c r="AY357" s="183">
        <f>IF(H357="El Paso",(AC357/$AY$1)*'1. UC Assumptions'!$G$44,0)</f>
        <v>0</v>
      </c>
      <c r="AZ357" s="183">
        <f>IF(H357="Harris",(AC357/$AZ$1)*'1. UC Assumptions'!$H$44,0)</f>
        <v>0</v>
      </c>
      <c r="BA357" s="183">
        <f>IF(H357="Hidalgo",(AC357/$BA$1)*'1. UC Assumptions'!$I$44,0)</f>
        <v>0</v>
      </c>
      <c r="BB357" s="183">
        <f>IF(H357="Jefferson",(AC357/$BB$1)*'1. UC Assumptions'!$J$44,0)</f>
        <v>0</v>
      </c>
      <c r="BC357" s="183">
        <f>IF(H357="Lubbock",(AC357/$BC$1)*'1. UC Assumptions'!$K$44,0)</f>
        <v>0</v>
      </c>
      <c r="BD357" s="183">
        <f>IF(H357="MRSA Central",(AC357/$BD$1)*'1. UC Assumptions'!$L$44,0)</f>
        <v>0</v>
      </c>
      <c r="BE357" s="183">
        <f>IF(H357="MRSA Northeast",(AC357/$BE$1)*'1. UC Assumptions'!$M$44,0)</f>
        <v>0</v>
      </c>
      <c r="BF357" s="183">
        <f>IF(H357="MRSA West",(AC357/$BF$1)*'1. UC Assumptions'!$N$44,0)</f>
        <v>0</v>
      </c>
      <c r="BG357" s="183">
        <f>IF(H357="Nueces",(AC357/$BG$1)*'1. UC Assumptions'!$O$44,0)</f>
        <v>0</v>
      </c>
      <c r="BH357" s="183">
        <f>IF(H357="Tarrant",(AC357/$BH$1)*'1. UC Assumptions'!$P$44,0)</f>
        <v>0</v>
      </c>
      <c r="BI357" s="183">
        <f>IF(H357="Travis",(AC357/$BI$1)*'1. UC Assumptions'!$Q$44,0)</f>
        <v>0</v>
      </c>
      <c r="BJ357" s="183">
        <f t="shared" si="76"/>
        <v>0</v>
      </c>
      <c r="BK357" s="183">
        <f t="shared" si="77"/>
        <v>0</v>
      </c>
      <c r="BL357" s="183">
        <f t="shared" si="78"/>
        <v>0</v>
      </c>
      <c r="BM357" s="184">
        <f t="shared" si="79"/>
        <v>-45641.26</v>
      </c>
      <c r="BN357" s="184">
        <f>ROUNDDOWN(BM357*'1. UC Assumptions'!$C$23,2)</f>
        <v>-15061.61</v>
      </c>
      <c r="BO357" s="184"/>
      <c r="BP357" s="185"/>
      <c r="BQ357" s="32"/>
      <c r="BR357" s="32"/>
    </row>
    <row r="358" spans="1:70">
      <c r="A358" s="177" t="s">
        <v>1836</v>
      </c>
      <c r="B358" s="178" t="s">
        <v>844</v>
      </c>
      <c r="C358" s="178" t="s">
        <v>844</v>
      </c>
      <c r="D358" s="179" t="s">
        <v>214</v>
      </c>
      <c r="E358" s="179"/>
      <c r="F358" s="177"/>
      <c r="G358" s="177" t="s">
        <v>1837</v>
      </c>
      <c r="H358" s="178" t="s">
        <v>15</v>
      </c>
      <c r="I358" s="178" t="s">
        <v>15</v>
      </c>
      <c r="J358" s="131">
        <f>IFERROR(INDEX(#REF!,(MATCH('Old Calc Tab'!C:C,#REF!,0))),0)</f>
        <v>0</v>
      </c>
      <c r="K358" s="131">
        <f>IFERROR(INDEX(#REF!,(MATCH('Old Calc Tab'!$C:$C,#REF!,0))),0)</f>
        <v>0</v>
      </c>
      <c r="L358" s="131"/>
      <c r="M358" s="131">
        <v>3612882.1637046803</v>
      </c>
      <c r="N358" s="131">
        <f>IFERROR(INDEX(#REF!,(MATCH('Old Calc Tab'!$C:$C,#REF!,0))),0)</f>
        <v>0</v>
      </c>
      <c r="O358" s="131">
        <f t="shared" si="68"/>
        <v>0</v>
      </c>
      <c r="P358" s="131">
        <f t="shared" si="69"/>
        <v>3612882.1637046803</v>
      </c>
      <c r="Q358" s="131"/>
      <c r="R358" s="131"/>
      <c r="S358" s="131"/>
      <c r="T358" s="131"/>
      <c r="U358" s="131"/>
      <c r="V358" s="131">
        <v>432724</v>
      </c>
      <c r="W358" s="180">
        <v>0</v>
      </c>
      <c r="X358" s="180">
        <f t="shared" si="80"/>
        <v>4045606.1637046803</v>
      </c>
      <c r="Y358" s="181">
        <f>IF(D358="Physician Group Practice",(X358/$AE$369)*'1. UC Assumptions'!$C$15,IF(OR(E358="Rural Hospital",E358="Hosp - State"),X358,(X358/$X$369)*'1. UC Assumptions'!$C$9))</f>
        <v>2434900.7713146494</v>
      </c>
      <c r="Z358" s="181">
        <f t="shared" si="70"/>
        <v>0</v>
      </c>
      <c r="AA358" s="181">
        <f t="shared" si="71"/>
        <v>1610705.3923900309</v>
      </c>
      <c r="AB358" s="182">
        <f t="shared" si="72"/>
        <v>864.99895980708948</v>
      </c>
      <c r="AC358" s="181">
        <f t="shared" si="73"/>
        <v>1611570.3913498379</v>
      </c>
      <c r="AD358" s="181">
        <f t="shared" si="74"/>
        <v>2435765.7702744566</v>
      </c>
      <c r="AE358" s="131">
        <v>0</v>
      </c>
      <c r="AF358" s="131">
        <f>AE358*'1. UC Assumptions'!$C$23</f>
        <v>0</v>
      </c>
      <c r="AG358" s="183">
        <f>IF((((X358-W358-AE358)*'1. UC Assumptions'!$C$23)+AF358)&gt;0,((X358-W358-AE358)*'1. UC Assumptions'!$C$23)+AF358,0)</f>
        <v>1335050.0340225443</v>
      </c>
      <c r="AH358" s="183"/>
      <c r="AI358" s="183">
        <f t="shared" si="75"/>
        <v>0</v>
      </c>
      <c r="AJ358" s="183">
        <f>IF(H358="Bexar",(AD358/$AJ$1)*'1. UC Assumptions'!$E$42,0)</f>
        <v>0</v>
      </c>
      <c r="AK358" s="183">
        <f>IF(H358="Dallas",(AD358/$AK$1)*'1. UC Assumptions'!$F$42,0)</f>
        <v>0</v>
      </c>
      <c r="AL358" s="183">
        <f>IF(H358="El Paso",(AD358/$AL$1)*'1. UC Assumptions'!$G$42,0)</f>
        <v>0</v>
      </c>
      <c r="AM358" s="183">
        <f>IF(H358="Harris",(AD358/$AM$1)*'1. UC Assumptions'!$H$42,0)</f>
        <v>0</v>
      </c>
      <c r="AN358" s="183">
        <f>IF(H358="Hidalgo",(AD358/$AN$1)*'1. UC Assumptions'!$I$42,0)</f>
        <v>0</v>
      </c>
      <c r="AO358" s="183">
        <f>IF(H358="Jefferson",(AD358/$AO$1)*'1. UC Assumptions'!$J$42,0)</f>
        <v>0</v>
      </c>
      <c r="AP358" s="183">
        <f>IF(H358="Lubbock",(AD358/$AP$1)*'1. UC Assumptions'!$K$42,0)</f>
        <v>0</v>
      </c>
      <c r="AQ358" s="183">
        <f>IF(H358="MRSA Central",(AD358/$AQ$1)*'1. UC Assumptions'!$L$42,0)</f>
        <v>0</v>
      </c>
      <c r="AR358" s="183">
        <f>IF(H358="MRSA Northeast",(AD358/$AR$1)*'1. UC Assumptions'!$M$42,0)</f>
        <v>0</v>
      </c>
      <c r="AS358" s="183">
        <f>IF(H358="MRSA West",(AD358/$AS$1)*'1. UC Assumptions'!$N$42,0)</f>
        <v>0</v>
      </c>
      <c r="AT358" s="183">
        <f>IF(H358="Nueces",(AD358/$AT$1)*'1. UC Assumptions'!$O$42,0)</f>
        <v>0</v>
      </c>
      <c r="AU358" s="183">
        <f>IF(H358="Tarrant",(AD358/$AU$1)*'1. UC Assumptions'!$P$42,0)</f>
        <v>0</v>
      </c>
      <c r="AV358" s="183">
        <f>IF(H358="Travis",(AD358/$AV$1)*'1. UC Assumptions'!$Q$42,0)</f>
        <v>0</v>
      </c>
      <c r="AW358" s="183">
        <f>IF(H358="Bexar",(AC358/$AW$1)*'1. UC Assumptions'!$E$44,0)</f>
        <v>0</v>
      </c>
      <c r="AX358" s="183">
        <f>IF(H358="Dallas",(AC358/$AX$1)*'1. UC Assumptions'!$F$44,0)</f>
        <v>0</v>
      </c>
      <c r="AY358" s="183">
        <f>IF(H358="El Paso",(AC358/$AY$1)*'1. UC Assumptions'!$G$44,0)</f>
        <v>0</v>
      </c>
      <c r="AZ358" s="183">
        <f>IF(H358="Harris",(AC358/$AZ$1)*'1. UC Assumptions'!$H$44,0)</f>
        <v>0</v>
      </c>
      <c r="BA358" s="183">
        <f>IF(H358="Hidalgo",(AC358/$BA$1)*'1. UC Assumptions'!$I$44,0)</f>
        <v>0</v>
      </c>
      <c r="BB358" s="183">
        <f>IF(H358="Jefferson",(AC358/$BB$1)*'1. UC Assumptions'!$J$44,0)</f>
        <v>0</v>
      </c>
      <c r="BC358" s="183">
        <f>IF(H358="Lubbock",(AC358/$BC$1)*'1. UC Assumptions'!$K$44,0)</f>
        <v>0</v>
      </c>
      <c r="BD358" s="183">
        <f>IF(H358="MRSA Central",(AC358/$BD$1)*'1. UC Assumptions'!$L$44,0)</f>
        <v>0</v>
      </c>
      <c r="BE358" s="183">
        <f>IF(H358="MRSA Northeast",(AC358/$BE$1)*'1. UC Assumptions'!$M$44,0)</f>
        <v>0</v>
      </c>
      <c r="BF358" s="183">
        <f>IF(H358="MRSA West",(AC358/$BF$1)*'1. UC Assumptions'!$N$44,0)</f>
        <v>0</v>
      </c>
      <c r="BG358" s="183">
        <f>IF(H358="Nueces",(AC358/$BG$1)*'1. UC Assumptions'!$O$44,0)</f>
        <v>0</v>
      </c>
      <c r="BH358" s="183">
        <f>IF(H358="Tarrant",(AC358/$BH$1)*'1. UC Assumptions'!$P$44,0)</f>
        <v>0</v>
      </c>
      <c r="BI358" s="183">
        <f>IF(H358="Travis",(AC358/$BI$1)*'1. UC Assumptions'!$Q$44,0)</f>
        <v>0</v>
      </c>
      <c r="BJ358" s="183">
        <f t="shared" si="76"/>
        <v>0</v>
      </c>
      <c r="BK358" s="183">
        <f t="shared" si="77"/>
        <v>0</v>
      </c>
      <c r="BL358" s="183">
        <f t="shared" si="78"/>
        <v>2435765.7702744566</v>
      </c>
      <c r="BM358" s="184">
        <f t="shared" si="79"/>
        <v>2435765.7702744566</v>
      </c>
      <c r="BN358" s="184">
        <f>ROUNDDOWN(BM358*'1. UC Assumptions'!$C$23,2)</f>
        <v>803802.7</v>
      </c>
      <c r="BO358" s="184"/>
      <c r="BP358" s="185"/>
      <c r="BQ358" s="32"/>
      <c r="BR358" s="32"/>
    </row>
    <row r="359" spans="1:70">
      <c r="A359" s="177" t="s">
        <v>1838</v>
      </c>
      <c r="B359" s="177" t="s">
        <v>848</v>
      </c>
      <c r="C359" s="178" t="s">
        <v>848</v>
      </c>
      <c r="D359" s="179" t="s">
        <v>214</v>
      </c>
      <c r="E359" s="179"/>
      <c r="F359" s="177"/>
      <c r="G359" s="177" t="s">
        <v>849</v>
      </c>
      <c r="H359" s="178" t="s">
        <v>15</v>
      </c>
      <c r="I359" s="178" t="s">
        <v>242</v>
      </c>
      <c r="J359" s="131">
        <f>IFERROR(INDEX(#REF!,(MATCH('Old Calc Tab'!C:C,#REF!,0))),0)</f>
        <v>0</v>
      </c>
      <c r="K359" s="131">
        <f>IFERROR(INDEX(#REF!,(MATCH('Old Calc Tab'!$C:$C,#REF!,0))),0)</f>
        <v>0</v>
      </c>
      <c r="L359" s="131"/>
      <c r="M359" s="131">
        <v>2725717.0300000003</v>
      </c>
      <c r="N359" s="131">
        <f>IFERROR(INDEX(#REF!,(MATCH('Old Calc Tab'!$C:$C,#REF!,0))),0)</f>
        <v>0</v>
      </c>
      <c r="O359" s="131">
        <f t="shared" si="68"/>
        <v>0</v>
      </c>
      <c r="P359" s="131">
        <f t="shared" si="69"/>
        <v>2725717.0300000003</v>
      </c>
      <c r="Q359" s="131"/>
      <c r="R359" s="131"/>
      <c r="S359" s="131"/>
      <c r="T359" s="131"/>
      <c r="U359" s="131"/>
      <c r="V359" s="131">
        <v>1435476.43</v>
      </c>
      <c r="W359" s="180">
        <v>0</v>
      </c>
      <c r="X359" s="180">
        <f t="shared" si="80"/>
        <v>4161193.46</v>
      </c>
      <c r="Y359" s="181">
        <f>IF(D359="Physician Group Practice",(X359/$AE$369)*'1. UC Assumptions'!$C$15,IF(OR(E359="Rural Hospital",E359="Hosp - State"),X359,(X359/$X$369)*'1. UC Assumptions'!$C$9))</f>
        <v>2504468.4913336248</v>
      </c>
      <c r="Z359" s="181">
        <f t="shared" si="70"/>
        <v>0</v>
      </c>
      <c r="AA359" s="181">
        <f t="shared" si="71"/>
        <v>1656724.9686663751</v>
      </c>
      <c r="AB359" s="182">
        <f t="shared" si="72"/>
        <v>889.71290550930985</v>
      </c>
      <c r="AC359" s="181">
        <f t="shared" si="73"/>
        <v>1657614.6815718845</v>
      </c>
      <c r="AD359" s="181">
        <f t="shared" si="74"/>
        <v>2505358.2042391342</v>
      </c>
      <c r="AE359" s="131">
        <v>5182789.16</v>
      </c>
      <c r="AF359" s="131">
        <f>AE359*'1. UC Assumptions'!$C$23</f>
        <v>1710320.4227999998</v>
      </c>
      <c r="AG359" s="183">
        <f>IF((((X359-W359-AE359)*'1. UC Assumptions'!$C$23)+AF359)&gt;0,((X359-W359-AE359)*'1. UC Assumptions'!$C$23)+AF359,0)</f>
        <v>1373193.8417999998</v>
      </c>
      <c r="AH359" s="183"/>
      <c r="AI359" s="183">
        <f t="shared" si="75"/>
        <v>1710320.4227999998</v>
      </c>
      <c r="AJ359" s="183">
        <f>IF(H359="Bexar",(AD359/$AJ$1)*'1. UC Assumptions'!$E$42,0)</f>
        <v>0</v>
      </c>
      <c r="AK359" s="183">
        <f>IF(H359="Dallas",(AD359/$AK$1)*'1. UC Assumptions'!$F$42,0)</f>
        <v>0</v>
      </c>
      <c r="AL359" s="183">
        <f>IF(H359="El Paso",(AD359/$AL$1)*'1. UC Assumptions'!$G$42,0)</f>
        <v>0</v>
      </c>
      <c r="AM359" s="183">
        <f>IF(H359="Harris",(AD359/$AM$1)*'1. UC Assumptions'!$H$42,0)</f>
        <v>0</v>
      </c>
      <c r="AN359" s="183">
        <f>IF(H359="Hidalgo",(AD359/$AN$1)*'1. UC Assumptions'!$I$42,0)</f>
        <v>0</v>
      </c>
      <c r="AO359" s="183">
        <f>IF(H359="Jefferson",(AD359/$AO$1)*'1. UC Assumptions'!$J$42,0)</f>
        <v>0</v>
      </c>
      <c r="AP359" s="183">
        <f>IF(H359="Lubbock",(AD359/$AP$1)*'1. UC Assumptions'!$K$42,0)</f>
        <v>0</v>
      </c>
      <c r="AQ359" s="183">
        <f>IF(H359="MRSA Central",(AD359/$AQ$1)*'1. UC Assumptions'!$L$42,0)</f>
        <v>0</v>
      </c>
      <c r="AR359" s="183">
        <f>IF(H359="MRSA Northeast",(AD359/$AR$1)*'1. UC Assumptions'!$M$42,0)</f>
        <v>0</v>
      </c>
      <c r="AS359" s="183">
        <f>IF(H359="MRSA West",(AD359/$AS$1)*'1. UC Assumptions'!$N$42,0)</f>
        <v>0</v>
      </c>
      <c r="AT359" s="183">
        <f>IF(H359="Nueces",(AD359/$AT$1)*'1. UC Assumptions'!$O$42,0)</f>
        <v>0</v>
      </c>
      <c r="AU359" s="183">
        <f>IF(H359="Tarrant",(AD359/$AU$1)*'1. UC Assumptions'!$P$42,0)</f>
        <v>0</v>
      </c>
      <c r="AV359" s="183">
        <f>IF(H359="Travis",(AD359/$AV$1)*'1. UC Assumptions'!$Q$42,0)</f>
        <v>0</v>
      </c>
      <c r="AW359" s="183">
        <f>IF(H359="Bexar",(AC359/$AW$1)*'1. UC Assumptions'!$E$44,0)</f>
        <v>0</v>
      </c>
      <c r="AX359" s="183">
        <f>IF(H359="Dallas",(AC359/$AX$1)*'1. UC Assumptions'!$F$44,0)</f>
        <v>0</v>
      </c>
      <c r="AY359" s="183">
        <f>IF(H359="El Paso",(AC359/$AY$1)*'1. UC Assumptions'!$G$44,0)</f>
        <v>0</v>
      </c>
      <c r="AZ359" s="183">
        <f>IF(H359="Harris",(AC359/$AZ$1)*'1. UC Assumptions'!$H$44,0)</f>
        <v>0</v>
      </c>
      <c r="BA359" s="183">
        <f>IF(H359="Hidalgo",(AC359/$BA$1)*'1. UC Assumptions'!$I$44,0)</f>
        <v>0</v>
      </c>
      <c r="BB359" s="183">
        <f>IF(H359="Jefferson",(AC359/$BB$1)*'1. UC Assumptions'!$J$44,0)</f>
        <v>0</v>
      </c>
      <c r="BC359" s="183">
        <f>IF(H359="Lubbock",(AC359/$BC$1)*'1. UC Assumptions'!$K$44,0)</f>
        <v>0</v>
      </c>
      <c r="BD359" s="183">
        <f>IF(H359="MRSA Central",(AC359/$BD$1)*'1. UC Assumptions'!$L$44,0)</f>
        <v>0</v>
      </c>
      <c r="BE359" s="183">
        <f>IF(H359="MRSA Northeast",(AC359/$BE$1)*'1. UC Assumptions'!$M$44,0)</f>
        <v>0</v>
      </c>
      <c r="BF359" s="183">
        <f>IF(H359="MRSA West",(AC359/$BF$1)*'1. UC Assumptions'!$N$44,0)</f>
        <v>0</v>
      </c>
      <c r="BG359" s="183">
        <f>IF(H359="Nueces",(AC359/$BG$1)*'1. UC Assumptions'!$O$44,0)</f>
        <v>0</v>
      </c>
      <c r="BH359" s="183">
        <f>IF(H359="Tarrant",(AC359/$BH$1)*'1. UC Assumptions'!$P$44,0)</f>
        <v>0</v>
      </c>
      <c r="BI359" s="183">
        <f>IF(H359="Travis",(AC359/$BI$1)*'1. UC Assumptions'!$Q$44,0)</f>
        <v>0</v>
      </c>
      <c r="BJ359" s="183">
        <f t="shared" si="76"/>
        <v>0</v>
      </c>
      <c r="BK359" s="183">
        <f t="shared" si="77"/>
        <v>0</v>
      </c>
      <c r="BL359" s="183">
        <f t="shared" si="78"/>
        <v>2505358.2042391342</v>
      </c>
      <c r="BM359" s="184">
        <f t="shared" si="79"/>
        <v>-2677430.9557608659</v>
      </c>
      <c r="BN359" s="184">
        <f>ROUNDDOWN(BM359*'1. UC Assumptions'!$C$23,2)</f>
        <v>-883552.21</v>
      </c>
      <c r="BO359" s="184"/>
      <c r="BP359" s="185"/>
      <c r="BQ359" s="32"/>
      <c r="BR359" s="32"/>
    </row>
    <row r="360" spans="1:70">
      <c r="A360" s="177" t="s">
        <v>1839</v>
      </c>
      <c r="B360" s="178" t="s">
        <v>852</v>
      </c>
      <c r="C360" s="178" t="s">
        <v>852</v>
      </c>
      <c r="D360" s="179" t="s">
        <v>214</v>
      </c>
      <c r="E360" s="179"/>
      <c r="F360" s="177"/>
      <c r="G360" s="177" t="s">
        <v>853</v>
      </c>
      <c r="H360" s="178" t="s">
        <v>15</v>
      </c>
      <c r="I360" s="178" t="s">
        <v>242</v>
      </c>
      <c r="J360" s="131">
        <f>IFERROR(INDEX(#REF!,(MATCH('Old Calc Tab'!C:C,#REF!,0))),0)</f>
        <v>0</v>
      </c>
      <c r="K360" s="131">
        <f>IFERROR(INDEX(#REF!,(MATCH('Old Calc Tab'!$C:$C,#REF!,0))),0)</f>
        <v>0</v>
      </c>
      <c r="L360" s="131"/>
      <c r="M360" s="131">
        <v>1603709.03</v>
      </c>
      <c r="N360" s="131">
        <f>IFERROR(INDEX(#REF!,(MATCH('Old Calc Tab'!$C:$C,#REF!,0))),0)</f>
        <v>0</v>
      </c>
      <c r="O360" s="131">
        <f t="shared" si="68"/>
        <v>0</v>
      </c>
      <c r="P360" s="131">
        <f t="shared" si="69"/>
        <v>1603709.03</v>
      </c>
      <c r="Q360" s="131"/>
      <c r="R360" s="131"/>
      <c r="S360" s="131"/>
      <c r="T360" s="131"/>
      <c r="U360" s="131"/>
      <c r="V360" s="131">
        <v>342120</v>
      </c>
      <c r="W360" s="180">
        <v>0</v>
      </c>
      <c r="X360" s="180">
        <f t="shared" si="80"/>
        <v>1945829.03</v>
      </c>
      <c r="Y360" s="181">
        <f>IF(D360="Physician Group Practice",(X360/$AE$369)*'1. UC Assumptions'!$C$15,IF(OR(E360="Rural Hospital",E360="Hosp - State"),X360,(X360/$X$369)*'1. UC Assumptions'!$C$9))</f>
        <v>1171122.549817059</v>
      </c>
      <c r="Z360" s="181">
        <f t="shared" si="70"/>
        <v>0</v>
      </c>
      <c r="AA360" s="181">
        <f t="shared" si="71"/>
        <v>774706.48018294107</v>
      </c>
      <c r="AB360" s="182">
        <f t="shared" si="72"/>
        <v>416.04150745388858</v>
      </c>
      <c r="AC360" s="181">
        <f t="shared" si="73"/>
        <v>775122.52169039496</v>
      </c>
      <c r="AD360" s="181">
        <f t="shared" si="74"/>
        <v>1171538.5913245128</v>
      </c>
      <c r="AE360" s="131">
        <v>1905684.23</v>
      </c>
      <c r="AF360" s="131">
        <f>AE360*'1. UC Assumptions'!$C$23</f>
        <v>628875.79589999991</v>
      </c>
      <c r="AG360" s="183">
        <f>IF((((X360-W360-AE360)*'1. UC Assumptions'!$C$23)+AF360)&gt;0,((X360-W360-AE360)*'1. UC Assumptions'!$C$23)+AF360,0)</f>
        <v>642123.5798999999</v>
      </c>
      <c r="AH360" s="183">
        <f>IF(((X360-W360-AE360)*'1. UC Assumptions'!$C$23)&gt;0,(X360-W360-AE360)*'1. UC Assumptions'!$C$23,0)</f>
        <v>13247.784000000014</v>
      </c>
      <c r="AI360" s="183">
        <f t="shared" si="75"/>
        <v>642123.5798999999</v>
      </c>
      <c r="AJ360" s="183">
        <f>IF(H360="Bexar",(AD360/$AJ$1)*'1. UC Assumptions'!$E$42,0)</f>
        <v>0</v>
      </c>
      <c r="AK360" s="183">
        <f>IF(H360="Dallas",(AD360/$AK$1)*'1. UC Assumptions'!$F$42,0)</f>
        <v>0</v>
      </c>
      <c r="AL360" s="183">
        <f>IF(H360="El Paso",(AD360/$AL$1)*'1. UC Assumptions'!$G$42,0)</f>
        <v>0</v>
      </c>
      <c r="AM360" s="183">
        <f>IF(H360="Harris",(AD360/$AM$1)*'1. UC Assumptions'!$H$42,0)</f>
        <v>0</v>
      </c>
      <c r="AN360" s="183">
        <f>IF(H360="Hidalgo",(AD360/$AN$1)*'1. UC Assumptions'!$I$42,0)</f>
        <v>0</v>
      </c>
      <c r="AO360" s="183">
        <f>IF(H360="Jefferson",(AD360/$AO$1)*'1. UC Assumptions'!$J$42,0)</f>
        <v>0</v>
      </c>
      <c r="AP360" s="183">
        <f>IF(H360="Lubbock",(AD360/$AP$1)*'1. UC Assumptions'!$K$42,0)</f>
        <v>0</v>
      </c>
      <c r="AQ360" s="183">
        <f>IF(H360="MRSA Central",(AD360/$AQ$1)*'1. UC Assumptions'!$L$42,0)</f>
        <v>0</v>
      </c>
      <c r="AR360" s="183">
        <f>IF(H360="MRSA Northeast",(AD360/$AR$1)*'1. UC Assumptions'!$M$42,0)</f>
        <v>0</v>
      </c>
      <c r="AS360" s="183">
        <f>IF(H360="MRSA West",(AD360/$AS$1)*'1. UC Assumptions'!$N$42,0)</f>
        <v>0</v>
      </c>
      <c r="AT360" s="183">
        <f>IF(H360="Nueces",(AD360/$AT$1)*'1. UC Assumptions'!$O$42,0)</f>
        <v>0</v>
      </c>
      <c r="AU360" s="183">
        <f>IF(H360="Tarrant",(AD360/$AU$1)*'1. UC Assumptions'!$P$42,0)</f>
        <v>0</v>
      </c>
      <c r="AV360" s="183">
        <f>IF(H360="Travis",(AD360/$AV$1)*'1. UC Assumptions'!$Q$42,0)</f>
        <v>0</v>
      </c>
      <c r="AW360" s="183">
        <f>IF(H360="Bexar",(AC360/$AW$1)*'1. UC Assumptions'!$E$44,0)</f>
        <v>0</v>
      </c>
      <c r="AX360" s="183">
        <f>IF(H360="Dallas",(AC360/$AX$1)*'1. UC Assumptions'!$F$44,0)</f>
        <v>0</v>
      </c>
      <c r="AY360" s="183">
        <f>IF(H360="El Paso",(AC360/$AY$1)*'1. UC Assumptions'!$G$44,0)</f>
        <v>0</v>
      </c>
      <c r="AZ360" s="183">
        <f>IF(H360="Harris",(AC360/$AZ$1)*'1. UC Assumptions'!$H$44,0)</f>
        <v>0</v>
      </c>
      <c r="BA360" s="183">
        <f>IF(H360="Hidalgo",(AC360/$BA$1)*'1. UC Assumptions'!$I$44,0)</f>
        <v>0</v>
      </c>
      <c r="BB360" s="183">
        <f>IF(H360="Jefferson",(AC360/$BB$1)*'1. UC Assumptions'!$J$44,0)</f>
        <v>0</v>
      </c>
      <c r="BC360" s="183">
        <f>IF(H360="Lubbock",(AC360/$BC$1)*'1. UC Assumptions'!$K$44,0)</f>
        <v>0</v>
      </c>
      <c r="BD360" s="183">
        <f>IF(H360="MRSA Central",(AC360/$BD$1)*'1. UC Assumptions'!$L$44,0)</f>
        <v>0</v>
      </c>
      <c r="BE360" s="183">
        <f>IF(H360="MRSA Northeast",(AC360/$BE$1)*'1. UC Assumptions'!$M$44,0)</f>
        <v>0</v>
      </c>
      <c r="BF360" s="183">
        <f>IF(H360="MRSA West",(AC360/$BF$1)*'1. UC Assumptions'!$N$44,0)</f>
        <v>0</v>
      </c>
      <c r="BG360" s="183">
        <f>IF(H360="Nueces",(AC360/$BG$1)*'1. UC Assumptions'!$O$44,0)</f>
        <v>0</v>
      </c>
      <c r="BH360" s="183">
        <f>IF(H360="Tarrant",(AC360/$BH$1)*'1. UC Assumptions'!$P$44,0)</f>
        <v>0</v>
      </c>
      <c r="BI360" s="183">
        <f>IF(H360="Travis",(AC360/$BI$1)*'1. UC Assumptions'!$Q$44,0)</f>
        <v>0</v>
      </c>
      <c r="BJ360" s="183">
        <f t="shared" si="76"/>
        <v>0</v>
      </c>
      <c r="BK360" s="183">
        <f t="shared" si="77"/>
        <v>0</v>
      </c>
      <c r="BL360" s="183">
        <f t="shared" si="78"/>
        <v>1171538.5913245128</v>
      </c>
      <c r="BM360" s="184">
        <f t="shared" si="79"/>
        <v>-734145.63867548713</v>
      </c>
      <c r="BN360" s="184">
        <f>ROUNDDOWN(BM360*'1. UC Assumptions'!$C$23,2)</f>
        <v>-242268.06</v>
      </c>
      <c r="BO360" s="184"/>
      <c r="BP360" s="185"/>
      <c r="BQ360" s="32"/>
      <c r="BR360" s="32"/>
    </row>
    <row r="361" spans="1:70">
      <c r="A361" s="177" t="s">
        <v>1840</v>
      </c>
      <c r="B361" s="178" t="s">
        <v>862</v>
      </c>
      <c r="C361" s="178" t="s">
        <v>862</v>
      </c>
      <c r="D361" s="179" t="s">
        <v>214</v>
      </c>
      <c r="E361" s="179"/>
      <c r="F361" s="177"/>
      <c r="G361" s="177" t="s">
        <v>1841</v>
      </c>
      <c r="H361" s="178" t="s">
        <v>15</v>
      </c>
      <c r="I361" s="178" t="s">
        <v>242</v>
      </c>
      <c r="J361" s="131">
        <f>IFERROR(INDEX(#REF!,(MATCH('Old Calc Tab'!C:C,#REF!,0))),0)</f>
        <v>0</v>
      </c>
      <c r="K361" s="131">
        <f>IFERROR(INDEX(#REF!,(MATCH('Old Calc Tab'!$C:$C,#REF!,0))),0)</f>
        <v>0</v>
      </c>
      <c r="L361" s="131"/>
      <c r="M361" s="131">
        <v>6304963.5076000001</v>
      </c>
      <c r="N361" s="131">
        <f>IFERROR(INDEX(#REF!,(MATCH('Old Calc Tab'!$C:$C,#REF!,0))),0)</f>
        <v>0</v>
      </c>
      <c r="O361" s="131">
        <f t="shared" si="68"/>
        <v>0</v>
      </c>
      <c r="P361" s="131">
        <f t="shared" si="69"/>
        <v>6304963.5076000001</v>
      </c>
      <c r="Q361" s="131"/>
      <c r="R361" s="131"/>
      <c r="S361" s="131"/>
      <c r="T361" s="131"/>
      <c r="U361" s="131"/>
      <c r="V361" s="131">
        <v>920714</v>
      </c>
      <c r="W361" s="180">
        <v>0</v>
      </c>
      <c r="X361" s="180">
        <f t="shared" si="80"/>
        <v>7225677.5076000001</v>
      </c>
      <c r="Y361" s="181">
        <f>IF(D361="Physician Group Practice",(X361/$AE$369)*'1. UC Assumptions'!$C$15,IF(OR(E361="Rural Hospital",E361="Hosp - State"),X361,(X361/$X$369)*'1. UC Assumptions'!$C$9))</f>
        <v>4348868.1360953301</v>
      </c>
      <c r="Z361" s="181">
        <f t="shared" si="70"/>
        <v>0</v>
      </c>
      <c r="AA361" s="181">
        <f t="shared" si="71"/>
        <v>2876809.37150467</v>
      </c>
      <c r="AB361" s="182">
        <f t="shared" si="72"/>
        <v>1544.9362283579253</v>
      </c>
      <c r="AC361" s="181">
        <f t="shared" si="73"/>
        <v>2878354.3077330277</v>
      </c>
      <c r="AD361" s="181">
        <f t="shared" si="74"/>
        <v>4350413.0723236883</v>
      </c>
      <c r="AE361" s="131">
        <v>4758982.88</v>
      </c>
      <c r="AF361" s="131">
        <f>AE361*'1. UC Assumptions'!$C$23</f>
        <v>1570464.3503999999</v>
      </c>
      <c r="AG361" s="183">
        <f>IF((((X361-W361-AE361)*'1. UC Assumptions'!$C$23)+AF361)&gt;0,((X361-W361-AE361)*'1. UC Assumptions'!$C$23)+AF361,0)</f>
        <v>2384473.5775079997</v>
      </c>
      <c r="AH361" s="183">
        <f>IF(((X361-W361-AE361)*'1. UC Assumptions'!$C$23)&gt;0,(X361-W361-AE361)*'1. UC Assumptions'!$C$23,0)</f>
        <v>814009.22710799996</v>
      </c>
      <c r="AI361" s="183">
        <f t="shared" si="75"/>
        <v>2384473.5775079997</v>
      </c>
      <c r="AJ361" s="183">
        <f>IF(H361="Bexar",(AD361/$AJ$1)*'1. UC Assumptions'!$E$42,0)</f>
        <v>0</v>
      </c>
      <c r="AK361" s="183">
        <f>IF(H361="Dallas",(AD361/$AK$1)*'1. UC Assumptions'!$F$42,0)</f>
        <v>0</v>
      </c>
      <c r="AL361" s="183">
        <f>IF(H361="El Paso",(AD361/$AL$1)*'1. UC Assumptions'!$G$42,0)</f>
        <v>0</v>
      </c>
      <c r="AM361" s="183">
        <f>IF(H361="Harris",(AD361/$AM$1)*'1. UC Assumptions'!$H$42,0)</f>
        <v>0</v>
      </c>
      <c r="AN361" s="183">
        <f>IF(H361="Hidalgo",(AD361/$AN$1)*'1. UC Assumptions'!$I$42,0)</f>
        <v>0</v>
      </c>
      <c r="AO361" s="183">
        <f>IF(H361="Jefferson",(AD361/$AO$1)*'1. UC Assumptions'!$J$42,0)</f>
        <v>0</v>
      </c>
      <c r="AP361" s="183">
        <f>IF(H361="Lubbock",(AD361/$AP$1)*'1. UC Assumptions'!$K$42,0)</f>
        <v>0</v>
      </c>
      <c r="AQ361" s="183">
        <f>IF(H361="MRSA Central",(AD361/$AQ$1)*'1. UC Assumptions'!$L$42,0)</f>
        <v>0</v>
      </c>
      <c r="AR361" s="183">
        <f>IF(H361="MRSA Northeast",(AD361/$AR$1)*'1. UC Assumptions'!$M$42,0)</f>
        <v>0</v>
      </c>
      <c r="AS361" s="183">
        <f>IF(H361="MRSA West",(AD361/$AS$1)*'1. UC Assumptions'!$N$42,0)</f>
        <v>0</v>
      </c>
      <c r="AT361" s="183">
        <f>IF(H361="Nueces",(AD361/$AT$1)*'1. UC Assumptions'!$O$42,0)</f>
        <v>0</v>
      </c>
      <c r="AU361" s="183">
        <f>IF(H361="Tarrant",(AD361/$AU$1)*'1. UC Assumptions'!$P$42,0)</f>
        <v>0</v>
      </c>
      <c r="AV361" s="183">
        <f>IF(H361="Travis",(AD361/$AV$1)*'1. UC Assumptions'!$Q$42,0)</f>
        <v>0</v>
      </c>
      <c r="AW361" s="183">
        <f>IF(H361="Bexar",(AC361/$AW$1)*'1. UC Assumptions'!$E$44,0)</f>
        <v>0</v>
      </c>
      <c r="AX361" s="183">
        <f>IF(H361="Dallas",(AC361/$AX$1)*'1. UC Assumptions'!$F$44,0)</f>
        <v>0</v>
      </c>
      <c r="AY361" s="183">
        <f>IF(H361="El Paso",(AC361/$AY$1)*'1. UC Assumptions'!$G$44,0)</f>
        <v>0</v>
      </c>
      <c r="AZ361" s="183">
        <f>IF(H361="Harris",(AC361/$AZ$1)*'1. UC Assumptions'!$H$44,0)</f>
        <v>0</v>
      </c>
      <c r="BA361" s="183">
        <f>IF(H361="Hidalgo",(AC361/$BA$1)*'1. UC Assumptions'!$I$44,0)</f>
        <v>0</v>
      </c>
      <c r="BB361" s="183">
        <f>IF(H361="Jefferson",(AC361/$BB$1)*'1. UC Assumptions'!$J$44,0)</f>
        <v>0</v>
      </c>
      <c r="BC361" s="183">
        <f>IF(H361="Lubbock",(AC361/$BC$1)*'1. UC Assumptions'!$K$44,0)</f>
        <v>0</v>
      </c>
      <c r="BD361" s="183">
        <f>IF(H361="MRSA Central",(AC361/$BD$1)*'1. UC Assumptions'!$L$44,0)</f>
        <v>0</v>
      </c>
      <c r="BE361" s="183">
        <f>IF(H361="MRSA Northeast",(AC361/$BE$1)*'1. UC Assumptions'!$M$44,0)</f>
        <v>0</v>
      </c>
      <c r="BF361" s="183">
        <f>IF(H361="MRSA West",(AC361/$BF$1)*'1. UC Assumptions'!$N$44,0)</f>
        <v>0</v>
      </c>
      <c r="BG361" s="183">
        <f>IF(H361="Nueces",(AC361/$BG$1)*'1. UC Assumptions'!$O$44,0)</f>
        <v>0</v>
      </c>
      <c r="BH361" s="183">
        <f>IF(H361="Tarrant",(AC361/$BH$1)*'1. UC Assumptions'!$P$44,0)</f>
        <v>0</v>
      </c>
      <c r="BI361" s="183">
        <f>IF(H361="Travis",(AC361/$BI$1)*'1. UC Assumptions'!$Q$44,0)</f>
        <v>0</v>
      </c>
      <c r="BJ361" s="183">
        <f t="shared" si="76"/>
        <v>0</v>
      </c>
      <c r="BK361" s="183">
        <f t="shared" si="77"/>
        <v>0</v>
      </c>
      <c r="BL361" s="183">
        <f t="shared" si="78"/>
        <v>4350413.0723236883</v>
      </c>
      <c r="BM361" s="184">
        <f t="shared" si="79"/>
        <v>-408569.80767631158</v>
      </c>
      <c r="BN361" s="184">
        <f>ROUNDDOWN(BM361*'1. UC Assumptions'!$C$23,2)</f>
        <v>-134828.03</v>
      </c>
      <c r="BO361" s="184"/>
      <c r="BP361" s="185"/>
      <c r="BQ361" s="32"/>
      <c r="BR361" s="32"/>
    </row>
    <row r="362" spans="1:70">
      <c r="A362" s="177" t="s">
        <v>1842</v>
      </c>
      <c r="B362" s="178" t="s">
        <v>884</v>
      </c>
      <c r="C362" s="178" t="s">
        <v>884</v>
      </c>
      <c r="D362" s="179" t="s">
        <v>214</v>
      </c>
      <c r="E362" s="179"/>
      <c r="F362" s="177"/>
      <c r="G362" s="177" t="s">
        <v>1843</v>
      </c>
      <c r="H362" s="178" t="s">
        <v>15</v>
      </c>
      <c r="I362" s="178" t="s">
        <v>885</v>
      </c>
      <c r="J362" s="131">
        <f>IFERROR(INDEX(#REF!,(MATCH('Old Calc Tab'!C:C,#REF!,0))),0)</f>
        <v>0</v>
      </c>
      <c r="K362" s="131">
        <f>IFERROR(INDEX(#REF!,(MATCH('Old Calc Tab'!$C:$C,#REF!,0))),0)</f>
        <v>0</v>
      </c>
      <c r="L362" s="131"/>
      <c r="M362" s="131">
        <v>5698507.0589999994</v>
      </c>
      <c r="N362" s="131">
        <f>IFERROR(INDEX(#REF!,(MATCH('Old Calc Tab'!$C:$C,#REF!,0))),0)</f>
        <v>0</v>
      </c>
      <c r="O362" s="131">
        <f t="shared" si="68"/>
        <v>0</v>
      </c>
      <c r="P362" s="131">
        <f t="shared" si="69"/>
        <v>5698507.0589999994</v>
      </c>
      <c r="Q362" s="131"/>
      <c r="R362" s="131"/>
      <c r="S362" s="131"/>
      <c r="T362" s="131"/>
      <c r="U362" s="131"/>
      <c r="V362" s="131">
        <v>412540</v>
      </c>
      <c r="W362" s="180">
        <v>0</v>
      </c>
      <c r="X362" s="180">
        <f t="shared" si="80"/>
        <v>6111047.0589999994</v>
      </c>
      <c r="Y362" s="181">
        <f>IF(D362="Physician Group Practice",(X362/$AE$369)*'1. UC Assumptions'!$C$15,IF(OR(E362="Rural Hospital",E362="Hosp - State"),X362,(X362/$X$369)*'1. UC Assumptions'!$C$9))</f>
        <v>3678013.280430974</v>
      </c>
      <c r="Z362" s="181">
        <f t="shared" si="70"/>
        <v>0</v>
      </c>
      <c r="AA362" s="181">
        <f t="shared" si="71"/>
        <v>2433033.7785690255</v>
      </c>
      <c r="AB362" s="182">
        <f t="shared" si="72"/>
        <v>1306.6149139259223</v>
      </c>
      <c r="AC362" s="181">
        <f t="shared" si="73"/>
        <v>2434340.3934829514</v>
      </c>
      <c r="AD362" s="181">
        <f t="shared" si="74"/>
        <v>3679319.8953449</v>
      </c>
      <c r="AE362" s="131">
        <v>4882291.3600000003</v>
      </c>
      <c r="AF362" s="131">
        <f>AE362*'1. UC Assumptions'!$C$23</f>
        <v>1611156.1487999998</v>
      </c>
      <c r="AG362" s="183">
        <f>IF((((X362-W362-AE362)*'1. UC Assumptions'!$C$23)+AF362)&gt;0,((X362-W362-AE362)*'1. UC Assumptions'!$C$23)+AF362,0)</f>
        <v>2016645.5294699995</v>
      </c>
      <c r="AH362" s="183">
        <f>IF(((X362-W362-AE362)*'1. UC Assumptions'!$C$23)&gt;0,(X362-W362-AE362)*'1. UC Assumptions'!$C$23,0)</f>
        <v>405489.38066999963</v>
      </c>
      <c r="AI362" s="183">
        <f t="shared" si="75"/>
        <v>2016645.5294699995</v>
      </c>
      <c r="AJ362" s="183">
        <f>IF(H362="Bexar",(AD362/$AJ$1)*'1. UC Assumptions'!$E$42,0)</f>
        <v>0</v>
      </c>
      <c r="AK362" s="183">
        <f>IF(H362="Dallas",(AD362/$AK$1)*'1. UC Assumptions'!$F$42,0)</f>
        <v>0</v>
      </c>
      <c r="AL362" s="183">
        <f>IF(H362="El Paso",(AD362/$AL$1)*'1. UC Assumptions'!$G$42,0)</f>
        <v>0</v>
      </c>
      <c r="AM362" s="183">
        <f>IF(H362="Harris",(AD362/$AM$1)*'1. UC Assumptions'!$H$42,0)</f>
        <v>0</v>
      </c>
      <c r="AN362" s="183">
        <f>IF(H362="Hidalgo",(AD362/$AN$1)*'1. UC Assumptions'!$I$42,0)</f>
        <v>0</v>
      </c>
      <c r="AO362" s="183">
        <f>IF(H362="Jefferson",(AD362/$AO$1)*'1. UC Assumptions'!$J$42,0)</f>
        <v>0</v>
      </c>
      <c r="AP362" s="183">
        <f>IF(H362="Lubbock",(AD362/$AP$1)*'1. UC Assumptions'!$K$42,0)</f>
        <v>0</v>
      </c>
      <c r="AQ362" s="183">
        <f>IF(H362="MRSA Central",(AD362/$AQ$1)*'1. UC Assumptions'!$L$42,0)</f>
        <v>0</v>
      </c>
      <c r="AR362" s="183">
        <f>IF(H362="MRSA Northeast",(AD362/$AR$1)*'1. UC Assumptions'!$M$42,0)</f>
        <v>0</v>
      </c>
      <c r="AS362" s="183">
        <f>IF(H362="MRSA West",(AD362/$AS$1)*'1. UC Assumptions'!$N$42,0)</f>
        <v>0</v>
      </c>
      <c r="AT362" s="183">
        <f>IF(H362="Nueces",(AD362/$AT$1)*'1. UC Assumptions'!$O$42,0)</f>
        <v>0</v>
      </c>
      <c r="AU362" s="183">
        <f>IF(H362="Tarrant",(AD362/$AU$1)*'1. UC Assumptions'!$P$42,0)</f>
        <v>0</v>
      </c>
      <c r="AV362" s="183">
        <f>IF(H362="Travis",(AD362/$AV$1)*'1. UC Assumptions'!$Q$42,0)</f>
        <v>0</v>
      </c>
      <c r="AW362" s="183">
        <f>IF(H362="Bexar",(AC362/$AW$1)*'1. UC Assumptions'!$E$44,0)</f>
        <v>0</v>
      </c>
      <c r="AX362" s="183">
        <f>IF(H362="Dallas",(AC362/$AX$1)*'1. UC Assumptions'!$F$44,0)</f>
        <v>0</v>
      </c>
      <c r="AY362" s="183">
        <f>IF(H362="El Paso",(AC362/$AY$1)*'1. UC Assumptions'!$G$44,0)</f>
        <v>0</v>
      </c>
      <c r="AZ362" s="183">
        <f>IF(H362="Harris",(AC362/$AZ$1)*'1. UC Assumptions'!$H$44,0)</f>
        <v>0</v>
      </c>
      <c r="BA362" s="183">
        <f>IF(H362="Hidalgo",(AC362/$BA$1)*'1. UC Assumptions'!$I$44,0)</f>
        <v>0</v>
      </c>
      <c r="BB362" s="183">
        <f>IF(H362="Jefferson",(AC362/$BB$1)*'1. UC Assumptions'!$J$44,0)</f>
        <v>0</v>
      </c>
      <c r="BC362" s="183">
        <f>IF(H362="Lubbock",(AC362/$BC$1)*'1. UC Assumptions'!$K$44,0)</f>
        <v>0</v>
      </c>
      <c r="BD362" s="183">
        <f>IF(H362="MRSA Central",(AC362/$BD$1)*'1. UC Assumptions'!$L$44,0)</f>
        <v>0</v>
      </c>
      <c r="BE362" s="183">
        <f>IF(H362="MRSA Northeast",(AC362/$BE$1)*'1. UC Assumptions'!$M$44,0)</f>
        <v>0</v>
      </c>
      <c r="BF362" s="183">
        <f>IF(H362="MRSA West",(AC362/$BF$1)*'1. UC Assumptions'!$N$44,0)</f>
        <v>0</v>
      </c>
      <c r="BG362" s="183">
        <f>IF(H362="Nueces",(AC362/$BG$1)*'1. UC Assumptions'!$O$44,0)</f>
        <v>0</v>
      </c>
      <c r="BH362" s="183">
        <f>IF(H362="Tarrant",(AC362/$BH$1)*'1. UC Assumptions'!$P$44,0)</f>
        <v>0</v>
      </c>
      <c r="BI362" s="183">
        <f>IF(H362="Travis",(AC362/$BI$1)*'1. UC Assumptions'!$Q$44,0)</f>
        <v>0</v>
      </c>
      <c r="BJ362" s="183">
        <f t="shared" si="76"/>
        <v>0</v>
      </c>
      <c r="BK362" s="183">
        <f t="shared" si="77"/>
        <v>0</v>
      </c>
      <c r="BL362" s="183">
        <f t="shared" si="78"/>
        <v>3679319.8953449</v>
      </c>
      <c r="BM362" s="184">
        <f t="shared" si="79"/>
        <v>-1202971.4646551004</v>
      </c>
      <c r="BN362" s="184">
        <f>ROUNDDOWN(BM362*'1. UC Assumptions'!$C$23,2)</f>
        <v>-396980.58</v>
      </c>
      <c r="BO362" s="184"/>
      <c r="BP362" s="185"/>
      <c r="BQ362" s="32"/>
      <c r="BR362" s="32"/>
    </row>
    <row r="363" spans="1:70">
      <c r="A363" s="177" t="s">
        <v>1844</v>
      </c>
      <c r="B363" s="178" t="s">
        <v>927</v>
      </c>
      <c r="C363" s="178" t="s">
        <v>927</v>
      </c>
      <c r="D363" s="179" t="s">
        <v>214</v>
      </c>
      <c r="E363" s="179"/>
      <c r="F363" s="177"/>
      <c r="G363" s="177" t="s">
        <v>1845</v>
      </c>
      <c r="H363" s="178" t="s">
        <v>15</v>
      </c>
      <c r="I363" s="178" t="s">
        <v>928</v>
      </c>
      <c r="J363" s="131">
        <f>IFERROR(INDEX(#REF!,(MATCH('Old Calc Tab'!C:C,#REF!,0))),0)</f>
        <v>0</v>
      </c>
      <c r="K363" s="131">
        <f>IFERROR(INDEX(#REF!,(MATCH('Old Calc Tab'!$C:$C,#REF!,0))),0)</f>
        <v>0</v>
      </c>
      <c r="L363" s="131"/>
      <c r="M363" s="131">
        <v>69316.652399999992</v>
      </c>
      <c r="N363" s="131">
        <f>IFERROR(INDEX(#REF!,(MATCH('Old Calc Tab'!$C:$C,#REF!,0))),0)</f>
        <v>0</v>
      </c>
      <c r="O363" s="131">
        <f t="shared" si="68"/>
        <v>0</v>
      </c>
      <c r="P363" s="131">
        <f t="shared" si="69"/>
        <v>69316.652399999992</v>
      </c>
      <c r="Q363" s="131"/>
      <c r="R363" s="131"/>
      <c r="S363" s="131"/>
      <c r="T363" s="131"/>
      <c r="U363" s="131"/>
      <c r="V363" s="131">
        <v>0</v>
      </c>
      <c r="W363" s="180">
        <v>0</v>
      </c>
      <c r="X363" s="180">
        <f t="shared" si="80"/>
        <v>69316.652399999992</v>
      </c>
      <c r="Y363" s="181">
        <f>IF(D363="Physician Group Practice",(X363/$AE$369)*'1. UC Assumptions'!$C$15,IF(OR(E363="Rural Hospital",E363="Hosp - State"),X363,(X363/$X$369)*'1. UC Assumptions'!$C$9))</f>
        <v>41719.13022773165</v>
      </c>
      <c r="Z363" s="181">
        <f t="shared" si="70"/>
        <v>0</v>
      </c>
      <c r="AA363" s="181">
        <f t="shared" si="71"/>
        <v>27597.522172268342</v>
      </c>
      <c r="AB363" s="182">
        <f t="shared" si="72"/>
        <v>14.820728908620092</v>
      </c>
      <c r="AC363" s="181">
        <f t="shared" si="73"/>
        <v>27612.342901176962</v>
      </c>
      <c r="AD363" s="181">
        <f t="shared" si="74"/>
        <v>41733.95095664027</v>
      </c>
      <c r="AE363" s="131">
        <v>813690.3</v>
      </c>
      <c r="AF363" s="131">
        <f>AE363*'1. UC Assumptions'!$C$23</f>
        <v>268517.799</v>
      </c>
      <c r="AG363" s="183">
        <f>IF((((X363-W363-AE363)*'1. UC Assumptions'!$C$23)+AF363)&gt;0,((X363-W363-AE363)*'1. UC Assumptions'!$C$23)+AF363,0)</f>
        <v>22874.495292000007</v>
      </c>
      <c r="AH363" s="183">
        <f>IF(((X363-W363-AE363)*'1. UC Assumptions'!$C$23)&gt;0,(X363-W363-AE363)*'1. UC Assumptions'!$C$23,0)</f>
        <v>0</v>
      </c>
      <c r="AI363" s="183">
        <f t="shared" si="75"/>
        <v>268517.799</v>
      </c>
      <c r="AJ363" s="183">
        <f>IF(H363="Bexar",(AD363/$AJ$1)*'1. UC Assumptions'!$E$42,0)</f>
        <v>0</v>
      </c>
      <c r="AK363" s="183">
        <f>IF(H363="Dallas",(AD363/$AK$1)*'1. UC Assumptions'!$F$42,0)</f>
        <v>0</v>
      </c>
      <c r="AL363" s="183">
        <f>IF(H363="El Paso",(AD363/$AL$1)*'1. UC Assumptions'!$G$42,0)</f>
        <v>0</v>
      </c>
      <c r="AM363" s="183">
        <f>IF(H363="Harris",(AD363/$AM$1)*'1. UC Assumptions'!$H$42,0)</f>
        <v>0</v>
      </c>
      <c r="AN363" s="183">
        <f>IF(H363="Hidalgo",(AD363/$AN$1)*'1. UC Assumptions'!$I$42,0)</f>
        <v>0</v>
      </c>
      <c r="AO363" s="183">
        <f>IF(H363="Jefferson",(AD363/$AO$1)*'1. UC Assumptions'!$J$42,0)</f>
        <v>0</v>
      </c>
      <c r="AP363" s="183">
        <f>IF(H363="Lubbock",(AD363/$AP$1)*'1. UC Assumptions'!$K$42,0)</f>
        <v>0</v>
      </c>
      <c r="AQ363" s="183">
        <f>IF(H363="MRSA Central",(AD363/$AQ$1)*'1. UC Assumptions'!$L$42,0)</f>
        <v>0</v>
      </c>
      <c r="AR363" s="183">
        <f>IF(H363="MRSA Northeast",(AD363/$AR$1)*'1. UC Assumptions'!$M$42,0)</f>
        <v>0</v>
      </c>
      <c r="AS363" s="183">
        <f>IF(H363="MRSA West",(AD363/$AS$1)*'1. UC Assumptions'!$N$42,0)</f>
        <v>0</v>
      </c>
      <c r="AT363" s="183">
        <f>IF(H363="Nueces",(AD363/$AT$1)*'1. UC Assumptions'!$O$42,0)</f>
        <v>0</v>
      </c>
      <c r="AU363" s="183">
        <f>IF(H363="Tarrant",(AD363/$AU$1)*'1. UC Assumptions'!$P$42,0)</f>
        <v>0</v>
      </c>
      <c r="AV363" s="183">
        <f>IF(H363="Travis",(AD363/$AV$1)*'1. UC Assumptions'!$Q$42,0)</f>
        <v>0</v>
      </c>
      <c r="AW363" s="183">
        <f>IF(H363="Bexar",(AC363/$AW$1)*'1. UC Assumptions'!$E$44,0)</f>
        <v>0</v>
      </c>
      <c r="AX363" s="183">
        <f>IF(H363="Dallas",(AC363/$AX$1)*'1. UC Assumptions'!$F$44,0)</f>
        <v>0</v>
      </c>
      <c r="AY363" s="183">
        <f>IF(H363="El Paso",(AC363/$AY$1)*'1. UC Assumptions'!$G$44,0)</f>
        <v>0</v>
      </c>
      <c r="AZ363" s="183">
        <f>IF(H363="Harris",(AC363/$AZ$1)*'1. UC Assumptions'!$H$44,0)</f>
        <v>0</v>
      </c>
      <c r="BA363" s="183">
        <f>IF(H363="Hidalgo",(AC363/$BA$1)*'1. UC Assumptions'!$I$44,0)</f>
        <v>0</v>
      </c>
      <c r="BB363" s="183">
        <f>IF(H363="Jefferson",(AC363/$BB$1)*'1. UC Assumptions'!$J$44,0)</f>
        <v>0</v>
      </c>
      <c r="BC363" s="183">
        <f>IF(H363="Lubbock",(AC363/$BC$1)*'1. UC Assumptions'!$K$44,0)</f>
        <v>0</v>
      </c>
      <c r="BD363" s="183">
        <f>IF(H363="MRSA Central",(AC363/$BD$1)*'1. UC Assumptions'!$L$44,0)</f>
        <v>0</v>
      </c>
      <c r="BE363" s="183">
        <f>IF(H363="MRSA Northeast",(AC363/$BE$1)*'1. UC Assumptions'!$M$44,0)</f>
        <v>0</v>
      </c>
      <c r="BF363" s="183">
        <f>IF(H363="MRSA West",(AC363/$BF$1)*'1. UC Assumptions'!$N$44,0)</f>
        <v>0</v>
      </c>
      <c r="BG363" s="183">
        <f>IF(H363="Nueces",(AC363/$BG$1)*'1. UC Assumptions'!$O$44,0)</f>
        <v>0</v>
      </c>
      <c r="BH363" s="183">
        <f>IF(H363="Tarrant",(AC363/$BH$1)*'1. UC Assumptions'!$P$44,0)</f>
        <v>0</v>
      </c>
      <c r="BI363" s="183">
        <f>IF(H363="Travis",(AC363/$BI$1)*'1. UC Assumptions'!$Q$44,0)</f>
        <v>0</v>
      </c>
      <c r="BJ363" s="183">
        <f t="shared" si="76"/>
        <v>0</v>
      </c>
      <c r="BK363" s="183">
        <f t="shared" si="77"/>
        <v>0</v>
      </c>
      <c r="BL363" s="183">
        <f t="shared" si="78"/>
        <v>41733.95095664027</v>
      </c>
      <c r="BM363" s="184">
        <f t="shared" si="79"/>
        <v>-771956.34904335975</v>
      </c>
      <c r="BN363" s="184">
        <f>ROUNDDOWN(BM363*'1. UC Assumptions'!$C$23,2)</f>
        <v>-254745.59</v>
      </c>
      <c r="BO363" s="184"/>
      <c r="BP363" s="185"/>
      <c r="BQ363" s="32"/>
      <c r="BR363" s="32"/>
    </row>
    <row r="364" spans="1:70">
      <c r="A364" s="177" t="s">
        <v>1846</v>
      </c>
      <c r="B364" s="177" t="s">
        <v>1002</v>
      </c>
      <c r="C364" s="178" t="s">
        <v>1002</v>
      </c>
      <c r="D364" s="179" t="s">
        <v>214</v>
      </c>
      <c r="E364" s="179" t="s">
        <v>149</v>
      </c>
      <c r="F364" s="177"/>
      <c r="G364" s="177" t="s">
        <v>1847</v>
      </c>
      <c r="H364" s="178" t="s">
        <v>15</v>
      </c>
      <c r="I364" s="178" t="s">
        <v>347</v>
      </c>
      <c r="J364" s="131">
        <f>IFERROR(INDEX(#REF!,(MATCH('Old Calc Tab'!C:C,#REF!,0))),0)</f>
        <v>0</v>
      </c>
      <c r="K364" s="131">
        <f>IFERROR(INDEX(#REF!,(MATCH('Old Calc Tab'!$C:$C,#REF!,0))),0)</f>
        <v>0</v>
      </c>
      <c r="L364" s="131"/>
      <c r="M364" s="131">
        <v>1820595.41</v>
      </c>
      <c r="N364" s="131">
        <f>IFERROR(INDEX(#REF!,(MATCH('Old Calc Tab'!$C:$C,#REF!,0))),0)</f>
        <v>0</v>
      </c>
      <c r="O364" s="131">
        <f t="shared" si="68"/>
        <v>0</v>
      </c>
      <c r="P364" s="131">
        <f t="shared" si="69"/>
        <v>1820595.41</v>
      </c>
      <c r="Q364" s="131"/>
      <c r="R364" s="131"/>
      <c r="S364" s="131"/>
      <c r="T364" s="131"/>
      <c r="U364" s="131"/>
      <c r="V364" s="131">
        <v>32594.69</v>
      </c>
      <c r="W364" s="180">
        <v>0</v>
      </c>
      <c r="X364" s="180">
        <f t="shared" si="80"/>
        <v>1853190.0999999999</v>
      </c>
      <c r="Y364" s="181">
        <f>IF(D364="Physician Group Practice",(X364/$AE$369)*'1. UC Assumptions'!$C$15,IF(OR(E364="Rural Hospital",E364="Hosp - State"),X364,(X364/$X$369)*'1. UC Assumptions'!$C$9))</f>
        <v>1853190.0999999999</v>
      </c>
      <c r="Z364" s="181">
        <f t="shared" si="70"/>
        <v>0</v>
      </c>
      <c r="AA364" s="181">
        <f t="shared" si="71"/>
        <v>0</v>
      </c>
      <c r="AB364" s="182">
        <f t="shared" si="72"/>
        <v>0</v>
      </c>
      <c r="AC364" s="181">
        <f t="shared" si="73"/>
        <v>0</v>
      </c>
      <c r="AD364" s="181">
        <f t="shared" si="74"/>
        <v>1853190.0999999999</v>
      </c>
      <c r="AE364" s="131">
        <v>0</v>
      </c>
      <c r="AF364" s="131">
        <f>AE364*'1. UC Assumptions'!$C$23</f>
        <v>0</v>
      </c>
      <c r="AG364" s="183">
        <f>IF((((X364-W364-AE364)*'1. UC Assumptions'!$C$23)+AF364)&gt;0,((X364-W364-AE364)*'1. UC Assumptions'!$C$23)+AF364,0)</f>
        <v>611552.73299999989</v>
      </c>
      <c r="AH364" s="183">
        <f>IF(((X364-W364-AE364)*'1. UC Assumptions'!$C$23)&gt;0,(X364-W364-AE364)*'1. UC Assumptions'!$C$23,0)</f>
        <v>611552.73299999989</v>
      </c>
      <c r="AI364" s="183">
        <f t="shared" si="75"/>
        <v>611552.73299999989</v>
      </c>
      <c r="AJ364" s="183">
        <f>IF(H364="Bexar",(AD364/$AJ$1)*'1. UC Assumptions'!$E$42,0)</f>
        <v>0</v>
      </c>
      <c r="AK364" s="183">
        <f>IF(H364="Dallas",(AD364/$AK$1)*'1. UC Assumptions'!$F$42,0)</f>
        <v>0</v>
      </c>
      <c r="AL364" s="183">
        <f>IF(H364="El Paso",(AD364/$AL$1)*'1. UC Assumptions'!$G$42,0)</f>
        <v>0</v>
      </c>
      <c r="AM364" s="183">
        <f>IF(H364="Harris",(AD364/$AM$1)*'1. UC Assumptions'!$H$42,0)</f>
        <v>0</v>
      </c>
      <c r="AN364" s="183">
        <f>IF(H364="Hidalgo",(AD364/$AN$1)*'1. UC Assumptions'!$I$42,0)</f>
        <v>0</v>
      </c>
      <c r="AO364" s="183">
        <f>IF(H364="Jefferson",(AD364/$AO$1)*'1. UC Assumptions'!$J$42,0)</f>
        <v>0</v>
      </c>
      <c r="AP364" s="183">
        <f>IF(H364="Lubbock",(AD364/$AP$1)*'1. UC Assumptions'!$K$42,0)</f>
        <v>0</v>
      </c>
      <c r="AQ364" s="183">
        <f>IF(H364="MRSA Central",(AD364/$AQ$1)*'1. UC Assumptions'!$L$42,0)</f>
        <v>0</v>
      </c>
      <c r="AR364" s="183">
        <f>IF(H364="MRSA Northeast",(AD364/$AR$1)*'1. UC Assumptions'!$M$42,0)</f>
        <v>0</v>
      </c>
      <c r="AS364" s="183">
        <f>IF(H364="MRSA West",(AD364/$AS$1)*'1. UC Assumptions'!$N$42,0)</f>
        <v>0</v>
      </c>
      <c r="AT364" s="183">
        <f>IF(H364="Nueces",(AD364/$AT$1)*'1. UC Assumptions'!$O$42,0)</f>
        <v>0</v>
      </c>
      <c r="AU364" s="183">
        <f>IF(H364="Tarrant",(AD364/$AU$1)*'1. UC Assumptions'!$P$42,0)</f>
        <v>0</v>
      </c>
      <c r="AV364" s="183">
        <f>IF(H364="Travis",(AD364/$AV$1)*'1. UC Assumptions'!$Q$42,0)</f>
        <v>0</v>
      </c>
      <c r="AW364" s="183">
        <f>IF(H364="Bexar",(AC364/$AW$1)*'1. UC Assumptions'!$E$44,0)</f>
        <v>0</v>
      </c>
      <c r="AX364" s="183">
        <f>IF(H364="Dallas",(AC364/$AX$1)*'1. UC Assumptions'!$F$44,0)</f>
        <v>0</v>
      </c>
      <c r="AY364" s="183">
        <f>IF(H364="El Paso",(AC364/$AY$1)*'1. UC Assumptions'!$G$44,0)</f>
        <v>0</v>
      </c>
      <c r="AZ364" s="183">
        <f>IF(H364="Harris",(AC364/$AZ$1)*'1. UC Assumptions'!$H$44,0)</f>
        <v>0</v>
      </c>
      <c r="BA364" s="183">
        <f>IF(H364="Hidalgo",(AC364/$BA$1)*'1. UC Assumptions'!$I$44,0)</f>
        <v>0</v>
      </c>
      <c r="BB364" s="183">
        <f>IF(H364="Jefferson",(AC364/$BB$1)*'1. UC Assumptions'!$J$44,0)</f>
        <v>0</v>
      </c>
      <c r="BC364" s="183">
        <f>IF(H364="Lubbock",(AC364/$BC$1)*'1. UC Assumptions'!$K$44,0)</f>
        <v>0</v>
      </c>
      <c r="BD364" s="183">
        <f>IF(H364="MRSA Central",(AC364/$BD$1)*'1. UC Assumptions'!$L$44,0)</f>
        <v>0</v>
      </c>
      <c r="BE364" s="183">
        <f>IF(H364="MRSA Northeast",(AC364/$BE$1)*'1. UC Assumptions'!$M$44,0)</f>
        <v>0</v>
      </c>
      <c r="BF364" s="183">
        <f>IF(H364="MRSA West",(AC364/$BF$1)*'1. UC Assumptions'!$N$44,0)</f>
        <v>0</v>
      </c>
      <c r="BG364" s="183">
        <f>IF(H364="Nueces",(AC364/$BG$1)*'1. UC Assumptions'!$O$44,0)</f>
        <v>0</v>
      </c>
      <c r="BH364" s="183">
        <f>IF(H364="Tarrant",(AC364/$BH$1)*'1. UC Assumptions'!$P$44,0)</f>
        <v>0</v>
      </c>
      <c r="BI364" s="183">
        <f>IF(H364="Travis",(AC364/$BI$1)*'1. UC Assumptions'!$Q$44,0)</f>
        <v>0</v>
      </c>
      <c r="BJ364" s="183">
        <f t="shared" si="76"/>
        <v>0</v>
      </c>
      <c r="BK364" s="183">
        <f t="shared" si="77"/>
        <v>0</v>
      </c>
      <c r="BL364" s="183">
        <f t="shared" si="78"/>
        <v>1853190.0999999999</v>
      </c>
      <c r="BM364" s="184">
        <f t="shared" si="79"/>
        <v>1853190.0999999999</v>
      </c>
      <c r="BN364" s="184">
        <f>ROUNDDOWN(BM364*'1. UC Assumptions'!$C$23,2)</f>
        <v>611552.73</v>
      </c>
      <c r="BO364" s="184"/>
      <c r="BP364" s="185"/>
      <c r="BQ364" s="32"/>
      <c r="BR364" s="32"/>
    </row>
    <row r="365" spans="1:70" ht="25.35" customHeight="1">
      <c r="A365" s="188"/>
      <c r="B365" s="188"/>
      <c r="C365" s="178"/>
      <c r="D365" s="179" t="s">
        <v>34</v>
      </c>
      <c r="E365" s="179" t="s">
        <v>34</v>
      </c>
      <c r="F365" s="179"/>
      <c r="G365" s="179" t="s">
        <v>34</v>
      </c>
      <c r="H365" s="178"/>
      <c r="I365" s="188"/>
      <c r="J365" s="131">
        <v>0</v>
      </c>
      <c r="K365" s="131">
        <v>0</v>
      </c>
      <c r="L365" s="131"/>
      <c r="M365" s="131">
        <v>0</v>
      </c>
      <c r="N365" s="131">
        <v>0</v>
      </c>
      <c r="O365" s="131">
        <f t="shared" si="68"/>
        <v>0</v>
      </c>
      <c r="P365" s="131">
        <f t="shared" si="69"/>
        <v>0</v>
      </c>
      <c r="Q365" s="181"/>
      <c r="R365" s="181"/>
      <c r="S365" s="181"/>
      <c r="T365" s="181"/>
      <c r="U365" s="181"/>
      <c r="V365" s="180">
        <f>Q365+R365+S365+T365+U365</f>
        <v>0</v>
      </c>
      <c r="W365" s="180">
        <v>0</v>
      </c>
      <c r="X365" s="180">
        <f>'1. UC Assumptions'!C13</f>
        <v>133553832.4257395</v>
      </c>
      <c r="Y365" s="181">
        <f>X365</f>
        <v>133553832.4257395</v>
      </c>
      <c r="Z365" s="181">
        <f t="shared" si="70"/>
        <v>0</v>
      </c>
      <c r="AA365" s="181">
        <f t="shared" si="71"/>
        <v>0</v>
      </c>
      <c r="AB365" s="182">
        <f t="shared" si="72"/>
        <v>0</v>
      </c>
      <c r="AC365" s="181">
        <f t="shared" si="73"/>
        <v>0</v>
      </c>
      <c r="AD365" s="181">
        <f t="shared" si="74"/>
        <v>133553832.4257395</v>
      </c>
      <c r="AE365" s="189">
        <v>0</v>
      </c>
      <c r="AF365" s="183">
        <v>0</v>
      </c>
      <c r="AG365" s="183">
        <f>IF((((X365-W365-AE365)*'1. UC Assumptions'!$C$23)+AF365)&gt;0,((X365-W365-AE365)*'1. UC Assumptions'!$C$23)+AF365,0)</f>
        <v>44072764.700494029</v>
      </c>
      <c r="AH365" s="183">
        <f>IF(((X365-W365-AE365)*'1. UC Assumptions'!$C$23)&gt;0,(X365-W365-AE365)*'1. UC Assumptions'!$C$23,0)</f>
        <v>44072764.700494029</v>
      </c>
      <c r="AI365" s="183">
        <f t="shared" si="75"/>
        <v>44072764.700494029</v>
      </c>
      <c r="AJ365" s="183">
        <f>IF(H365="Bexar",(AD365/$AJ$1)*'1. UC Assumptions'!$E$42,0)</f>
        <v>0</v>
      </c>
      <c r="AK365" s="183">
        <f>IF(H365="Dallas",(AD365/$AK$1)*'1. UC Assumptions'!$F$42,0)</f>
        <v>0</v>
      </c>
      <c r="AL365" s="183">
        <f>IF(H365="El Paso",(AD365/$AL$1)*'1. UC Assumptions'!$G$42,0)</f>
        <v>0</v>
      </c>
      <c r="AM365" s="183">
        <f>IF(H365="Harris",(AD365/$AM$1)*'1. UC Assumptions'!$H$42,0)</f>
        <v>0</v>
      </c>
      <c r="AN365" s="183">
        <f>IF(H365="Hidalgo",(AD365/$AN$1)*'1. UC Assumptions'!$I$42,0)</f>
        <v>0</v>
      </c>
      <c r="AO365" s="183">
        <f>IF(H365="Jefferson",(AD365/$AO$1)*'1. UC Assumptions'!$J$42,0)</f>
        <v>0</v>
      </c>
      <c r="AP365" s="183">
        <f>IF(H365="Lubbock",(AD365/$AP$1)*'1. UC Assumptions'!$K$42,0)</f>
        <v>0</v>
      </c>
      <c r="AQ365" s="183">
        <f>IF(H365="MRSA Central",(AD365/$AQ$1)*'1. UC Assumptions'!$L$42,0)</f>
        <v>0</v>
      </c>
      <c r="AR365" s="183">
        <f>IF(H365="MRSA Northeast",(AD365/$AR$1)*'1. UC Assumptions'!$M$42,0)</f>
        <v>0</v>
      </c>
      <c r="AS365" s="183">
        <f>IF(H365="MRSA West",(AD365/$AS$1)*'1. UC Assumptions'!$N$42,0)</f>
        <v>0</v>
      </c>
      <c r="AT365" s="183">
        <f>IF(H365="Nueces",(AD365/$AT$1)*'1. UC Assumptions'!$O$42,0)</f>
        <v>0</v>
      </c>
      <c r="AU365" s="183">
        <f>IF(H365="Tarrant",(AD365/$AU$1)*'1. UC Assumptions'!$P$42,0)</f>
        <v>0</v>
      </c>
      <c r="AV365" s="183">
        <f>IF(H365="Travis",(AD365/$AV$1)*'1. UC Assumptions'!$Q$42,0)</f>
        <v>0</v>
      </c>
      <c r="AW365" s="183">
        <f>IF(H365="Bexar",(AC365/$AW$1)*'1. UC Assumptions'!$E$44,0)</f>
        <v>0</v>
      </c>
      <c r="AX365" s="183">
        <f>IF(H365="Dallas",(AC365/$AX$1)*'1. UC Assumptions'!$F$44,0)</f>
        <v>0</v>
      </c>
      <c r="AY365" s="183">
        <f>IF(H365="El Paso",(AC365/$AY$1)*'1. UC Assumptions'!$G$44,0)</f>
        <v>0</v>
      </c>
      <c r="AZ365" s="183">
        <f>IF(H365="Harris",(AC365/$AZ$1)*'1. UC Assumptions'!$H$44,0)</f>
        <v>0</v>
      </c>
      <c r="BA365" s="183">
        <f>IF(H365="Hidalgo",(AC365/$BA$1)*'1. UC Assumptions'!$I$44,0)</f>
        <v>0</v>
      </c>
      <c r="BB365" s="183">
        <f>IF(H365="Jefferson",(AC365/$BB$1)*'1. UC Assumptions'!$J$44,0)</f>
        <v>0</v>
      </c>
      <c r="BC365" s="183">
        <f>IF(H365="Lubbock",(AC365/$BC$1)*'1. UC Assumptions'!$K$44,0)</f>
        <v>0</v>
      </c>
      <c r="BD365" s="183">
        <f>IF(H365="MRSA Central",(AC365/$BD$1)*'1. UC Assumptions'!$L$44,0)</f>
        <v>0</v>
      </c>
      <c r="BE365" s="183">
        <f>IF(H365="MRSA Northeast",(AC365/$BE$1)*'1. UC Assumptions'!$M$44,0)</f>
        <v>0</v>
      </c>
      <c r="BF365" s="183">
        <f>IF(H365="MRSA West",(AC365/$BF$1)*'1. UC Assumptions'!$N$44,0)</f>
        <v>0</v>
      </c>
      <c r="BG365" s="183">
        <f>IF(H365="Nueces",(AC365/$BG$1)*'1. UC Assumptions'!$O$44,0)</f>
        <v>0</v>
      </c>
      <c r="BH365" s="183">
        <f>IF(H365="Tarrant",(AC365/$BH$1)*'1. UC Assumptions'!$P$44,0)</f>
        <v>0</v>
      </c>
      <c r="BI365" s="183">
        <f>IF(H365="Travis",(AC365/$BI$1)*'1. UC Assumptions'!$Q$44,0)</f>
        <v>0</v>
      </c>
      <c r="BJ365" s="183">
        <f t="shared" si="76"/>
        <v>0</v>
      </c>
      <c r="BK365" s="183">
        <f t="shared" si="77"/>
        <v>0</v>
      </c>
      <c r="BL365" s="183">
        <f t="shared" si="78"/>
        <v>133553832.4257395</v>
      </c>
      <c r="BM365" s="184">
        <f t="shared" si="79"/>
        <v>133553832.4257395</v>
      </c>
      <c r="BN365" s="184">
        <f>ROUNDDOWN(BM365*'1. UC Assumptions'!$C$23,2)</f>
        <v>44072764.700000003</v>
      </c>
      <c r="BO365" s="184"/>
      <c r="BP365" s="185"/>
      <c r="BQ365" s="32"/>
      <c r="BR365" s="32"/>
    </row>
    <row r="366" spans="1:70">
      <c r="A366" s="188"/>
      <c r="B366" s="188"/>
      <c r="C366" s="178"/>
      <c r="D366" s="179" t="s">
        <v>35</v>
      </c>
      <c r="E366" s="179" t="s">
        <v>35</v>
      </c>
      <c r="F366" s="179"/>
      <c r="G366" s="190" t="s">
        <v>35</v>
      </c>
      <c r="H366" s="178"/>
      <c r="I366" s="188"/>
      <c r="J366" s="131">
        <v>0</v>
      </c>
      <c r="K366" s="131">
        <v>0</v>
      </c>
      <c r="L366" s="131"/>
      <c r="M366" s="131">
        <v>0</v>
      </c>
      <c r="N366" s="131">
        <v>0</v>
      </c>
      <c r="O366" s="131">
        <f t="shared" si="68"/>
        <v>0</v>
      </c>
      <c r="P366" s="131">
        <f t="shared" si="69"/>
        <v>0</v>
      </c>
      <c r="Q366" s="181"/>
      <c r="R366" s="181"/>
      <c r="S366" s="181"/>
      <c r="T366" s="181"/>
      <c r="U366" s="181"/>
      <c r="V366" s="180">
        <f>Q366+R366+S366+T366+U366</f>
        <v>0</v>
      </c>
      <c r="W366" s="180">
        <v>0</v>
      </c>
      <c r="X366" s="180">
        <f>'1. UC Assumptions'!C14</f>
        <v>362078.97368673957</v>
      </c>
      <c r="Y366" s="181">
        <f>X366</f>
        <v>362078.97368673957</v>
      </c>
      <c r="Z366" s="181">
        <f t="shared" si="70"/>
        <v>0</v>
      </c>
      <c r="AA366" s="181">
        <f t="shared" si="71"/>
        <v>0</v>
      </c>
      <c r="AB366" s="182">
        <f t="shared" si="72"/>
        <v>0</v>
      </c>
      <c r="AC366" s="181">
        <f t="shared" si="73"/>
        <v>0</v>
      </c>
      <c r="AD366" s="181">
        <f t="shared" si="74"/>
        <v>362078.97368673957</v>
      </c>
      <c r="AE366" s="189">
        <v>0</v>
      </c>
      <c r="AF366" s="183">
        <v>0</v>
      </c>
      <c r="AG366" s="183">
        <f>IF((((X366-W366-AE366)*'1. UC Assumptions'!$C$23)+AF366)&gt;0,((X366-W366-AE366)*'1. UC Assumptions'!$C$23)+AF366,0)</f>
        <v>119486.06131662404</v>
      </c>
      <c r="AH366" s="183">
        <f>IF(((X366-W366-AE366)*'1. UC Assumptions'!$C$23)&gt;0,(X366-W366-AE366)*'1. UC Assumptions'!$C$23,0)</f>
        <v>119486.06131662404</v>
      </c>
      <c r="AI366" s="183">
        <f t="shared" si="75"/>
        <v>119486.06131662404</v>
      </c>
      <c r="AJ366" s="183">
        <f>IF(H366="Bexar",(AD366/$AJ$1)*'1. UC Assumptions'!$E$42,0)</f>
        <v>0</v>
      </c>
      <c r="AK366" s="183">
        <f>IF(H366="Dallas",(AD366/$AK$1)*'1. UC Assumptions'!$F$42,0)</f>
        <v>0</v>
      </c>
      <c r="AL366" s="183">
        <f>IF(H366="El Paso",(AD366/$AL$1)*'1. UC Assumptions'!$G$42,0)</f>
        <v>0</v>
      </c>
      <c r="AM366" s="183">
        <f>IF(H366="Harris",(AD366/$AM$1)*'1. UC Assumptions'!$H$42,0)</f>
        <v>0</v>
      </c>
      <c r="AN366" s="183">
        <f>IF(H366="Hidalgo",(AD366/$AN$1)*'1. UC Assumptions'!$I$42,0)</f>
        <v>0</v>
      </c>
      <c r="AO366" s="183">
        <f>IF(H366="Jefferson",(AD366/$AO$1)*'1. UC Assumptions'!$J$42,0)</f>
        <v>0</v>
      </c>
      <c r="AP366" s="183">
        <f>IF(H366="Lubbock",(AD366/$AP$1)*'1. UC Assumptions'!$K$42,0)</f>
        <v>0</v>
      </c>
      <c r="AQ366" s="183">
        <f>IF(H366="MRSA Central",(AD366/$AQ$1)*'1. UC Assumptions'!$L$42,0)</f>
        <v>0</v>
      </c>
      <c r="AR366" s="183">
        <f>IF(H366="MRSA Northeast",(AD366/$AR$1)*'1. UC Assumptions'!$M$42,0)</f>
        <v>0</v>
      </c>
      <c r="AS366" s="183">
        <f>IF(H366="MRSA West",(AD366/$AS$1)*'1. UC Assumptions'!$N$42,0)</f>
        <v>0</v>
      </c>
      <c r="AT366" s="183">
        <f>IF(H366="Nueces",(AD366/$AT$1)*'1. UC Assumptions'!$O$42,0)</f>
        <v>0</v>
      </c>
      <c r="AU366" s="183">
        <f>IF(H366="Tarrant",(AD366/$AU$1)*'1. UC Assumptions'!$P$42,0)</f>
        <v>0</v>
      </c>
      <c r="AV366" s="183">
        <f>IF(H366="Travis",(AD366/$AV$1)*'1. UC Assumptions'!$Q$42,0)</f>
        <v>0</v>
      </c>
      <c r="AW366" s="183">
        <f>IF(H366="Bexar",(AC366/$AW$1)*'1. UC Assumptions'!$E$44,0)</f>
        <v>0</v>
      </c>
      <c r="AX366" s="183">
        <f>IF(H366="Dallas",(AC366/$AX$1)*'1. UC Assumptions'!$F$44,0)</f>
        <v>0</v>
      </c>
      <c r="AY366" s="183">
        <f>IF(H366="El Paso",(AC366/$AY$1)*'1. UC Assumptions'!$G$44,0)</f>
        <v>0</v>
      </c>
      <c r="AZ366" s="183">
        <f>IF(H366="Harris",(AC366/$AZ$1)*'1. UC Assumptions'!$H$44,0)</f>
        <v>0</v>
      </c>
      <c r="BA366" s="183">
        <f>IF(H366="Hidalgo",(AC366/$BA$1)*'1. UC Assumptions'!$I$44,0)</f>
        <v>0</v>
      </c>
      <c r="BB366" s="183">
        <f>IF(H366="Jefferson",(AC366/$BB$1)*'1. UC Assumptions'!$J$44,0)</f>
        <v>0</v>
      </c>
      <c r="BC366" s="183">
        <f>IF(H366="Lubbock",(AC366/$BC$1)*'1. UC Assumptions'!$K$44,0)</f>
        <v>0</v>
      </c>
      <c r="BD366" s="183">
        <f>IF(H366="MRSA Central",(AC366/$BD$1)*'1. UC Assumptions'!$L$44,0)</f>
        <v>0</v>
      </c>
      <c r="BE366" s="183">
        <f>IF(H366="MRSA Northeast",(AC366/$BE$1)*'1. UC Assumptions'!$M$44,0)</f>
        <v>0</v>
      </c>
      <c r="BF366" s="183">
        <f>IF(H366="MRSA West",(AC366/$BF$1)*'1. UC Assumptions'!$N$44,0)</f>
        <v>0</v>
      </c>
      <c r="BG366" s="183">
        <f>IF(H366="Nueces",(AC366/$BG$1)*'1. UC Assumptions'!$O$44,0)</f>
        <v>0</v>
      </c>
      <c r="BH366" s="183">
        <f>IF(H366="Tarrant",(AC366/$BH$1)*'1. UC Assumptions'!$P$44,0)</f>
        <v>0</v>
      </c>
      <c r="BI366" s="183">
        <f>IF(H366="Travis",(AC366/$BI$1)*'1. UC Assumptions'!$Q$44,0)</f>
        <v>0</v>
      </c>
      <c r="BJ366" s="183">
        <f t="shared" si="76"/>
        <v>0</v>
      </c>
      <c r="BK366" s="183">
        <f t="shared" si="77"/>
        <v>0</v>
      </c>
      <c r="BL366" s="183">
        <f t="shared" si="78"/>
        <v>362078.97368673957</v>
      </c>
      <c r="BM366" s="184">
        <f t="shared" si="79"/>
        <v>362078.97368673957</v>
      </c>
      <c r="BN366" s="184">
        <f>ROUNDDOWN(BM366*'1. UC Assumptions'!$C$23,2)</f>
        <v>119486.06</v>
      </c>
      <c r="BO366" s="184"/>
      <c r="BP366" s="185"/>
      <c r="BQ366" s="32"/>
      <c r="BR366" s="32"/>
    </row>
    <row r="367" spans="1:70">
      <c r="A367" s="188"/>
      <c r="B367" s="188"/>
      <c r="C367" s="178"/>
      <c r="D367" s="179" t="s">
        <v>44</v>
      </c>
      <c r="E367" s="179"/>
      <c r="F367" s="179"/>
      <c r="G367" s="190" t="s">
        <v>44</v>
      </c>
      <c r="H367" s="190"/>
      <c r="I367" s="188"/>
      <c r="J367" s="181">
        <f t="shared" ref="J367:AO367" si="81">SUM(J3:J366)</f>
        <v>0</v>
      </c>
      <c r="K367" s="181">
        <f t="shared" si="81"/>
        <v>0</v>
      </c>
      <c r="L367" s="181">
        <f t="shared" si="81"/>
        <v>0</v>
      </c>
      <c r="M367" s="181">
        <f t="shared" si="81"/>
        <v>4758607643.7663679</v>
      </c>
      <c r="N367" s="181">
        <f t="shared" si="81"/>
        <v>0</v>
      </c>
      <c r="O367" s="181">
        <f t="shared" si="81"/>
        <v>0</v>
      </c>
      <c r="P367" s="181">
        <f t="shared" si="81"/>
        <v>4758607643.7663679</v>
      </c>
      <c r="Q367" s="181">
        <f t="shared" si="81"/>
        <v>0</v>
      </c>
      <c r="R367" s="181">
        <f t="shared" si="81"/>
        <v>0</v>
      </c>
      <c r="S367" s="181">
        <f t="shared" si="81"/>
        <v>0</v>
      </c>
      <c r="T367" s="181">
        <f t="shared" si="81"/>
        <v>0</v>
      </c>
      <c r="U367" s="181">
        <f t="shared" si="81"/>
        <v>0</v>
      </c>
      <c r="V367" s="181">
        <f t="shared" si="81"/>
        <v>447104054.84105408</v>
      </c>
      <c r="W367" s="181">
        <f t="shared" si="81"/>
        <v>564309398.51999998</v>
      </c>
      <c r="X367" s="181">
        <f t="shared" si="81"/>
        <v>5903907555.9435167</v>
      </c>
      <c r="Y367" s="181">
        <f t="shared" si="81"/>
        <v>3574126257.1271896</v>
      </c>
      <c r="Z367" s="181">
        <f t="shared" si="81"/>
        <v>948622.83463454247</v>
      </c>
      <c r="AA367" s="181">
        <f t="shared" si="81"/>
        <v>1766420523.1309588</v>
      </c>
      <c r="AB367" s="181">
        <f t="shared" si="81"/>
        <v>948622.83463454305</v>
      </c>
      <c r="AC367" s="181">
        <f t="shared" si="81"/>
        <v>1767369145.9655955</v>
      </c>
      <c r="AD367" s="181">
        <f t="shared" si="81"/>
        <v>3574126257.1271906</v>
      </c>
      <c r="AE367" s="181">
        <f t="shared" si="81"/>
        <v>1494673244.7200015</v>
      </c>
      <c r="AF367" s="181">
        <f t="shared" si="81"/>
        <v>493242170.75759977</v>
      </c>
      <c r="AG367" s="181">
        <f t="shared" si="81"/>
        <v>1762067391.9497592</v>
      </c>
      <c r="AH367" s="181">
        <f t="shared" si="81"/>
        <v>1126118125.8582153</v>
      </c>
      <c r="AI367" s="181">
        <f t="shared" si="81"/>
        <v>1619360296.6158149</v>
      </c>
      <c r="AJ367" s="181">
        <f t="shared" si="81"/>
        <v>0</v>
      </c>
      <c r="AK367" s="181">
        <f t="shared" si="81"/>
        <v>0</v>
      </c>
      <c r="AL367" s="181">
        <f t="shared" si="81"/>
        <v>0</v>
      </c>
      <c r="AM367" s="181">
        <f t="shared" si="81"/>
        <v>0</v>
      </c>
      <c r="AN367" s="181">
        <f t="shared" si="81"/>
        <v>0</v>
      </c>
      <c r="AO367" s="181">
        <f t="shared" si="81"/>
        <v>0</v>
      </c>
      <c r="AP367" s="181">
        <f t="shared" ref="AP367:BN367" si="82">SUM(AP3:AP366)</f>
        <v>0</v>
      </c>
      <c r="AQ367" s="181">
        <f t="shared" si="82"/>
        <v>0</v>
      </c>
      <c r="AR367" s="181">
        <f t="shared" si="82"/>
        <v>0</v>
      </c>
      <c r="AS367" s="181">
        <f t="shared" si="82"/>
        <v>0</v>
      </c>
      <c r="AT367" s="181">
        <f t="shared" si="82"/>
        <v>0</v>
      </c>
      <c r="AU367" s="181">
        <f t="shared" si="82"/>
        <v>0</v>
      </c>
      <c r="AV367" s="181">
        <f t="shared" si="82"/>
        <v>0</v>
      </c>
      <c r="AW367" s="181">
        <f t="shared" si="82"/>
        <v>0</v>
      </c>
      <c r="AX367" s="181">
        <f t="shared" si="82"/>
        <v>0</v>
      </c>
      <c r="AY367" s="181">
        <f t="shared" si="82"/>
        <v>0</v>
      </c>
      <c r="AZ367" s="181">
        <f t="shared" si="82"/>
        <v>0</v>
      </c>
      <c r="BA367" s="181">
        <f t="shared" si="82"/>
        <v>0</v>
      </c>
      <c r="BB367" s="181">
        <f t="shared" si="82"/>
        <v>0</v>
      </c>
      <c r="BC367" s="181">
        <f t="shared" si="82"/>
        <v>0</v>
      </c>
      <c r="BD367" s="181">
        <f t="shared" si="82"/>
        <v>0</v>
      </c>
      <c r="BE367" s="181">
        <f t="shared" si="82"/>
        <v>0</v>
      </c>
      <c r="BF367" s="181">
        <f t="shared" si="82"/>
        <v>0</v>
      </c>
      <c r="BG367" s="181">
        <f t="shared" si="82"/>
        <v>0</v>
      </c>
      <c r="BH367" s="181">
        <f t="shared" si="82"/>
        <v>0</v>
      </c>
      <c r="BI367" s="181">
        <f t="shared" si="82"/>
        <v>0</v>
      </c>
      <c r="BJ367" s="181">
        <f t="shared" si="82"/>
        <v>0</v>
      </c>
      <c r="BK367" s="181">
        <f t="shared" si="82"/>
        <v>0</v>
      </c>
      <c r="BL367" s="181">
        <f t="shared" si="82"/>
        <v>3574126257.1271906</v>
      </c>
      <c r="BM367" s="191">
        <f t="shared" si="82"/>
        <v>2079453012.4071884</v>
      </c>
      <c r="BN367" s="191">
        <f t="shared" si="82"/>
        <v>686219493.46000016</v>
      </c>
      <c r="BO367" s="191"/>
      <c r="BP367" s="185"/>
      <c r="BQ367" s="32"/>
      <c r="BR367" s="32"/>
    </row>
    <row r="369" spans="3:68" s="33" customFormat="1" ht="38.25">
      <c r="C369" s="30"/>
      <c r="D369" s="34"/>
      <c r="E369" s="34"/>
      <c r="F369" s="34"/>
      <c r="G369" s="30"/>
      <c r="H369" s="30"/>
      <c r="I369" s="30"/>
      <c r="J369" s="34"/>
      <c r="K369" s="34"/>
      <c r="L369" s="34"/>
      <c r="M369" s="34"/>
      <c r="N369" s="34"/>
      <c r="O369" s="34"/>
      <c r="P369" s="34"/>
      <c r="Q369" s="34"/>
      <c r="R369" s="34"/>
      <c r="S369" s="34"/>
      <c r="T369" s="34"/>
      <c r="U369" s="34"/>
      <c r="V369" s="34"/>
      <c r="W369" s="16" t="s">
        <v>1848</v>
      </c>
      <c r="X369" s="17">
        <f>SUMIF(E3:E366,"=",X3:X366)</f>
        <v>5330090576.2676868</v>
      </c>
      <c r="Y369" s="16" t="s">
        <v>1849</v>
      </c>
      <c r="Z369" s="16"/>
      <c r="AA369" s="16"/>
      <c r="AB369" s="16"/>
      <c r="AC369" s="16"/>
      <c r="AD369" s="16"/>
      <c r="AE369" s="17">
        <f>SUMIF(D:D,"=Physician Group Practice",X:X)</f>
        <v>245478088.64213175</v>
      </c>
      <c r="BM369" s="32"/>
      <c r="BN369" s="32"/>
      <c r="BO369" s="32"/>
      <c r="BP369" s="31"/>
    </row>
    <row r="374" spans="3:68" s="33" customFormat="1">
      <c r="C374" s="30"/>
      <c r="D374" s="34"/>
      <c r="E374" s="34"/>
      <c r="F374" s="34"/>
      <c r="G374" s="30"/>
      <c r="H374" s="30"/>
      <c r="I374" s="30"/>
      <c r="J374" s="34"/>
      <c r="K374" s="34"/>
      <c r="L374" s="34"/>
      <c r="M374" s="34"/>
      <c r="N374" s="34"/>
      <c r="O374" s="34"/>
      <c r="P374" s="34"/>
      <c r="Q374" s="34"/>
      <c r="R374" s="34"/>
      <c r="S374" s="34"/>
      <c r="T374" s="34"/>
      <c r="U374" s="34"/>
      <c r="V374" s="34"/>
      <c r="W374" s="34"/>
      <c r="X374" s="35"/>
      <c r="Y374" s="34"/>
      <c r="Z374" s="34"/>
      <c r="AA374" s="34"/>
      <c r="AB374" s="34"/>
      <c r="AC374" s="34"/>
      <c r="AD374" s="34"/>
      <c r="BM374" s="32"/>
      <c r="BN374" s="32"/>
      <c r="BO374" s="32"/>
      <c r="BP374" s="31"/>
    </row>
  </sheetData>
  <autoFilter ref="A2:CQ367" xr:uid="{00000000-0009-0000-0000-000015000000}"/>
  <pageMargins left="0.7" right="0.7" top="0.75" bottom="0.75" header="0.3" footer="0.3"/>
  <pageSetup orientation="portrait"/>
  <headerFooter>
    <oddHeader>&amp;C&amp;G</oddHeader>
  </headerFooter>
  <legacyDrawingHF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88992711234A41B9CD13B3EE0F81BA" ma:contentTypeVersion="1037" ma:contentTypeDescription="Create a new document." ma:contentTypeScope="" ma:versionID="379c6c8b9606b747c2e52c19d8d773c7">
  <xsd:schema xmlns:xsd="http://www.w3.org/2001/XMLSchema" xmlns:xs="http://www.w3.org/2001/XMLSchema" xmlns:p="http://schemas.microsoft.com/office/2006/metadata/properties" xmlns:ns1="http://schemas.microsoft.com/sharepoint/v3" xmlns:ns2="ea37a463-b99d-470c-8a85-4153a11441a9" xmlns:ns3="faab177a-4d71-43ef-a49b-5785f1f16e92" targetNamespace="http://schemas.microsoft.com/office/2006/metadata/properties" ma:root="true" ma:fieldsID="98d0e8677dd49d5ec2f1b4ecf81db629" ns1:_="" ns2:_="" ns3:_="">
    <xsd:import namespace="http://schemas.microsoft.com/sharepoint/v3"/>
    <xsd:import namespace="ea37a463-b99d-470c-8a85-4153a11441a9"/>
    <xsd:import namespace="faab177a-4d71-43ef-a49b-5785f1f16e92"/>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EventHashCode" minOccurs="0"/>
                <xsd:element ref="ns3:MediaServiceGenerationTime" minOccurs="0"/>
                <xsd:element ref="ns2:SharedWithUsers" minOccurs="0"/>
                <xsd:element ref="ns2:SharedWithDetails" minOccurs="0"/>
                <xsd:element ref="ns3:Project_x0020_ID" minOccurs="0"/>
                <xsd:element ref="ns1:_ip_UnifiedCompliancePolicyProperties" minOccurs="0"/>
                <xsd:element ref="ns1:_ip_UnifiedCompliancePolicyUIActio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37a463-b99d-470c-8a85-4153a11441a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ab177a-4d71-43ef-a49b-5785f1f16e9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Project_x0020_ID" ma:index="20" nillable="true" ma:displayName="Project ID" ma:indexed="true" ma:internalName="Project_x0020_ID">
      <xsd:simpleType>
        <xsd:restriction base="dms:Text">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ea37a463-b99d-470c-8a85-4153a11441a9">Y2PHC7Y2YW5Y-101495679-23094</_dlc_DocId>
    <_dlc_DocIdUrl xmlns="ea37a463-b99d-470c-8a85-4153a11441a9">
      <Url>https://txhhs.sharepoint.com/sites/hhsc/fs/ra/hs/_layouts/15/DocIdRedir.aspx?ID=Y2PHC7Y2YW5Y-101495679-23094</Url>
      <Description>Y2PHC7Y2YW5Y-101495679-23094</Description>
    </_dlc_DocIdUrl>
    <SharedWithUsers xmlns="ea37a463-b99d-470c-8a85-4153a11441a9">
      <UserInfo>
        <DisplayName>Anthony,Alan (HHSC)</DisplayName>
        <AccountId>21526</AccountId>
        <AccountType/>
      </UserInfo>
      <UserInfo>
        <DisplayName>Fine,Mance (HHSC)</DisplayName>
        <AccountId>1248</AccountId>
        <AccountType/>
      </UserInfo>
      <UserInfo>
        <DisplayName>Bradley,Shalyn (HHSC)</DisplayName>
        <AccountId>37476</AccountId>
        <AccountType/>
      </UserInfo>
    </SharedWithUsers>
    <_ip_UnifiedCompliancePolicyUIAction xmlns="http://schemas.microsoft.com/sharepoint/v3" xsi:nil="true"/>
    <_ip_UnifiedCompliancePolicyProperties xmlns="http://schemas.microsoft.com/sharepoint/v3" xsi:nil="true"/>
    <Project_x0020_ID xmlns="faab177a-4d71-43ef-a49b-5785f1f16e92"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D5C6D7A-B426-43B6-BBD2-02D47EB78D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a37a463-b99d-470c-8a85-4153a11441a9"/>
    <ds:schemaRef ds:uri="faab177a-4d71-43ef-a49b-5785f1f16e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05EF91-C31D-46C2-8261-97C6006E45F5}">
  <ds:schemaRefs>
    <ds:schemaRef ds:uri="http://schemas.microsoft.com/sharepoint/v3/contenttype/forms"/>
  </ds:schemaRefs>
</ds:datastoreItem>
</file>

<file path=customXml/itemProps3.xml><?xml version="1.0" encoding="utf-8"?>
<ds:datastoreItem xmlns:ds="http://schemas.openxmlformats.org/officeDocument/2006/customXml" ds:itemID="{20D73106-65D1-4060-8F8A-5AB50B804934}">
  <ds:schemaRefs>
    <ds:schemaRef ds:uri="http://schemas.microsoft.com/office/2006/metadata/properties"/>
    <ds:schemaRef ds:uri="http://schemas.microsoft.com/office/infopath/2007/PartnerControls"/>
    <ds:schemaRef ds:uri="ea37a463-b99d-470c-8a85-4153a11441a9"/>
    <ds:schemaRef ds:uri="http://schemas.microsoft.com/sharepoint/v3"/>
    <ds:schemaRef ds:uri="faab177a-4d71-43ef-a49b-5785f1f16e92"/>
  </ds:schemaRefs>
</ds:datastoreItem>
</file>

<file path=customXml/itemProps4.xml><?xml version="1.0" encoding="utf-8"?>
<ds:datastoreItem xmlns:ds="http://schemas.openxmlformats.org/officeDocument/2006/customXml" ds:itemID="{BAFBF621-1248-42DF-8D5E-C4199A1FFD0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Payment and IGT Summary by SDA</vt:lpstr>
      <vt:lpstr>1. UC Assumptions</vt:lpstr>
      <vt:lpstr>2.  State Hospitals</vt:lpstr>
      <vt:lpstr>3.  UC Calculations by Hospital</vt:lpstr>
      <vt:lpstr>IGT Commitments by Provider</vt:lpstr>
      <vt:lpstr>Recoupments</vt:lpstr>
      <vt:lpstr>Removed-No Active Affiliation</vt:lpstr>
      <vt:lpstr>Old Calc Tab</vt:lpstr>
    </vt:vector>
  </TitlesOfParts>
  <Manager/>
  <Company>HHSC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Dutcher,Jimmy (HHSC)</cp:lastModifiedBy>
  <cp:revision/>
  <dcterms:created xsi:type="dcterms:W3CDTF">2015-04-19T21:33:27Z</dcterms:created>
  <dcterms:modified xsi:type="dcterms:W3CDTF">2022-09-13T13:30:54Z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0x0101004388992711234A41B9CD13B3EE0F81BA</vt:lpwstr>
  </property>
  <property fmtid="{D5CDD505-2E9C-101B-9397-08002B2CF9AE}" pid="3" name="_dlc_DocIdItemGuid">
    <vt:lpwstr>332e782a-5b9d-4d01-8fa8-19ca55f67e89</vt:lpwstr>
  </property>
</Properties>
</file>